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df397c89746b040/Documentos/Camilo documentos/Proyectos analisis de datos/Portafolio/Proyecto 1 - Excel/"/>
    </mc:Choice>
  </mc:AlternateContent>
  <xr:revisionPtr revIDLastSave="1811" documentId="8_{961A614C-F3F6-4BC2-A556-40F141C72DD2}" xr6:coauthVersionLast="47" xr6:coauthVersionMax="47" xr10:uidLastSave="{A1A363A6-0F29-4C51-A0B1-D9F8ECD9F9B8}"/>
  <bookViews>
    <workbookView xWindow="-110" yWindow="-110" windowWidth="19420" windowHeight="10300" firstSheet="3" activeTab="4" xr2:uid="{CEEA87FA-19CB-4217-9781-1E5B54ABA507}"/>
  </bookViews>
  <sheets>
    <sheet name="Data original" sheetId="1" r:id="rId1"/>
    <sheet name="Auditoría " sheetId="2" r:id="rId2"/>
    <sheet name="Control de datos" sheetId="5" r:id="rId3"/>
    <sheet name="Datos limpios " sheetId="6" r:id="rId4"/>
    <sheet name="Datos nuevas columnas" sheetId="7" r:id="rId5"/>
    <sheet name="Preguntas de negocio" sheetId="8" r:id="rId6"/>
    <sheet name="Dashboard" sheetId="10" r:id="rId7"/>
    <sheet name="UNICOS"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2" i="7" l="1"/>
  <c r="C33" i="8" s="1"/>
  <c r="E15" i="8"/>
  <c r="G15" i="8" s="1"/>
  <c r="D15" i="8"/>
  <c r="F23" i="8"/>
  <c r="E23" i="8"/>
  <c r="D23" i="8"/>
  <c r="H26" i="8"/>
  <c r="W1" i="11"/>
  <c r="V1" i="11"/>
  <c r="V2" i="11" s="1"/>
  <c r="D53" i="10"/>
  <c r="C53" i="10"/>
  <c r="D46" i="10"/>
  <c r="C46" i="10"/>
  <c r="U1" i="11"/>
  <c r="T1" i="11"/>
  <c r="S1" i="11"/>
  <c r="O2" i="11"/>
  <c r="R1" i="11"/>
  <c r="O3" i="11"/>
  <c r="O4" i="11"/>
  <c r="O5" i="11"/>
  <c r="O6" i="11"/>
  <c r="O7" i="11"/>
  <c r="O8" i="11"/>
  <c r="O9" i="11"/>
  <c r="O10" i="11"/>
  <c r="O11" i="11"/>
  <c r="O12" i="11"/>
  <c r="O13" i="11"/>
  <c r="D39" i="10"/>
  <c r="C39" i="10"/>
  <c r="D32" i="10"/>
  <c r="C32" i="10"/>
  <c r="D25" i="10"/>
  <c r="C25" i="10"/>
  <c r="D18" i="10"/>
  <c r="C18" i="10"/>
  <c r="L3" i="11" a="1"/>
  <c r="J3" i="11" a="1"/>
  <c r="H3" i="11" a="1"/>
  <c r="F3" i="11" a="1"/>
  <c r="D3" i="11" a="1"/>
  <c r="E7" i="10"/>
  <c r="G7" i="10"/>
  <c r="F7" i="10"/>
  <c r="D10" i="10" s="1"/>
  <c r="D7" i="10"/>
  <c r="C7" i="10"/>
  <c r="H143" i="8"/>
  <c r="AA2" i="7"/>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1033" i="7"/>
  <c r="AA1034" i="7"/>
  <c r="AA1035" i="7"/>
  <c r="AA1036" i="7"/>
  <c r="AA1037" i="7"/>
  <c r="AA1038" i="7"/>
  <c r="AA1039" i="7"/>
  <c r="AA1040" i="7"/>
  <c r="AA1041" i="7"/>
  <c r="AA1042" i="7"/>
  <c r="AA1043" i="7"/>
  <c r="AA1044" i="7"/>
  <c r="AA1045" i="7"/>
  <c r="AA1046" i="7"/>
  <c r="AA1047" i="7"/>
  <c r="AA1048" i="7"/>
  <c r="AA1049" i="7"/>
  <c r="AA1050" i="7"/>
  <c r="AA1051" i="7"/>
  <c r="AA1052" i="7"/>
  <c r="AA1053" i="7"/>
  <c r="AA1054" i="7"/>
  <c r="AA1055" i="7"/>
  <c r="AA1056" i="7"/>
  <c r="AA1057" i="7"/>
  <c r="AA1058" i="7"/>
  <c r="AA1059" i="7"/>
  <c r="AA1060" i="7"/>
  <c r="AA1061" i="7"/>
  <c r="AA1062" i="7"/>
  <c r="AA1063" i="7"/>
  <c r="AA1064" i="7"/>
  <c r="AA1065" i="7"/>
  <c r="AA1066" i="7"/>
  <c r="AA1067" i="7"/>
  <c r="AA1068" i="7"/>
  <c r="AA1069" i="7"/>
  <c r="AA1070" i="7"/>
  <c r="AA1071" i="7"/>
  <c r="AA1072" i="7"/>
  <c r="AA1073" i="7"/>
  <c r="AA1074" i="7"/>
  <c r="AA1075" i="7"/>
  <c r="AA1076" i="7"/>
  <c r="AA1077" i="7"/>
  <c r="AA1078" i="7"/>
  <c r="AA1079" i="7"/>
  <c r="AA1080" i="7"/>
  <c r="AA1081" i="7"/>
  <c r="AA1082" i="7"/>
  <c r="AA1083" i="7"/>
  <c r="AA1084" i="7"/>
  <c r="AA1085" i="7"/>
  <c r="AA1086" i="7"/>
  <c r="AA1087" i="7"/>
  <c r="AA1088" i="7"/>
  <c r="AA1089" i="7"/>
  <c r="AA1090" i="7"/>
  <c r="AA1091" i="7"/>
  <c r="AA1092" i="7"/>
  <c r="AA1093" i="7"/>
  <c r="AA1094" i="7"/>
  <c r="AA1095" i="7"/>
  <c r="AA1096" i="7"/>
  <c r="AA1097" i="7"/>
  <c r="AA1098" i="7"/>
  <c r="AA1099" i="7"/>
  <c r="AA1100" i="7"/>
  <c r="AA1101" i="7"/>
  <c r="AA1102" i="7"/>
  <c r="AA1103" i="7"/>
  <c r="AA1104" i="7"/>
  <c r="AA1105" i="7"/>
  <c r="AA1106" i="7"/>
  <c r="AA1107" i="7"/>
  <c r="AA1108" i="7"/>
  <c r="AA1109" i="7"/>
  <c r="AA1110" i="7"/>
  <c r="AA1111" i="7"/>
  <c r="AA1112" i="7"/>
  <c r="AA1113" i="7"/>
  <c r="AA1114" i="7"/>
  <c r="AA1115" i="7"/>
  <c r="AA1116" i="7"/>
  <c r="AA1117" i="7"/>
  <c r="AA1118" i="7"/>
  <c r="AA1119" i="7"/>
  <c r="AA1120" i="7"/>
  <c r="AA1121" i="7"/>
  <c r="AA1122" i="7"/>
  <c r="AA1123" i="7"/>
  <c r="AA1124" i="7"/>
  <c r="AA1125" i="7"/>
  <c r="AA1126" i="7"/>
  <c r="AA1127" i="7"/>
  <c r="AA1128" i="7"/>
  <c r="AA1129" i="7"/>
  <c r="AA1130" i="7"/>
  <c r="AA1131" i="7"/>
  <c r="AA1132" i="7"/>
  <c r="AA1133" i="7"/>
  <c r="AA1134" i="7"/>
  <c r="AA1135" i="7"/>
  <c r="AA1136" i="7"/>
  <c r="AA1137" i="7"/>
  <c r="AA1138" i="7"/>
  <c r="AA1139" i="7"/>
  <c r="AA1140" i="7"/>
  <c r="AA1141" i="7"/>
  <c r="AA1142" i="7"/>
  <c r="AA1143" i="7"/>
  <c r="AA1144" i="7"/>
  <c r="AA1145" i="7"/>
  <c r="AA1146" i="7"/>
  <c r="AA1147" i="7"/>
  <c r="AA1148" i="7"/>
  <c r="AA1149" i="7"/>
  <c r="AA1150" i="7"/>
  <c r="AA1151" i="7"/>
  <c r="AA1152" i="7"/>
  <c r="AA1153" i="7"/>
  <c r="AA1154" i="7"/>
  <c r="AA1155" i="7"/>
  <c r="AA1156" i="7"/>
  <c r="AA1157" i="7"/>
  <c r="AA1158" i="7"/>
  <c r="AA1159" i="7"/>
  <c r="AA1160" i="7"/>
  <c r="AA1161" i="7"/>
  <c r="AA1162" i="7"/>
  <c r="AA1163" i="7"/>
  <c r="AA1164" i="7"/>
  <c r="AA1165" i="7"/>
  <c r="AA1166" i="7"/>
  <c r="AA1167" i="7"/>
  <c r="AA1168" i="7"/>
  <c r="AA1169" i="7"/>
  <c r="AA1170" i="7"/>
  <c r="AA1171" i="7"/>
  <c r="AA1172" i="7"/>
  <c r="AA1173" i="7"/>
  <c r="AA1174" i="7"/>
  <c r="AA1175" i="7"/>
  <c r="AA1176" i="7"/>
  <c r="AA1177" i="7"/>
  <c r="AA1178" i="7"/>
  <c r="AA1179" i="7"/>
  <c r="AA1180" i="7"/>
  <c r="AA1181" i="7"/>
  <c r="AA1182" i="7"/>
  <c r="AA1183" i="7"/>
  <c r="AA1184" i="7"/>
  <c r="AA1185" i="7"/>
  <c r="AA1186" i="7"/>
  <c r="AA1187" i="7"/>
  <c r="AA1188" i="7"/>
  <c r="AA1189" i="7"/>
  <c r="AA1190" i="7"/>
  <c r="AA1191" i="7"/>
  <c r="AA1192" i="7"/>
  <c r="AA1193" i="7"/>
  <c r="AA1194" i="7"/>
  <c r="AA1195" i="7"/>
  <c r="AA1196" i="7"/>
  <c r="AA1197" i="7"/>
  <c r="AA1198" i="7"/>
  <c r="AA1199" i="7"/>
  <c r="AA1200" i="7"/>
  <c r="AA1201" i="7"/>
  <c r="AA1202" i="7"/>
  <c r="AA1203" i="7"/>
  <c r="AA1204" i="7"/>
  <c r="AA1205" i="7"/>
  <c r="AA1206" i="7"/>
  <c r="AA1207" i="7"/>
  <c r="AA1208" i="7"/>
  <c r="AA1209" i="7"/>
  <c r="AA1210" i="7"/>
  <c r="AA1211" i="7"/>
  <c r="AA1212" i="7"/>
  <c r="AA1213" i="7"/>
  <c r="AA1214" i="7"/>
  <c r="AA1215" i="7"/>
  <c r="AA1216" i="7"/>
  <c r="AA1217" i="7"/>
  <c r="AA1218" i="7"/>
  <c r="AA1219" i="7"/>
  <c r="AA1220" i="7"/>
  <c r="AA1221" i="7"/>
  <c r="AA1222" i="7"/>
  <c r="AA1223" i="7"/>
  <c r="AA1224" i="7"/>
  <c r="AA1225" i="7"/>
  <c r="AA1226" i="7"/>
  <c r="AA1227" i="7"/>
  <c r="AA1228" i="7"/>
  <c r="AA1229" i="7"/>
  <c r="AA1230" i="7"/>
  <c r="AA1231" i="7"/>
  <c r="AA1232" i="7"/>
  <c r="AA1233" i="7"/>
  <c r="AA1234" i="7"/>
  <c r="AA1235" i="7"/>
  <c r="AA1236" i="7"/>
  <c r="AA1237" i="7"/>
  <c r="AA1238" i="7"/>
  <c r="AA1239" i="7"/>
  <c r="AA1240" i="7"/>
  <c r="AA1241" i="7"/>
  <c r="AA1242" i="7"/>
  <c r="AA1243" i="7"/>
  <c r="AA1244" i="7"/>
  <c r="AA1245" i="7"/>
  <c r="AA1246" i="7"/>
  <c r="AA1247" i="7"/>
  <c r="AA1248" i="7"/>
  <c r="AA1249" i="7"/>
  <c r="AA1250" i="7"/>
  <c r="AA1251" i="7"/>
  <c r="AA1252" i="7"/>
  <c r="AA1253" i="7"/>
  <c r="AA1254" i="7"/>
  <c r="AA1255" i="7"/>
  <c r="AA1256" i="7"/>
  <c r="AA1257" i="7"/>
  <c r="AA1258" i="7"/>
  <c r="AA1259" i="7"/>
  <c r="AA1260" i="7"/>
  <c r="AA1261" i="7"/>
  <c r="AA1262" i="7"/>
  <c r="AA1263" i="7"/>
  <c r="AA1264" i="7"/>
  <c r="AA1265" i="7"/>
  <c r="AA1266" i="7"/>
  <c r="AA1267" i="7"/>
  <c r="AA1268" i="7"/>
  <c r="AA1269" i="7"/>
  <c r="AA1270" i="7"/>
  <c r="AA1271" i="7"/>
  <c r="AA1272" i="7"/>
  <c r="AA1273" i="7"/>
  <c r="AA1274" i="7"/>
  <c r="AA1275" i="7"/>
  <c r="AA1276" i="7"/>
  <c r="AA1277" i="7"/>
  <c r="AA1278" i="7"/>
  <c r="AA1279" i="7"/>
  <c r="AA1280" i="7"/>
  <c r="AA1281" i="7"/>
  <c r="AA1282" i="7"/>
  <c r="AA1283" i="7"/>
  <c r="AA1284" i="7"/>
  <c r="AA1285" i="7"/>
  <c r="AA1286" i="7"/>
  <c r="AA1287" i="7"/>
  <c r="AA1288" i="7"/>
  <c r="AA1289" i="7"/>
  <c r="AA1290" i="7"/>
  <c r="AA1291" i="7"/>
  <c r="AA1292" i="7"/>
  <c r="AA1293" i="7"/>
  <c r="AA1294" i="7"/>
  <c r="AA1295" i="7"/>
  <c r="AA1296" i="7"/>
  <c r="AA1297" i="7"/>
  <c r="AA1298" i="7"/>
  <c r="AA1299" i="7"/>
  <c r="AA1300" i="7"/>
  <c r="AA1301" i="7"/>
  <c r="AA1302" i="7"/>
  <c r="AA1303" i="7"/>
  <c r="AA1304" i="7"/>
  <c r="AA1305" i="7"/>
  <c r="AA1306" i="7"/>
  <c r="AA1307" i="7"/>
  <c r="AA1308" i="7"/>
  <c r="AA1309" i="7"/>
  <c r="AA1310" i="7"/>
  <c r="AA1311" i="7"/>
  <c r="AA1312" i="7"/>
  <c r="AA1313" i="7"/>
  <c r="AA1314" i="7"/>
  <c r="AA1315" i="7"/>
  <c r="AA1316" i="7"/>
  <c r="AA1317" i="7"/>
  <c r="AA1318" i="7"/>
  <c r="AA1319" i="7"/>
  <c r="AA1320" i="7"/>
  <c r="AA1321" i="7"/>
  <c r="AA1322" i="7"/>
  <c r="AA1323" i="7"/>
  <c r="AA1324" i="7"/>
  <c r="AA1325" i="7"/>
  <c r="AA1326" i="7"/>
  <c r="AA1327" i="7"/>
  <c r="AA1328" i="7"/>
  <c r="AA1329" i="7"/>
  <c r="AA1330" i="7"/>
  <c r="AA1331" i="7"/>
  <c r="AA1332" i="7"/>
  <c r="AA1333" i="7"/>
  <c r="AA1334" i="7"/>
  <c r="AA1335" i="7"/>
  <c r="AA1336" i="7"/>
  <c r="AA1337" i="7"/>
  <c r="AA1338" i="7"/>
  <c r="AA1339" i="7"/>
  <c r="AA1340" i="7"/>
  <c r="AA1341" i="7"/>
  <c r="AA1342" i="7"/>
  <c r="AA1343" i="7"/>
  <c r="AA1344" i="7"/>
  <c r="AA1345" i="7"/>
  <c r="AA1346" i="7"/>
  <c r="AA1347" i="7"/>
  <c r="AA1348" i="7"/>
  <c r="AA1349" i="7"/>
  <c r="AA1350" i="7"/>
  <c r="AA1351" i="7"/>
  <c r="AA1352" i="7"/>
  <c r="AA1353" i="7"/>
  <c r="AA1354" i="7"/>
  <c r="AA1355" i="7"/>
  <c r="AA1356" i="7"/>
  <c r="AA1357" i="7"/>
  <c r="AA1358" i="7"/>
  <c r="AA1359" i="7"/>
  <c r="AA1360" i="7"/>
  <c r="AA1361" i="7"/>
  <c r="AA1362" i="7"/>
  <c r="AA1363" i="7"/>
  <c r="AA1364" i="7"/>
  <c r="AA1365" i="7"/>
  <c r="AA1366" i="7"/>
  <c r="AA1367" i="7"/>
  <c r="AA1368" i="7"/>
  <c r="AA1369" i="7"/>
  <c r="AA1370" i="7"/>
  <c r="AA1371" i="7"/>
  <c r="AA1372" i="7"/>
  <c r="AA1373" i="7"/>
  <c r="AA1374" i="7"/>
  <c r="AA1375" i="7"/>
  <c r="AA1376" i="7"/>
  <c r="AA1377" i="7"/>
  <c r="AA1378" i="7"/>
  <c r="AA1379" i="7"/>
  <c r="AA1380" i="7"/>
  <c r="AA1381" i="7"/>
  <c r="AA1382" i="7"/>
  <c r="AA1383" i="7"/>
  <c r="AA1384" i="7"/>
  <c r="AA1385" i="7"/>
  <c r="AA1386" i="7"/>
  <c r="AA1387" i="7"/>
  <c r="AA1388" i="7"/>
  <c r="AA1389" i="7"/>
  <c r="AA1390" i="7"/>
  <c r="AA1391" i="7"/>
  <c r="AA1392" i="7"/>
  <c r="AA1393" i="7"/>
  <c r="AA1394" i="7"/>
  <c r="AA1395" i="7"/>
  <c r="AA1396" i="7"/>
  <c r="AA1397" i="7"/>
  <c r="AA1398" i="7"/>
  <c r="AA1399" i="7"/>
  <c r="AA1400" i="7"/>
  <c r="AA1401" i="7"/>
  <c r="AA1402" i="7"/>
  <c r="AA1403" i="7"/>
  <c r="AA1404" i="7"/>
  <c r="AA1405" i="7"/>
  <c r="AA1406" i="7"/>
  <c r="AA1407" i="7"/>
  <c r="AA1408" i="7"/>
  <c r="AA1409" i="7"/>
  <c r="AA1410" i="7"/>
  <c r="AA1411" i="7"/>
  <c r="AA1412" i="7"/>
  <c r="AA1413" i="7"/>
  <c r="AA1414" i="7"/>
  <c r="AA1415" i="7"/>
  <c r="AA1416" i="7"/>
  <c r="AA1417" i="7"/>
  <c r="AA1418" i="7"/>
  <c r="AA1419" i="7"/>
  <c r="AA1420" i="7"/>
  <c r="AA1421" i="7"/>
  <c r="AA1422" i="7"/>
  <c r="AA1423" i="7"/>
  <c r="AA1424" i="7"/>
  <c r="AA1425" i="7"/>
  <c r="AA1426" i="7"/>
  <c r="AA1427" i="7"/>
  <c r="AA1428" i="7"/>
  <c r="AA1429" i="7"/>
  <c r="AA1430" i="7"/>
  <c r="AA1431" i="7"/>
  <c r="AA1432" i="7"/>
  <c r="AA1433" i="7"/>
  <c r="AA1434" i="7"/>
  <c r="AA1435" i="7"/>
  <c r="AA1436" i="7"/>
  <c r="AA1437" i="7"/>
  <c r="AA1438" i="7"/>
  <c r="AA1439" i="7"/>
  <c r="AA1440" i="7"/>
  <c r="AA1441" i="7"/>
  <c r="AA1442" i="7"/>
  <c r="AA1443" i="7"/>
  <c r="AA1444" i="7"/>
  <c r="AA1445" i="7"/>
  <c r="AA1446" i="7"/>
  <c r="AA1447" i="7"/>
  <c r="AA1448" i="7"/>
  <c r="AA1449" i="7"/>
  <c r="AA1450" i="7"/>
  <c r="AA1451" i="7"/>
  <c r="AA1452" i="7"/>
  <c r="AA1453" i="7"/>
  <c r="AA1454" i="7"/>
  <c r="AA1455" i="7"/>
  <c r="AA1456" i="7"/>
  <c r="AA1457" i="7"/>
  <c r="AA1458" i="7"/>
  <c r="AA1459" i="7"/>
  <c r="AA1460" i="7"/>
  <c r="AA1461" i="7"/>
  <c r="AA1462" i="7"/>
  <c r="AA1463" i="7"/>
  <c r="AA1464" i="7"/>
  <c r="AA1465" i="7"/>
  <c r="AA1466" i="7"/>
  <c r="AA1467" i="7"/>
  <c r="AA1468" i="7"/>
  <c r="AA1469" i="7"/>
  <c r="AA1470" i="7"/>
  <c r="AA1471" i="7"/>
  <c r="AA1472" i="7"/>
  <c r="AA1473" i="7"/>
  <c r="AA1474" i="7"/>
  <c r="AA1475" i="7"/>
  <c r="AA1476" i="7"/>
  <c r="AA1477" i="7"/>
  <c r="AA1478" i="7"/>
  <c r="AA1479" i="7"/>
  <c r="AA1480" i="7"/>
  <c r="AA1481" i="7"/>
  <c r="AA1482" i="7"/>
  <c r="AA1483" i="7"/>
  <c r="AA1484" i="7"/>
  <c r="AA1485" i="7"/>
  <c r="AA1486" i="7"/>
  <c r="AA1487" i="7"/>
  <c r="AA1488" i="7"/>
  <c r="AA1489" i="7"/>
  <c r="AA1490" i="7"/>
  <c r="AA1491" i="7"/>
  <c r="AA1492" i="7"/>
  <c r="AA1493" i="7"/>
  <c r="AA1494" i="7"/>
  <c r="AA1495" i="7"/>
  <c r="AA1496" i="7"/>
  <c r="AA1497" i="7"/>
  <c r="AA1498" i="7"/>
  <c r="AA1499" i="7"/>
  <c r="AA1500" i="7"/>
  <c r="AA1501" i="7"/>
  <c r="AA1502" i="7"/>
  <c r="AA1503" i="7"/>
  <c r="AA1504" i="7"/>
  <c r="AA1505" i="7"/>
  <c r="AA1506" i="7"/>
  <c r="AA1507" i="7"/>
  <c r="AA1508" i="7"/>
  <c r="AA1509" i="7"/>
  <c r="AA1510" i="7"/>
  <c r="AA1511" i="7"/>
  <c r="AA1512" i="7"/>
  <c r="AA1513" i="7"/>
  <c r="AA1514" i="7"/>
  <c r="AA1515" i="7"/>
  <c r="AA1516" i="7"/>
  <c r="AA1517" i="7"/>
  <c r="AA1518" i="7"/>
  <c r="AA1519" i="7"/>
  <c r="AA1520" i="7"/>
  <c r="AA1521" i="7"/>
  <c r="AA1522" i="7"/>
  <c r="AA1523" i="7"/>
  <c r="AA1524" i="7"/>
  <c r="AA1525" i="7"/>
  <c r="AA1526" i="7"/>
  <c r="AA1527" i="7"/>
  <c r="AA1528" i="7"/>
  <c r="AA1529" i="7"/>
  <c r="AA1530" i="7"/>
  <c r="AA1531" i="7"/>
  <c r="AA1532" i="7"/>
  <c r="AA1533" i="7"/>
  <c r="AA1534" i="7"/>
  <c r="AA1535" i="7"/>
  <c r="AA1536" i="7"/>
  <c r="AA1537" i="7"/>
  <c r="AA1538" i="7"/>
  <c r="AA1539" i="7"/>
  <c r="AA1540" i="7"/>
  <c r="AA1541" i="7"/>
  <c r="AA1542" i="7"/>
  <c r="AA1543" i="7"/>
  <c r="AA1544" i="7"/>
  <c r="AA1545" i="7"/>
  <c r="AA1546" i="7"/>
  <c r="AA1547" i="7"/>
  <c r="AA1548" i="7"/>
  <c r="AA1549" i="7"/>
  <c r="AA1550" i="7"/>
  <c r="AA1551" i="7"/>
  <c r="AA1552" i="7"/>
  <c r="AA1553" i="7"/>
  <c r="AA1554" i="7"/>
  <c r="AA1555" i="7"/>
  <c r="AA1556" i="7"/>
  <c r="AA1557" i="7"/>
  <c r="AA1558" i="7"/>
  <c r="AA1559" i="7"/>
  <c r="AA1560" i="7"/>
  <c r="AA1561" i="7"/>
  <c r="AA1562" i="7"/>
  <c r="AA1563" i="7"/>
  <c r="AA1564" i="7"/>
  <c r="AA1565" i="7"/>
  <c r="AA1566" i="7"/>
  <c r="AA1567" i="7"/>
  <c r="AA1568" i="7"/>
  <c r="AA1569" i="7"/>
  <c r="AA1570" i="7"/>
  <c r="AA1571" i="7"/>
  <c r="AA1572" i="7"/>
  <c r="AA1573" i="7"/>
  <c r="AA1574" i="7"/>
  <c r="AA1575" i="7"/>
  <c r="AA1576" i="7"/>
  <c r="AA1577" i="7"/>
  <c r="AA1578" i="7"/>
  <c r="AA1579" i="7"/>
  <c r="AA1580" i="7"/>
  <c r="AA1581" i="7"/>
  <c r="AA1582" i="7"/>
  <c r="AA1583" i="7"/>
  <c r="AA1584" i="7"/>
  <c r="AA1585" i="7"/>
  <c r="AA1586" i="7"/>
  <c r="AA1587" i="7"/>
  <c r="AA1588" i="7"/>
  <c r="AA1589" i="7"/>
  <c r="AA1590" i="7"/>
  <c r="AA1591" i="7"/>
  <c r="AA1592" i="7"/>
  <c r="AA1593" i="7"/>
  <c r="AA1594" i="7"/>
  <c r="AA1595" i="7"/>
  <c r="AA1596" i="7"/>
  <c r="AA1597" i="7"/>
  <c r="AA1598" i="7"/>
  <c r="AA1599" i="7"/>
  <c r="AA1600" i="7"/>
  <c r="AA1601" i="7"/>
  <c r="AA1602" i="7"/>
  <c r="AA1603" i="7"/>
  <c r="AA1604" i="7"/>
  <c r="AA1605" i="7"/>
  <c r="AA1606" i="7"/>
  <c r="AA1607" i="7"/>
  <c r="AA1608" i="7"/>
  <c r="AA1609" i="7"/>
  <c r="AA1610" i="7"/>
  <c r="AA1611" i="7"/>
  <c r="AA1612" i="7"/>
  <c r="AA1613" i="7"/>
  <c r="AA1614" i="7"/>
  <c r="AA1615" i="7"/>
  <c r="AA1616" i="7"/>
  <c r="AA1617" i="7"/>
  <c r="AA1618" i="7"/>
  <c r="AA1619" i="7"/>
  <c r="AA1620" i="7"/>
  <c r="AA1621" i="7"/>
  <c r="AA1622" i="7"/>
  <c r="AA1623" i="7"/>
  <c r="AA1624" i="7"/>
  <c r="AA1625" i="7"/>
  <c r="AA1626" i="7"/>
  <c r="AA1627" i="7"/>
  <c r="AA1628" i="7"/>
  <c r="AA1629" i="7"/>
  <c r="AA1630" i="7"/>
  <c r="AA1631" i="7"/>
  <c r="AA1632" i="7"/>
  <c r="AA1633" i="7"/>
  <c r="AA1634" i="7"/>
  <c r="AA1635" i="7"/>
  <c r="AA1636" i="7"/>
  <c r="AA1637" i="7"/>
  <c r="AA1638" i="7"/>
  <c r="AA1639" i="7"/>
  <c r="AA1640" i="7"/>
  <c r="AA1641" i="7"/>
  <c r="AA1642" i="7"/>
  <c r="AA1643" i="7"/>
  <c r="AA1644" i="7"/>
  <c r="AA1645" i="7"/>
  <c r="AA1646" i="7"/>
  <c r="AA1647" i="7"/>
  <c r="AA1648" i="7"/>
  <c r="AA1649" i="7"/>
  <c r="AA1650" i="7"/>
  <c r="AA1651" i="7"/>
  <c r="AA1652" i="7"/>
  <c r="AA1653" i="7"/>
  <c r="AA1654" i="7"/>
  <c r="AA1655" i="7"/>
  <c r="AA1656" i="7"/>
  <c r="AA1657" i="7"/>
  <c r="AA1658" i="7"/>
  <c r="AA1659" i="7"/>
  <c r="AA1660" i="7"/>
  <c r="AA1661" i="7"/>
  <c r="AA1662" i="7"/>
  <c r="AA1663" i="7"/>
  <c r="AA1664" i="7"/>
  <c r="AA1665" i="7"/>
  <c r="AA1666" i="7"/>
  <c r="AA1667" i="7"/>
  <c r="AA1668" i="7"/>
  <c r="AA1669" i="7"/>
  <c r="AA1670" i="7"/>
  <c r="AA1671" i="7"/>
  <c r="AA1672" i="7"/>
  <c r="AA1673" i="7"/>
  <c r="AA1674" i="7"/>
  <c r="AA1675" i="7"/>
  <c r="AA1676" i="7"/>
  <c r="AA1677" i="7"/>
  <c r="AA1678" i="7"/>
  <c r="AA1679" i="7"/>
  <c r="AA1680" i="7"/>
  <c r="AA1681" i="7"/>
  <c r="AA1682" i="7"/>
  <c r="AA1683" i="7"/>
  <c r="AA1684" i="7"/>
  <c r="AA1685" i="7"/>
  <c r="AA1686" i="7"/>
  <c r="AA1687" i="7"/>
  <c r="AA1688" i="7"/>
  <c r="AA1689" i="7"/>
  <c r="AA1690" i="7"/>
  <c r="AA1691" i="7"/>
  <c r="AA1692" i="7"/>
  <c r="AA1693" i="7"/>
  <c r="AA1694" i="7"/>
  <c r="AA1695" i="7"/>
  <c r="AA1696" i="7"/>
  <c r="AA1697" i="7"/>
  <c r="AA1698" i="7"/>
  <c r="AA1699" i="7"/>
  <c r="AA1700" i="7"/>
  <c r="AA1701" i="7"/>
  <c r="AA1702" i="7"/>
  <c r="AA1703" i="7"/>
  <c r="AA1704" i="7"/>
  <c r="AA1705" i="7"/>
  <c r="AA1706" i="7"/>
  <c r="AA1707" i="7"/>
  <c r="AA1708" i="7"/>
  <c r="AA1709" i="7"/>
  <c r="AA1710" i="7"/>
  <c r="AA1711" i="7"/>
  <c r="AA1712" i="7"/>
  <c r="AA1713" i="7"/>
  <c r="AA1714" i="7"/>
  <c r="AA1715" i="7"/>
  <c r="AA1716" i="7"/>
  <c r="AA1717" i="7"/>
  <c r="AA1718" i="7"/>
  <c r="AA1719" i="7"/>
  <c r="AA1720" i="7"/>
  <c r="AA1721" i="7"/>
  <c r="AA1722" i="7"/>
  <c r="AA1723" i="7"/>
  <c r="AA1724" i="7"/>
  <c r="AA1725" i="7"/>
  <c r="AA1726" i="7"/>
  <c r="AA1727" i="7"/>
  <c r="AA1728" i="7"/>
  <c r="AA1729" i="7"/>
  <c r="AA1730" i="7"/>
  <c r="AA1731" i="7"/>
  <c r="AA1732" i="7"/>
  <c r="AA1733" i="7"/>
  <c r="AA1734" i="7"/>
  <c r="AA1735" i="7"/>
  <c r="AA1736" i="7"/>
  <c r="AA1737" i="7"/>
  <c r="AA1738" i="7"/>
  <c r="AA1739" i="7"/>
  <c r="AA1740" i="7"/>
  <c r="AA1741" i="7"/>
  <c r="AA1742" i="7"/>
  <c r="AA1743" i="7"/>
  <c r="AA1744" i="7"/>
  <c r="AA1745" i="7"/>
  <c r="AA1746" i="7"/>
  <c r="AA1747" i="7"/>
  <c r="AA1748" i="7"/>
  <c r="AA1749" i="7"/>
  <c r="AA1750" i="7"/>
  <c r="AA1751" i="7"/>
  <c r="AA1752" i="7"/>
  <c r="AA1753" i="7"/>
  <c r="AA1754" i="7"/>
  <c r="AA1755" i="7"/>
  <c r="AA1756" i="7"/>
  <c r="AA1757" i="7"/>
  <c r="AA1758" i="7"/>
  <c r="AA1759" i="7"/>
  <c r="AA1760" i="7"/>
  <c r="AA1761" i="7"/>
  <c r="AA1762" i="7"/>
  <c r="AA1763" i="7"/>
  <c r="AA1764" i="7"/>
  <c r="AA1765" i="7"/>
  <c r="AA1766" i="7"/>
  <c r="AA1767" i="7"/>
  <c r="AA1768" i="7"/>
  <c r="AA1769" i="7"/>
  <c r="AA1770" i="7"/>
  <c r="AA1771" i="7"/>
  <c r="AA1772" i="7"/>
  <c r="AA1773" i="7"/>
  <c r="AA1774" i="7"/>
  <c r="AA1775" i="7"/>
  <c r="AA1776" i="7"/>
  <c r="AA1777" i="7"/>
  <c r="AA1778" i="7"/>
  <c r="AA1779" i="7"/>
  <c r="AA1780" i="7"/>
  <c r="AA1781" i="7"/>
  <c r="AA1782" i="7"/>
  <c r="AA1783" i="7"/>
  <c r="AA1784" i="7"/>
  <c r="AA1785" i="7"/>
  <c r="AA1786" i="7"/>
  <c r="AA1787" i="7"/>
  <c r="AA1788" i="7"/>
  <c r="AA1789" i="7"/>
  <c r="AA1790" i="7"/>
  <c r="AA1791" i="7"/>
  <c r="AA1792" i="7"/>
  <c r="AA1793" i="7"/>
  <c r="AA1794" i="7"/>
  <c r="AA1795" i="7"/>
  <c r="AA1796" i="7"/>
  <c r="AA1797" i="7"/>
  <c r="AA1798" i="7"/>
  <c r="AA1799" i="7"/>
  <c r="AA1800" i="7"/>
  <c r="AA1801" i="7"/>
  <c r="AA1802" i="7"/>
  <c r="AA1803" i="7"/>
  <c r="AA1804" i="7"/>
  <c r="AA1805" i="7"/>
  <c r="AA1806" i="7"/>
  <c r="AA1807" i="7"/>
  <c r="AA1808" i="7"/>
  <c r="AA1809" i="7"/>
  <c r="AA1810" i="7"/>
  <c r="AA1811" i="7"/>
  <c r="AA1812" i="7"/>
  <c r="AA1813" i="7"/>
  <c r="AA1814" i="7"/>
  <c r="AA1815" i="7"/>
  <c r="AA1816" i="7"/>
  <c r="AA1817" i="7"/>
  <c r="AA1818" i="7"/>
  <c r="AA1819" i="7"/>
  <c r="AA1820" i="7"/>
  <c r="AA1821" i="7"/>
  <c r="AA1822" i="7"/>
  <c r="AA1823" i="7"/>
  <c r="AA1824" i="7"/>
  <c r="AA1825" i="7"/>
  <c r="AA1826" i="7"/>
  <c r="AA1827" i="7"/>
  <c r="AA1828" i="7"/>
  <c r="AA1829" i="7"/>
  <c r="AA1830" i="7"/>
  <c r="AA1831" i="7"/>
  <c r="AA1832" i="7"/>
  <c r="AA1833" i="7"/>
  <c r="AA1834" i="7"/>
  <c r="AA1835" i="7"/>
  <c r="AA1836" i="7"/>
  <c r="AA1837" i="7"/>
  <c r="AA1838" i="7"/>
  <c r="AA1839" i="7"/>
  <c r="AA1840" i="7"/>
  <c r="AA1841" i="7"/>
  <c r="AA1842" i="7"/>
  <c r="AA1843" i="7"/>
  <c r="AA1844" i="7"/>
  <c r="AA1845" i="7"/>
  <c r="AA1846" i="7"/>
  <c r="AA1847" i="7"/>
  <c r="AA1848" i="7"/>
  <c r="AA1849" i="7"/>
  <c r="AA1850" i="7"/>
  <c r="AA1851" i="7"/>
  <c r="AA1852" i="7"/>
  <c r="AA1853" i="7"/>
  <c r="AA1854" i="7"/>
  <c r="AA1855" i="7"/>
  <c r="AA1856" i="7"/>
  <c r="AA1857" i="7"/>
  <c r="AA1858" i="7"/>
  <c r="AA1859" i="7"/>
  <c r="AA1860" i="7"/>
  <c r="AA1861" i="7"/>
  <c r="AA1862" i="7"/>
  <c r="AA1863" i="7"/>
  <c r="AA1864" i="7"/>
  <c r="AA1865" i="7"/>
  <c r="AA1866" i="7"/>
  <c r="AA1867" i="7"/>
  <c r="AA1868" i="7"/>
  <c r="AA1869" i="7"/>
  <c r="AA1870" i="7"/>
  <c r="AA1871" i="7"/>
  <c r="AA1872" i="7"/>
  <c r="AA1873" i="7"/>
  <c r="AA1874" i="7"/>
  <c r="AA1875" i="7"/>
  <c r="AA1876" i="7"/>
  <c r="AA1877" i="7"/>
  <c r="AA1878" i="7"/>
  <c r="AA1879" i="7"/>
  <c r="AA1880" i="7"/>
  <c r="AA1881" i="7"/>
  <c r="AA1882" i="7"/>
  <c r="AA1883" i="7"/>
  <c r="AA1884" i="7"/>
  <c r="AA1885" i="7"/>
  <c r="AA1886" i="7"/>
  <c r="AA1887" i="7"/>
  <c r="AA1888" i="7"/>
  <c r="AA1889" i="7"/>
  <c r="AA1890" i="7"/>
  <c r="AA1891" i="7"/>
  <c r="AA1892" i="7"/>
  <c r="AA1893" i="7"/>
  <c r="AA1894" i="7"/>
  <c r="AA1895" i="7"/>
  <c r="AA1896" i="7"/>
  <c r="AA1897" i="7"/>
  <c r="AA1898" i="7"/>
  <c r="AA1899" i="7"/>
  <c r="AA1900" i="7"/>
  <c r="AA1901" i="7"/>
  <c r="AA1902" i="7"/>
  <c r="AA1903" i="7"/>
  <c r="AA1904" i="7"/>
  <c r="AA1905" i="7"/>
  <c r="AA1906" i="7"/>
  <c r="AA1907" i="7"/>
  <c r="AA1908" i="7"/>
  <c r="AA1909" i="7"/>
  <c r="AA1910" i="7"/>
  <c r="AA1911" i="7"/>
  <c r="AA1912" i="7"/>
  <c r="AA1913" i="7"/>
  <c r="AA1914" i="7"/>
  <c r="AA1915" i="7"/>
  <c r="AA1916" i="7"/>
  <c r="AA1917" i="7"/>
  <c r="AA1918" i="7"/>
  <c r="AA1919" i="7"/>
  <c r="AA1920" i="7"/>
  <c r="AA1921" i="7"/>
  <c r="AA1922" i="7"/>
  <c r="AA1923" i="7"/>
  <c r="AA1924" i="7"/>
  <c r="AA1925" i="7"/>
  <c r="AA1926" i="7"/>
  <c r="AA1927" i="7"/>
  <c r="AA1928" i="7"/>
  <c r="AA1929" i="7"/>
  <c r="AA1930" i="7"/>
  <c r="AA1931" i="7"/>
  <c r="AA1932" i="7"/>
  <c r="AA1933" i="7"/>
  <c r="AA1934" i="7"/>
  <c r="AA1935" i="7"/>
  <c r="AA1936" i="7"/>
  <c r="AA1937" i="7"/>
  <c r="AA1938" i="7"/>
  <c r="AA1939" i="7"/>
  <c r="AA1940" i="7"/>
  <c r="AA1941" i="7"/>
  <c r="AA1942" i="7"/>
  <c r="AA1943" i="7"/>
  <c r="AA1944" i="7"/>
  <c r="AA1945" i="7"/>
  <c r="AA1946" i="7"/>
  <c r="AA1947" i="7"/>
  <c r="AA1948" i="7"/>
  <c r="AA1949" i="7"/>
  <c r="AA1950" i="7"/>
  <c r="AA1951" i="7"/>
  <c r="AA1952" i="7"/>
  <c r="AA1953" i="7"/>
  <c r="AA1954" i="7"/>
  <c r="AA1955" i="7"/>
  <c r="AA1956" i="7"/>
  <c r="AA1957" i="7"/>
  <c r="AA1958" i="7"/>
  <c r="AA1959" i="7"/>
  <c r="AA1960" i="7"/>
  <c r="AA1961" i="7"/>
  <c r="AA1962" i="7"/>
  <c r="AA1963" i="7"/>
  <c r="AA1964" i="7"/>
  <c r="AA1965" i="7"/>
  <c r="AA1966" i="7"/>
  <c r="AA1967" i="7"/>
  <c r="AA1968" i="7"/>
  <c r="AA1969" i="7"/>
  <c r="AA1970" i="7"/>
  <c r="AA1971" i="7"/>
  <c r="AA1972" i="7"/>
  <c r="AA1973" i="7"/>
  <c r="AA1974" i="7"/>
  <c r="AA1975" i="7"/>
  <c r="AA1976" i="7"/>
  <c r="AA1977" i="7"/>
  <c r="AA1978" i="7"/>
  <c r="AA1979" i="7"/>
  <c r="AA1980" i="7"/>
  <c r="AA1981" i="7"/>
  <c r="AA1982" i="7"/>
  <c r="AA1983" i="7"/>
  <c r="AA1984" i="7"/>
  <c r="AA1985" i="7"/>
  <c r="AA1986" i="7"/>
  <c r="AA1987" i="7"/>
  <c r="AA1988" i="7"/>
  <c r="AA1989" i="7"/>
  <c r="AA1990" i="7"/>
  <c r="AA1991" i="7"/>
  <c r="AA1992" i="7"/>
  <c r="AA1993" i="7"/>
  <c r="AA1994" i="7"/>
  <c r="AA1995" i="7"/>
  <c r="AA1996" i="7"/>
  <c r="AA1997" i="7"/>
  <c r="AA1998" i="7"/>
  <c r="AA1999" i="7"/>
  <c r="AA2000" i="7"/>
  <c r="AA2001" i="7"/>
  <c r="AA2002" i="7"/>
  <c r="AA2003" i="7"/>
  <c r="AA2004" i="7"/>
  <c r="AA2005" i="7"/>
  <c r="AA2006" i="7"/>
  <c r="AA2007" i="7"/>
  <c r="AA2008" i="7"/>
  <c r="AA2009" i="7"/>
  <c r="AA2010" i="7"/>
  <c r="AA2011" i="7"/>
  <c r="AA2012" i="7"/>
  <c r="AA2013" i="7"/>
  <c r="AA2014" i="7"/>
  <c r="AA2015" i="7"/>
  <c r="AA2016" i="7"/>
  <c r="AA2017" i="7"/>
  <c r="AA2018" i="7"/>
  <c r="AA2019" i="7"/>
  <c r="AA2020" i="7"/>
  <c r="AA2021" i="7"/>
  <c r="AA2022" i="7"/>
  <c r="AA2023" i="7"/>
  <c r="AA2024" i="7"/>
  <c r="AA2025" i="7"/>
  <c r="AA2026" i="7"/>
  <c r="AA2027" i="7"/>
  <c r="AA2028" i="7"/>
  <c r="AA2029" i="7"/>
  <c r="AA2030" i="7"/>
  <c r="AA2031" i="7"/>
  <c r="AA2032" i="7"/>
  <c r="AA2033" i="7"/>
  <c r="AA2034" i="7"/>
  <c r="AA2035" i="7"/>
  <c r="AA2036" i="7"/>
  <c r="AA2037" i="7"/>
  <c r="AA2038" i="7"/>
  <c r="AA2039" i="7"/>
  <c r="AA2040" i="7"/>
  <c r="AA2041" i="7"/>
  <c r="AA2042" i="7"/>
  <c r="AA2043" i="7"/>
  <c r="AA2044" i="7"/>
  <c r="AA2045" i="7"/>
  <c r="AA2046" i="7"/>
  <c r="AA2047" i="7"/>
  <c r="AA2048" i="7"/>
  <c r="AA2049" i="7"/>
  <c r="AA2050" i="7"/>
  <c r="AA2051" i="7"/>
  <c r="AA2052" i="7"/>
  <c r="AA2053" i="7"/>
  <c r="AA2054" i="7"/>
  <c r="AA2055" i="7"/>
  <c r="AA2056" i="7"/>
  <c r="AA2057" i="7"/>
  <c r="AA2058" i="7"/>
  <c r="AA2059" i="7"/>
  <c r="AA2060" i="7"/>
  <c r="AA2061" i="7"/>
  <c r="AA2062" i="7"/>
  <c r="AA2063" i="7"/>
  <c r="AA2064" i="7"/>
  <c r="AA2065" i="7"/>
  <c r="AA2066" i="7"/>
  <c r="AA2067" i="7"/>
  <c r="AA2068" i="7"/>
  <c r="AA2069" i="7"/>
  <c r="AA2070" i="7"/>
  <c r="AA2071" i="7"/>
  <c r="AA2072" i="7"/>
  <c r="AA2073" i="7"/>
  <c r="AA2074" i="7"/>
  <c r="AA2075" i="7"/>
  <c r="AA2076" i="7"/>
  <c r="AA2077" i="7"/>
  <c r="AA2078" i="7"/>
  <c r="AA2079" i="7"/>
  <c r="AA2080" i="7"/>
  <c r="AA2081" i="7"/>
  <c r="AA2082" i="7"/>
  <c r="AA2083" i="7"/>
  <c r="AA2084" i="7"/>
  <c r="AA2085" i="7"/>
  <c r="AA2086" i="7"/>
  <c r="AA2087" i="7"/>
  <c r="AA2088" i="7"/>
  <c r="AA2089" i="7"/>
  <c r="AA2090" i="7"/>
  <c r="AA2091" i="7"/>
  <c r="AA2092" i="7"/>
  <c r="AA2093" i="7"/>
  <c r="AA2094" i="7"/>
  <c r="AA2095" i="7"/>
  <c r="AA2096" i="7"/>
  <c r="AA2097" i="7"/>
  <c r="AA2098" i="7"/>
  <c r="AA2099" i="7"/>
  <c r="AA2100" i="7"/>
  <c r="AA2101" i="7"/>
  <c r="AA2102" i="7"/>
  <c r="AA2103" i="7"/>
  <c r="AA2104" i="7"/>
  <c r="AA2105" i="7"/>
  <c r="AA2106" i="7"/>
  <c r="AA2107" i="7"/>
  <c r="AA2108" i="7"/>
  <c r="AA2109" i="7"/>
  <c r="AA2110" i="7"/>
  <c r="AA2111" i="7"/>
  <c r="AA2112" i="7"/>
  <c r="AA2113" i="7"/>
  <c r="AA2114" i="7"/>
  <c r="AA2115" i="7"/>
  <c r="AA2116" i="7"/>
  <c r="AA2117" i="7"/>
  <c r="AA2118" i="7"/>
  <c r="AA2119" i="7"/>
  <c r="AA2120" i="7"/>
  <c r="AA2121" i="7"/>
  <c r="AA2122" i="7"/>
  <c r="AA2123" i="7"/>
  <c r="AA2124" i="7"/>
  <c r="AA2125" i="7"/>
  <c r="AA2126" i="7"/>
  <c r="AA2127" i="7"/>
  <c r="AA2128" i="7"/>
  <c r="AA2129" i="7"/>
  <c r="AA2130" i="7"/>
  <c r="AA2131" i="7"/>
  <c r="AA2132" i="7"/>
  <c r="AA2133" i="7"/>
  <c r="AA2134" i="7"/>
  <c r="AA2135" i="7"/>
  <c r="AA2136" i="7"/>
  <c r="AA2137" i="7"/>
  <c r="AA2138" i="7"/>
  <c r="AA2139" i="7"/>
  <c r="AA2140" i="7"/>
  <c r="AA2141" i="7"/>
  <c r="AA2142" i="7"/>
  <c r="AA2143" i="7"/>
  <c r="AA2144" i="7"/>
  <c r="AA2145" i="7"/>
  <c r="AA2146" i="7"/>
  <c r="AA2147" i="7"/>
  <c r="AA2148" i="7"/>
  <c r="AA2149" i="7"/>
  <c r="AA2150" i="7"/>
  <c r="AA2151" i="7"/>
  <c r="AA2152" i="7"/>
  <c r="AA2153" i="7"/>
  <c r="AA2154" i="7"/>
  <c r="AA2155" i="7"/>
  <c r="AA2156" i="7"/>
  <c r="AA2157" i="7"/>
  <c r="AA2158" i="7"/>
  <c r="AA2159" i="7"/>
  <c r="AA2160" i="7"/>
  <c r="AA2161" i="7"/>
  <c r="AA2162" i="7"/>
  <c r="AA2163" i="7"/>
  <c r="AA2164" i="7"/>
  <c r="AA2165" i="7"/>
  <c r="AA2166" i="7"/>
  <c r="AA2167" i="7"/>
  <c r="AA2168" i="7"/>
  <c r="AA2169" i="7"/>
  <c r="AA2170" i="7"/>
  <c r="AA2171" i="7"/>
  <c r="AA2172" i="7"/>
  <c r="AA2173" i="7"/>
  <c r="AA2174" i="7"/>
  <c r="AA2175" i="7"/>
  <c r="AA2176" i="7"/>
  <c r="AA2177" i="7"/>
  <c r="AA2178" i="7"/>
  <c r="AA2179" i="7"/>
  <c r="AA2180" i="7"/>
  <c r="AA2181" i="7"/>
  <c r="AA2182" i="7"/>
  <c r="AA2183" i="7"/>
  <c r="AA2184" i="7"/>
  <c r="AA2185" i="7"/>
  <c r="AA2186" i="7"/>
  <c r="AA2187" i="7"/>
  <c r="AA2188" i="7"/>
  <c r="AA2189" i="7"/>
  <c r="AA2190" i="7"/>
  <c r="AA2191" i="7"/>
  <c r="AA2192" i="7"/>
  <c r="AA2193" i="7"/>
  <c r="AA2194" i="7"/>
  <c r="AA2195" i="7"/>
  <c r="AA2196" i="7"/>
  <c r="AA2197" i="7"/>
  <c r="AA2198" i="7"/>
  <c r="AA2199" i="7"/>
  <c r="AA2200" i="7"/>
  <c r="AA2201" i="7"/>
  <c r="AA2202" i="7"/>
  <c r="AA2203" i="7"/>
  <c r="AA2204" i="7"/>
  <c r="AA2205" i="7"/>
  <c r="AA2206" i="7"/>
  <c r="AA2207" i="7"/>
  <c r="AA2208" i="7"/>
  <c r="AA2209" i="7"/>
  <c r="AA2210" i="7"/>
  <c r="AA2211" i="7"/>
  <c r="AA2212" i="7"/>
  <c r="AA2213" i="7"/>
  <c r="AA2214" i="7"/>
  <c r="AA2215" i="7"/>
  <c r="AA2216" i="7"/>
  <c r="AA2217" i="7"/>
  <c r="AA2218" i="7"/>
  <c r="AA2219" i="7"/>
  <c r="AA2220" i="7"/>
  <c r="AA2221" i="7"/>
  <c r="AA2222" i="7"/>
  <c r="AA2223" i="7"/>
  <c r="AA2224" i="7"/>
  <c r="AA2225" i="7"/>
  <c r="AA2226" i="7"/>
  <c r="AA2227" i="7"/>
  <c r="AA2228" i="7"/>
  <c r="AA2229" i="7"/>
  <c r="AA2230" i="7"/>
  <c r="AA2231" i="7"/>
  <c r="AA2232" i="7"/>
  <c r="AA2233" i="7"/>
  <c r="AA2234" i="7"/>
  <c r="AA2235" i="7"/>
  <c r="AA2236" i="7"/>
  <c r="AA2237" i="7"/>
  <c r="AA2238" i="7"/>
  <c r="AA2239" i="7"/>
  <c r="AA2240" i="7"/>
  <c r="AA2241" i="7"/>
  <c r="AA2242" i="7"/>
  <c r="AA2243" i="7"/>
  <c r="AA2244" i="7"/>
  <c r="AA2245" i="7"/>
  <c r="AA2246" i="7"/>
  <c r="AA2247" i="7"/>
  <c r="AA2248" i="7"/>
  <c r="AA2249" i="7"/>
  <c r="AA2250" i="7"/>
  <c r="AA2251" i="7"/>
  <c r="AA2252" i="7"/>
  <c r="AA2253" i="7"/>
  <c r="AA2254" i="7"/>
  <c r="AA2255" i="7"/>
  <c r="AA2256" i="7"/>
  <c r="AA2257" i="7"/>
  <c r="AA2258" i="7"/>
  <c r="AA2259" i="7"/>
  <c r="AA2260" i="7"/>
  <c r="AA2261" i="7"/>
  <c r="AA2262" i="7"/>
  <c r="AA2263" i="7"/>
  <c r="AA2264" i="7"/>
  <c r="AA2265" i="7"/>
  <c r="AA2266" i="7"/>
  <c r="AA2267" i="7"/>
  <c r="AA2268" i="7"/>
  <c r="AA2269" i="7"/>
  <c r="AA2270" i="7"/>
  <c r="AA2271" i="7"/>
  <c r="AA2272" i="7"/>
  <c r="AA2273" i="7"/>
  <c r="AA2274" i="7"/>
  <c r="AA2275" i="7"/>
  <c r="AA2276" i="7"/>
  <c r="AA2277" i="7"/>
  <c r="AA2278" i="7"/>
  <c r="AA2279" i="7"/>
  <c r="AA2280" i="7"/>
  <c r="AA2281" i="7"/>
  <c r="AA2282" i="7"/>
  <c r="AA2283" i="7"/>
  <c r="AA2284" i="7"/>
  <c r="AA2285" i="7"/>
  <c r="AA2286" i="7"/>
  <c r="AA2287" i="7"/>
  <c r="AA2288" i="7"/>
  <c r="AA2289" i="7"/>
  <c r="AA2290" i="7"/>
  <c r="AA2291" i="7"/>
  <c r="AA2292" i="7"/>
  <c r="AA2293" i="7"/>
  <c r="AA2294" i="7"/>
  <c r="AA2295" i="7"/>
  <c r="AA2296" i="7"/>
  <c r="AA2297" i="7"/>
  <c r="AA2298" i="7"/>
  <c r="AA2299" i="7"/>
  <c r="AA2300" i="7"/>
  <c r="AA2301" i="7"/>
  <c r="AA2302" i="7"/>
  <c r="AA2303" i="7"/>
  <c r="AA2304" i="7"/>
  <c r="AA2305" i="7"/>
  <c r="AA2306" i="7"/>
  <c r="AA2307" i="7"/>
  <c r="AA2308" i="7"/>
  <c r="AA2309" i="7"/>
  <c r="AA2310" i="7"/>
  <c r="AA2311" i="7"/>
  <c r="AA2312" i="7"/>
  <c r="AA2313" i="7"/>
  <c r="AA2314" i="7"/>
  <c r="AA2315" i="7"/>
  <c r="AA2316" i="7"/>
  <c r="AA2317" i="7"/>
  <c r="AA2318" i="7"/>
  <c r="AA2319" i="7"/>
  <c r="AA2320" i="7"/>
  <c r="AA2321" i="7"/>
  <c r="AA2322" i="7"/>
  <c r="AA2323" i="7"/>
  <c r="AA2324" i="7"/>
  <c r="AA2325" i="7"/>
  <c r="AA2326" i="7"/>
  <c r="AA2327" i="7"/>
  <c r="AA2328" i="7"/>
  <c r="AA2329" i="7"/>
  <c r="AA2330" i="7"/>
  <c r="AA2331" i="7"/>
  <c r="AA2332" i="7"/>
  <c r="AA2333" i="7"/>
  <c r="AA2334" i="7"/>
  <c r="AA2335" i="7"/>
  <c r="AA2336" i="7"/>
  <c r="AA2337" i="7"/>
  <c r="AA2338" i="7"/>
  <c r="AA2339" i="7"/>
  <c r="AA2340" i="7"/>
  <c r="AA2341" i="7"/>
  <c r="AA2342" i="7"/>
  <c r="AA2343" i="7"/>
  <c r="AA2344" i="7"/>
  <c r="AA2345" i="7"/>
  <c r="AA2346" i="7"/>
  <c r="AA2347" i="7"/>
  <c r="AA2348" i="7"/>
  <c r="AA2349" i="7"/>
  <c r="AA2350" i="7"/>
  <c r="AA2351" i="7"/>
  <c r="AA2352" i="7"/>
  <c r="AA2353" i="7"/>
  <c r="AA2354" i="7"/>
  <c r="AA2355" i="7"/>
  <c r="AA2356" i="7"/>
  <c r="AA2357" i="7"/>
  <c r="AA2358" i="7"/>
  <c r="AA2359" i="7"/>
  <c r="AA2360" i="7"/>
  <c r="AA2361" i="7"/>
  <c r="AA2362" i="7"/>
  <c r="AA2363" i="7"/>
  <c r="AA2364" i="7"/>
  <c r="AA2365" i="7"/>
  <c r="AA2366" i="7"/>
  <c r="AA2367" i="7"/>
  <c r="AA2368" i="7"/>
  <c r="AA2369" i="7"/>
  <c r="AA2370" i="7"/>
  <c r="AA2371" i="7"/>
  <c r="AA2372" i="7"/>
  <c r="AA2373" i="7"/>
  <c r="AA2374" i="7"/>
  <c r="AA2375" i="7"/>
  <c r="AA2376" i="7"/>
  <c r="AA2377" i="7"/>
  <c r="AA2378" i="7"/>
  <c r="AA2379" i="7"/>
  <c r="AA2380" i="7"/>
  <c r="AA2381" i="7"/>
  <c r="AA2382" i="7"/>
  <c r="AA2383" i="7"/>
  <c r="AA2384" i="7"/>
  <c r="AA2385" i="7"/>
  <c r="AA2386" i="7"/>
  <c r="AA2387" i="7"/>
  <c r="AA2388" i="7"/>
  <c r="AA2389" i="7"/>
  <c r="AA2390" i="7"/>
  <c r="AA2391" i="7"/>
  <c r="AA2392" i="7"/>
  <c r="AA2393" i="7"/>
  <c r="AA2394" i="7"/>
  <c r="AA2395" i="7"/>
  <c r="AA2396" i="7"/>
  <c r="AA2397" i="7"/>
  <c r="AA2398" i="7"/>
  <c r="AA2399" i="7"/>
  <c r="AA2400" i="7"/>
  <c r="AA2401" i="7"/>
  <c r="AA2402" i="7"/>
  <c r="AA2403" i="7"/>
  <c r="AA2404" i="7"/>
  <c r="AA2405" i="7"/>
  <c r="AA2406" i="7"/>
  <c r="AA2407" i="7"/>
  <c r="AA2408" i="7"/>
  <c r="AA2409" i="7"/>
  <c r="AA2410" i="7"/>
  <c r="AA2411" i="7"/>
  <c r="AA2412" i="7"/>
  <c r="AA2413" i="7"/>
  <c r="AA2414" i="7"/>
  <c r="AA2415" i="7"/>
  <c r="AA2416" i="7"/>
  <c r="AA2417" i="7"/>
  <c r="AA2418" i="7"/>
  <c r="AA2419" i="7"/>
  <c r="AA2420" i="7"/>
  <c r="AA2421" i="7"/>
  <c r="AA2422" i="7"/>
  <c r="AA2423" i="7"/>
  <c r="AA2424" i="7"/>
  <c r="AA2425" i="7"/>
  <c r="AA2426" i="7"/>
  <c r="AA2427" i="7"/>
  <c r="AA2428" i="7"/>
  <c r="AA2429" i="7"/>
  <c r="AA2430" i="7"/>
  <c r="AA2431" i="7"/>
  <c r="AA2432" i="7"/>
  <c r="AA2433" i="7"/>
  <c r="AA2434" i="7"/>
  <c r="AA2435" i="7"/>
  <c r="AA2436" i="7"/>
  <c r="AA2437" i="7"/>
  <c r="AA2438" i="7"/>
  <c r="AA2439" i="7"/>
  <c r="AA2440" i="7"/>
  <c r="AA2441" i="7"/>
  <c r="AA2442" i="7"/>
  <c r="AA2443" i="7"/>
  <c r="AA2444" i="7"/>
  <c r="AA2445" i="7"/>
  <c r="AA2446" i="7"/>
  <c r="AA2447" i="7"/>
  <c r="AA2448" i="7"/>
  <c r="AA2449" i="7"/>
  <c r="AA2450" i="7"/>
  <c r="AA2451" i="7"/>
  <c r="AA2452" i="7"/>
  <c r="AA2453" i="7"/>
  <c r="AA2454" i="7"/>
  <c r="AA2455" i="7"/>
  <c r="AA2456" i="7"/>
  <c r="AA2457" i="7"/>
  <c r="AA2458" i="7"/>
  <c r="AA2459" i="7"/>
  <c r="AA2460" i="7"/>
  <c r="AA2461" i="7"/>
  <c r="AA2462" i="7"/>
  <c r="AA2463" i="7"/>
  <c r="AA2464" i="7"/>
  <c r="AA2465" i="7"/>
  <c r="AA2466" i="7"/>
  <c r="AA2467" i="7"/>
  <c r="AA2468" i="7"/>
  <c r="AA2469" i="7"/>
  <c r="AA2470" i="7"/>
  <c r="AA2471" i="7"/>
  <c r="AA2472" i="7"/>
  <c r="AA2473" i="7"/>
  <c r="AA2474" i="7"/>
  <c r="AA2475" i="7"/>
  <c r="AA2476" i="7"/>
  <c r="AA2477" i="7"/>
  <c r="AA2478" i="7"/>
  <c r="AA2479" i="7"/>
  <c r="AA2480" i="7"/>
  <c r="AA2481" i="7"/>
  <c r="AA2482" i="7"/>
  <c r="AA2483" i="7"/>
  <c r="AA2484" i="7"/>
  <c r="AA2485" i="7"/>
  <c r="C141" i="8" a="1"/>
  <c r="C139" i="8"/>
  <c r="D139" i="8"/>
  <c r="C136" i="8" a="1"/>
  <c r="E134" i="8"/>
  <c r="E130" i="8" a="1"/>
  <c r="E131" i="8" a="1"/>
  <c r="E132" i="8" a="1"/>
  <c r="E129" i="8" a="1"/>
  <c r="D42" i="8"/>
  <c r="AB2" i="7"/>
  <c r="AB3" i="7"/>
  <c r="AB4"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502" i="7"/>
  <c r="AB503" i="7"/>
  <c r="AB504" i="7"/>
  <c r="AB505" i="7"/>
  <c r="AB506" i="7"/>
  <c r="AB507" i="7"/>
  <c r="AB508" i="7"/>
  <c r="AB509" i="7"/>
  <c r="AB510" i="7"/>
  <c r="AB511" i="7"/>
  <c r="AB512" i="7"/>
  <c r="AB513" i="7"/>
  <c r="AB514" i="7"/>
  <c r="AB515" i="7"/>
  <c r="AB516" i="7"/>
  <c r="AB517" i="7"/>
  <c r="AB518" i="7"/>
  <c r="AB519" i="7"/>
  <c r="AB520" i="7"/>
  <c r="AB521" i="7"/>
  <c r="AB522" i="7"/>
  <c r="AB523" i="7"/>
  <c r="AB524" i="7"/>
  <c r="AB525" i="7"/>
  <c r="AB526" i="7"/>
  <c r="AB527" i="7"/>
  <c r="AB528" i="7"/>
  <c r="AB529" i="7"/>
  <c r="AB530" i="7"/>
  <c r="AB531" i="7"/>
  <c r="AB532" i="7"/>
  <c r="AB533" i="7"/>
  <c r="AB534" i="7"/>
  <c r="AB535" i="7"/>
  <c r="AB536" i="7"/>
  <c r="AB537" i="7"/>
  <c r="AB538" i="7"/>
  <c r="AB539" i="7"/>
  <c r="AB540" i="7"/>
  <c r="AB541" i="7"/>
  <c r="AB542" i="7"/>
  <c r="AB543" i="7"/>
  <c r="AB544" i="7"/>
  <c r="AB545" i="7"/>
  <c r="AB546" i="7"/>
  <c r="AB547" i="7"/>
  <c r="AB548" i="7"/>
  <c r="AB549" i="7"/>
  <c r="AB550" i="7"/>
  <c r="AB551" i="7"/>
  <c r="AB552" i="7"/>
  <c r="AB553" i="7"/>
  <c r="AB554" i="7"/>
  <c r="AB555" i="7"/>
  <c r="AB556" i="7"/>
  <c r="AB557" i="7"/>
  <c r="AB558" i="7"/>
  <c r="AB559" i="7"/>
  <c r="AB560" i="7"/>
  <c r="AB561" i="7"/>
  <c r="AB562" i="7"/>
  <c r="AB563" i="7"/>
  <c r="AB564" i="7"/>
  <c r="AB565" i="7"/>
  <c r="AB566" i="7"/>
  <c r="AB567" i="7"/>
  <c r="AB568" i="7"/>
  <c r="AB569" i="7"/>
  <c r="AB570" i="7"/>
  <c r="AB571" i="7"/>
  <c r="AB572" i="7"/>
  <c r="AB573" i="7"/>
  <c r="AB574" i="7"/>
  <c r="AB575" i="7"/>
  <c r="AB576" i="7"/>
  <c r="AB577" i="7"/>
  <c r="AB578" i="7"/>
  <c r="AB579" i="7"/>
  <c r="AB580" i="7"/>
  <c r="AB581" i="7"/>
  <c r="AB582" i="7"/>
  <c r="AB583" i="7"/>
  <c r="AB584" i="7"/>
  <c r="AB585" i="7"/>
  <c r="AB586" i="7"/>
  <c r="AB587" i="7"/>
  <c r="AB588" i="7"/>
  <c r="AB589" i="7"/>
  <c r="AB590" i="7"/>
  <c r="AB591" i="7"/>
  <c r="AB592" i="7"/>
  <c r="AB593" i="7"/>
  <c r="AB594" i="7"/>
  <c r="AB595" i="7"/>
  <c r="AB596" i="7"/>
  <c r="AB597" i="7"/>
  <c r="AB598" i="7"/>
  <c r="AB599" i="7"/>
  <c r="AB600" i="7"/>
  <c r="AB601" i="7"/>
  <c r="AB602" i="7"/>
  <c r="AB603" i="7"/>
  <c r="AB604" i="7"/>
  <c r="AB605" i="7"/>
  <c r="AB606" i="7"/>
  <c r="AB607" i="7"/>
  <c r="AB608" i="7"/>
  <c r="AB609" i="7"/>
  <c r="AB610" i="7"/>
  <c r="AB611" i="7"/>
  <c r="AB612" i="7"/>
  <c r="AB613" i="7"/>
  <c r="AB614" i="7"/>
  <c r="AB615" i="7"/>
  <c r="AB616" i="7"/>
  <c r="AB617" i="7"/>
  <c r="AB618" i="7"/>
  <c r="AB619" i="7"/>
  <c r="AB620" i="7"/>
  <c r="AB621" i="7"/>
  <c r="AB622" i="7"/>
  <c r="AB623" i="7"/>
  <c r="AB624" i="7"/>
  <c r="AB625" i="7"/>
  <c r="AB626" i="7"/>
  <c r="AB627" i="7"/>
  <c r="AB628" i="7"/>
  <c r="AB629" i="7"/>
  <c r="AB630" i="7"/>
  <c r="AB631" i="7"/>
  <c r="AB632" i="7"/>
  <c r="AB633" i="7"/>
  <c r="AB634" i="7"/>
  <c r="AB635" i="7"/>
  <c r="AB636" i="7"/>
  <c r="AB637" i="7"/>
  <c r="AB638" i="7"/>
  <c r="AB639" i="7"/>
  <c r="AB640" i="7"/>
  <c r="AB641" i="7"/>
  <c r="AB642" i="7"/>
  <c r="AB643" i="7"/>
  <c r="AB644" i="7"/>
  <c r="AB645" i="7"/>
  <c r="AB646" i="7"/>
  <c r="AB647" i="7"/>
  <c r="AB648" i="7"/>
  <c r="AB649" i="7"/>
  <c r="AB650" i="7"/>
  <c r="AB651" i="7"/>
  <c r="AB652" i="7"/>
  <c r="AB653" i="7"/>
  <c r="AB654" i="7"/>
  <c r="AB655" i="7"/>
  <c r="AB656" i="7"/>
  <c r="AB657" i="7"/>
  <c r="AB658" i="7"/>
  <c r="AB659" i="7"/>
  <c r="AB660" i="7"/>
  <c r="AB661" i="7"/>
  <c r="AB662" i="7"/>
  <c r="AB663" i="7"/>
  <c r="AB664" i="7"/>
  <c r="AB665" i="7"/>
  <c r="AB666" i="7"/>
  <c r="AB667" i="7"/>
  <c r="AB668" i="7"/>
  <c r="AB669" i="7"/>
  <c r="AB670" i="7"/>
  <c r="AB671" i="7"/>
  <c r="AB672" i="7"/>
  <c r="AB673" i="7"/>
  <c r="AB674" i="7"/>
  <c r="AB675" i="7"/>
  <c r="AB676" i="7"/>
  <c r="AB677" i="7"/>
  <c r="AB678" i="7"/>
  <c r="AB679" i="7"/>
  <c r="AB680" i="7"/>
  <c r="AB681" i="7"/>
  <c r="AB682" i="7"/>
  <c r="AB683" i="7"/>
  <c r="AB684" i="7"/>
  <c r="AB685" i="7"/>
  <c r="AB686" i="7"/>
  <c r="AB687" i="7"/>
  <c r="AB688" i="7"/>
  <c r="AB689" i="7"/>
  <c r="AB690" i="7"/>
  <c r="AB691" i="7"/>
  <c r="AB692" i="7"/>
  <c r="AB693" i="7"/>
  <c r="AB694" i="7"/>
  <c r="AB695" i="7"/>
  <c r="AB696" i="7"/>
  <c r="AB697" i="7"/>
  <c r="AB698" i="7"/>
  <c r="AB699" i="7"/>
  <c r="AB700" i="7"/>
  <c r="AB701" i="7"/>
  <c r="AB702" i="7"/>
  <c r="AB703" i="7"/>
  <c r="AB704" i="7"/>
  <c r="AB705" i="7"/>
  <c r="AB706" i="7"/>
  <c r="AB707" i="7"/>
  <c r="AB708" i="7"/>
  <c r="AB709" i="7"/>
  <c r="AB710" i="7"/>
  <c r="AB711" i="7"/>
  <c r="AB712" i="7"/>
  <c r="AB713" i="7"/>
  <c r="AB714" i="7"/>
  <c r="AB715" i="7"/>
  <c r="AB716" i="7"/>
  <c r="AB717" i="7"/>
  <c r="AB718" i="7"/>
  <c r="AB719" i="7"/>
  <c r="AB720" i="7"/>
  <c r="AB721" i="7"/>
  <c r="AB722" i="7"/>
  <c r="AB723" i="7"/>
  <c r="AB724" i="7"/>
  <c r="AB725" i="7"/>
  <c r="AB726" i="7"/>
  <c r="AB727" i="7"/>
  <c r="AB728" i="7"/>
  <c r="AB729" i="7"/>
  <c r="AB730" i="7"/>
  <c r="AB731" i="7"/>
  <c r="AB732" i="7"/>
  <c r="AB733" i="7"/>
  <c r="AB734" i="7"/>
  <c r="AB735" i="7"/>
  <c r="AB736" i="7"/>
  <c r="AB737" i="7"/>
  <c r="AB738" i="7"/>
  <c r="AB739" i="7"/>
  <c r="AB740" i="7"/>
  <c r="AB741" i="7"/>
  <c r="AB742" i="7"/>
  <c r="AB743" i="7"/>
  <c r="AB744" i="7"/>
  <c r="AB745" i="7"/>
  <c r="AB746" i="7"/>
  <c r="AB747" i="7"/>
  <c r="AB748" i="7"/>
  <c r="AB749" i="7"/>
  <c r="AB750" i="7"/>
  <c r="AB751" i="7"/>
  <c r="AB752" i="7"/>
  <c r="AB753" i="7"/>
  <c r="AB754" i="7"/>
  <c r="AB755" i="7"/>
  <c r="AB756" i="7"/>
  <c r="AB757" i="7"/>
  <c r="AB758" i="7"/>
  <c r="AB759" i="7"/>
  <c r="AB760" i="7"/>
  <c r="AB761" i="7"/>
  <c r="AB762" i="7"/>
  <c r="AB763" i="7"/>
  <c r="AB764" i="7"/>
  <c r="AB765" i="7"/>
  <c r="AB766" i="7"/>
  <c r="AB767" i="7"/>
  <c r="AB768" i="7"/>
  <c r="AB769" i="7"/>
  <c r="AB770" i="7"/>
  <c r="AB771" i="7"/>
  <c r="AB772" i="7"/>
  <c r="AB773" i="7"/>
  <c r="AB774" i="7"/>
  <c r="AB775" i="7"/>
  <c r="AB776" i="7"/>
  <c r="AB777" i="7"/>
  <c r="AB778" i="7"/>
  <c r="AB779" i="7"/>
  <c r="AB780" i="7"/>
  <c r="AB781" i="7"/>
  <c r="AB782" i="7"/>
  <c r="AB783" i="7"/>
  <c r="AB784" i="7"/>
  <c r="AB785" i="7"/>
  <c r="AB786" i="7"/>
  <c r="AB787" i="7"/>
  <c r="AB788" i="7"/>
  <c r="AB789" i="7"/>
  <c r="AB790" i="7"/>
  <c r="AB791" i="7"/>
  <c r="AB792" i="7"/>
  <c r="AB793" i="7"/>
  <c r="AB794" i="7"/>
  <c r="AB795" i="7"/>
  <c r="AB796" i="7"/>
  <c r="AB797" i="7"/>
  <c r="AB798" i="7"/>
  <c r="AB799" i="7"/>
  <c r="AB800" i="7"/>
  <c r="AB801" i="7"/>
  <c r="AB802" i="7"/>
  <c r="AB803" i="7"/>
  <c r="AB804" i="7"/>
  <c r="AB805" i="7"/>
  <c r="AB806" i="7"/>
  <c r="AB807" i="7"/>
  <c r="AB808" i="7"/>
  <c r="AB809" i="7"/>
  <c r="AB810" i="7"/>
  <c r="AB811" i="7"/>
  <c r="AB812" i="7"/>
  <c r="AB813" i="7"/>
  <c r="AB814" i="7"/>
  <c r="AB815" i="7"/>
  <c r="AB816" i="7"/>
  <c r="AB817" i="7"/>
  <c r="AB818" i="7"/>
  <c r="AB819" i="7"/>
  <c r="AB820" i="7"/>
  <c r="AB821" i="7"/>
  <c r="AB822" i="7"/>
  <c r="AB823" i="7"/>
  <c r="AB824" i="7"/>
  <c r="AB825" i="7"/>
  <c r="AB826" i="7"/>
  <c r="AB827" i="7"/>
  <c r="AB828" i="7"/>
  <c r="AB829" i="7"/>
  <c r="AB830" i="7"/>
  <c r="AB831" i="7"/>
  <c r="AB832" i="7"/>
  <c r="AB833" i="7"/>
  <c r="AB834" i="7"/>
  <c r="AB835" i="7"/>
  <c r="AB836" i="7"/>
  <c r="AB837" i="7"/>
  <c r="AB838" i="7"/>
  <c r="AB839" i="7"/>
  <c r="AB840" i="7"/>
  <c r="AB841" i="7"/>
  <c r="AB842" i="7"/>
  <c r="AB843" i="7"/>
  <c r="AB844" i="7"/>
  <c r="AB845" i="7"/>
  <c r="AB846" i="7"/>
  <c r="AB847" i="7"/>
  <c r="AB848" i="7"/>
  <c r="AB849" i="7"/>
  <c r="AB850" i="7"/>
  <c r="AB851" i="7"/>
  <c r="AB852" i="7"/>
  <c r="AB853" i="7"/>
  <c r="AB854" i="7"/>
  <c r="AB855" i="7"/>
  <c r="AB856" i="7"/>
  <c r="AB857" i="7"/>
  <c r="AB858" i="7"/>
  <c r="AB859" i="7"/>
  <c r="AB860" i="7"/>
  <c r="AB861" i="7"/>
  <c r="AB862" i="7"/>
  <c r="AB863" i="7"/>
  <c r="AB864" i="7"/>
  <c r="AB865" i="7"/>
  <c r="AB866" i="7"/>
  <c r="AB867" i="7"/>
  <c r="AB868" i="7"/>
  <c r="AB869" i="7"/>
  <c r="AB870" i="7"/>
  <c r="AB871" i="7"/>
  <c r="AB872" i="7"/>
  <c r="AB873" i="7"/>
  <c r="AB874" i="7"/>
  <c r="AB875" i="7"/>
  <c r="AB876" i="7"/>
  <c r="AB877" i="7"/>
  <c r="AB878" i="7"/>
  <c r="AB879" i="7"/>
  <c r="AB880" i="7"/>
  <c r="AB881" i="7"/>
  <c r="AB882" i="7"/>
  <c r="AB883" i="7"/>
  <c r="AB884" i="7"/>
  <c r="AB885" i="7"/>
  <c r="AB886" i="7"/>
  <c r="AB887" i="7"/>
  <c r="AB888" i="7"/>
  <c r="AB889" i="7"/>
  <c r="AB890" i="7"/>
  <c r="AB891" i="7"/>
  <c r="AB892" i="7"/>
  <c r="AB893" i="7"/>
  <c r="AB894" i="7"/>
  <c r="AB895" i="7"/>
  <c r="AB896" i="7"/>
  <c r="AB897" i="7"/>
  <c r="AB898" i="7"/>
  <c r="AB899" i="7"/>
  <c r="AB900" i="7"/>
  <c r="AB901" i="7"/>
  <c r="AB902" i="7"/>
  <c r="AB903" i="7"/>
  <c r="AB904" i="7"/>
  <c r="AB905" i="7"/>
  <c r="AB906" i="7"/>
  <c r="AB907" i="7"/>
  <c r="AB908" i="7"/>
  <c r="AB909" i="7"/>
  <c r="AB910" i="7"/>
  <c r="AB911" i="7"/>
  <c r="AB912" i="7"/>
  <c r="AB913" i="7"/>
  <c r="AB914" i="7"/>
  <c r="AB915" i="7"/>
  <c r="AB916" i="7"/>
  <c r="AB917" i="7"/>
  <c r="AB918" i="7"/>
  <c r="AB919" i="7"/>
  <c r="AB920" i="7"/>
  <c r="AB921" i="7"/>
  <c r="AB922" i="7"/>
  <c r="AB923" i="7"/>
  <c r="AB924" i="7"/>
  <c r="AB925" i="7"/>
  <c r="AB926" i="7"/>
  <c r="AB927" i="7"/>
  <c r="AB928" i="7"/>
  <c r="AB929" i="7"/>
  <c r="AB930" i="7"/>
  <c r="AB931" i="7"/>
  <c r="AB932" i="7"/>
  <c r="AB933" i="7"/>
  <c r="AB934" i="7"/>
  <c r="AB935" i="7"/>
  <c r="AB936" i="7"/>
  <c r="AB937" i="7"/>
  <c r="AB938" i="7"/>
  <c r="AB939" i="7"/>
  <c r="AB940" i="7"/>
  <c r="AB941" i="7"/>
  <c r="AB942" i="7"/>
  <c r="AB943" i="7"/>
  <c r="AB944" i="7"/>
  <c r="AB945" i="7"/>
  <c r="AB946" i="7"/>
  <c r="AB947" i="7"/>
  <c r="AB948" i="7"/>
  <c r="AB949" i="7"/>
  <c r="AB950" i="7"/>
  <c r="AB951" i="7"/>
  <c r="AB952" i="7"/>
  <c r="AB953" i="7"/>
  <c r="AB954" i="7"/>
  <c r="AB955" i="7"/>
  <c r="AB956" i="7"/>
  <c r="AB957" i="7"/>
  <c r="AB958" i="7"/>
  <c r="AB959" i="7"/>
  <c r="AB960" i="7"/>
  <c r="AB961" i="7"/>
  <c r="AB962" i="7"/>
  <c r="AB963" i="7"/>
  <c r="AB964" i="7"/>
  <c r="AB965" i="7"/>
  <c r="AB966" i="7"/>
  <c r="AB967" i="7"/>
  <c r="AB968" i="7"/>
  <c r="AB969" i="7"/>
  <c r="AB970" i="7"/>
  <c r="AB971" i="7"/>
  <c r="AB972" i="7"/>
  <c r="AB973" i="7"/>
  <c r="AB974" i="7"/>
  <c r="AB975" i="7"/>
  <c r="AB976" i="7"/>
  <c r="AB977" i="7"/>
  <c r="AB978" i="7"/>
  <c r="AB979" i="7"/>
  <c r="AB980" i="7"/>
  <c r="AB981" i="7"/>
  <c r="AB982" i="7"/>
  <c r="AB983" i="7"/>
  <c r="AB984" i="7"/>
  <c r="AB985" i="7"/>
  <c r="AB986" i="7"/>
  <c r="AB987" i="7"/>
  <c r="AB988" i="7"/>
  <c r="AB989" i="7"/>
  <c r="AB990" i="7"/>
  <c r="AB991" i="7"/>
  <c r="AB992" i="7"/>
  <c r="AB993" i="7"/>
  <c r="AB994" i="7"/>
  <c r="AB995" i="7"/>
  <c r="AB996" i="7"/>
  <c r="AB997" i="7"/>
  <c r="AB998" i="7"/>
  <c r="AB999" i="7"/>
  <c r="AB1000" i="7"/>
  <c r="AB1001" i="7"/>
  <c r="AB1002" i="7"/>
  <c r="AB1003" i="7"/>
  <c r="AB1004" i="7"/>
  <c r="AB1005" i="7"/>
  <c r="AB1006" i="7"/>
  <c r="AB1007" i="7"/>
  <c r="AB1008" i="7"/>
  <c r="AB1009" i="7"/>
  <c r="AB1010" i="7"/>
  <c r="AB1011" i="7"/>
  <c r="AB1012" i="7"/>
  <c r="AB1013" i="7"/>
  <c r="AB1014" i="7"/>
  <c r="AB1015" i="7"/>
  <c r="AB1016" i="7"/>
  <c r="AB1017" i="7"/>
  <c r="AB1018" i="7"/>
  <c r="AB1019" i="7"/>
  <c r="AB1020" i="7"/>
  <c r="AB1021" i="7"/>
  <c r="AB1022" i="7"/>
  <c r="AB1023" i="7"/>
  <c r="AB1024" i="7"/>
  <c r="AB1025" i="7"/>
  <c r="AB1026" i="7"/>
  <c r="AB1027" i="7"/>
  <c r="AB1028" i="7"/>
  <c r="AB1029" i="7"/>
  <c r="AB1030" i="7"/>
  <c r="AB1031" i="7"/>
  <c r="AB1032" i="7"/>
  <c r="AB1033" i="7"/>
  <c r="AB1034" i="7"/>
  <c r="AB1035" i="7"/>
  <c r="AB1036" i="7"/>
  <c r="AB1037" i="7"/>
  <c r="AB1038" i="7"/>
  <c r="AB1039" i="7"/>
  <c r="AB1040" i="7"/>
  <c r="AB1041" i="7"/>
  <c r="AB1042" i="7"/>
  <c r="AB1043" i="7"/>
  <c r="AB1044" i="7"/>
  <c r="AB1045" i="7"/>
  <c r="AB1046" i="7"/>
  <c r="AB1047" i="7"/>
  <c r="AB1048" i="7"/>
  <c r="AB1049" i="7"/>
  <c r="AB1050" i="7"/>
  <c r="AB1051" i="7"/>
  <c r="AB1052" i="7"/>
  <c r="AB1053" i="7"/>
  <c r="AB1054" i="7"/>
  <c r="AB1055" i="7"/>
  <c r="AB1056" i="7"/>
  <c r="AB1057" i="7"/>
  <c r="AB1058" i="7"/>
  <c r="AB1059" i="7"/>
  <c r="AB1060" i="7"/>
  <c r="AB1061" i="7"/>
  <c r="AB1062" i="7"/>
  <c r="AB1063" i="7"/>
  <c r="AB1064" i="7"/>
  <c r="AB1065" i="7"/>
  <c r="AB1066" i="7"/>
  <c r="AB1067" i="7"/>
  <c r="AB1068" i="7"/>
  <c r="AB1069" i="7"/>
  <c r="AB1070" i="7"/>
  <c r="AB1071" i="7"/>
  <c r="AB1072" i="7"/>
  <c r="AB1073" i="7"/>
  <c r="AB1074" i="7"/>
  <c r="AB1075" i="7"/>
  <c r="AB1076" i="7"/>
  <c r="AB1077" i="7"/>
  <c r="AB1078" i="7"/>
  <c r="AB1079" i="7"/>
  <c r="AB1080" i="7"/>
  <c r="AB1081" i="7"/>
  <c r="AB1082" i="7"/>
  <c r="AB1083" i="7"/>
  <c r="AB1084" i="7"/>
  <c r="AB1085" i="7"/>
  <c r="AB1086" i="7"/>
  <c r="AB1087" i="7"/>
  <c r="AB1088" i="7"/>
  <c r="AB1089" i="7"/>
  <c r="AB1090" i="7"/>
  <c r="AB1091" i="7"/>
  <c r="AB1092" i="7"/>
  <c r="AB1093" i="7"/>
  <c r="AB1094" i="7"/>
  <c r="AB1095" i="7"/>
  <c r="AB1096" i="7"/>
  <c r="AB1097" i="7"/>
  <c r="AB1098" i="7"/>
  <c r="AB1099" i="7"/>
  <c r="AB1100" i="7"/>
  <c r="AB1101" i="7"/>
  <c r="AB1102" i="7"/>
  <c r="AB1103" i="7"/>
  <c r="AB1104" i="7"/>
  <c r="AB1105" i="7"/>
  <c r="AB1106" i="7"/>
  <c r="AB1107" i="7"/>
  <c r="AB1108" i="7"/>
  <c r="AB1109" i="7"/>
  <c r="AB1110" i="7"/>
  <c r="AB1111" i="7"/>
  <c r="AB1112" i="7"/>
  <c r="AB1113" i="7"/>
  <c r="AB1114" i="7"/>
  <c r="AB1115" i="7"/>
  <c r="AB1116" i="7"/>
  <c r="AB1117" i="7"/>
  <c r="AB1118" i="7"/>
  <c r="AB1119" i="7"/>
  <c r="AB1120" i="7"/>
  <c r="AB1121" i="7"/>
  <c r="AB1122" i="7"/>
  <c r="AB1123" i="7"/>
  <c r="AB1124" i="7"/>
  <c r="AB1125" i="7"/>
  <c r="AB1126" i="7"/>
  <c r="AB1127" i="7"/>
  <c r="AB1128" i="7"/>
  <c r="AB1129" i="7"/>
  <c r="AB1130" i="7"/>
  <c r="AB1131" i="7"/>
  <c r="AB1132" i="7"/>
  <c r="AB1133" i="7"/>
  <c r="AB1134" i="7"/>
  <c r="AB1135" i="7"/>
  <c r="AB1136" i="7"/>
  <c r="AB1137" i="7"/>
  <c r="AB1138" i="7"/>
  <c r="AB1139" i="7"/>
  <c r="AB1140" i="7"/>
  <c r="AB1141" i="7"/>
  <c r="AB1142" i="7"/>
  <c r="AB1143" i="7"/>
  <c r="AB1144" i="7"/>
  <c r="AB1145" i="7"/>
  <c r="AB1146" i="7"/>
  <c r="AB1147" i="7"/>
  <c r="AB1148" i="7"/>
  <c r="AB1149" i="7"/>
  <c r="AB1150" i="7"/>
  <c r="AB1151" i="7"/>
  <c r="AB1152" i="7"/>
  <c r="AB1153" i="7"/>
  <c r="AB1154" i="7"/>
  <c r="AB1155" i="7"/>
  <c r="AB1156" i="7"/>
  <c r="AB1157" i="7"/>
  <c r="AB1158" i="7"/>
  <c r="AB1159" i="7"/>
  <c r="AB1160" i="7"/>
  <c r="AB1161" i="7"/>
  <c r="AB1162" i="7"/>
  <c r="AB1163" i="7"/>
  <c r="AB1164" i="7"/>
  <c r="AB1165" i="7"/>
  <c r="AB1166" i="7"/>
  <c r="AB1167" i="7"/>
  <c r="AB1168" i="7"/>
  <c r="AB1169" i="7"/>
  <c r="AB1170" i="7"/>
  <c r="AB1171" i="7"/>
  <c r="AB1172" i="7"/>
  <c r="AB1173" i="7"/>
  <c r="AB1174" i="7"/>
  <c r="AB1175" i="7"/>
  <c r="AB1176" i="7"/>
  <c r="AB1177" i="7"/>
  <c r="AB1178" i="7"/>
  <c r="AB1179" i="7"/>
  <c r="AB1180" i="7"/>
  <c r="AB1181" i="7"/>
  <c r="AB1182" i="7"/>
  <c r="AB1183" i="7"/>
  <c r="AB1184" i="7"/>
  <c r="AB1185" i="7"/>
  <c r="AB1186" i="7"/>
  <c r="AB1187" i="7"/>
  <c r="AB1188" i="7"/>
  <c r="AB1189" i="7"/>
  <c r="AB1190" i="7"/>
  <c r="AB1191" i="7"/>
  <c r="AB1192" i="7"/>
  <c r="AB1193" i="7"/>
  <c r="AB1194" i="7"/>
  <c r="AB1195" i="7"/>
  <c r="AB1196" i="7"/>
  <c r="AB1197" i="7"/>
  <c r="AB1198" i="7"/>
  <c r="AB1199" i="7"/>
  <c r="AB1200" i="7"/>
  <c r="AB1201" i="7"/>
  <c r="AB1202" i="7"/>
  <c r="AB1203" i="7"/>
  <c r="AB1204" i="7"/>
  <c r="AB1205" i="7"/>
  <c r="AB1206" i="7"/>
  <c r="AB1207" i="7"/>
  <c r="AB1208" i="7"/>
  <c r="AB1209" i="7"/>
  <c r="AB1210" i="7"/>
  <c r="AB1211" i="7"/>
  <c r="AB1212" i="7"/>
  <c r="AB1213" i="7"/>
  <c r="AB1214" i="7"/>
  <c r="AB1215" i="7"/>
  <c r="AB1216" i="7"/>
  <c r="AB1217" i="7"/>
  <c r="AB1218" i="7"/>
  <c r="AB1219" i="7"/>
  <c r="AB1220" i="7"/>
  <c r="AB1221" i="7"/>
  <c r="AB1222" i="7"/>
  <c r="AB1223" i="7"/>
  <c r="AB1224" i="7"/>
  <c r="AB1225" i="7"/>
  <c r="AB1226" i="7"/>
  <c r="AB1227" i="7"/>
  <c r="AB1228" i="7"/>
  <c r="AB1229" i="7"/>
  <c r="AB1230" i="7"/>
  <c r="AB1231" i="7"/>
  <c r="AB1232" i="7"/>
  <c r="AB1233" i="7"/>
  <c r="AB1234" i="7"/>
  <c r="AB1235" i="7"/>
  <c r="AB1236" i="7"/>
  <c r="AB1237" i="7"/>
  <c r="AB1238" i="7"/>
  <c r="AB1239" i="7"/>
  <c r="AB1240" i="7"/>
  <c r="AB1241" i="7"/>
  <c r="AB1242" i="7"/>
  <c r="AB1243" i="7"/>
  <c r="AB1244" i="7"/>
  <c r="AB1245" i="7"/>
  <c r="AB1246" i="7"/>
  <c r="AB1247" i="7"/>
  <c r="AB1248" i="7"/>
  <c r="AB1249" i="7"/>
  <c r="AB1250" i="7"/>
  <c r="AB1251" i="7"/>
  <c r="AB1252" i="7"/>
  <c r="AB1253" i="7"/>
  <c r="AB1254" i="7"/>
  <c r="AB1255" i="7"/>
  <c r="AB1256" i="7"/>
  <c r="AB1257" i="7"/>
  <c r="AB1258" i="7"/>
  <c r="AB1259" i="7"/>
  <c r="AB1260" i="7"/>
  <c r="AB1261" i="7"/>
  <c r="AB1262" i="7"/>
  <c r="AB1263" i="7"/>
  <c r="AB1264" i="7"/>
  <c r="AB1265" i="7"/>
  <c r="AB1266" i="7"/>
  <c r="AB1267" i="7"/>
  <c r="AB1268" i="7"/>
  <c r="AB1269" i="7"/>
  <c r="AB1270" i="7"/>
  <c r="AB1271" i="7"/>
  <c r="AB1272" i="7"/>
  <c r="AB1273" i="7"/>
  <c r="AB1274" i="7"/>
  <c r="AB1275" i="7"/>
  <c r="AB1276" i="7"/>
  <c r="AB1277" i="7"/>
  <c r="AB1278" i="7"/>
  <c r="AB1279" i="7"/>
  <c r="AB1280" i="7"/>
  <c r="AB1281" i="7"/>
  <c r="AB1282" i="7"/>
  <c r="AB1283" i="7"/>
  <c r="AB1284" i="7"/>
  <c r="AB1285" i="7"/>
  <c r="AB1286" i="7"/>
  <c r="AB1287" i="7"/>
  <c r="AB1288" i="7"/>
  <c r="AB1289" i="7"/>
  <c r="AB1290" i="7"/>
  <c r="AB1291" i="7"/>
  <c r="AB1292" i="7"/>
  <c r="AB1293" i="7"/>
  <c r="AB1294" i="7"/>
  <c r="AB1295" i="7"/>
  <c r="AB1296" i="7"/>
  <c r="AB1297" i="7"/>
  <c r="AB1298" i="7"/>
  <c r="AB1299" i="7"/>
  <c r="AB1300" i="7"/>
  <c r="AB1301" i="7"/>
  <c r="AB1302" i="7"/>
  <c r="AB1303" i="7"/>
  <c r="AB1304" i="7"/>
  <c r="AB1305" i="7"/>
  <c r="AB1306" i="7"/>
  <c r="AB1307" i="7"/>
  <c r="AB1308" i="7"/>
  <c r="AB1309" i="7"/>
  <c r="AB1310" i="7"/>
  <c r="AB1311" i="7"/>
  <c r="AB1312" i="7"/>
  <c r="AB1313" i="7"/>
  <c r="AB1314" i="7"/>
  <c r="AB1315" i="7"/>
  <c r="AB1316" i="7"/>
  <c r="AB1317" i="7"/>
  <c r="AB1318" i="7"/>
  <c r="AB1319" i="7"/>
  <c r="AB1320" i="7"/>
  <c r="AB1321" i="7"/>
  <c r="AB1322" i="7"/>
  <c r="AB1323" i="7"/>
  <c r="AB1324" i="7"/>
  <c r="AB1325" i="7"/>
  <c r="AB1326" i="7"/>
  <c r="AB1327" i="7"/>
  <c r="AB1328" i="7"/>
  <c r="AB1329" i="7"/>
  <c r="AB1330" i="7"/>
  <c r="AB1331" i="7"/>
  <c r="AB1332" i="7"/>
  <c r="AB1333" i="7"/>
  <c r="AB1334" i="7"/>
  <c r="AB1335" i="7"/>
  <c r="AB1336" i="7"/>
  <c r="AB1337" i="7"/>
  <c r="AB1338" i="7"/>
  <c r="AB1339" i="7"/>
  <c r="AB1340" i="7"/>
  <c r="AB1341" i="7"/>
  <c r="AB1342" i="7"/>
  <c r="AB1343" i="7"/>
  <c r="AB1344" i="7"/>
  <c r="AB1345" i="7"/>
  <c r="AB1346" i="7"/>
  <c r="AB1347" i="7"/>
  <c r="AB1348" i="7"/>
  <c r="AB1349" i="7"/>
  <c r="AB1350" i="7"/>
  <c r="AB1351" i="7"/>
  <c r="AB1352" i="7"/>
  <c r="AB1353" i="7"/>
  <c r="AB1354" i="7"/>
  <c r="AB1355" i="7"/>
  <c r="AB1356" i="7"/>
  <c r="AB1357" i="7"/>
  <c r="AB1358" i="7"/>
  <c r="AB1359" i="7"/>
  <c r="AB1360" i="7"/>
  <c r="AB1361" i="7"/>
  <c r="AB1362" i="7"/>
  <c r="AB1363" i="7"/>
  <c r="AB1364" i="7"/>
  <c r="AB1365" i="7"/>
  <c r="AB1366" i="7"/>
  <c r="AB1367" i="7"/>
  <c r="AB1368" i="7"/>
  <c r="AB1369" i="7"/>
  <c r="AB1370" i="7"/>
  <c r="AB1371" i="7"/>
  <c r="AB1372" i="7"/>
  <c r="AB1373" i="7"/>
  <c r="AB1374" i="7"/>
  <c r="AB1375" i="7"/>
  <c r="AB1376" i="7"/>
  <c r="AB1377" i="7"/>
  <c r="AB1378" i="7"/>
  <c r="AB1379" i="7"/>
  <c r="AB1380" i="7"/>
  <c r="AB1381" i="7"/>
  <c r="AB1382" i="7"/>
  <c r="AB1383" i="7"/>
  <c r="AB1384" i="7"/>
  <c r="AB1385" i="7"/>
  <c r="AB1386" i="7"/>
  <c r="AB1387" i="7"/>
  <c r="AB1388" i="7"/>
  <c r="AB1389" i="7"/>
  <c r="AB1390" i="7"/>
  <c r="AB1391" i="7"/>
  <c r="AB1392" i="7"/>
  <c r="AB1393" i="7"/>
  <c r="AB1394" i="7"/>
  <c r="AB1395" i="7"/>
  <c r="AB1396" i="7"/>
  <c r="AB1397" i="7"/>
  <c r="AB1398" i="7"/>
  <c r="AB1399" i="7"/>
  <c r="AB1400" i="7"/>
  <c r="AB1401" i="7"/>
  <c r="AB1402" i="7"/>
  <c r="AB1403" i="7"/>
  <c r="AB1404" i="7"/>
  <c r="AB1405" i="7"/>
  <c r="AB1406" i="7"/>
  <c r="AB1407" i="7"/>
  <c r="AB1408" i="7"/>
  <c r="AB1409" i="7"/>
  <c r="AB1410" i="7"/>
  <c r="AB1411" i="7"/>
  <c r="AB1412" i="7"/>
  <c r="AB1413" i="7"/>
  <c r="AB1414" i="7"/>
  <c r="AB1415" i="7"/>
  <c r="AB1416" i="7"/>
  <c r="AB1417" i="7"/>
  <c r="AB1418" i="7"/>
  <c r="AB1419" i="7"/>
  <c r="AB1420" i="7"/>
  <c r="AB1421" i="7"/>
  <c r="AB1422" i="7"/>
  <c r="AB1423" i="7"/>
  <c r="AB1424" i="7"/>
  <c r="AB1425" i="7"/>
  <c r="AB1426" i="7"/>
  <c r="AB1427" i="7"/>
  <c r="AB1428" i="7"/>
  <c r="AB1429" i="7"/>
  <c r="AB1430" i="7"/>
  <c r="AB1431" i="7"/>
  <c r="AB1432" i="7"/>
  <c r="AB1433" i="7"/>
  <c r="AB1434" i="7"/>
  <c r="AB1435" i="7"/>
  <c r="AB1436" i="7"/>
  <c r="AB1437" i="7"/>
  <c r="AB1438" i="7"/>
  <c r="AB1439" i="7"/>
  <c r="AB1440" i="7"/>
  <c r="AB1441" i="7"/>
  <c r="AB1442" i="7"/>
  <c r="AB1443" i="7"/>
  <c r="AB1444" i="7"/>
  <c r="AB1445" i="7"/>
  <c r="AB1446" i="7"/>
  <c r="AB1447" i="7"/>
  <c r="AB1448" i="7"/>
  <c r="AB1449" i="7"/>
  <c r="AB1450" i="7"/>
  <c r="AB1451" i="7"/>
  <c r="AB1452" i="7"/>
  <c r="AB1453" i="7"/>
  <c r="AB1454" i="7"/>
  <c r="AB1455" i="7"/>
  <c r="AB1456" i="7"/>
  <c r="AB1457" i="7"/>
  <c r="AB1458" i="7"/>
  <c r="AB1459" i="7"/>
  <c r="AB1460" i="7"/>
  <c r="AB1461" i="7"/>
  <c r="AB1462" i="7"/>
  <c r="AB1463" i="7"/>
  <c r="AB1464" i="7"/>
  <c r="AB1465" i="7"/>
  <c r="AB1466" i="7"/>
  <c r="AB1467" i="7"/>
  <c r="AB1468" i="7"/>
  <c r="AB1469" i="7"/>
  <c r="AB1470" i="7"/>
  <c r="AB1471" i="7"/>
  <c r="AB1472" i="7"/>
  <c r="AB1473" i="7"/>
  <c r="AB1474" i="7"/>
  <c r="AB1475" i="7"/>
  <c r="AB1476" i="7"/>
  <c r="AB1477" i="7"/>
  <c r="AB1478" i="7"/>
  <c r="AB1479" i="7"/>
  <c r="AB1480" i="7"/>
  <c r="AB1481" i="7"/>
  <c r="AB1482" i="7"/>
  <c r="AB1483" i="7"/>
  <c r="AB1484" i="7"/>
  <c r="AB1485" i="7"/>
  <c r="AB1486" i="7"/>
  <c r="AB1487" i="7"/>
  <c r="AB1488" i="7"/>
  <c r="AB1489" i="7"/>
  <c r="AB1490" i="7"/>
  <c r="AB1491" i="7"/>
  <c r="AB1492" i="7"/>
  <c r="AB1493" i="7"/>
  <c r="AB1494" i="7"/>
  <c r="AB1495" i="7"/>
  <c r="AB1496" i="7"/>
  <c r="AB1497" i="7"/>
  <c r="AB1498" i="7"/>
  <c r="AB1499" i="7"/>
  <c r="AB1500" i="7"/>
  <c r="AB1501" i="7"/>
  <c r="AB1502" i="7"/>
  <c r="AB1503" i="7"/>
  <c r="AB1504" i="7"/>
  <c r="AB1505" i="7"/>
  <c r="AB1506" i="7"/>
  <c r="AB1507" i="7"/>
  <c r="AB1508" i="7"/>
  <c r="AB1509" i="7"/>
  <c r="AB1510" i="7"/>
  <c r="AB1511" i="7"/>
  <c r="AB1512" i="7"/>
  <c r="AB1513" i="7"/>
  <c r="AB1514" i="7"/>
  <c r="AB1515" i="7"/>
  <c r="AB1516" i="7"/>
  <c r="AB1517" i="7"/>
  <c r="AB1518" i="7"/>
  <c r="AB1519" i="7"/>
  <c r="AB1520" i="7"/>
  <c r="AB1521" i="7"/>
  <c r="AB1522" i="7"/>
  <c r="AB1523" i="7"/>
  <c r="AB1524" i="7"/>
  <c r="AB1525" i="7"/>
  <c r="AB1526" i="7"/>
  <c r="AB1527" i="7"/>
  <c r="AB1528" i="7"/>
  <c r="AB1529" i="7"/>
  <c r="AB1530" i="7"/>
  <c r="AB1531" i="7"/>
  <c r="AB1532" i="7"/>
  <c r="AB1533" i="7"/>
  <c r="AB1534" i="7"/>
  <c r="AB1535" i="7"/>
  <c r="AB1536" i="7"/>
  <c r="AB1537" i="7"/>
  <c r="AB1538" i="7"/>
  <c r="AB1539" i="7"/>
  <c r="AB1540" i="7"/>
  <c r="AB1541" i="7"/>
  <c r="AB1542" i="7"/>
  <c r="AB1543" i="7"/>
  <c r="AB1544" i="7"/>
  <c r="AB1545" i="7"/>
  <c r="AB1546" i="7"/>
  <c r="AB1547" i="7"/>
  <c r="AB1548" i="7"/>
  <c r="AB1549" i="7"/>
  <c r="AB1550" i="7"/>
  <c r="AB1551" i="7"/>
  <c r="AB1552" i="7"/>
  <c r="AB1553" i="7"/>
  <c r="AB1554" i="7"/>
  <c r="AB1555" i="7"/>
  <c r="AB1556" i="7"/>
  <c r="AB1557" i="7"/>
  <c r="AB1558" i="7"/>
  <c r="AB1559" i="7"/>
  <c r="AB1560" i="7"/>
  <c r="AB1561" i="7"/>
  <c r="AB1562" i="7"/>
  <c r="AB1563" i="7"/>
  <c r="AB1564" i="7"/>
  <c r="AB1565" i="7"/>
  <c r="AB1566" i="7"/>
  <c r="AB1567" i="7"/>
  <c r="AB1568" i="7"/>
  <c r="AB1569" i="7"/>
  <c r="AB1570" i="7"/>
  <c r="AB1571" i="7"/>
  <c r="AB1572" i="7"/>
  <c r="AB1573" i="7"/>
  <c r="AB1574" i="7"/>
  <c r="AB1575" i="7"/>
  <c r="AB1576" i="7"/>
  <c r="AB1577" i="7"/>
  <c r="AB1578" i="7"/>
  <c r="AB1579" i="7"/>
  <c r="AB1580" i="7"/>
  <c r="AB1581" i="7"/>
  <c r="AB1582" i="7"/>
  <c r="AB1583" i="7"/>
  <c r="AB1584" i="7"/>
  <c r="AB1585" i="7"/>
  <c r="AB1586" i="7"/>
  <c r="AB1587" i="7"/>
  <c r="AB1588" i="7"/>
  <c r="AB1589" i="7"/>
  <c r="AB1590" i="7"/>
  <c r="AB1591" i="7"/>
  <c r="AB1592" i="7"/>
  <c r="AB1593" i="7"/>
  <c r="AB1594" i="7"/>
  <c r="AB1595" i="7"/>
  <c r="AB1596" i="7"/>
  <c r="AB1597" i="7"/>
  <c r="AB1598" i="7"/>
  <c r="AB1599" i="7"/>
  <c r="AB1600" i="7"/>
  <c r="AB1601" i="7"/>
  <c r="AB1602" i="7"/>
  <c r="AB1603" i="7"/>
  <c r="AB1604" i="7"/>
  <c r="AB1605" i="7"/>
  <c r="AB1606" i="7"/>
  <c r="AB1607" i="7"/>
  <c r="AB1608" i="7"/>
  <c r="AB1609" i="7"/>
  <c r="AB1610" i="7"/>
  <c r="AB1611" i="7"/>
  <c r="AB1612" i="7"/>
  <c r="AB1613" i="7"/>
  <c r="AB1614" i="7"/>
  <c r="AB1615" i="7"/>
  <c r="AB1616" i="7"/>
  <c r="AB1617" i="7"/>
  <c r="AB1618" i="7"/>
  <c r="AB1619" i="7"/>
  <c r="AB1620" i="7"/>
  <c r="AB1621" i="7"/>
  <c r="AB1622" i="7"/>
  <c r="AB1623" i="7"/>
  <c r="AB1624" i="7"/>
  <c r="AB1625" i="7"/>
  <c r="AB1626" i="7"/>
  <c r="AB1627" i="7"/>
  <c r="AB1628" i="7"/>
  <c r="AB1629" i="7"/>
  <c r="AB1630" i="7"/>
  <c r="AB1631" i="7"/>
  <c r="AB1632" i="7"/>
  <c r="AB1633" i="7"/>
  <c r="AB1634" i="7"/>
  <c r="AB1635" i="7"/>
  <c r="AB1636" i="7"/>
  <c r="AB1637" i="7"/>
  <c r="AB1638" i="7"/>
  <c r="AB1639" i="7"/>
  <c r="AB1640" i="7"/>
  <c r="AB1641" i="7"/>
  <c r="AB1642" i="7"/>
  <c r="AB1643" i="7"/>
  <c r="AB1644" i="7"/>
  <c r="AB1645" i="7"/>
  <c r="AB1646" i="7"/>
  <c r="AB1647" i="7"/>
  <c r="AB1648" i="7"/>
  <c r="AB1649" i="7"/>
  <c r="AB1650" i="7"/>
  <c r="AB1651" i="7"/>
  <c r="AB1652" i="7"/>
  <c r="AB1653" i="7"/>
  <c r="AB1654" i="7"/>
  <c r="AB1655" i="7"/>
  <c r="AB1656" i="7"/>
  <c r="AB1657" i="7"/>
  <c r="AB1658" i="7"/>
  <c r="AB1659" i="7"/>
  <c r="AB1660" i="7"/>
  <c r="AB1661" i="7"/>
  <c r="AB1662" i="7"/>
  <c r="AB1663" i="7"/>
  <c r="AB1664" i="7"/>
  <c r="AB1665" i="7"/>
  <c r="AB1666" i="7"/>
  <c r="AB1667" i="7"/>
  <c r="AB1668" i="7"/>
  <c r="AB1669" i="7"/>
  <c r="AB1670" i="7"/>
  <c r="AB1671" i="7"/>
  <c r="AB1672" i="7"/>
  <c r="AB1673" i="7"/>
  <c r="AB1674" i="7"/>
  <c r="AB1675" i="7"/>
  <c r="AB1676" i="7"/>
  <c r="AB1677" i="7"/>
  <c r="AB1678" i="7"/>
  <c r="AB1679" i="7"/>
  <c r="AB1680" i="7"/>
  <c r="AB1681" i="7"/>
  <c r="AB1682" i="7"/>
  <c r="AB1683" i="7"/>
  <c r="AB1684" i="7"/>
  <c r="AB1685" i="7"/>
  <c r="AB1686" i="7"/>
  <c r="AB1687" i="7"/>
  <c r="AB1688" i="7"/>
  <c r="AB1689" i="7"/>
  <c r="AB1690" i="7"/>
  <c r="AB1691" i="7"/>
  <c r="AB1692" i="7"/>
  <c r="AB1693" i="7"/>
  <c r="AB1694" i="7"/>
  <c r="AB1695" i="7"/>
  <c r="AB1696" i="7"/>
  <c r="AB1697" i="7"/>
  <c r="AB1698" i="7"/>
  <c r="AB1699" i="7"/>
  <c r="AB1700" i="7"/>
  <c r="AB1701" i="7"/>
  <c r="AB1702" i="7"/>
  <c r="AB1703" i="7"/>
  <c r="AB1704" i="7"/>
  <c r="AB1705" i="7"/>
  <c r="AB1706" i="7"/>
  <c r="AB1707" i="7"/>
  <c r="AB1708" i="7"/>
  <c r="AB1709" i="7"/>
  <c r="AB1710" i="7"/>
  <c r="AB1711" i="7"/>
  <c r="AB1712" i="7"/>
  <c r="AB1713" i="7"/>
  <c r="AB1714" i="7"/>
  <c r="AB1715" i="7"/>
  <c r="AB1716" i="7"/>
  <c r="AB1717" i="7"/>
  <c r="AB1718" i="7"/>
  <c r="AB1719" i="7"/>
  <c r="AB1720" i="7"/>
  <c r="AB1721" i="7"/>
  <c r="AB1722" i="7"/>
  <c r="AB1723" i="7"/>
  <c r="AB1724" i="7"/>
  <c r="AB1725" i="7"/>
  <c r="AB1726" i="7"/>
  <c r="AB1727" i="7"/>
  <c r="AB1728" i="7"/>
  <c r="AB1729" i="7"/>
  <c r="AB1730" i="7"/>
  <c r="AB1731" i="7"/>
  <c r="AB1732" i="7"/>
  <c r="AB1733" i="7"/>
  <c r="AB1734" i="7"/>
  <c r="AB1735" i="7"/>
  <c r="AB1736" i="7"/>
  <c r="AB1737" i="7"/>
  <c r="AB1738" i="7"/>
  <c r="AB1739" i="7"/>
  <c r="AB1740" i="7"/>
  <c r="AB1741" i="7"/>
  <c r="AB1742" i="7"/>
  <c r="AB1743" i="7"/>
  <c r="AB1744" i="7"/>
  <c r="AB1745" i="7"/>
  <c r="AB1746" i="7"/>
  <c r="AB1747" i="7"/>
  <c r="AB1748" i="7"/>
  <c r="AB1749" i="7"/>
  <c r="AB1750" i="7"/>
  <c r="AB1751" i="7"/>
  <c r="AB1752" i="7"/>
  <c r="AB1753" i="7"/>
  <c r="AB1754" i="7"/>
  <c r="AB1755" i="7"/>
  <c r="AB1756" i="7"/>
  <c r="AB1757" i="7"/>
  <c r="AB1758" i="7"/>
  <c r="AB1759" i="7"/>
  <c r="AB1760" i="7"/>
  <c r="AB1761" i="7"/>
  <c r="AB1762" i="7"/>
  <c r="AB1763" i="7"/>
  <c r="AB1764" i="7"/>
  <c r="AB1765" i="7"/>
  <c r="AB1766" i="7"/>
  <c r="AB1767" i="7"/>
  <c r="AB1768" i="7"/>
  <c r="AB1769" i="7"/>
  <c r="AB1770" i="7"/>
  <c r="AB1771" i="7"/>
  <c r="AB1772" i="7"/>
  <c r="AB1773" i="7"/>
  <c r="AB1774" i="7"/>
  <c r="AB1775" i="7"/>
  <c r="AB1776" i="7"/>
  <c r="AB1777" i="7"/>
  <c r="AB1778" i="7"/>
  <c r="AB1779" i="7"/>
  <c r="AB1780" i="7"/>
  <c r="AB1781" i="7"/>
  <c r="AB1782" i="7"/>
  <c r="AB1783" i="7"/>
  <c r="AB1784" i="7"/>
  <c r="AB1785" i="7"/>
  <c r="AB1786" i="7"/>
  <c r="AB1787" i="7"/>
  <c r="AB1788" i="7"/>
  <c r="AB1789" i="7"/>
  <c r="AB1790" i="7"/>
  <c r="AB1791" i="7"/>
  <c r="AB1792" i="7"/>
  <c r="AB1793" i="7"/>
  <c r="AB1794" i="7"/>
  <c r="AB1795" i="7"/>
  <c r="AB1796" i="7"/>
  <c r="AB1797" i="7"/>
  <c r="AB1798" i="7"/>
  <c r="AB1799" i="7"/>
  <c r="AB1800" i="7"/>
  <c r="AB1801" i="7"/>
  <c r="AB1802" i="7"/>
  <c r="AB1803" i="7"/>
  <c r="AB1804" i="7"/>
  <c r="AB1805" i="7"/>
  <c r="AB1806" i="7"/>
  <c r="AB1807" i="7"/>
  <c r="AB1808" i="7"/>
  <c r="AB1809" i="7"/>
  <c r="AB1810" i="7"/>
  <c r="AB1811" i="7"/>
  <c r="AB1812" i="7"/>
  <c r="AB1813" i="7"/>
  <c r="AB1814" i="7"/>
  <c r="AB1815" i="7"/>
  <c r="AB1816" i="7"/>
  <c r="AB1817" i="7"/>
  <c r="AB1818" i="7"/>
  <c r="AB1819" i="7"/>
  <c r="AB1820" i="7"/>
  <c r="AB1821" i="7"/>
  <c r="AB1822" i="7"/>
  <c r="AB1823" i="7"/>
  <c r="AB1824" i="7"/>
  <c r="AB1825" i="7"/>
  <c r="AB1826" i="7"/>
  <c r="AB1827" i="7"/>
  <c r="AB1828" i="7"/>
  <c r="AB1829" i="7"/>
  <c r="AB1830" i="7"/>
  <c r="AB1831" i="7"/>
  <c r="AB1832" i="7"/>
  <c r="AB1833" i="7"/>
  <c r="AB1834" i="7"/>
  <c r="AB1835" i="7"/>
  <c r="AB1836" i="7"/>
  <c r="AB1837" i="7"/>
  <c r="AB1838" i="7"/>
  <c r="AB1839" i="7"/>
  <c r="AB1840" i="7"/>
  <c r="AB1841" i="7"/>
  <c r="AB1842" i="7"/>
  <c r="AB1843" i="7"/>
  <c r="AB1844" i="7"/>
  <c r="AB1845" i="7"/>
  <c r="AB1846" i="7"/>
  <c r="AB1847" i="7"/>
  <c r="AB1848" i="7"/>
  <c r="AB1849" i="7"/>
  <c r="AB1850" i="7"/>
  <c r="AB1851" i="7"/>
  <c r="AB1852" i="7"/>
  <c r="AB1853" i="7"/>
  <c r="AB1854" i="7"/>
  <c r="AB1855" i="7"/>
  <c r="AB1856" i="7"/>
  <c r="AB1857" i="7"/>
  <c r="AB1858" i="7"/>
  <c r="AB1859" i="7"/>
  <c r="AB1860" i="7"/>
  <c r="AB1861" i="7"/>
  <c r="AB1862" i="7"/>
  <c r="AB1863" i="7"/>
  <c r="AB1864" i="7"/>
  <c r="AB1865" i="7"/>
  <c r="AB1866" i="7"/>
  <c r="AB1867" i="7"/>
  <c r="AB1868" i="7"/>
  <c r="AB1869" i="7"/>
  <c r="AB1870" i="7"/>
  <c r="AB1871" i="7"/>
  <c r="AB1872" i="7"/>
  <c r="AB1873" i="7"/>
  <c r="AB1874" i="7"/>
  <c r="AB1875" i="7"/>
  <c r="AB1876" i="7"/>
  <c r="AB1877" i="7"/>
  <c r="AB1878" i="7"/>
  <c r="AB1879" i="7"/>
  <c r="AB1880" i="7"/>
  <c r="AB1881" i="7"/>
  <c r="AB1882" i="7"/>
  <c r="AB1883" i="7"/>
  <c r="AB1884" i="7"/>
  <c r="AB1885" i="7"/>
  <c r="AB1886" i="7"/>
  <c r="AB1887" i="7"/>
  <c r="AB1888" i="7"/>
  <c r="AB1889" i="7"/>
  <c r="AB1890" i="7"/>
  <c r="AB1891" i="7"/>
  <c r="AB1892" i="7"/>
  <c r="AB1893" i="7"/>
  <c r="AB1894" i="7"/>
  <c r="AB1895" i="7"/>
  <c r="AB1896" i="7"/>
  <c r="AB1897" i="7"/>
  <c r="AB1898" i="7"/>
  <c r="AB1899" i="7"/>
  <c r="AB1900" i="7"/>
  <c r="AB1901" i="7"/>
  <c r="AB1902" i="7"/>
  <c r="AB1903" i="7"/>
  <c r="AB1904" i="7"/>
  <c r="AB1905" i="7"/>
  <c r="AB1906" i="7"/>
  <c r="AB1907" i="7"/>
  <c r="AB1908" i="7"/>
  <c r="AB1909" i="7"/>
  <c r="AB1910" i="7"/>
  <c r="AB1911" i="7"/>
  <c r="AB1912" i="7"/>
  <c r="AB1913" i="7"/>
  <c r="AB1914" i="7"/>
  <c r="AB1915" i="7"/>
  <c r="AB1916" i="7"/>
  <c r="AB1917" i="7"/>
  <c r="AB1918" i="7"/>
  <c r="AB1919" i="7"/>
  <c r="AB1920" i="7"/>
  <c r="AB1921" i="7"/>
  <c r="AB1922" i="7"/>
  <c r="AB1923" i="7"/>
  <c r="AB1924" i="7"/>
  <c r="AB1925" i="7"/>
  <c r="AB1926" i="7"/>
  <c r="AB1927" i="7"/>
  <c r="AB1928" i="7"/>
  <c r="AB1929" i="7"/>
  <c r="AB1930" i="7"/>
  <c r="AB1931" i="7"/>
  <c r="AB1932" i="7"/>
  <c r="AB1933" i="7"/>
  <c r="AB1934" i="7"/>
  <c r="AB1935" i="7"/>
  <c r="AB1936" i="7"/>
  <c r="AB1937" i="7"/>
  <c r="AB1938" i="7"/>
  <c r="AB1939" i="7"/>
  <c r="AB1940" i="7"/>
  <c r="AB1941" i="7"/>
  <c r="AB1942" i="7"/>
  <c r="AB1943" i="7"/>
  <c r="AB1944" i="7"/>
  <c r="AB1945" i="7"/>
  <c r="AB1946" i="7"/>
  <c r="AB1947" i="7"/>
  <c r="AB1948" i="7"/>
  <c r="AB1949" i="7"/>
  <c r="AB1950" i="7"/>
  <c r="AB1951" i="7"/>
  <c r="AB1952" i="7"/>
  <c r="AB1953" i="7"/>
  <c r="AB1954" i="7"/>
  <c r="AB1955" i="7"/>
  <c r="AB1956" i="7"/>
  <c r="AB1957" i="7"/>
  <c r="AB1958" i="7"/>
  <c r="AB1959" i="7"/>
  <c r="AB1960" i="7"/>
  <c r="AB1961" i="7"/>
  <c r="AB1962" i="7"/>
  <c r="AB1963" i="7"/>
  <c r="AB1964" i="7"/>
  <c r="AB1965" i="7"/>
  <c r="AB1966" i="7"/>
  <c r="AB1967" i="7"/>
  <c r="AB1968" i="7"/>
  <c r="AB1969" i="7"/>
  <c r="AB1970" i="7"/>
  <c r="AB1971" i="7"/>
  <c r="AB1972" i="7"/>
  <c r="AB1973" i="7"/>
  <c r="AB1974" i="7"/>
  <c r="AB1975" i="7"/>
  <c r="AB1976" i="7"/>
  <c r="AB1977" i="7"/>
  <c r="AB1978" i="7"/>
  <c r="AB1979" i="7"/>
  <c r="AB1980" i="7"/>
  <c r="AB1981" i="7"/>
  <c r="AB1982" i="7"/>
  <c r="AB1983" i="7"/>
  <c r="AB1984" i="7"/>
  <c r="AB1985" i="7"/>
  <c r="AB1986" i="7"/>
  <c r="AB1987" i="7"/>
  <c r="AB1988" i="7"/>
  <c r="AB1989" i="7"/>
  <c r="AB1990" i="7"/>
  <c r="AB1991" i="7"/>
  <c r="AB1992" i="7"/>
  <c r="AB1993" i="7"/>
  <c r="AB1994" i="7"/>
  <c r="AB1995" i="7"/>
  <c r="AB1996" i="7"/>
  <c r="AB1997" i="7"/>
  <c r="AB1998" i="7"/>
  <c r="AB1999" i="7"/>
  <c r="AB2000" i="7"/>
  <c r="AB2001" i="7"/>
  <c r="AB2002" i="7"/>
  <c r="AB2003" i="7"/>
  <c r="AB2004" i="7"/>
  <c r="AB2005" i="7"/>
  <c r="AB2006" i="7"/>
  <c r="AB2007" i="7"/>
  <c r="AB2008" i="7"/>
  <c r="AB2009" i="7"/>
  <c r="AB2010" i="7"/>
  <c r="AB2011" i="7"/>
  <c r="AB2012" i="7"/>
  <c r="AB2013" i="7"/>
  <c r="AB2014" i="7"/>
  <c r="AB2015" i="7"/>
  <c r="AB2016" i="7"/>
  <c r="AB2017" i="7"/>
  <c r="AB2018" i="7"/>
  <c r="AB2019" i="7"/>
  <c r="AB2020" i="7"/>
  <c r="AB2021" i="7"/>
  <c r="AB2022" i="7"/>
  <c r="AB2023" i="7"/>
  <c r="AB2024" i="7"/>
  <c r="AB2025" i="7"/>
  <c r="AB2026" i="7"/>
  <c r="AB2027" i="7"/>
  <c r="AB2028" i="7"/>
  <c r="AB2029" i="7"/>
  <c r="AB2030" i="7"/>
  <c r="AB2031" i="7"/>
  <c r="AB2032" i="7"/>
  <c r="AB2033" i="7"/>
  <c r="AB2034" i="7"/>
  <c r="AB2035" i="7"/>
  <c r="AB2036" i="7"/>
  <c r="AB2037" i="7"/>
  <c r="AB2038" i="7"/>
  <c r="AB2039" i="7"/>
  <c r="AB2040" i="7"/>
  <c r="AB2041" i="7"/>
  <c r="AB2042" i="7"/>
  <c r="AB2043" i="7"/>
  <c r="AB2044" i="7"/>
  <c r="AB2045" i="7"/>
  <c r="AB2046" i="7"/>
  <c r="AB2047" i="7"/>
  <c r="AB2048" i="7"/>
  <c r="AB2049" i="7"/>
  <c r="AB2050" i="7"/>
  <c r="AB2051" i="7"/>
  <c r="AB2052" i="7"/>
  <c r="AB2053" i="7"/>
  <c r="AB2054" i="7"/>
  <c r="AB2055" i="7"/>
  <c r="AB2056" i="7"/>
  <c r="AB2057" i="7"/>
  <c r="AB2058" i="7"/>
  <c r="AB2059" i="7"/>
  <c r="AB2060" i="7"/>
  <c r="AB2061" i="7"/>
  <c r="AB2062" i="7"/>
  <c r="AB2063" i="7"/>
  <c r="AB2064" i="7"/>
  <c r="AB2065" i="7"/>
  <c r="AB2066" i="7"/>
  <c r="AB2067" i="7"/>
  <c r="AB2068" i="7"/>
  <c r="AB2069" i="7"/>
  <c r="AB2070" i="7"/>
  <c r="AB2071" i="7"/>
  <c r="AB2072" i="7"/>
  <c r="AB2073" i="7"/>
  <c r="AB2074" i="7"/>
  <c r="AB2075" i="7"/>
  <c r="AB2076" i="7"/>
  <c r="AB2077" i="7"/>
  <c r="AB2078" i="7"/>
  <c r="AB2079" i="7"/>
  <c r="AB2080" i="7"/>
  <c r="AB2081" i="7"/>
  <c r="AB2082" i="7"/>
  <c r="AB2083" i="7"/>
  <c r="AB2084" i="7"/>
  <c r="AB2085" i="7"/>
  <c r="AB2086" i="7"/>
  <c r="AB2087" i="7"/>
  <c r="AB2088" i="7"/>
  <c r="AB2089" i="7"/>
  <c r="AB2090" i="7"/>
  <c r="AB2091" i="7"/>
  <c r="AB2092" i="7"/>
  <c r="AB2093" i="7"/>
  <c r="AB2094" i="7"/>
  <c r="AB2095" i="7"/>
  <c r="AB2096" i="7"/>
  <c r="AB2097" i="7"/>
  <c r="AB2098" i="7"/>
  <c r="AB2099" i="7"/>
  <c r="AB2100" i="7"/>
  <c r="AB2101" i="7"/>
  <c r="AB2102" i="7"/>
  <c r="AB2103" i="7"/>
  <c r="AB2104" i="7"/>
  <c r="AB2105" i="7"/>
  <c r="AB2106" i="7"/>
  <c r="AB2107" i="7"/>
  <c r="AB2108" i="7"/>
  <c r="AB2109" i="7"/>
  <c r="AB2110" i="7"/>
  <c r="AB2111" i="7"/>
  <c r="AB2112" i="7"/>
  <c r="AB2113" i="7"/>
  <c r="AB2114" i="7"/>
  <c r="AB2115" i="7"/>
  <c r="AB2116" i="7"/>
  <c r="AB2117" i="7"/>
  <c r="AB2118" i="7"/>
  <c r="AB2119" i="7"/>
  <c r="AB2120" i="7"/>
  <c r="AB2121" i="7"/>
  <c r="AB2122" i="7"/>
  <c r="AB2123" i="7"/>
  <c r="AB2124" i="7"/>
  <c r="AB2125" i="7"/>
  <c r="AB2126" i="7"/>
  <c r="AB2127" i="7"/>
  <c r="AB2128" i="7"/>
  <c r="AB2129" i="7"/>
  <c r="AB2130" i="7"/>
  <c r="AB2131" i="7"/>
  <c r="AB2132" i="7"/>
  <c r="AB2133" i="7"/>
  <c r="AB2134" i="7"/>
  <c r="AB2135" i="7"/>
  <c r="AB2136" i="7"/>
  <c r="AB2137" i="7"/>
  <c r="AB2138" i="7"/>
  <c r="AB2139" i="7"/>
  <c r="AB2140" i="7"/>
  <c r="AB2141" i="7"/>
  <c r="AB2142" i="7"/>
  <c r="AB2143" i="7"/>
  <c r="AB2144" i="7"/>
  <c r="AB2145" i="7"/>
  <c r="AB2146" i="7"/>
  <c r="AB2147" i="7"/>
  <c r="AB2148" i="7"/>
  <c r="AB2149" i="7"/>
  <c r="AB2150" i="7"/>
  <c r="AB2151" i="7"/>
  <c r="AB2152" i="7"/>
  <c r="AB2153" i="7"/>
  <c r="AB2154" i="7"/>
  <c r="AB2155" i="7"/>
  <c r="AB2156" i="7"/>
  <c r="AB2157" i="7"/>
  <c r="AB2158" i="7"/>
  <c r="AB2159" i="7"/>
  <c r="AB2160" i="7"/>
  <c r="AB2161" i="7"/>
  <c r="AB2162" i="7"/>
  <c r="AB2163" i="7"/>
  <c r="AB2164" i="7"/>
  <c r="AB2165" i="7"/>
  <c r="AB2166" i="7"/>
  <c r="AB2167" i="7"/>
  <c r="AB2168" i="7"/>
  <c r="AB2169" i="7"/>
  <c r="AB2170" i="7"/>
  <c r="AB2171" i="7"/>
  <c r="AB2172" i="7"/>
  <c r="AB2173" i="7"/>
  <c r="AB2174" i="7"/>
  <c r="AB2175" i="7"/>
  <c r="AB2176" i="7"/>
  <c r="AB2177" i="7"/>
  <c r="AB2178" i="7"/>
  <c r="AB2179" i="7"/>
  <c r="AB2180" i="7"/>
  <c r="AB2181" i="7"/>
  <c r="AB2182" i="7"/>
  <c r="AB2183" i="7"/>
  <c r="AB2184" i="7"/>
  <c r="AB2185" i="7"/>
  <c r="AB2186" i="7"/>
  <c r="AB2187" i="7"/>
  <c r="AB2188" i="7"/>
  <c r="AB2189" i="7"/>
  <c r="AB2190" i="7"/>
  <c r="AB2191" i="7"/>
  <c r="AB2192" i="7"/>
  <c r="AB2193" i="7"/>
  <c r="AB2194" i="7"/>
  <c r="AB2195" i="7"/>
  <c r="AB2196" i="7"/>
  <c r="AB2197" i="7"/>
  <c r="AB2198" i="7"/>
  <c r="AB2199" i="7"/>
  <c r="AB2200" i="7"/>
  <c r="AB2201" i="7"/>
  <c r="AB2202" i="7"/>
  <c r="AB2203" i="7"/>
  <c r="AB2204" i="7"/>
  <c r="AB2205" i="7"/>
  <c r="AB2206" i="7"/>
  <c r="AB2207" i="7"/>
  <c r="AB2208" i="7"/>
  <c r="AB2209" i="7"/>
  <c r="AB2210" i="7"/>
  <c r="AB2211" i="7"/>
  <c r="AB2212" i="7"/>
  <c r="AB2213" i="7"/>
  <c r="AB2214" i="7"/>
  <c r="AB2215" i="7"/>
  <c r="AB2216" i="7"/>
  <c r="AB2217" i="7"/>
  <c r="AB2218" i="7"/>
  <c r="AB2219" i="7"/>
  <c r="AB2220" i="7"/>
  <c r="AB2221" i="7"/>
  <c r="AB2222" i="7"/>
  <c r="AB2223" i="7"/>
  <c r="AB2224" i="7"/>
  <c r="AB2225" i="7"/>
  <c r="AB2226" i="7"/>
  <c r="AB2227" i="7"/>
  <c r="AB2228" i="7"/>
  <c r="AB2229" i="7"/>
  <c r="AB2230" i="7"/>
  <c r="AB2231" i="7"/>
  <c r="AB2232" i="7"/>
  <c r="AB2233" i="7"/>
  <c r="AB2234" i="7"/>
  <c r="AB2235" i="7"/>
  <c r="AB2236" i="7"/>
  <c r="AB2237" i="7"/>
  <c r="AB2238" i="7"/>
  <c r="AB2239" i="7"/>
  <c r="AB2240" i="7"/>
  <c r="AB2241" i="7"/>
  <c r="AB2242" i="7"/>
  <c r="AB2243" i="7"/>
  <c r="AB2244" i="7"/>
  <c r="AB2245" i="7"/>
  <c r="AB2246" i="7"/>
  <c r="AB2247" i="7"/>
  <c r="AB2248" i="7"/>
  <c r="AB2249" i="7"/>
  <c r="AB2250" i="7"/>
  <c r="AB2251" i="7"/>
  <c r="AB2252" i="7"/>
  <c r="AB2253" i="7"/>
  <c r="AB2254" i="7"/>
  <c r="AB2255" i="7"/>
  <c r="AB2256" i="7"/>
  <c r="AB2257" i="7"/>
  <c r="AB2258" i="7"/>
  <c r="AB2259" i="7"/>
  <c r="AB2260" i="7"/>
  <c r="AB2261" i="7"/>
  <c r="AB2262" i="7"/>
  <c r="AB2263" i="7"/>
  <c r="AB2264" i="7"/>
  <c r="AB2265" i="7"/>
  <c r="AB2266" i="7"/>
  <c r="AB2267" i="7"/>
  <c r="AB2268" i="7"/>
  <c r="AB2269" i="7"/>
  <c r="AB2270" i="7"/>
  <c r="AB2271" i="7"/>
  <c r="AB2272" i="7"/>
  <c r="AB2273" i="7"/>
  <c r="AB2274" i="7"/>
  <c r="AB2275" i="7"/>
  <c r="AB2276" i="7"/>
  <c r="AB2277" i="7"/>
  <c r="AB2278" i="7"/>
  <c r="AB2279" i="7"/>
  <c r="AB2280" i="7"/>
  <c r="AB2281" i="7"/>
  <c r="AB2282" i="7"/>
  <c r="AB2283" i="7"/>
  <c r="AB2284" i="7"/>
  <c r="AB2285" i="7"/>
  <c r="AB2286" i="7"/>
  <c r="AB2287" i="7"/>
  <c r="AB2288" i="7"/>
  <c r="AB2289" i="7"/>
  <c r="AB2290" i="7"/>
  <c r="AB2291" i="7"/>
  <c r="AB2292" i="7"/>
  <c r="AB2293" i="7"/>
  <c r="AB2294" i="7"/>
  <c r="AB2295" i="7"/>
  <c r="AB2296" i="7"/>
  <c r="AB2297" i="7"/>
  <c r="AB2298" i="7"/>
  <c r="AB2299" i="7"/>
  <c r="AB2300" i="7"/>
  <c r="AB2301" i="7"/>
  <c r="AB2302" i="7"/>
  <c r="AB2303" i="7"/>
  <c r="AB2304" i="7"/>
  <c r="AB2305" i="7"/>
  <c r="AB2306" i="7"/>
  <c r="AB2307" i="7"/>
  <c r="AB2308" i="7"/>
  <c r="AB2309" i="7"/>
  <c r="AB2310" i="7"/>
  <c r="AB2311" i="7"/>
  <c r="AB2312" i="7"/>
  <c r="AB2313" i="7"/>
  <c r="AB2314" i="7"/>
  <c r="AB2315" i="7"/>
  <c r="AB2316" i="7"/>
  <c r="AB2317" i="7"/>
  <c r="AB2318" i="7"/>
  <c r="AB2319" i="7"/>
  <c r="AB2320" i="7"/>
  <c r="AB2321" i="7"/>
  <c r="AB2322" i="7"/>
  <c r="AB2323" i="7"/>
  <c r="AB2324" i="7"/>
  <c r="AB2325" i="7"/>
  <c r="AB2326" i="7"/>
  <c r="AB2327" i="7"/>
  <c r="AB2328" i="7"/>
  <c r="AB2329" i="7"/>
  <c r="AB2330" i="7"/>
  <c r="AB2331" i="7"/>
  <c r="AB2332" i="7"/>
  <c r="AB2333" i="7"/>
  <c r="AB2334" i="7"/>
  <c r="AB2335" i="7"/>
  <c r="AB2336" i="7"/>
  <c r="AB2337" i="7"/>
  <c r="AB2338" i="7"/>
  <c r="AB2339" i="7"/>
  <c r="AB2340" i="7"/>
  <c r="AB2341" i="7"/>
  <c r="AB2342" i="7"/>
  <c r="AB2343" i="7"/>
  <c r="AB2344" i="7"/>
  <c r="AB2345" i="7"/>
  <c r="AB2346" i="7"/>
  <c r="AB2347" i="7"/>
  <c r="AB2348" i="7"/>
  <c r="AB2349" i="7"/>
  <c r="AB2350" i="7"/>
  <c r="AB2351" i="7"/>
  <c r="AB2352" i="7"/>
  <c r="AB2353" i="7"/>
  <c r="AB2354" i="7"/>
  <c r="AB2355" i="7"/>
  <c r="AB2356" i="7"/>
  <c r="AB2357" i="7"/>
  <c r="AB2358" i="7"/>
  <c r="AB2359" i="7"/>
  <c r="AB2360" i="7"/>
  <c r="AB2361" i="7"/>
  <c r="AB2362" i="7"/>
  <c r="AB2363" i="7"/>
  <c r="AB2364" i="7"/>
  <c r="AB2365" i="7"/>
  <c r="AB2366" i="7"/>
  <c r="AB2367" i="7"/>
  <c r="AB2368" i="7"/>
  <c r="AB2369" i="7"/>
  <c r="AB2370" i="7"/>
  <c r="AB2371" i="7"/>
  <c r="AB2372" i="7"/>
  <c r="AB2373" i="7"/>
  <c r="AB2374" i="7"/>
  <c r="AB2375" i="7"/>
  <c r="AB2376" i="7"/>
  <c r="AB2377" i="7"/>
  <c r="AB2378" i="7"/>
  <c r="AB2379" i="7"/>
  <c r="AB2380" i="7"/>
  <c r="AB2381" i="7"/>
  <c r="AB2382" i="7"/>
  <c r="AB2383" i="7"/>
  <c r="AB2384" i="7"/>
  <c r="AB2385" i="7"/>
  <c r="AB2386" i="7"/>
  <c r="AB2387" i="7"/>
  <c r="AB2388" i="7"/>
  <c r="AB2389" i="7"/>
  <c r="AB2390" i="7"/>
  <c r="AB2391" i="7"/>
  <c r="AB2392" i="7"/>
  <c r="AB2393" i="7"/>
  <c r="AB2394" i="7"/>
  <c r="AB2395" i="7"/>
  <c r="AB2396" i="7"/>
  <c r="AB2397" i="7"/>
  <c r="AB2398" i="7"/>
  <c r="AB2399" i="7"/>
  <c r="AB2400" i="7"/>
  <c r="AB2401" i="7"/>
  <c r="AB2402" i="7"/>
  <c r="AB2403" i="7"/>
  <c r="AB2404" i="7"/>
  <c r="AB2405" i="7"/>
  <c r="AB2406" i="7"/>
  <c r="AB2407" i="7"/>
  <c r="AB2408" i="7"/>
  <c r="AB2409" i="7"/>
  <c r="AB2410" i="7"/>
  <c r="AB2411" i="7"/>
  <c r="AB2412" i="7"/>
  <c r="AB2413" i="7"/>
  <c r="AB2414" i="7"/>
  <c r="AB2415" i="7"/>
  <c r="AB2416" i="7"/>
  <c r="AB2417" i="7"/>
  <c r="AB2418" i="7"/>
  <c r="AB2419" i="7"/>
  <c r="AB2420" i="7"/>
  <c r="AB2421" i="7"/>
  <c r="AB2422" i="7"/>
  <c r="AB2423" i="7"/>
  <c r="AB2424" i="7"/>
  <c r="AB2425" i="7"/>
  <c r="AB2426" i="7"/>
  <c r="AB2427" i="7"/>
  <c r="AB2428" i="7"/>
  <c r="AB2429" i="7"/>
  <c r="AB2430" i="7"/>
  <c r="AB2431" i="7"/>
  <c r="AB2432" i="7"/>
  <c r="AB2433" i="7"/>
  <c r="AB2434" i="7"/>
  <c r="AB2435" i="7"/>
  <c r="AB2436" i="7"/>
  <c r="AB2437" i="7"/>
  <c r="AB2438" i="7"/>
  <c r="AB2439" i="7"/>
  <c r="AB2440" i="7"/>
  <c r="AB2441" i="7"/>
  <c r="AB2442" i="7"/>
  <c r="AB2443" i="7"/>
  <c r="AB2444" i="7"/>
  <c r="AB2445" i="7"/>
  <c r="AB2446" i="7"/>
  <c r="AB2447" i="7"/>
  <c r="AB2448" i="7"/>
  <c r="AB2449" i="7"/>
  <c r="AB2450" i="7"/>
  <c r="AB2451" i="7"/>
  <c r="AB2452" i="7"/>
  <c r="AB2453" i="7"/>
  <c r="AB2454" i="7"/>
  <c r="AB2455" i="7"/>
  <c r="AB2456" i="7"/>
  <c r="AB2457" i="7"/>
  <c r="AB2458" i="7"/>
  <c r="AB2459" i="7"/>
  <c r="AB2460" i="7"/>
  <c r="AB2461" i="7"/>
  <c r="AB2462" i="7"/>
  <c r="AB2463" i="7"/>
  <c r="AB2464" i="7"/>
  <c r="AB2465" i="7"/>
  <c r="AB2466" i="7"/>
  <c r="AB2467" i="7"/>
  <c r="AB2468" i="7"/>
  <c r="AB2469" i="7"/>
  <c r="AB2470" i="7"/>
  <c r="AB2471" i="7"/>
  <c r="AB2472" i="7"/>
  <c r="AB2473" i="7"/>
  <c r="AB2474" i="7"/>
  <c r="AB2475" i="7"/>
  <c r="AB2476" i="7"/>
  <c r="AB2477" i="7"/>
  <c r="AB2478" i="7"/>
  <c r="AB2479" i="7"/>
  <c r="AB2480" i="7"/>
  <c r="AB2481" i="7"/>
  <c r="AB2482" i="7"/>
  <c r="AB2483" i="7"/>
  <c r="AB2484" i="7"/>
  <c r="AB2485" i="7"/>
  <c r="D36" i="8" a="1"/>
  <c r="D106" i="8"/>
  <c r="D107" i="8"/>
  <c r="D109" i="8"/>
  <c r="D110" i="8"/>
  <c r="D108" i="8"/>
  <c r="D111" i="8"/>
  <c r="D105" i="8"/>
  <c r="C96" i="8" a="1"/>
  <c r="D96" i="8" s="1"/>
  <c r="D38" i="8" a="1"/>
  <c r="D37" i="8" a="1"/>
  <c r="D35" i="8" a="1"/>
  <c r="C23" i="8" a="1"/>
  <c r="C15" i="8" a="1"/>
  <c r="D12" i="8"/>
  <c r="D13" i="8"/>
  <c r="C11" i="8"/>
  <c r="C5" i="8"/>
  <c r="C4" i="8"/>
  <c r="C6" i="8" s="1"/>
  <c r="C3" i="8"/>
  <c r="C2" i="8"/>
  <c r="U2"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694" i="7"/>
  <c r="U695" i="7"/>
  <c r="U696" i="7"/>
  <c r="U697" i="7"/>
  <c r="U698" i="7"/>
  <c r="U699" i="7"/>
  <c r="U700" i="7"/>
  <c r="U701" i="7"/>
  <c r="U702" i="7"/>
  <c r="U703" i="7"/>
  <c r="U704" i="7"/>
  <c r="U705" i="7"/>
  <c r="U706" i="7"/>
  <c r="U707" i="7"/>
  <c r="U708" i="7"/>
  <c r="U709" i="7"/>
  <c r="U710" i="7"/>
  <c r="U711" i="7"/>
  <c r="U712" i="7"/>
  <c r="U713" i="7"/>
  <c r="U714" i="7"/>
  <c r="U715" i="7"/>
  <c r="U716" i="7"/>
  <c r="U717" i="7"/>
  <c r="U718" i="7"/>
  <c r="U719" i="7"/>
  <c r="U720" i="7"/>
  <c r="U721" i="7"/>
  <c r="U722" i="7"/>
  <c r="U723" i="7"/>
  <c r="U724" i="7"/>
  <c r="U725" i="7"/>
  <c r="U726" i="7"/>
  <c r="U727" i="7"/>
  <c r="U728" i="7"/>
  <c r="U729" i="7"/>
  <c r="U730" i="7"/>
  <c r="U731" i="7"/>
  <c r="U732" i="7"/>
  <c r="U733" i="7"/>
  <c r="U734" i="7"/>
  <c r="U735" i="7"/>
  <c r="U736" i="7"/>
  <c r="U737" i="7"/>
  <c r="U738" i="7"/>
  <c r="U739" i="7"/>
  <c r="U740" i="7"/>
  <c r="U741" i="7"/>
  <c r="U742" i="7"/>
  <c r="U743" i="7"/>
  <c r="U744" i="7"/>
  <c r="U745" i="7"/>
  <c r="U746" i="7"/>
  <c r="U747" i="7"/>
  <c r="U748" i="7"/>
  <c r="U749" i="7"/>
  <c r="U750" i="7"/>
  <c r="U751" i="7"/>
  <c r="U752" i="7"/>
  <c r="U753" i="7"/>
  <c r="U754" i="7"/>
  <c r="U755" i="7"/>
  <c r="U756" i="7"/>
  <c r="U757" i="7"/>
  <c r="U758" i="7"/>
  <c r="U759" i="7"/>
  <c r="U760" i="7"/>
  <c r="U761" i="7"/>
  <c r="U762" i="7"/>
  <c r="U763" i="7"/>
  <c r="U764" i="7"/>
  <c r="U765" i="7"/>
  <c r="U766" i="7"/>
  <c r="U767" i="7"/>
  <c r="U768" i="7"/>
  <c r="U769" i="7"/>
  <c r="U770" i="7"/>
  <c r="U771" i="7"/>
  <c r="U772" i="7"/>
  <c r="U773" i="7"/>
  <c r="U774" i="7"/>
  <c r="U775" i="7"/>
  <c r="U776" i="7"/>
  <c r="U777" i="7"/>
  <c r="U778" i="7"/>
  <c r="U779" i="7"/>
  <c r="U780" i="7"/>
  <c r="U781" i="7"/>
  <c r="U782" i="7"/>
  <c r="U783" i="7"/>
  <c r="U784" i="7"/>
  <c r="U785" i="7"/>
  <c r="U786" i="7"/>
  <c r="U787" i="7"/>
  <c r="U788" i="7"/>
  <c r="U789" i="7"/>
  <c r="U790" i="7"/>
  <c r="U791" i="7"/>
  <c r="U792" i="7"/>
  <c r="U793" i="7"/>
  <c r="U794" i="7"/>
  <c r="U795" i="7"/>
  <c r="U796" i="7"/>
  <c r="U797" i="7"/>
  <c r="U798" i="7"/>
  <c r="U799" i="7"/>
  <c r="U800" i="7"/>
  <c r="U801" i="7"/>
  <c r="U802" i="7"/>
  <c r="U803" i="7"/>
  <c r="U804" i="7"/>
  <c r="U805" i="7"/>
  <c r="U806" i="7"/>
  <c r="U807" i="7"/>
  <c r="U808" i="7"/>
  <c r="U809" i="7"/>
  <c r="U810" i="7"/>
  <c r="U811" i="7"/>
  <c r="U812" i="7"/>
  <c r="U813" i="7"/>
  <c r="U814" i="7"/>
  <c r="U815" i="7"/>
  <c r="U816" i="7"/>
  <c r="U817" i="7"/>
  <c r="U818" i="7"/>
  <c r="U819" i="7"/>
  <c r="U820" i="7"/>
  <c r="U821" i="7"/>
  <c r="U822" i="7"/>
  <c r="U823" i="7"/>
  <c r="U824" i="7"/>
  <c r="U825" i="7"/>
  <c r="U826" i="7"/>
  <c r="U827" i="7"/>
  <c r="U828" i="7"/>
  <c r="U829" i="7"/>
  <c r="U830" i="7"/>
  <c r="U831" i="7"/>
  <c r="U832" i="7"/>
  <c r="U833" i="7"/>
  <c r="U834" i="7"/>
  <c r="U835" i="7"/>
  <c r="U836" i="7"/>
  <c r="U837" i="7"/>
  <c r="U838" i="7"/>
  <c r="U839" i="7"/>
  <c r="U840" i="7"/>
  <c r="U841" i="7"/>
  <c r="U842" i="7"/>
  <c r="U843" i="7"/>
  <c r="U844" i="7"/>
  <c r="U845" i="7"/>
  <c r="U846" i="7"/>
  <c r="U847" i="7"/>
  <c r="U848" i="7"/>
  <c r="U849" i="7"/>
  <c r="U850" i="7"/>
  <c r="U851" i="7"/>
  <c r="U852" i="7"/>
  <c r="U853" i="7"/>
  <c r="U854" i="7"/>
  <c r="U855" i="7"/>
  <c r="U856" i="7"/>
  <c r="U857" i="7"/>
  <c r="U858" i="7"/>
  <c r="U859" i="7"/>
  <c r="U860" i="7"/>
  <c r="U861" i="7"/>
  <c r="U862" i="7"/>
  <c r="U863" i="7"/>
  <c r="U864" i="7"/>
  <c r="U865" i="7"/>
  <c r="U866" i="7"/>
  <c r="U867" i="7"/>
  <c r="U868" i="7"/>
  <c r="U869" i="7"/>
  <c r="U870" i="7"/>
  <c r="U871" i="7"/>
  <c r="U872" i="7"/>
  <c r="U873" i="7"/>
  <c r="U874" i="7"/>
  <c r="U875" i="7"/>
  <c r="U876" i="7"/>
  <c r="U877" i="7"/>
  <c r="U878" i="7"/>
  <c r="U879" i="7"/>
  <c r="U880" i="7"/>
  <c r="U881" i="7"/>
  <c r="U882" i="7"/>
  <c r="U883" i="7"/>
  <c r="U884" i="7"/>
  <c r="U885" i="7"/>
  <c r="U886" i="7"/>
  <c r="U887" i="7"/>
  <c r="U888" i="7"/>
  <c r="U889" i="7"/>
  <c r="U890" i="7"/>
  <c r="U891" i="7"/>
  <c r="U892" i="7"/>
  <c r="U893" i="7"/>
  <c r="U894" i="7"/>
  <c r="U895" i="7"/>
  <c r="U896" i="7"/>
  <c r="U897" i="7"/>
  <c r="U898" i="7"/>
  <c r="U899" i="7"/>
  <c r="U900" i="7"/>
  <c r="U901" i="7"/>
  <c r="U902" i="7"/>
  <c r="U903" i="7"/>
  <c r="U904" i="7"/>
  <c r="U905" i="7"/>
  <c r="U906" i="7"/>
  <c r="U907" i="7"/>
  <c r="U908" i="7"/>
  <c r="U909" i="7"/>
  <c r="U910" i="7"/>
  <c r="U911" i="7"/>
  <c r="U912" i="7"/>
  <c r="U913" i="7"/>
  <c r="U914" i="7"/>
  <c r="U915" i="7"/>
  <c r="U916" i="7"/>
  <c r="U917" i="7"/>
  <c r="U918" i="7"/>
  <c r="U919" i="7"/>
  <c r="U920" i="7"/>
  <c r="U921" i="7"/>
  <c r="U922" i="7"/>
  <c r="U923" i="7"/>
  <c r="U924" i="7"/>
  <c r="U925" i="7"/>
  <c r="U926" i="7"/>
  <c r="U927" i="7"/>
  <c r="U928" i="7"/>
  <c r="U929" i="7"/>
  <c r="U930" i="7"/>
  <c r="U931" i="7"/>
  <c r="U932" i="7"/>
  <c r="U933" i="7"/>
  <c r="U934" i="7"/>
  <c r="U935" i="7"/>
  <c r="U936" i="7"/>
  <c r="U937" i="7"/>
  <c r="U938" i="7"/>
  <c r="U939" i="7"/>
  <c r="U940" i="7"/>
  <c r="U941" i="7"/>
  <c r="U942" i="7"/>
  <c r="U943" i="7"/>
  <c r="U944" i="7"/>
  <c r="U945" i="7"/>
  <c r="U946" i="7"/>
  <c r="U947" i="7"/>
  <c r="U948" i="7"/>
  <c r="U949" i="7"/>
  <c r="U950" i="7"/>
  <c r="U951" i="7"/>
  <c r="U952" i="7"/>
  <c r="U953" i="7"/>
  <c r="U954" i="7"/>
  <c r="U955" i="7"/>
  <c r="U956" i="7"/>
  <c r="U957" i="7"/>
  <c r="U958" i="7"/>
  <c r="U959" i="7"/>
  <c r="U960" i="7"/>
  <c r="U961" i="7"/>
  <c r="U962" i="7"/>
  <c r="U963" i="7"/>
  <c r="U964" i="7"/>
  <c r="U965" i="7"/>
  <c r="U966" i="7"/>
  <c r="U967" i="7"/>
  <c r="U968" i="7"/>
  <c r="U969" i="7"/>
  <c r="U970" i="7"/>
  <c r="U971" i="7"/>
  <c r="U972" i="7"/>
  <c r="U973" i="7"/>
  <c r="U974" i="7"/>
  <c r="U975" i="7"/>
  <c r="U976" i="7"/>
  <c r="U977" i="7"/>
  <c r="U978" i="7"/>
  <c r="U979" i="7"/>
  <c r="U980" i="7"/>
  <c r="U981" i="7"/>
  <c r="U982" i="7"/>
  <c r="U983" i="7"/>
  <c r="U984" i="7"/>
  <c r="U985" i="7"/>
  <c r="U986" i="7"/>
  <c r="U987" i="7"/>
  <c r="U988" i="7"/>
  <c r="U989" i="7"/>
  <c r="U990" i="7"/>
  <c r="U991" i="7"/>
  <c r="U992" i="7"/>
  <c r="U993" i="7"/>
  <c r="U994" i="7"/>
  <c r="U995" i="7"/>
  <c r="U996" i="7"/>
  <c r="U997" i="7"/>
  <c r="U998" i="7"/>
  <c r="U999" i="7"/>
  <c r="U1000" i="7"/>
  <c r="U1001" i="7"/>
  <c r="U1002" i="7"/>
  <c r="U1003" i="7"/>
  <c r="U1004" i="7"/>
  <c r="U1005" i="7"/>
  <c r="U1006" i="7"/>
  <c r="U1007" i="7"/>
  <c r="U1008" i="7"/>
  <c r="U1009" i="7"/>
  <c r="U1010" i="7"/>
  <c r="U1011" i="7"/>
  <c r="U1012" i="7"/>
  <c r="U1013" i="7"/>
  <c r="U1014" i="7"/>
  <c r="U1015" i="7"/>
  <c r="U1016" i="7"/>
  <c r="U1017" i="7"/>
  <c r="U1018" i="7"/>
  <c r="U1019" i="7"/>
  <c r="U1020" i="7"/>
  <c r="U1021" i="7"/>
  <c r="U1022" i="7"/>
  <c r="U1023" i="7"/>
  <c r="U1024" i="7"/>
  <c r="U1025" i="7"/>
  <c r="U1026" i="7"/>
  <c r="U1027" i="7"/>
  <c r="U1028" i="7"/>
  <c r="U1029" i="7"/>
  <c r="U1030" i="7"/>
  <c r="U1031" i="7"/>
  <c r="U1032" i="7"/>
  <c r="U1033" i="7"/>
  <c r="U1034" i="7"/>
  <c r="U1035" i="7"/>
  <c r="U1036" i="7"/>
  <c r="U1037" i="7"/>
  <c r="U1038" i="7"/>
  <c r="U1039" i="7"/>
  <c r="U1040" i="7"/>
  <c r="U1041" i="7"/>
  <c r="U1042" i="7"/>
  <c r="U1043" i="7"/>
  <c r="U1044" i="7"/>
  <c r="U1045" i="7"/>
  <c r="U1046" i="7"/>
  <c r="U1047" i="7"/>
  <c r="U1048" i="7"/>
  <c r="U1049" i="7"/>
  <c r="U1050" i="7"/>
  <c r="U1051" i="7"/>
  <c r="U1052" i="7"/>
  <c r="U1053" i="7"/>
  <c r="U1054" i="7"/>
  <c r="U1055" i="7"/>
  <c r="U1056" i="7"/>
  <c r="U1057" i="7"/>
  <c r="U1058" i="7"/>
  <c r="U1059" i="7"/>
  <c r="U1060" i="7"/>
  <c r="U1061" i="7"/>
  <c r="U1062" i="7"/>
  <c r="U1063" i="7"/>
  <c r="U1064" i="7"/>
  <c r="U1065" i="7"/>
  <c r="U1066" i="7"/>
  <c r="U1067" i="7"/>
  <c r="U1068" i="7"/>
  <c r="U1069" i="7"/>
  <c r="U1070" i="7"/>
  <c r="U1071" i="7"/>
  <c r="U1072" i="7"/>
  <c r="U1073" i="7"/>
  <c r="U1074" i="7"/>
  <c r="U1075" i="7"/>
  <c r="U1076" i="7"/>
  <c r="U1077" i="7"/>
  <c r="U1078" i="7"/>
  <c r="U1079" i="7"/>
  <c r="U1080" i="7"/>
  <c r="U1081" i="7"/>
  <c r="U1082" i="7"/>
  <c r="U1083" i="7"/>
  <c r="U1084" i="7"/>
  <c r="U1085" i="7"/>
  <c r="U1086" i="7"/>
  <c r="U1087" i="7"/>
  <c r="U1088" i="7"/>
  <c r="U1089" i="7"/>
  <c r="U1090" i="7"/>
  <c r="U1091" i="7"/>
  <c r="U1092" i="7"/>
  <c r="U1093" i="7"/>
  <c r="U1094" i="7"/>
  <c r="U1095" i="7"/>
  <c r="U1096" i="7"/>
  <c r="U1097" i="7"/>
  <c r="U1098" i="7"/>
  <c r="U1099" i="7"/>
  <c r="U1100" i="7"/>
  <c r="U1101" i="7"/>
  <c r="U1102" i="7"/>
  <c r="U1103" i="7"/>
  <c r="U1104" i="7"/>
  <c r="U1105" i="7"/>
  <c r="U1106" i="7"/>
  <c r="U1107" i="7"/>
  <c r="U1108" i="7"/>
  <c r="U1109" i="7"/>
  <c r="U1110" i="7"/>
  <c r="U1111" i="7"/>
  <c r="U1112" i="7"/>
  <c r="U1113" i="7"/>
  <c r="U1114" i="7"/>
  <c r="U1115" i="7"/>
  <c r="U1116" i="7"/>
  <c r="U1117" i="7"/>
  <c r="U1118" i="7"/>
  <c r="U1119" i="7"/>
  <c r="U1120" i="7"/>
  <c r="U1121" i="7"/>
  <c r="U1122" i="7"/>
  <c r="U1123" i="7"/>
  <c r="U1124" i="7"/>
  <c r="U1125" i="7"/>
  <c r="U1126" i="7"/>
  <c r="U1127" i="7"/>
  <c r="U1128" i="7"/>
  <c r="U1129" i="7"/>
  <c r="U1130" i="7"/>
  <c r="U1131" i="7"/>
  <c r="U1132" i="7"/>
  <c r="U1133" i="7"/>
  <c r="U1134" i="7"/>
  <c r="U1135" i="7"/>
  <c r="U1136" i="7"/>
  <c r="U1137" i="7"/>
  <c r="U1138" i="7"/>
  <c r="U1139" i="7"/>
  <c r="U1140" i="7"/>
  <c r="U1141" i="7"/>
  <c r="U1142" i="7"/>
  <c r="U1143" i="7"/>
  <c r="U1144" i="7"/>
  <c r="U1145" i="7"/>
  <c r="U1146" i="7"/>
  <c r="U1147" i="7"/>
  <c r="U1148" i="7"/>
  <c r="U1149" i="7"/>
  <c r="U1150" i="7"/>
  <c r="U1151" i="7"/>
  <c r="U1152" i="7"/>
  <c r="U1153" i="7"/>
  <c r="U1154" i="7"/>
  <c r="U1155" i="7"/>
  <c r="U1156" i="7"/>
  <c r="U1157" i="7"/>
  <c r="U1158" i="7"/>
  <c r="U1159" i="7"/>
  <c r="U1160" i="7"/>
  <c r="U1161" i="7"/>
  <c r="U1162" i="7"/>
  <c r="U1163" i="7"/>
  <c r="U1164" i="7"/>
  <c r="U1165" i="7"/>
  <c r="U1166" i="7"/>
  <c r="U1167" i="7"/>
  <c r="U1168" i="7"/>
  <c r="U1169" i="7"/>
  <c r="U1170" i="7"/>
  <c r="U1171" i="7"/>
  <c r="U1172" i="7"/>
  <c r="U1173" i="7"/>
  <c r="U1174" i="7"/>
  <c r="U1175" i="7"/>
  <c r="U1176" i="7"/>
  <c r="U1177" i="7"/>
  <c r="U1178" i="7"/>
  <c r="U1179" i="7"/>
  <c r="U1180" i="7"/>
  <c r="U1181" i="7"/>
  <c r="U1182" i="7"/>
  <c r="U1183" i="7"/>
  <c r="U1184" i="7"/>
  <c r="U1185" i="7"/>
  <c r="U1186" i="7"/>
  <c r="U1187" i="7"/>
  <c r="U1188" i="7"/>
  <c r="U1189" i="7"/>
  <c r="U1190" i="7"/>
  <c r="U1191" i="7"/>
  <c r="U1192" i="7"/>
  <c r="U1193" i="7"/>
  <c r="U1194" i="7"/>
  <c r="U1195" i="7"/>
  <c r="U1196" i="7"/>
  <c r="U1197" i="7"/>
  <c r="U1198" i="7"/>
  <c r="U1199" i="7"/>
  <c r="U1200" i="7"/>
  <c r="U1201" i="7"/>
  <c r="U1202" i="7"/>
  <c r="U1203" i="7"/>
  <c r="U1204" i="7"/>
  <c r="U1205" i="7"/>
  <c r="U1206" i="7"/>
  <c r="U1207" i="7"/>
  <c r="U1208" i="7"/>
  <c r="U1209" i="7"/>
  <c r="U1210" i="7"/>
  <c r="U1211" i="7"/>
  <c r="U1212" i="7"/>
  <c r="U1213" i="7"/>
  <c r="U1214" i="7"/>
  <c r="U1215" i="7"/>
  <c r="U1216" i="7"/>
  <c r="U1217" i="7"/>
  <c r="U1218" i="7"/>
  <c r="U1219" i="7"/>
  <c r="U1220" i="7"/>
  <c r="U1221" i="7"/>
  <c r="U1222" i="7"/>
  <c r="U1223" i="7"/>
  <c r="U1224" i="7"/>
  <c r="U1225" i="7"/>
  <c r="U1226" i="7"/>
  <c r="U1227" i="7"/>
  <c r="U1228" i="7"/>
  <c r="U1229" i="7"/>
  <c r="U1230" i="7"/>
  <c r="U1231" i="7"/>
  <c r="U1232" i="7"/>
  <c r="U1233" i="7"/>
  <c r="U1234" i="7"/>
  <c r="U1235" i="7"/>
  <c r="U1236" i="7"/>
  <c r="U1237" i="7"/>
  <c r="U1238" i="7"/>
  <c r="U1239" i="7"/>
  <c r="U1240" i="7"/>
  <c r="U1241" i="7"/>
  <c r="U1242" i="7"/>
  <c r="U1243" i="7"/>
  <c r="U1244" i="7"/>
  <c r="U1245" i="7"/>
  <c r="U1246" i="7"/>
  <c r="U1247" i="7"/>
  <c r="U1248" i="7"/>
  <c r="U1249" i="7"/>
  <c r="U1250" i="7"/>
  <c r="U1251" i="7"/>
  <c r="U1252" i="7"/>
  <c r="U1253" i="7"/>
  <c r="U1254" i="7"/>
  <c r="U1255" i="7"/>
  <c r="U1256" i="7"/>
  <c r="U1257" i="7"/>
  <c r="U1258" i="7"/>
  <c r="U1259" i="7"/>
  <c r="U1260" i="7"/>
  <c r="U1261" i="7"/>
  <c r="U1262" i="7"/>
  <c r="U1263" i="7"/>
  <c r="U1264" i="7"/>
  <c r="U1265" i="7"/>
  <c r="U1266" i="7"/>
  <c r="U1267" i="7"/>
  <c r="U1268" i="7"/>
  <c r="U1269" i="7"/>
  <c r="U1270" i="7"/>
  <c r="U1271" i="7"/>
  <c r="U1272" i="7"/>
  <c r="U1273" i="7"/>
  <c r="U1274" i="7"/>
  <c r="U1275" i="7"/>
  <c r="U1276" i="7"/>
  <c r="U1277" i="7"/>
  <c r="U1278" i="7"/>
  <c r="U1279" i="7"/>
  <c r="U1280" i="7"/>
  <c r="U1281" i="7"/>
  <c r="U1282" i="7"/>
  <c r="U1283" i="7"/>
  <c r="U1284" i="7"/>
  <c r="U1285" i="7"/>
  <c r="U1286" i="7"/>
  <c r="U1287" i="7"/>
  <c r="U1288" i="7"/>
  <c r="U1289" i="7"/>
  <c r="U1290" i="7"/>
  <c r="U1291" i="7"/>
  <c r="U1292" i="7"/>
  <c r="U1293" i="7"/>
  <c r="U1294" i="7"/>
  <c r="U1295" i="7"/>
  <c r="U1296" i="7"/>
  <c r="U1297" i="7"/>
  <c r="U1298" i="7"/>
  <c r="U1299" i="7"/>
  <c r="U1300" i="7"/>
  <c r="U1301" i="7"/>
  <c r="U1302" i="7"/>
  <c r="U1303" i="7"/>
  <c r="U1304" i="7"/>
  <c r="U1305" i="7"/>
  <c r="U1306" i="7"/>
  <c r="U1307" i="7"/>
  <c r="U1308" i="7"/>
  <c r="U1309" i="7"/>
  <c r="U1310" i="7"/>
  <c r="U1311" i="7"/>
  <c r="U1312" i="7"/>
  <c r="U1313" i="7"/>
  <c r="U1314" i="7"/>
  <c r="U1315" i="7"/>
  <c r="U1316" i="7"/>
  <c r="U1317" i="7"/>
  <c r="U1318" i="7"/>
  <c r="U1319" i="7"/>
  <c r="U1320" i="7"/>
  <c r="U1321" i="7"/>
  <c r="U1322" i="7"/>
  <c r="U1323" i="7"/>
  <c r="U1324" i="7"/>
  <c r="U1325" i="7"/>
  <c r="U1326" i="7"/>
  <c r="U1327" i="7"/>
  <c r="U1328" i="7"/>
  <c r="U1329" i="7"/>
  <c r="U1330" i="7"/>
  <c r="U1331" i="7"/>
  <c r="U1332" i="7"/>
  <c r="U1333" i="7"/>
  <c r="U1334" i="7"/>
  <c r="U1335" i="7"/>
  <c r="U1336" i="7"/>
  <c r="U1337" i="7"/>
  <c r="U1338" i="7"/>
  <c r="U1339" i="7"/>
  <c r="U1340" i="7"/>
  <c r="U1341" i="7"/>
  <c r="U1342" i="7"/>
  <c r="U1343" i="7"/>
  <c r="U1344" i="7"/>
  <c r="U1345" i="7"/>
  <c r="U1346" i="7"/>
  <c r="U1347" i="7"/>
  <c r="U1348" i="7"/>
  <c r="U1349" i="7"/>
  <c r="U1350" i="7"/>
  <c r="U1351" i="7"/>
  <c r="U1352" i="7"/>
  <c r="U1353" i="7"/>
  <c r="U1354" i="7"/>
  <c r="U1355" i="7"/>
  <c r="U1356" i="7"/>
  <c r="U1357" i="7"/>
  <c r="U1358" i="7"/>
  <c r="U1359" i="7"/>
  <c r="U1360" i="7"/>
  <c r="U1361" i="7"/>
  <c r="U1362" i="7"/>
  <c r="U1363" i="7"/>
  <c r="U1364" i="7"/>
  <c r="U1365" i="7"/>
  <c r="U1366" i="7"/>
  <c r="U1367" i="7"/>
  <c r="U1368" i="7"/>
  <c r="U1369" i="7"/>
  <c r="U1370" i="7"/>
  <c r="U1371" i="7"/>
  <c r="U1372" i="7"/>
  <c r="U1373" i="7"/>
  <c r="U1374" i="7"/>
  <c r="U1375" i="7"/>
  <c r="U1376" i="7"/>
  <c r="U1377" i="7"/>
  <c r="U1378" i="7"/>
  <c r="U1379" i="7"/>
  <c r="U1380" i="7"/>
  <c r="U1381" i="7"/>
  <c r="U1382" i="7"/>
  <c r="U1383" i="7"/>
  <c r="U1384" i="7"/>
  <c r="U1385" i="7"/>
  <c r="U1386" i="7"/>
  <c r="U1387" i="7"/>
  <c r="U1388" i="7"/>
  <c r="U1389" i="7"/>
  <c r="U1390" i="7"/>
  <c r="U1391" i="7"/>
  <c r="U1392" i="7"/>
  <c r="U1393" i="7"/>
  <c r="U1394" i="7"/>
  <c r="U1395" i="7"/>
  <c r="U1396" i="7"/>
  <c r="U1397" i="7"/>
  <c r="U1398" i="7"/>
  <c r="U1399" i="7"/>
  <c r="U1400" i="7"/>
  <c r="U1401" i="7"/>
  <c r="U1402" i="7"/>
  <c r="U1403" i="7"/>
  <c r="U1404" i="7"/>
  <c r="U1405" i="7"/>
  <c r="U1406" i="7"/>
  <c r="U1407" i="7"/>
  <c r="U1408" i="7"/>
  <c r="U1409" i="7"/>
  <c r="U1410" i="7"/>
  <c r="U1411" i="7"/>
  <c r="U1412" i="7"/>
  <c r="U1413" i="7"/>
  <c r="U1414" i="7"/>
  <c r="U1415" i="7"/>
  <c r="U1416" i="7"/>
  <c r="U1417" i="7"/>
  <c r="U1418" i="7"/>
  <c r="U1419" i="7"/>
  <c r="U1420" i="7"/>
  <c r="U1421" i="7"/>
  <c r="U1422" i="7"/>
  <c r="U1423" i="7"/>
  <c r="U1424" i="7"/>
  <c r="U1425" i="7"/>
  <c r="U1426" i="7"/>
  <c r="U1427" i="7"/>
  <c r="U1428" i="7"/>
  <c r="U1429" i="7"/>
  <c r="U1430" i="7"/>
  <c r="U1431" i="7"/>
  <c r="U1432" i="7"/>
  <c r="U1433" i="7"/>
  <c r="U1434" i="7"/>
  <c r="U1435" i="7"/>
  <c r="U1436" i="7"/>
  <c r="U1437" i="7"/>
  <c r="U1438" i="7"/>
  <c r="U1439" i="7"/>
  <c r="U1440" i="7"/>
  <c r="U1441" i="7"/>
  <c r="U1442" i="7"/>
  <c r="U1443" i="7"/>
  <c r="U1444" i="7"/>
  <c r="U1445" i="7"/>
  <c r="U1446" i="7"/>
  <c r="U1447" i="7"/>
  <c r="U1448" i="7"/>
  <c r="U1449" i="7"/>
  <c r="U1450" i="7"/>
  <c r="U1451" i="7"/>
  <c r="U1452" i="7"/>
  <c r="U1453" i="7"/>
  <c r="U1454" i="7"/>
  <c r="U1455" i="7"/>
  <c r="U1456" i="7"/>
  <c r="U1457" i="7"/>
  <c r="U1458" i="7"/>
  <c r="U1459" i="7"/>
  <c r="U1460" i="7"/>
  <c r="U1461" i="7"/>
  <c r="U1462" i="7"/>
  <c r="U1463" i="7"/>
  <c r="U1464" i="7"/>
  <c r="U1465" i="7"/>
  <c r="U1466" i="7"/>
  <c r="U1467" i="7"/>
  <c r="U1468" i="7"/>
  <c r="U1469" i="7"/>
  <c r="U1470" i="7"/>
  <c r="U1471" i="7"/>
  <c r="U1472" i="7"/>
  <c r="U1473" i="7"/>
  <c r="U1474" i="7"/>
  <c r="U1475" i="7"/>
  <c r="U1476" i="7"/>
  <c r="U1477" i="7"/>
  <c r="U1478" i="7"/>
  <c r="U1479" i="7"/>
  <c r="U1480" i="7"/>
  <c r="U1481" i="7"/>
  <c r="U1482" i="7"/>
  <c r="U1483" i="7"/>
  <c r="U1484" i="7"/>
  <c r="U1485" i="7"/>
  <c r="U1486" i="7"/>
  <c r="U1487" i="7"/>
  <c r="U1488" i="7"/>
  <c r="U1489" i="7"/>
  <c r="U1490" i="7"/>
  <c r="U1491" i="7"/>
  <c r="U1492" i="7"/>
  <c r="U1493" i="7"/>
  <c r="U1494" i="7"/>
  <c r="U1495" i="7"/>
  <c r="U1496" i="7"/>
  <c r="U1497" i="7"/>
  <c r="U1498" i="7"/>
  <c r="U1499" i="7"/>
  <c r="U1500" i="7"/>
  <c r="U1501" i="7"/>
  <c r="U1502" i="7"/>
  <c r="U1503" i="7"/>
  <c r="U1504" i="7"/>
  <c r="U1505" i="7"/>
  <c r="U1506" i="7"/>
  <c r="U1507" i="7"/>
  <c r="U1508" i="7"/>
  <c r="U1509" i="7"/>
  <c r="U1510" i="7"/>
  <c r="U1511" i="7"/>
  <c r="U1512" i="7"/>
  <c r="U1513" i="7"/>
  <c r="U1514" i="7"/>
  <c r="U1515" i="7"/>
  <c r="U1516" i="7"/>
  <c r="U1517" i="7"/>
  <c r="U1518" i="7"/>
  <c r="U1519" i="7"/>
  <c r="U1520" i="7"/>
  <c r="U1521" i="7"/>
  <c r="U1522" i="7"/>
  <c r="U1523" i="7"/>
  <c r="U1524" i="7"/>
  <c r="U1525" i="7"/>
  <c r="U1526" i="7"/>
  <c r="U1527" i="7"/>
  <c r="U1528" i="7"/>
  <c r="U1529" i="7"/>
  <c r="U1530" i="7"/>
  <c r="U1531" i="7"/>
  <c r="U1532" i="7"/>
  <c r="U1533" i="7"/>
  <c r="U1534" i="7"/>
  <c r="U1535" i="7"/>
  <c r="U1536" i="7"/>
  <c r="U1537" i="7"/>
  <c r="U1538" i="7"/>
  <c r="U1539" i="7"/>
  <c r="U1540" i="7"/>
  <c r="U1541" i="7"/>
  <c r="U1542" i="7"/>
  <c r="U1543" i="7"/>
  <c r="U1544" i="7"/>
  <c r="U1545" i="7"/>
  <c r="U1546" i="7"/>
  <c r="U1547" i="7"/>
  <c r="U1548" i="7"/>
  <c r="U1549" i="7"/>
  <c r="U1550" i="7"/>
  <c r="U1551" i="7"/>
  <c r="U1552" i="7"/>
  <c r="U1553" i="7"/>
  <c r="U1554" i="7"/>
  <c r="U1555" i="7"/>
  <c r="U1556" i="7"/>
  <c r="U1557" i="7"/>
  <c r="U1558" i="7"/>
  <c r="U1559" i="7"/>
  <c r="U1560" i="7"/>
  <c r="U1561" i="7"/>
  <c r="U1562" i="7"/>
  <c r="U1563" i="7"/>
  <c r="U1564" i="7"/>
  <c r="U1565" i="7"/>
  <c r="U1566" i="7"/>
  <c r="U1567" i="7"/>
  <c r="U1568" i="7"/>
  <c r="U1569" i="7"/>
  <c r="U1570" i="7"/>
  <c r="U1571" i="7"/>
  <c r="U1572" i="7"/>
  <c r="U1573" i="7"/>
  <c r="U1574" i="7"/>
  <c r="U1575" i="7"/>
  <c r="U1576" i="7"/>
  <c r="U1577" i="7"/>
  <c r="U1578" i="7"/>
  <c r="U1579" i="7"/>
  <c r="U1580" i="7"/>
  <c r="U1581" i="7"/>
  <c r="U1582" i="7"/>
  <c r="U1583" i="7"/>
  <c r="U1584" i="7"/>
  <c r="U1585" i="7"/>
  <c r="U1586" i="7"/>
  <c r="U1587" i="7"/>
  <c r="U1588" i="7"/>
  <c r="U1589" i="7"/>
  <c r="U1590" i="7"/>
  <c r="U1591" i="7"/>
  <c r="U1592" i="7"/>
  <c r="U1593" i="7"/>
  <c r="U1594" i="7"/>
  <c r="U1595" i="7"/>
  <c r="U1596" i="7"/>
  <c r="U1597" i="7"/>
  <c r="U1598" i="7"/>
  <c r="U1599" i="7"/>
  <c r="U1600" i="7"/>
  <c r="U1601" i="7"/>
  <c r="U1602" i="7"/>
  <c r="U1603" i="7"/>
  <c r="U1604" i="7"/>
  <c r="U1605" i="7"/>
  <c r="U1606" i="7"/>
  <c r="U1607" i="7"/>
  <c r="U1608" i="7"/>
  <c r="U1609" i="7"/>
  <c r="U1610" i="7"/>
  <c r="U1611" i="7"/>
  <c r="U1612" i="7"/>
  <c r="U1613" i="7"/>
  <c r="U1614" i="7"/>
  <c r="U1615" i="7"/>
  <c r="U1616" i="7"/>
  <c r="U1617" i="7"/>
  <c r="U1618" i="7"/>
  <c r="U1619" i="7"/>
  <c r="U1620" i="7"/>
  <c r="U1621" i="7"/>
  <c r="U1622" i="7"/>
  <c r="U1623" i="7"/>
  <c r="U1624" i="7"/>
  <c r="U1625" i="7"/>
  <c r="U1626" i="7"/>
  <c r="U1627" i="7"/>
  <c r="U1628" i="7"/>
  <c r="U1629" i="7"/>
  <c r="U1630" i="7"/>
  <c r="U1631" i="7"/>
  <c r="U1632" i="7"/>
  <c r="U1633" i="7"/>
  <c r="U1634" i="7"/>
  <c r="U1635" i="7"/>
  <c r="U1636" i="7"/>
  <c r="U1637" i="7"/>
  <c r="U1638" i="7"/>
  <c r="U1639" i="7"/>
  <c r="U1640" i="7"/>
  <c r="U1641" i="7"/>
  <c r="U1642" i="7"/>
  <c r="U1643" i="7"/>
  <c r="U1644" i="7"/>
  <c r="U1645" i="7"/>
  <c r="U1646" i="7"/>
  <c r="U1647" i="7"/>
  <c r="U1648" i="7"/>
  <c r="U1649" i="7"/>
  <c r="U1650" i="7"/>
  <c r="U1651" i="7"/>
  <c r="U1652" i="7"/>
  <c r="U1653" i="7"/>
  <c r="U1654" i="7"/>
  <c r="U1655" i="7"/>
  <c r="U1656" i="7"/>
  <c r="U1657" i="7"/>
  <c r="U1658" i="7"/>
  <c r="U1659" i="7"/>
  <c r="U1660" i="7"/>
  <c r="U1661" i="7"/>
  <c r="U1662" i="7"/>
  <c r="U1663" i="7"/>
  <c r="U1664" i="7"/>
  <c r="U1665" i="7"/>
  <c r="U1666" i="7"/>
  <c r="U1667" i="7"/>
  <c r="U1668" i="7"/>
  <c r="U1669" i="7"/>
  <c r="U1670" i="7"/>
  <c r="U1671" i="7"/>
  <c r="U1672" i="7"/>
  <c r="U1673" i="7"/>
  <c r="U1674" i="7"/>
  <c r="U1675" i="7"/>
  <c r="U1676" i="7"/>
  <c r="U1677" i="7"/>
  <c r="U1678" i="7"/>
  <c r="U1679" i="7"/>
  <c r="U1680" i="7"/>
  <c r="U1681" i="7"/>
  <c r="U1682" i="7"/>
  <c r="U1683" i="7"/>
  <c r="U1684" i="7"/>
  <c r="U1685" i="7"/>
  <c r="U1686" i="7"/>
  <c r="U1687" i="7"/>
  <c r="U1688" i="7"/>
  <c r="U1689" i="7"/>
  <c r="U1690" i="7"/>
  <c r="U1691" i="7"/>
  <c r="U1692" i="7"/>
  <c r="U1693" i="7"/>
  <c r="U1694" i="7"/>
  <c r="U1695" i="7"/>
  <c r="U1696" i="7"/>
  <c r="U1697" i="7"/>
  <c r="U1698" i="7"/>
  <c r="U1699" i="7"/>
  <c r="U1700" i="7"/>
  <c r="U1701" i="7"/>
  <c r="U1702" i="7"/>
  <c r="U1703" i="7"/>
  <c r="U1704" i="7"/>
  <c r="U1705" i="7"/>
  <c r="U1706" i="7"/>
  <c r="U1707" i="7"/>
  <c r="U1708" i="7"/>
  <c r="U1709" i="7"/>
  <c r="U1710" i="7"/>
  <c r="U1711" i="7"/>
  <c r="U1712" i="7"/>
  <c r="U1713" i="7"/>
  <c r="U1714" i="7"/>
  <c r="U1715" i="7"/>
  <c r="U1716" i="7"/>
  <c r="U1717" i="7"/>
  <c r="U1718" i="7"/>
  <c r="U1719" i="7"/>
  <c r="U1720" i="7"/>
  <c r="U1721" i="7"/>
  <c r="U1722" i="7"/>
  <c r="U1723" i="7"/>
  <c r="U1724" i="7"/>
  <c r="U1725" i="7"/>
  <c r="U1726" i="7"/>
  <c r="U1727" i="7"/>
  <c r="U1728" i="7"/>
  <c r="U1729" i="7"/>
  <c r="U1730" i="7"/>
  <c r="U1731" i="7"/>
  <c r="U1732" i="7"/>
  <c r="U1733" i="7"/>
  <c r="U1734" i="7"/>
  <c r="U1735" i="7"/>
  <c r="U1736" i="7"/>
  <c r="U1737" i="7"/>
  <c r="U1738" i="7"/>
  <c r="U1739" i="7"/>
  <c r="U1740" i="7"/>
  <c r="U1741" i="7"/>
  <c r="U1742" i="7"/>
  <c r="U1743" i="7"/>
  <c r="U1744" i="7"/>
  <c r="U1745" i="7"/>
  <c r="U1746" i="7"/>
  <c r="U1747" i="7"/>
  <c r="U1748" i="7"/>
  <c r="U1749" i="7"/>
  <c r="U1750" i="7"/>
  <c r="U1751" i="7"/>
  <c r="U1752" i="7"/>
  <c r="U1753" i="7"/>
  <c r="U1754" i="7"/>
  <c r="U1755" i="7"/>
  <c r="U1756" i="7"/>
  <c r="U1757" i="7"/>
  <c r="U1758" i="7"/>
  <c r="U1759" i="7"/>
  <c r="U1760" i="7"/>
  <c r="U1761" i="7"/>
  <c r="U1762" i="7"/>
  <c r="U1763" i="7"/>
  <c r="U1764" i="7"/>
  <c r="U1765" i="7"/>
  <c r="U1766" i="7"/>
  <c r="U1767" i="7"/>
  <c r="U1768" i="7"/>
  <c r="U1769" i="7"/>
  <c r="U1770" i="7"/>
  <c r="U1771" i="7"/>
  <c r="U1772" i="7"/>
  <c r="U1773" i="7"/>
  <c r="U1774" i="7"/>
  <c r="U1775" i="7"/>
  <c r="U1776" i="7"/>
  <c r="U1777" i="7"/>
  <c r="U1778" i="7"/>
  <c r="U1779" i="7"/>
  <c r="U1780" i="7"/>
  <c r="U1781" i="7"/>
  <c r="U1782" i="7"/>
  <c r="U1783" i="7"/>
  <c r="U1784" i="7"/>
  <c r="U1785" i="7"/>
  <c r="U1786" i="7"/>
  <c r="U1787" i="7"/>
  <c r="U1788" i="7"/>
  <c r="U1789" i="7"/>
  <c r="U1790" i="7"/>
  <c r="U1791" i="7"/>
  <c r="U1792" i="7"/>
  <c r="U1793" i="7"/>
  <c r="U1794" i="7"/>
  <c r="U1795" i="7"/>
  <c r="U1796" i="7"/>
  <c r="U1797" i="7"/>
  <c r="U1798" i="7"/>
  <c r="U1799" i="7"/>
  <c r="U1800" i="7"/>
  <c r="U1801" i="7"/>
  <c r="U1802" i="7"/>
  <c r="U1803" i="7"/>
  <c r="U1804" i="7"/>
  <c r="U1805" i="7"/>
  <c r="U1806" i="7"/>
  <c r="U1807" i="7"/>
  <c r="U1808" i="7"/>
  <c r="U1809" i="7"/>
  <c r="U1810" i="7"/>
  <c r="U1811" i="7"/>
  <c r="U1812" i="7"/>
  <c r="U1813" i="7"/>
  <c r="U1814" i="7"/>
  <c r="U1815" i="7"/>
  <c r="U1816" i="7"/>
  <c r="U1817" i="7"/>
  <c r="U1818" i="7"/>
  <c r="U1819" i="7"/>
  <c r="U1820" i="7"/>
  <c r="U1821" i="7"/>
  <c r="U1822" i="7"/>
  <c r="U1823" i="7"/>
  <c r="U1824" i="7"/>
  <c r="U1825" i="7"/>
  <c r="U1826" i="7"/>
  <c r="U1827" i="7"/>
  <c r="U1828" i="7"/>
  <c r="U1829" i="7"/>
  <c r="U1830" i="7"/>
  <c r="U1831" i="7"/>
  <c r="U1832" i="7"/>
  <c r="U1833" i="7"/>
  <c r="U1834" i="7"/>
  <c r="U1835" i="7"/>
  <c r="U1836" i="7"/>
  <c r="U1837" i="7"/>
  <c r="U1838" i="7"/>
  <c r="U1839" i="7"/>
  <c r="U1840" i="7"/>
  <c r="U1841" i="7"/>
  <c r="U1842" i="7"/>
  <c r="U1843" i="7"/>
  <c r="U1844" i="7"/>
  <c r="U1845" i="7"/>
  <c r="U1846" i="7"/>
  <c r="U1847" i="7"/>
  <c r="U1848" i="7"/>
  <c r="U1849" i="7"/>
  <c r="U1850" i="7"/>
  <c r="U1851" i="7"/>
  <c r="U1852" i="7"/>
  <c r="U1853" i="7"/>
  <c r="U1854" i="7"/>
  <c r="U1855" i="7"/>
  <c r="U1856" i="7"/>
  <c r="U1857" i="7"/>
  <c r="U1858" i="7"/>
  <c r="U1859" i="7"/>
  <c r="U1860" i="7"/>
  <c r="U1861" i="7"/>
  <c r="U1862" i="7"/>
  <c r="U1863" i="7"/>
  <c r="U1864" i="7"/>
  <c r="U1865" i="7"/>
  <c r="U1866" i="7"/>
  <c r="U1867" i="7"/>
  <c r="U1868" i="7"/>
  <c r="U1869" i="7"/>
  <c r="U1870" i="7"/>
  <c r="U1871" i="7"/>
  <c r="U1872" i="7"/>
  <c r="U1873" i="7"/>
  <c r="U1874" i="7"/>
  <c r="U1875" i="7"/>
  <c r="U1876" i="7"/>
  <c r="U1877" i="7"/>
  <c r="U1878" i="7"/>
  <c r="U1879" i="7"/>
  <c r="U1880" i="7"/>
  <c r="U1881" i="7"/>
  <c r="U1882" i="7"/>
  <c r="U1883" i="7"/>
  <c r="U1884" i="7"/>
  <c r="U1885" i="7"/>
  <c r="U1886" i="7"/>
  <c r="U1887" i="7"/>
  <c r="U1888" i="7"/>
  <c r="U1889" i="7"/>
  <c r="U1890" i="7"/>
  <c r="U1891" i="7"/>
  <c r="U1892" i="7"/>
  <c r="U1893" i="7"/>
  <c r="U1894" i="7"/>
  <c r="U1895" i="7"/>
  <c r="U1896" i="7"/>
  <c r="U1897" i="7"/>
  <c r="U1898" i="7"/>
  <c r="U1899" i="7"/>
  <c r="U1900" i="7"/>
  <c r="U1901" i="7"/>
  <c r="U1902" i="7"/>
  <c r="U1903" i="7"/>
  <c r="U1904" i="7"/>
  <c r="U1905" i="7"/>
  <c r="U1906" i="7"/>
  <c r="U1907" i="7"/>
  <c r="U1908" i="7"/>
  <c r="U1909" i="7"/>
  <c r="U1910" i="7"/>
  <c r="U1911" i="7"/>
  <c r="U1912" i="7"/>
  <c r="U1913" i="7"/>
  <c r="U1914" i="7"/>
  <c r="U1915" i="7"/>
  <c r="U1916" i="7"/>
  <c r="U1917" i="7"/>
  <c r="U1918" i="7"/>
  <c r="U1919" i="7"/>
  <c r="U1920" i="7"/>
  <c r="U1921" i="7"/>
  <c r="U1922" i="7"/>
  <c r="U1923" i="7"/>
  <c r="U1924" i="7"/>
  <c r="U1925" i="7"/>
  <c r="U1926" i="7"/>
  <c r="U1927" i="7"/>
  <c r="U1928" i="7"/>
  <c r="U1929" i="7"/>
  <c r="U1930" i="7"/>
  <c r="U1931" i="7"/>
  <c r="U1932" i="7"/>
  <c r="U1933" i="7"/>
  <c r="U1934" i="7"/>
  <c r="U1935" i="7"/>
  <c r="U1936" i="7"/>
  <c r="U1937" i="7"/>
  <c r="U1938" i="7"/>
  <c r="U1939" i="7"/>
  <c r="U1940" i="7"/>
  <c r="U1941" i="7"/>
  <c r="U1942" i="7"/>
  <c r="U1943" i="7"/>
  <c r="U1944" i="7"/>
  <c r="U1945" i="7"/>
  <c r="U1946" i="7"/>
  <c r="U1947" i="7"/>
  <c r="U1948" i="7"/>
  <c r="U1949" i="7"/>
  <c r="U1950" i="7"/>
  <c r="U1951" i="7"/>
  <c r="U1952" i="7"/>
  <c r="U1953" i="7"/>
  <c r="U1954" i="7"/>
  <c r="U1955" i="7"/>
  <c r="U1956" i="7"/>
  <c r="U1957" i="7"/>
  <c r="U1958" i="7"/>
  <c r="U1959" i="7"/>
  <c r="U1960" i="7"/>
  <c r="U1961" i="7"/>
  <c r="U1962" i="7"/>
  <c r="U1963" i="7"/>
  <c r="U1964" i="7"/>
  <c r="U1965" i="7"/>
  <c r="U1966" i="7"/>
  <c r="U1967" i="7"/>
  <c r="U1968" i="7"/>
  <c r="U1969" i="7"/>
  <c r="U1970" i="7"/>
  <c r="U1971" i="7"/>
  <c r="U1972" i="7"/>
  <c r="U1973" i="7"/>
  <c r="U1974" i="7"/>
  <c r="U1975" i="7"/>
  <c r="U1976" i="7"/>
  <c r="U1977" i="7"/>
  <c r="U1978" i="7"/>
  <c r="U1979" i="7"/>
  <c r="U1980" i="7"/>
  <c r="U1981" i="7"/>
  <c r="U1982" i="7"/>
  <c r="U1983" i="7"/>
  <c r="U1984" i="7"/>
  <c r="U1985" i="7"/>
  <c r="U1986" i="7"/>
  <c r="U1987" i="7"/>
  <c r="U1988" i="7"/>
  <c r="U1989" i="7"/>
  <c r="U1990" i="7"/>
  <c r="U1991" i="7"/>
  <c r="U1992" i="7"/>
  <c r="U1993" i="7"/>
  <c r="U1994" i="7"/>
  <c r="U1995" i="7"/>
  <c r="U1996" i="7"/>
  <c r="U1997" i="7"/>
  <c r="U1998" i="7"/>
  <c r="U1999" i="7"/>
  <c r="U2000" i="7"/>
  <c r="U2001" i="7"/>
  <c r="U2002" i="7"/>
  <c r="U2003" i="7"/>
  <c r="U2004" i="7"/>
  <c r="U2005" i="7"/>
  <c r="U2006" i="7"/>
  <c r="U2007" i="7"/>
  <c r="U2008" i="7"/>
  <c r="U2009" i="7"/>
  <c r="U2010" i="7"/>
  <c r="U2011" i="7"/>
  <c r="U2012" i="7"/>
  <c r="U2013" i="7"/>
  <c r="U2014" i="7"/>
  <c r="U2015" i="7"/>
  <c r="U2016" i="7"/>
  <c r="U2017" i="7"/>
  <c r="U2018" i="7"/>
  <c r="U2019" i="7"/>
  <c r="U2020" i="7"/>
  <c r="U2021" i="7"/>
  <c r="U2022" i="7"/>
  <c r="U2023" i="7"/>
  <c r="U2024" i="7"/>
  <c r="U2025" i="7"/>
  <c r="U2026" i="7"/>
  <c r="U2027" i="7"/>
  <c r="U2028" i="7"/>
  <c r="U2029" i="7"/>
  <c r="U2030" i="7"/>
  <c r="U2031" i="7"/>
  <c r="U2032" i="7"/>
  <c r="U2033" i="7"/>
  <c r="U2034" i="7"/>
  <c r="U2035" i="7"/>
  <c r="U2036" i="7"/>
  <c r="U2037" i="7"/>
  <c r="U2038" i="7"/>
  <c r="U2039" i="7"/>
  <c r="U2040" i="7"/>
  <c r="U2041" i="7"/>
  <c r="U2042" i="7"/>
  <c r="U2043" i="7"/>
  <c r="U2044" i="7"/>
  <c r="U2045" i="7"/>
  <c r="U2046" i="7"/>
  <c r="U2047" i="7"/>
  <c r="U2048" i="7"/>
  <c r="U2049" i="7"/>
  <c r="U2050" i="7"/>
  <c r="U2051" i="7"/>
  <c r="U2052" i="7"/>
  <c r="U2053" i="7"/>
  <c r="U2054" i="7"/>
  <c r="U2055" i="7"/>
  <c r="U2056" i="7"/>
  <c r="U2057" i="7"/>
  <c r="U2058" i="7"/>
  <c r="U2059" i="7"/>
  <c r="U2060" i="7"/>
  <c r="U2061" i="7"/>
  <c r="U2062" i="7"/>
  <c r="U2063" i="7"/>
  <c r="U2064" i="7"/>
  <c r="U2065" i="7"/>
  <c r="U2066" i="7"/>
  <c r="U2067" i="7"/>
  <c r="U2068" i="7"/>
  <c r="U2069" i="7"/>
  <c r="U2070" i="7"/>
  <c r="U2071" i="7"/>
  <c r="U2072" i="7"/>
  <c r="U2073" i="7"/>
  <c r="U2074" i="7"/>
  <c r="U2075" i="7"/>
  <c r="U2076" i="7"/>
  <c r="U2077" i="7"/>
  <c r="U2078" i="7"/>
  <c r="U2079" i="7"/>
  <c r="U2080" i="7"/>
  <c r="U2081" i="7"/>
  <c r="U2082" i="7"/>
  <c r="U2083" i="7"/>
  <c r="U2084" i="7"/>
  <c r="U2085" i="7"/>
  <c r="U2086" i="7"/>
  <c r="U2087" i="7"/>
  <c r="U2088" i="7"/>
  <c r="U2089" i="7"/>
  <c r="U2090" i="7"/>
  <c r="U2091" i="7"/>
  <c r="U2092" i="7"/>
  <c r="U2093" i="7"/>
  <c r="U2094" i="7"/>
  <c r="U2095" i="7"/>
  <c r="U2096" i="7"/>
  <c r="U2097" i="7"/>
  <c r="U2098" i="7"/>
  <c r="U2099" i="7"/>
  <c r="U2100" i="7"/>
  <c r="U2101" i="7"/>
  <c r="U2102" i="7"/>
  <c r="U2103" i="7"/>
  <c r="U2104" i="7"/>
  <c r="U2105" i="7"/>
  <c r="U2106" i="7"/>
  <c r="U2107" i="7"/>
  <c r="U2108" i="7"/>
  <c r="U2109" i="7"/>
  <c r="U2110" i="7"/>
  <c r="U2111" i="7"/>
  <c r="U2112" i="7"/>
  <c r="U2113" i="7"/>
  <c r="U2114" i="7"/>
  <c r="U2115" i="7"/>
  <c r="U2116" i="7"/>
  <c r="U2117" i="7"/>
  <c r="U2118" i="7"/>
  <c r="U2119" i="7"/>
  <c r="U2120" i="7"/>
  <c r="U2121" i="7"/>
  <c r="U2122" i="7"/>
  <c r="U2123" i="7"/>
  <c r="U2124" i="7"/>
  <c r="U2125" i="7"/>
  <c r="U2126" i="7"/>
  <c r="U2127" i="7"/>
  <c r="U2128" i="7"/>
  <c r="U2129" i="7"/>
  <c r="U2130" i="7"/>
  <c r="U2131" i="7"/>
  <c r="U2132" i="7"/>
  <c r="U2133" i="7"/>
  <c r="U2134" i="7"/>
  <c r="U2135" i="7"/>
  <c r="U2136" i="7"/>
  <c r="U2137" i="7"/>
  <c r="U2138" i="7"/>
  <c r="U2139" i="7"/>
  <c r="U2140" i="7"/>
  <c r="U2141" i="7"/>
  <c r="U2142" i="7"/>
  <c r="U2143" i="7"/>
  <c r="U2144" i="7"/>
  <c r="U2145" i="7"/>
  <c r="U2146" i="7"/>
  <c r="U2147" i="7"/>
  <c r="U2148" i="7"/>
  <c r="U2149" i="7"/>
  <c r="U2150" i="7"/>
  <c r="U2151" i="7"/>
  <c r="U2152" i="7"/>
  <c r="U2153" i="7"/>
  <c r="U2154" i="7"/>
  <c r="U2155" i="7"/>
  <c r="U2156" i="7"/>
  <c r="U2157" i="7"/>
  <c r="U2158" i="7"/>
  <c r="U2159" i="7"/>
  <c r="U2160" i="7"/>
  <c r="U2161" i="7"/>
  <c r="U2162" i="7"/>
  <c r="U2163" i="7"/>
  <c r="U2164" i="7"/>
  <c r="U2165" i="7"/>
  <c r="U2166" i="7"/>
  <c r="U2167" i="7"/>
  <c r="U2168" i="7"/>
  <c r="U2169" i="7"/>
  <c r="U2170" i="7"/>
  <c r="U2171" i="7"/>
  <c r="U2172" i="7"/>
  <c r="U2173" i="7"/>
  <c r="U2174" i="7"/>
  <c r="U2175" i="7"/>
  <c r="U2176" i="7"/>
  <c r="U2177" i="7"/>
  <c r="U2178" i="7"/>
  <c r="U2179" i="7"/>
  <c r="U2180" i="7"/>
  <c r="U2181" i="7"/>
  <c r="U2182" i="7"/>
  <c r="U2183" i="7"/>
  <c r="U2184" i="7"/>
  <c r="U2185" i="7"/>
  <c r="U2186" i="7"/>
  <c r="U2187" i="7"/>
  <c r="U2188" i="7"/>
  <c r="U2189" i="7"/>
  <c r="U2190" i="7"/>
  <c r="U2191" i="7"/>
  <c r="U2192" i="7"/>
  <c r="U2193" i="7"/>
  <c r="U2194" i="7"/>
  <c r="U2195" i="7"/>
  <c r="U2196" i="7"/>
  <c r="U2197" i="7"/>
  <c r="U2198" i="7"/>
  <c r="U2199" i="7"/>
  <c r="U2200" i="7"/>
  <c r="U2201" i="7"/>
  <c r="U2202" i="7"/>
  <c r="U2203" i="7"/>
  <c r="U2204" i="7"/>
  <c r="U2205" i="7"/>
  <c r="U2206" i="7"/>
  <c r="U2207" i="7"/>
  <c r="U2208" i="7"/>
  <c r="U2209" i="7"/>
  <c r="U2210" i="7"/>
  <c r="U2211" i="7"/>
  <c r="U2212" i="7"/>
  <c r="U2213" i="7"/>
  <c r="U2214" i="7"/>
  <c r="U2215" i="7"/>
  <c r="U2216" i="7"/>
  <c r="U2217" i="7"/>
  <c r="U2218" i="7"/>
  <c r="U2219" i="7"/>
  <c r="U2220" i="7"/>
  <c r="U2221" i="7"/>
  <c r="U2222" i="7"/>
  <c r="U2223" i="7"/>
  <c r="U2224" i="7"/>
  <c r="U2225" i="7"/>
  <c r="U2226" i="7"/>
  <c r="U2227" i="7"/>
  <c r="U2228" i="7"/>
  <c r="U2229" i="7"/>
  <c r="U2230" i="7"/>
  <c r="U2231" i="7"/>
  <c r="U2232" i="7"/>
  <c r="U2233" i="7"/>
  <c r="U2234" i="7"/>
  <c r="U2235" i="7"/>
  <c r="U2236" i="7"/>
  <c r="U2237" i="7"/>
  <c r="U2238" i="7"/>
  <c r="U2239" i="7"/>
  <c r="U2240" i="7"/>
  <c r="U2241" i="7"/>
  <c r="U2242" i="7"/>
  <c r="U2243" i="7"/>
  <c r="U2244" i="7"/>
  <c r="U2245" i="7"/>
  <c r="U2246" i="7"/>
  <c r="U2247" i="7"/>
  <c r="U2248" i="7"/>
  <c r="U2249" i="7"/>
  <c r="U2250" i="7"/>
  <c r="U2251" i="7"/>
  <c r="U2252" i="7"/>
  <c r="U2253" i="7"/>
  <c r="U2254" i="7"/>
  <c r="U2255" i="7"/>
  <c r="U2256" i="7"/>
  <c r="U2257" i="7"/>
  <c r="U2258" i="7"/>
  <c r="U2259" i="7"/>
  <c r="U2260" i="7"/>
  <c r="U2261" i="7"/>
  <c r="U2262" i="7"/>
  <c r="U2263" i="7"/>
  <c r="U2264" i="7"/>
  <c r="U2265" i="7"/>
  <c r="U2266" i="7"/>
  <c r="U2267" i="7"/>
  <c r="U2268" i="7"/>
  <c r="U2269" i="7"/>
  <c r="U2270" i="7"/>
  <c r="U2271" i="7"/>
  <c r="U2272" i="7"/>
  <c r="U2273" i="7"/>
  <c r="U2274" i="7"/>
  <c r="U2275" i="7"/>
  <c r="U2276" i="7"/>
  <c r="U2277" i="7"/>
  <c r="U2278" i="7"/>
  <c r="U2279" i="7"/>
  <c r="U2280" i="7"/>
  <c r="U2281" i="7"/>
  <c r="U2282" i="7"/>
  <c r="U2283" i="7"/>
  <c r="U2284" i="7"/>
  <c r="U2285" i="7"/>
  <c r="U2286" i="7"/>
  <c r="U2287" i="7"/>
  <c r="U2288" i="7"/>
  <c r="U2289" i="7"/>
  <c r="U2290" i="7"/>
  <c r="U2291" i="7"/>
  <c r="U2292" i="7"/>
  <c r="U2293" i="7"/>
  <c r="U2294" i="7"/>
  <c r="U2295" i="7"/>
  <c r="U2296" i="7"/>
  <c r="U2297" i="7"/>
  <c r="U2298" i="7"/>
  <c r="U2299" i="7"/>
  <c r="U2300" i="7"/>
  <c r="U2301" i="7"/>
  <c r="U2302" i="7"/>
  <c r="U2303" i="7"/>
  <c r="U2304" i="7"/>
  <c r="U2305" i="7"/>
  <c r="U2306" i="7"/>
  <c r="U2307" i="7"/>
  <c r="U2308" i="7"/>
  <c r="U2309" i="7"/>
  <c r="U2310" i="7"/>
  <c r="U2311" i="7"/>
  <c r="U2312" i="7"/>
  <c r="U2313" i="7"/>
  <c r="U2314" i="7"/>
  <c r="U2315" i="7"/>
  <c r="U2316" i="7"/>
  <c r="U2317" i="7"/>
  <c r="U2318" i="7"/>
  <c r="U2319" i="7"/>
  <c r="U2320" i="7"/>
  <c r="U2321" i="7"/>
  <c r="U2322" i="7"/>
  <c r="U2323" i="7"/>
  <c r="U2324" i="7"/>
  <c r="U2325" i="7"/>
  <c r="U2326" i="7"/>
  <c r="U2327" i="7"/>
  <c r="U2328" i="7"/>
  <c r="U2329" i="7"/>
  <c r="U2330" i="7"/>
  <c r="U2331" i="7"/>
  <c r="U2332" i="7"/>
  <c r="U2333" i="7"/>
  <c r="U2334" i="7"/>
  <c r="U2335" i="7"/>
  <c r="U2336" i="7"/>
  <c r="U2337" i="7"/>
  <c r="U2338" i="7"/>
  <c r="U2339" i="7"/>
  <c r="U2340" i="7"/>
  <c r="U2341" i="7"/>
  <c r="U2342" i="7"/>
  <c r="U2343" i="7"/>
  <c r="U2344" i="7"/>
  <c r="U2345" i="7"/>
  <c r="U2346" i="7"/>
  <c r="U2347" i="7"/>
  <c r="U2348" i="7"/>
  <c r="U2349" i="7"/>
  <c r="U2350" i="7"/>
  <c r="U2351" i="7"/>
  <c r="U2352" i="7"/>
  <c r="U2353" i="7"/>
  <c r="U2354" i="7"/>
  <c r="U2355" i="7"/>
  <c r="U2356" i="7"/>
  <c r="U2357" i="7"/>
  <c r="U2358" i="7"/>
  <c r="U2359" i="7"/>
  <c r="U2360" i="7"/>
  <c r="U2361" i="7"/>
  <c r="U2362" i="7"/>
  <c r="U2363" i="7"/>
  <c r="U2364" i="7"/>
  <c r="U2365" i="7"/>
  <c r="U2366" i="7"/>
  <c r="U2367" i="7"/>
  <c r="U2368" i="7"/>
  <c r="U2369" i="7"/>
  <c r="U2370" i="7"/>
  <c r="U2371" i="7"/>
  <c r="U2372" i="7"/>
  <c r="U2373" i="7"/>
  <c r="U2374" i="7"/>
  <c r="U2375" i="7"/>
  <c r="U2376" i="7"/>
  <c r="U2377" i="7"/>
  <c r="U2378" i="7"/>
  <c r="U2379" i="7"/>
  <c r="U2380" i="7"/>
  <c r="U2381" i="7"/>
  <c r="U2382" i="7"/>
  <c r="U2383" i="7"/>
  <c r="U2384" i="7"/>
  <c r="U2385" i="7"/>
  <c r="U2386" i="7"/>
  <c r="U2387" i="7"/>
  <c r="U2388" i="7"/>
  <c r="U2389" i="7"/>
  <c r="U2390" i="7"/>
  <c r="U2391" i="7"/>
  <c r="U2392" i="7"/>
  <c r="U2393" i="7"/>
  <c r="U2394" i="7"/>
  <c r="U2395" i="7"/>
  <c r="U2396" i="7"/>
  <c r="U2397" i="7"/>
  <c r="U2398" i="7"/>
  <c r="U2399" i="7"/>
  <c r="U2400" i="7"/>
  <c r="U2401" i="7"/>
  <c r="U2402" i="7"/>
  <c r="U2403" i="7"/>
  <c r="U2404" i="7"/>
  <c r="U2405" i="7"/>
  <c r="U2406" i="7"/>
  <c r="U2407" i="7"/>
  <c r="U2408" i="7"/>
  <c r="U2409" i="7"/>
  <c r="U2410" i="7"/>
  <c r="U2411" i="7"/>
  <c r="U2412" i="7"/>
  <c r="U2413" i="7"/>
  <c r="U2414" i="7"/>
  <c r="U2415" i="7"/>
  <c r="U2416" i="7"/>
  <c r="U2417" i="7"/>
  <c r="U2418" i="7"/>
  <c r="U2419" i="7"/>
  <c r="U2420" i="7"/>
  <c r="U2421" i="7"/>
  <c r="U2422" i="7"/>
  <c r="U2423" i="7"/>
  <c r="U2424" i="7"/>
  <c r="U2425" i="7"/>
  <c r="U2426" i="7"/>
  <c r="U2427" i="7"/>
  <c r="U2428" i="7"/>
  <c r="U2429" i="7"/>
  <c r="U2430" i="7"/>
  <c r="U2431" i="7"/>
  <c r="U2432" i="7"/>
  <c r="U2433" i="7"/>
  <c r="U2434" i="7"/>
  <c r="U2435" i="7"/>
  <c r="U2436" i="7"/>
  <c r="U2437" i="7"/>
  <c r="U2438" i="7"/>
  <c r="U2439" i="7"/>
  <c r="U2440" i="7"/>
  <c r="U2441" i="7"/>
  <c r="U2442" i="7"/>
  <c r="U2443" i="7"/>
  <c r="U2444" i="7"/>
  <c r="U2445" i="7"/>
  <c r="U2446" i="7"/>
  <c r="U2447" i="7"/>
  <c r="U2448" i="7"/>
  <c r="U2449" i="7"/>
  <c r="U2450" i="7"/>
  <c r="U2451" i="7"/>
  <c r="U2452" i="7"/>
  <c r="U2453" i="7"/>
  <c r="U2454" i="7"/>
  <c r="U2455" i="7"/>
  <c r="U2456" i="7"/>
  <c r="U2457" i="7"/>
  <c r="U2458" i="7"/>
  <c r="U2459" i="7"/>
  <c r="U2460" i="7"/>
  <c r="U2461" i="7"/>
  <c r="U2462" i="7"/>
  <c r="U2463" i="7"/>
  <c r="U2464" i="7"/>
  <c r="U2465" i="7"/>
  <c r="U2466" i="7"/>
  <c r="U2467" i="7"/>
  <c r="U2468" i="7"/>
  <c r="U2469" i="7"/>
  <c r="U2470" i="7"/>
  <c r="U2471" i="7"/>
  <c r="U2472" i="7"/>
  <c r="U2473" i="7"/>
  <c r="U2474" i="7"/>
  <c r="U2475" i="7"/>
  <c r="U2476" i="7"/>
  <c r="U2477" i="7"/>
  <c r="U2478" i="7"/>
  <c r="U2479" i="7"/>
  <c r="U2480" i="7"/>
  <c r="U2481" i="7"/>
  <c r="U2482" i="7"/>
  <c r="U2483" i="7"/>
  <c r="U2484" i="7"/>
  <c r="U2485"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V634" i="7"/>
  <c r="V635" i="7"/>
  <c r="V636" i="7"/>
  <c r="V637" i="7"/>
  <c r="V638" i="7"/>
  <c r="V639" i="7"/>
  <c r="V640"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81" i="7"/>
  <c r="V682" i="7"/>
  <c r="V683" i="7"/>
  <c r="V684" i="7"/>
  <c r="V685" i="7"/>
  <c r="V686" i="7"/>
  <c r="V687" i="7"/>
  <c r="V688" i="7"/>
  <c r="V689" i="7"/>
  <c r="V690" i="7"/>
  <c r="V691" i="7"/>
  <c r="V692" i="7"/>
  <c r="V693" i="7"/>
  <c r="V694" i="7"/>
  <c r="V695" i="7"/>
  <c r="V696" i="7"/>
  <c r="V697" i="7"/>
  <c r="V698" i="7"/>
  <c r="V699" i="7"/>
  <c r="V700" i="7"/>
  <c r="V701" i="7"/>
  <c r="V702" i="7"/>
  <c r="V703" i="7"/>
  <c r="V704" i="7"/>
  <c r="V705" i="7"/>
  <c r="V706" i="7"/>
  <c r="V707" i="7"/>
  <c r="V708" i="7"/>
  <c r="V709" i="7"/>
  <c r="V710" i="7"/>
  <c r="V711" i="7"/>
  <c r="V712" i="7"/>
  <c r="V713" i="7"/>
  <c r="V714" i="7"/>
  <c r="V715" i="7"/>
  <c r="V716" i="7"/>
  <c r="V717" i="7"/>
  <c r="V718" i="7"/>
  <c r="V719" i="7"/>
  <c r="V720" i="7"/>
  <c r="V721" i="7"/>
  <c r="V722" i="7"/>
  <c r="V723" i="7"/>
  <c r="V724" i="7"/>
  <c r="V725" i="7"/>
  <c r="V726" i="7"/>
  <c r="V727" i="7"/>
  <c r="V728" i="7"/>
  <c r="V729" i="7"/>
  <c r="V730" i="7"/>
  <c r="V731" i="7"/>
  <c r="V732" i="7"/>
  <c r="V733" i="7"/>
  <c r="V734" i="7"/>
  <c r="V735" i="7"/>
  <c r="V736" i="7"/>
  <c r="V737" i="7"/>
  <c r="V738" i="7"/>
  <c r="V739" i="7"/>
  <c r="V740" i="7"/>
  <c r="V741" i="7"/>
  <c r="V742" i="7"/>
  <c r="V743" i="7"/>
  <c r="V744" i="7"/>
  <c r="V745" i="7"/>
  <c r="V746" i="7"/>
  <c r="V747" i="7"/>
  <c r="V748" i="7"/>
  <c r="V749" i="7"/>
  <c r="V750" i="7"/>
  <c r="V751" i="7"/>
  <c r="V752" i="7"/>
  <c r="V753" i="7"/>
  <c r="V754" i="7"/>
  <c r="V755" i="7"/>
  <c r="V756" i="7"/>
  <c r="V757" i="7"/>
  <c r="V758" i="7"/>
  <c r="V759" i="7"/>
  <c r="V760" i="7"/>
  <c r="V761" i="7"/>
  <c r="V762" i="7"/>
  <c r="V763" i="7"/>
  <c r="V764" i="7"/>
  <c r="V765" i="7"/>
  <c r="V766" i="7"/>
  <c r="V767" i="7"/>
  <c r="V768" i="7"/>
  <c r="V769" i="7"/>
  <c r="V770" i="7"/>
  <c r="V771" i="7"/>
  <c r="V772" i="7"/>
  <c r="V773" i="7"/>
  <c r="V774" i="7"/>
  <c r="V775" i="7"/>
  <c r="V776" i="7"/>
  <c r="V777" i="7"/>
  <c r="V778" i="7"/>
  <c r="V779" i="7"/>
  <c r="V780" i="7"/>
  <c r="V781" i="7"/>
  <c r="V782" i="7"/>
  <c r="V783" i="7"/>
  <c r="V784" i="7"/>
  <c r="V785" i="7"/>
  <c r="V786" i="7"/>
  <c r="V787" i="7"/>
  <c r="V788" i="7"/>
  <c r="V789" i="7"/>
  <c r="V790" i="7"/>
  <c r="V791" i="7"/>
  <c r="V792" i="7"/>
  <c r="V793" i="7"/>
  <c r="V794" i="7"/>
  <c r="V795" i="7"/>
  <c r="V796" i="7"/>
  <c r="V797" i="7"/>
  <c r="V798" i="7"/>
  <c r="V799" i="7"/>
  <c r="V800" i="7"/>
  <c r="V801" i="7"/>
  <c r="V802" i="7"/>
  <c r="V803" i="7"/>
  <c r="V804" i="7"/>
  <c r="V805" i="7"/>
  <c r="V806" i="7"/>
  <c r="V807" i="7"/>
  <c r="V808" i="7"/>
  <c r="V809" i="7"/>
  <c r="V810" i="7"/>
  <c r="V811" i="7"/>
  <c r="V812" i="7"/>
  <c r="V813" i="7"/>
  <c r="V814" i="7"/>
  <c r="V815" i="7"/>
  <c r="V816" i="7"/>
  <c r="V817" i="7"/>
  <c r="V818" i="7"/>
  <c r="V819" i="7"/>
  <c r="V820" i="7"/>
  <c r="V821" i="7"/>
  <c r="V822" i="7"/>
  <c r="V823" i="7"/>
  <c r="V824" i="7"/>
  <c r="V825" i="7"/>
  <c r="V826" i="7"/>
  <c r="V827" i="7"/>
  <c r="V828" i="7"/>
  <c r="V829" i="7"/>
  <c r="V830" i="7"/>
  <c r="V831" i="7"/>
  <c r="V832" i="7"/>
  <c r="V833" i="7"/>
  <c r="V834" i="7"/>
  <c r="V835" i="7"/>
  <c r="V836" i="7"/>
  <c r="V837" i="7"/>
  <c r="V838" i="7"/>
  <c r="V839" i="7"/>
  <c r="V840" i="7"/>
  <c r="V841" i="7"/>
  <c r="V842" i="7"/>
  <c r="V843" i="7"/>
  <c r="V844" i="7"/>
  <c r="V845" i="7"/>
  <c r="V846" i="7"/>
  <c r="V847" i="7"/>
  <c r="V848" i="7"/>
  <c r="V849" i="7"/>
  <c r="V850" i="7"/>
  <c r="V851" i="7"/>
  <c r="V852" i="7"/>
  <c r="V853" i="7"/>
  <c r="V854" i="7"/>
  <c r="V855" i="7"/>
  <c r="V856" i="7"/>
  <c r="V857" i="7"/>
  <c r="V858" i="7"/>
  <c r="V859" i="7"/>
  <c r="V860" i="7"/>
  <c r="V861" i="7"/>
  <c r="V862" i="7"/>
  <c r="V863" i="7"/>
  <c r="V864" i="7"/>
  <c r="V865" i="7"/>
  <c r="V866" i="7"/>
  <c r="V867" i="7"/>
  <c r="V868" i="7"/>
  <c r="V869" i="7"/>
  <c r="V870" i="7"/>
  <c r="V871" i="7"/>
  <c r="V872" i="7"/>
  <c r="V873" i="7"/>
  <c r="V874" i="7"/>
  <c r="V875" i="7"/>
  <c r="V876" i="7"/>
  <c r="V877" i="7"/>
  <c r="V878" i="7"/>
  <c r="V879" i="7"/>
  <c r="V880" i="7"/>
  <c r="V881" i="7"/>
  <c r="V882" i="7"/>
  <c r="V883" i="7"/>
  <c r="V884" i="7"/>
  <c r="V885" i="7"/>
  <c r="V886" i="7"/>
  <c r="V887" i="7"/>
  <c r="V888" i="7"/>
  <c r="V889" i="7"/>
  <c r="V890" i="7"/>
  <c r="V891" i="7"/>
  <c r="V892" i="7"/>
  <c r="V893" i="7"/>
  <c r="V894" i="7"/>
  <c r="V895" i="7"/>
  <c r="V896" i="7"/>
  <c r="V897" i="7"/>
  <c r="V898" i="7"/>
  <c r="V899" i="7"/>
  <c r="V900" i="7"/>
  <c r="V901" i="7"/>
  <c r="V902" i="7"/>
  <c r="V903" i="7"/>
  <c r="V904" i="7"/>
  <c r="V905" i="7"/>
  <c r="V906" i="7"/>
  <c r="V907" i="7"/>
  <c r="V908" i="7"/>
  <c r="V909" i="7"/>
  <c r="V910" i="7"/>
  <c r="V911" i="7"/>
  <c r="V912" i="7"/>
  <c r="V913" i="7"/>
  <c r="V914" i="7"/>
  <c r="V915" i="7"/>
  <c r="V916" i="7"/>
  <c r="V917" i="7"/>
  <c r="V918" i="7"/>
  <c r="V919" i="7"/>
  <c r="V920" i="7"/>
  <c r="V921" i="7"/>
  <c r="V922" i="7"/>
  <c r="V923" i="7"/>
  <c r="V924" i="7"/>
  <c r="V925" i="7"/>
  <c r="V926" i="7"/>
  <c r="V927" i="7"/>
  <c r="V928" i="7"/>
  <c r="V929" i="7"/>
  <c r="V930" i="7"/>
  <c r="V931" i="7"/>
  <c r="V932" i="7"/>
  <c r="V933" i="7"/>
  <c r="V934" i="7"/>
  <c r="V935" i="7"/>
  <c r="V936" i="7"/>
  <c r="V937" i="7"/>
  <c r="V938" i="7"/>
  <c r="V939" i="7"/>
  <c r="V940" i="7"/>
  <c r="V941" i="7"/>
  <c r="V942" i="7"/>
  <c r="V943" i="7"/>
  <c r="V944" i="7"/>
  <c r="V945" i="7"/>
  <c r="V946" i="7"/>
  <c r="V947" i="7"/>
  <c r="V948" i="7"/>
  <c r="V949" i="7"/>
  <c r="V950" i="7"/>
  <c r="V951" i="7"/>
  <c r="V952" i="7"/>
  <c r="V953" i="7"/>
  <c r="V954" i="7"/>
  <c r="V955" i="7"/>
  <c r="V956" i="7"/>
  <c r="V957" i="7"/>
  <c r="V958" i="7"/>
  <c r="V959" i="7"/>
  <c r="V960" i="7"/>
  <c r="V961" i="7"/>
  <c r="V962" i="7"/>
  <c r="V963" i="7"/>
  <c r="V964" i="7"/>
  <c r="V965" i="7"/>
  <c r="V966" i="7"/>
  <c r="V967" i="7"/>
  <c r="V968" i="7"/>
  <c r="V969" i="7"/>
  <c r="V970" i="7"/>
  <c r="V971" i="7"/>
  <c r="V972" i="7"/>
  <c r="V973" i="7"/>
  <c r="V974" i="7"/>
  <c r="V975" i="7"/>
  <c r="V976" i="7"/>
  <c r="V977" i="7"/>
  <c r="V978" i="7"/>
  <c r="V979" i="7"/>
  <c r="V980" i="7"/>
  <c r="V981" i="7"/>
  <c r="V982" i="7"/>
  <c r="V983" i="7"/>
  <c r="V984" i="7"/>
  <c r="V985" i="7"/>
  <c r="V986" i="7"/>
  <c r="V987" i="7"/>
  <c r="V988" i="7"/>
  <c r="V989" i="7"/>
  <c r="V990" i="7"/>
  <c r="V991" i="7"/>
  <c r="V992" i="7"/>
  <c r="V993" i="7"/>
  <c r="V994" i="7"/>
  <c r="V995" i="7"/>
  <c r="V996" i="7"/>
  <c r="V997" i="7"/>
  <c r="V998" i="7"/>
  <c r="V999" i="7"/>
  <c r="V1000" i="7"/>
  <c r="V1001" i="7"/>
  <c r="V1002" i="7"/>
  <c r="V1003" i="7"/>
  <c r="V1004" i="7"/>
  <c r="V1005" i="7"/>
  <c r="V1006" i="7"/>
  <c r="V1007" i="7"/>
  <c r="V1008" i="7"/>
  <c r="V1009" i="7"/>
  <c r="V1010" i="7"/>
  <c r="V1011" i="7"/>
  <c r="V1012" i="7"/>
  <c r="V1013" i="7"/>
  <c r="V1014" i="7"/>
  <c r="V1015" i="7"/>
  <c r="V1016" i="7"/>
  <c r="V1017" i="7"/>
  <c r="V1018" i="7"/>
  <c r="V1019" i="7"/>
  <c r="V1020" i="7"/>
  <c r="V1021" i="7"/>
  <c r="V1022" i="7"/>
  <c r="V1023" i="7"/>
  <c r="V1024" i="7"/>
  <c r="V1025" i="7"/>
  <c r="V1026" i="7"/>
  <c r="V1027" i="7"/>
  <c r="V1028" i="7"/>
  <c r="V1029" i="7"/>
  <c r="V1030" i="7"/>
  <c r="V1031" i="7"/>
  <c r="V1032" i="7"/>
  <c r="V1033" i="7"/>
  <c r="V1034" i="7"/>
  <c r="V1035" i="7"/>
  <c r="V1036" i="7"/>
  <c r="V1037" i="7"/>
  <c r="V1038" i="7"/>
  <c r="V1039" i="7"/>
  <c r="V1040" i="7"/>
  <c r="V1041" i="7"/>
  <c r="V1042" i="7"/>
  <c r="V1043" i="7"/>
  <c r="V1044" i="7"/>
  <c r="V1045" i="7"/>
  <c r="V1046" i="7"/>
  <c r="V1047" i="7"/>
  <c r="V1048" i="7"/>
  <c r="V1049" i="7"/>
  <c r="V1050" i="7"/>
  <c r="V1051" i="7"/>
  <c r="V1052" i="7"/>
  <c r="V1053" i="7"/>
  <c r="V1054" i="7"/>
  <c r="V1055" i="7"/>
  <c r="V1056" i="7"/>
  <c r="V1057" i="7"/>
  <c r="V1058" i="7"/>
  <c r="V1059" i="7"/>
  <c r="V1060" i="7"/>
  <c r="V1061" i="7"/>
  <c r="V1062" i="7"/>
  <c r="V1063" i="7"/>
  <c r="V1064" i="7"/>
  <c r="V1065" i="7"/>
  <c r="V1066" i="7"/>
  <c r="V1067" i="7"/>
  <c r="V1068" i="7"/>
  <c r="V1069" i="7"/>
  <c r="V1070" i="7"/>
  <c r="V1071" i="7"/>
  <c r="V1072" i="7"/>
  <c r="V1073" i="7"/>
  <c r="V1074" i="7"/>
  <c r="V1075" i="7"/>
  <c r="V1076" i="7"/>
  <c r="V1077" i="7"/>
  <c r="V1078" i="7"/>
  <c r="V1079" i="7"/>
  <c r="V1080" i="7"/>
  <c r="V1081" i="7"/>
  <c r="V1082" i="7"/>
  <c r="V1083" i="7"/>
  <c r="V1084" i="7"/>
  <c r="V1085" i="7"/>
  <c r="V1086" i="7"/>
  <c r="V1087" i="7"/>
  <c r="V1088" i="7"/>
  <c r="V1089" i="7"/>
  <c r="V1090" i="7"/>
  <c r="V1091" i="7"/>
  <c r="V1092" i="7"/>
  <c r="V1093" i="7"/>
  <c r="V1094" i="7"/>
  <c r="V1095" i="7"/>
  <c r="V1096" i="7"/>
  <c r="V1097" i="7"/>
  <c r="V1098" i="7"/>
  <c r="V1099" i="7"/>
  <c r="V1100" i="7"/>
  <c r="V1101" i="7"/>
  <c r="V1102" i="7"/>
  <c r="V1103" i="7"/>
  <c r="V1104" i="7"/>
  <c r="V1105" i="7"/>
  <c r="V1106" i="7"/>
  <c r="V1107" i="7"/>
  <c r="V1108" i="7"/>
  <c r="V1109" i="7"/>
  <c r="V1110" i="7"/>
  <c r="V1111" i="7"/>
  <c r="V1112" i="7"/>
  <c r="V1113" i="7"/>
  <c r="V1114" i="7"/>
  <c r="V1115" i="7"/>
  <c r="V1116" i="7"/>
  <c r="V1117" i="7"/>
  <c r="V1118" i="7"/>
  <c r="V1119" i="7"/>
  <c r="V1120" i="7"/>
  <c r="V1121" i="7"/>
  <c r="V1122" i="7"/>
  <c r="V1123" i="7"/>
  <c r="V1124" i="7"/>
  <c r="V1125" i="7"/>
  <c r="V1126" i="7"/>
  <c r="V1127" i="7"/>
  <c r="V1128" i="7"/>
  <c r="V1129" i="7"/>
  <c r="V1130" i="7"/>
  <c r="V1131" i="7"/>
  <c r="V1132" i="7"/>
  <c r="V1133" i="7"/>
  <c r="V1134" i="7"/>
  <c r="V1135" i="7"/>
  <c r="V1136" i="7"/>
  <c r="V1137" i="7"/>
  <c r="V1138" i="7"/>
  <c r="V1139" i="7"/>
  <c r="V1140" i="7"/>
  <c r="V1141" i="7"/>
  <c r="V1142" i="7"/>
  <c r="V1143" i="7"/>
  <c r="V1144" i="7"/>
  <c r="V1145" i="7"/>
  <c r="V1146" i="7"/>
  <c r="V1147" i="7"/>
  <c r="V1148" i="7"/>
  <c r="V1149" i="7"/>
  <c r="V1150" i="7"/>
  <c r="V1151" i="7"/>
  <c r="V1152" i="7"/>
  <c r="V1153" i="7"/>
  <c r="V1154" i="7"/>
  <c r="V1155" i="7"/>
  <c r="V1156" i="7"/>
  <c r="V1157" i="7"/>
  <c r="V1158" i="7"/>
  <c r="V1159" i="7"/>
  <c r="V1160" i="7"/>
  <c r="V1161" i="7"/>
  <c r="V1162" i="7"/>
  <c r="V1163" i="7"/>
  <c r="V1164" i="7"/>
  <c r="V1165" i="7"/>
  <c r="V1166" i="7"/>
  <c r="V1167" i="7"/>
  <c r="V1168" i="7"/>
  <c r="V1169" i="7"/>
  <c r="V1170" i="7"/>
  <c r="V1171" i="7"/>
  <c r="V1172" i="7"/>
  <c r="V1173" i="7"/>
  <c r="V1174" i="7"/>
  <c r="V1175" i="7"/>
  <c r="V1176" i="7"/>
  <c r="V1177" i="7"/>
  <c r="V1178" i="7"/>
  <c r="V1179" i="7"/>
  <c r="V1180" i="7"/>
  <c r="V1181" i="7"/>
  <c r="V1182" i="7"/>
  <c r="V1183" i="7"/>
  <c r="V1184" i="7"/>
  <c r="V1185" i="7"/>
  <c r="V1186" i="7"/>
  <c r="V1187" i="7"/>
  <c r="V1188" i="7"/>
  <c r="V1189" i="7"/>
  <c r="V1190" i="7"/>
  <c r="V1191" i="7"/>
  <c r="V1192" i="7"/>
  <c r="V1193" i="7"/>
  <c r="V1194" i="7"/>
  <c r="V1195" i="7"/>
  <c r="V1196" i="7"/>
  <c r="V1197" i="7"/>
  <c r="V1198" i="7"/>
  <c r="V1199" i="7"/>
  <c r="V1200" i="7"/>
  <c r="V1201" i="7"/>
  <c r="V1202" i="7"/>
  <c r="V1203" i="7"/>
  <c r="V1204" i="7"/>
  <c r="V1205" i="7"/>
  <c r="V1206" i="7"/>
  <c r="V1207" i="7"/>
  <c r="V1208" i="7"/>
  <c r="V1209" i="7"/>
  <c r="V1210" i="7"/>
  <c r="V1211" i="7"/>
  <c r="V1212" i="7"/>
  <c r="V1213" i="7"/>
  <c r="V1214" i="7"/>
  <c r="V1215" i="7"/>
  <c r="V1216" i="7"/>
  <c r="V1217" i="7"/>
  <c r="V1218" i="7"/>
  <c r="V1219" i="7"/>
  <c r="V1220" i="7"/>
  <c r="V1221" i="7"/>
  <c r="V1222" i="7"/>
  <c r="V1223" i="7"/>
  <c r="V1224" i="7"/>
  <c r="V1225" i="7"/>
  <c r="V1226" i="7"/>
  <c r="V1227" i="7"/>
  <c r="V1228" i="7"/>
  <c r="V1229" i="7"/>
  <c r="V1230" i="7"/>
  <c r="V1231" i="7"/>
  <c r="V1232" i="7"/>
  <c r="V1233" i="7"/>
  <c r="V1234" i="7"/>
  <c r="V1235" i="7"/>
  <c r="V1236" i="7"/>
  <c r="V1237" i="7"/>
  <c r="V1238" i="7"/>
  <c r="V1239" i="7"/>
  <c r="V1240" i="7"/>
  <c r="V1241" i="7"/>
  <c r="V1242" i="7"/>
  <c r="V1243" i="7"/>
  <c r="V1244" i="7"/>
  <c r="V1245" i="7"/>
  <c r="V1246" i="7"/>
  <c r="V1247" i="7"/>
  <c r="V1248" i="7"/>
  <c r="V1249" i="7"/>
  <c r="V1250" i="7"/>
  <c r="V1251" i="7"/>
  <c r="V1252" i="7"/>
  <c r="V1253" i="7"/>
  <c r="V1254" i="7"/>
  <c r="V1255" i="7"/>
  <c r="V1256" i="7"/>
  <c r="V1257" i="7"/>
  <c r="V1258" i="7"/>
  <c r="V1259" i="7"/>
  <c r="V1260" i="7"/>
  <c r="V1261" i="7"/>
  <c r="V1262" i="7"/>
  <c r="V1263" i="7"/>
  <c r="V1264" i="7"/>
  <c r="V1265" i="7"/>
  <c r="V1266" i="7"/>
  <c r="V1267" i="7"/>
  <c r="V1268" i="7"/>
  <c r="V1269" i="7"/>
  <c r="V1270" i="7"/>
  <c r="V1271" i="7"/>
  <c r="V1272" i="7"/>
  <c r="V1273" i="7"/>
  <c r="V1274" i="7"/>
  <c r="V1275" i="7"/>
  <c r="V1276" i="7"/>
  <c r="V1277" i="7"/>
  <c r="V1278" i="7"/>
  <c r="V1279" i="7"/>
  <c r="V1280" i="7"/>
  <c r="V1281" i="7"/>
  <c r="V1282" i="7"/>
  <c r="V1283" i="7"/>
  <c r="V1284" i="7"/>
  <c r="V1285" i="7"/>
  <c r="V1286" i="7"/>
  <c r="V1287" i="7"/>
  <c r="V1288" i="7"/>
  <c r="V1289" i="7"/>
  <c r="V1290" i="7"/>
  <c r="V1291" i="7"/>
  <c r="V1292" i="7"/>
  <c r="V1293" i="7"/>
  <c r="V1294" i="7"/>
  <c r="V1295" i="7"/>
  <c r="V1296" i="7"/>
  <c r="V1297" i="7"/>
  <c r="V1298" i="7"/>
  <c r="V1299" i="7"/>
  <c r="V1300" i="7"/>
  <c r="V1301" i="7"/>
  <c r="V1302" i="7"/>
  <c r="V1303" i="7"/>
  <c r="V1304" i="7"/>
  <c r="V1305" i="7"/>
  <c r="V1306" i="7"/>
  <c r="V1307" i="7"/>
  <c r="V1308" i="7"/>
  <c r="V1309" i="7"/>
  <c r="V1310" i="7"/>
  <c r="V1311" i="7"/>
  <c r="V1312" i="7"/>
  <c r="V1313" i="7"/>
  <c r="V1314" i="7"/>
  <c r="V1315" i="7"/>
  <c r="V1316" i="7"/>
  <c r="V1317" i="7"/>
  <c r="V1318" i="7"/>
  <c r="V1319" i="7"/>
  <c r="V1320" i="7"/>
  <c r="V1321" i="7"/>
  <c r="V1322" i="7"/>
  <c r="V1323" i="7"/>
  <c r="V1324" i="7"/>
  <c r="V1325" i="7"/>
  <c r="V1326" i="7"/>
  <c r="V1327" i="7"/>
  <c r="V1328" i="7"/>
  <c r="V1329" i="7"/>
  <c r="V1330" i="7"/>
  <c r="V1331" i="7"/>
  <c r="V1332" i="7"/>
  <c r="V1333" i="7"/>
  <c r="V1334" i="7"/>
  <c r="V1335" i="7"/>
  <c r="V1336" i="7"/>
  <c r="V1337" i="7"/>
  <c r="V1338" i="7"/>
  <c r="V1339" i="7"/>
  <c r="V1340" i="7"/>
  <c r="V1341" i="7"/>
  <c r="V1342" i="7"/>
  <c r="V1343" i="7"/>
  <c r="V1344" i="7"/>
  <c r="V1345" i="7"/>
  <c r="V1346" i="7"/>
  <c r="V1347" i="7"/>
  <c r="V1348" i="7"/>
  <c r="V1349" i="7"/>
  <c r="V1350" i="7"/>
  <c r="V1351" i="7"/>
  <c r="V1352" i="7"/>
  <c r="V1353" i="7"/>
  <c r="V1354" i="7"/>
  <c r="V1355" i="7"/>
  <c r="V1356" i="7"/>
  <c r="V1357" i="7"/>
  <c r="V1358" i="7"/>
  <c r="V1359" i="7"/>
  <c r="V1360" i="7"/>
  <c r="V1361" i="7"/>
  <c r="V1362" i="7"/>
  <c r="V1363" i="7"/>
  <c r="V1364" i="7"/>
  <c r="V1365" i="7"/>
  <c r="V1366" i="7"/>
  <c r="V1367" i="7"/>
  <c r="V1368" i="7"/>
  <c r="V1369" i="7"/>
  <c r="V1370" i="7"/>
  <c r="V1371" i="7"/>
  <c r="V1372" i="7"/>
  <c r="V1373" i="7"/>
  <c r="V1374" i="7"/>
  <c r="V1375" i="7"/>
  <c r="V1376" i="7"/>
  <c r="V1377" i="7"/>
  <c r="V1378" i="7"/>
  <c r="V1379" i="7"/>
  <c r="V1380" i="7"/>
  <c r="V1381" i="7"/>
  <c r="V1382" i="7"/>
  <c r="V1383" i="7"/>
  <c r="V1384" i="7"/>
  <c r="V1385" i="7"/>
  <c r="V1386" i="7"/>
  <c r="V1387" i="7"/>
  <c r="V1388" i="7"/>
  <c r="V1389" i="7"/>
  <c r="V1390" i="7"/>
  <c r="V1391" i="7"/>
  <c r="V1392" i="7"/>
  <c r="V1393" i="7"/>
  <c r="V1394" i="7"/>
  <c r="V1395" i="7"/>
  <c r="V1396" i="7"/>
  <c r="V1397" i="7"/>
  <c r="V1398" i="7"/>
  <c r="V1399" i="7"/>
  <c r="V1400" i="7"/>
  <c r="V1401" i="7"/>
  <c r="V1402" i="7"/>
  <c r="V1403" i="7"/>
  <c r="V1404" i="7"/>
  <c r="V1405" i="7"/>
  <c r="V1406" i="7"/>
  <c r="V1407" i="7"/>
  <c r="V1408" i="7"/>
  <c r="V1409" i="7"/>
  <c r="V1410" i="7"/>
  <c r="V1411" i="7"/>
  <c r="V1412" i="7"/>
  <c r="V1413" i="7"/>
  <c r="V1414" i="7"/>
  <c r="V1415" i="7"/>
  <c r="V1416" i="7"/>
  <c r="V1417" i="7"/>
  <c r="V1418" i="7"/>
  <c r="V1419" i="7"/>
  <c r="V1420" i="7"/>
  <c r="V1421" i="7"/>
  <c r="V1422" i="7"/>
  <c r="V1423" i="7"/>
  <c r="V1424" i="7"/>
  <c r="V1425" i="7"/>
  <c r="V1426" i="7"/>
  <c r="V1427" i="7"/>
  <c r="V1428" i="7"/>
  <c r="V1429" i="7"/>
  <c r="V1430" i="7"/>
  <c r="V1431" i="7"/>
  <c r="V1432" i="7"/>
  <c r="V1433" i="7"/>
  <c r="V1434" i="7"/>
  <c r="V1435" i="7"/>
  <c r="V1436" i="7"/>
  <c r="V1437" i="7"/>
  <c r="V1438" i="7"/>
  <c r="V1439" i="7"/>
  <c r="V1440" i="7"/>
  <c r="V1441" i="7"/>
  <c r="V1442" i="7"/>
  <c r="V1443" i="7"/>
  <c r="V1444" i="7"/>
  <c r="V1445" i="7"/>
  <c r="V1446" i="7"/>
  <c r="V1447" i="7"/>
  <c r="V1448" i="7"/>
  <c r="V1449" i="7"/>
  <c r="V1450" i="7"/>
  <c r="V1451" i="7"/>
  <c r="V1452" i="7"/>
  <c r="V1453" i="7"/>
  <c r="V1454" i="7"/>
  <c r="V1455" i="7"/>
  <c r="V1456" i="7"/>
  <c r="V1457" i="7"/>
  <c r="V1458" i="7"/>
  <c r="V1459" i="7"/>
  <c r="V1460" i="7"/>
  <c r="V1461" i="7"/>
  <c r="V1462" i="7"/>
  <c r="V1463" i="7"/>
  <c r="V1464" i="7"/>
  <c r="V1465" i="7"/>
  <c r="V1466" i="7"/>
  <c r="V1467" i="7"/>
  <c r="V1468" i="7"/>
  <c r="V1469" i="7"/>
  <c r="V1470" i="7"/>
  <c r="V1471" i="7"/>
  <c r="V1472" i="7"/>
  <c r="V1473" i="7"/>
  <c r="V1474" i="7"/>
  <c r="V1475" i="7"/>
  <c r="V1476" i="7"/>
  <c r="V1477" i="7"/>
  <c r="V1478" i="7"/>
  <c r="V1479" i="7"/>
  <c r="V1480" i="7"/>
  <c r="V1481" i="7"/>
  <c r="V1482" i="7"/>
  <c r="V1483" i="7"/>
  <c r="V1484" i="7"/>
  <c r="V1485" i="7"/>
  <c r="V1486" i="7"/>
  <c r="V1487" i="7"/>
  <c r="V1488" i="7"/>
  <c r="V1489" i="7"/>
  <c r="V1490" i="7"/>
  <c r="V1491" i="7"/>
  <c r="V1492" i="7"/>
  <c r="V1493" i="7"/>
  <c r="V1494" i="7"/>
  <c r="V1495" i="7"/>
  <c r="V1496" i="7"/>
  <c r="V1497" i="7"/>
  <c r="V1498" i="7"/>
  <c r="V1499" i="7"/>
  <c r="V1500" i="7"/>
  <c r="V1501" i="7"/>
  <c r="V1502" i="7"/>
  <c r="V1503" i="7"/>
  <c r="V1504" i="7"/>
  <c r="V1505" i="7"/>
  <c r="V1506" i="7"/>
  <c r="V1507" i="7"/>
  <c r="V1508" i="7"/>
  <c r="V1509" i="7"/>
  <c r="V1510" i="7"/>
  <c r="V1511" i="7"/>
  <c r="V1512" i="7"/>
  <c r="V1513" i="7"/>
  <c r="V1514" i="7"/>
  <c r="V1515" i="7"/>
  <c r="V1516" i="7"/>
  <c r="V1517" i="7"/>
  <c r="V1518" i="7"/>
  <c r="V1519" i="7"/>
  <c r="V1520" i="7"/>
  <c r="V1521" i="7"/>
  <c r="V1522" i="7"/>
  <c r="V1523" i="7"/>
  <c r="V1524" i="7"/>
  <c r="V1525" i="7"/>
  <c r="V1526" i="7"/>
  <c r="V1527" i="7"/>
  <c r="V1528" i="7"/>
  <c r="V1529" i="7"/>
  <c r="V1530" i="7"/>
  <c r="V1531" i="7"/>
  <c r="V1532" i="7"/>
  <c r="V1533" i="7"/>
  <c r="V1534" i="7"/>
  <c r="V1535" i="7"/>
  <c r="V1536" i="7"/>
  <c r="V1537" i="7"/>
  <c r="V1538" i="7"/>
  <c r="V1539" i="7"/>
  <c r="V1540" i="7"/>
  <c r="V1541" i="7"/>
  <c r="V1542" i="7"/>
  <c r="V1543" i="7"/>
  <c r="V1544" i="7"/>
  <c r="V1545" i="7"/>
  <c r="V1546" i="7"/>
  <c r="V1547" i="7"/>
  <c r="V1548" i="7"/>
  <c r="V1549" i="7"/>
  <c r="V1550" i="7"/>
  <c r="V1551" i="7"/>
  <c r="V1552" i="7"/>
  <c r="V1553" i="7"/>
  <c r="V1554" i="7"/>
  <c r="V1555" i="7"/>
  <c r="V1556" i="7"/>
  <c r="V1557" i="7"/>
  <c r="V1558" i="7"/>
  <c r="V1559" i="7"/>
  <c r="V1560" i="7"/>
  <c r="V1561" i="7"/>
  <c r="V1562" i="7"/>
  <c r="V1563" i="7"/>
  <c r="V1564" i="7"/>
  <c r="V1565" i="7"/>
  <c r="V1566" i="7"/>
  <c r="V1567" i="7"/>
  <c r="V1568" i="7"/>
  <c r="V1569" i="7"/>
  <c r="V1570" i="7"/>
  <c r="V1571" i="7"/>
  <c r="V1572" i="7"/>
  <c r="V1573" i="7"/>
  <c r="V1574" i="7"/>
  <c r="V1575" i="7"/>
  <c r="V1576" i="7"/>
  <c r="V1577" i="7"/>
  <c r="V1578" i="7"/>
  <c r="V1579" i="7"/>
  <c r="V1580" i="7"/>
  <c r="V1581" i="7"/>
  <c r="V1582" i="7"/>
  <c r="V1583" i="7"/>
  <c r="V1584" i="7"/>
  <c r="V1585" i="7"/>
  <c r="V1586" i="7"/>
  <c r="V1587" i="7"/>
  <c r="V1588" i="7"/>
  <c r="V1589" i="7"/>
  <c r="V1590" i="7"/>
  <c r="V1591" i="7"/>
  <c r="V1592" i="7"/>
  <c r="V1593" i="7"/>
  <c r="V1594" i="7"/>
  <c r="V1595" i="7"/>
  <c r="V1596" i="7"/>
  <c r="V1597" i="7"/>
  <c r="V1598" i="7"/>
  <c r="V1599" i="7"/>
  <c r="V1600" i="7"/>
  <c r="V1601" i="7"/>
  <c r="V1602" i="7"/>
  <c r="V1603" i="7"/>
  <c r="V1604" i="7"/>
  <c r="V1605" i="7"/>
  <c r="V1606" i="7"/>
  <c r="V1607" i="7"/>
  <c r="V1608" i="7"/>
  <c r="V1609" i="7"/>
  <c r="V1610" i="7"/>
  <c r="V1611" i="7"/>
  <c r="V1612" i="7"/>
  <c r="V1613" i="7"/>
  <c r="V1614" i="7"/>
  <c r="V1615" i="7"/>
  <c r="V1616" i="7"/>
  <c r="V1617" i="7"/>
  <c r="V1618" i="7"/>
  <c r="V1619" i="7"/>
  <c r="V1620" i="7"/>
  <c r="V1621" i="7"/>
  <c r="V1622" i="7"/>
  <c r="V1623" i="7"/>
  <c r="V1624" i="7"/>
  <c r="V1625" i="7"/>
  <c r="V1626" i="7"/>
  <c r="V1627" i="7"/>
  <c r="V1628" i="7"/>
  <c r="V1629" i="7"/>
  <c r="V1630" i="7"/>
  <c r="V1631" i="7"/>
  <c r="V1632" i="7"/>
  <c r="V1633" i="7"/>
  <c r="V1634" i="7"/>
  <c r="V1635" i="7"/>
  <c r="V1636" i="7"/>
  <c r="V1637" i="7"/>
  <c r="V1638" i="7"/>
  <c r="V1639" i="7"/>
  <c r="V1640" i="7"/>
  <c r="V1641" i="7"/>
  <c r="V1642" i="7"/>
  <c r="V1643" i="7"/>
  <c r="V1644" i="7"/>
  <c r="V1645" i="7"/>
  <c r="V1646" i="7"/>
  <c r="V1647" i="7"/>
  <c r="V1648" i="7"/>
  <c r="V1649" i="7"/>
  <c r="V1650" i="7"/>
  <c r="V1651" i="7"/>
  <c r="V1652" i="7"/>
  <c r="V1653" i="7"/>
  <c r="V1654" i="7"/>
  <c r="V1655" i="7"/>
  <c r="V1656" i="7"/>
  <c r="V1657" i="7"/>
  <c r="V1658" i="7"/>
  <c r="V1659" i="7"/>
  <c r="V1660" i="7"/>
  <c r="V1661" i="7"/>
  <c r="V1662" i="7"/>
  <c r="V1663" i="7"/>
  <c r="V1664" i="7"/>
  <c r="V1665" i="7"/>
  <c r="V1666" i="7"/>
  <c r="V1667" i="7"/>
  <c r="V1668" i="7"/>
  <c r="V1669" i="7"/>
  <c r="V1670" i="7"/>
  <c r="V1671" i="7"/>
  <c r="V1672" i="7"/>
  <c r="V1673" i="7"/>
  <c r="V1674" i="7"/>
  <c r="V1675" i="7"/>
  <c r="V1676" i="7"/>
  <c r="V1677" i="7"/>
  <c r="V1678" i="7"/>
  <c r="V1679" i="7"/>
  <c r="V1680" i="7"/>
  <c r="V1681" i="7"/>
  <c r="V1682" i="7"/>
  <c r="V1683" i="7"/>
  <c r="V1684" i="7"/>
  <c r="V1685" i="7"/>
  <c r="V1686" i="7"/>
  <c r="V1687" i="7"/>
  <c r="V1688" i="7"/>
  <c r="V1689" i="7"/>
  <c r="V1690" i="7"/>
  <c r="V1691" i="7"/>
  <c r="V1692" i="7"/>
  <c r="V1693" i="7"/>
  <c r="V1694" i="7"/>
  <c r="V1695" i="7"/>
  <c r="V1696" i="7"/>
  <c r="V1697" i="7"/>
  <c r="V1698" i="7"/>
  <c r="V1699" i="7"/>
  <c r="V1700" i="7"/>
  <c r="V1701" i="7"/>
  <c r="V1702" i="7"/>
  <c r="V1703" i="7"/>
  <c r="V1704" i="7"/>
  <c r="V1705" i="7"/>
  <c r="V1706" i="7"/>
  <c r="V1707" i="7"/>
  <c r="V1708" i="7"/>
  <c r="V1709" i="7"/>
  <c r="V1710" i="7"/>
  <c r="V1711" i="7"/>
  <c r="V1712" i="7"/>
  <c r="V1713" i="7"/>
  <c r="V1714" i="7"/>
  <c r="V1715" i="7"/>
  <c r="V1716" i="7"/>
  <c r="V1717" i="7"/>
  <c r="V1718" i="7"/>
  <c r="V1719" i="7"/>
  <c r="V1720" i="7"/>
  <c r="V1721" i="7"/>
  <c r="V1722" i="7"/>
  <c r="V1723" i="7"/>
  <c r="V1724" i="7"/>
  <c r="V1725" i="7"/>
  <c r="V1726" i="7"/>
  <c r="V1727" i="7"/>
  <c r="V1728" i="7"/>
  <c r="V1729" i="7"/>
  <c r="V1730" i="7"/>
  <c r="V1731" i="7"/>
  <c r="V1732" i="7"/>
  <c r="V1733" i="7"/>
  <c r="V1734" i="7"/>
  <c r="V1735" i="7"/>
  <c r="V1736" i="7"/>
  <c r="V1737" i="7"/>
  <c r="V1738" i="7"/>
  <c r="V1739" i="7"/>
  <c r="V1740" i="7"/>
  <c r="V1741" i="7"/>
  <c r="V1742" i="7"/>
  <c r="V1743" i="7"/>
  <c r="V1744" i="7"/>
  <c r="V1745" i="7"/>
  <c r="V1746" i="7"/>
  <c r="V1747" i="7"/>
  <c r="V1748" i="7"/>
  <c r="V1749" i="7"/>
  <c r="V1750" i="7"/>
  <c r="V1751" i="7"/>
  <c r="V1752" i="7"/>
  <c r="V1753" i="7"/>
  <c r="V1754" i="7"/>
  <c r="V1755" i="7"/>
  <c r="V1756" i="7"/>
  <c r="V1757" i="7"/>
  <c r="V1758" i="7"/>
  <c r="V1759" i="7"/>
  <c r="V1760" i="7"/>
  <c r="V1761" i="7"/>
  <c r="V1762" i="7"/>
  <c r="V1763" i="7"/>
  <c r="V1764" i="7"/>
  <c r="V1765" i="7"/>
  <c r="V1766" i="7"/>
  <c r="V1767" i="7"/>
  <c r="V1768" i="7"/>
  <c r="V1769" i="7"/>
  <c r="V1770" i="7"/>
  <c r="V1771" i="7"/>
  <c r="V1772" i="7"/>
  <c r="V1773" i="7"/>
  <c r="V1774" i="7"/>
  <c r="V1775" i="7"/>
  <c r="V1776" i="7"/>
  <c r="V1777" i="7"/>
  <c r="V1778" i="7"/>
  <c r="V1779" i="7"/>
  <c r="V1780" i="7"/>
  <c r="V1781" i="7"/>
  <c r="V1782" i="7"/>
  <c r="V1783" i="7"/>
  <c r="V1784" i="7"/>
  <c r="V1785" i="7"/>
  <c r="V1786" i="7"/>
  <c r="V1787" i="7"/>
  <c r="V1788" i="7"/>
  <c r="V1789" i="7"/>
  <c r="V1790" i="7"/>
  <c r="V1791" i="7"/>
  <c r="V1792" i="7"/>
  <c r="V1793" i="7"/>
  <c r="V1794" i="7"/>
  <c r="V1795" i="7"/>
  <c r="V1796" i="7"/>
  <c r="V1797" i="7"/>
  <c r="V1798" i="7"/>
  <c r="V1799" i="7"/>
  <c r="V1800" i="7"/>
  <c r="V1801" i="7"/>
  <c r="V1802" i="7"/>
  <c r="V1803" i="7"/>
  <c r="V1804" i="7"/>
  <c r="V1805" i="7"/>
  <c r="V1806" i="7"/>
  <c r="V1807" i="7"/>
  <c r="V1808" i="7"/>
  <c r="V1809" i="7"/>
  <c r="V1810" i="7"/>
  <c r="V1811" i="7"/>
  <c r="V1812" i="7"/>
  <c r="V1813" i="7"/>
  <c r="V1814" i="7"/>
  <c r="V1815" i="7"/>
  <c r="V1816" i="7"/>
  <c r="V1817" i="7"/>
  <c r="V1818" i="7"/>
  <c r="V1819" i="7"/>
  <c r="V1820" i="7"/>
  <c r="V1821" i="7"/>
  <c r="V1822" i="7"/>
  <c r="V1823" i="7"/>
  <c r="V1824" i="7"/>
  <c r="V1825" i="7"/>
  <c r="V1826" i="7"/>
  <c r="V1827" i="7"/>
  <c r="V1828" i="7"/>
  <c r="V1829" i="7"/>
  <c r="V1830" i="7"/>
  <c r="V1831" i="7"/>
  <c r="V1832" i="7"/>
  <c r="V1833" i="7"/>
  <c r="V1834" i="7"/>
  <c r="V1835" i="7"/>
  <c r="V1836" i="7"/>
  <c r="V1837" i="7"/>
  <c r="V1838" i="7"/>
  <c r="V1839" i="7"/>
  <c r="V1840" i="7"/>
  <c r="V1841" i="7"/>
  <c r="V1842" i="7"/>
  <c r="V1843" i="7"/>
  <c r="V1844" i="7"/>
  <c r="V1845" i="7"/>
  <c r="V1846" i="7"/>
  <c r="V1847" i="7"/>
  <c r="V1848" i="7"/>
  <c r="V1849" i="7"/>
  <c r="V1850" i="7"/>
  <c r="V1851" i="7"/>
  <c r="V1852" i="7"/>
  <c r="V1853" i="7"/>
  <c r="V1854" i="7"/>
  <c r="V1855" i="7"/>
  <c r="V1856" i="7"/>
  <c r="V1857" i="7"/>
  <c r="V1858" i="7"/>
  <c r="V1859" i="7"/>
  <c r="V1860" i="7"/>
  <c r="V1861" i="7"/>
  <c r="V1862" i="7"/>
  <c r="V1863" i="7"/>
  <c r="V1864" i="7"/>
  <c r="V1865" i="7"/>
  <c r="V1866" i="7"/>
  <c r="V1867" i="7"/>
  <c r="V1868" i="7"/>
  <c r="V1869" i="7"/>
  <c r="V1870" i="7"/>
  <c r="V1871" i="7"/>
  <c r="V1872" i="7"/>
  <c r="V1873" i="7"/>
  <c r="V1874" i="7"/>
  <c r="V1875" i="7"/>
  <c r="V1876" i="7"/>
  <c r="V1877" i="7"/>
  <c r="V1878" i="7"/>
  <c r="V1879" i="7"/>
  <c r="V1880" i="7"/>
  <c r="V1881" i="7"/>
  <c r="V1882" i="7"/>
  <c r="V1883" i="7"/>
  <c r="V1884" i="7"/>
  <c r="V1885" i="7"/>
  <c r="V1886" i="7"/>
  <c r="V1887" i="7"/>
  <c r="V1888" i="7"/>
  <c r="V1889" i="7"/>
  <c r="V1890" i="7"/>
  <c r="V1891" i="7"/>
  <c r="V1892" i="7"/>
  <c r="V1893" i="7"/>
  <c r="V1894" i="7"/>
  <c r="V1895" i="7"/>
  <c r="V1896" i="7"/>
  <c r="V1897" i="7"/>
  <c r="V1898" i="7"/>
  <c r="V1899" i="7"/>
  <c r="V1900" i="7"/>
  <c r="V1901" i="7"/>
  <c r="V1902" i="7"/>
  <c r="V1903" i="7"/>
  <c r="V1904" i="7"/>
  <c r="V1905" i="7"/>
  <c r="V1906" i="7"/>
  <c r="V1907" i="7"/>
  <c r="V1908" i="7"/>
  <c r="V1909" i="7"/>
  <c r="V1910" i="7"/>
  <c r="V1911" i="7"/>
  <c r="V1912" i="7"/>
  <c r="V1913" i="7"/>
  <c r="V1914" i="7"/>
  <c r="V1915" i="7"/>
  <c r="V1916" i="7"/>
  <c r="V1917" i="7"/>
  <c r="V1918" i="7"/>
  <c r="V1919" i="7"/>
  <c r="V1920" i="7"/>
  <c r="V1921" i="7"/>
  <c r="V1922" i="7"/>
  <c r="V1923" i="7"/>
  <c r="V1924" i="7"/>
  <c r="V1925" i="7"/>
  <c r="V1926" i="7"/>
  <c r="V1927" i="7"/>
  <c r="V1928" i="7"/>
  <c r="V1929" i="7"/>
  <c r="V1930" i="7"/>
  <c r="V1931" i="7"/>
  <c r="V1932" i="7"/>
  <c r="V1933" i="7"/>
  <c r="V1934" i="7"/>
  <c r="V1935" i="7"/>
  <c r="V1936" i="7"/>
  <c r="V1937" i="7"/>
  <c r="V1938" i="7"/>
  <c r="V1939" i="7"/>
  <c r="V1940" i="7"/>
  <c r="V1941" i="7"/>
  <c r="V1942" i="7"/>
  <c r="V1943" i="7"/>
  <c r="V1944" i="7"/>
  <c r="V1945" i="7"/>
  <c r="V1946" i="7"/>
  <c r="V1947" i="7"/>
  <c r="V1948" i="7"/>
  <c r="V1949" i="7"/>
  <c r="V1950" i="7"/>
  <c r="V1951" i="7"/>
  <c r="V1952" i="7"/>
  <c r="V1953" i="7"/>
  <c r="V1954" i="7"/>
  <c r="V1955" i="7"/>
  <c r="V1956" i="7"/>
  <c r="V1957" i="7"/>
  <c r="V1958" i="7"/>
  <c r="V1959" i="7"/>
  <c r="V1960" i="7"/>
  <c r="V1961" i="7"/>
  <c r="V1962" i="7"/>
  <c r="V1963" i="7"/>
  <c r="V1964" i="7"/>
  <c r="V1965" i="7"/>
  <c r="V1966" i="7"/>
  <c r="V1967" i="7"/>
  <c r="V1968" i="7"/>
  <c r="V1969" i="7"/>
  <c r="V1970" i="7"/>
  <c r="V1971" i="7"/>
  <c r="V1972" i="7"/>
  <c r="V1973" i="7"/>
  <c r="V1974" i="7"/>
  <c r="V1975" i="7"/>
  <c r="V1976" i="7"/>
  <c r="V1977" i="7"/>
  <c r="V1978" i="7"/>
  <c r="V1979" i="7"/>
  <c r="V1980" i="7"/>
  <c r="V1981" i="7"/>
  <c r="V1982" i="7"/>
  <c r="V1983" i="7"/>
  <c r="V1984" i="7"/>
  <c r="V1985" i="7"/>
  <c r="V1986" i="7"/>
  <c r="V1987" i="7"/>
  <c r="V1988" i="7"/>
  <c r="V1989" i="7"/>
  <c r="V1990" i="7"/>
  <c r="V1991" i="7"/>
  <c r="V1992" i="7"/>
  <c r="V1993" i="7"/>
  <c r="V1994" i="7"/>
  <c r="V1995" i="7"/>
  <c r="V1996" i="7"/>
  <c r="V1997" i="7"/>
  <c r="V1998" i="7"/>
  <c r="V1999" i="7"/>
  <c r="V2000" i="7"/>
  <c r="V2001" i="7"/>
  <c r="V2002" i="7"/>
  <c r="V2003" i="7"/>
  <c r="V2004" i="7"/>
  <c r="V2005" i="7"/>
  <c r="V2006" i="7"/>
  <c r="V2007" i="7"/>
  <c r="V2008" i="7"/>
  <c r="V2009" i="7"/>
  <c r="V2010" i="7"/>
  <c r="V2011" i="7"/>
  <c r="V2012" i="7"/>
  <c r="V2013" i="7"/>
  <c r="V2014" i="7"/>
  <c r="V2015" i="7"/>
  <c r="V2016" i="7"/>
  <c r="V2017" i="7"/>
  <c r="V2018" i="7"/>
  <c r="V2019" i="7"/>
  <c r="V2020" i="7"/>
  <c r="V2021" i="7"/>
  <c r="V2022" i="7"/>
  <c r="V2023" i="7"/>
  <c r="V2024" i="7"/>
  <c r="V2025" i="7"/>
  <c r="V2026" i="7"/>
  <c r="V2027" i="7"/>
  <c r="V2028" i="7"/>
  <c r="V2029" i="7"/>
  <c r="V2030" i="7"/>
  <c r="V2031" i="7"/>
  <c r="V2032" i="7"/>
  <c r="V2033" i="7"/>
  <c r="V2034" i="7"/>
  <c r="V2035" i="7"/>
  <c r="V2036" i="7"/>
  <c r="V2037" i="7"/>
  <c r="V2038" i="7"/>
  <c r="V2039" i="7"/>
  <c r="V2040" i="7"/>
  <c r="V2041" i="7"/>
  <c r="V2042" i="7"/>
  <c r="V2043" i="7"/>
  <c r="V2044" i="7"/>
  <c r="V2045" i="7"/>
  <c r="V2046" i="7"/>
  <c r="V2047" i="7"/>
  <c r="V2048" i="7"/>
  <c r="V2049" i="7"/>
  <c r="V2050" i="7"/>
  <c r="V2051" i="7"/>
  <c r="V2052" i="7"/>
  <c r="V2053" i="7"/>
  <c r="V2054" i="7"/>
  <c r="V2055" i="7"/>
  <c r="V2056" i="7"/>
  <c r="V2057" i="7"/>
  <c r="V2058" i="7"/>
  <c r="V2059" i="7"/>
  <c r="V2060" i="7"/>
  <c r="V2061" i="7"/>
  <c r="V2062" i="7"/>
  <c r="V2063" i="7"/>
  <c r="V2064" i="7"/>
  <c r="V2065" i="7"/>
  <c r="V2066" i="7"/>
  <c r="V2067" i="7"/>
  <c r="V2068" i="7"/>
  <c r="V2069" i="7"/>
  <c r="V2070" i="7"/>
  <c r="V2071" i="7"/>
  <c r="V2072" i="7"/>
  <c r="V2073" i="7"/>
  <c r="V2074" i="7"/>
  <c r="V2075" i="7"/>
  <c r="V2076" i="7"/>
  <c r="V2077" i="7"/>
  <c r="V2078" i="7"/>
  <c r="V2079" i="7"/>
  <c r="V2080" i="7"/>
  <c r="V2081" i="7"/>
  <c r="V2082" i="7"/>
  <c r="V2083" i="7"/>
  <c r="V2084" i="7"/>
  <c r="V2085" i="7"/>
  <c r="V2086" i="7"/>
  <c r="V2087" i="7"/>
  <c r="V2088" i="7"/>
  <c r="V2089" i="7"/>
  <c r="V2090" i="7"/>
  <c r="V2091" i="7"/>
  <c r="V2092" i="7"/>
  <c r="V2093" i="7"/>
  <c r="V2094" i="7"/>
  <c r="V2095" i="7"/>
  <c r="V2096" i="7"/>
  <c r="V2097" i="7"/>
  <c r="V2098" i="7"/>
  <c r="V2099" i="7"/>
  <c r="V2100" i="7"/>
  <c r="V2101" i="7"/>
  <c r="V2102" i="7"/>
  <c r="V2103" i="7"/>
  <c r="V2104" i="7"/>
  <c r="V2105" i="7"/>
  <c r="V2106" i="7"/>
  <c r="V2107" i="7"/>
  <c r="V2108" i="7"/>
  <c r="V2109" i="7"/>
  <c r="V2110" i="7"/>
  <c r="V2111" i="7"/>
  <c r="V2112" i="7"/>
  <c r="V2113" i="7"/>
  <c r="V2114" i="7"/>
  <c r="V2115" i="7"/>
  <c r="V2116" i="7"/>
  <c r="V2117" i="7"/>
  <c r="V2118" i="7"/>
  <c r="V2119" i="7"/>
  <c r="V2120" i="7"/>
  <c r="V2121" i="7"/>
  <c r="V2122" i="7"/>
  <c r="V2123" i="7"/>
  <c r="V2124" i="7"/>
  <c r="V2125" i="7"/>
  <c r="V2126" i="7"/>
  <c r="V2127" i="7"/>
  <c r="V2128" i="7"/>
  <c r="V2129" i="7"/>
  <c r="V2130" i="7"/>
  <c r="V2131" i="7"/>
  <c r="V2132" i="7"/>
  <c r="V2133" i="7"/>
  <c r="V2134" i="7"/>
  <c r="V2135" i="7"/>
  <c r="V2136" i="7"/>
  <c r="V2137" i="7"/>
  <c r="V2138" i="7"/>
  <c r="V2139" i="7"/>
  <c r="V2140" i="7"/>
  <c r="V2141" i="7"/>
  <c r="V2142" i="7"/>
  <c r="V2143" i="7"/>
  <c r="V2144" i="7"/>
  <c r="V2145" i="7"/>
  <c r="V2146" i="7"/>
  <c r="V2147" i="7"/>
  <c r="V2148" i="7"/>
  <c r="V2149" i="7"/>
  <c r="V2150" i="7"/>
  <c r="V2151" i="7"/>
  <c r="V2152" i="7"/>
  <c r="V2153" i="7"/>
  <c r="V2154" i="7"/>
  <c r="V2155" i="7"/>
  <c r="V2156" i="7"/>
  <c r="V2157" i="7"/>
  <c r="V2158" i="7"/>
  <c r="V2159" i="7"/>
  <c r="V2160" i="7"/>
  <c r="V2161" i="7"/>
  <c r="V2162" i="7"/>
  <c r="V2163" i="7"/>
  <c r="V2164" i="7"/>
  <c r="V2165" i="7"/>
  <c r="V2166" i="7"/>
  <c r="V2167" i="7"/>
  <c r="V2168" i="7"/>
  <c r="V2169" i="7"/>
  <c r="V2170" i="7"/>
  <c r="V2171" i="7"/>
  <c r="V2172" i="7"/>
  <c r="V2173" i="7"/>
  <c r="V2174" i="7"/>
  <c r="V2175" i="7"/>
  <c r="V2176" i="7"/>
  <c r="V2177" i="7"/>
  <c r="V2178" i="7"/>
  <c r="V2179" i="7"/>
  <c r="V2180" i="7"/>
  <c r="V2181" i="7"/>
  <c r="V2182" i="7"/>
  <c r="V2183" i="7"/>
  <c r="V2184" i="7"/>
  <c r="V2185" i="7"/>
  <c r="V2186" i="7"/>
  <c r="V2187" i="7"/>
  <c r="V2188" i="7"/>
  <c r="V2189" i="7"/>
  <c r="V2190" i="7"/>
  <c r="V2191" i="7"/>
  <c r="V2192" i="7"/>
  <c r="V2193" i="7"/>
  <c r="V2194" i="7"/>
  <c r="V2195" i="7"/>
  <c r="V2196" i="7"/>
  <c r="V2197" i="7"/>
  <c r="V2198" i="7"/>
  <c r="V2199" i="7"/>
  <c r="V2200" i="7"/>
  <c r="V2201" i="7"/>
  <c r="V2202" i="7"/>
  <c r="V2203" i="7"/>
  <c r="V2204" i="7"/>
  <c r="V2205" i="7"/>
  <c r="V2206" i="7"/>
  <c r="V2207" i="7"/>
  <c r="V2208" i="7"/>
  <c r="V2209" i="7"/>
  <c r="V2210" i="7"/>
  <c r="V2211" i="7"/>
  <c r="V2212" i="7"/>
  <c r="V2213" i="7"/>
  <c r="V2214" i="7"/>
  <c r="V2215" i="7"/>
  <c r="V2216" i="7"/>
  <c r="V2217" i="7"/>
  <c r="V2218" i="7"/>
  <c r="V2219" i="7"/>
  <c r="V2220" i="7"/>
  <c r="V2221" i="7"/>
  <c r="V2222" i="7"/>
  <c r="V2223" i="7"/>
  <c r="V2224" i="7"/>
  <c r="V2225" i="7"/>
  <c r="V2226" i="7"/>
  <c r="V2227" i="7"/>
  <c r="V2228" i="7"/>
  <c r="V2229" i="7"/>
  <c r="V2230" i="7"/>
  <c r="V2231" i="7"/>
  <c r="V2232" i="7"/>
  <c r="V2233" i="7"/>
  <c r="V2234" i="7"/>
  <c r="V2235" i="7"/>
  <c r="V2236" i="7"/>
  <c r="V2237" i="7"/>
  <c r="V2238" i="7"/>
  <c r="V2239" i="7"/>
  <c r="V2240" i="7"/>
  <c r="V2241" i="7"/>
  <c r="V2242" i="7"/>
  <c r="V2243" i="7"/>
  <c r="V2244" i="7"/>
  <c r="V2245" i="7"/>
  <c r="V2246" i="7"/>
  <c r="V2247" i="7"/>
  <c r="V2248" i="7"/>
  <c r="V2249" i="7"/>
  <c r="V2250" i="7"/>
  <c r="V2251" i="7"/>
  <c r="V2252" i="7"/>
  <c r="V2253" i="7"/>
  <c r="V2254" i="7"/>
  <c r="V2255" i="7"/>
  <c r="V2256" i="7"/>
  <c r="V2257" i="7"/>
  <c r="V2258" i="7"/>
  <c r="V2259" i="7"/>
  <c r="V2260" i="7"/>
  <c r="V2261" i="7"/>
  <c r="V2262" i="7"/>
  <c r="V2263" i="7"/>
  <c r="V2264" i="7"/>
  <c r="V2265" i="7"/>
  <c r="V2266" i="7"/>
  <c r="V2267" i="7"/>
  <c r="V2268" i="7"/>
  <c r="V2269" i="7"/>
  <c r="V2270" i="7"/>
  <c r="V2271" i="7"/>
  <c r="V2272" i="7"/>
  <c r="V2273" i="7"/>
  <c r="V2274" i="7"/>
  <c r="V2275" i="7"/>
  <c r="V2276" i="7"/>
  <c r="V2277" i="7"/>
  <c r="V2278" i="7"/>
  <c r="V2279" i="7"/>
  <c r="V2280" i="7"/>
  <c r="V2281" i="7"/>
  <c r="V2282" i="7"/>
  <c r="V2283" i="7"/>
  <c r="V2284" i="7"/>
  <c r="V2285" i="7"/>
  <c r="V2286" i="7"/>
  <c r="V2287" i="7"/>
  <c r="V2288" i="7"/>
  <c r="V2289" i="7"/>
  <c r="V2290" i="7"/>
  <c r="V2291" i="7"/>
  <c r="V2292" i="7"/>
  <c r="V2293" i="7"/>
  <c r="V2294" i="7"/>
  <c r="V2295" i="7"/>
  <c r="V2296" i="7"/>
  <c r="V2297" i="7"/>
  <c r="V2298" i="7"/>
  <c r="V2299" i="7"/>
  <c r="V2300" i="7"/>
  <c r="V2301" i="7"/>
  <c r="V2302" i="7"/>
  <c r="V2303" i="7"/>
  <c r="V2304" i="7"/>
  <c r="V2305" i="7"/>
  <c r="V2306" i="7"/>
  <c r="V2307" i="7"/>
  <c r="V2308" i="7"/>
  <c r="V2309" i="7"/>
  <c r="V2310" i="7"/>
  <c r="V2311" i="7"/>
  <c r="V2312" i="7"/>
  <c r="V2313" i="7"/>
  <c r="V2314" i="7"/>
  <c r="V2315" i="7"/>
  <c r="V2316" i="7"/>
  <c r="V2317" i="7"/>
  <c r="V2318" i="7"/>
  <c r="V2319" i="7"/>
  <c r="V2320" i="7"/>
  <c r="V2321" i="7"/>
  <c r="V2322" i="7"/>
  <c r="V2323" i="7"/>
  <c r="V2324" i="7"/>
  <c r="V2325" i="7"/>
  <c r="V2326" i="7"/>
  <c r="V2327" i="7"/>
  <c r="V2328" i="7"/>
  <c r="V2329" i="7"/>
  <c r="V2330" i="7"/>
  <c r="V2331" i="7"/>
  <c r="V2332" i="7"/>
  <c r="V2333" i="7"/>
  <c r="V2334" i="7"/>
  <c r="V2335" i="7"/>
  <c r="V2336" i="7"/>
  <c r="V2337" i="7"/>
  <c r="V2338" i="7"/>
  <c r="V2339" i="7"/>
  <c r="V2340" i="7"/>
  <c r="V2341" i="7"/>
  <c r="V2342" i="7"/>
  <c r="V2343" i="7"/>
  <c r="V2344" i="7"/>
  <c r="V2345" i="7"/>
  <c r="V2346" i="7"/>
  <c r="V2347" i="7"/>
  <c r="V2348" i="7"/>
  <c r="V2349" i="7"/>
  <c r="V2350" i="7"/>
  <c r="V2351" i="7"/>
  <c r="V2352" i="7"/>
  <c r="V2353" i="7"/>
  <c r="V2354" i="7"/>
  <c r="V2355" i="7"/>
  <c r="V2356" i="7"/>
  <c r="V2357" i="7"/>
  <c r="V2358" i="7"/>
  <c r="V2359" i="7"/>
  <c r="V2360" i="7"/>
  <c r="V2361" i="7"/>
  <c r="V2362" i="7"/>
  <c r="V2363" i="7"/>
  <c r="V2364" i="7"/>
  <c r="V2365" i="7"/>
  <c r="V2366" i="7"/>
  <c r="V2367" i="7"/>
  <c r="V2368" i="7"/>
  <c r="V2369" i="7"/>
  <c r="V2370" i="7"/>
  <c r="V2371" i="7"/>
  <c r="V2372" i="7"/>
  <c r="V2373" i="7"/>
  <c r="V2374" i="7"/>
  <c r="V2375" i="7"/>
  <c r="V2376" i="7"/>
  <c r="V2377" i="7"/>
  <c r="V2378" i="7"/>
  <c r="V2379" i="7"/>
  <c r="V2380" i="7"/>
  <c r="V2381" i="7"/>
  <c r="V2382" i="7"/>
  <c r="V2383" i="7"/>
  <c r="V2384" i="7"/>
  <c r="V2385" i="7"/>
  <c r="V2386" i="7"/>
  <c r="V2387" i="7"/>
  <c r="V2388" i="7"/>
  <c r="V2389" i="7"/>
  <c r="V2390" i="7"/>
  <c r="V2391" i="7"/>
  <c r="V2392" i="7"/>
  <c r="V2393" i="7"/>
  <c r="V2394" i="7"/>
  <c r="V2395" i="7"/>
  <c r="V2396" i="7"/>
  <c r="V2397" i="7"/>
  <c r="V2398" i="7"/>
  <c r="V2399" i="7"/>
  <c r="V2400" i="7"/>
  <c r="V2401" i="7"/>
  <c r="V2402" i="7"/>
  <c r="V2403" i="7"/>
  <c r="V2404" i="7"/>
  <c r="V2405" i="7"/>
  <c r="V2406" i="7"/>
  <c r="V2407" i="7"/>
  <c r="V2408" i="7"/>
  <c r="V2409" i="7"/>
  <c r="V2410" i="7"/>
  <c r="V2411" i="7"/>
  <c r="V2412" i="7"/>
  <c r="V2413" i="7"/>
  <c r="V2414" i="7"/>
  <c r="V2415" i="7"/>
  <c r="V2416" i="7"/>
  <c r="V2417" i="7"/>
  <c r="V2418" i="7"/>
  <c r="V2419" i="7"/>
  <c r="V2420" i="7"/>
  <c r="V2421" i="7"/>
  <c r="V2422" i="7"/>
  <c r="V2423" i="7"/>
  <c r="V2424" i="7"/>
  <c r="V2425" i="7"/>
  <c r="V2426" i="7"/>
  <c r="V2427" i="7"/>
  <c r="V2428" i="7"/>
  <c r="V2429" i="7"/>
  <c r="V2430" i="7"/>
  <c r="V2431" i="7"/>
  <c r="V2432" i="7"/>
  <c r="V2433" i="7"/>
  <c r="V2434" i="7"/>
  <c r="V2435" i="7"/>
  <c r="V2436" i="7"/>
  <c r="V2437" i="7"/>
  <c r="V2438" i="7"/>
  <c r="V2439" i="7"/>
  <c r="V2440" i="7"/>
  <c r="V2441" i="7"/>
  <c r="V2442" i="7"/>
  <c r="V2443" i="7"/>
  <c r="V2444" i="7"/>
  <c r="V2445" i="7"/>
  <c r="V2446" i="7"/>
  <c r="V2447" i="7"/>
  <c r="V2448" i="7"/>
  <c r="V2449" i="7"/>
  <c r="V2450" i="7"/>
  <c r="V2451" i="7"/>
  <c r="V2452" i="7"/>
  <c r="V2453" i="7"/>
  <c r="V2454" i="7"/>
  <c r="V2455" i="7"/>
  <c r="V2456" i="7"/>
  <c r="V2457" i="7"/>
  <c r="V2458" i="7"/>
  <c r="V2459" i="7"/>
  <c r="V2460" i="7"/>
  <c r="V2461" i="7"/>
  <c r="V2462" i="7"/>
  <c r="V2463" i="7"/>
  <c r="V2464" i="7"/>
  <c r="V2465" i="7"/>
  <c r="V2466" i="7"/>
  <c r="V2467" i="7"/>
  <c r="V2468" i="7"/>
  <c r="V2469" i="7"/>
  <c r="V2470" i="7"/>
  <c r="V2471" i="7"/>
  <c r="V2472" i="7"/>
  <c r="V2473" i="7"/>
  <c r="V2474" i="7"/>
  <c r="V2475" i="7"/>
  <c r="V2476" i="7"/>
  <c r="V2477" i="7"/>
  <c r="V2478" i="7"/>
  <c r="V2479" i="7"/>
  <c r="V2480" i="7"/>
  <c r="V2481" i="7"/>
  <c r="V2482" i="7"/>
  <c r="V2483" i="7"/>
  <c r="V2484" i="7"/>
  <c r="V2485" i="7"/>
  <c r="X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X504" i="7"/>
  <c r="X505" i="7"/>
  <c r="X506" i="7"/>
  <c r="X507" i="7"/>
  <c r="X508" i="7"/>
  <c r="X509" i="7"/>
  <c r="X510" i="7"/>
  <c r="X511" i="7"/>
  <c r="X512" i="7"/>
  <c r="X513" i="7"/>
  <c r="X514" i="7"/>
  <c r="X515" i="7"/>
  <c r="X516" i="7"/>
  <c r="X517" i="7"/>
  <c r="X518" i="7"/>
  <c r="X519" i="7"/>
  <c r="X520" i="7"/>
  <c r="X521" i="7"/>
  <c r="X522" i="7"/>
  <c r="X523" i="7"/>
  <c r="X524" i="7"/>
  <c r="X525" i="7"/>
  <c r="X526" i="7"/>
  <c r="X527" i="7"/>
  <c r="X528" i="7"/>
  <c r="X529" i="7"/>
  <c r="X530" i="7"/>
  <c r="X531" i="7"/>
  <c r="X532" i="7"/>
  <c r="X533" i="7"/>
  <c r="X534" i="7"/>
  <c r="X535" i="7"/>
  <c r="X536" i="7"/>
  <c r="X537" i="7"/>
  <c r="X538" i="7"/>
  <c r="X539" i="7"/>
  <c r="X540" i="7"/>
  <c r="X541" i="7"/>
  <c r="X542" i="7"/>
  <c r="X543" i="7"/>
  <c r="X544" i="7"/>
  <c r="X545" i="7"/>
  <c r="X546" i="7"/>
  <c r="X547" i="7"/>
  <c r="X548" i="7"/>
  <c r="X549" i="7"/>
  <c r="X550" i="7"/>
  <c r="X551" i="7"/>
  <c r="X552" i="7"/>
  <c r="X553" i="7"/>
  <c r="X554" i="7"/>
  <c r="X555" i="7"/>
  <c r="X556" i="7"/>
  <c r="X557" i="7"/>
  <c r="X558" i="7"/>
  <c r="X559" i="7"/>
  <c r="X560" i="7"/>
  <c r="X561" i="7"/>
  <c r="X562" i="7"/>
  <c r="X563" i="7"/>
  <c r="X564" i="7"/>
  <c r="X565" i="7"/>
  <c r="X566" i="7"/>
  <c r="X567" i="7"/>
  <c r="X568" i="7"/>
  <c r="X569" i="7"/>
  <c r="X570" i="7"/>
  <c r="X571" i="7"/>
  <c r="X572" i="7"/>
  <c r="X573" i="7"/>
  <c r="X574" i="7"/>
  <c r="X575" i="7"/>
  <c r="X576" i="7"/>
  <c r="X577" i="7"/>
  <c r="X578" i="7"/>
  <c r="X579" i="7"/>
  <c r="X580" i="7"/>
  <c r="X581" i="7"/>
  <c r="X582" i="7"/>
  <c r="X583" i="7"/>
  <c r="X584" i="7"/>
  <c r="X585" i="7"/>
  <c r="X586" i="7"/>
  <c r="X587" i="7"/>
  <c r="X588" i="7"/>
  <c r="X589" i="7"/>
  <c r="X590" i="7"/>
  <c r="X591" i="7"/>
  <c r="X592" i="7"/>
  <c r="X593" i="7"/>
  <c r="X594" i="7"/>
  <c r="X595" i="7"/>
  <c r="X596" i="7"/>
  <c r="X597" i="7"/>
  <c r="X598" i="7"/>
  <c r="X599" i="7"/>
  <c r="X600" i="7"/>
  <c r="X601" i="7"/>
  <c r="X602" i="7"/>
  <c r="X603" i="7"/>
  <c r="X604" i="7"/>
  <c r="X605" i="7"/>
  <c r="X606" i="7"/>
  <c r="X607" i="7"/>
  <c r="X608" i="7"/>
  <c r="X609" i="7"/>
  <c r="X610" i="7"/>
  <c r="X611" i="7"/>
  <c r="X612" i="7"/>
  <c r="X613" i="7"/>
  <c r="X614" i="7"/>
  <c r="X615" i="7"/>
  <c r="X616" i="7"/>
  <c r="X617" i="7"/>
  <c r="X618" i="7"/>
  <c r="X619" i="7"/>
  <c r="X620" i="7"/>
  <c r="X621" i="7"/>
  <c r="X622" i="7"/>
  <c r="X623" i="7"/>
  <c r="X624" i="7"/>
  <c r="X625" i="7"/>
  <c r="X626" i="7"/>
  <c r="X627" i="7"/>
  <c r="X628" i="7"/>
  <c r="X629" i="7"/>
  <c r="X630" i="7"/>
  <c r="X631" i="7"/>
  <c r="X632" i="7"/>
  <c r="X633" i="7"/>
  <c r="X634" i="7"/>
  <c r="X635" i="7"/>
  <c r="X636" i="7"/>
  <c r="X637" i="7"/>
  <c r="X638" i="7"/>
  <c r="X639" i="7"/>
  <c r="X640" i="7"/>
  <c r="X641" i="7"/>
  <c r="X642" i="7"/>
  <c r="X643" i="7"/>
  <c r="X644" i="7"/>
  <c r="X645" i="7"/>
  <c r="X646" i="7"/>
  <c r="X647" i="7"/>
  <c r="X648" i="7"/>
  <c r="X649" i="7"/>
  <c r="X650" i="7"/>
  <c r="X651" i="7"/>
  <c r="X652" i="7"/>
  <c r="X653" i="7"/>
  <c r="X654" i="7"/>
  <c r="X655" i="7"/>
  <c r="X656" i="7"/>
  <c r="X657" i="7"/>
  <c r="X658" i="7"/>
  <c r="X659" i="7"/>
  <c r="X660" i="7"/>
  <c r="X661" i="7"/>
  <c r="X662" i="7"/>
  <c r="X663" i="7"/>
  <c r="X664" i="7"/>
  <c r="X665" i="7"/>
  <c r="X666" i="7"/>
  <c r="X667" i="7"/>
  <c r="X668" i="7"/>
  <c r="X669" i="7"/>
  <c r="X670" i="7"/>
  <c r="X671" i="7"/>
  <c r="X672" i="7"/>
  <c r="X673" i="7"/>
  <c r="X674" i="7"/>
  <c r="X675" i="7"/>
  <c r="X676" i="7"/>
  <c r="X677" i="7"/>
  <c r="X678" i="7"/>
  <c r="X679" i="7"/>
  <c r="X680" i="7"/>
  <c r="X681" i="7"/>
  <c r="X682" i="7"/>
  <c r="X683" i="7"/>
  <c r="X684" i="7"/>
  <c r="X685" i="7"/>
  <c r="X686" i="7"/>
  <c r="X687" i="7"/>
  <c r="X688" i="7"/>
  <c r="X689" i="7"/>
  <c r="X690" i="7"/>
  <c r="X691" i="7"/>
  <c r="X692" i="7"/>
  <c r="X693" i="7"/>
  <c r="X694" i="7"/>
  <c r="X695" i="7"/>
  <c r="X696" i="7"/>
  <c r="X697" i="7"/>
  <c r="X698" i="7"/>
  <c r="X699" i="7"/>
  <c r="X700" i="7"/>
  <c r="X701" i="7"/>
  <c r="X702" i="7"/>
  <c r="X703" i="7"/>
  <c r="X704" i="7"/>
  <c r="X705" i="7"/>
  <c r="X706" i="7"/>
  <c r="X707" i="7"/>
  <c r="X708" i="7"/>
  <c r="X709" i="7"/>
  <c r="X710" i="7"/>
  <c r="X711" i="7"/>
  <c r="X712" i="7"/>
  <c r="X713" i="7"/>
  <c r="X714" i="7"/>
  <c r="X715" i="7"/>
  <c r="X716" i="7"/>
  <c r="X717" i="7"/>
  <c r="X718" i="7"/>
  <c r="X719" i="7"/>
  <c r="X720" i="7"/>
  <c r="X721" i="7"/>
  <c r="X722" i="7"/>
  <c r="X723" i="7"/>
  <c r="X724" i="7"/>
  <c r="X725" i="7"/>
  <c r="X726" i="7"/>
  <c r="X727" i="7"/>
  <c r="X728" i="7"/>
  <c r="X729" i="7"/>
  <c r="X730" i="7"/>
  <c r="X731" i="7"/>
  <c r="X732" i="7"/>
  <c r="X733" i="7"/>
  <c r="X734" i="7"/>
  <c r="X735" i="7"/>
  <c r="X736" i="7"/>
  <c r="X737" i="7"/>
  <c r="X738" i="7"/>
  <c r="X739" i="7"/>
  <c r="X740" i="7"/>
  <c r="X741" i="7"/>
  <c r="X742" i="7"/>
  <c r="X743" i="7"/>
  <c r="X744" i="7"/>
  <c r="X745" i="7"/>
  <c r="X746" i="7"/>
  <c r="X747" i="7"/>
  <c r="X748" i="7"/>
  <c r="X749" i="7"/>
  <c r="X750" i="7"/>
  <c r="X751" i="7"/>
  <c r="X752" i="7"/>
  <c r="X753" i="7"/>
  <c r="X754" i="7"/>
  <c r="X755" i="7"/>
  <c r="X756" i="7"/>
  <c r="X757" i="7"/>
  <c r="X758" i="7"/>
  <c r="X759" i="7"/>
  <c r="X760" i="7"/>
  <c r="X761" i="7"/>
  <c r="X762" i="7"/>
  <c r="X763" i="7"/>
  <c r="X764" i="7"/>
  <c r="X765" i="7"/>
  <c r="X766" i="7"/>
  <c r="X767" i="7"/>
  <c r="X768" i="7"/>
  <c r="X769" i="7"/>
  <c r="X770" i="7"/>
  <c r="X771" i="7"/>
  <c r="X772" i="7"/>
  <c r="X773" i="7"/>
  <c r="X774" i="7"/>
  <c r="X775" i="7"/>
  <c r="X776" i="7"/>
  <c r="X777" i="7"/>
  <c r="X778" i="7"/>
  <c r="X779" i="7"/>
  <c r="X780" i="7"/>
  <c r="X781" i="7"/>
  <c r="X782" i="7"/>
  <c r="X783" i="7"/>
  <c r="X784" i="7"/>
  <c r="X785" i="7"/>
  <c r="X786" i="7"/>
  <c r="X787" i="7"/>
  <c r="X788" i="7"/>
  <c r="X789" i="7"/>
  <c r="X790" i="7"/>
  <c r="X791" i="7"/>
  <c r="X792" i="7"/>
  <c r="X793" i="7"/>
  <c r="X794" i="7"/>
  <c r="X795" i="7"/>
  <c r="X796" i="7"/>
  <c r="X797" i="7"/>
  <c r="X798" i="7"/>
  <c r="X799" i="7"/>
  <c r="X800" i="7"/>
  <c r="X801" i="7"/>
  <c r="X802" i="7"/>
  <c r="X803" i="7"/>
  <c r="X804" i="7"/>
  <c r="X805" i="7"/>
  <c r="X806" i="7"/>
  <c r="X807" i="7"/>
  <c r="X808" i="7"/>
  <c r="X809" i="7"/>
  <c r="X810" i="7"/>
  <c r="X811" i="7"/>
  <c r="X812" i="7"/>
  <c r="X813" i="7"/>
  <c r="X814" i="7"/>
  <c r="X815" i="7"/>
  <c r="X816" i="7"/>
  <c r="X817" i="7"/>
  <c r="X818" i="7"/>
  <c r="X819" i="7"/>
  <c r="X820" i="7"/>
  <c r="X821" i="7"/>
  <c r="X822" i="7"/>
  <c r="X823" i="7"/>
  <c r="X824" i="7"/>
  <c r="X825" i="7"/>
  <c r="X826" i="7"/>
  <c r="X827" i="7"/>
  <c r="X828" i="7"/>
  <c r="X829" i="7"/>
  <c r="X830" i="7"/>
  <c r="X831" i="7"/>
  <c r="X832" i="7"/>
  <c r="X833" i="7"/>
  <c r="X834" i="7"/>
  <c r="X835" i="7"/>
  <c r="X836" i="7"/>
  <c r="X837" i="7"/>
  <c r="X838" i="7"/>
  <c r="X839" i="7"/>
  <c r="X840" i="7"/>
  <c r="X841" i="7"/>
  <c r="X842" i="7"/>
  <c r="X843" i="7"/>
  <c r="X844" i="7"/>
  <c r="X845" i="7"/>
  <c r="X846" i="7"/>
  <c r="X847" i="7"/>
  <c r="X848" i="7"/>
  <c r="X849" i="7"/>
  <c r="X850" i="7"/>
  <c r="X851" i="7"/>
  <c r="X852" i="7"/>
  <c r="X853" i="7"/>
  <c r="X854" i="7"/>
  <c r="X855" i="7"/>
  <c r="X856" i="7"/>
  <c r="X857" i="7"/>
  <c r="X858" i="7"/>
  <c r="X859" i="7"/>
  <c r="X860" i="7"/>
  <c r="X861" i="7"/>
  <c r="X862" i="7"/>
  <c r="X863" i="7"/>
  <c r="X864" i="7"/>
  <c r="X865" i="7"/>
  <c r="X866" i="7"/>
  <c r="X867" i="7"/>
  <c r="X868" i="7"/>
  <c r="X869" i="7"/>
  <c r="X870" i="7"/>
  <c r="X871" i="7"/>
  <c r="X872" i="7"/>
  <c r="X873" i="7"/>
  <c r="X874" i="7"/>
  <c r="X875" i="7"/>
  <c r="X876" i="7"/>
  <c r="X877" i="7"/>
  <c r="X878" i="7"/>
  <c r="X879" i="7"/>
  <c r="X880" i="7"/>
  <c r="X881" i="7"/>
  <c r="X882" i="7"/>
  <c r="X883" i="7"/>
  <c r="X884" i="7"/>
  <c r="X885" i="7"/>
  <c r="X886" i="7"/>
  <c r="X887" i="7"/>
  <c r="X888" i="7"/>
  <c r="X889" i="7"/>
  <c r="X890" i="7"/>
  <c r="X891" i="7"/>
  <c r="X892" i="7"/>
  <c r="X893" i="7"/>
  <c r="X894" i="7"/>
  <c r="X895" i="7"/>
  <c r="X896" i="7"/>
  <c r="X897" i="7"/>
  <c r="X898" i="7"/>
  <c r="X899" i="7"/>
  <c r="X900" i="7"/>
  <c r="X901" i="7"/>
  <c r="X902" i="7"/>
  <c r="X903" i="7"/>
  <c r="X904" i="7"/>
  <c r="X905" i="7"/>
  <c r="X906" i="7"/>
  <c r="X907" i="7"/>
  <c r="X908" i="7"/>
  <c r="X909" i="7"/>
  <c r="X910" i="7"/>
  <c r="X911" i="7"/>
  <c r="X912" i="7"/>
  <c r="X913" i="7"/>
  <c r="X914" i="7"/>
  <c r="X915" i="7"/>
  <c r="X916" i="7"/>
  <c r="X917" i="7"/>
  <c r="X918" i="7"/>
  <c r="X919" i="7"/>
  <c r="X920" i="7"/>
  <c r="X921" i="7"/>
  <c r="X922" i="7"/>
  <c r="X923" i="7"/>
  <c r="X924" i="7"/>
  <c r="X925" i="7"/>
  <c r="X926" i="7"/>
  <c r="X927" i="7"/>
  <c r="X928" i="7"/>
  <c r="X929" i="7"/>
  <c r="X930" i="7"/>
  <c r="X931" i="7"/>
  <c r="X932" i="7"/>
  <c r="X933" i="7"/>
  <c r="X934" i="7"/>
  <c r="X935" i="7"/>
  <c r="X936" i="7"/>
  <c r="X937" i="7"/>
  <c r="X938" i="7"/>
  <c r="X939" i="7"/>
  <c r="X940" i="7"/>
  <c r="X941" i="7"/>
  <c r="X942" i="7"/>
  <c r="X943" i="7"/>
  <c r="X944" i="7"/>
  <c r="X945" i="7"/>
  <c r="X946" i="7"/>
  <c r="X947" i="7"/>
  <c r="X948" i="7"/>
  <c r="X949" i="7"/>
  <c r="X950" i="7"/>
  <c r="X951" i="7"/>
  <c r="X952" i="7"/>
  <c r="X953" i="7"/>
  <c r="X954" i="7"/>
  <c r="X955" i="7"/>
  <c r="X956" i="7"/>
  <c r="X957" i="7"/>
  <c r="X958" i="7"/>
  <c r="X959" i="7"/>
  <c r="X960" i="7"/>
  <c r="X961" i="7"/>
  <c r="X962" i="7"/>
  <c r="X963" i="7"/>
  <c r="X964" i="7"/>
  <c r="X965" i="7"/>
  <c r="X966" i="7"/>
  <c r="X967" i="7"/>
  <c r="X968" i="7"/>
  <c r="X969" i="7"/>
  <c r="X970" i="7"/>
  <c r="X971" i="7"/>
  <c r="X972" i="7"/>
  <c r="X973" i="7"/>
  <c r="X974" i="7"/>
  <c r="X975" i="7"/>
  <c r="X976" i="7"/>
  <c r="X977" i="7"/>
  <c r="X978" i="7"/>
  <c r="X979" i="7"/>
  <c r="X980" i="7"/>
  <c r="X981" i="7"/>
  <c r="X982" i="7"/>
  <c r="X983" i="7"/>
  <c r="X984" i="7"/>
  <c r="X985" i="7"/>
  <c r="X986" i="7"/>
  <c r="X987" i="7"/>
  <c r="X988" i="7"/>
  <c r="X989" i="7"/>
  <c r="X990" i="7"/>
  <c r="X991" i="7"/>
  <c r="X992" i="7"/>
  <c r="X993" i="7"/>
  <c r="X994" i="7"/>
  <c r="X995" i="7"/>
  <c r="X996" i="7"/>
  <c r="X997" i="7"/>
  <c r="X998" i="7"/>
  <c r="X999" i="7"/>
  <c r="X1000" i="7"/>
  <c r="X1001" i="7"/>
  <c r="X1002" i="7"/>
  <c r="X1003" i="7"/>
  <c r="X1004" i="7"/>
  <c r="X1005" i="7"/>
  <c r="X1006" i="7"/>
  <c r="X1007" i="7"/>
  <c r="X1008" i="7"/>
  <c r="X1009" i="7"/>
  <c r="X1010" i="7"/>
  <c r="X1011" i="7"/>
  <c r="X1012" i="7"/>
  <c r="X1013" i="7"/>
  <c r="X1014" i="7"/>
  <c r="X1015" i="7"/>
  <c r="X1016" i="7"/>
  <c r="X1017" i="7"/>
  <c r="X1018" i="7"/>
  <c r="X1019" i="7"/>
  <c r="X1020" i="7"/>
  <c r="X1021" i="7"/>
  <c r="X1022" i="7"/>
  <c r="X1023" i="7"/>
  <c r="X1024" i="7"/>
  <c r="X1025" i="7"/>
  <c r="X1026" i="7"/>
  <c r="X1027" i="7"/>
  <c r="X1028" i="7"/>
  <c r="X1029" i="7"/>
  <c r="X1030" i="7"/>
  <c r="X1031" i="7"/>
  <c r="X1032" i="7"/>
  <c r="X1033" i="7"/>
  <c r="X1034" i="7"/>
  <c r="X1035" i="7"/>
  <c r="X1036" i="7"/>
  <c r="X1037" i="7"/>
  <c r="X1038" i="7"/>
  <c r="X1039" i="7"/>
  <c r="X1040" i="7"/>
  <c r="X1041" i="7"/>
  <c r="X1042" i="7"/>
  <c r="X1043" i="7"/>
  <c r="X1044" i="7"/>
  <c r="X1045" i="7"/>
  <c r="X1046" i="7"/>
  <c r="X1047" i="7"/>
  <c r="X1048" i="7"/>
  <c r="X1049" i="7"/>
  <c r="X1050" i="7"/>
  <c r="X1051" i="7"/>
  <c r="X1052" i="7"/>
  <c r="X1053" i="7"/>
  <c r="X1054" i="7"/>
  <c r="X1055" i="7"/>
  <c r="X1056" i="7"/>
  <c r="X1057" i="7"/>
  <c r="X1058" i="7"/>
  <c r="X1059" i="7"/>
  <c r="X1060" i="7"/>
  <c r="X1061" i="7"/>
  <c r="X1062" i="7"/>
  <c r="X1063" i="7"/>
  <c r="X1064" i="7"/>
  <c r="X1065" i="7"/>
  <c r="X1066" i="7"/>
  <c r="X1067" i="7"/>
  <c r="X1068" i="7"/>
  <c r="X1069" i="7"/>
  <c r="X1070" i="7"/>
  <c r="X1071" i="7"/>
  <c r="X1072" i="7"/>
  <c r="X1073" i="7"/>
  <c r="X1074" i="7"/>
  <c r="X1075" i="7"/>
  <c r="X1076" i="7"/>
  <c r="X1077" i="7"/>
  <c r="X1078" i="7"/>
  <c r="X1079" i="7"/>
  <c r="X1080" i="7"/>
  <c r="X1081" i="7"/>
  <c r="X1082" i="7"/>
  <c r="X1083" i="7"/>
  <c r="X1084" i="7"/>
  <c r="X1085" i="7"/>
  <c r="X1086" i="7"/>
  <c r="X1087" i="7"/>
  <c r="X1088" i="7"/>
  <c r="X1089" i="7"/>
  <c r="X1090" i="7"/>
  <c r="X1091" i="7"/>
  <c r="X1092" i="7"/>
  <c r="X1093" i="7"/>
  <c r="X1094" i="7"/>
  <c r="X1095" i="7"/>
  <c r="X1096" i="7"/>
  <c r="X1097" i="7"/>
  <c r="X1098" i="7"/>
  <c r="X1099" i="7"/>
  <c r="X1100" i="7"/>
  <c r="X1101" i="7"/>
  <c r="X1102" i="7"/>
  <c r="X1103" i="7"/>
  <c r="X1104" i="7"/>
  <c r="X1105" i="7"/>
  <c r="X1106" i="7"/>
  <c r="X1107" i="7"/>
  <c r="X1108" i="7"/>
  <c r="X1109" i="7"/>
  <c r="X1110" i="7"/>
  <c r="X1111" i="7"/>
  <c r="X1112" i="7"/>
  <c r="X1113" i="7"/>
  <c r="X1114" i="7"/>
  <c r="X1115" i="7"/>
  <c r="X1116" i="7"/>
  <c r="X1117" i="7"/>
  <c r="X1118" i="7"/>
  <c r="X1119" i="7"/>
  <c r="X1120" i="7"/>
  <c r="X1121" i="7"/>
  <c r="X1122" i="7"/>
  <c r="X1123" i="7"/>
  <c r="X1124" i="7"/>
  <c r="X1125" i="7"/>
  <c r="X1126" i="7"/>
  <c r="X1127" i="7"/>
  <c r="X1128" i="7"/>
  <c r="X1129" i="7"/>
  <c r="X1130" i="7"/>
  <c r="X1131" i="7"/>
  <c r="X1132" i="7"/>
  <c r="X1133" i="7"/>
  <c r="X1134" i="7"/>
  <c r="X1135" i="7"/>
  <c r="X1136" i="7"/>
  <c r="X1137" i="7"/>
  <c r="X1138" i="7"/>
  <c r="X1139" i="7"/>
  <c r="X1140" i="7"/>
  <c r="X1141" i="7"/>
  <c r="X1142" i="7"/>
  <c r="X1143" i="7"/>
  <c r="X1144" i="7"/>
  <c r="X1145" i="7"/>
  <c r="X1146" i="7"/>
  <c r="X1147" i="7"/>
  <c r="X1148" i="7"/>
  <c r="X1149" i="7"/>
  <c r="X1150" i="7"/>
  <c r="X1151" i="7"/>
  <c r="X1152" i="7"/>
  <c r="X1153" i="7"/>
  <c r="X1154" i="7"/>
  <c r="X1155" i="7"/>
  <c r="X1156" i="7"/>
  <c r="X1157" i="7"/>
  <c r="X1158" i="7"/>
  <c r="X1159" i="7"/>
  <c r="X1160" i="7"/>
  <c r="X1161" i="7"/>
  <c r="X1162" i="7"/>
  <c r="X1163" i="7"/>
  <c r="X1164" i="7"/>
  <c r="X1165" i="7"/>
  <c r="X1166" i="7"/>
  <c r="X1167" i="7"/>
  <c r="X1168" i="7"/>
  <c r="X1169" i="7"/>
  <c r="X1170" i="7"/>
  <c r="X1171" i="7"/>
  <c r="X1172" i="7"/>
  <c r="X1173" i="7"/>
  <c r="X1174" i="7"/>
  <c r="X1175" i="7"/>
  <c r="X1176" i="7"/>
  <c r="X1177" i="7"/>
  <c r="X1178" i="7"/>
  <c r="X1179" i="7"/>
  <c r="X1180" i="7"/>
  <c r="X1181" i="7"/>
  <c r="X1182" i="7"/>
  <c r="X1183" i="7"/>
  <c r="X1184" i="7"/>
  <c r="X1185" i="7"/>
  <c r="X1186" i="7"/>
  <c r="X1187" i="7"/>
  <c r="X1188" i="7"/>
  <c r="X1189" i="7"/>
  <c r="X1190" i="7"/>
  <c r="X1191" i="7"/>
  <c r="X1192" i="7"/>
  <c r="X1193" i="7"/>
  <c r="X1194" i="7"/>
  <c r="X1195" i="7"/>
  <c r="X1196" i="7"/>
  <c r="X1197" i="7"/>
  <c r="X1198" i="7"/>
  <c r="X1199" i="7"/>
  <c r="X1200" i="7"/>
  <c r="X1201" i="7"/>
  <c r="X1202" i="7"/>
  <c r="X1203" i="7"/>
  <c r="X1204" i="7"/>
  <c r="X1205" i="7"/>
  <c r="X1206" i="7"/>
  <c r="X1207" i="7"/>
  <c r="X1208" i="7"/>
  <c r="X1209" i="7"/>
  <c r="X1210" i="7"/>
  <c r="X1211" i="7"/>
  <c r="X1212" i="7"/>
  <c r="X1213" i="7"/>
  <c r="X1214" i="7"/>
  <c r="X1215" i="7"/>
  <c r="X1216" i="7"/>
  <c r="X1217" i="7"/>
  <c r="X1218" i="7"/>
  <c r="X1219" i="7"/>
  <c r="X1220" i="7"/>
  <c r="X1221" i="7"/>
  <c r="X1222" i="7"/>
  <c r="X1223" i="7"/>
  <c r="X1224" i="7"/>
  <c r="X1225" i="7"/>
  <c r="X1226" i="7"/>
  <c r="X1227" i="7"/>
  <c r="X1228" i="7"/>
  <c r="X1229" i="7"/>
  <c r="X1230" i="7"/>
  <c r="X1231" i="7"/>
  <c r="X1232" i="7"/>
  <c r="X1233" i="7"/>
  <c r="X1234" i="7"/>
  <c r="X1235" i="7"/>
  <c r="X1236" i="7"/>
  <c r="X1237" i="7"/>
  <c r="X1238" i="7"/>
  <c r="X1239" i="7"/>
  <c r="X1240" i="7"/>
  <c r="X1241" i="7"/>
  <c r="X1242" i="7"/>
  <c r="X1243" i="7"/>
  <c r="X1244" i="7"/>
  <c r="X1245" i="7"/>
  <c r="X1246" i="7"/>
  <c r="X1247" i="7"/>
  <c r="X1248" i="7"/>
  <c r="X1249" i="7"/>
  <c r="X1250" i="7"/>
  <c r="X1251" i="7"/>
  <c r="X1252" i="7"/>
  <c r="X1253" i="7"/>
  <c r="X1254" i="7"/>
  <c r="X1255" i="7"/>
  <c r="X1256" i="7"/>
  <c r="X1257" i="7"/>
  <c r="X1258" i="7"/>
  <c r="X1259" i="7"/>
  <c r="X1260" i="7"/>
  <c r="X1261" i="7"/>
  <c r="X1262" i="7"/>
  <c r="X1263" i="7"/>
  <c r="X1264" i="7"/>
  <c r="X1265" i="7"/>
  <c r="X1266" i="7"/>
  <c r="X1267" i="7"/>
  <c r="X1268" i="7"/>
  <c r="X1269" i="7"/>
  <c r="X1270" i="7"/>
  <c r="X1271" i="7"/>
  <c r="X1272" i="7"/>
  <c r="X1273" i="7"/>
  <c r="X1274" i="7"/>
  <c r="X1275" i="7"/>
  <c r="X1276" i="7"/>
  <c r="X1277" i="7"/>
  <c r="X1278" i="7"/>
  <c r="X1279" i="7"/>
  <c r="X1280" i="7"/>
  <c r="X1281" i="7"/>
  <c r="X1282" i="7"/>
  <c r="X1283" i="7"/>
  <c r="X1284" i="7"/>
  <c r="X1285" i="7"/>
  <c r="X1286" i="7"/>
  <c r="X1287" i="7"/>
  <c r="X1288" i="7"/>
  <c r="X1289" i="7"/>
  <c r="X1290" i="7"/>
  <c r="X1291" i="7"/>
  <c r="X1292" i="7"/>
  <c r="X1293" i="7"/>
  <c r="X1294" i="7"/>
  <c r="X1295" i="7"/>
  <c r="X1296" i="7"/>
  <c r="X1297" i="7"/>
  <c r="X1298" i="7"/>
  <c r="X1299" i="7"/>
  <c r="X1300" i="7"/>
  <c r="X1301" i="7"/>
  <c r="X1302" i="7"/>
  <c r="X1303" i="7"/>
  <c r="X1304" i="7"/>
  <c r="X1305" i="7"/>
  <c r="X1306" i="7"/>
  <c r="X1307" i="7"/>
  <c r="X1308" i="7"/>
  <c r="X1309" i="7"/>
  <c r="X1310" i="7"/>
  <c r="X1311" i="7"/>
  <c r="X1312" i="7"/>
  <c r="X1313" i="7"/>
  <c r="X1314" i="7"/>
  <c r="X1315" i="7"/>
  <c r="X1316" i="7"/>
  <c r="X1317" i="7"/>
  <c r="X1318" i="7"/>
  <c r="X1319" i="7"/>
  <c r="X1320" i="7"/>
  <c r="X1321" i="7"/>
  <c r="X1322" i="7"/>
  <c r="X1323" i="7"/>
  <c r="X1324" i="7"/>
  <c r="X1325" i="7"/>
  <c r="X1326" i="7"/>
  <c r="X1327" i="7"/>
  <c r="X1328" i="7"/>
  <c r="X1329" i="7"/>
  <c r="X1330" i="7"/>
  <c r="X1331" i="7"/>
  <c r="X1332" i="7"/>
  <c r="X1333" i="7"/>
  <c r="X1334" i="7"/>
  <c r="X1335" i="7"/>
  <c r="X1336" i="7"/>
  <c r="X1337" i="7"/>
  <c r="X1338" i="7"/>
  <c r="X1339" i="7"/>
  <c r="X1340" i="7"/>
  <c r="X1341" i="7"/>
  <c r="X1342" i="7"/>
  <c r="X1343" i="7"/>
  <c r="X1344" i="7"/>
  <c r="X1345" i="7"/>
  <c r="X1346" i="7"/>
  <c r="X1347" i="7"/>
  <c r="X1348" i="7"/>
  <c r="X1349" i="7"/>
  <c r="X1350" i="7"/>
  <c r="X1351" i="7"/>
  <c r="X1352" i="7"/>
  <c r="X1353" i="7"/>
  <c r="X1354" i="7"/>
  <c r="X1355" i="7"/>
  <c r="X1356" i="7"/>
  <c r="X1357" i="7"/>
  <c r="X1358" i="7"/>
  <c r="X1359" i="7"/>
  <c r="X1360" i="7"/>
  <c r="X1361" i="7"/>
  <c r="X1362" i="7"/>
  <c r="X1363" i="7"/>
  <c r="X1364" i="7"/>
  <c r="X1365" i="7"/>
  <c r="X1366" i="7"/>
  <c r="X1367" i="7"/>
  <c r="X1368" i="7"/>
  <c r="X1369" i="7"/>
  <c r="X1370" i="7"/>
  <c r="X1371" i="7"/>
  <c r="X1372" i="7"/>
  <c r="X1373" i="7"/>
  <c r="X1374" i="7"/>
  <c r="X1375" i="7"/>
  <c r="X1376" i="7"/>
  <c r="X1377" i="7"/>
  <c r="X1378" i="7"/>
  <c r="X1379" i="7"/>
  <c r="X1380" i="7"/>
  <c r="X1381" i="7"/>
  <c r="X1382" i="7"/>
  <c r="X1383" i="7"/>
  <c r="X1384" i="7"/>
  <c r="X1385" i="7"/>
  <c r="X1386" i="7"/>
  <c r="X1387" i="7"/>
  <c r="X1388" i="7"/>
  <c r="X1389" i="7"/>
  <c r="X1390" i="7"/>
  <c r="X1391" i="7"/>
  <c r="X1392" i="7"/>
  <c r="X1393" i="7"/>
  <c r="X1394" i="7"/>
  <c r="X1395" i="7"/>
  <c r="X1396" i="7"/>
  <c r="X1397" i="7"/>
  <c r="X1398" i="7"/>
  <c r="X1399" i="7"/>
  <c r="X1400" i="7"/>
  <c r="X1401" i="7"/>
  <c r="X1402" i="7"/>
  <c r="X1403" i="7"/>
  <c r="X1404" i="7"/>
  <c r="X1405" i="7"/>
  <c r="X1406" i="7"/>
  <c r="X1407" i="7"/>
  <c r="X1408" i="7"/>
  <c r="X1409" i="7"/>
  <c r="X1410" i="7"/>
  <c r="X1411" i="7"/>
  <c r="X1412" i="7"/>
  <c r="X1413" i="7"/>
  <c r="X1414" i="7"/>
  <c r="X1415" i="7"/>
  <c r="X1416" i="7"/>
  <c r="X1417" i="7"/>
  <c r="X1418" i="7"/>
  <c r="X1419" i="7"/>
  <c r="X1420" i="7"/>
  <c r="X1421" i="7"/>
  <c r="X1422" i="7"/>
  <c r="X1423" i="7"/>
  <c r="X1424" i="7"/>
  <c r="X1425" i="7"/>
  <c r="X1426" i="7"/>
  <c r="X1427" i="7"/>
  <c r="X1428" i="7"/>
  <c r="X1429" i="7"/>
  <c r="X1430" i="7"/>
  <c r="X1431" i="7"/>
  <c r="X1432" i="7"/>
  <c r="X1433" i="7"/>
  <c r="X1434" i="7"/>
  <c r="X1435" i="7"/>
  <c r="X1436" i="7"/>
  <c r="X1437" i="7"/>
  <c r="X1438" i="7"/>
  <c r="X1439" i="7"/>
  <c r="X1440" i="7"/>
  <c r="X1441" i="7"/>
  <c r="X1442" i="7"/>
  <c r="X1443" i="7"/>
  <c r="X1444" i="7"/>
  <c r="X1445" i="7"/>
  <c r="X1446" i="7"/>
  <c r="X1447" i="7"/>
  <c r="X1448" i="7"/>
  <c r="X1449" i="7"/>
  <c r="X1450" i="7"/>
  <c r="X1451" i="7"/>
  <c r="X1452" i="7"/>
  <c r="X1453" i="7"/>
  <c r="X1454" i="7"/>
  <c r="X1455" i="7"/>
  <c r="X1456" i="7"/>
  <c r="X1457" i="7"/>
  <c r="X1458" i="7"/>
  <c r="X1459" i="7"/>
  <c r="X1460" i="7"/>
  <c r="X1461" i="7"/>
  <c r="X1462" i="7"/>
  <c r="X1463" i="7"/>
  <c r="X1464" i="7"/>
  <c r="X1465" i="7"/>
  <c r="X1466" i="7"/>
  <c r="X1467" i="7"/>
  <c r="X1468" i="7"/>
  <c r="X1469" i="7"/>
  <c r="X1470" i="7"/>
  <c r="X1471" i="7"/>
  <c r="X1472" i="7"/>
  <c r="X1473" i="7"/>
  <c r="X1474" i="7"/>
  <c r="X1475" i="7"/>
  <c r="X1476" i="7"/>
  <c r="X1477" i="7"/>
  <c r="X1478" i="7"/>
  <c r="X1479" i="7"/>
  <c r="X1480" i="7"/>
  <c r="X1481" i="7"/>
  <c r="X1482" i="7"/>
  <c r="X1483" i="7"/>
  <c r="X1484" i="7"/>
  <c r="X1485" i="7"/>
  <c r="X1486" i="7"/>
  <c r="X1487" i="7"/>
  <c r="X1488" i="7"/>
  <c r="X1489" i="7"/>
  <c r="X1490" i="7"/>
  <c r="X1491" i="7"/>
  <c r="X1492" i="7"/>
  <c r="X1493" i="7"/>
  <c r="X1494" i="7"/>
  <c r="X1495" i="7"/>
  <c r="X1496" i="7"/>
  <c r="X1497" i="7"/>
  <c r="X1498" i="7"/>
  <c r="X1499" i="7"/>
  <c r="X1500" i="7"/>
  <c r="X1501" i="7"/>
  <c r="X1502" i="7"/>
  <c r="X1503" i="7"/>
  <c r="X1504" i="7"/>
  <c r="X1505" i="7"/>
  <c r="X1506" i="7"/>
  <c r="X1507" i="7"/>
  <c r="X1508" i="7"/>
  <c r="X1509" i="7"/>
  <c r="X1510" i="7"/>
  <c r="X1511" i="7"/>
  <c r="X1512" i="7"/>
  <c r="X1513" i="7"/>
  <c r="X1514" i="7"/>
  <c r="X1515" i="7"/>
  <c r="X1516" i="7"/>
  <c r="X1517" i="7"/>
  <c r="X1518" i="7"/>
  <c r="X1519" i="7"/>
  <c r="X1520" i="7"/>
  <c r="X1521" i="7"/>
  <c r="X1522" i="7"/>
  <c r="X1523" i="7"/>
  <c r="X1524" i="7"/>
  <c r="X1525" i="7"/>
  <c r="X1526" i="7"/>
  <c r="X1527" i="7"/>
  <c r="X1528" i="7"/>
  <c r="X1529" i="7"/>
  <c r="X1530" i="7"/>
  <c r="X1531" i="7"/>
  <c r="X1532" i="7"/>
  <c r="X1533" i="7"/>
  <c r="X1534" i="7"/>
  <c r="X1535" i="7"/>
  <c r="X1536" i="7"/>
  <c r="X1537" i="7"/>
  <c r="X1538" i="7"/>
  <c r="X1539" i="7"/>
  <c r="X1540" i="7"/>
  <c r="X1541" i="7"/>
  <c r="X1542" i="7"/>
  <c r="X1543" i="7"/>
  <c r="X1544" i="7"/>
  <c r="X1545" i="7"/>
  <c r="X1546" i="7"/>
  <c r="X1547" i="7"/>
  <c r="X1548" i="7"/>
  <c r="X1549" i="7"/>
  <c r="X1550" i="7"/>
  <c r="X1551" i="7"/>
  <c r="X1552" i="7"/>
  <c r="X1553" i="7"/>
  <c r="X1554" i="7"/>
  <c r="X1555" i="7"/>
  <c r="X1556" i="7"/>
  <c r="X1557" i="7"/>
  <c r="X1558" i="7"/>
  <c r="X1559" i="7"/>
  <c r="X1560" i="7"/>
  <c r="X1561" i="7"/>
  <c r="X1562" i="7"/>
  <c r="X1563" i="7"/>
  <c r="X1564" i="7"/>
  <c r="X1565" i="7"/>
  <c r="X1566" i="7"/>
  <c r="X1567" i="7"/>
  <c r="X1568" i="7"/>
  <c r="X1569" i="7"/>
  <c r="X1570" i="7"/>
  <c r="X1571" i="7"/>
  <c r="X1572" i="7"/>
  <c r="X1573" i="7"/>
  <c r="X1574" i="7"/>
  <c r="X1575" i="7"/>
  <c r="X1576" i="7"/>
  <c r="X1577" i="7"/>
  <c r="X1578" i="7"/>
  <c r="X1579" i="7"/>
  <c r="X1580" i="7"/>
  <c r="X1581" i="7"/>
  <c r="X1582" i="7"/>
  <c r="X1583" i="7"/>
  <c r="X1584" i="7"/>
  <c r="X1585" i="7"/>
  <c r="X1586" i="7"/>
  <c r="X1587" i="7"/>
  <c r="X1588" i="7"/>
  <c r="X1589" i="7"/>
  <c r="X1590" i="7"/>
  <c r="X1591" i="7"/>
  <c r="X1592" i="7"/>
  <c r="X1593" i="7"/>
  <c r="X1594" i="7"/>
  <c r="X1595" i="7"/>
  <c r="X1596" i="7"/>
  <c r="X1597" i="7"/>
  <c r="X1598" i="7"/>
  <c r="X1599" i="7"/>
  <c r="X1600" i="7"/>
  <c r="X1601" i="7"/>
  <c r="X1602" i="7"/>
  <c r="X1603" i="7"/>
  <c r="X1604" i="7"/>
  <c r="X1605" i="7"/>
  <c r="X1606" i="7"/>
  <c r="X1607" i="7"/>
  <c r="X1608" i="7"/>
  <c r="X1609" i="7"/>
  <c r="X1610" i="7"/>
  <c r="X1611" i="7"/>
  <c r="X1612" i="7"/>
  <c r="X1613" i="7"/>
  <c r="X1614" i="7"/>
  <c r="X1615" i="7"/>
  <c r="X1616" i="7"/>
  <c r="X1617" i="7"/>
  <c r="X1618" i="7"/>
  <c r="X1619" i="7"/>
  <c r="X1620" i="7"/>
  <c r="X1621" i="7"/>
  <c r="X1622" i="7"/>
  <c r="X1623" i="7"/>
  <c r="X1624" i="7"/>
  <c r="X1625" i="7"/>
  <c r="X1626" i="7"/>
  <c r="X1627" i="7"/>
  <c r="X1628" i="7"/>
  <c r="X1629" i="7"/>
  <c r="X1630" i="7"/>
  <c r="X1631" i="7"/>
  <c r="X1632" i="7"/>
  <c r="X1633" i="7"/>
  <c r="X1634" i="7"/>
  <c r="X1635" i="7"/>
  <c r="X1636" i="7"/>
  <c r="X1637" i="7"/>
  <c r="X1638" i="7"/>
  <c r="X1639" i="7"/>
  <c r="X1640" i="7"/>
  <c r="X1641" i="7"/>
  <c r="X1642" i="7"/>
  <c r="X1643" i="7"/>
  <c r="X1644" i="7"/>
  <c r="X1645" i="7"/>
  <c r="X1646" i="7"/>
  <c r="X1647" i="7"/>
  <c r="X1648" i="7"/>
  <c r="X1649" i="7"/>
  <c r="X1650" i="7"/>
  <c r="X1651" i="7"/>
  <c r="X1652" i="7"/>
  <c r="X1653" i="7"/>
  <c r="X1654" i="7"/>
  <c r="X1655" i="7"/>
  <c r="X1656" i="7"/>
  <c r="X1657" i="7"/>
  <c r="X1658" i="7"/>
  <c r="X1659" i="7"/>
  <c r="X1660" i="7"/>
  <c r="X1661" i="7"/>
  <c r="X1662" i="7"/>
  <c r="X1663" i="7"/>
  <c r="X1664" i="7"/>
  <c r="X1665" i="7"/>
  <c r="X1666" i="7"/>
  <c r="X1667" i="7"/>
  <c r="X1668" i="7"/>
  <c r="X1669" i="7"/>
  <c r="X1670" i="7"/>
  <c r="X1671" i="7"/>
  <c r="X1672" i="7"/>
  <c r="X1673" i="7"/>
  <c r="X1674" i="7"/>
  <c r="X1675" i="7"/>
  <c r="X1676" i="7"/>
  <c r="X1677" i="7"/>
  <c r="X1678" i="7"/>
  <c r="X1679" i="7"/>
  <c r="X1680" i="7"/>
  <c r="X1681" i="7"/>
  <c r="X1682" i="7"/>
  <c r="X1683" i="7"/>
  <c r="X1684" i="7"/>
  <c r="X1685" i="7"/>
  <c r="X1686" i="7"/>
  <c r="X1687" i="7"/>
  <c r="X1688" i="7"/>
  <c r="X1689" i="7"/>
  <c r="X1690" i="7"/>
  <c r="X1691" i="7"/>
  <c r="X1692" i="7"/>
  <c r="X1693" i="7"/>
  <c r="X1694" i="7"/>
  <c r="X1695" i="7"/>
  <c r="X1696" i="7"/>
  <c r="X1697" i="7"/>
  <c r="X1698" i="7"/>
  <c r="X1699" i="7"/>
  <c r="X1700" i="7"/>
  <c r="X1701" i="7"/>
  <c r="X1702" i="7"/>
  <c r="X1703" i="7"/>
  <c r="X1704" i="7"/>
  <c r="X1705" i="7"/>
  <c r="X1706" i="7"/>
  <c r="X1707" i="7"/>
  <c r="X1708" i="7"/>
  <c r="X1709" i="7"/>
  <c r="X1710" i="7"/>
  <c r="X1711" i="7"/>
  <c r="X1712" i="7"/>
  <c r="X1713" i="7"/>
  <c r="X1714" i="7"/>
  <c r="X1715" i="7"/>
  <c r="X1716" i="7"/>
  <c r="X1717" i="7"/>
  <c r="X1718" i="7"/>
  <c r="X1719" i="7"/>
  <c r="X1720" i="7"/>
  <c r="X1721" i="7"/>
  <c r="X1722" i="7"/>
  <c r="X1723" i="7"/>
  <c r="X1724" i="7"/>
  <c r="X1725" i="7"/>
  <c r="X1726" i="7"/>
  <c r="X1727" i="7"/>
  <c r="X1728" i="7"/>
  <c r="X1729" i="7"/>
  <c r="X1730" i="7"/>
  <c r="X1731" i="7"/>
  <c r="X1732" i="7"/>
  <c r="X1733" i="7"/>
  <c r="X1734" i="7"/>
  <c r="X1735" i="7"/>
  <c r="X1736" i="7"/>
  <c r="X1737" i="7"/>
  <c r="X1738" i="7"/>
  <c r="X1739" i="7"/>
  <c r="X1740" i="7"/>
  <c r="X1741" i="7"/>
  <c r="X1742" i="7"/>
  <c r="X1743" i="7"/>
  <c r="X1744" i="7"/>
  <c r="X1745" i="7"/>
  <c r="X1746" i="7"/>
  <c r="X1747" i="7"/>
  <c r="X1748" i="7"/>
  <c r="X1749" i="7"/>
  <c r="X1750" i="7"/>
  <c r="X1751" i="7"/>
  <c r="X1752" i="7"/>
  <c r="X1753" i="7"/>
  <c r="X1754" i="7"/>
  <c r="X1755" i="7"/>
  <c r="X1756" i="7"/>
  <c r="X1757" i="7"/>
  <c r="X1758" i="7"/>
  <c r="X1759" i="7"/>
  <c r="X1760" i="7"/>
  <c r="X1761" i="7"/>
  <c r="X1762" i="7"/>
  <c r="X1763" i="7"/>
  <c r="X1764" i="7"/>
  <c r="X1765" i="7"/>
  <c r="X1766" i="7"/>
  <c r="X1767" i="7"/>
  <c r="X1768" i="7"/>
  <c r="X1769" i="7"/>
  <c r="X1770" i="7"/>
  <c r="X1771" i="7"/>
  <c r="X1772" i="7"/>
  <c r="X1773" i="7"/>
  <c r="X1774" i="7"/>
  <c r="X1775" i="7"/>
  <c r="X1776" i="7"/>
  <c r="X1777" i="7"/>
  <c r="X1778" i="7"/>
  <c r="X1779" i="7"/>
  <c r="X1780" i="7"/>
  <c r="X1781" i="7"/>
  <c r="X1782" i="7"/>
  <c r="X1783" i="7"/>
  <c r="X1784" i="7"/>
  <c r="X1785" i="7"/>
  <c r="X1786" i="7"/>
  <c r="X1787" i="7"/>
  <c r="X1788" i="7"/>
  <c r="X1789" i="7"/>
  <c r="X1790" i="7"/>
  <c r="X1791" i="7"/>
  <c r="X1792" i="7"/>
  <c r="X1793" i="7"/>
  <c r="X1794" i="7"/>
  <c r="X1795" i="7"/>
  <c r="X1796" i="7"/>
  <c r="X1797" i="7"/>
  <c r="X1798" i="7"/>
  <c r="X1799" i="7"/>
  <c r="X1800" i="7"/>
  <c r="X1801" i="7"/>
  <c r="X1802" i="7"/>
  <c r="X1803" i="7"/>
  <c r="X1804" i="7"/>
  <c r="X1805" i="7"/>
  <c r="X1806" i="7"/>
  <c r="X1807" i="7"/>
  <c r="X1808" i="7"/>
  <c r="X1809" i="7"/>
  <c r="X1810" i="7"/>
  <c r="X1811" i="7"/>
  <c r="X1812" i="7"/>
  <c r="X1813" i="7"/>
  <c r="X1814" i="7"/>
  <c r="X1815" i="7"/>
  <c r="X1816" i="7"/>
  <c r="X1817" i="7"/>
  <c r="X1818" i="7"/>
  <c r="X1819" i="7"/>
  <c r="X1820" i="7"/>
  <c r="X1821" i="7"/>
  <c r="X1822" i="7"/>
  <c r="X1823" i="7"/>
  <c r="X1824" i="7"/>
  <c r="X1825" i="7"/>
  <c r="X1826" i="7"/>
  <c r="X1827" i="7"/>
  <c r="X1828" i="7"/>
  <c r="X1829" i="7"/>
  <c r="X1830" i="7"/>
  <c r="X1831" i="7"/>
  <c r="X1832" i="7"/>
  <c r="X1833" i="7"/>
  <c r="X1834" i="7"/>
  <c r="X1835" i="7"/>
  <c r="X1836" i="7"/>
  <c r="X1837" i="7"/>
  <c r="X1838" i="7"/>
  <c r="X1839" i="7"/>
  <c r="X1840" i="7"/>
  <c r="X1841" i="7"/>
  <c r="X1842" i="7"/>
  <c r="X1843" i="7"/>
  <c r="X1844" i="7"/>
  <c r="X1845" i="7"/>
  <c r="X1846" i="7"/>
  <c r="X1847" i="7"/>
  <c r="X1848" i="7"/>
  <c r="X1849" i="7"/>
  <c r="X1850" i="7"/>
  <c r="X1851" i="7"/>
  <c r="X1852" i="7"/>
  <c r="X1853" i="7"/>
  <c r="X1854" i="7"/>
  <c r="X1855" i="7"/>
  <c r="X1856" i="7"/>
  <c r="X1857" i="7"/>
  <c r="X1858" i="7"/>
  <c r="X1859" i="7"/>
  <c r="X1860" i="7"/>
  <c r="X1861" i="7"/>
  <c r="X1862" i="7"/>
  <c r="X1863" i="7"/>
  <c r="X1864" i="7"/>
  <c r="X1865" i="7"/>
  <c r="X1866" i="7"/>
  <c r="X1867" i="7"/>
  <c r="X1868" i="7"/>
  <c r="X1869" i="7"/>
  <c r="X1870" i="7"/>
  <c r="X1871" i="7"/>
  <c r="X1872" i="7"/>
  <c r="X1873" i="7"/>
  <c r="X1874" i="7"/>
  <c r="X1875" i="7"/>
  <c r="X1876" i="7"/>
  <c r="X1877" i="7"/>
  <c r="X1878" i="7"/>
  <c r="X1879" i="7"/>
  <c r="X1880" i="7"/>
  <c r="X1881" i="7"/>
  <c r="X1882" i="7"/>
  <c r="X1883" i="7"/>
  <c r="X1884" i="7"/>
  <c r="X1885" i="7"/>
  <c r="X1886" i="7"/>
  <c r="X1887" i="7"/>
  <c r="X1888" i="7"/>
  <c r="X1889" i="7"/>
  <c r="X1890" i="7"/>
  <c r="X1891" i="7"/>
  <c r="X1892" i="7"/>
  <c r="X1893" i="7"/>
  <c r="X1894" i="7"/>
  <c r="X1895" i="7"/>
  <c r="X1896" i="7"/>
  <c r="X1897" i="7"/>
  <c r="X1898" i="7"/>
  <c r="X1899" i="7"/>
  <c r="X1900" i="7"/>
  <c r="X1901" i="7"/>
  <c r="X1902" i="7"/>
  <c r="X1903" i="7"/>
  <c r="X1904" i="7"/>
  <c r="X1905" i="7"/>
  <c r="X1906" i="7"/>
  <c r="X1907" i="7"/>
  <c r="X1908" i="7"/>
  <c r="X1909" i="7"/>
  <c r="X1910" i="7"/>
  <c r="X1911" i="7"/>
  <c r="X1912" i="7"/>
  <c r="X1913" i="7"/>
  <c r="X1914" i="7"/>
  <c r="X1915" i="7"/>
  <c r="X1916" i="7"/>
  <c r="X1917" i="7"/>
  <c r="X1918" i="7"/>
  <c r="X1919" i="7"/>
  <c r="X1920" i="7"/>
  <c r="X1921" i="7"/>
  <c r="X1922" i="7"/>
  <c r="X1923" i="7"/>
  <c r="X1924" i="7"/>
  <c r="X1925" i="7"/>
  <c r="X1926" i="7"/>
  <c r="X1927" i="7"/>
  <c r="X1928" i="7"/>
  <c r="X1929" i="7"/>
  <c r="X1930" i="7"/>
  <c r="X1931" i="7"/>
  <c r="X1932" i="7"/>
  <c r="X1933" i="7"/>
  <c r="X1934" i="7"/>
  <c r="X1935" i="7"/>
  <c r="X1936" i="7"/>
  <c r="X1937" i="7"/>
  <c r="X1938" i="7"/>
  <c r="X1939" i="7"/>
  <c r="X1940" i="7"/>
  <c r="X1941" i="7"/>
  <c r="X1942" i="7"/>
  <c r="X1943" i="7"/>
  <c r="X1944" i="7"/>
  <c r="X1945" i="7"/>
  <c r="X1946" i="7"/>
  <c r="X1947" i="7"/>
  <c r="X1948" i="7"/>
  <c r="X1949" i="7"/>
  <c r="X1950" i="7"/>
  <c r="X1951" i="7"/>
  <c r="X1952" i="7"/>
  <c r="X1953" i="7"/>
  <c r="X1954" i="7"/>
  <c r="X1955" i="7"/>
  <c r="X1956" i="7"/>
  <c r="X1957" i="7"/>
  <c r="X1958" i="7"/>
  <c r="X1959" i="7"/>
  <c r="X1960" i="7"/>
  <c r="X1961" i="7"/>
  <c r="X1962" i="7"/>
  <c r="X1963" i="7"/>
  <c r="X1964" i="7"/>
  <c r="X1965" i="7"/>
  <c r="X1966" i="7"/>
  <c r="X1967" i="7"/>
  <c r="X1968" i="7"/>
  <c r="X1969" i="7"/>
  <c r="X1970" i="7"/>
  <c r="X1971" i="7"/>
  <c r="X1972" i="7"/>
  <c r="X1973" i="7"/>
  <c r="X1974" i="7"/>
  <c r="X1975" i="7"/>
  <c r="X1976" i="7"/>
  <c r="X1977" i="7"/>
  <c r="X1978" i="7"/>
  <c r="X1979" i="7"/>
  <c r="X1980" i="7"/>
  <c r="X1981" i="7"/>
  <c r="X1982" i="7"/>
  <c r="X1983" i="7"/>
  <c r="X1984" i="7"/>
  <c r="X1985" i="7"/>
  <c r="X1986" i="7"/>
  <c r="X1987" i="7"/>
  <c r="X1988" i="7"/>
  <c r="X1989" i="7"/>
  <c r="X1990" i="7"/>
  <c r="X1991" i="7"/>
  <c r="X1992" i="7"/>
  <c r="X1993" i="7"/>
  <c r="X1994" i="7"/>
  <c r="X1995" i="7"/>
  <c r="X1996" i="7"/>
  <c r="X1997" i="7"/>
  <c r="X1998" i="7"/>
  <c r="X1999" i="7"/>
  <c r="X2000" i="7"/>
  <c r="X2001" i="7"/>
  <c r="X2002" i="7"/>
  <c r="X2003" i="7"/>
  <c r="X2004" i="7"/>
  <c r="X2005" i="7"/>
  <c r="X2006" i="7"/>
  <c r="X2007" i="7"/>
  <c r="X2008" i="7"/>
  <c r="X2009" i="7"/>
  <c r="X2010" i="7"/>
  <c r="X2011" i="7"/>
  <c r="X2012" i="7"/>
  <c r="X2013" i="7"/>
  <c r="X2014" i="7"/>
  <c r="X2015" i="7"/>
  <c r="X2016" i="7"/>
  <c r="X2017" i="7"/>
  <c r="X2018" i="7"/>
  <c r="X2019" i="7"/>
  <c r="X2020" i="7"/>
  <c r="X2021" i="7"/>
  <c r="X2022" i="7"/>
  <c r="X2023" i="7"/>
  <c r="X2024" i="7"/>
  <c r="X2025" i="7"/>
  <c r="X2026" i="7"/>
  <c r="X2027" i="7"/>
  <c r="X2028" i="7"/>
  <c r="X2029" i="7"/>
  <c r="X2030" i="7"/>
  <c r="X2031" i="7"/>
  <c r="X2032" i="7"/>
  <c r="X2033" i="7"/>
  <c r="X2034" i="7"/>
  <c r="X2035" i="7"/>
  <c r="X2036" i="7"/>
  <c r="X2037" i="7"/>
  <c r="X2038" i="7"/>
  <c r="X2039" i="7"/>
  <c r="X2040" i="7"/>
  <c r="X2041" i="7"/>
  <c r="X2042" i="7"/>
  <c r="X2043" i="7"/>
  <c r="X2044" i="7"/>
  <c r="X2045" i="7"/>
  <c r="X2046" i="7"/>
  <c r="X2047" i="7"/>
  <c r="X2048" i="7"/>
  <c r="X2049" i="7"/>
  <c r="X2050" i="7"/>
  <c r="X2051" i="7"/>
  <c r="X2052" i="7"/>
  <c r="X2053" i="7"/>
  <c r="X2054" i="7"/>
  <c r="X2055" i="7"/>
  <c r="X2056" i="7"/>
  <c r="X2057" i="7"/>
  <c r="X2058" i="7"/>
  <c r="X2059" i="7"/>
  <c r="X2060" i="7"/>
  <c r="X2061" i="7"/>
  <c r="X2062" i="7"/>
  <c r="X2063" i="7"/>
  <c r="X2064" i="7"/>
  <c r="X2065" i="7"/>
  <c r="X2066" i="7"/>
  <c r="X2067" i="7"/>
  <c r="X2068" i="7"/>
  <c r="X2069" i="7"/>
  <c r="X2070" i="7"/>
  <c r="X2071" i="7"/>
  <c r="X2072" i="7"/>
  <c r="X2073" i="7"/>
  <c r="X2074" i="7"/>
  <c r="X2075" i="7"/>
  <c r="X2076" i="7"/>
  <c r="X2077" i="7"/>
  <c r="X2078" i="7"/>
  <c r="X2079" i="7"/>
  <c r="X2080" i="7"/>
  <c r="X2081" i="7"/>
  <c r="X2082" i="7"/>
  <c r="X2083" i="7"/>
  <c r="X2084" i="7"/>
  <c r="X2085" i="7"/>
  <c r="X2086" i="7"/>
  <c r="X2087" i="7"/>
  <c r="X2088" i="7"/>
  <c r="X2089" i="7"/>
  <c r="X2090" i="7"/>
  <c r="X2091" i="7"/>
  <c r="X2092" i="7"/>
  <c r="X2093" i="7"/>
  <c r="X2094" i="7"/>
  <c r="X2095" i="7"/>
  <c r="X2096" i="7"/>
  <c r="X2097" i="7"/>
  <c r="X2098" i="7"/>
  <c r="X2099" i="7"/>
  <c r="X2100" i="7"/>
  <c r="X2101" i="7"/>
  <c r="X2102" i="7"/>
  <c r="X2103" i="7"/>
  <c r="X2104" i="7"/>
  <c r="X2105" i="7"/>
  <c r="X2106" i="7"/>
  <c r="X2107" i="7"/>
  <c r="X2108" i="7"/>
  <c r="X2109" i="7"/>
  <c r="X2110" i="7"/>
  <c r="X2111" i="7"/>
  <c r="X2112" i="7"/>
  <c r="X2113" i="7"/>
  <c r="X2114" i="7"/>
  <c r="X2115" i="7"/>
  <c r="X2116" i="7"/>
  <c r="X2117" i="7"/>
  <c r="X2118" i="7"/>
  <c r="X2119" i="7"/>
  <c r="X2120" i="7"/>
  <c r="X2121" i="7"/>
  <c r="X2122" i="7"/>
  <c r="X2123" i="7"/>
  <c r="X2124" i="7"/>
  <c r="X2125" i="7"/>
  <c r="X2126" i="7"/>
  <c r="X2127" i="7"/>
  <c r="X2128" i="7"/>
  <c r="X2129" i="7"/>
  <c r="X2130" i="7"/>
  <c r="X2131" i="7"/>
  <c r="X2132" i="7"/>
  <c r="X2133" i="7"/>
  <c r="X2134" i="7"/>
  <c r="X2135" i="7"/>
  <c r="X2136" i="7"/>
  <c r="X2137" i="7"/>
  <c r="X2138" i="7"/>
  <c r="X2139" i="7"/>
  <c r="X2140" i="7"/>
  <c r="X2141" i="7"/>
  <c r="X2142" i="7"/>
  <c r="X2143" i="7"/>
  <c r="X2144" i="7"/>
  <c r="X2145" i="7"/>
  <c r="X2146" i="7"/>
  <c r="X2147" i="7"/>
  <c r="X2148" i="7"/>
  <c r="X2149" i="7"/>
  <c r="X2150" i="7"/>
  <c r="X2151" i="7"/>
  <c r="X2152" i="7"/>
  <c r="X2153" i="7"/>
  <c r="X2154" i="7"/>
  <c r="X2155" i="7"/>
  <c r="X2156" i="7"/>
  <c r="X2157" i="7"/>
  <c r="X2158" i="7"/>
  <c r="X2159" i="7"/>
  <c r="X2160" i="7"/>
  <c r="X2161" i="7"/>
  <c r="X2162" i="7"/>
  <c r="X2163" i="7"/>
  <c r="X2164" i="7"/>
  <c r="X2165" i="7"/>
  <c r="X2166" i="7"/>
  <c r="X2167" i="7"/>
  <c r="X2168" i="7"/>
  <c r="X2169" i="7"/>
  <c r="X2170" i="7"/>
  <c r="X2171" i="7"/>
  <c r="X2172" i="7"/>
  <c r="X2173" i="7"/>
  <c r="X2174" i="7"/>
  <c r="X2175" i="7"/>
  <c r="X2176" i="7"/>
  <c r="X2177" i="7"/>
  <c r="X2178" i="7"/>
  <c r="X2179" i="7"/>
  <c r="X2180" i="7"/>
  <c r="X2181" i="7"/>
  <c r="X2182" i="7"/>
  <c r="X2183" i="7"/>
  <c r="X2184" i="7"/>
  <c r="X2185" i="7"/>
  <c r="X2186" i="7"/>
  <c r="X2187" i="7"/>
  <c r="X2188" i="7"/>
  <c r="X2189" i="7"/>
  <c r="X2190" i="7"/>
  <c r="X2191" i="7"/>
  <c r="X2192" i="7"/>
  <c r="X2193" i="7"/>
  <c r="X2194" i="7"/>
  <c r="X2195" i="7"/>
  <c r="X2196" i="7"/>
  <c r="X2197" i="7"/>
  <c r="X2198" i="7"/>
  <c r="X2199" i="7"/>
  <c r="X2200" i="7"/>
  <c r="X2201" i="7"/>
  <c r="X2202" i="7"/>
  <c r="X2203" i="7"/>
  <c r="X2204" i="7"/>
  <c r="X2205" i="7"/>
  <c r="X2206" i="7"/>
  <c r="X2207" i="7"/>
  <c r="X2208" i="7"/>
  <c r="X2209" i="7"/>
  <c r="X2210" i="7"/>
  <c r="X2211" i="7"/>
  <c r="X2212" i="7"/>
  <c r="X2213" i="7"/>
  <c r="X2214" i="7"/>
  <c r="X2215" i="7"/>
  <c r="X2216" i="7"/>
  <c r="X2217" i="7"/>
  <c r="X2218" i="7"/>
  <c r="X2219" i="7"/>
  <c r="X2220" i="7"/>
  <c r="X2221" i="7"/>
  <c r="X2222" i="7"/>
  <c r="X2223" i="7"/>
  <c r="X2224" i="7"/>
  <c r="X2225" i="7"/>
  <c r="X2226" i="7"/>
  <c r="X2227" i="7"/>
  <c r="X2228" i="7"/>
  <c r="X2229" i="7"/>
  <c r="X2230" i="7"/>
  <c r="X2231" i="7"/>
  <c r="X2232" i="7"/>
  <c r="X2233" i="7"/>
  <c r="X2234" i="7"/>
  <c r="X2235" i="7"/>
  <c r="X2236" i="7"/>
  <c r="X2237" i="7"/>
  <c r="X2238" i="7"/>
  <c r="X2239" i="7"/>
  <c r="X2240" i="7"/>
  <c r="X2241" i="7"/>
  <c r="X2242" i="7"/>
  <c r="X2243" i="7"/>
  <c r="X2244" i="7"/>
  <c r="X2245" i="7"/>
  <c r="X2246" i="7"/>
  <c r="X2247" i="7"/>
  <c r="X2248" i="7"/>
  <c r="X2249" i="7"/>
  <c r="X2250" i="7"/>
  <c r="X2251" i="7"/>
  <c r="X2252" i="7"/>
  <c r="X2253" i="7"/>
  <c r="X2254" i="7"/>
  <c r="X2255" i="7"/>
  <c r="X2256" i="7"/>
  <c r="X2257" i="7"/>
  <c r="X2258" i="7"/>
  <c r="X2259" i="7"/>
  <c r="X2260" i="7"/>
  <c r="X2261" i="7"/>
  <c r="X2262" i="7"/>
  <c r="X2263" i="7"/>
  <c r="X2264" i="7"/>
  <c r="X2265" i="7"/>
  <c r="X2266" i="7"/>
  <c r="X2267" i="7"/>
  <c r="X2268" i="7"/>
  <c r="X2269" i="7"/>
  <c r="X2270" i="7"/>
  <c r="X2271" i="7"/>
  <c r="X2272" i="7"/>
  <c r="X2273" i="7"/>
  <c r="X2274" i="7"/>
  <c r="X2275" i="7"/>
  <c r="X2276" i="7"/>
  <c r="X2277" i="7"/>
  <c r="X2278" i="7"/>
  <c r="X2279" i="7"/>
  <c r="X2280" i="7"/>
  <c r="X2281" i="7"/>
  <c r="X2282" i="7"/>
  <c r="X2283" i="7"/>
  <c r="X2284" i="7"/>
  <c r="X2285" i="7"/>
  <c r="X2286" i="7"/>
  <c r="X2287" i="7"/>
  <c r="X2288" i="7"/>
  <c r="X2289" i="7"/>
  <c r="X2290" i="7"/>
  <c r="X2291" i="7"/>
  <c r="X2292" i="7"/>
  <c r="X2293" i="7"/>
  <c r="X2294" i="7"/>
  <c r="X2295" i="7"/>
  <c r="X2296" i="7"/>
  <c r="X2297" i="7"/>
  <c r="X2298" i="7"/>
  <c r="X2299" i="7"/>
  <c r="X2300" i="7"/>
  <c r="X2301" i="7"/>
  <c r="X2302" i="7"/>
  <c r="X2303" i="7"/>
  <c r="X2304" i="7"/>
  <c r="X2305" i="7"/>
  <c r="X2306" i="7"/>
  <c r="X2307" i="7"/>
  <c r="X2308" i="7"/>
  <c r="X2309" i="7"/>
  <c r="X2310" i="7"/>
  <c r="X2311" i="7"/>
  <c r="X2312" i="7"/>
  <c r="X2313" i="7"/>
  <c r="X2314" i="7"/>
  <c r="X2315" i="7"/>
  <c r="X2316" i="7"/>
  <c r="X2317" i="7"/>
  <c r="X2318" i="7"/>
  <c r="X2319" i="7"/>
  <c r="X2320" i="7"/>
  <c r="X2321" i="7"/>
  <c r="X2322" i="7"/>
  <c r="X2323" i="7"/>
  <c r="X2324" i="7"/>
  <c r="X2325" i="7"/>
  <c r="X2326" i="7"/>
  <c r="X2327" i="7"/>
  <c r="X2328" i="7"/>
  <c r="X2329" i="7"/>
  <c r="X2330" i="7"/>
  <c r="X2331" i="7"/>
  <c r="X2332" i="7"/>
  <c r="X2333" i="7"/>
  <c r="X2334" i="7"/>
  <c r="X2335" i="7"/>
  <c r="X2336" i="7"/>
  <c r="X2337" i="7"/>
  <c r="X2338" i="7"/>
  <c r="X2339" i="7"/>
  <c r="X2340" i="7"/>
  <c r="X2341" i="7"/>
  <c r="X2342" i="7"/>
  <c r="X2343" i="7"/>
  <c r="X2344" i="7"/>
  <c r="X2345" i="7"/>
  <c r="X2346" i="7"/>
  <c r="X2347" i="7"/>
  <c r="X2348" i="7"/>
  <c r="X2349" i="7"/>
  <c r="X2350" i="7"/>
  <c r="X2351" i="7"/>
  <c r="X2352" i="7"/>
  <c r="X2353" i="7"/>
  <c r="X2354" i="7"/>
  <c r="X2355" i="7"/>
  <c r="X2356" i="7"/>
  <c r="X2357" i="7"/>
  <c r="X2358" i="7"/>
  <c r="X2359" i="7"/>
  <c r="X2360" i="7"/>
  <c r="X2361" i="7"/>
  <c r="X2362" i="7"/>
  <c r="X2363" i="7"/>
  <c r="X2364" i="7"/>
  <c r="X2365" i="7"/>
  <c r="X2366" i="7"/>
  <c r="X2367" i="7"/>
  <c r="X2368" i="7"/>
  <c r="X2369" i="7"/>
  <c r="X2370" i="7"/>
  <c r="X2371" i="7"/>
  <c r="X2372" i="7"/>
  <c r="X2373" i="7"/>
  <c r="X2374" i="7"/>
  <c r="X2375" i="7"/>
  <c r="X2376" i="7"/>
  <c r="X2377" i="7"/>
  <c r="X2378" i="7"/>
  <c r="X2379" i="7"/>
  <c r="X2380" i="7"/>
  <c r="X2381" i="7"/>
  <c r="X2382" i="7"/>
  <c r="X2383" i="7"/>
  <c r="X2384" i="7"/>
  <c r="X2385" i="7"/>
  <c r="X2386" i="7"/>
  <c r="X2387" i="7"/>
  <c r="X2388" i="7"/>
  <c r="X2389" i="7"/>
  <c r="X2390" i="7"/>
  <c r="X2391" i="7"/>
  <c r="X2392" i="7"/>
  <c r="X2393" i="7"/>
  <c r="X2394" i="7"/>
  <c r="X2395" i="7"/>
  <c r="X2396" i="7"/>
  <c r="X2397" i="7"/>
  <c r="X2398" i="7"/>
  <c r="X2399" i="7"/>
  <c r="X2400" i="7"/>
  <c r="X2401" i="7"/>
  <c r="X2402" i="7"/>
  <c r="X2403" i="7"/>
  <c r="X2404" i="7"/>
  <c r="X2405" i="7"/>
  <c r="X2406" i="7"/>
  <c r="X2407" i="7"/>
  <c r="X2408" i="7"/>
  <c r="X2409" i="7"/>
  <c r="X2410" i="7"/>
  <c r="X2411" i="7"/>
  <c r="X2412" i="7"/>
  <c r="X2413" i="7"/>
  <c r="X2414" i="7"/>
  <c r="X2415" i="7"/>
  <c r="X2416" i="7"/>
  <c r="X2417" i="7"/>
  <c r="X2418" i="7"/>
  <c r="X2419" i="7"/>
  <c r="X2420" i="7"/>
  <c r="X2421" i="7"/>
  <c r="X2422" i="7"/>
  <c r="X2423" i="7"/>
  <c r="X2424" i="7"/>
  <c r="X2425" i="7"/>
  <c r="X2426" i="7"/>
  <c r="X2427" i="7"/>
  <c r="X2428" i="7"/>
  <c r="X2429" i="7"/>
  <c r="X2430" i="7"/>
  <c r="X2431" i="7"/>
  <c r="X2432" i="7"/>
  <c r="X2433" i="7"/>
  <c r="X2434" i="7"/>
  <c r="X2435" i="7"/>
  <c r="X2436" i="7"/>
  <c r="X2437" i="7"/>
  <c r="X2438" i="7"/>
  <c r="X2439" i="7"/>
  <c r="X2440" i="7"/>
  <c r="X2441" i="7"/>
  <c r="X2442" i="7"/>
  <c r="X2443" i="7"/>
  <c r="X2444" i="7"/>
  <c r="X2445" i="7"/>
  <c r="X2446" i="7"/>
  <c r="X2447" i="7"/>
  <c r="X2448" i="7"/>
  <c r="X2449" i="7"/>
  <c r="X2450" i="7"/>
  <c r="X2451" i="7"/>
  <c r="X2452" i="7"/>
  <c r="X2453" i="7"/>
  <c r="X2454" i="7"/>
  <c r="X2455" i="7"/>
  <c r="X2456" i="7"/>
  <c r="X2457" i="7"/>
  <c r="X2458" i="7"/>
  <c r="X2459" i="7"/>
  <c r="X2460" i="7"/>
  <c r="X2461" i="7"/>
  <c r="X2462" i="7"/>
  <c r="X2463" i="7"/>
  <c r="X2464" i="7"/>
  <c r="X2465" i="7"/>
  <c r="X2466" i="7"/>
  <c r="X2467" i="7"/>
  <c r="X2468" i="7"/>
  <c r="X2469" i="7"/>
  <c r="X2470" i="7"/>
  <c r="X2471" i="7"/>
  <c r="X2472" i="7"/>
  <c r="X2473" i="7"/>
  <c r="X2474" i="7"/>
  <c r="X2475" i="7"/>
  <c r="X2476" i="7"/>
  <c r="X2477" i="7"/>
  <c r="X2478" i="7"/>
  <c r="X2479" i="7"/>
  <c r="X2480" i="7"/>
  <c r="X2481" i="7"/>
  <c r="X2482" i="7"/>
  <c r="X2483" i="7"/>
  <c r="X2484" i="7"/>
  <c r="X2485" i="7"/>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W504" i="7"/>
  <c r="W505" i="7"/>
  <c r="W506" i="7"/>
  <c r="W507" i="7"/>
  <c r="W508" i="7"/>
  <c r="W509" i="7"/>
  <c r="W510" i="7"/>
  <c r="W511" i="7"/>
  <c r="W512" i="7"/>
  <c r="W513" i="7"/>
  <c r="W514" i="7"/>
  <c r="W515" i="7"/>
  <c r="W516" i="7"/>
  <c r="W517" i="7"/>
  <c r="W518" i="7"/>
  <c r="W519" i="7"/>
  <c r="W520" i="7"/>
  <c r="W521" i="7"/>
  <c r="W522" i="7"/>
  <c r="W523" i="7"/>
  <c r="W524" i="7"/>
  <c r="W525" i="7"/>
  <c r="W526" i="7"/>
  <c r="W527" i="7"/>
  <c r="W528" i="7"/>
  <c r="W529" i="7"/>
  <c r="W530" i="7"/>
  <c r="W531" i="7"/>
  <c r="W532" i="7"/>
  <c r="W533" i="7"/>
  <c r="W534" i="7"/>
  <c r="W535" i="7"/>
  <c r="W536" i="7"/>
  <c r="W537" i="7"/>
  <c r="W538" i="7"/>
  <c r="W539" i="7"/>
  <c r="W540" i="7"/>
  <c r="W541" i="7"/>
  <c r="W542" i="7"/>
  <c r="W543" i="7"/>
  <c r="W544" i="7"/>
  <c r="W545" i="7"/>
  <c r="W546" i="7"/>
  <c r="W547" i="7"/>
  <c r="W548" i="7"/>
  <c r="W549" i="7"/>
  <c r="W550" i="7"/>
  <c r="W551" i="7"/>
  <c r="W552" i="7"/>
  <c r="W553" i="7"/>
  <c r="W554" i="7"/>
  <c r="W555" i="7"/>
  <c r="W556" i="7"/>
  <c r="W557" i="7"/>
  <c r="W558" i="7"/>
  <c r="W559" i="7"/>
  <c r="W560" i="7"/>
  <c r="W561" i="7"/>
  <c r="W562" i="7"/>
  <c r="W563" i="7"/>
  <c r="W564" i="7"/>
  <c r="W565" i="7"/>
  <c r="W566" i="7"/>
  <c r="W567" i="7"/>
  <c r="W568" i="7"/>
  <c r="W569" i="7"/>
  <c r="W570" i="7"/>
  <c r="W571" i="7"/>
  <c r="W572" i="7"/>
  <c r="W573" i="7"/>
  <c r="W574" i="7"/>
  <c r="W575" i="7"/>
  <c r="W576" i="7"/>
  <c r="W577" i="7"/>
  <c r="W578" i="7"/>
  <c r="W579" i="7"/>
  <c r="W580" i="7"/>
  <c r="W581" i="7"/>
  <c r="W582" i="7"/>
  <c r="W583" i="7"/>
  <c r="W584" i="7"/>
  <c r="W585" i="7"/>
  <c r="W586" i="7"/>
  <c r="W587" i="7"/>
  <c r="W588" i="7"/>
  <c r="W589" i="7"/>
  <c r="W590" i="7"/>
  <c r="W591" i="7"/>
  <c r="W592" i="7"/>
  <c r="W593" i="7"/>
  <c r="W594" i="7"/>
  <c r="W595" i="7"/>
  <c r="W596" i="7"/>
  <c r="W597" i="7"/>
  <c r="W598" i="7"/>
  <c r="W599" i="7"/>
  <c r="W600" i="7"/>
  <c r="W601" i="7"/>
  <c r="W602" i="7"/>
  <c r="W603" i="7"/>
  <c r="W604" i="7"/>
  <c r="W605" i="7"/>
  <c r="W606" i="7"/>
  <c r="W607" i="7"/>
  <c r="W608" i="7"/>
  <c r="W609" i="7"/>
  <c r="W610" i="7"/>
  <c r="W611" i="7"/>
  <c r="W612" i="7"/>
  <c r="W613" i="7"/>
  <c r="W614" i="7"/>
  <c r="W615" i="7"/>
  <c r="W616" i="7"/>
  <c r="W617" i="7"/>
  <c r="W618" i="7"/>
  <c r="W619" i="7"/>
  <c r="W620" i="7"/>
  <c r="W621" i="7"/>
  <c r="W622" i="7"/>
  <c r="W623" i="7"/>
  <c r="W624" i="7"/>
  <c r="W625" i="7"/>
  <c r="W626" i="7"/>
  <c r="W627" i="7"/>
  <c r="W628" i="7"/>
  <c r="W629" i="7"/>
  <c r="W630" i="7"/>
  <c r="W631" i="7"/>
  <c r="W632" i="7"/>
  <c r="W633" i="7"/>
  <c r="W634" i="7"/>
  <c r="W635" i="7"/>
  <c r="W636" i="7"/>
  <c r="W637" i="7"/>
  <c r="W638" i="7"/>
  <c r="W639" i="7"/>
  <c r="W640" i="7"/>
  <c r="W641" i="7"/>
  <c r="W642" i="7"/>
  <c r="W643" i="7"/>
  <c r="W644" i="7"/>
  <c r="W645" i="7"/>
  <c r="W646" i="7"/>
  <c r="W647" i="7"/>
  <c r="W648" i="7"/>
  <c r="W649" i="7"/>
  <c r="W650" i="7"/>
  <c r="W651" i="7"/>
  <c r="W652" i="7"/>
  <c r="W653" i="7"/>
  <c r="W654" i="7"/>
  <c r="W655" i="7"/>
  <c r="W656" i="7"/>
  <c r="W657" i="7"/>
  <c r="W658" i="7"/>
  <c r="W659" i="7"/>
  <c r="W660" i="7"/>
  <c r="W661" i="7"/>
  <c r="W662" i="7"/>
  <c r="W663" i="7"/>
  <c r="W664" i="7"/>
  <c r="W665" i="7"/>
  <c r="W666" i="7"/>
  <c r="W667" i="7"/>
  <c r="W668" i="7"/>
  <c r="W669" i="7"/>
  <c r="W670" i="7"/>
  <c r="W671" i="7"/>
  <c r="W672" i="7"/>
  <c r="W673" i="7"/>
  <c r="W674" i="7"/>
  <c r="W675" i="7"/>
  <c r="W676" i="7"/>
  <c r="W677" i="7"/>
  <c r="W678" i="7"/>
  <c r="W679" i="7"/>
  <c r="W680" i="7"/>
  <c r="W681" i="7"/>
  <c r="W682" i="7"/>
  <c r="W683" i="7"/>
  <c r="W684" i="7"/>
  <c r="W685" i="7"/>
  <c r="W686" i="7"/>
  <c r="W687" i="7"/>
  <c r="W688" i="7"/>
  <c r="W689" i="7"/>
  <c r="W690" i="7"/>
  <c r="W691" i="7"/>
  <c r="W692" i="7"/>
  <c r="W693" i="7"/>
  <c r="W694" i="7"/>
  <c r="W695" i="7"/>
  <c r="W696" i="7"/>
  <c r="W697" i="7"/>
  <c r="W698" i="7"/>
  <c r="W699" i="7"/>
  <c r="W700" i="7"/>
  <c r="W701" i="7"/>
  <c r="W702" i="7"/>
  <c r="W703" i="7"/>
  <c r="W704" i="7"/>
  <c r="W705" i="7"/>
  <c r="W706" i="7"/>
  <c r="W707" i="7"/>
  <c r="W708" i="7"/>
  <c r="W709" i="7"/>
  <c r="W710" i="7"/>
  <c r="W711" i="7"/>
  <c r="W712" i="7"/>
  <c r="W713" i="7"/>
  <c r="W714" i="7"/>
  <c r="W715" i="7"/>
  <c r="W716" i="7"/>
  <c r="W717" i="7"/>
  <c r="W718" i="7"/>
  <c r="W719" i="7"/>
  <c r="W720" i="7"/>
  <c r="W721" i="7"/>
  <c r="W722" i="7"/>
  <c r="W723" i="7"/>
  <c r="W724" i="7"/>
  <c r="W725" i="7"/>
  <c r="W726" i="7"/>
  <c r="W727" i="7"/>
  <c r="W728" i="7"/>
  <c r="W729" i="7"/>
  <c r="W730" i="7"/>
  <c r="W731" i="7"/>
  <c r="W732" i="7"/>
  <c r="W733" i="7"/>
  <c r="W734" i="7"/>
  <c r="W735" i="7"/>
  <c r="W736" i="7"/>
  <c r="W737" i="7"/>
  <c r="W738" i="7"/>
  <c r="W739" i="7"/>
  <c r="W740" i="7"/>
  <c r="W741" i="7"/>
  <c r="W742" i="7"/>
  <c r="W743" i="7"/>
  <c r="W744" i="7"/>
  <c r="W745" i="7"/>
  <c r="W746" i="7"/>
  <c r="W747" i="7"/>
  <c r="W748" i="7"/>
  <c r="W749" i="7"/>
  <c r="W750" i="7"/>
  <c r="W751" i="7"/>
  <c r="W752" i="7"/>
  <c r="W753" i="7"/>
  <c r="W754" i="7"/>
  <c r="W755" i="7"/>
  <c r="W756" i="7"/>
  <c r="W757" i="7"/>
  <c r="W758" i="7"/>
  <c r="W759" i="7"/>
  <c r="W760" i="7"/>
  <c r="W761" i="7"/>
  <c r="W762" i="7"/>
  <c r="W763" i="7"/>
  <c r="W764" i="7"/>
  <c r="W765" i="7"/>
  <c r="W766" i="7"/>
  <c r="W767" i="7"/>
  <c r="W768" i="7"/>
  <c r="W769" i="7"/>
  <c r="W770" i="7"/>
  <c r="W771" i="7"/>
  <c r="W772" i="7"/>
  <c r="W773" i="7"/>
  <c r="W774" i="7"/>
  <c r="W775" i="7"/>
  <c r="W776" i="7"/>
  <c r="W777" i="7"/>
  <c r="W778" i="7"/>
  <c r="W779" i="7"/>
  <c r="W780" i="7"/>
  <c r="W781" i="7"/>
  <c r="W782" i="7"/>
  <c r="W783" i="7"/>
  <c r="W784" i="7"/>
  <c r="W785" i="7"/>
  <c r="W786" i="7"/>
  <c r="W787" i="7"/>
  <c r="W788" i="7"/>
  <c r="W789" i="7"/>
  <c r="W790" i="7"/>
  <c r="W791" i="7"/>
  <c r="W792" i="7"/>
  <c r="W793" i="7"/>
  <c r="W794" i="7"/>
  <c r="W795" i="7"/>
  <c r="W796" i="7"/>
  <c r="W797" i="7"/>
  <c r="W798" i="7"/>
  <c r="W799" i="7"/>
  <c r="W800" i="7"/>
  <c r="W801" i="7"/>
  <c r="W802" i="7"/>
  <c r="W803" i="7"/>
  <c r="W804" i="7"/>
  <c r="W805" i="7"/>
  <c r="W806" i="7"/>
  <c r="W807" i="7"/>
  <c r="W808" i="7"/>
  <c r="W809" i="7"/>
  <c r="W810" i="7"/>
  <c r="W811" i="7"/>
  <c r="W812" i="7"/>
  <c r="W813" i="7"/>
  <c r="W814" i="7"/>
  <c r="W815" i="7"/>
  <c r="W816" i="7"/>
  <c r="W817" i="7"/>
  <c r="W818" i="7"/>
  <c r="W819" i="7"/>
  <c r="W820" i="7"/>
  <c r="W821" i="7"/>
  <c r="W822" i="7"/>
  <c r="W823" i="7"/>
  <c r="W824" i="7"/>
  <c r="W825" i="7"/>
  <c r="W826" i="7"/>
  <c r="W827" i="7"/>
  <c r="W828" i="7"/>
  <c r="W829" i="7"/>
  <c r="W830" i="7"/>
  <c r="W831" i="7"/>
  <c r="W832" i="7"/>
  <c r="W833" i="7"/>
  <c r="W834" i="7"/>
  <c r="W835" i="7"/>
  <c r="W836" i="7"/>
  <c r="W837" i="7"/>
  <c r="W838" i="7"/>
  <c r="W839" i="7"/>
  <c r="W840" i="7"/>
  <c r="W841" i="7"/>
  <c r="W842" i="7"/>
  <c r="W843" i="7"/>
  <c r="W844" i="7"/>
  <c r="W845" i="7"/>
  <c r="W846" i="7"/>
  <c r="W847" i="7"/>
  <c r="W848" i="7"/>
  <c r="W849" i="7"/>
  <c r="W850" i="7"/>
  <c r="W851" i="7"/>
  <c r="W852" i="7"/>
  <c r="W853" i="7"/>
  <c r="W854" i="7"/>
  <c r="W855" i="7"/>
  <c r="W856" i="7"/>
  <c r="W857" i="7"/>
  <c r="W858" i="7"/>
  <c r="W859" i="7"/>
  <c r="W860" i="7"/>
  <c r="W861" i="7"/>
  <c r="W862" i="7"/>
  <c r="W863" i="7"/>
  <c r="W864" i="7"/>
  <c r="W865" i="7"/>
  <c r="W866" i="7"/>
  <c r="W867" i="7"/>
  <c r="W868" i="7"/>
  <c r="W869" i="7"/>
  <c r="W870" i="7"/>
  <c r="W871" i="7"/>
  <c r="W872" i="7"/>
  <c r="W873" i="7"/>
  <c r="W874" i="7"/>
  <c r="W875" i="7"/>
  <c r="W876" i="7"/>
  <c r="W877" i="7"/>
  <c r="W878" i="7"/>
  <c r="W879" i="7"/>
  <c r="W880" i="7"/>
  <c r="W881" i="7"/>
  <c r="W882" i="7"/>
  <c r="W883" i="7"/>
  <c r="W884" i="7"/>
  <c r="W885" i="7"/>
  <c r="W886" i="7"/>
  <c r="W887" i="7"/>
  <c r="W888" i="7"/>
  <c r="W889" i="7"/>
  <c r="W890" i="7"/>
  <c r="W891" i="7"/>
  <c r="W892" i="7"/>
  <c r="W893" i="7"/>
  <c r="W894" i="7"/>
  <c r="W895" i="7"/>
  <c r="W896" i="7"/>
  <c r="W897" i="7"/>
  <c r="W898" i="7"/>
  <c r="W899" i="7"/>
  <c r="W900" i="7"/>
  <c r="W901" i="7"/>
  <c r="W902" i="7"/>
  <c r="W903" i="7"/>
  <c r="W904" i="7"/>
  <c r="W905" i="7"/>
  <c r="W906" i="7"/>
  <c r="W907" i="7"/>
  <c r="W908" i="7"/>
  <c r="W909" i="7"/>
  <c r="W910" i="7"/>
  <c r="W911" i="7"/>
  <c r="W912" i="7"/>
  <c r="W913" i="7"/>
  <c r="W914" i="7"/>
  <c r="W915" i="7"/>
  <c r="W916" i="7"/>
  <c r="W917" i="7"/>
  <c r="W918" i="7"/>
  <c r="W919" i="7"/>
  <c r="W920" i="7"/>
  <c r="W921" i="7"/>
  <c r="W922" i="7"/>
  <c r="W923" i="7"/>
  <c r="W924" i="7"/>
  <c r="W925" i="7"/>
  <c r="W926" i="7"/>
  <c r="W927" i="7"/>
  <c r="W928" i="7"/>
  <c r="W929" i="7"/>
  <c r="W930" i="7"/>
  <c r="W931" i="7"/>
  <c r="W932" i="7"/>
  <c r="W933" i="7"/>
  <c r="W934" i="7"/>
  <c r="W935" i="7"/>
  <c r="W936" i="7"/>
  <c r="W937" i="7"/>
  <c r="W938" i="7"/>
  <c r="W939" i="7"/>
  <c r="W940" i="7"/>
  <c r="W941" i="7"/>
  <c r="W942" i="7"/>
  <c r="W943" i="7"/>
  <c r="W944" i="7"/>
  <c r="W945" i="7"/>
  <c r="W946" i="7"/>
  <c r="W947" i="7"/>
  <c r="W948" i="7"/>
  <c r="W949" i="7"/>
  <c r="W950" i="7"/>
  <c r="W951" i="7"/>
  <c r="W952" i="7"/>
  <c r="W953" i="7"/>
  <c r="W954" i="7"/>
  <c r="W955" i="7"/>
  <c r="W956" i="7"/>
  <c r="W957" i="7"/>
  <c r="W958" i="7"/>
  <c r="W959" i="7"/>
  <c r="W960" i="7"/>
  <c r="W961" i="7"/>
  <c r="W962" i="7"/>
  <c r="W963" i="7"/>
  <c r="W964" i="7"/>
  <c r="W965" i="7"/>
  <c r="W966" i="7"/>
  <c r="W967" i="7"/>
  <c r="W968" i="7"/>
  <c r="W969" i="7"/>
  <c r="W970" i="7"/>
  <c r="W971" i="7"/>
  <c r="W972" i="7"/>
  <c r="W973" i="7"/>
  <c r="W974" i="7"/>
  <c r="W975" i="7"/>
  <c r="W976" i="7"/>
  <c r="W977" i="7"/>
  <c r="W978" i="7"/>
  <c r="W979" i="7"/>
  <c r="W980" i="7"/>
  <c r="W981" i="7"/>
  <c r="W982" i="7"/>
  <c r="W983" i="7"/>
  <c r="W984" i="7"/>
  <c r="W985" i="7"/>
  <c r="W986" i="7"/>
  <c r="W987" i="7"/>
  <c r="W988" i="7"/>
  <c r="W989" i="7"/>
  <c r="W990" i="7"/>
  <c r="W991" i="7"/>
  <c r="W992" i="7"/>
  <c r="W993" i="7"/>
  <c r="W994" i="7"/>
  <c r="W995" i="7"/>
  <c r="W996" i="7"/>
  <c r="W997" i="7"/>
  <c r="W998" i="7"/>
  <c r="W999" i="7"/>
  <c r="W1000" i="7"/>
  <c r="W1001" i="7"/>
  <c r="W1002" i="7"/>
  <c r="W1003" i="7"/>
  <c r="W1004" i="7"/>
  <c r="W1005" i="7"/>
  <c r="W1006" i="7"/>
  <c r="W1007" i="7"/>
  <c r="W1008" i="7"/>
  <c r="W1009" i="7"/>
  <c r="W1010" i="7"/>
  <c r="W1011" i="7"/>
  <c r="W1012" i="7"/>
  <c r="W1013" i="7"/>
  <c r="W1014" i="7"/>
  <c r="W1015" i="7"/>
  <c r="W1016" i="7"/>
  <c r="W1017" i="7"/>
  <c r="W1018" i="7"/>
  <c r="W1019" i="7"/>
  <c r="W1020" i="7"/>
  <c r="W1021" i="7"/>
  <c r="W1022" i="7"/>
  <c r="W1023" i="7"/>
  <c r="W1024" i="7"/>
  <c r="W1025" i="7"/>
  <c r="W1026" i="7"/>
  <c r="W1027" i="7"/>
  <c r="W1028" i="7"/>
  <c r="W1029" i="7"/>
  <c r="W1030" i="7"/>
  <c r="W1031" i="7"/>
  <c r="W1032" i="7"/>
  <c r="W1033" i="7"/>
  <c r="W1034" i="7"/>
  <c r="W1035" i="7"/>
  <c r="W1036" i="7"/>
  <c r="W1037" i="7"/>
  <c r="W1038" i="7"/>
  <c r="W1039" i="7"/>
  <c r="W1040" i="7"/>
  <c r="W1041" i="7"/>
  <c r="W1042" i="7"/>
  <c r="W1043" i="7"/>
  <c r="W1044" i="7"/>
  <c r="W1045" i="7"/>
  <c r="W1046" i="7"/>
  <c r="W1047" i="7"/>
  <c r="W1048" i="7"/>
  <c r="W1049" i="7"/>
  <c r="W1050" i="7"/>
  <c r="W1051" i="7"/>
  <c r="W1052" i="7"/>
  <c r="W1053" i="7"/>
  <c r="W1054" i="7"/>
  <c r="W1055" i="7"/>
  <c r="W1056" i="7"/>
  <c r="W1057" i="7"/>
  <c r="W1058" i="7"/>
  <c r="W1059" i="7"/>
  <c r="W1060" i="7"/>
  <c r="W1061" i="7"/>
  <c r="W1062" i="7"/>
  <c r="W1063" i="7"/>
  <c r="W1064" i="7"/>
  <c r="W1065" i="7"/>
  <c r="W1066" i="7"/>
  <c r="W1067" i="7"/>
  <c r="W1068" i="7"/>
  <c r="W1069" i="7"/>
  <c r="W1070" i="7"/>
  <c r="W1071" i="7"/>
  <c r="W1072" i="7"/>
  <c r="W1073" i="7"/>
  <c r="W1074" i="7"/>
  <c r="W1075" i="7"/>
  <c r="W1076" i="7"/>
  <c r="W1077" i="7"/>
  <c r="W1078" i="7"/>
  <c r="W1079" i="7"/>
  <c r="W1080" i="7"/>
  <c r="W1081" i="7"/>
  <c r="W1082" i="7"/>
  <c r="W1083" i="7"/>
  <c r="W1084" i="7"/>
  <c r="W1085" i="7"/>
  <c r="W1086" i="7"/>
  <c r="W1087" i="7"/>
  <c r="W1088" i="7"/>
  <c r="W1089" i="7"/>
  <c r="W1090" i="7"/>
  <c r="W1091" i="7"/>
  <c r="W1092" i="7"/>
  <c r="W1093" i="7"/>
  <c r="W1094" i="7"/>
  <c r="W1095" i="7"/>
  <c r="W1096" i="7"/>
  <c r="W1097" i="7"/>
  <c r="W1098" i="7"/>
  <c r="W1099" i="7"/>
  <c r="W1100" i="7"/>
  <c r="W1101" i="7"/>
  <c r="W1102" i="7"/>
  <c r="W1103" i="7"/>
  <c r="W1104" i="7"/>
  <c r="W1105" i="7"/>
  <c r="W1106" i="7"/>
  <c r="W1107" i="7"/>
  <c r="W1108" i="7"/>
  <c r="W1109" i="7"/>
  <c r="W1110" i="7"/>
  <c r="W1111" i="7"/>
  <c r="W1112" i="7"/>
  <c r="W1113" i="7"/>
  <c r="W1114" i="7"/>
  <c r="W1115" i="7"/>
  <c r="W1116" i="7"/>
  <c r="W1117" i="7"/>
  <c r="W1118" i="7"/>
  <c r="W1119" i="7"/>
  <c r="W1120" i="7"/>
  <c r="W1121" i="7"/>
  <c r="W1122" i="7"/>
  <c r="W1123" i="7"/>
  <c r="W1124" i="7"/>
  <c r="W1125" i="7"/>
  <c r="W1126" i="7"/>
  <c r="W1127" i="7"/>
  <c r="W1128" i="7"/>
  <c r="W1129" i="7"/>
  <c r="W1130" i="7"/>
  <c r="W1131" i="7"/>
  <c r="W1132" i="7"/>
  <c r="W1133" i="7"/>
  <c r="W1134" i="7"/>
  <c r="W1135" i="7"/>
  <c r="W1136" i="7"/>
  <c r="W1137" i="7"/>
  <c r="W1138" i="7"/>
  <c r="W1139" i="7"/>
  <c r="W1140" i="7"/>
  <c r="W1141" i="7"/>
  <c r="W1142" i="7"/>
  <c r="W1143" i="7"/>
  <c r="W1144" i="7"/>
  <c r="W1145" i="7"/>
  <c r="W1146" i="7"/>
  <c r="W1147" i="7"/>
  <c r="W1148" i="7"/>
  <c r="W1149" i="7"/>
  <c r="W1150" i="7"/>
  <c r="W1151" i="7"/>
  <c r="W1152" i="7"/>
  <c r="W1153" i="7"/>
  <c r="W1154" i="7"/>
  <c r="W1155" i="7"/>
  <c r="W1156" i="7"/>
  <c r="W1157" i="7"/>
  <c r="W1158" i="7"/>
  <c r="W1159" i="7"/>
  <c r="W1160" i="7"/>
  <c r="W1161" i="7"/>
  <c r="W1162" i="7"/>
  <c r="W1163" i="7"/>
  <c r="W1164" i="7"/>
  <c r="W1165" i="7"/>
  <c r="W1166" i="7"/>
  <c r="W1167" i="7"/>
  <c r="W1168" i="7"/>
  <c r="W1169" i="7"/>
  <c r="W1170" i="7"/>
  <c r="W1171" i="7"/>
  <c r="W1172" i="7"/>
  <c r="W1173" i="7"/>
  <c r="W1174" i="7"/>
  <c r="W1175" i="7"/>
  <c r="W1176" i="7"/>
  <c r="W1177" i="7"/>
  <c r="W1178" i="7"/>
  <c r="W1179" i="7"/>
  <c r="W1180" i="7"/>
  <c r="W1181" i="7"/>
  <c r="W1182" i="7"/>
  <c r="W1183" i="7"/>
  <c r="W1184" i="7"/>
  <c r="W1185" i="7"/>
  <c r="W1186" i="7"/>
  <c r="W1187" i="7"/>
  <c r="W1188" i="7"/>
  <c r="W1189" i="7"/>
  <c r="W1190" i="7"/>
  <c r="W1191" i="7"/>
  <c r="W1192" i="7"/>
  <c r="W1193" i="7"/>
  <c r="W1194" i="7"/>
  <c r="W1195" i="7"/>
  <c r="W1196" i="7"/>
  <c r="W1197" i="7"/>
  <c r="W1198" i="7"/>
  <c r="W1199" i="7"/>
  <c r="W1200" i="7"/>
  <c r="W1201" i="7"/>
  <c r="W1202" i="7"/>
  <c r="W1203" i="7"/>
  <c r="W1204" i="7"/>
  <c r="W1205" i="7"/>
  <c r="W1206" i="7"/>
  <c r="W1207" i="7"/>
  <c r="W1208" i="7"/>
  <c r="W1209" i="7"/>
  <c r="W1210" i="7"/>
  <c r="W1211" i="7"/>
  <c r="W1212" i="7"/>
  <c r="W1213" i="7"/>
  <c r="W1214" i="7"/>
  <c r="W1215" i="7"/>
  <c r="W1216" i="7"/>
  <c r="W1217" i="7"/>
  <c r="W1218" i="7"/>
  <c r="W1219" i="7"/>
  <c r="W1220" i="7"/>
  <c r="W1221" i="7"/>
  <c r="W1222" i="7"/>
  <c r="W1223" i="7"/>
  <c r="W1224" i="7"/>
  <c r="W1225" i="7"/>
  <c r="W1226" i="7"/>
  <c r="W1227" i="7"/>
  <c r="W1228" i="7"/>
  <c r="W1229" i="7"/>
  <c r="W1230" i="7"/>
  <c r="W1231" i="7"/>
  <c r="W1232" i="7"/>
  <c r="W1233" i="7"/>
  <c r="W1234" i="7"/>
  <c r="W1235" i="7"/>
  <c r="W1236" i="7"/>
  <c r="W1237" i="7"/>
  <c r="W1238" i="7"/>
  <c r="W1239" i="7"/>
  <c r="W1240" i="7"/>
  <c r="W1241" i="7"/>
  <c r="W1242" i="7"/>
  <c r="W1243" i="7"/>
  <c r="W1244" i="7"/>
  <c r="W1245" i="7"/>
  <c r="W1246" i="7"/>
  <c r="W1247" i="7"/>
  <c r="W1248" i="7"/>
  <c r="W1249" i="7"/>
  <c r="W1250" i="7"/>
  <c r="W1251" i="7"/>
  <c r="W1252" i="7"/>
  <c r="W1253" i="7"/>
  <c r="W1254" i="7"/>
  <c r="W1255" i="7"/>
  <c r="W1256" i="7"/>
  <c r="W1257" i="7"/>
  <c r="W1258" i="7"/>
  <c r="W1259" i="7"/>
  <c r="W1260" i="7"/>
  <c r="W1261" i="7"/>
  <c r="W1262" i="7"/>
  <c r="W1263" i="7"/>
  <c r="W1264" i="7"/>
  <c r="W1265" i="7"/>
  <c r="W1266" i="7"/>
  <c r="W1267" i="7"/>
  <c r="W1268" i="7"/>
  <c r="W1269" i="7"/>
  <c r="W1270" i="7"/>
  <c r="W1271" i="7"/>
  <c r="W1272" i="7"/>
  <c r="W1273" i="7"/>
  <c r="W1274" i="7"/>
  <c r="W1275" i="7"/>
  <c r="W1276" i="7"/>
  <c r="W1277" i="7"/>
  <c r="W1278" i="7"/>
  <c r="W1279" i="7"/>
  <c r="W1280" i="7"/>
  <c r="W1281" i="7"/>
  <c r="W1282" i="7"/>
  <c r="W1283" i="7"/>
  <c r="W1284" i="7"/>
  <c r="W1285" i="7"/>
  <c r="W1286" i="7"/>
  <c r="W1287" i="7"/>
  <c r="W1288" i="7"/>
  <c r="W1289" i="7"/>
  <c r="W1290" i="7"/>
  <c r="W1291" i="7"/>
  <c r="W1292" i="7"/>
  <c r="W1293" i="7"/>
  <c r="W1294" i="7"/>
  <c r="W1295" i="7"/>
  <c r="W1296" i="7"/>
  <c r="W1297" i="7"/>
  <c r="W1298" i="7"/>
  <c r="W1299" i="7"/>
  <c r="W1300" i="7"/>
  <c r="W1301" i="7"/>
  <c r="W1302" i="7"/>
  <c r="W1303" i="7"/>
  <c r="W1304" i="7"/>
  <c r="W1305" i="7"/>
  <c r="W1306" i="7"/>
  <c r="W1307" i="7"/>
  <c r="W1308" i="7"/>
  <c r="W1309" i="7"/>
  <c r="W1310" i="7"/>
  <c r="W1311" i="7"/>
  <c r="W1312" i="7"/>
  <c r="W1313" i="7"/>
  <c r="W1314" i="7"/>
  <c r="W1315" i="7"/>
  <c r="W1316" i="7"/>
  <c r="W1317" i="7"/>
  <c r="W1318" i="7"/>
  <c r="W1319" i="7"/>
  <c r="W1320" i="7"/>
  <c r="W1321" i="7"/>
  <c r="W1322" i="7"/>
  <c r="W1323" i="7"/>
  <c r="W1324" i="7"/>
  <c r="W1325" i="7"/>
  <c r="W1326" i="7"/>
  <c r="W1327" i="7"/>
  <c r="W1328" i="7"/>
  <c r="W1329" i="7"/>
  <c r="W1330" i="7"/>
  <c r="W1331" i="7"/>
  <c r="W1332" i="7"/>
  <c r="W1333" i="7"/>
  <c r="W1334" i="7"/>
  <c r="W1335" i="7"/>
  <c r="W1336" i="7"/>
  <c r="W1337" i="7"/>
  <c r="W1338" i="7"/>
  <c r="W1339" i="7"/>
  <c r="W1340" i="7"/>
  <c r="W1341" i="7"/>
  <c r="W1342" i="7"/>
  <c r="W1343" i="7"/>
  <c r="W1344" i="7"/>
  <c r="W1345" i="7"/>
  <c r="W1346" i="7"/>
  <c r="W1347" i="7"/>
  <c r="W1348" i="7"/>
  <c r="W1349" i="7"/>
  <c r="W1350" i="7"/>
  <c r="W1351" i="7"/>
  <c r="W1352" i="7"/>
  <c r="W1353" i="7"/>
  <c r="W1354" i="7"/>
  <c r="W1355" i="7"/>
  <c r="W1356" i="7"/>
  <c r="W1357" i="7"/>
  <c r="W1358" i="7"/>
  <c r="W1359" i="7"/>
  <c r="W1360" i="7"/>
  <c r="W1361" i="7"/>
  <c r="W1362" i="7"/>
  <c r="W1363" i="7"/>
  <c r="W1364" i="7"/>
  <c r="W1365" i="7"/>
  <c r="W1366" i="7"/>
  <c r="W1367" i="7"/>
  <c r="W1368" i="7"/>
  <c r="W1369" i="7"/>
  <c r="W1370" i="7"/>
  <c r="W1371" i="7"/>
  <c r="W1372" i="7"/>
  <c r="W1373" i="7"/>
  <c r="W1374" i="7"/>
  <c r="W1375" i="7"/>
  <c r="W1376" i="7"/>
  <c r="W1377" i="7"/>
  <c r="W1378" i="7"/>
  <c r="W1379" i="7"/>
  <c r="W1380" i="7"/>
  <c r="W1381" i="7"/>
  <c r="W1382" i="7"/>
  <c r="W1383" i="7"/>
  <c r="W1384" i="7"/>
  <c r="W1385" i="7"/>
  <c r="W1386" i="7"/>
  <c r="W1387" i="7"/>
  <c r="W1388" i="7"/>
  <c r="W1389" i="7"/>
  <c r="W1390" i="7"/>
  <c r="W1391" i="7"/>
  <c r="W1392" i="7"/>
  <c r="W1393" i="7"/>
  <c r="W1394" i="7"/>
  <c r="W1395" i="7"/>
  <c r="W1396" i="7"/>
  <c r="W1397" i="7"/>
  <c r="W1398" i="7"/>
  <c r="W1399" i="7"/>
  <c r="W1400" i="7"/>
  <c r="W1401" i="7"/>
  <c r="W1402" i="7"/>
  <c r="W1403" i="7"/>
  <c r="W1404" i="7"/>
  <c r="W1405" i="7"/>
  <c r="W1406" i="7"/>
  <c r="W1407" i="7"/>
  <c r="W1408" i="7"/>
  <c r="W1409" i="7"/>
  <c r="W1410" i="7"/>
  <c r="W1411" i="7"/>
  <c r="W1412" i="7"/>
  <c r="W1413" i="7"/>
  <c r="W1414" i="7"/>
  <c r="W1415" i="7"/>
  <c r="W1416" i="7"/>
  <c r="W1417" i="7"/>
  <c r="W1418" i="7"/>
  <c r="W1419" i="7"/>
  <c r="W1420" i="7"/>
  <c r="W1421" i="7"/>
  <c r="W1422" i="7"/>
  <c r="W1423" i="7"/>
  <c r="W1424" i="7"/>
  <c r="W1425" i="7"/>
  <c r="W1426" i="7"/>
  <c r="W1427" i="7"/>
  <c r="W1428" i="7"/>
  <c r="W1429" i="7"/>
  <c r="W1430" i="7"/>
  <c r="W1431" i="7"/>
  <c r="W1432" i="7"/>
  <c r="W1433" i="7"/>
  <c r="W1434" i="7"/>
  <c r="W1435" i="7"/>
  <c r="W1436" i="7"/>
  <c r="W1437" i="7"/>
  <c r="W1438" i="7"/>
  <c r="W1439" i="7"/>
  <c r="W1440" i="7"/>
  <c r="W1441" i="7"/>
  <c r="W1442" i="7"/>
  <c r="W1443" i="7"/>
  <c r="W1444" i="7"/>
  <c r="W1445" i="7"/>
  <c r="W1446" i="7"/>
  <c r="W1447" i="7"/>
  <c r="W1448" i="7"/>
  <c r="W1449" i="7"/>
  <c r="W1450" i="7"/>
  <c r="W1451" i="7"/>
  <c r="W1452" i="7"/>
  <c r="W1453" i="7"/>
  <c r="W1454" i="7"/>
  <c r="W1455" i="7"/>
  <c r="W1456" i="7"/>
  <c r="W1457" i="7"/>
  <c r="W1458" i="7"/>
  <c r="W1459" i="7"/>
  <c r="W1460" i="7"/>
  <c r="W1461" i="7"/>
  <c r="W1462" i="7"/>
  <c r="W1463" i="7"/>
  <c r="W1464" i="7"/>
  <c r="W1465" i="7"/>
  <c r="W1466" i="7"/>
  <c r="W1467" i="7"/>
  <c r="W1468" i="7"/>
  <c r="W1469" i="7"/>
  <c r="W1470" i="7"/>
  <c r="W1471" i="7"/>
  <c r="W1472" i="7"/>
  <c r="W1473" i="7"/>
  <c r="W1474" i="7"/>
  <c r="W1475" i="7"/>
  <c r="W1476" i="7"/>
  <c r="W1477" i="7"/>
  <c r="W1478" i="7"/>
  <c r="W1479" i="7"/>
  <c r="W1480" i="7"/>
  <c r="W1481" i="7"/>
  <c r="W1482" i="7"/>
  <c r="W1483" i="7"/>
  <c r="W1484" i="7"/>
  <c r="W1485" i="7"/>
  <c r="W1486" i="7"/>
  <c r="W1487" i="7"/>
  <c r="W1488" i="7"/>
  <c r="W1489" i="7"/>
  <c r="W1490" i="7"/>
  <c r="W1491" i="7"/>
  <c r="W1492" i="7"/>
  <c r="W1493" i="7"/>
  <c r="W1494" i="7"/>
  <c r="W1495" i="7"/>
  <c r="W1496" i="7"/>
  <c r="W1497" i="7"/>
  <c r="W1498" i="7"/>
  <c r="W1499" i="7"/>
  <c r="W1500" i="7"/>
  <c r="W1501" i="7"/>
  <c r="W1502" i="7"/>
  <c r="W1503" i="7"/>
  <c r="W1504" i="7"/>
  <c r="W1505" i="7"/>
  <c r="W1506" i="7"/>
  <c r="W1507" i="7"/>
  <c r="W1508" i="7"/>
  <c r="W1509" i="7"/>
  <c r="W1510" i="7"/>
  <c r="W1511" i="7"/>
  <c r="W1512" i="7"/>
  <c r="W1513" i="7"/>
  <c r="W1514" i="7"/>
  <c r="W1515" i="7"/>
  <c r="W1516" i="7"/>
  <c r="W1517" i="7"/>
  <c r="W1518" i="7"/>
  <c r="W1519" i="7"/>
  <c r="W1520" i="7"/>
  <c r="W1521" i="7"/>
  <c r="W1522" i="7"/>
  <c r="W1523" i="7"/>
  <c r="W1524" i="7"/>
  <c r="W1525" i="7"/>
  <c r="W1526" i="7"/>
  <c r="W1527" i="7"/>
  <c r="W1528" i="7"/>
  <c r="W1529" i="7"/>
  <c r="W1530" i="7"/>
  <c r="W1531" i="7"/>
  <c r="W1532" i="7"/>
  <c r="W1533" i="7"/>
  <c r="W1534" i="7"/>
  <c r="W1535" i="7"/>
  <c r="W1536" i="7"/>
  <c r="W1537" i="7"/>
  <c r="W1538" i="7"/>
  <c r="W1539" i="7"/>
  <c r="W1540" i="7"/>
  <c r="W1541" i="7"/>
  <c r="W1542" i="7"/>
  <c r="W1543" i="7"/>
  <c r="W1544" i="7"/>
  <c r="W1545" i="7"/>
  <c r="W1546" i="7"/>
  <c r="W1547" i="7"/>
  <c r="W1548" i="7"/>
  <c r="W1549" i="7"/>
  <c r="W1550" i="7"/>
  <c r="W1551" i="7"/>
  <c r="W1552" i="7"/>
  <c r="W1553" i="7"/>
  <c r="W1554" i="7"/>
  <c r="W1555" i="7"/>
  <c r="W1556" i="7"/>
  <c r="W1557" i="7"/>
  <c r="W1558" i="7"/>
  <c r="W1559" i="7"/>
  <c r="W1560" i="7"/>
  <c r="W1561" i="7"/>
  <c r="W1562" i="7"/>
  <c r="W1563" i="7"/>
  <c r="W1564" i="7"/>
  <c r="W1565" i="7"/>
  <c r="W1566" i="7"/>
  <c r="W1567" i="7"/>
  <c r="W1568" i="7"/>
  <c r="W1569" i="7"/>
  <c r="W1570" i="7"/>
  <c r="W1571" i="7"/>
  <c r="W1572" i="7"/>
  <c r="W1573" i="7"/>
  <c r="W1574" i="7"/>
  <c r="W1575" i="7"/>
  <c r="W1576" i="7"/>
  <c r="W1577" i="7"/>
  <c r="W1578" i="7"/>
  <c r="W1579" i="7"/>
  <c r="W1580" i="7"/>
  <c r="W1581" i="7"/>
  <c r="W1582" i="7"/>
  <c r="W1583" i="7"/>
  <c r="W1584" i="7"/>
  <c r="W1585" i="7"/>
  <c r="W1586" i="7"/>
  <c r="W1587" i="7"/>
  <c r="W1588" i="7"/>
  <c r="W1589" i="7"/>
  <c r="W1590" i="7"/>
  <c r="W1591" i="7"/>
  <c r="W1592" i="7"/>
  <c r="W1593" i="7"/>
  <c r="W1594" i="7"/>
  <c r="W1595" i="7"/>
  <c r="W1596" i="7"/>
  <c r="W1597" i="7"/>
  <c r="W1598" i="7"/>
  <c r="W1599" i="7"/>
  <c r="W1600" i="7"/>
  <c r="W1601" i="7"/>
  <c r="W1602" i="7"/>
  <c r="W1603" i="7"/>
  <c r="W1604" i="7"/>
  <c r="W1605" i="7"/>
  <c r="W1606" i="7"/>
  <c r="W1607" i="7"/>
  <c r="W1608" i="7"/>
  <c r="W1609" i="7"/>
  <c r="W1610" i="7"/>
  <c r="W1611" i="7"/>
  <c r="W1612" i="7"/>
  <c r="W1613" i="7"/>
  <c r="W1614" i="7"/>
  <c r="W1615" i="7"/>
  <c r="W1616" i="7"/>
  <c r="W1617" i="7"/>
  <c r="W1618" i="7"/>
  <c r="W1619" i="7"/>
  <c r="W1620" i="7"/>
  <c r="W1621" i="7"/>
  <c r="W1622" i="7"/>
  <c r="W1623" i="7"/>
  <c r="W1624" i="7"/>
  <c r="W1625" i="7"/>
  <c r="W1626" i="7"/>
  <c r="W1627" i="7"/>
  <c r="W1628" i="7"/>
  <c r="W1629" i="7"/>
  <c r="W1630" i="7"/>
  <c r="W1631" i="7"/>
  <c r="W1632" i="7"/>
  <c r="W1633" i="7"/>
  <c r="W1634" i="7"/>
  <c r="W1635" i="7"/>
  <c r="W1636" i="7"/>
  <c r="W1637" i="7"/>
  <c r="W1638" i="7"/>
  <c r="W1639" i="7"/>
  <c r="W1640" i="7"/>
  <c r="W1641" i="7"/>
  <c r="W1642" i="7"/>
  <c r="W1643" i="7"/>
  <c r="W1644" i="7"/>
  <c r="W1645" i="7"/>
  <c r="W1646" i="7"/>
  <c r="W1647" i="7"/>
  <c r="W1648" i="7"/>
  <c r="W1649" i="7"/>
  <c r="W1650" i="7"/>
  <c r="W1651" i="7"/>
  <c r="W1652" i="7"/>
  <c r="W1653" i="7"/>
  <c r="W1654" i="7"/>
  <c r="W1655" i="7"/>
  <c r="W1656" i="7"/>
  <c r="W1657" i="7"/>
  <c r="W1658" i="7"/>
  <c r="W1659" i="7"/>
  <c r="W1660" i="7"/>
  <c r="W1661" i="7"/>
  <c r="W1662" i="7"/>
  <c r="W1663" i="7"/>
  <c r="W1664" i="7"/>
  <c r="W1665" i="7"/>
  <c r="W1666" i="7"/>
  <c r="W1667" i="7"/>
  <c r="W1668" i="7"/>
  <c r="W1669" i="7"/>
  <c r="W1670" i="7"/>
  <c r="W1671" i="7"/>
  <c r="W1672" i="7"/>
  <c r="W1673" i="7"/>
  <c r="W1674" i="7"/>
  <c r="W1675" i="7"/>
  <c r="W1676" i="7"/>
  <c r="W1677" i="7"/>
  <c r="W1678" i="7"/>
  <c r="W1679" i="7"/>
  <c r="W1680" i="7"/>
  <c r="W1681" i="7"/>
  <c r="W1682" i="7"/>
  <c r="W1683" i="7"/>
  <c r="W1684" i="7"/>
  <c r="W1685" i="7"/>
  <c r="W1686" i="7"/>
  <c r="W1687" i="7"/>
  <c r="W1688" i="7"/>
  <c r="W1689" i="7"/>
  <c r="W1690" i="7"/>
  <c r="W1691" i="7"/>
  <c r="W1692" i="7"/>
  <c r="W1693" i="7"/>
  <c r="W1694" i="7"/>
  <c r="W1695" i="7"/>
  <c r="W1696" i="7"/>
  <c r="W1697" i="7"/>
  <c r="W1698" i="7"/>
  <c r="W1699" i="7"/>
  <c r="W1700" i="7"/>
  <c r="W1701" i="7"/>
  <c r="W1702" i="7"/>
  <c r="W1703" i="7"/>
  <c r="W1704" i="7"/>
  <c r="W1705" i="7"/>
  <c r="W1706" i="7"/>
  <c r="W1707" i="7"/>
  <c r="W1708" i="7"/>
  <c r="W1709" i="7"/>
  <c r="W1710" i="7"/>
  <c r="W1711" i="7"/>
  <c r="W1712" i="7"/>
  <c r="W1713" i="7"/>
  <c r="W1714" i="7"/>
  <c r="W1715" i="7"/>
  <c r="W1716" i="7"/>
  <c r="W1717" i="7"/>
  <c r="W1718" i="7"/>
  <c r="W1719" i="7"/>
  <c r="W1720" i="7"/>
  <c r="W1721" i="7"/>
  <c r="W1722" i="7"/>
  <c r="W1723" i="7"/>
  <c r="W1724" i="7"/>
  <c r="W1725" i="7"/>
  <c r="W1726" i="7"/>
  <c r="W1727" i="7"/>
  <c r="W1728" i="7"/>
  <c r="W1729" i="7"/>
  <c r="W1730" i="7"/>
  <c r="W1731" i="7"/>
  <c r="W1732" i="7"/>
  <c r="W1733" i="7"/>
  <c r="W1734" i="7"/>
  <c r="W1735" i="7"/>
  <c r="W1736" i="7"/>
  <c r="W1737" i="7"/>
  <c r="W1738" i="7"/>
  <c r="W1739" i="7"/>
  <c r="W1740" i="7"/>
  <c r="W1741" i="7"/>
  <c r="W1742" i="7"/>
  <c r="W1743" i="7"/>
  <c r="W1744" i="7"/>
  <c r="W1745" i="7"/>
  <c r="W1746" i="7"/>
  <c r="W1747" i="7"/>
  <c r="W1748" i="7"/>
  <c r="W1749" i="7"/>
  <c r="W1750" i="7"/>
  <c r="W1751" i="7"/>
  <c r="W1752" i="7"/>
  <c r="W1753" i="7"/>
  <c r="W1754" i="7"/>
  <c r="W1755" i="7"/>
  <c r="W1756" i="7"/>
  <c r="W1757" i="7"/>
  <c r="W1758" i="7"/>
  <c r="W1759" i="7"/>
  <c r="W1760" i="7"/>
  <c r="W1761" i="7"/>
  <c r="W1762" i="7"/>
  <c r="W1763" i="7"/>
  <c r="W1764" i="7"/>
  <c r="W1765" i="7"/>
  <c r="W1766" i="7"/>
  <c r="W1767" i="7"/>
  <c r="W1768" i="7"/>
  <c r="W1769" i="7"/>
  <c r="W1770" i="7"/>
  <c r="W1771" i="7"/>
  <c r="W1772" i="7"/>
  <c r="W1773" i="7"/>
  <c r="W1774" i="7"/>
  <c r="W1775" i="7"/>
  <c r="W1776" i="7"/>
  <c r="W1777" i="7"/>
  <c r="W1778" i="7"/>
  <c r="W1779" i="7"/>
  <c r="W1780" i="7"/>
  <c r="W1781" i="7"/>
  <c r="W1782" i="7"/>
  <c r="W1783" i="7"/>
  <c r="W1784" i="7"/>
  <c r="W1785" i="7"/>
  <c r="W1786" i="7"/>
  <c r="W1787" i="7"/>
  <c r="W1788" i="7"/>
  <c r="W1789" i="7"/>
  <c r="W1790" i="7"/>
  <c r="W1791" i="7"/>
  <c r="W1792" i="7"/>
  <c r="W1793" i="7"/>
  <c r="W1794" i="7"/>
  <c r="W1795" i="7"/>
  <c r="W1796" i="7"/>
  <c r="W1797" i="7"/>
  <c r="W1798" i="7"/>
  <c r="W1799" i="7"/>
  <c r="W1800" i="7"/>
  <c r="W1801" i="7"/>
  <c r="W1802" i="7"/>
  <c r="W1803" i="7"/>
  <c r="W1804" i="7"/>
  <c r="W1805" i="7"/>
  <c r="W1806" i="7"/>
  <c r="W1807" i="7"/>
  <c r="W1808" i="7"/>
  <c r="W1809" i="7"/>
  <c r="W1810" i="7"/>
  <c r="W1811" i="7"/>
  <c r="W1812" i="7"/>
  <c r="W1813" i="7"/>
  <c r="W1814" i="7"/>
  <c r="W1815" i="7"/>
  <c r="W1816" i="7"/>
  <c r="W1817" i="7"/>
  <c r="W1818" i="7"/>
  <c r="W1819" i="7"/>
  <c r="W1820" i="7"/>
  <c r="W1821" i="7"/>
  <c r="W1822" i="7"/>
  <c r="W1823" i="7"/>
  <c r="W1824" i="7"/>
  <c r="W1825" i="7"/>
  <c r="W1826" i="7"/>
  <c r="W1827" i="7"/>
  <c r="W1828" i="7"/>
  <c r="W1829" i="7"/>
  <c r="W1830" i="7"/>
  <c r="W1831" i="7"/>
  <c r="W1832" i="7"/>
  <c r="W1833" i="7"/>
  <c r="W1834" i="7"/>
  <c r="W1835" i="7"/>
  <c r="W1836" i="7"/>
  <c r="W1837" i="7"/>
  <c r="W1838" i="7"/>
  <c r="W1839" i="7"/>
  <c r="W1840" i="7"/>
  <c r="W1841" i="7"/>
  <c r="W1842" i="7"/>
  <c r="W1843" i="7"/>
  <c r="W1844" i="7"/>
  <c r="W1845" i="7"/>
  <c r="W1846" i="7"/>
  <c r="W1847" i="7"/>
  <c r="W1848" i="7"/>
  <c r="W1849" i="7"/>
  <c r="W1850" i="7"/>
  <c r="W1851" i="7"/>
  <c r="W1852" i="7"/>
  <c r="W1853" i="7"/>
  <c r="W1854" i="7"/>
  <c r="W1855" i="7"/>
  <c r="W1856" i="7"/>
  <c r="W1857" i="7"/>
  <c r="W1858" i="7"/>
  <c r="W1859" i="7"/>
  <c r="W1860" i="7"/>
  <c r="W1861" i="7"/>
  <c r="W1862" i="7"/>
  <c r="W1863" i="7"/>
  <c r="W1864" i="7"/>
  <c r="W1865" i="7"/>
  <c r="W1866" i="7"/>
  <c r="W1867" i="7"/>
  <c r="W1868" i="7"/>
  <c r="W1869" i="7"/>
  <c r="W1870" i="7"/>
  <c r="W1871" i="7"/>
  <c r="W1872" i="7"/>
  <c r="W1873" i="7"/>
  <c r="W1874" i="7"/>
  <c r="W1875" i="7"/>
  <c r="W1876" i="7"/>
  <c r="W1877" i="7"/>
  <c r="W1878" i="7"/>
  <c r="W1879" i="7"/>
  <c r="W1880" i="7"/>
  <c r="W1881" i="7"/>
  <c r="W1882" i="7"/>
  <c r="W1883" i="7"/>
  <c r="W1884" i="7"/>
  <c r="W1885" i="7"/>
  <c r="W1886" i="7"/>
  <c r="W1887" i="7"/>
  <c r="W1888" i="7"/>
  <c r="W1889" i="7"/>
  <c r="W1890" i="7"/>
  <c r="W1891" i="7"/>
  <c r="W1892" i="7"/>
  <c r="W1893" i="7"/>
  <c r="W1894" i="7"/>
  <c r="W1895" i="7"/>
  <c r="W1896" i="7"/>
  <c r="W1897" i="7"/>
  <c r="W1898" i="7"/>
  <c r="W1899" i="7"/>
  <c r="W1900" i="7"/>
  <c r="W1901" i="7"/>
  <c r="W1902" i="7"/>
  <c r="W1903" i="7"/>
  <c r="W1904" i="7"/>
  <c r="W1905" i="7"/>
  <c r="W1906" i="7"/>
  <c r="W1907" i="7"/>
  <c r="W1908" i="7"/>
  <c r="W1909" i="7"/>
  <c r="W1910" i="7"/>
  <c r="W1911" i="7"/>
  <c r="W1912" i="7"/>
  <c r="W1913" i="7"/>
  <c r="W1914" i="7"/>
  <c r="W1915" i="7"/>
  <c r="W1916" i="7"/>
  <c r="W1917" i="7"/>
  <c r="W1918" i="7"/>
  <c r="W1919" i="7"/>
  <c r="W1920" i="7"/>
  <c r="W1921" i="7"/>
  <c r="W1922" i="7"/>
  <c r="W1923" i="7"/>
  <c r="W1924" i="7"/>
  <c r="W1925" i="7"/>
  <c r="W1926" i="7"/>
  <c r="W1927" i="7"/>
  <c r="W1928" i="7"/>
  <c r="W1929" i="7"/>
  <c r="W1930" i="7"/>
  <c r="W1931" i="7"/>
  <c r="W1932" i="7"/>
  <c r="W1933" i="7"/>
  <c r="W1934" i="7"/>
  <c r="W1935" i="7"/>
  <c r="W1936" i="7"/>
  <c r="W1937" i="7"/>
  <c r="W1938" i="7"/>
  <c r="W1939" i="7"/>
  <c r="W1940" i="7"/>
  <c r="W1941" i="7"/>
  <c r="W1942" i="7"/>
  <c r="W1943" i="7"/>
  <c r="W1944" i="7"/>
  <c r="W1945" i="7"/>
  <c r="W1946" i="7"/>
  <c r="W1947" i="7"/>
  <c r="W1948" i="7"/>
  <c r="W1949" i="7"/>
  <c r="W1950" i="7"/>
  <c r="W1951" i="7"/>
  <c r="W1952" i="7"/>
  <c r="W1953" i="7"/>
  <c r="W1954" i="7"/>
  <c r="W1955" i="7"/>
  <c r="W1956" i="7"/>
  <c r="W1957" i="7"/>
  <c r="W1958" i="7"/>
  <c r="W1959" i="7"/>
  <c r="W1960" i="7"/>
  <c r="W1961" i="7"/>
  <c r="W1962" i="7"/>
  <c r="W1963" i="7"/>
  <c r="W1964" i="7"/>
  <c r="W1965" i="7"/>
  <c r="W1966" i="7"/>
  <c r="W1967" i="7"/>
  <c r="W1968" i="7"/>
  <c r="W1969" i="7"/>
  <c r="W1970" i="7"/>
  <c r="W1971" i="7"/>
  <c r="W1972" i="7"/>
  <c r="W1973" i="7"/>
  <c r="W1974" i="7"/>
  <c r="W1975" i="7"/>
  <c r="W1976" i="7"/>
  <c r="W1977" i="7"/>
  <c r="W1978" i="7"/>
  <c r="W1979" i="7"/>
  <c r="W1980" i="7"/>
  <c r="W1981" i="7"/>
  <c r="W1982" i="7"/>
  <c r="W1983" i="7"/>
  <c r="W1984" i="7"/>
  <c r="W1985" i="7"/>
  <c r="W1986" i="7"/>
  <c r="W1987" i="7"/>
  <c r="W1988" i="7"/>
  <c r="W1989" i="7"/>
  <c r="W1990" i="7"/>
  <c r="W1991" i="7"/>
  <c r="W1992" i="7"/>
  <c r="W1993" i="7"/>
  <c r="W1994" i="7"/>
  <c r="W1995" i="7"/>
  <c r="W1996" i="7"/>
  <c r="W1997" i="7"/>
  <c r="W1998" i="7"/>
  <c r="W1999" i="7"/>
  <c r="W2000" i="7"/>
  <c r="W2001" i="7"/>
  <c r="W2002" i="7"/>
  <c r="W2003" i="7"/>
  <c r="W2004" i="7"/>
  <c r="W2005" i="7"/>
  <c r="W2006" i="7"/>
  <c r="W2007" i="7"/>
  <c r="W2008" i="7"/>
  <c r="W2009" i="7"/>
  <c r="W2010" i="7"/>
  <c r="W2011" i="7"/>
  <c r="W2012" i="7"/>
  <c r="W2013" i="7"/>
  <c r="W2014" i="7"/>
  <c r="W2015" i="7"/>
  <c r="W2016" i="7"/>
  <c r="W2017" i="7"/>
  <c r="W2018" i="7"/>
  <c r="W2019" i="7"/>
  <c r="W2020" i="7"/>
  <c r="W2021" i="7"/>
  <c r="W2022" i="7"/>
  <c r="W2023" i="7"/>
  <c r="W2024" i="7"/>
  <c r="W2025" i="7"/>
  <c r="W2026" i="7"/>
  <c r="W2027" i="7"/>
  <c r="W2028" i="7"/>
  <c r="W2029" i="7"/>
  <c r="W2030" i="7"/>
  <c r="W2031" i="7"/>
  <c r="W2032" i="7"/>
  <c r="W2033" i="7"/>
  <c r="W2034" i="7"/>
  <c r="W2035" i="7"/>
  <c r="W2036" i="7"/>
  <c r="W2037" i="7"/>
  <c r="W2038" i="7"/>
  <c r="W2039" i="7"/>
  <c r="W2040" i="7"/>
  <c r="W2041" i="7"/>
  <c r="W2042" i="7"/>
  <c r="W2043" i="7"/>
  <c r="W2044" i="7"/>
  <c r="W2045" i="7"/>
  <c r="W2046" i="7"/>
  <c r="W2047" i="7"/>
  <c r="W2048" i="7"/>
  <c r="W2049" i="7"/>
  <c r="W2050" i="7"/>
  <c r="W2051" i="7"/>
  <c r="W2052" i="7"/>
  <c r="W2053" i="7"/>
  <c r="W2054" i="7"/>
  <c r="W2055" i="7"/>
  <c r="W2056" i="7"/>
  <c r="W2057" i="7"/>
  <c r="W2058" i="7"/>
  <c r="W2059" i="7"/>
  <c r="W2060" i="7"/>
  <c r="W2061" i="7"/>
  <c r="W2062" i="7"/>
  <c r="W2063" i="7"/>
  <c r="W2064" i="7"/>
  <c r="W2065" i="7"/>
  <c r="W2066" i="7"/>
  <c r="W2067" i="7"/>
  <c r="W2068" i="7"/>
  <c r="W2069" i="7"/>
  <c r="W2070" i="7"/>
  <c r="W2071" i="7"/>
  <c r="W2072" i="7"/>
  <c r="W2073" i="7"/>
  <c r="W2074" i="7"/>
  <c r="W2075" i="7"/>
  <c r="W2076" i="7"/>
  <c r="W2077" i="7"/>
  <c r="W2078" i="7"/>
  <c r="W2079" i="7"/>
  <c r="W2080" i="7"/>
  <c r="W2081" i="7"/>
  <c r="W2082" i="7"/>
  <c r="W2083" i="7"/>
  <c r="W2084" i="7"/>
  <c r="W2085" i="7"/>
  <c r="W2086" i="7"/>
  <c r="W2087" i="7"/>
  <c r="W2088" i="7"/>
  <c r="W2089" i="7"/>
  <c r="W2090" i="7"/>
  <c r="W2091" i="7"/>
  <c r="W2092" i="7"/>
  <c r="W2093" i="7"/>
  <c r="W2094" i="7"/>
  <c r="W2095" i="7"/>
  <c r="W2096" i="7"/>
  <c r="W2097" i="7"/>
  <c r="W2098" i="7"/>
  <c r="W2099" i="7"/>
  <c r="W2100" i="7"/>
  <c r="W2101" i="7"/>
  <c r="W2102" i="7"/>
  <c r="W2103" i="7"/>
  <c r="W2104" i="7"/>
  <c r="W2105" i="7"/>
  <c r="W2106" i="7"/>
  <c r="W2107" i="7"/>
  <c r="W2108" i="7"/>
  <c r="W2109" i="7"/>
  <c r="W2110" i="7"/>
  <c r="W2111" i="7"/>
  <c r="W2112" i="7"/>
  <c r="W2113" i="7"/>
  <c r="W2114" i="7"/>
  <c r="W2115" i="7"/>
  <c r="W2116" i="7"/>
  <c r="W2117" i="7"/>
  <c r="W2118" i="7"/>
  <c r="W2119" i="7"/>
  <c r="W2120" i="7"/>
  <c r="W2121" i="7"/>
  <c r="W2122" i="7"/>
  <c r="W2123" i="7"/>
  <c r="W2124" i="7"/>
  <c r="W2125" i="7"/>
  <c r="W2126" i="7"/>
  <c r="W2127" i="7"/>
  <c r="W2128" i="7"/>
  <c r="W2129" i="7"/>
  <c r="W2130" i="7"/>
  <c r="W2131" i="7"/>
  <c r="W2132" i="7"/>
  <c r="W2133" i="7"/>
  <c r="W2134" i="7"/>
  <c r="W2135" i="7"/>
  <c r="W2136" i="7"/>
  <c r="W2137" i="7"/>
  <c r="W2138" i="7"/>
  <c r="W2139" i="7"/>
  <c r="W2140" i="7"/>
  <c r="W2141" i="7"/>
  <c r="W2142" i="7"/>
  <c r="W2143" i="7"/>
  <c r="W2144" i="7"/>
  <c r="W2145" i="7"/>
  <c r="W2146" i="7"/>
  <c r="W2147" i="7"/>
  <c r="W2148" i="7"/>
  <c r="W2149" i="7"/>
  <c r="W2150" i="7"/>
  <c r="W2151" i="7"/>
  <c r="W2152" i="7"/>
  <c r="W2153" i="7"/>
  <c r="W2154" i="7"/>
  <c r="W2155" i="7"/>
  <c r="W2156" i="7"/>
  <c r="W2157" i="7"/>
  <c r="W2158" i="7"/>
  <c r="W2159" i="7"/>
  <c r="W2160" i="7"/>
  <c r="W2161" i="7"/>
  <c r="W2162" i="7"/>
  <c r="W2163" i="7"/>
  <c r="W2164" i="7"/>
  <c r="W2165" i="7"/>
  <c r="W2166" i="7"/>
  <c r="W2167" i="7"/>
  <c r="W2168" i="7"/>
  <c r="W2169" i="7"/>
  <c r="W2170" i="7"/>
  <c r="W2171" i="7"/>
  <c r="W2172" i="7"/>
  <c r="W2173" i="7"/>
  <c r="W2174" i="7"/>
  <c r="W2175" i="7"/>
  <c r="W2176" i="7"/>
  <c r="W2177" i="7"/>
  <c r="W2178" i="7"/>
  <c r="W2179" i="7"/>
  <c r="W2180" i="7"/>
  <c r="W2181" i="7"/>
  <c r="W2182" i="7"/>
  <c r="W2183" i="7"/>
  <c r="W2184" i="7"/>
  <c r="W2185" i="7"/>
  <c r="W2186" i="7"/>
  <c r="W2187" i="7"/>
  <c r="W2188" i="7"/>
  <c r="W2189" i="7"/>
  <c r="W2190" i="7"/>
  <c r="W2191" i="7"/>
  <c r="W2192" i="7"/>
  <c r="W2193" i="7"/>
  <c r="W2194" i="7"/>
  <c r="W2195" i="7"/>
  <c r="W2196" i="7"/>
  <c r="W2197" i="7"/>
  <c r="W2198" i="7"/>
  <c r="W2199" i="7"/>
  <c r="W2200" i="7"/>
  <c r="W2201" i="7"/>
  <c r="W2202" i="7"/>
  <c r="W2203" i="7"/>
  <c r="W2204" i="7"/>
  <c r="W2205" i="7"/>
  <c r="W2206" i="7"/>
  <c r="W2207" i="7"/>
  <c r="W2208" i="7"/>
  <c r="W2209" i="7"/>
  <c r="W2210" i="7"/>
  <c r="W2211" i="7"/>
  <c r="W2212" i="7"/>
  <c r="W2213" i="7"/>
  <c r="W2214" i="7"/>
  <c r="W2215" i="7"/>
  <c r="W2216" i="7"/>
  <c r="W2217" i="7"/>
  <c r="W2218" i="7"/>
  <c r="W2219" i="7"/>
  <c r="W2220" i="7"/>
  <c r="W2221" i="7"/>
  <c r="W2222" i="7"/>
  <c r="W2223" i="7"/>
  <c r="W2224" i="7"/>
  <c r="W2225" i="7"/>
  <c r="W2226" i="7"/>
  <c r="W2227" i="7"/>
  <c r="W2228" i="7"/>
  <c r="W2229" i="7"/>
  <c r="W2230" i="7"/>
  <c r="W2231" i="7"/>
  <c r="W2232" i="7"/>
  <c r="W2233" i="7"/>
  <c r="W2234" i="7"/>
  <c r="W2235" i="7"/>
  <c r="W2236" i="7"/>
  <c r="W2237" i="7"/>
  <c r="W2238" i="7"/>
  <c r="W2239" i="7"/>
  <c r="W2240" i="7"/>
  <c r="W2241" i="7"/>
  <c r="W2242" i="7"/>
  <c r="W2243" i="7"/>
  <c r="W2244" i="7"/>
  <c r="W2245" i="7"/>
  <c r="W2246" i="7"/>
  <c r="W2247" i="7"/>
  <c r="W2248" i="7"/>
  <c r="W2249" i="7"/>
  <c r="W2250" i="7"/>
  <c r="W2251" i="7"/>
  <c r="W2252" i="7"/>
  <c r="W2253" i="7"/>
  <c r="W2254" i="7"/>
  <c r="W2255" i="7"/>
  <c r="W2256" i="7"/>
  <c r="W2257" i="7"/>
  <c r="W2258" i="7"/>
  <c r="W2259" i="7"/>
  <c r="W2260" i="7"/>
  <c r="W2261" i="7"/>
  <c r="W2262" i="7"/>
  <c r="W2263" i="7"/>
  <c r="W2264" i="7"/>
  <c r="W2265" i="7"/>
  <c r="W2266" i="7"/>
  <c r="W2267" i="7"/>
  <c r="W2268" i="7"/>
  <c r="W2269" i="7"/>
  <c r="W2270" i="7"/>
  <c r="W2271" i="7"/>
  <c r="W2272" i="7"/>
  <c r="W2273" i="7"/>
  <c r="W2274" i="7"/>
  <c r="W2275" i="7"/>
  <c r="W2276" i="7"/>
  <c r="W2277" i="7"/>
  <c r="W2278" i="7"/>
  <c r="W2279" i="7"/>
  <c r="W2280" i="7"/>
  <c r="W2281" i="7"/>
  <c r="W2282" i="7"/>
  <c r="W2283" i="7"/>
  <c r="W2284" i="7"/>
  <c r="W2285" i="7"/>
  <c r="W2286" i="7"/>
  <c r="W2287" i="7"/>
  <c r="W2288" i="7"/>
  <c r="W2289" i="7"/>
  <c r="W2290" i="7"/>
  <c r="W2291" i="7"/>
  <c r="W2292" i="7"/>
  <c r="W2293" i="7"/>
  <c r="W2294" i="7"/>
  <c r="W2295" i="7"/>
  <c r="W2296" i="7"/>
  <c r="W2297" i="7"/>
  <c r="W2298" i="7"/>
  <c r="W2299" i="7"/>
  <c r="W2300" i="7"/>
  <c r="W2301" i="7"/>
  <c r="W2302" i="7"/>
  <c r="W2303" i="7"/>
  <c r="W2304" i="7"/>
  <c r="W2305" i="7"/>
  <c r="W2306" i="7"/>
  <c r="W2307" i="7"/>
  <c r="W2308" i="7"/>
  <c r="W2309" i="7"/>
  <c r="W2310" i="7"/>
  <c r="W2311" i="7"/>
  <c r="W2312" i="7"/>
  <c r="W2313" i="7"/>
  <c r="W2314" i="7"/>
  <c r="W2315" i="7"/>
  <c r="W2316" i="7"/>
  <c r="W2317" i="7"/>
  <c r="W2318" i="7"/>
  <c r="W2319" i="7"/>
  <c r="W2320" i="7"/>
  <c r="W2321" i="7"/>
  <c r="W2322" i="7"/>
  <c r="W2323" i="7"/>
  <c r="W2324" i="7"/>
  <c r="W2325" i="7"/>
  <c r="W2326" i="7"/>
  <c r="W2327" i="7"/>
  <c r="W2328" i="7"/>
  <c r="W2329" i="7"/>
  <c r="W2330" i="7"/>
  <c r="W2331" i="7"/>
  <c r="W2332" i="7"/>
  <c r="W2333" i="7"/>
  <c r="W2334" i="7"/>
  <c r="W2335" i="7"/>
  <c r="W2336" i="7"/>
  <c r="W2337" i="7"/>
  <c r="W2338" i="7"/>
  <c r="W2339" i="7"/>
  <c r="W2340" i="7"/>
  <c r="W2341" i="7"/>
  <c r="W2342" i="7"/>
  <c r="W2343" i="7"/>
  <c r="W2344" i="7"/>
  <c r="W2345" i="7"/>
  <c r="W2346" i="7"/>
  <c r="W2347" i="7"/>
  <c r="W2348" i="7"/>
  <c r="W2349" i="7"/>
  <c r="W2350" i="7"/>
  <c r="W2351" i="7"/>
  <c r="W2352" i="7"/>
  <c r="W2353" i="7"/>
  <c r="W2354" i="7"/>
  <c r="W2355" i="7"/>
  <c r="W2356" i="7"/>
  <c r="W2357" i="7"/>
  <c r="W2358" i="7"/>
  <c r="W2359" i="7"/>
  <c r="W2360" i="7"/>
  <c r="W2361" i="7"/>
  <c r="W2362" i="7"/>
  <c r="W2363" i="7"/>
  <c r="W2364" i="7"/>
  <c r="W2365" i="7"/>
  <c r="W2366" i="7"/>
  <c r="W2367" i="7"/>
  <c r="W2368" i="7"/>
  <c r="W2369" i="7"/>
  <c r="W2370" i="7"/>
  <c r="W2371" i="7"/>
  <c r="W2372" i="7"/>
  <c r="W2373" i="7"/>
  <c r="W2374" i="7"/>
  <c r="W2375" i="7"/>
  <c r="W2376" i="7"/>
  <c r="W2377" i="7"/>
  <c r="W2378" i="7"/>
  <c r="W2379" i="7"/>
  <c r="W2380" i="7"/>
  <c r="W2381" i="7"/>
  <c r="W2382" i="7"/>
  <c r="W2383" i="7"/>
  <c r="W2384" i="7"/>
  <c r="W2385" i="7"/>
  <c r="W2386" i="7"/>
  <c r="W2387" i="7"/>
  <c r="W2388" i="7"/>
  <c r="W2389" i="7"/>
  <c r="W2390" i="7"/>
  <c r="W2391" i="7"/>
  <c r="W2392" i="7"/>
  <c r="W2393" i="7"/>
  <c r="W2394" i="7"/>
  <c r="W2395" i="7"/>
  <c r="W2396" i="7"/>
  <c r="W2397" i="7"/>
  <c r="W2398" i="7"/>
  <c r="W2399" i="7"/>
  <c r="W2400" i="7"/>
  <c r="W2401" i="7"/>
  <c r="W2402" i="7"/>
  <c r="W2403" i="7"/>
  <c r="W2404" i="7"/>
  <c r="W2405" i="7"/>
  <c r="W2406" i="7"/>
  <c r="W2407" i="7"/>
  <c r="W2408" i="7"/>
  <c r="W2409" i="7"/>
  <c r="W2410" i="7"/>
  <c r="W2411" i="7"/>
  <c r="W2412" i="7"/>
  <c r="W2413" i="7"/>
  <c r="W2414" i="7"/>
  <c r="W2415" i="7"/>
  <c r="W2416" i="7"/>
  <c r="W2417" i="7"/>
  <c r="W2418" i="7"/>
  <c r="W2419" i="7"/>
  <c r="W2420" i="7"/>
  <c r="W2421" i="7"/>
  <c r="W2422" i="7"/>
  <c r="W2423" i="7"/>
  <c r="W2424" i="7"/>
  <c r="W2425" i="7"/>
  <c r="W2426" i="7"/>
  <c r="W2427" i="7"/>
  <c r="W2428" i="7"/>
  <c r="W2429" i="7"/>
  <c r="W2430" i="7"/>
  <c r="W2431" i="7"/>
  <c r="W2432" i="7"/>
  <c r="W2433" i="7"/>
  <c r="W2434" i="7"/>
  <c r="W2435" i="7"/>
  <c r="W2436" i="7"/>
  <c r="W2437" i="7"/>
  <c r="W2438" i="7"/>
  <c r="W2439" i="7"/>
  <c r="W2440" i="7"/>
  <c r="W2441" i="7"/>
  <c r="W2442" i="7"/>
  <c r="W2443" i="7"/>
  <c r="W2444" i="7"/>
  <c r="W2445" i="7"/>
  <c r="W2446" i="7"/>
  <c r="W2447" i="7"/>
  <c r="W2448" i="7"/>
  <c r="W2449" i="7"/>
  <c r="W2450" i="7"/>
  <c r="W2451" i="7"/>
  <c r="W2452" i="7"/>
  <c r="W2453" i="7"/>
  <c r="W2454" i="7"/>
  <c r="W2455" i="7"/>
  <c r="W2456" i="7"/>
  <c r="W2457" i="7"/>
  <c r="W2458" i="7"/>
  <c r="W2459" i="7"/>
  <c r="W2460" i="7"/>
  <c r="W2461" i="7"/>
  <c r="W2462" i="7"/>
  <c r="W2463" i="7"/>
  <c r="W2464" i="7"/>
  <c r="W2465" i="7"/>
  <c r="W2466" i="7"/>
  <c r="W2467" i="7"/>
  <c r="W2468" i="7"/>
  <c r="W2469" i="7"/>
  <c r="W2470" i="7"/>
  <c r="W2471" i="7"/>
  <c r="W2472" i="7"/>
  <c r="W2473" i="7"/>
  <c r="W2474" i="7"/>
  <c r="W2475" i="7"/>
  <c r="W2476" i="7"/>
  <c r="W2477" i="7"/>
  <c r="W2478" i="7"/>
  <c r="W2479" i="7"/>
  <c r="W2480" i="7"/>
  <c r="W2481" i="7"/>
  <c r="W2482" i="7"/>
  <c r="W2483" i="7"/>
  <c r="W2484" i="7"/>
  <c r="W2485" i="7"/>
  <c r="T2" i="7"/>
  <c r="D55" i="8" s="1" a="1"/>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T504" i="7"/>
  <c r="T505" i="7"/>
  <c r="T506" i="7"/>
  <c r="T507" i="7"/>
  <c r="T508" i="7"/>
  <c r="T509" i="7"/>
  <c r="T510" i="7"/>
  <c r="T511" i="7"/>
  <c r="T512" i="7"/>
  <c r="T513" i="7"/>
  <c r="T514" i="7"/>
  <c r="T515" i="7"/>
  <c r="T516" i="7"/>
  <c r="T517" i="7"/>
  <c r="T518" i="7"/>
  <c r="T519" i="7"/>
  <c r="T520" i="7"/>
  <c r="T521" i="7"/>
  <c r="T522" i="7"/>
  <c r="T523" i="7"/>
  <c r="T524" i="7"/>
  <c r="T525" i="7"/>
  <c r="T526" i="7"/>
  <c r="T527" i="7"/>
  <c r="T528" i="7"/>
  <c r="T529" i="7"/>
  <c r="T530" i="7"/>
  <c r="T531" i="7"/>
  <c r="T532" i="7"/>
  <c r="T533" i="7"/>
  <c r="T534" i="7"/>
  <c r="T535" i="7"/>
  <c r="T536" i="7"/>
  <c r="T537" i="7"/>
  <c r="T538" i="7"/>
  <c r="T539" i="7"/>
  <c r="T540" i="7"/>
  <c r="T541" i="7"/>
  <c r="T542" i="7"/>
  <c r="T543" i="7"/>
  <c r="T544" i="7"/>
  <c r="T545" i="7"/>
  <c r="T546" i="7"/>
  <c r="T547" i="7"/>
  <c r="T548" i="7"/>
  <c r="T549" i="7"/>
  <c r="T550" i="7"/>
  <c r="T551" i="7"/>
  <c r="T552" i="7"/>
  <c r="T553" i="7"/>
  <c r="T554" i="7"/>
  <c r="T555" i="7"/>
  <c r="T556" i="7"/>
  <c r="T557" i="7"/>
  <c r="T558" i="7"/>
  <c r="T559" i="7"/>
  <c r="T560" i="7"/>
  <c r="T561" i="7"/>
  <c r="T562" i="7"/>
  <c r="T563" i="7"/>
  <c r="T564" i="7"/>
  <c r="T565" i="7"/>
  <c r="T566" i="7"/>
  <c r="T567" i="7"/>
  <c r="T568" i="7"/>
  <c r="T569" i="7"/>
  <c r="T570" i="7"/>
  <c r="T571" i="7"/>
  <c r="T572" i="7"/>
  <c r="T573" i="7"/>
  <c r="T574" i="7"/>
  <c r="T575" i="7"/>
  <c r="T576" i="7"/>
  <c r="T577" i="7"/>
  <c r="T578" i="7"/>
  <c r="T579" i="7"/>
  <c r="T580" i="7"/>
  <c r="T581" i="7"/>
  <c r="T582" i="7"/>
  <c r="T583" i="7"/>
  <c r="T584" i="7"/>
  <c r="T585" i="7"/>
  <c r="T586" i="7"/>
  <c r="T587" i="7"/>
  <c r="T588" i="7"/>
  <c r="T589" i="7"/>
  <c r="T590" i="7"/>
  <c r="T591" i="7"/>
  <c r="T592" i="7"/>
  <c r="T593" i="7"/>
  <c r="T594" i="7"/>
  <c r="T595" i="7"/>
  <c r="T596" i="7"/>
  <c r="T597" i="7"/>
  <c r="T598" i="7"/>
  <c r="T599" i="7"/>
  <c r="T600" i="7"/>
  <c r="T601" i="7"/>
  <c r="T602" i="7"/>
  <c r="T603" i="7"/>
  <c r="T604" i="7"/>
  <c r="T605" i="7"/>
  <c r="T606" i="7"/>
  <c r="T607" i="7"/>
  <c r="T608" i="7"/>
  <c r="T609" i="7"/>
  <c r="T610" i="7"/>
  <c r="T611" i="7"/>
  <c r="T612" i="7"/>
  <c r="T613" i="7"/>
  <c r="T614" i="7"/>
  <c r="T615" i="7"/>
  <c r="T616" i="7"/>
  <c r="T617" i="7"/>
  <c r="T618" i="7"/>
  <c r="T619" i="7"/>
  <c r="T620" i="7"/>
  <c r="T621" i="7"/>
  <c r="T622" i="7"/>
  <c r="T623" i="7"/>
  <c r="T624" i="7"/>
  <c r="T625" i="7"/>
  <c r="T626" i="7"/>
  <c r="T627" i="7"/>
  <c r="T628" i="7"/>
  <c r="T629" i="7"/>
  <c r="T630" i="7"/>
  <c r="T631" i="7"/>
  <c r="T632" i="7"/>
  <c r="T633" i="7"/>
  <c r="T634" i="7"/>
  <c r="T635" i="7"/>
  <c r="T636" i="7"/>
  <c r="T637" i="7"/>
  <c r="T638" i="7"/>
  <c r="T639" i="7"/>
  <c r="T640" i="7"/>
  <c r="T641" i="7"/>
  <c r="T642" i="7"/>
  <c r="T643" i="7"/>
  <c r="T644" i="7"/>
  <c r="T645" i="7"/>
  <c r="T646" i="7"/>
  <c r="T647" i="7"/>
  <c r="T648" i="7"/>
  <c r="T649" i="7"/>
  <c r="T650" i="7"/>
  <c r="T651" i="7"/>
  <c r="T652" i="7"/>
  <c r="T653" i="7"/>
  <c r="T654" i="7"/>
  <c r="T655" i="7"/>
  <c r="T656" i="7"/>
  <c r="T657" i="7"/>
  <c r="T658" i="7"/>
  <c r="T659" i="7"/>
  <c r="T660" i="7"/>
  <c r="T661" i="7"/>
  <c r="T662" i="7"/>
  <c r="T663" i="7"/>
  <c r="T664" i="7"/>
  <c r="T665" i="7"/>
  <c r="T666" i="7"/>
  <c r="T667" i="7"/>
  <c r="T668" i="7"/>
  <c r="T669" i="7"/>
  <c r="T670" i="7"/>
  <c r="T671" i="7"/>
  <c r="T672" i="7"/>
  <c r="T673" i="7"/>
  <c r="T674" i="7"/>
  <c r="T675" i="7"/>
  <c r="T676" i="7"/>
  <c r="T677" i="7"/>
  <c r="T678" i="7"/>
  <c r="T679" i="7"/>
  <c r="T680" i="7"/>
  <c r="T681" i="7"/>
  <c r="T682" i="7"/>
  <c r="T683" i="7"/>
  <c r="T684" i="7"/>
  <c r="T685" i="7"/>
  <c r="T686" i="7"/>
  <c r="T687" i="7"/>
  <c r="T688" i="7"/>
  <c r="T689" i="7"/>
  <c r="T690" i="7"/>
  <c r="T691" i="7"/>
  <c r="T692" i="7"/>
  <c r="T693" i="7"/>
  <c r="T694" i="7"/>
  <c r="T695" i="7"/>
  <c r="T696" i="7"/>
  <c r="T697" i="7"/>
  <c r="T698" i="7"/>
  <c r="T699" i="7"/>
  <c r="T700" i="7"/>
  <c r="T701" i="7"/>
  <c r="T702" i="7"/>
  <c r="T703" i="7"/>
  <c r="T704" i="7"/>
  <c r="T705" i="7"/>
  <c r="T706" i="7"/>
  <c r="T707" i="7"/>
  <c r="T708" i="7"/>
  <c r="T709" i="7"/>
  <c r="T710" i="7"/>
  <c r="T711" i="7"/>
  <c r="T712" i="7"/>
  <c r="T713" i="7"/>
  <c r="T714" i="7"/>
  <c r="T715" i="7"/>
  <c r="T716" i="7"/>
  <c r="T717" i="7"/>
  <c r="T718" i="7"/>
  <c r="T719" i="7"/>
  <c r="T720" i="7"/>
  <c r="T721" i="7"/>
  <c r="T722" i="7"/>
  <c r="T723" i="7"/>
  <c r="T724" i="7"/>
  <c r="T725" i="7"/>
  <c r="T726" i="7"/>
  <c r="T727" i="7"/>
  <c r="T728" i="7"/>
  <c r="T729" i="7"/>
  <c r="T730" i="7"/>
  <c r="T731" i="7"/>
  <c r="T732" i="7"/>
  <c r="T733" i="7"/>
  <c r="T734" i="7"/>
  <c r="T735" i="7"/>
  <c r="T736" i="7"/>
  <c r="T737" i="7"/>
  <c r="T738" i="7"/>
  <c r="T739" i="7"/>
  <c r="T740" i="7"/>
  <c r="T741" i="7"/>
  <c r="T742" i="7"/>
  <c r="T743" i="7"/>
  <c r="T744" i="7"/>
  <c r="T745" i="7"/>
  <c r="T746" i="7"/>
  <c r="T747" i="7"/>
  <c r="T748" i="7"/>
  <c r="T749" i="7"/>
  <c r="T750" i="7"/>
  <c r="T751" i="7"/>
  <c r="T752" i="7"/>
  <c r="T753" i="7"/>
  <c r="T754" i="7"/>
  <c r="T755" i="7"/>
  <c r="T756" i="7"/>
  <c r="T757" i="7"/>
  <c r="T758" i="7"/>
  <c r="T759" i="7"/>
  <c r="T760" i="7"/>
  <c r="T761" i="7"/>
  <c r="T762" i="7"/>
  <c r="T763" i="7"/>
  <c r="T764" i="7"/>
  <c r="T765" i="7"/>
  <c r="T766" i="7"/>
  <c r="T767" i="7"/>
  <c r="T768" i="7"/>
  <c r="T769" i="7"/>
  <c r="T770" i="7"/>
  <c r="T771" i="7"/>
  <c r="T772" i="7"/>
  <c r="T773" i="7"/>
  <c r="T774" i="7"/>
  <c r="T775" i="7"/>
  <c r="T776" i="7"/>
  <c r="T777" i="7"/>
  <c r="T778" i="7"/>
  <c r="T779" i="7"/>
  <c r="T780" i="7"/>
  <c r="T781" i="7"/>
  <c r="T782" i="7"/>
  <c r="T783" i="7"/>
  <c r="T784" i="7"/>
  <c r="T785" i="7"/>
  <c r="T786" i="7"/>
  <c r="T787" i="7"/>
  <c r="T788" i="7"/>
  <c r="T789" i="7"/>
  <c r="T790" i="7"/>
  <c r="T791" i="7"/>
  <c r="T792" i="7"/>
  <c r="T793" i="7"/>
  <c r="T794" i="7"/>
  <c r="T795" i="7"/>
  <c r="T796" i="7"/>
  <c r="T797" i="7"/>
  <c r="T798" i="7"/>
  <c r="T799" i="7"/>
  <c r="T800" i="7"/>
  <c r="T801" i="7"/>
  <c r="T802" i="7"/>
  <c r="T803" i="7"/>
  <c r="T804" i="7"/>
  <c r="T805" i="7"/>
  <c r="T806" i="7"/>
  <c r="T807" i="7"/>
  <c r="T808" i="7"/>
  <c r="T809" i="7"/>
  <c r="T810" i="7"/>
  <c r="T811" i="7"/>
  <c r="T812" i="7"/>
  <c r="T813" i="7"/>
  <c r="T814" i="7"/>
  <c r="T815" i="7"/>
  <c r="T816" i="7"/>
  <c r="T817" i="7"/>
  <c r="T818" i="7"/>
  <c r="T819" i="7"/>
  <c r="T820" i="7"/>
  <c r="T821" i="7"/>
  <c r="T822" i="7"/>
  <c r="T823" i="7"/>
  <c r="T824" i="7"/>
  <c r="T825" i="7"/>
  <c r="T826" i="7"/>
  <c r="T827" i="7"/>
  <c r="T828" i="7"/>
  <c r="T829" i="7"/>
  <c r="T830" i="7"/>
  <c r="T831" i="7"/>
  <c r="T832" i="7"/>
  <c r="T833" i="7"/>
  <c r="T834" i="7"/>
  <c r="T835" i="7"/>
  <c r="T836" i="7"/>
  <c r="T837" i="7"/>
  <c r="T838" i="7"/>
  <c r="T839" i="7"/>
  <c r="T840" i="7"/>
  <c r="T841" i="7"/>
  <c r="T842" i="7"/>
  <c r="T843" i="7"/>
  <c r="T844" i="7"/>
  <c r="T845" i="7"/>
  <c r="T846" i="7"/>
  <c r="T847" i="7"/>
  <c r="T848" i="7"/>
  <c r="T849" i="7"/>
  <c r="T850" i="7"/>
  <c r="T851" i="7"/>
  <c r="T852" i="7"/>
  <c r="T853" i="7"/>
  <c r="T854" i="7"/>
  <c r="T855" i="7"/>
  <c r="T856" i="7"/>
  <c r="T857" i="7"/>
  <c r="T858" i="7"/>
  <c r="T859" i="7"/>
  <c r="T860" i="7"/>
  <c r="T861" i="7"/>
  <c r="T862" i="7"/>
  <c r="T863" i="7"/>
  <c r="T864" i="7"/>
  <c r="T865" i="7"/>
  <c r="T866" i="7"/>
  <c r="T867" i="7"/>
  <c r="T868" i="7"/>
  <c r="T869" i="7"/>
  <c r="T870" i="7"/>
  <c r="T871" i="7"/>
  <c r="T872" i="7"/>
  <c r="T873" i="7"/>
  <c r="T874" i="7"/>
  <c r="T875" i="7"/>
  <c r="T876" i="7"/>
  <c r="T877" i="7"/>
  <c r="T878" i="7"/>
  <c r="T879" i="7"/>
  <c r="T880" i="7"/>
  <c r="T881" i="7"/>
  <c r="T882" i="7"/>
  <c r="T883" i="7"/>
  <c r="T884" i="7"/>
  <c r="T885" i="7"/>
  <c r="T886" i="7"/>
  <c r="T887" i="7"/>
  <c r="T888" i="7"/>
  <c r="T889" i="7"/>
  <c r="T890" i="7"/>
  <c r="T891" i="7"/>
  <c r="T892" i="7"/>
  <c r="T893" i="7"/>
  <c r="T894" i="7"/>
  <c r="T895" i="7"/>
  <c r="T896" i="7"/>
  <c r="T897" i="7"/>
  <c r="T898" i="7"/>
  <c r="T899" i="7"/>
  <c r="T900" i="7"/>
  <c r="T901" i="7"/>
  <c r="T902" i="7"/>
  <c r="T903" i="7"/>
  <c r="T904" i="7"/>
  <c r="T905" i="7"/>
  <c r="T906" i="7"/>
  <c r="T907" i="7"/>
  <c r="T908" i="7"/>
  <c r="T909" i="7"/>
  <c r="T910" i="7"/>
  <c r="T911" i="7"/>
  <c r="T912" i="7"/>
  <c r="T913" i="7"/>
  <c r="T914" i="7"/>
  <c r="T915" i="7"/>
  <c r="T916" i="7"/>
  <c r="T917" i="7"/>
  <c r="T918" i="7"/>
  <c r="T919" i="7"/>
  <c r="T920" i="7"/>
  <c r="T921" i="7"/>
  <c r="T922" i="7"/>
  <c r="T923" i="7"/>
  <c r="T924" i="7"/>
  <c r="T925" i="7"/>
  <c r="T926" i="7"/>
  <c r="T927" i="7"/>
  <c r="T928" i="7"/>
  <c r="T929" i="7"/>
  <c r="T930" i="7"/>
  <c r="T931" i="7"/>
  <c r="T932" i="7"/>
  <c r="T933" i="7"/>
  <c r="T934" i="7"/>
  <c r="T935" i="7"/>
  <c r="T936" i="7"/>
  <c r="T937" i="7"/>
  <c r="T938" i="7"/>
  <c r="T939" i="7"/>
  <c r="T940" i="7"/>
  <c r="T941" i="7"/>
  <c r="T942" i="7"/>
  <c r="T943" i="7"/>
  <c r="T944" i="7"/>
  <c r="T945" i="7"/>
  <c r="T946" i="7"/>
  <c r="T947" i="7"/>
  <c r="T948" i="7"/>
  <c r="T949" i="7"/>
  <c r="T950" i="7"/>
  <c r="T951" i="7"/>
  <c r="T952" i="7"/>
  <c r="T953" i="7"/>
  <c r="T954" i="7"/>
  <c r="T955" i="7"/>
  <c r="T956" i="7"/>
  <c r="T957" i="7"/>
  <c r="T958" i="7"/>
  <c r="T959" i="7"/>
  <c r="T960" i="7"/>
  <c r="T961" i="7"/>
  <c r="T962" i="7"/>
  <c r="T963" i="7"/>
  <c r="T964" i="7"/>
  <c r="T965" i="7"/>
  <c r="T966" i="7"/>
  <c r="T967" i="7"/>
  <c r="T968" i="7"/>
  <c r="T969" i="7"/>
  <c r="T970" i="7"/>
  <c r="T971" i="7"/>
  <c r="T972" i="7"/>
  <c r="T973" i="7"/>
  <c r="T974" i="7"/>
  <c r="T975" i="7"/>
  <c r="T976" i="7"/>
  <c r="T977" i="7"/>
  <c r="T978" i="7"/>
  <c r="T979" i="7"/>
  <c r="T980" i="7"/>
  <c r="T981" i="7"/>
  <c r="T982" i="7"/>
  <c r="T983" i="7"/>
  <c r="T984" i="7"/>
  <c r="T985" i="7"/>
  <c r="T986" i="7"/>
  <c r="T987" i="7"/>
  <c r="T988" i="7"/>
  <c r="T989" i="7"/>
  <c r="T990" i="7"/>
  <c r="T991" i="7"/>
  <c r="T992" i="7"/>
  <c r="T993" i="7"/>
  <c r="T994" i="7"/>
  <c r="T995" i="7"/>
  <c r="T996" i="7"/>
  <c r="T997" i="7"/>
  <c r="T998" i="7"/>
  <c r="T999" i="7"/>
  <c r="T1000" i="7"/>
  <c r="T1001" i="7"/>
  <c r="T1002" i="7"/>
  <c r="T1003" i="7"/>
  <c r="T1004" i="7"/>
  <c r="T1005" i="7"/>
  <c r="T1006" i="7"/>
  <c r="T1007" i="7"/>
  <c r="T1008" i="7"/>
  <c r="T1009" i="7"/>
  <c r="T1010" i="7"/>
  <c r="T1011" i="7"/>
  <c r="T1012" i="7"/>
  <c r="T1013" i="7"/>
  <c r="T1014" i="7"/>
  <c r="T1015" i="7"/>
  <c r="T1016" i="7"/>
  <c r="T1017" i="7"/>
  <c r="T1018" i="7"/>
  <c r="T1019" i="7"/>
  <c r="T1020" i="7"/>
  <c r="T1021" i="7"/>
  <c r="T1022" i="7"/>
  <c r="T1023" i="7"/>
  <c r="T1024" i="7"/>
  <c r="T1025" i="7"/>
  <c r="T1026" i="7"/>
  <c r="T1027" i="7"/>
  <c r="T1028" i="7"/>
  <c r="T1029" i="7"/>
  <c r="T1030" i="7"/>
  <c r="T1031" i="7"/>
  <c r="T1032" i="7"/>
  <c r="T1033" i="7"/>
  <c r="T1034" i="7"/>
  <c r="T1035" i="7"/>
  <c r="T1036" i="7"/>
  <c r="T1037" i="7"/>
  <c r="T1038" i="7"/>
  <c r="T1039" i="7"/>
  <c r="T1040" i="7"/>
  <c r="T1041" i="7"/>
  <c r="T1042" i="7"/>
  <c r="T1043" i="7"/>
  <c r="T1044" i="7"/>
  <c r="T1045" i="7"/>
  <c r="T1046" i="7"/>
  <c r="T1047" i="7"/>
  <c r="T1048" i="7"/>
  <c r="T1049" i="7"/>
  <c r="T1050" i="7"/>
  <c r="T1051" i="7"/>
  <c r="T1052" i="7"/>
  <c r="T1053" i="7"/>
  <c r="T1054" i="7"/>
  <c r="T1055" i="7"/>
  <c r="T1056" i="7"/>
  <c r="T1057" i="7"/>
  <c r="T1058" i="7"/>
  <c r="T1059" i="7"/>
  <c r="T1060" i="7"/>
  <c r="T1061" i="7"/>
  <c r="T1062" i="7"/>
  <c r="T1063" i="7"/>
  <c r="T1064" i="7"/>
  <c r="T1065" i="7"/>
  <c r="T1066" i="7"/>
  <c r="T1067" i="7"/>
  <c r="T1068" i="7"/>
  <c r="T1069" i="7"/>
  <c r="T1070" i="7"/>
  <c r="T1071" i="7"/>
  <c r="T1072" i="7"/>
  <c r="T1073" i="7"/>
  <c r="T1074" i="7"/>
  <c r="T1075" i="7"/>
  <c r="T1076" i="7"/>
  <c r="T1077" i="7"/>
  <c r="T1078" i="7"/>
  <c r="T1079" i="7"/>
  <c r="T1080" i="7"/>
  <c r="T1081" i="7"/>
  <c r="T1082" i="7"/>
  <c r="T1083" i="7"/>
  <c r="T1084" i="7"/>
  <c r="T1085" i="7"/>
  <c r="T1086" i="7"/>
  <c r="T1087" i="7"/>
  <c r="T1088" i="7"/>
  <c r="T1089" i="7"/>
  <c r="T1090" i="7"/>
  <c r="T1091" i="7"/>
  <c r="T1092" i="7"/>
  <c r="T1093" i="7"/>
  <c r="T1094" i="7"/>
  <c r="T1095" i="7"/>
  <c r="T1096" i="7"/>
  <c r="T1097" i="7"/>
  <c r="T1098" i="7"/>
  <c r="T1099" i="7"/>
  <c r="T1100" i="7"/>
  <c r="T1101" i="7"/>
  <c r="T1102" i="7"/>
  <c r="T1103" i="7"/>
  <c r="T1104" i="7"/>
  <c r="T1105" i="7"/>
  <c r="T1106" i="7"/>
  <c r="T1107" i="7"/>
  <c r="T1108" i="7"/>
  <c r="T1109" i="7"/>
  <c r="T1110" i="7"/>
  <c r="T1111" i="7"/>
  <c r="T1112" i="7"/>
  <c r="T1113" i="7"/>
  <c r="T1114" i="7"/>
  <c r="T1115" i="7"/>
  <c r="T1116" i="7"/>
  <c r="T1117" i="7"/>
  <c r="T1118" i="7"/>
  <c r="T1119" i="7"/>
  <c r="T1120" i="7"/>
  <c r="T1121" i="7"/>
  <c r="T1122" i="7"/>
  <c r="T1123" i="7"/>
  <c r="T1124" i="7"/>
  <c r="T1125" i="7"/>
  <c r="T1126" i="7"/>
  <c r="T1127" i="7"/>
  <c r="T1128" i="7"/>
  <c r="T1129" i="7"/>
  <c r="T1130" i="7"/>
  <c r="T1131" i="7"/>
  <c r="T1132" i="7"/>
  <c r="T1133" i="7"/>
  <c r="T1134" i="7"/>
  <c r="T1135" i="7"/>
  <c r="T1136" i="7"/>
  <c r="T1137" i="7"/>
  <c r="T1138" i="7"/>
  <c r="T1139" i="7"/>
  <c r="T1140" i="7"/>
  <c r="T1141" i="7"/>
  <c r="T1142" i="7"/>
  <c r="T1143" i="7"/>
  <c r="T1144" i="7"/>
  <c r="T1145" i="7"/>
  <c r="T1146" i="7"/>
  <c r="T1147" i="7"/>
  <c r="T1148" i="7"/>
  <c r="T1149" i="7"/>
  <c r="T1150" i="7"/>
  <c r="T1151" i="7"/>
  <c r="T1152" i="7"/>
  <c r="T1153" i="7"/>
  <c r="T1154" i="7"/>
  <c r="T1155" i="7"/>
  <c r="T1156" i="7"/>
  <c r="T1157" i="7"/>
  <c r="T1158" i="7"/>
  <c r="T1159" i="7"/>
  <c r="T1160" i="7"/>
  <c r="T1161" i="7"/>
  <c r="T1162" i="7"/>
  <c r="T1163" i="7"/>
  <c r="T1164" i="7"/>
  <c r="T1165" i="7"/>
  <c r="T1166" i="7"/>
  <c r="T1167" i="7"/>
  <c r="T1168" i="7"/>
  <c r="T1169" i="7"/>
  <c r="T1170" i="7"/>
  <c r="T1171" i="7"/>
  <c r="T1172" i="7"/>
  <c r="T1173" i="7"/>
  <c r="T1174" i="7"/>
  <c r="T1175" i="7"/>
  <c r="T1176" i="7"/>
  <c r="T1177" i="7"/>
  <c r="T1178" i="7"/>
  <c r="T1179" i="7"/>
  <c r="T1180" i="7"/>
  <c r="T1181" i="7"/>
  <c r="T1182" i="7"/>
  <c r="T1183" i="7"/>
  <c r="T1184" i="7"/>
  <c r="T1185" i="7"/>
  <c r="T1186" i="7"/>
  <c r="T1187" i="7"/>
  <c r="T1188" i="7"/>
  <c r="T1189" i="7"/>
  <c r="T1190" i="7"/>
  <c r="T1191" i="7"/>
  <c r="T1192" i="7"/>
  <c r="T1193" i="7"/>
  <c r="T1194" i="7"/>
  <c r="T1195" i="7"/>
  <c r="T1196" i="7"/>
  <c r="T1197" i="7"/>
  <c r="T1198" i="7"/>
  <c r="T1199" i="7"/>
  <c r="T1200" i="7"/>
  <c r="T1201" i="7"/>
  <c r="T1202" i="7"/>
  <c r="T1203" i="7"/>
  <c r="T1204" i="7"/>
  <c r="T1205" i="7"/>
  <c r="T1206" i="7"/>
  <c r="T1207" i="7"/>
  <c r="T1208" i="7"/>
  <c r="T1209" i="7"/>
  <c r="T1210" i="7"/>
  <c r="T1211" i="7"/>
  <c r="T1212" i="7"/>
  <c r="T1213" i="7"/>
  <c r="T1214" i="7"/>
  <c r="T1215" i="7"/>
  <c r="T1216" i="7"/>
  <c r="T1217" i="7"/>
  <c r="T1218" i="7"/>
  <c r="T1219" i="7"/>
  <c r="T1220" i="7"/>
  <c r="T1221" i="7"/>
  <c r="T1222" i="7"/>
  <c r="T1223" i="7"/>
  <c r="T1224" i="7"/>
  <c r="T1225" i="7"/>
  <c r="T1226" i="7"/>
  <c r="T1227" i="7"/>
  <c r="T1228" i="7"/>
  <c r="T1229" i="7"/>
  <c r="T1230" i="7"/>
  <c r="T1231" i="7"/>
  <c r="T1232" i="7"/>
  <c r="T1233" i="7"/>
  <c r="T1234" i="7"/>
  <c r="T1235" i="7"/>
  <c r="T1236" i="7"/>
  <c r="T1237" i="7"/>
  <c r="T1238" i="7"/>
  <c r="T1239" i="7"/>
  <c r="T1240" i="7"/>
  <c r="T1241" i="7"/>
  <c r="T1242" i="7"/>
  <c r="T1243" i="7"/>
  <c r="T1244" i="7"/>
  <c r="T1245" i="7"/>
  <c r="T1246" i="7"/>
  <c r="T1247" i="7"/>
  <c r="T1248" i="7"/>
  <c r="T1249" i="7"/>
  <c r="T1250" i="7"/>
  <c r="T1251" i="7"/>
  <c r="T1252" i="7"/>
  <c r="T1253" i="7"/>
  <c r="T1254" i="7"/>
  <c r="T1255" i="7"/>
  <c r="T1256" i="7"/>
  <c r="T1257" i="7"/>
  <c r="T1258" i="7"/>
  <c r="T1259" i="7"/>
  <c r="T1260" i="7"/>
  <c r="T1261" i="7"/>
  <c r="T1262" i="7"/>
  <c r="T1263" i="7"/>
  <c r="T1264" i="7"/>
  <c r="T1265" i="7"/>
  <c r="T1266" i="7"/>
  <c r="T1267" i="7"/>
  <c r="T1268" i="7"/>
  <c r="T1269" i="7"/>
  <c r="T1270" i="7"/>
  <c r="T1271" i="7"/>
  <c r="T1272" i="7"/>
  <c r="T1273" i="7"/>
  <c r="T1274" i="7"/>
  <c r="T1275" i="7"/>
  <c r="T1276" i="7"/>
  <c r="T1277" i="7"/>
  <c r="T1278" i="7"/>
  <c r="T1279" i="7"/>
  <c r="T1280" i="7"/>
  <c r="T1281" i="7"/>
  <c r="T1282" i="7"/>
  <c r="T1283" i="7"/>
  <c r="T1284" i="7"/>
  <c r="T1285" i="7"/>
  <c r="T1286" i="7"/>
  <c r="T1287" i="7"/>
  <c r="T1288" i="7"/>
  <c r="T1289" i="7"/>
  <c r="T1290" i="7"/>
  <c r="T1291" i="7"/>
  <c r="T1292" i="7"/>
  <c r="T1293" i="7"/>
  <c r="T1294" i="7"/>
  <c r="T1295" i="7"/>
  <c r="T1296" i="7"/>
  <c r="T1297" i="7"/>
  <c r="T1298" i="7"/>
  <c r="T1299" i="7"/>
  <c r="T1300" i="7"/>
  <c r="T1301" i="7"/>
  <c r="T1302" i="7"/>
  <c r="T1303" i="7"/>
  <c r="T1304" i="7"/>
  <c r="T1305" i="7"/>
  <c r="T1306" i="7"/>
  <c r="T1307" i="7"/>
  <c r="T1308" i="7"/>
  <c r="T1309" i="7"/>
  <c r="T1310" i="7"/>
  <c r="T1311" i="7"/>
  <c r="T1312" i="7"/>
  <c r="T1313" i="7"/>
  <c r="T1314" i="7"/>
  <c r="T1315" i="7"/>
  <c r="T1316" i="7"/>
  <c r="T1317" i="7"/>
  <c r="T1318" i="7"/>
  <c r="T1319" i="7"/>
  <c r="T1320" i="7"/>
  <c r="T1321" i="7"/>
  <c r="T1322" i="7"/>
  <c r="T1323" i="7"/>
  <c r="T1324" i="7"/>
  <c r="T1325" i="7"/>
  <c r="T1326" i="7"/>
  <c r="T1327" i="7"/>
  <c r="T1328" i="7"/>
  <c r="T1329" i="7"/>
  <c r="T1330" i="7"/>
  <c r="T1331" i="7"/>
  <c r="T1332" i="7"/>
  <c r="T1333" i="7"/>
  <c r="T1334" i="7"/>
  <c r="T1335" i="7"/>
  <c r="T1336" i="7"/>
  <c r="T1337" i="7"/>
  <c r="T1338" i="7"/>
  <c r="T1339" i="7"/>
  <c r="T1340" i="7"/>
  <c r="T1341" i="7"/>
  <c r="T1342" i="7"/>
  <c r="T1343" i="7"/>
  <c r="T1344" i="7"/>
  <c r="T1345" i="7"/>
  <c r="T1346" i="7"/>
  <c r="T1347" i="7"/>
  <c r="T1348" i="7"/>
  <c r="T1349" i="7"/>
  <c r="T1350" i="7"/>
  <c r="T1351" i="7"/>
  <c r="T1352" i="7"/>
  <c r="T1353" i="7"/>
  <c r="T1354" i="7"/>
  <c r="T1355" i="7"/>
  <c r="T1356" i="7"/>
  <c r="T1357" i="7"/>
  <c r="T1358" i="7"/>
  <c r="T1359" i="7"/>
  <c r="T1360" i="7"/>
  <c r="T1361" i="7"/>
  <c r="T1362" i="7"/>
  <c r="T1363" i="7"/>
  <c r="T1364" i="7"/>
  <c r="T1365" i="7"/>
  <c r="T1366" i="7"/>
  <c r="T1367" i="7"/>
  <c r="T1368" i="7"/>
  <c r="T1369" i="7"/>
  <c r="T1370" i="7"/>
  <c r="T1371" i="7"/>
  <c r="T1372" i="7"/>
  <c r="T1373" i="7"/>
  <c r="T1374" i="7"/>
  <c r="T1375" i="7"/>
  <c r="T1376" i="7"/>
  <c r="T1377" i="7"/>
  <c r="T1378" i="7"/>
  <c r="T1379" i="7"/>
  <c r="T1380" i="7"/>
  <c r="T1381" i="7"/>
  <c r="T1382" i="7"/>
  <c r="T1383" i="7"/>
  <c r="T1384" i="7"/>
  <c r="T1385" i="7"/>
  <c r="T1386" i="7"/>
  <c r="T1387" i="7"/>
  <c r="T1388" i="7"/>
  <c r="T1389" i="7"/>
  <c r="T1390" i="7"/>
  <c r="T1391" i="7"/>
  <c r="T1392" i="7"/>
  <c r="T1393" i="7"/>
  <c r="T1394" i="7"/>
  <c r="T1395" i="7"/>
  <c r="T1396" i="7"/>
  <c r="T1397" i="7"/>
  <c r="T1398" i="7"/>
  <c r="T1399" i="7"/>
  <c r="T1400" i="7"/>
  <c r="T1401" i="7"/>
  <c r="T1402" i="7"/>
  <c r="T1403" i="7"/>
  <c r="T1404" i="7"/>
  <c r="T1405" i="7"/>
  <c r="T1406" i="7"/>
  <c r="T1407" i="7"/>
  <c r="T1408" i="7"/>
  <c r="T1409" i="7"/>
  <c r="T1410" i="7"/>
  <c r="T1411" i="7"/>
  <c r="T1412" i="7"/>
  <c r="T1413" i="7"/>
  <c r="T1414" i="7"/>
  <c r="T1415" i="7"/>
  <c r="T1416" i="7"/>
  <c r="T1417" i="7"/>
  <c r="T1418" i="7"/>
  <c r="T1419" i="7"/>
  <c r="T1420" i="7"/>
  <c r="T1421" i="7"/>
  <c r="T1422" i="7"/>
  <c r="T1423" i="7"/>
  <c r="T1424" i="7"/>
  <c r="T1425" i="7"/>
  <c r="T1426" i="7"/>
  <c r="T1427" i="7"/>
  <c r="T1428" i="7"/>
  <c r="T1429" i="7"/>
  <c r="T1430" i="7"/>
  <c r="T1431" i="7"/>
  <c r="T1432" i="7"/>
  <c r="T1433" i="7"/>
  <c r="T1434" i="7"/>
  <c r="T1435" i="7"/>
  <c r="T1436" i="7"/>
  <c r="T1437" i="7"/>
  <c r="T1438" i="7"/>
  <c r="T1439" i="7"/>
  <c r="T1440" i="7"/>
  <c r="T1441" i="7"/>
  <c r="T1442" i="7"/>
  <c r="T1443" i="7"/>
  <c r="T1444" i="7"/>
  <c r="T1445" i="7"/>
  <c r="T1446" i="7"/>
  <c r="T1447" i="7"/>
  <c r="T1448" i="7"/>
  <c r="T1449" i="7"/>
  <c r="T1450" i="7"/>
  <c r="T1451" i="7"/>
  <c r="T1452" i="7"/>
  <c r="T1453" i="7"/>
  <c r="T1454" i="7"/>
  <c r="T1455" i="7"/>
  <c r="T1456" i="7"/>
  <c r="T1457" i="7"/>
  <c r="T1458" i="7"/>
  <c r="T1459" i="7"/>
  <c r="T1460" i="7"/>
  <c r="T1461" i="7"/>
  <c r="T1462" i="7"/>
  <c r="T1463" i="7"/>
  <c r="T1464" i="7"/>
  <c r="T1465" i="7"/>
  <c r="T1466" i="7"/>
  <c r="T1467" i="7"/>
  <c r="T1468" i="7"/>
  <c r="T1469" i="7"/>
  <c r="T1470" i="7"/>
  <c r="T1471" i="7"/>
  <c r="T1472" i="7"/>
  <c r="T1473" i="7"/>
  <c r="T1474" i="7"/>
  <c r="T1475" i="7"/>
  <c r="T1476" i="7"/>
  <c r="T1477" i="7"/>
  <c r="T1478" i="7"/>
  <c r="T1479" i="7"/>
  <c r="T1480" i="7"/>
  <c r="T1481" i="7"/>
  <c r="T1482" i="7"/>
  <c r="T1483" i="7"/>
  <c r="T1484" i="7"/>
  <c r="T1485" i="7"/>
  <c r="T1486" i="7"/>
  <c r="T1487" i="7"/>
  <c r="T1488" i="7"/>
  <c r="T1489" i="7"/>
  <c r="T1490" i="7"/>
  <c r="T1491" i="7"/>
  <c r="T1492" i="7"/>
  <c r="T1493" i="7"/>
  <c r="T1494" i="7"/>
  <c r="T1495" i="7"/>
  <c r="T1496" i="7"/>
  <c r="T1497" i="7"/>
  <c r="T1498" i="7"/>
  <c r="T1499" i="7"/>
  <c r="T1500" i="7"/>
  <c r="T1501" i="7"/>
  <c r="T1502" i="7"/>
  <c r="T1503" i="7"/>
  <c r="T1504" i="7"/>
  <c r="T1505" i="7"/>
  <c r="T1506" i="7"/>
  <c r="T1507" i="7"/>
  <c r="T1508" i="7"/>
  <c r="T1509" i="7"/>
  <c r="T1510" i="7"/>
  <c r="T1511" i="7"/>
  <c r="T1512" i="7"/>
  <c r="T1513" i="7"/>
  <c r="T1514" i="7"/>
  <c r="T1515" i="7"/>
  <c r="T1516" i="7"/>
  <c r="T1517" i="7"/>
  <c r="T1518" i="7"/>
  <c r="T1519" i="7"/>
  <c r="T1520" i="7"/>
  <c r="T1521" i="7"/>
  <c r="T1522" i="7"/>
  <c r="T1523" i="7"/>
  <c r="T1524" i="7"/>
  <c r="T1525" i="7"/>
  <c r="T1526" i="7"/>
  <c r="T1527" i="7"/>
  <c r="T1528" i="7"/>
  <c r="T1529" i="7"/>
  <c r="T1530" i="7"/>
  <c r="T1531" i="7"/>
  <c r="T1532" i="7"/>
  <c r="T1533" i="7"/>
  <c r="T1534" i="7"/>
  <c r="T1535" i="7"/>
  <c r="T1536" i="7"/>
  <c r="T1537" i="7"/>
  <c r="T1538" i="7"/>
  <c r="T1539" i="7"/>
  <c r="T1540" i="7"/>
  <c r="T1541" i="7"/>
  <c r="T1542" i="7"/>
  <c r="T1543" i="7"/>
  <c r="T1544" i="7"/>
  <c r="T1545" i="7"/>
  <c r="T1546" i="7"/>
  <c r="T1547" i="7"/>
  <c r="T1548" i="7"/>
  <c r="T1549" i="7"/>
  <c r="T1550" i="7"/>
  <c r="T1551" i="7"/>
  <c r="T1552" i="7"/>
  <c r="T1553" i="7"/>
  <c r="T1554" i="7"/>
  <c r="T1555" i="7"/>
  <c r="T1556" i="7"/>
  <c r="T1557" i="7"/>
  <c r="T1558" i="7"/>
  <c r="T1559" i="7"/>
  <c r="T1560" i="7"/>
  <c r="T1561" i="7"/>
  <c r="T1562" i="7"/>
  <c r="T1563" i="7"/>
  <c r="T1564" i="7"/>
  <c r="T1565" i="7"/>
  <c r="T1566" i="7"/>
  <c r="T1567" i="7"/>
  <c r="T1568" i="7"/>
  <c r="T1569" i="7"/>
  <c r="T1570" i="7"/>
  <c r="T1571" i="7"/>
  <c r="T1572" i="7"/>
  <c r="T1573" i="7"/>
  <c r="T1574" i="7"/>
  <c r="T1575" i="7"/>
  <c r="T1576" i="7"/>
  <c r="T1577" i="7"/>
  <c r="T1578" i="7"/>
  <c r="T1579" i="7"/>
  <c r="T1580" i="7"/>
  <c r="T1581" i="7"/>
  <c r="T1582" i="7"/>
  <c r="T1583" i="7"/>
  <c r="T1584" i="7"/>
  <c r="T1585" i="7"/>
  <c r="T1586" i="7"/>
  <c r="T1587" i="7"/>
  <c r="T1588" i="7"/>
  <c r="T1589" i="7"/>
  <c r="T1590" i="7"/>
  <c r="T1591" i="7"/>
  <c r="T1592" i="7"/>
  <c r="T1593" i="7"/>
  <c r="T1594" i="7"/>
  <c r="T1595" i="7"/>
  <c r="T1596" i="7"/>
  <c r="T1597" i="7"/>
  <c r="T1598" i="7"/>
  <c r="T1599" i="7"/>
  <c r="T1600" i="7"/>
  <c r="T1601" i="7"/>
  <c r="T1602" i="7"/>
  <c r="T1603" i="7"/>
  <c r="T1604" i="7"/>
  <c r="T1605" i="7"/>
  <c r="T1606" i="7"/>
  <c r="T1607" i="7"/>
  <c r="T1608" i="7"/>
  <c r="T1609" i="7"/>
  <c r="T1610" i="7"/>
  <c r="T1611" i="7"/>
  <c r="T1612" i="7"/>
  <c r="T1613" i="7"/>
  <c r="T1614" i="7"/>
  <c r="T1615" i="7"/>
  <c r="T1616" i="7"/>
  <c r="T1617" i="7"/>
  <c r="T1618" i="7"/>
  <c r="T1619" i="7"/>
  <c r="T1620" i="7"/>
  <c r="T1621" i="7"/>
  <c r="T1622" i="7"/>
  <c r="T1623" i="7"/>
  <c r="T1624" i="7"/>
  <c r="T1625" i="7"/>
  <c r="T1626" i="7"/>
  <c r="T1627" i="7"/>
  <c r="T1628" i="7"/>
  <c r="T1629" i="7"/>
  <c r="T1630" i="7"/>
  <c r="T1631" i="7"/>
  <c r="T1632" i="7"/>
  <c r="T1633" i="7"/>
  <c r="T1634" i="7"/>
  <c r="T1635" i="7"/>
  <c r="T1636" i="7"/>
  <c r="T1637" i="7"/>
  <c r="T1638" i="7"/>
  <c r="T1639" i="7"/>
  <c r="T1640" i="7"/>
  <c r="T1641" i="7"/>
  <c r="T1642" i="7"/>
  <c r="T1643" i="7"/>
  <c r="T1644" i="7"/>
  <c r="T1645" i="7"/>
  <c r="T1646" i="7"/>
  <c r="T1647" i="7"/>
  <c r="T1648" i="7"/>
  <c r="T1649" i="7"/>
  <c r="T1650" i="7"/>
  <c r="T1651" i="7"/>
  <c r="T1652" i="7"/>
  <c r="T1653" i="7"/>
  <c r="T1654" i="7"/>
  <c r="T1655" i="7"/>
  <c r="T1656" i="7"/>
  <c r="T1657" i="7"/>
  <c r="T1658" i="7"/>
  <c r="T1659" i="7"/>
  <c r="T1660" i="7"/>
  <c r="T1661" i="7"/>
  <c r="T1662" i="7"/>
  <c r="T1663" i="7"/>
  <c r="T1664" i="7"/>
  <c r="T1665" i="7"/>
  <c r="T1666" i="7"/>
  <c r="T1667" i="7"/>
  <c r="T1668" i="7"/>
  <c r="T1669" i="7"/>
  <c r="T1670" i="7"/>
  <c r="T1671" i="7"/>
  <c r="T1672" i="7"/>
  <c r="T1673" i="7"/>
  <c r="T1674" i="7"/>
  <c r="T1675" i="7"/>
  <c r="T1676" i="7"/>
  <c r="T1677" i="7"/>
  <c r="T1678" i="7"/>
  <c r="T1679" i="7"/>
  <c r="T1680" i="7"/>
  <c r="T1681" i="7"/>
  <c r="T1682" i="7"/>
  <c r="T1683" i="7"/>
  <c r="T1684" i="7"/>
  <c r="T1685" i="7"/>
  <c r="T1686" i="7"/>
  <c r="T1687" i="7"/>
  <c r="T1688" i="7"/>
  <c r="T1689" i="7"/>
  <c r="T1690" i="7"/>
  <c r="T1691" i="7"/>
  <c r="T1692" i="7"/>
  <c r="T1693" i="7"/>
  <c r="T1694" i="7"/>
  <c r="T1695" i="7"/>
  <c r="T1696" i="7"/>
  <c r="T1697" i="7"/>
  <c r="T1698" i="7"/>
  <c r="T1699" i="7"/>
  <c r="T1700" i="7"/>
  <c r="T1701" i="7"/>
  <c r="T1702" i="7"/>
  <c r="T1703" i="7"/>
  <c r="T1704" i="7"/>
  <c r="T1705" i="7"/>
  <c r="T1706" i="7"/>
  <c r="T1707" i="7"/>
  <c r="T1708" i="7"/>
  <c r="T1709" i="7"/>
  <c r="T1710" i="7"/>
  <c r="T1711" i="7"/>
  <c r="T1712" i="7"/>
  <c r="T1713" i="7"/>
  <c r="T1714" i="7"/>
  <c r="T1715" i="7"/>
  <c r="T1716" i="7"/>
  <c r="T1717" i="7"/>
  <c r="T1718" i="7"/>
  <c r="T1719" i="7"/>
  <c r="T1720" i="7"/>
  <c r="T1721" i="7"/>
  <c r="T1722" i="7"/>
  <c r="T1723" i="7"/>
  <c r="T1724" i="7"/>
  <c r="T1725" i="7"/>
  <c r="T1726" i="7"/>
  <c r="T1727" i="7"/>
  <c r="T1728" i="7"/>
  <c r="T1729" i="7"/>
  <c r="T1730" i="7"/>
  <c r="T1731" i="7"/>
  <c r="T1732" i="7"/>
  <c r="T1733" i="7"/>
  <c r="T1734" i="7"/>
  <c r="T1735" i="7"/>
  <c r="T1736" i="7"/>
  <c r="T1737" i="7"/>
  <c r="T1738" i="7"/>
  <c r="T1739" i="7"/>
  <c r="T1740" i="7"/>
  <c r="T1741" i="7"/>
  <c r="T1742" i="7"/>
  <c r="T1743" i="7"/>
  <c r="T1744" i="7"/>
  <c r="T1745" i="7"/>
  <c r="T1746" i="7"/>
  <c r="T1747" i="7"/>
  <c r="T1748" i="7"/>
  <c r="T1749" i="7"/>
  <c r="T1750" i="7"/>
  <c r="T1751" i="7"/>
  <c r="T1752" i="7"/>
  <c r="T1753" i="7"/>
  <c r="T1754" i="7"/>
  <c r="T1755" i="7"/>
  <c r="T1756" i="7"/>
  <c r="T1757" i="7"/>
  <c r="T1758" i="7"/>
  <c r="T1759" i="7"/>
  <c r="T1760" i="7"/>
  <c r="T1761" i="7"/>
  <c r="T1762" i="7"/>
  <c r="T1763" i="7"/>
  <c r="T1764" i="7"/>
  <c r="T1765" i="7"/>
  <c r="T1766" i="7"/>
  <c r="T1767" i="7"/>
  <c r="T1768" i="7"/>
  <c r="T1769" i="7"/>
  <c r="T1770" i="7"/>
  <c r="T1771" i="7"/>
  <c r="T1772" i="7"/>
  <c r="T1773" i="7"/>
  <c r="T1774" i="7"/>
  <c r="T1775" i="7"/>
  <c r="T1776" i="7"/>
  <c r="T1777" i="7"/>
  <c r="T1778" i="7"/>
  <c r="T1779" i="7"/>
  <c r="T1780" i="7"/>
  <c r="T1781" i="7"/>
  <c r="T1782" i="7"/>
  <c r="T1783" i="7"/>
  <c r="T1784" i="7"/>
  <c r="T1785" i="7"/>
  <c r="T1786" i="7"/>
  <c r="T1787" i="7"/>
  <c r="T1788" i="7"/>
  <c r="T1789" i="7"/>
  <c r="T1790" i="7"/>
  <c r="T1791" i="7"/>
  <c r="T1792" i="7"/>
  <c r="T1793" i="7"/>
  <c r="T1794" i="7"/>
  <c r="T1795" i="7"/>
  <c r="T1796" i="7"/>
  <c r="T1797" i="7"/>
  <c r="T1798" i="7"/>
  <c r="T1799" i="7"/>
  <c r="T1800" i="7"/>
  <c r="T1801" i="7"/>
  <c r="T1802" i="7"/>
  <c r="T1803" i="7"/>
  <c r="T1804" i="7"/>
  <c r="T1805" i="7"/>
  <c r="T1806" i="7"/>
  <c r="T1807" i="7"/>
  <c r="T1808" i="7"/>
  <c r="T1809" i="7"/>
  <c r="T1810" i="7"/>
  <c r="T1811" i="7"/>
  <c r="T1812" i="7"/>
  <c r="T1813" i="7"/>
  <c r="T1814" i="7"/>
  <c r="T1815" i="7"/>
  <c r="T1816" i="7"/>
  <c r="T1817" i="7"/>
  <c r="T1818" i="7"/>
  <c r="T1819" i="7"/>
  <c r="T1820" i="7"/>
  <c r="T1821" i="7"/>
  <c r="T1822" i="7"/>
  <c r="T1823" i="7"/>
  <c r="T1824" i="7"/>
  <c r="T1825" i="7"/>
  <c r="T1826" i="7"/>
  <c r="T1827" i="7"/>
  <c r="T1828" i="7"/>
  <c r="T1829" i="7"/>
  <c r="T1830" i="7"/>
  <c r="T1831" i="7"/>
  <c r="T1832" i="7"/>
  <c r="T1833" i="7"/>
  <c r="T1834" i="7"/>
  <c r="T1835" i="7"/>
  <c r="T1836" i="7"/>
  <c r="T1837" i="7"/>
  <c r="T1838" i="7"/>
  <c r="T1839" i="7"/>
  <c r="T1840" i="7"/>
  <c r="T1841" i="7"/>
  <c r="T1842" i="7"/>
  <c r="T1843" i="7"/>
  <c r="T1844" i="7"/>
  <c r="T1845" i="7"/>
  <c r="T1846" i="7"/>
  <c r="T1847" i="7"/>
  <c r="T1848" i="7"/>
  <c r="T1849" i="7"/>
  <c r="T1850" i="7"/>
  <c r="T1851" i="7"/>
  <c r="T1852" i="7"/>
  <c r="T1853" i="7"/>
  <c r="T1854" i="7"/>
  <c r="T1855" i="7"/>
  <c r="T1856" i="7"/>
  <c r="T1857" i="7"/>
  <c r="T1858" i="7"/>
  <c r="T1859" i="7"/>
  <c r="T1860" i="7"/>
  <c r="T1861" i="7"/>
  <c r="T1862" i="7"/>
  <c r="T1863" i="7"/>
  <c r="T1864" i="7"/>
  <c r="T1865" i="7"/>
  <c r="T1866" i="7"/>
  <c r="T1867" i="7"/>
  <c r="T1868" i="7"/>
  <c r="T1869" i="7"/>
  <c r="T1870" i="7"/>
  <c r="T1871" i="7"/>
  <c r="T1872" i="7"/>
  <c r="T1873" i="7"/>
  <c r="T1874" i="7"/>
  <c r="T1875" i="7"/>
  <c r="T1876" i="7"/>
  <c r="T1877" i="7"/>
  <c r="T1878" i="7"/>
  <c r="T1879" i="7"/>
  <c r="T1880" i="7"/>
  <c r="T1881" i="7"/>
  <c r="T1882" i="7"/>
  <c r="T1883" i="7"/>
  <c r="T1884" i="7"/>
  <c r="T1885" i="7"/>
  <c r="T1886" i="7"/>
  <c r="T1887" i="7"/>
  <c r="T1888" i="7"/>
  <c r="T1889" i="7"/>
  <c r="T1890" i="7"/>
  <c r="T1891" i="7"/>
  <c r="T1892" i="7"/>
  <c r="T1893" i="7"/>
  <c r="T1894" i="7"/>
  <c r="T1895" i="7"/>
  <c r="T1896" i="7"/>
  <c r="T1897" i="7"/>
  <c r="T1898" i="7"/>
  <c r="T1899" i="7"/>
  <c r="T1900" i="7"/>
  <c r="T1901" i="7"/>
  <c r="T1902" i="7"/>
  <c r="T1903" i="7"/>
  <c r="T1904" i="7"/>
  <c r="T1905" i="7"/>
  <c r="T1906" i="7"/>
  <c r="T1907" i="7"/>
  <c r="T1908" i="7"/>
  <c r="T1909" i="7"/>
  <c r="T1910" i="7"/>
  <c r="T1911" i="7"/>
  <c r="T1912" i="7"/>
  <c r="T1913" i="7"/>
  <c r="T1914" i="7"/>
  <c r="T1915" i="7"/>
  <c r="T1916" i="7"/>
  <c r="T1917" i="7"/>
  <c r="T1918" i="7"/>
  <c r="T1919" i="7"/>
  <c r="T1920" i="7"/>
  <c r="T1921" i="7"/>
  <c r="T1922" i="7"/>
  <c r="T1923" i="7"/>
  <c r="T1924" i="7"/>
  <c r="T1925" i="7"/>
  <c r="T1926" i="7"/>
  <c r="T1927" i="7"/>
  <c r="T1928" i="7"/>
  <c r="T1929" i="7"/>
  <c r="T1930" i="7"/>
  <c r="T1931" i="7"/>
  <c r="T1932" i="7"/>
  <c r="T1933" i="7"/>
  <c r="T1934" i="7"/>
  <c r="T1935" i="7"/>
  <c r="T1936" i="7"/>
  <c r="T1937" i="7"/>
  <c r="T1938" i="7"/>
  <c r="T1939" i="7"/>
  <c r="T1940" i="7"/>
  <c r="T1941" i="7"/>
  <c r="T1942" i="7"/>
  <c r="T1943" i="7"/>
  <c r="T1944" i="7"/>
  <c r="T1945" i="7"/>
  <c r="T1946" i="7"/>
  <c r="T1947" i="7"/>
  <c r="T1948" i="7"/>
  <c r="T1949" i="7"/>
  <c r="T1950" i="7"/>
  <c r="T1951" i="7"/>
  <c r="T1952" i="7"/>
  <c r="T1953" i="7"/>
  <c r="T1954" i="7"/>
  <c r="T1955" i="7"/>
  <c r="T1956" i="7"/>
  <c r="T1957" i="7"/>
  <c r="T1958" i="7"/>
  <c r="T1959" i="7"/>
  <c r="T1960" i="7"/>
  <c r="T1961" i="7"/>
  <c r="T1962" i="7"/>
  <c r="T1963" i="7"/>
  <c r="T1964" i="7"/>
  <c r="T1965" i="7"/>
  <c r="T1966" i="7"/>
  <c r="T1967" i="7"/>
  <c r="T1968" i="7"/>
  <c r="T1969" i="7"/>
  <c r="T1970" i="7"/>
  <c r="T1971" i="7"/>
  <c r="T1972" i="7"/>
  <c r="T1973" i="7"/>
  <c r="T1974" i="7"/>
  <c r="T1975" i="7"/>
  <c r="T1976" i="7"/>
  <c r="T1977" i="7"/>
  <c r="T1978" i="7"/>
  <c r="T1979" i="7"/>
  <c r="T1980" i="7"/>
  <c r="T1981" i="7"/>
  <c r="T1982" i="7"/>
  <c r="T1983" i="7"/>
  <c r="T1984" i="7"/>
  <c r="T1985" i="7"/>
  <c r="T1986" i="7"/>
  <c r="T1987" i="7"/>
  <c r="T1988" i="7"/>
  <c r="T1989" i="7"/>
  <c r="T1990" i="7"/>
  <c r="T1991" i="7"/>
  <c r="T1992" i="7"/>
  <c r="T1993" i="7"/>
  <c r="T1994" i="7"/>
  <c r="T1995" i="7"/>
  <c r="T1996" i="7"/>
  <c r="T1997" i="7"/>
  <c r="T1998" i="7"/>
  <c r="T1999" i="7"/>
  <c r="T2000" i="7"/>
  <c r="T2001" i="7"/>
  <c r="T2002" i="7"/>
  <c r="T2003" i="7"/>
  <c r="T2004" i="7"/>
  <c r="T2005" i="7"/>
  <c r="T2006" i="7"/>
  <c r="T2007" i="7"/>
  <c r="T2008" i="7"/>
  <c r="T2009" i="7"/>
  <c r="T2010" i="7"/>
  <c r="T2011" i="7"/>
  <c r="T2012" i="7"/>
  <c r="T2013" i="7"/>
  <c r="T2014" i="7"/>
  <c r="T2015" i="7"/>
  <c r="T2016" i="7"/>
  <c r="T2017" i="7"/>
  <c r="T2018" i="7"/>
  <c r="T2019" i="7"/>
  <c r="T2020" i="7"/>
  <c r="T2021" i="7"/>
  <c r="T2022" i="7"/>
  <c r="T2023" i="7"/>
  <c r="T2024" i="7"/>
  <c r="T2025" i="7"/>
  <c r="T2026" i="7"/>
  <c r="T2027" i="7"/>
  <c r="T2028" i="7"/>
  <c r="T2029" i="7"/>
  <c r="T2030" i="7"/>
  <c r="T2031" i="7"/>
  <c r="T2032" i="7"/>
  <c r="T2033" i="7"/>
  <c r="T2034" i="7"/>
  <c r="T2035" i="7"/>
  <c r="T2036" i="7"/>
  <c r="T2037" i="7"/>
  <c r="T2038" i="7"/>
  <c r="T2039" i="7"/>
  <c r="T2040" i="7"/>
  <c r="T2041" i="7"/>
  <c r="T2042" i="7"/>
  <c r="T2043" i="7"/>
  <c r="T2044" i="7"/>
  <c r="T2045" i="7"/>
  <c r="T2046" i="7"/>
  <c r="T2047" i="7"/>
  <c r="T2048" i="7"/>
  <c r="T2049" i="7"/>
  <c r="T2050" i="7"/>
  <c r="T2051" i="7"/>
  <c r="T2052" i="7"/>
  <c r="T2053" i="7"/>
  <c r="T2054" i="7"/>
  <c r="T2055" i="7"/>
  <c r="T2056" i="7"/>
  <c r="T2057" i="7"/>
  <c r="T2058" i="7"/>
  <c r="T2059" i="7"/>
  <c r="T2060" i="7"/>
  <c r="T2061" i="7"/>
  <c r="T2062" i="7"/>
  <c r="T2063" i="7"/>
  <c r="T2064" i="7"/>
  <c r="T2065" i="7"/>
  <c r="T2066" i="7"/>
  <c r="T2067" i="7"/>
  <c r="T2068" i="7"/>
  <c r="T2069" i="7"/>
  <c r="T2070" i="7"/>
  <c r="T2071" i="7"/>
  <c r="T2072" i="7"/>
  <c r="T2073" i="7"/>
  <c r="T2074" i="7"/>
  <c r="T2075" i="7"/>
  <c r="T2076" i="7"/>
  <c r="T2077" i="7"/>
  <c r="T2078" i="7"/>
  <c r="T2079" i="7"/>
  <c r="T2080" i="7"/>
  <c r="T2081" i="7"/>
  <c r="T2082" i="7"/>
  <c r="T2083" i="7"/>
  <c r="T2084" i="7"/>
  <c r="T2085" i="7"/>
  <c r="T2086" i="7"/>
  <c r="T2087" i="7"/>
  <c r="T2088" i="7"/>
  <c r="T2089" i="7"/>
  <c r="T2090" i="7"/>
  <c r="T2091" i="7"/>
  <c r="T2092" i="7"/>
  <c r="T2093" i="7"/>
  <c r="T2094" i="7"/>
  <c r="T2095" i="7"/>
  <c r="T2096" i="7"/>
  <c r="T2097" i="7"/>
  <c r="T2098" i="7"/>
  <c r="T2099" i="7"/>
  <c r="T2100" i="7"/>
  <c r="T2101" i="7"/>
  <c r="T2102" i="7"/>
  <c r="T2103" i="7"/>
  <c r="T2104" i="7"/>
  <c r="T2105" i="7"/>
  <c r="T2106" i="7"/>
  <c r="T2107" i="7"/>
  <c r="T2108" i="7"/>
  <c r="T2109" i="7"/>
  <c r="T2110" i="7"/>
  <c r="T2111" i="7"/>
  <c r="T2112" i="7"/>
  <c r="T2113" i="7"/>
  <c r="T2114" i="7"/>
  <c r="T2115" i="7"/>
  <c r="T2116" i="7"/>
  <c r="T2117" i="7"/>
  <c r="T2118" i="7"/>
  <c r="T2119" i="7"/>
  <c r="T2120" i="7"/>
  <c r="T2121" i="7"/>
  <c r="T2122" i="7"/>
  <c r="T2123" i="7"/>
  <c r="T2124" i="7"/>
  <c r="T2125" i="7"/>
  <c r="T2126" i="7"/>
  <c r="T2127" i="7"/>
  <c r="T2128" i="7"/>
  <c r="T2129" i="7"/>
  <c r="T2130" i="7"/>
  <c r="T2131" i="7"/>
  <c r="T2132" i="7"/>
  <c r="T2133" i="7"/>
  <c r="T2134" i="7"/>
  <c r="T2135" i="7"/>
  <c r="T2136" i="7"/>
  <c r="T2137" i="7"/>
  <c r="T2138" i="7"/>
  <c r="T2139" i="7"/>
  <c r="T2140" i="7"/>
  <c r="T2141" i="7"/>
  <c r="T2142" i="7"/>
  <c r="T2143" i="7"/>
  <c r="T2144" i="7"/>
  <c r="T2145" i="7"/>
  <c r="T2146" i="7"/>
  <c r="T2147" i="7"/>
  <c r="T2148" i="7"/>
  <c r="T2149" i="7"/>
  <c r="T2150" i="7"/>
  <c r="T2151" i="7"/>
  <c r="T2152" i="7"/>
  <c r="T2153" i="7"/>
  <c r="T2154" i="7"/>
  <c r="T2155" i="7"/>
  <c r="T2156" i="7"/>
  <c r="T2157" i="7"/>
  <c r="T2158" i="7"/>
  <c r="T2159" i="7"/>
  <c r="T2160" i="7"/>
  <c r="T2161" i="7"/>
  <c r="T2162" i="7"/>
  <c r="T2163" i="7"/>
  <c r="T2164" i="7"/>
  <c r="T2165" i="7"/>
  <c r="T2166" i="7"/>
  <c r="T2167" i="7"/>
  <c r="T2168" i="7"/>
  <c r="T2169" i="7"/>
  <c r="T2170" i="7"/>
  <c r="T2171" i="7"/>
  <c r="T2172" i="7"/>
  <c r="T2173" i="7"/>
  <c r="T2174" i="7"/>
  <c r="T2175" i="7"/>
  <c r="T2176" i="7"/>
  <c r="T2177" i="7"/>
  <c r="T2178" i="7"/>
  <c r="T2179" i="7"/>
  <c r="T2180" i="7"/>
  <c r="T2181" i="7"/>
  <c r="T2182" i="7"/>
  <c r="T2183" i="7"/>
  <c r="T2184" i="7"/>
  <c r="T2185" i="7"/>
  <c r="T2186" i="7"/>
  <c r="T2187" i="7"/>
  <c r="T2188" i="7"/>
  <c r="T2189" i="7"/>
  <c r="T2190" i="7"/>
  <c r="T2191" i="7"/>
  <c r="T2192" i="7"/>
  <c r="T2193" i="7"/>
  <c r="T2194" i="7"/>
  <c r="T2195" i="7"/>
  <c r="T2196" i="7"/>
  <c r="T2197" i="7"/>
  <c r="T2198" i="7"/>
  <c r="T2199" i="7"/>
  <c r="T2200" i="7"/>
  <c r="T2201" i="7"/>
  <c r="T2202" i="7"/>
  <c r="T2203" i="7"/>
  <c r="T2204" i="7"/>
  <c r="T2205" i="7"/>
  <c r="T2206" i="7"/>
  <c r="T2207" i="7"/>
  <c r="T2208" i="7"/>
  <c r="T2209" i="7"/>
  <c r="T2210" i="7"/>
  <c r="T2211" i="7"/>
  <c r="T2212" i="7"/>
  <c r="T2213" i="7"/>
  <c r="T2214" i="7"/>
  <c r="T2215" i="7"/>
  <c r="T2216" i="7"/>
  <c r="T2217" i="7"/>
  <c r="T2218" i="7"/>
  <c r="T2219" i="7"/>
  <c r="T2220" i="7"/>
  <c r="T2221" i="7"/>
  <c r="T2222" i="7"/>
  <c r="T2223" i="7"/>
  <c r="T2224" i="7"/>
  <c r="T2225" i="7"/>
  <c r="T2226" i="7"/>
  <c r="T2227" i="7"/>
  <c r="T2228" i="7"/>
  <c r="T2229" i="7"/>
  <c r="T2230" i="7"/>
  <c r="T2231" i="7"/>
  <c r="T2232" i="7"/>
  <c r="T2233" i="7"/>
  <c r="T2234" i="7"/>
  <c r="T2235" i="7"/>
  <c r="T2236" i="7"/>
  <c r="T2237" i="7"/>
  <c r="T2238" i="7"/>
  <c r="T2239" i="7"/>
  <c r="T2240" i="7"/>
  <c r="T2241" i="7"/>
  <c r="T2242" i="7"/>
  <c r="T2243" i="7"/>
  <c r="T2244" i="7"/>
  <c r="T2245" i="7"/>
  <c r="T2246" i="7"/>
  <c r="T2247" i="7"/>
  <c r="T2248" i="7"/>
  <c r="T2249" i="7"/>
  <c r="T2250" i="7"/>
  <c r="T2251" i="7"/>
  <c r="T2252" i="7"/>
  <c r="T2253" i="7"/>
  <c r="T2254" i="7"/>
  <c r="T2255" i="7"/>
  <c r="T2256" i="7"/>
  <c r="T2257" i="7"/>
  <c r="T2258" i="7"/>
  <c r="T2259" i="7"/>
  <c r="T2260" i="7"/>
  <c r="T2261" i="7"/>
  <c r="T2262" i="7"/>
  <c r="T2263" i="7"/>
  <c r="T2264" i="7"/>
  <c r="T2265" i="7"/>
  <c r="T2266" i="7"/>
  <c r="T2267" i="7"/>
  <c r="T2268" i="7"/>
  <c r="T2269" i="7"/>
  <c r="T2270" i="7"/>
  <c r="T2271" i="7"/>
  <c r="T2272" i="7"/>
  <c r="T2273" i="7"/>
  <c r="T2274" i="7"/>
  <c r="T2275" i="7"/>
  <c r="T2276" i="7"/>
  <c r="T2277" i="7"/>
  <c r="T2278" i="7"/>
  <c r="T2279" i="7"/>
  <c r="T2280" i="7"/>
  <c r="T2281" i="7"/>
  <c r="T2282" i="7"/>
  <c r="T2283" i="7"/>
  <c r="T2284" i="7"/>
  <c r="T2285" i="7"/>
  <c r="T2286" i="7"/>
  <c r="T2287" i="7"/>
  <c r="T2288" i="7"/>
  <c r="T2289" i="7"/>
  <c r="T2290" i="7"/>
  <c r="T2291" i="7"/>
  <c r="T2292" i="7"/>
  <c r="T2293" i="7"/>
  <c r="T2294" i="7"/>
  <c r="T2295" i="7"/>
  <c r="T2296" i="7"/>
  <c r="T2297" i="7"/>
  <c r="T2298" i="7"/>
  <c r="T2299" i="7"/>
  <c r="T2300" i="7"/>
  <c r="T2301" i="7"/>
  <c r="T2302" i="7"/>
  <c r="T2303" i="7"/>
  <c r="T2304" i="7"/>
  <c r="T2305" i="7"/>
  <c r="T2306" i="7"/>
  <c r="T2307" i="7"/>
  <c r="T2308" i="7"/>
  <c r="T2309" i="7"/>
  <c r="T2310" i="7"/>
  <c r="T2311" i="7"/>
  <c r="T2312" i="7"/>
  <c r="T2313" i="7"/>
  <c r="T2314" i="7"/>
  <c r="T2315" i="7"/>
  <c r="T2316" i="7"/>
  <c r="T2317" i="7"/>
  <c r="T2318" i="7"/>
  <c r="T2319" i="7"/>
  <c r="T2320" i="7"/>
  <c r="T2321" i="7"/>
  <c r="T2322" i="7"/>
  <c r="T2323" i="7"/>
  <c r="T2324" i="7"/>
  <c r="T2325" i="7"/>
  <c r="T2326" i="7"/>
  <c r="T2327" i="7"/>
  <c r="T2328" i="7"/>
  <c r="T2329" i="7"/>
  <c r="T2330" i="7"/>
  <c r="T2331" i="7"/>
  <c r="T2332" i="7"/>
  <c r="T2333" i="7"/>
  <c r="T2334" i="7"/>
  <c r="T2335" i="7"/>
  <c r="T2336" i="7"/>
  <c r="T2337" i="7"/>
  <c r="T2338" i="7"/>
  <c r="T2339" i="7"/>
  <c r="T2340" i="7"/>
  <c r="T2341" i="7"/>
  <c r="T2342" i="7"/>
  <c r="T2343" i="7"/>
  <c r="T2344" i="7"/>
  <c r="T2345" i="7"/>
  <c r="T2346" i="7"/>
  <c r="T2347" i="7"/>
  <c r="T2348" i="7"/>
  <c r="T2349" i="7"/>
  <c r="T2350" i="7"/>
  <c r="T2351" i="7"/>
  <c r="T2352" i="7"/>
  <c r="T2353" i="7"/>
  <c r="T2354" i="7"/>
  <c r="T2355" i="7"/>
  <c r="T2356" i="7"/>
  <c r="T2357" i="7"/>
  <c r="T2358" i="7"/>
  <c r="T2359" i="7"/>
  <c r="T2360" i="7"/>
  <c r="T2361" i="7"/>
  <c r="T2362" i="7"/>
  <c r="T2363" i="7"/>
  <c r="T2364" i="7"/>
  <c r="T2365" i="7"/>
  <c r="T2366" i="7"/>
  <c r="T2367" i="7"/>
  <c r="T2368" i="7"/>
  <c r="T2369" i="7"/>
  <c r="T2370" i="7"/>
  <c r="T2371" i="7"/>
  <c r="T2372" i="7"/>
  <c r="T2373" i="7"/>
  <c r="T2374" i="7"/>
  <c r="T2375" i="7"/>
  <c r="T2376" i="7"/>
  <c r="T2377" i="7"/>
  <c r="T2378" i="7"/>
  <c r="T2379" i="7"/>
  <c r="T2380" i="7"/>
  <c r="T2381" i="7"/>
  <c r="T2382" i="7"/>
  <c r="T2383" i="7"/>
  <c r="T2384" i="7"/>
  <c r="T2385" i="7"/>
  <c r="T2386" i="7"/>
  <c r="T2387" i="7"/>
  <c r="T2388" i="7"/>
  <c r="T2389" i="7"/>
  <c r="T2390" i="7"/>
  <c r="T2391" i="7"/>
  <c r="T2392" i="7"/>
  <c r="T2393" i="7"/>
  <c r="T2394" i="7"/>
  <c r="T2395" i="7"/>
  <c r="T2396" i="7"/>
  <c r="T2397" i="7"/>
  <c r="T2398" i="7"/>
  <c r="T2399" i="7"/>
  <c r="T2400" i="7"/>
  <c r="T2401" i="7"/>
  <c r="T2402" i="7"/>
  <c r="T2403" i="7"/>
  <c r="T2404" i="7"/>
  <c r="T2405" i="7"/>
  <c r="T2406" i="7"/>
  <c r="T2407" i="7"/>
  <c r="T2408" i="7"/>
  <c r="T2409" i="7"/>
  <c r="T2410" i="7"/>
  <c r="T2411" i="7"/>
  <c r="T2412" i="7"/>
  <c r="T2413" i="7"/>
  <c r="T2414" i="7"/>
  <c r="T2415" i="7"/>
  <c r="T2416" i="7"/>
  <c r="T2417" i="7"/>
  <c r="T2418" i="7"/>
  <c r="T2419" i="7"/>
  <c r="T2420" i="7"/>
  <c r="T2421" i="7"/>
  <c r="T2422" i="7"/>
  <c r="T2423" i="7"/>
  <c r="T2424" i="7"/>
  <c r="T2425" i="7"/>
  <c r="T2426" i="7"/>
  <c r="T2427" i="7"/>
  <c r="T2428" i="7"/>
  <c r="T2429" i="7"/>
  <c r="T2430" i="7"/>
  <c r="T2431" i="7"/>
  <c r="T2432" i="7"/>
  <c r="T2433" i="7"/>
  <c r="T2434" i="7"/>
  <c r="T2435" i="7"/>
  <c r="T2436" i="7"/>
  <c r="T2437" i="7"/>
  <c r="T2438" i="7"/>
  <c r="T2439" i="7"/>
  <c r="T2440" i="7"/>
  <c r="T2441" i="7"/>
  <c r="T2442" i="7"/>
  <c r="T2443" i="7"/>
  <c r="T2444" i="7"/>
  <c r="T2445" i="7"/>
  <c r="T2446" i="7"/>
  <c r="T2447" i="7"/>
  <c r="T2448" i="7"/>
  <c r="T2449" i="7"/>
  <c r="T2450" i="7"/>
  <c r="T2451" i="7"/>
  <c r="T2452" i="7"/>
  <c r="T2453" i="7"/>
  <c r="T2454" i="7"/>
  <c r="T2455" i="7"/>
  <c r="T2456" i="7"/>
  <c r="T2457" i="7"/>
  <c r="T2458" i="7"/>
  <c r="T2459" i="7"/>
  <c r="T2460" i="7"/>
  <c r="T2461" i="7"/>
  <c r="T2462" i="7"/>
  <c r="T2463" i="7"/>
  <c r="T2464" i="7"/>
  <c r="T2465" i="7"/>
  <c r="T2466" i="7"/>
  <c r="T2467" i="7"/>
  <c r="T2468" i="7"/>
  <c r="T2469" i="7"/>
  <c r="T2470" i="7"/>
  <c r="T2471" i="7"/>
  <c r="T2472" i="7"/>
  <c r="T2473" i="7"/>
  <c r="T2474" i="7"/>
  <c r="T2475" i="7"/>
  <c r="T2476" i="7"/>
  <c r="T2477" i="7"/>
  <c r="T2478" i="7"/>
  <c r="T2479" i="7"/>
  <c r="T2480" i="7"/>
  <c r="T2481" i="7"/>
  <c r="T2482" i="7"/>
  <c r="T2483" i="7"/>
  <c r="T2484" i="7"/>
  <c r="T2485" i="7"/>
  <c r="R2" i="7"/>
  <c r="R3" i="7"/>
  <c r="Y3" i="7" s="1" a="1"/>
  <c r="R4" i="7"/>
  <c r="Y4" i="7" s="1" a="1"/>
  <c r="R5" i="7"/>
  <c r="Y5" i="7" s="1" a="1"/>
  <c r="R6" i="7"/>
  <c r="Y6" i="7" s="1" a="1"/>
  <c r="R7" i="7"/>
  <c r="Y7" i="7" s="1" a="1"/>
  <c r="R8" i="7"/>
  <c r="Y8" i="7" s="1" a="1"/>
  <c r="R9" i="7"/>
  <c r="Y9" i="7" s="1" a="1"/>
  <c r="R10" i="7"/>
  <c r="Y10" i="7" s="1" a="1"/>
  <c r="R11" i="7"/>
  <c r="Y11" i="7" s="1" a="1"/>
  <c r="R12" i="7"/>
  <c r="Y12" i="7" s="1" a="1"/>
  <c r="R13" i="7"/>
  <c r="Y13" i="7" s="1" a="1"/>
  <c r="R14" i="7"/>
  <c r="Y14" i="7" s="1" a="1"/>
  <c r="R15" i="7"/>
  <c r="Y15" i="7" s="1" a="1"/>
  <c r="R16" i="7"/>
  <c r="Y16" i="7" s="1" a="1"/>
  <c r="R17" i="7"/>
  <c r="Y17" i="7" s="1" a="1"/>
  <c r="R18" i="7"/>
  <c r="Y18" i="7" s="1" a="1"/>
  <c r="R19" i="7"/>
  <c r="Y19" i="7" s="1" a="1"/>
  <c r="R20" i="7"/>
  <c r="Y20" i="7" s="1" a="1"/>
  <c r="R21" i="7"/>
  <c r="Y21" i="7" s="1" a="1"/>
  <c r="R22" i="7"/>
  <c r="Y22" i="7" s="1" a="1"/>
  <c r="R23" i="7"/>
  <c r="Y23" i="7" s="1" a="1"/>
  <c r="R24" i="7"/>
  <c r="Y24" i="7" s="1" a="1"/>
  <c r="R25" i="7"/>
  <c r="Y25" i="7" s="1" a="1"/>
  <c r="R26" i="7"/>
  <c r="Y26" i="7" s="1" a="1"/>
  <c r="R27" i="7"/>
  <c r="Y27" i="7" s="1" a="1"/>
  <c r="R28" i="7"/>
  <c r="Y28" i="7" s="1" a="1"/>
  <c r="R29" i="7"/>
  <c r="Y29" i="7" s="1" a="1"/>
  <c r="R30" i="7"/>
  <c r="Y30" i="7" s="1" a="1"/>
  <c r="R31" i="7"/>
  <c r="Y31" i="7" s="1" a="1"/>
  <c r="R32" i="7"/>
  <c r="Y32" i="7" s="1" a="1"/>
  <c r="R33" i="7"/>
  <c r="Y33" i="7" s="1" a="1"/>
  <c r="R34" i="7"/>
  <c r="Y34" i="7" s="1" a="1"/>
  <c r="R35" i="7"/>
  <c r="Y35" i="7" s="1" a="1"/>
  <c r="R36" i="7"/>
  <c r="Y36" i="7" s="1" a="1"/>
  <c r="R37" i="7"/>
  <c r="Y37" i="7" s="1" a="1"/>
  <c r="R38" i="7"/>
  <c r="Y38" i="7" s="1" a="1"/>
  <c r="R39" i="7"/>
  <c r="Y39" i="7" s="1" a="1"/>
  <c r="R40" i="7"/>
  <c r="Y40" i="7" s="1" a="1"/>
  <c r="R41" i="7"/>
  <c r="Y41" i="7" s="1" a="1"/>
  <c r="R42" i="7"/>
  <c r="Y42" i="7" s="1" a="1"/>
  <c r="R43" i="7"/>
  <c r="Y43" i="7" s="1" a="1"/>
  <c r="R44" i="7"/>
  <c r="Y44" i="7" s="1" a="1"/>
  <c r="R45" i="7"/>
  <c r="Y45" i="7" s="1" a="1"/>
  <c r="R46" i="7"/>
  <c r="Y46" i="7" s="1" a="1"/>
  <c r="R47" i="7"/>
  <c r="Y47" i="7" s="1" a="1"/>
  <c r="R48" i="7"/>
  <c r="Y48" i="7" s="1" a="1"/>
  <c r="R49" i="7"/>
  <c r="Y49" i="7" s="1" a="1"/>
  <c r="R50" i="7"/>
  <c r="Y50" i="7" s="1" a="1"/>
  <c r="R51" i="7"/>
  <c r="Y51" i="7" s="1" a="1"/>
  <c r="R52" i="7"/>
  <c r="Y52" i="7" s="1" a="1"/>
  <c r="R53" i="7"/>
  <c r="Y53" i="7" s="1" a="1"/>
  <c r="R54" i="7"/>
  <c r="Y54" i="7" s="1" a="1"/>
  <c r="R55" i="7"/>
  <c r="Y55" i="7" s="1" a="1"/>
  <c r="R56" i="7"/>
  <c r="Y56" i="7" s="1" a="1"/>
  <c r="R57" i="7"/>
  <c r="Y57" i="7" s="1" a="1"/>
  <c r="R58" i="7"/>
  <c r="Y58" i="7" s="1" a="1"/>
  <c r="R59" i="7"/>
  <c r="Y59" i="7" s="1" a="1"/>
  <c r="R60" i="7"/>
  <c r="Y60" i="7" s="1" a="1"/>
  <c r="R61" i="7"/>
  <c r="Y61" i="7" s="1" a="1"/>
  <c r="R62" i="7"/>
  <c r="Y62" i="7" s="1" a="1"/>
  <c r="R63" i="7"/>
  <c r="Y63" i="7" s="1" a="1"/>
  <c r="R64" i="7"/>
  <c r="Y64" i="7" s="1" a="1"/>
  <c r="R65" i="7"/>
  <c r="Y65" i="7" s="1" a="1"/>
  <c r="R66" i="7"/>
  <c r="Y66" i="7" s="1" a="1"/>
  <c r="R67" i="7"/>
  <c r="Y67" i="7" s="1" a="1"/>
  <c r="R68" i="7"/>
  <c r="Y68" i="7" s="1" a="1"/>
  <c r="R69" i="7"/>
  <c r="Y69" i="7" s="1" a="1"/>
  <c r="R70" i="7"/>
  <c r="Y70" i="7" s="1" a="1"/>
  <c r="R71" i="7"/>
  <c r="Y71" i="7" s="1" a="1"/>
  <c r="R72" i="7"/>
  <c r="Y72" i="7" s="1" a="1"/>
  <c r="R73" i="7"/>
  <c r="Y73" i="7" s="1" a="1"/>
  <c r="R74" i="7"/>
  <c r="Y74" i="7" s="1" a="1"/>
  <c r="R75" i="7"/>
  <c r="Y75" i="7" s="1" a="1"/>
  <c r="R76" i="7"/>
  <c r="Y76" i="7" s="1" a="1"/>
  <c r="R77" i="7"/>
  <c r="Y77" i="7" s="1" a="1"/>
  <c r="R78" i="7"/>
  <c r="Y78" i="7" s="1" a="1"/>
  <c r="R79" i="7"/>
  <c r="Y79" i="7" s="1" a="1"/>
  <c r="R80" i="7"/>
  <c r="Y80" i="7" s="1" a="1"/>
  <c r="R81" i="7"/>
  <c r="Y81" i="7" s="1" a="1"/>
  <c r="R82" i="7"/>
  <c r="Y82" i="7" s="1" a="1"/>
  <c r="R83" i="7"/>
  <c r="Y83" i="7" s="1" a="1"/>
  <c r="R84" i="7"/>
  <c r="Y84" i="7" s="1" a="1"/>
  <c r="R85" i="7"/>
  <c r="Y85" i="7" s="1" a="1"/>
  <c r="R86" i="7"/>
  <c r="Y86" i="7" s="1" a="1"/>
  <c r="R87" i="7"/>
  <c r="Y87" i="7" s="1" a="1"/>
  <c r="R88" i="7"/>
  <c r="Y88" i="7" s="1" a="1"/>
  <c r="R89" i="7"/>
  <c r="Y89" i="7" s="1" a="1"/>
  <c r="R90" i="7"/>
  <c r="Y90" i="7" s="1" a="1"/>
  <c r="R91" i="7"/>
  <c r="Y91" i="7" s="1" a="1"/>
  <c r="R92" i="7"/>
  <c r="Y92" i="7" s="1" a="1"/>
  <c r="R93" i="7"/>
  <c r="Y93" i="7" s="1" a="1"/>
  <c r="R94" i="7"/>
  <c r="Y94" i="7" s="1" a="1"/>
  <c r="R95" i="7"/>
  <c r="Y95" i="7" s="1" a="1"/>
  <c r="R96" i="7"/>
  <c r="Y96" i="7" s="1" a="1"/>
  <c r="R97" i="7"/>
  <c r="Y97" i="7" s="1" a="1"/>
  <c r="R98" i="7"/>
  <c r="Y98" i="7" s="1" a="1"/>
  <c r="R99" i="7"/>
  <c r="Y99" i="7" s="1" a="1"/>
  <c r="R100" i="7"/>
  <c r="Y100" i="7" s="1" a="1"/>
  <c r="R101" i="7"/>
  <c r="Y101" i="7" s="1" a="1"/>
  <c r="R102" i="7"/>
  <c r="Y102" i="7" s="1" a="1"/>
  <c r="R103" i="7"/>
  <c r="Y103" i="7" s="1" a="1"/>
  <c r="R104" i="7"/>
  <c r="Y104" i="7" s="1" a="1"/>
  <c r="R105" i="7"/>
  <c r="Y105" i="7" s="1" a="1"/>
  <c r="R106" i="7"/>
  <c r="Y106" i="7" s="1" a="1"/>
  <c r="R107" i="7"/>
  <c r="Y107" i="7" s="1" a="1"/>
  <c r="R108" i="7"/>
  <c r="Y108" i="7" s="1" a="1"/>
  <c r="R109" i="7"/>
  <c r="Y109" i="7" s="1" a="1"/>
  <c r="R110" i="7"/>
  <c r="Y110" i="7" s="1" a="1"/>
  <c r="R111" i="7"/>
  <c r="Y111" i="7" s="1" a="1"/>
  <c r="R112" i="7"/>
  <c r="Y112" i="7" s="1" a="1"/>
  <c r="R113" i="7"/>
  <c r="Y113" i="7" s="1" a="1"/>
  <c r="R114" i="7"/>
  <c r="Y114" i="7" s="1" a="1"/>
  <c r="R115" i="7"/>
  <c r="Y115" i="7" s="1" a="1"/>
  <c r="R116" i="7"/>
  <c r="Y116" i="7" s="1" a="1"/>
  <c r="R117" i="7"/>
  <c r="Y117" i="7" s="1" a="1"/>
  <c r="R118" i="7"/>
  <c r="Y118" i="7" s="1" a="1"/>
  <c r="R119" i="7"/>
  <c r="Y119" i="7" s="1" a="1"/>
  <c r="R120" i="7"/>
  <c r="Y120" i="7" s="1" a="1"/>
  <c r="R121" i="7"/>
  <c r="Y121" i="7" s="1" a="1"/>
  <c r="R122" i="7"/>
  <c r="Y122" i="7" s="1" a="1"/>
  <c r="R123" i="7"/>
  <c r="Y123" i="7" s="1" a="1"/>
  <c r="R124" i="7"/>
  <c r="Y124" i="7" s="1" a="1"/>
  <c r="R125" i="7"/>
  <c r="Y125" i="7" s="1" a="1"/>
  <c r="R126" i="7"/>
  <c r="Y126" i="7" s="1" a="1"/>
  <c r="R127" i="7"/>
  <c r="Y127" i="7" s="1" a="1"/>
  <c r="R128" i="7"/>
  <c r="Y128" i="7" s="1" a="1"/>
  <c r="R129" i="7"/>
  <c r="Y129" i="7" s="1" a="1"/>
  <c r="R130" i="7"/>
  <c r="Y130" i="7" s="1" a="1"/>
  <c r="R131" i="7"/>
  <c r="Y131" i="7" s="1" a="1"/>
  <c r="R132" i="7"/>
  <c r="Y132" i="7" s="1" a="1"/>
  <c r="R133" i="7"/>
  <c r="Y133" i="7" s="1" a="1"/>
  <c r="R134" i="7"/>
  <c r="Y134" i="7" s="1" a="1"/>
  <c r="R135" i="7"/>
  <c r="Y135" i="7" s="1" a="1"/>
  <c r="R136" i="7"/>
  <c r="Y136" i="7" s="1" a="1"/>
  <c r="R137" i="7"/>
  <c r="Y137" i="7" s="1" a="1"/>
  <c r="R138" i="7"/>
  <c r="Y138" i="7" s="1" a="1"/>
  <c r="R139" i="7"/>
  <c r="Y139" i="7" s="1" a="1"/>
  <c r="R140" i="7"/>
  <c r="Y140" i="7" s="1" a="1"/>
  <c r="R141" i="7"/>
  <c r="Y141" i="7" s="1" a="1"/>
  <c r="R142" i="7"/>
  <c r="Y142" i="7" s="1" a="1"/>
  <c r="R143" i="7"/>
  <c r="Y143" i="7" s="1" a="1"/>
  <c r="R144" i="7"/>
  <c r="Y144" i="7" s="1" a="1"/>
  <c r="R145" i="7"/>
  <c r="Y145" i="7" s="1" a="1"/>
  <c r="R146" i="7"/>
  <c r="Y146" i="7" s="1" a="1"/>
  <c r="R147" i="7"/>
  <c r="Y147" i="7" s="1" a="1"/>
  <c r="R148" i="7"/>
  <c r="Y148" i="7" s="1" a="1"/>
  <c r="R149" i="7"/>
  <c r="Y149" i="7" s="1" a="1"/>
  <c r="R150" i="7"/>
  <c r="Y150" i="7" s="1" a="1"/>
  <c r="R151" i="7"/>
  <c r="Y151" i="7" s="1" a="1"/>
  <c r="R152" i="7"/>
  <c r="Y152" i="7" s="1" a="1"/>
  <c r="R153" i="7"/>
  <c r="Y153" i="7" s="1" a="1"/>
  <c r="R154" i="7"/>
  <c r="Y154" i="7" s="1" a="1"/>
  <c r="R155" i="7"/>
  <c r="Y155" i="7" s="1" a="1"/>
  <c r="R156" i="7"/>
  <c r="Y156" i="7" s="1" a="1"/>
  <c r="R157" i="7"/>
  <c r="Y157" i="7" s="1" a="1"/>
  <c r="R158" i="7"/>
  <c r="Y158" i="7" s="1" a="1"/>
  <c r="R159" i="7"/>
  <c r="Y159" i="7" s="1" a="1"/>
  <c r="R160" i="7"/>
  <c r="Y160" i="7" s="1" a="1"/>
  <c r="R161" i="7"/>
  <c r="Y161" i="7" s="1" a="1"/>
  <c r="R162" i="7"/>
  <c r="Y162" i="7" s="1" a="1"/>
  <c r="R163" i="7"/>
  <c r="Y163" i="7" s="1" a="1"/>
  <c r="R164" i="7"/>
  <c r="Y164" i="7" s="1" a="1"/>
  <c r="R165" i="7"/>
  <c r="Y165" i="7" s="1" a="1"/>
  <c r="R166" i="7"/>
  <c r="Y166" i="7" s="1" a="1"/>
  <c r="R167" i="7"/>
  <c r="Y167" i="7" s="1" a="1"/>
  <c r="R168" i="7"/>
  <c r="Y168" i="7" s="1" a="1"/>
  <c r="R169" i="7"/>
  <c r="Y169" i="7" s="1" a="1"/>
  <c r="R170" i="7"/>
  <c r="Y170" i="7" s="1" a="1"/>
  <c r="R171" i="7"/>
  <c r="Y171" i="7" s="1" a="1"/>
  <c r="R172" i="7"/>
  <c r="Y172" i="7" s="1" a="1"/>
  <c r="R173" i="7"/>
  <c r="Y173" i="7" s="1" a="1"/>
  <c r="R174" i="7"/>
  <c r="Y174" i="7" s="1" a="1"/>
  <c r="R175" i="7"/>
  <c r="Y175" i="7" s="1" a="1"/>
  <c r="R176" i="7"/>
  <c r="Y176" i="7" s="1" a="1"/>
  <c r="R177" i="7"/>
  <c r="Y177" i="7" s="1" a="1"/>
  <c r="R178" i="7"/>
  <c r="Y178" i="7" s="1" a="1"/>
  <c r="R179" i="7"/>
  <c r="Y179" i="7" s="1" a="1"/>
  <c r="R180" i="7"/>
  <c r="Y180" i="7" s="1" a="1"/>
  <c r="R181" i="7"/>
  <c r="Y181" i="7" s="1" a="1"/>
  <c r="R182" i="7"/>
  <c r="Y182" i="7" s="1" a="1"/>
  <c r="R183" i="7"/>
  <c r="Y183" i="7" s="1" a="1"/>
  <c r="R184" i="7"/>
  <c r="Y184" i="7" s="1" a="1"/>
  <c r="R185" i="7"/>
  <c r="Y185" i="7" s="1" a="1"/>
  <c r="R186" i="7"/>
  <c r="Y186" i="7" s="1" a="1"/>
  <c r="R187" i="7"/>
  <c r="Y187" i="7" s="1" a="1"/>
  <c r="R188" i="7"/>
  <c r="Y188" i="7" s="1" a="1"/>
  <c r="R189" i="7"/>
  <c r="Y189" i="7" s="1" a="1"/>
  <c r="R190" i="7"/>
  <c r="Y190" i="7" s="1" a="1"/>
  <c r="R191" i="7"/>
  <c r="Y191" i="7" s="1" a="1"/>
  <c r="R192" i="7"/>
  <c r="Y192" i="7" s="1" a="1"/>
  <c r="R193" i="7"/>
  <c r="Y193" i="7" s="1" a="1"/>
  <c r="R194" i="7"/>
  <c r="Y194" i="7" s="1" a="1"/>
  <c r="R195" i="7"/>
  <c r="Y195" i="7" s="1" a="1"/>
  <c r="R196" i="7"/>
  <c r="Y196" i="7" s="1" a="1"/>
  <c r="R197" i="7"/>
  <c r="Y197" i="7" s="1" a="1"/>
  <c r="R198" i="7"/>
  <c r="Y198" i="7" s="1" a="1"/>
  <c r="R199" i="7"/>
  <c r="Y199" i="7" s="1" a="1"/>
  <c r="R200" i="7"/>
  <c r="Y200" i="7" s="1" a="1"/>
  <c r="R201" i="7"/>
  <c r="Y201" i="7" s="1" a="1"/>
  <c r="R202" i="7"/>
  <c r="Y202" i="7" s="1" a="1"/>
  <c r="R203" i="7"/>
  <c r="Y203" i="7" s="1" a="1"/>
  <c r="R204" i="7"/>
  <c r="Y204" i="7" s="1" a="1"/>
  <c r="R205" i="7"/>
  <c r="Y205" i="7" s="1" a="1"/>
  <c r="R206" i="7"/>
  <c r="Y206" i="7" s="1" a="1"/>
  <c r="R207" i="7"/>
  <c r="Y207" i="7" s="1" a="1"/>
  <c r="R208" i="7"/>
  <c r="Y208" i="7" s="1" a="1"/>
  <c r="R209" i="7"/>
  <c r="Y209" i="7" s="1" a="1"/>
  <c r="R210" i="7"/>
  <c r="Y210" i="7" s="1" a="1"/>
  <c r="R211" i="7"/>
  <c r="Y211" i="7" s="1" a="1"/>
  <c r="R212" i="7"/>
  <c r="Y212" i="7" s="1" a="1"/>
  <c r="R213" i="7"/>
  <c r="Y213" i="7" s="1" a="1"/>
  <c r="R214" i="7"/>
  <c r="Y214" i="7" s="1" a="1"/>
  <c r="R215" i="7"/>
  <c r="Y215" i="7" s="1" a="1"/>
  <c r="R216" i="7"/>
  <c r="Y216" i="7" s="1" a="1"/>
  <c r="R217" i="7"/>
  <c r="Y217" i="7" s="1" a="1"/>
  <c r="R218" i="7"/>
  <c r="Y218" i="7" s="1" a="1"/>
  <c r="R219" i="7"/>
  <c r="Y219" i="7" s="1" a="1"/>
  <c r="R220" i="7"/>
  <c r="Y220" i="7" s="1" a="1"/>
  <c r="R221" i="7"/>
  <c r="Y221" i="7" s="1" a="1"/>
  <c r="R222" i="7"/>
  <c r="Y222" i="7" s="1" a="1"/>
  <c r="R223" i="7"/>
  <c r="Y223" i="7" s="1" a="1"/>
  <c r="R224" i="7"/>
  <c r="Y224" i="7" s="1" a="1"/>
  <c r="R225" i="7"/>
  <c r="Y225" i="7" s="1" a="1"/>
  <c r="R226" i="7"/>
  <c r="Y226" i="7" s="1" a="1"/>
  <c r="R227" i="7"/>
  <c r="Y227" i="7" s="1" a="1"/>
  <c r="R228" i="7"/>
  <c r="Y228" i="7" s="1" a="1"/>
  <c r="R229" i="7"/>
  <c r="Y229" i="7" s="1" a="1"/>
  <c r="R230" i="7"/>
  <c r="Y230" i="7" s="1" a="1"/>
  <c r="R231" i="7"/>
  <c r="Y231" i="7" s="1" a="1"/>
  <c r="R232" i="7"/>
  <c r="Y232" i="7" s="1" a="1"/>
  <c r="R233" i="7"/>
  <c r="Y233" i="7" s="1" a="1"/>
  <c r="R234" i="7"/>
  <c r="Y234" i="7" s="1" a="1"/>
  <c r="R235" i="7"/>
  <c r="Y235" i="7" s="1" a="1"/>
  <c r="R236" i="7"/>
  <c r="Y236" i="7" s="1" a="1"/>
  <c r="R237" i="7"/>
  <c r="Y237" i="7" s="1" a="1"/>
  <c r="R238" i="7"/>
  <c r="Y238" i="7" s="1" a="1"/>
  <c r="R239" i="7"/>
  <c r="Y239" i="7" s="1" a="1"/>
  <c r="R240" i="7"/>
  <c r="Y240" i="7" s="1" a="1"/>
  <c r="R241" i="7"/>
  <c r="Y241" i="7" s="1" a="1"/>
  <c r="R242" i="7"/>
  <c r="Y242" i="7" s="1" a="1"/>
  <c r="R243" i="7"/>
  <c r="Y243" i="7" s="1" a="1"/>
  <c r="R244" i="7"/>
  <c r="Y244" i="7" s="1" a="1"/>
  <c r="R245" i="7"/>
  <c r="Y245" i="7" s="1" a="1"/>
  <c r="R246" i="7"/>
  <c r="Y246" i="7" s="1" a="1"/>
  <c r="R247" i="7"/>
  <c r="Y247" i="7" s="1" a="1"/>
  <c r="R248" i="7"/>
  <c r="Y248" i="7" s="1" a="1"/>
  <c r="R249" i="7"/>
  <c r="Y249" i="7" s="1" a="1"/>
  <c r="R250" i="7"/>
  <c r="Y250" i="7" s="1" a="1"/>
  <c r="R251" i="7"/>
  <c r="Y251" i="7" s="1" a="1"/>
  <c r="R252" i="7"/>
  <c r="Y252" i="7" s="1" a="1"/>
  <c r="R253" i="7"/>
  <c r="Y253" i="7" s="1" a="1"/>
  <c r="R254" i="7"/>
  <c r="Y254" i="7" s="1" a="1"/>
  <c r="R255" i="7"/>
  <c r="Y255" i="7" s="1" a="1"/>
  <c r="R256" i="7"/>
  <c r="Y256" i="7" s="1" a="1"/>
  <c r="R257" i="7"/>
  <c r="Y257" i="7" s="1" a="1"/>
  <c r="R258" i="7"/>
  <c r="Y258" i="7" s="1" a="1"/>
  <c r="R259" i="7"/>
  <c r="Y259" i="7" s="1" a="1"/>
  <c r="R260" i="7"/>
  <c r="Y260" i="7" s="1" a="1"/>
  <c r="R261" i="7"/>
  <c r="Y261" i="7" s="1" a="1"/>
  <c r="R262" i="7"/>
  <c r="Y262" i="7" s="1" a="1"/>
  <c r="R263" i="7"/>
  <c r="Y263" i="7" s="1" a="1"/>
  <c r="R264" i="7"/>
  <c r="Y264" i="7" s="1" a="1"/>
  <c r="R265" i="7"/>
  <c r="Y265" i="7" s="1" a="1"/>
  <c r="R266" i="7"/>
  <c r="Y266" i="7" s="1" a="1"/>
  <c r="R267" i="7"/>
  <c r="Y267" i="7" s="1" a="1"/>
  <c r="R268" i="7"/>
  <c r="Y268" i="7" s="1" a="1"/>
  <c r="R269" i="7"/>
  <c r="Y269" i="7" s="1" a="1"/>
  <c r="R270" i="7"/>
  <c r="Y270" i="7" s="1" a="1"/>
  <c r="R271" i="7"/>
  <c r="Y271" i="7" s="1" a="1"/>
  <c r="R272" i="7"/>
  <c r="Y272" i="7" s="1" a="1"/>
  <c r="R273" i="7"/>
  <c r="Y273" i="7" s="1" a="1"/>
  <c r="R274" i="7"/>
  <c r="Y274" i="7" s="1" a="1"/>
  <c r="R275" i="7"/>
  <c r="Y275" i="7" s="1" a="1"/>
  <c r="R276" i="7"/>
  <c r="Y276" i="7" s="1" a="1"/>
  <c r="R277" i="7"/>
  <c r="Y277" i="7" s="1" a="1"/>
  <c r="R278" i="7"/>
  <c r="Y278" i="7" s="1" a="1"/>
  <c r="R279" i="7"/>
  <c r="Y279" i="7" s="1" a="1"/>
  <c r="R280" i="7"/>
  <c r="Y280" i="7" s="1" a="1"/>
  <c r="R281" i="7"/>
  <c r="Y281" i="7" s="1" a="1"/>
  <c r="R282" i="7"/>
  <c r="Y282" i="7" s="1" a="1"/>
  <c r="R283" i="7"/>
  <c r="Y283" i="7" s="1" a="1"/>
  <c r="R284" i="7"/>
  <c r="Y284" i="7" s="1" a="1"/>
  <c r="R285" i="7"/>
  <c r="Y285" i="7" s="1" a="1"/>
  <c r="R286" i="7"/>
  <c r="Y286" i="7" s="1" a="1"/>
  <c r="R287" i="7"/>
  <c r="Y287" i="7" s="1" a="1"/>
  <c r="R288" i="7"/>
  <c r="Y288" i="7" s="1" a="1"/>
  <c r="R289" i="7"/>
  <c r="Y289" i="7" s="1" a="1"/>
  <c r="R290" i="7"/>
  <c r="Y290" i="7" s="1" a="1"/>
  <c r="R291" i="7"/>
  <c r="Y291" i="7" s="1" a="1"/>
  <c r="R292" i="7"/>
  <c r="Y292" i="7" s="1" a="1"/>
  <c r="R293" i="7"/>
  <c r="Y293" i="7" s="1" a="1"/>
  <c r="R294" i="7"/>
  <c r="Y294" i="7" s="1" a="1"/>
  <c r="R295" i="7"/>
  <c r="Y295" i="7" s="1" a="1"/>
  <c r="R296" i="7"/>
  <c r="Y296" i="7" s="1" a="1"/>
  <c r="R297" i="7"/>
  <c r="Y297" i="7" s="1" a="1"/>
  <c r="R298" i="7"/>
  <c r="Y298" i="7" s="1" a="1"/>
  <c r="R299" i="7"/>
  <c r="Y299" i="7" s="1" a="1"/>
  <c r="R300" i="7"/>
  <c r="Y300" i="7" s="1" a="1"/>
  <c r="R301" i="7"/>
  <c r="Y301" i="7" s="1" a="1"/>
  <c r="R302" i="7"/>
  <c r="Y302" i="7" s="1" a="1"/>
  <c r="R303" i="7"/>
  <c r="Y303" i="7" s="1" a="1"/>
  <c r="R304" i="7"/>
  <c r="Y304" i="7" s="1" a="1"/>
  <c r="R305" i="7"/>
  <c r="Y305" i="7" s="1" a="1"/>
  <c r="R306" i="7"/>
  <c r="Y306" i="7" s="1" a="1"/>
  <c r="R307" i="7"/>
  <c r="Y307" i="7" s="1" a="1"/>
  <c r="R308" i="7"/>
  <c r="Y308" i="7" s="1" a="1"/>
  <c r="R309" i="7"/>
  <c r="Y309" i="7" s="1" a="1"/>
  <c r="R310" i="7"/>
  <c r="Y310" i="7" s="1" a="1"/>
  <c r="R311" i="7"/>
  <c r="Y311" i="7" s="1" a="1"/>
  <c r="R312" i="7"/>
  <c r="Y312" i="7" s="1" a="1"/>
  <c r="R313" i="7"/>
  <c r="Y313" i="7" s="1" a="1"/>
  <c r="R314" i="7"/>
  <c r="Y314" i="7" s="1" a="1"/>
  <c r="R315" i="7"/>
  <c r="Y315" i="7" s="1" a="1"/>
  <c r="R316" i="7"/>
  <c r="Y316" i="7" s="1" a="1"/>
  <c r="R317" i="7"/>
  <c r="Y317" i="7" s="1" a="1"/>
  <c r="R318" i="7"/>
  <c r="Y318" i="7" s="1" a="1"/>
  <c r="R319" i="7"/>
  <c r="Y319" i="7" s="1" a="1"/>
  <c r="R320" i="7"/>
  <c r="Y320" i="7" s="1" a="1"/>
  <c r="R321" i="7"/>
  <c r="Y321" i="7" s="1" a="1"/>
  <c r="R322" i="7"/>
  <c r="Y322" i="7" s="1" a="1"/>
  <c r="R323" i="7"/>
  <c r="Y323" i="7" s="1" a="1"/>
  <c r="R324" i="7"/>
  <c r="Y324" i="7" s="1" a="1"/>
  <c r="R325" i="7"/>
  <c r="Y325" i="7" s="1" a="1"/>
  <c r="R326" i="7"/>
  <c r="Y326" i="7" s="1" a="1"/>
  <c r="R327" i="7"/>
  <c r="Y327" i="7" s="1" a="1"/>
  <c r="R328" i="7"/>
  <c r="Y328" i="7" s="1" a="1"/>
  <c r="R329" i="7"/>
  <c r="Y329" i="7" s="1" a="1"/>
  <c r="R330" i="7"/>
  <c r="Y330" i="7" s="1" a="1"/>
  <c r="R331" i="7"/>
  <c r="Y331" i="7" s="1" a="1"/>
  <c r="R332" i="7"/>
  <c r="Y332" i="7" s="1" a="1"/>
  <c r="R333" i="7"/>
  <c r="Y333" i="7" s="1" a="1"/>
  <c r="R334" i="7"/>
  <c r="Y334" i="7" s="1" a="1"/>
  <c r="R335" i="7"/>
  <c r="Y335" i="7" s="1" a="1"/>
  <c r="R336" i="7"/>
  <c r="Y336" i="7" s="1" a="1"/>
  <c r="R337" i="7"/>
  <c r="Y337" i="7" s="1" a="1"/>
  <c r="R338" i="7"/>
  <c r="Y338" i="7" s="1" a="1"/>
  <c r="R339" i="7"/>
  <c r="Y339" i="7" s="1" a="1"/>
  <c r="R340" i="7"/>
  <c r="Y340" i="7" s="1" a="1"/>
  <c r="R341" i="7"/>
  <c r="Y341" i="7" s="1" a="1"/>
  <c r="R342" i="7"/>
  <c r="Y342" i="7" s="1" a="1"/>
  <c r="R343" i="7"/>
  <c r="Y343" i="7" s="1" a="1"/>
  <c r="R344" i="7"/>
  <c r="Y344" i="7" s="1" a="1"/>
  <c r="R345" i="7"/>
  <c r="Y345" i="7" s="1" a="1"/>
  <c r="R346" i="7"/>
  <c r="Y346" i="7" s="1" a="1"/>
  <c r="R347" i="7"/>
  <c r="Y347" i="7" s="1" a="1"/>
  <c r="R348" i="7"/>
  <c r="Y348" i="7" s="1" a="1"/>
  <c r="R349" i="7"/>
  <c r="Y349" i="7" s="1" a="1"/>
  <c r="R350" i="7"/>
  <c r="Y350" i="7" s="1" a="1"/>
  <c r="R351" i="7"/>
  <c r="Y351" i="7" s="1" a="1"/>
  <c r="R352" i="7"/>
  <c r="Y352" i="7" s="1" a="1"/>
  <c r="R353" i="7"/>
  <c r="Y353" i="7" s="1" a="1"/>
  <c r="R354" i="7"/>
  <c r="Y354" i="7" s="1" a="1"/>
  <c r="R355" i="7"/>
  <c r="Y355" i="7" s="1" a="1"/>
  <c r="R356" i="7"/>
  <c r="Y356" i="7" s="1" a="1"/>
  <c r="R357" i="7"/>
  <c r="Y357" i="7" s="1" a="1"/>
  <c r="R358" i="7"/>
  <c r="Y358" i="7" s="1" a="1"/>
  <c r="R359" i="7"/>
  <c r="Y359" i="7" s="1" a="1"/>
  <c r="R360" i="7"/>
  <c r="Y360" i="7" s="1" a="1"/>
  <c r="R361" i="7"/>
  <c r="Y361" i="7" s="1" a="1"/>
  <c r="R362" i="7"/>
  <c r="Y362" i="7" s="1" a="1"/>
  <c r="R363" i="7"/>
  <c r="Y363" i="7" s="1" a="1"/>
  <c r="R364" i="7"/>
  <c r="Y364" i="7" s="1" a="1"/>
  <c r="R365" i="7"/>
  <c r="Y365" i="7" s="1" a="1"/>
  <c r="R366" i="7"/>
  <c r="Y366" i="7" s="1" a="1"/>
  <c r="R367" i="7"/>
  <c r="Y367" i="7" s="1" a="1"/>
  <c r="R368" i="7"/>
  <c r="Y368" i="7" s="1" a="1"/>
  <c r="R369" i="7"/>
  <c r="Y369" i="7" s="1" a="1"/>
  <c r="R370" i="7"/>
  <c r="Y370" i="7" s="1" a="1"/>
  <c r="R371" i="7"/>
  <c r="Y371" i="7" s="1" a="1"/>
  <c r="R372" i="7"/>
  <c r="Y372" i="7" s="1" a="1"/>
  <c r="R373" i="7"/>
  <c r="Y373" i="7" s="1" a="1"/>
  <c r="R374" i="7"/>
  <c r="Y374" i="7" s="1" a="1"/>
  <c r="R375" i="7"/>
  <c r="Y375" i="7" s="1" a="1"/>
  <c r="R376" i="7"/>
  <c r="Y376" i="7" s="1" a="1"/>
  <c r="R377" i="7"/>
  <c r="Y377" i="7" s="1" a="1"/>
  <c r="R378" i="7"/>
  <c r="Y378" i="7" s="1" a="1"/>
  <c r="R379" i="7"/>
  <c r="Y379" i="7" s="1" a="1"/>
  <c r="R380" i="7"/>
  <c r="Y380" i="7" s="1" a="1"/>
  <c r="R381" i="7"/>
  <c r="Y381" i="7" s="1" a="1"/>
  <c r="R382" i="7"/>
  <c r="Y382" i="7" s="1" a="1"/>
  <c r="R383" i="7"/>
  <c r="Y383" i="7" s="1" a="1"/>
  <c r="R384" i="7"/>
  <c r="Y384" i="7" s="1" a="1"/>
  <c r="R385" i="7"/>
  <c r="Y385" i="7" s="1" a="1"/>
  <c r="R386" i="7"/>
  <c r="Y386" i="7" s="1" a="1"/>
  <c r="R387" i="7"/>
  <c r="Y387" i="7" s="1" a="1"/>
  <c r="R388" i="7"/>
  <c r="Y388" i="7" s="1" a="1"/>
  <c r="R389" i="7"/>
  <c r="Y389" i="7" s="1" a="1"/>
  <c r="R390" i="7"/>
  <c r="Y390" i="7" s="1" a="1"/>
  <c r="R391" i="7"/>
  <c r="Y391" i="7" s="1" a="1"/>
  <c r="R392" i="7"/>
  <c r="Y392" i="7" s="1" a="1"/>
  <c r="R393" i="7"/>
  <c r="Y393" i="7" s="1" a="1"/>
  <c r="R394" i="7"/>
  <c r="Y394" i="7" s="1" a="1"/>
  <c r="R395" i="7"/>
  <c r="Y395" i="7" s="1" a="1"/>
  <c r="R396" i="7"/>
  <c r="Y396" i="7" s="1" a="1"/>
  <c r="R397" i="7"/>
  <c r="Y397" i="7" s="1" a="1"/>
  <c r="R398" i="7"/>
  <c r="Y398" i="7" s="1" a="1"/>
  <c r="R399" i="7"/>
  <c r="Y399" i="7" s="1" a="1"/>
  <c r="R400" i="7"/>
  <c r="Y400" i="7" s="1" a="1"/>
  <c r="R401" i="7"/>
  <c r="Y401" i="7" s="1" a="1"/>
  <c r="R402" i="7"/>
  <c r="Y402" i="7" s="1" a="1"/>
  <c r="R403" i="7"/>
  <c r="Y403" i="7" s="1" a="1"/>
  <c r="R404" i="7"/>
  <c r="Y404" i="7" s="1" a="1"/>
  <c r="R405" i="7"/>
  <c r="Y405" i="7" s="1" a="1"/>
  <c r="R406" i="7"/>
  <c r="Y406" i="7" s="1" a="1"/>
  <c r="R407" i="7"/>
  <c r="Y407" i="7" s="1" a="1"/>
  <c r="R408" i="7"/>
  <c r="Y408" i="7" s="1" a="1"/>
  <c r="R409" i="7"/>
  <c r="Y409" i="7" s="1" a="1"/>
  <c r="R410" i="7"/>
  <c r="Y410" i="7" s="1" a="1"/>
  <c r="R411" i="7"/>
  <c r="Y411" i="7" s="1" a="1"/>
  <c r="R412" i="7"/>
  <c r="Y412" i="7" s="1" a="1"/>
  <c r="R413" i="7"/>
  <c r="Y413" i="7" s="1" a="1"/>
  <c r="R414" i="7"/>
  <c r="Y414" i="7" s="1" a="1"/>
  <c r="R415" i="7"/>
  <c r="Y415" i="7" s="1" a="1"/>
  <c r="R416" i="7"/>
  <c r="Y416" i="7" s="1" a="1"/>
  <c r="R417" i="7"/>
  <c r="Y417" i="7" s="1" a="1"/>
  <c r="R418" i="7"/>
  <c r="Y418" i="7" s="1" a="1"/>
  <c r="R419" i="7"/>
  <c r="Y419" i="7" s="1" a="1"/>
  <c r="R420" i="7"/>
  <c r="Y420" i="7" s="1" a="1"/>
  <c r="R421" i="7"/>
  <c r="Y421" i="7" s="1" a="1"/>
  <c r="R422" i="7"/>
  <c r="Y422" i="7" s="1" a="1"/>
  <c r="R423" i="7"/>
  <c r="Y423" i="7" s="1" a="1"/>
  <c r="R424" i="7"/>
  <c r="Y424" i="7" s="1" a="1"/>
  <c r="R425" i="7"/>
  <c r="Y425" i="7" s="1" a="1"/>
  <c r="R426" i="7"/>
  <c r="Y426" i="7" s="1" a="1"/>
  <c r="R427" i="7"/>
  <c r="Y427" i="7" s="1" a="1"/>
  <c r="R428" i="7"/>
  <c r="Y428" i="7" s="1" a="1"/>
  <c r="R429" i="7"/>
  <c r="Y429" i="7" s="1" a="1"/>
  <c r="R430" i="7"/>
  <c r="Y430" i="7" s="1" a="1"/>
  <c r="R431" i="7"/>
  <c r="Y431" i="7" s="1" a="1"/>
  <c r="R432" i="7"/>
  <c r="Y432" i="7" s="1" a="1"/>
  <c r="R433" i="7"/>
  <c r="Y433" i="7" s="1" a="1"/>
  <c r="R434" i="7"/>
  <c r="Y434" i="7" s="1" a="1"/>
  <c r="R435" i="7"/>
  <c r="Y435" i="7" s="1" a="1"/>
  <c r="R436" i="7"/>
  <c r="Y436" i="7" s="1" a="1"/>
  <c r="R437" i="7"/>
  <c r="Y437" i="7" s="1" a="1"/>
  <c r="R438" i="7"/>
  <c r="Y438" i="7" s="1" a="1"/>
  <c r="R439" i="7"/>
  <c r="Y439" i="7" s="1" a="1"/>
  <c r="R440" i="7"/>
  <c r="Y440" i="7" s="1" a="1"/>
  <c r="R441" i="7"/>
  <c r="Y441" i="7" s="1" a="1"/>
  <c r="R442" i="7"/>
  <c r="Y442" i="7" s="1" a="1"/>
  <c r="R443" i="7"/>
  <c r="Y443" i="7" s="1" a="1"/>
  <c r="R444" i="7"/>
  <c r="Y444" i="7" s="1" a="1"/>
  <c r="R445" i="7"/>
  <c r="Y445" i="7" s="1" a="1"/>
  <c r="R446" i="7"/>
  <c r="Y446" i="7" s="1" a="1"/>
  <c r="R447" i="7"/>
  <c r="Y447" i="7" s="1" a="1"/>
  <c r="R448" i="7"/>
  <c r="Y448" i="7" s="1" a="1"/>
  <c r="R449" i="7"/>
  <c r="Y449" i="7" s="1" a="1"/>
  <c r="R450" i="7"/>
  <c r="Y450" i="7" s="1" a="1"/>
  <c r="R451" i="7"/>
  <c r="Y451" i="7" s="1" a="1"/>
  <c r="R452" i="7"/>
  <c r="Y452" i="7" s="1" a="1"/>
  <c r="R453" i="7"/>
  <c r="Y453" i="7" s="1" a="1"/>
  <c r="R454" i="7"/>
  <c r="Y454" i="7" s="1" a="1"/>
  <c r="R455" i="7"/>
  <c r="Y455" i="7" s="1" a="1"/>
  <c r="R456" i="7"/>
  <c r="Y456" i="7" s="1" a="1"/>
  <c r="R457" i="7"/>
  <c r="Y457" i="7" s="1" a="1"/>
  <c r="R458" i="7"/>
  <c r="Y458" i="7" s="1" a="1"/>
  <c r="R459" i="7"/>
  <c r="Y459" i="7" s="1" a="1"/>
  <c r="R460" i="7"/>
  <c r="Y460" i="7" s="1" a="1"/>
  <c r="R461" i="7"/>
  <c r="Y461" i="7" s="1" a="1"/>
  <c r="R462" i="7"/>
  <c r="Y462" i="7" s="1" a="1"/>
  <c r="R463" i="7"/>
  <c r="Y463" i="7" s="1" a="1"/>
  <c r="R464" i="7"/>
  <c r="Y464" i="7" s="1" a="1"/>
  <c r="R465" i="7"/>
  <c r="Y465" i="7" s="1" a="1"/>
  <c r="R466" i="7"/>
  <c r="Y466" i="7" s="1" a="1"/>
  <c r="R467" i="7"/>
  <c r="Y467" i="7" s="1" a="1"/>
  <c r="R468" i="7"/>
  <c r="Y468" i="7" s="1" a="1"/>
  <c r="R469" i="7"/>
  <c r="Y469" i="7" s="1" a="1"/>
  <c r="R470" i="7"/>
  <c r="Y470" i="7" s="1" a="1"/>
  <c r="R471" i="7"/>
  <c r="Y471" i="7" s="1" a="1"/>
  <c r="R472" i="7"/>
  <c r="Y472" i="7" s="1" a="1"/>
  <c r="R473" i="7"/>
  <c r="Y473" i="7" s="1" a="1"/>
  <c r="R474" i="7"/>
  <c r="Y474" i="7" s="1" a="1"/>
  <c r="R475" i="7"/>
  <c r="Y475" i="7" s="1" a="1"/>
  <c r="R476" i="7"/>
  <c r="Y476" i="7" s="1" a="1"/>
  <c r="R477" i="7"/>
  <c r="Y477" i="7" s="1" a="1"/>
  <c r="R478" i="7"/>
  <c r="Y478" i="7" s="1" a="1"/>
  <c r="R479" i="7"/>
  <c r="Y479" i="7" s="1" a="1"/>
  <c r="R480" i="7"/>
  <c r="Y480" i="7" s="1" a="1"/>
  <c r="R481" i="7"/>
  <c r="Y481" i="7" s="1" a="1"/>
  <c r="R482" i="7"/>
  <c r="Y482" i="7" s="1" a="1"/>
  <c r="R483" i="7"/>
  <c r="Y483" i="7" s="1" a="1"/>
  <c r="R484" i="7"/>
  <c r="Y484" i="7" s="1" a="1"/>
  <c r="R485" i="7"/>
  <c r="Y485" i="7" s="1" a="1"/>
  <c r="R486" i="7"/>
  <c r="Y486" i="7" s="1" a="1"/>
  <c r="R487" i="7"/>
  <c r="Y487" i="7" s="1" a="1"/>
  <c r="R488" i="7"/>
  <c r="Y488" i="7" s="1" a="1"/>
  <c r="R489" i="7"/>
  <c r="Y489" i="7" s="1" a="1"/>
  <c r="R490" i="7"/>
  <c r="Y490" i="7" s="1" a="1"/>
  <c r="R491" i="7"/>
  <c r="Y491" i="7" s="1" a="1"/>
  <c r="R492" i="7"/>
  <c r="Y492" i="7" s="1" a="1"/>
  <c r="R493" i="7"/>
  <c r="Y493" i="7" s="1" a="1"/>
  <c r="R494" i="7"/>
  <c r="Y494" i="7" s="1" a="1"/>
  <c r="R495" i="7"/>
  <c r="Y495" i="7" s="1" a="1"/>
  <c r="R496" i="7"/>
  <c r="Y496" i="7" s="1" a="1"/>
  <c r="R497" i="7"/>
  <c r="Y497" i="7" s="1" a="1"/>
  <c r="R498" i="7"/>
  <c r="Y498" i="7" s="1" a="1"/>
  <c r="R499" i="7"/>
  <c r="Y499" i="7" s="1" a="1"/>
  <c r="R500" i="7"/>
  <c r="Y500" i="7" s="1" a="1"/>
  <c r="R501" i="7"/>
  <c r="Y501" i="7" s="1" a="1"/>
  <c r="R502" i="7"/>
  <c r="Y502" i="7" s="1" a="1"/>
  <c r="R503" i="7"/>
  <c r="Y503" i="7" s="1" a="1"/>
  <c r="R504" i="7"/>
  <c r="Y504" i="7" s="1" a="1"/>
  <c r="R505" i="7"/>
  <c r="Y505" i="7" s="1" a="1"/>
  <c r="R506" i="7"/>
  <c r="Y506" i="7" s="1" a="1"/>
  <c r="R507" i="7"/>
  <c r="Y507" i="7" s="1" a="1"/>
  <c r="R508" i="7"/>
  <c r="Y508" i="7" s="1" a="1"/>
  <c r="R509" i="7"/>
  <c r="Y509" i="7" s="1" a="1"/>
  <c r="R510" i="7"/>
  <c r="Y510" i="7" s="1" a="1"/>
  <c r="R511" i="7"/>
  <c r="Y511" i="7" s="1" a="1"/>
  <c r="R512" i="7"/>
  <c r="Y512" i="7" s="1" a="1"/>
  <c r="R513" i="7"/>
  <c r="Y513" i="7" s="1" a="1"/>
  <c r="R514" i="7"/>
  <c r="Y514" i="7" s="1" a="1"/>
  <c r="R515" i="7"/>
  <c r="Y515" i="7" s="1" a="1"/>
  <c r="R516" i="7"/>
  <c r="Y516" i="7" s="1" a="1"/>
  <c r="R517" i="7"/>
  <c r="Y517" i="7" s="1" a="1"/>
  <c r="R518" i="7"/>
  <c r="Y518" i="7" s="1" a="1"/>
  <c r="R519" i="7"/>
  <c r="Y519" i="7" s="1" a="1"/>
  <c r="R520" i="7"/>
  <c r="Y520" i="7" s="1" a="1"/>
  <c r="R521" i="7"/>
  <c r="Y521" i="7" s="1" a="1"/>
  <c r="R522" i="7"/>
  <c r="Y522" i="7" s="1" a="1"/>
  <c r="R523" i="7"/>
  <c r="Y523" i="7" s="1" a="1"/>
  <c r="R524" i="7"/>
  <c r="Y524" i="7" s="1" a="1"/>
  <c r="R525" i="7"/>
  <c r="Y525" i="7" s="1" a="1"/>
  <c r="R526" i="7"/>
  <c r="Y526" i="7" s="1" a="1"/>
  <c r="R527" i="7"/>
  <c r="Y527" i="7" s="1" a="1"/>
  <c r="R528" i="7"/>
  <c r="Y528" i="7" s="1" a="1"/>
  <c r="R529" i="7"/>
  <c r="Y529" i="7" s="1" a="1"/>
  <c r="R530" i="7"/>
  <c r="Y530" i="7" s="1" a="1"/>
  <c r="R531" i="7"/>
  <c r="Y531" i="7" s="1" a="1"/>
  <c r="R532" i="7"/>
  <c r="Y532" i="7" s="1" a="1"/>
  <c r="R533" i="7"/>
  <c r="Y533" i="7" s="1" a="1"/>
  <c r="R534" i="7"/>
  <c r="Y534" i="7" s="1" a="1"/>
  <c r="R535" i="7"/>
  <c r="Y535" i="7" s="1" a="1"/>
  <c r="R536" i="7"/>
  <c r="Y536" i="7" s="1" a="1"/>
  <c r="R537" i="7"/>
  <c r="Y537" i="7" s="1" a="1"/>
  <c r="R538" i="7"/>
  <c r="Y538" i="7" s="1" a="1"/>
  <c r="R539" i="7"/>
  <c r="Y539" i="7" s="1" a="1"/>
  <c r="R540" i="7"/>
  <c r="Y540" i="7" s="1" a="1"/>
  <c r="R541" i="7"/>
  <c r="Y541" i="7" s="1" a="1"/>
  <c r="R542" i="7"/>
  <c r="Y542" i="7" s="1" a="1"/>
  <c r="R543" i="7"/>
  <c r="Y543" i="7" s="1" a="1"/>
  <c r="R544" i="7"/>
  <c r="Y544" i="7" s="1" a="1"/>
  <c r="R545" i="7"/>
  <c r="Y545" i="7" s="1" a="1"/>
  <c r="R546" i="7"/>
  <c r="Y546" i="7" s="1" a="1"/>
  <c r="R547" i="7"/>
  <c r="Y547" i="7" s="1" a="1"/>
  <c r="R548" i="7"/>
  <c r="Y548" i="7" s="1" a="1"/>
  <c r="R549" i="7"/>
  <c r="Y549" i="7" s="1" a="1"/>
  <c r="R550" i="7"/>
  <c r="Y550" i="7" s="1" a="1"/>
  <c r="R551" i="7"/>
  <c r="Y551" i="7" s="1" a="1"/>
  <c r="R552" i="7"/>
  <c r="Y552" i="7" s="1" a="1"/>
  <c r="R553" i="7"/>
  <c r="Y553" i="7" s="1" a="1"/>
  <c r="R554" i="7"/>
  <c r="Y554" i="7" s="1" a="1"/>
  <c r="R555" i="7"/>
  <c r="Y555" i="7" s="1" a="1"/>
  <c r="R556" i="7"/>
  <c r="Y556" i="7" s="1" a="1"/>
  <c r="R557" i="7"/>
  <c r="Y557" i="7" s="1" a="1"/>
  <c r="R558" i="7"/>
  <c r="Y558" i="7" s="1" a="1"/>
  <c r="R559" i="7"/>
  <c r="Y559" i="7" s="1" a="1"/>
  <c r="R560" i="7"/>
  <c r="Y560" i="7" s="1" a="1"/>
  <c r="R561" i="7"/>
  <c r="Y561" i="7" s="1" a="1"/>
  <c r="R562" i="7"/>
  <c r="Y562" i="7" s="1" a="1"/>
  <c r="R563" i="7"/>
  <c r="Y563" i="7" s="1" a="1"/>
  <c r="R564" i="7"/>
  <c r="Y564" i="7" s="1" a="1"/>
  <c r="R565" i="7"/>
  <c r="Y565" i="7" s="1" a="1"/>
  <c r="R566" i="7"/>
  <c r="Y566" i="7" s="1" a="1"/>
  <c r="R567" i="7"/>
  <c r="Y567" i="7" s="1" a="1"/>
  <c r="R568" i="7"/>
  <c r="Y568" i="7" s="1" a="1"/>
  <c r="R569" i="7"/>
  <c r="Y569" i="7" s="1" a="1"/>
  <c r="R570" i="7"/>
  <c r="Y570" i="7" s="1" a="1"/>
  <c r="R571" i="7"/>
  <c r="Y571" i="7" s="1" a="1"/>
  <c r="R572" i="7"/>
  <c r="Y572" i="7" s="1" a="1"/>
  <c r="R573" i="7"/>
  <c r="Y573" i="7" s="1" a="1"/>
  <c r="R574" i="7"/>
  <c r="Y574" i="7" s="1" a="1"/>
  <c r="R575" i="7"/>
  <c r="Y575" i="7" s="1" a="1"/>
  <c r="R576" i="7"/>
  <c r="Y576" i="7" s="1" a="1"/>
  <c r="R577" i="7"/>
  <c r="Y577" i="7" s="1" a="1"/>
  <c r="R578" i="7"/>
  <c r="Y578" i="7" s="1" a="1"/>
  <c r="R579" i="7"/>
  <c r="Y579" i="7" s="1" a="1"/>
  <c r="R580" i="7"/>
  <c r="Y580" i="7" s="1" a="1"/>
  <c r="R581" i="7"/>
  <c r="Y581" i="7" s="1" a="1"/>
  <c r="R582" i="7"/>
  <c r="Y582" i="7" s="1" a="1"/>
  <c r="R583" i="7"/>
  <c r="Y583" i="7" s="1" a="1"/>
  <c r="R584" i="7"/>
  <c r="Y584" i="7" s="1" a="1"/>
  <c r="R585" i="7"/>
  <c r="Y585" i="7" s="1" a="1"/>
  <c r="R586" i="7"/>
  <c r="Y586" i="7" s="1" a="1"/>
  <c r="R587" i="7"/>
  <c r="Y587" i="7" s="1" a="1"/>
  <c r="R588" i="7"/>
  <c r="Y588" i="7" s="1" a="1"/>
  <c r="R589" i="7"/>
  <c r="Y589" i="7" s="1" a="1"/>
  <c r="R590" i="7"/>
  <c r="Y590" i="7" s="1" a="1"/>
  <c r="R591" i="7"/>
  <c r="Y591" i="7" s="1" a="1"/>
  <c r="R592" i="7"/>
  <c r="Y592" i="7" s="1" a="1"/>
  <c r="R593" i="7"/>
  <c r="Y593" i="7" s="1" a="1"/>
  <c r="R594" i="7"/>
  <c r="Y594" i="7" s="1" a="1"/>
  <c r="R595" i="7"/>
  <c r="Y595" i="7" s="1" a="1"/>
  <c r="R596" i="7"/>
  <c r="Y596" i="7" s="1" a="1"/>
  <c r="R597" i="7"/>
  <c r="Y597" i="7" s="1" a="1"/>
  <c r="R598" i="7"/>
  <c r="Y598" i="7" s="1" a="1"/>
  <c r="R599" i="7"/>
  <c r="Y599" i="7" s="1" a="1"/>
  <c r="R600" i="7"/>
  <c r="Y600" i="7" s="1" a="1"/>
  <c r="R601" i="7"/>
  <c r="Y601" i="7" s="1" a="1"/>
  <c r="R602" i="7"/>
  <c r="Y602" i="7" s="1" a="1"/>
  <c r="R603" i="7"/>
  <c r="Y603" i="7" s="1" a="1"/>
  <c r="R604" i="7"/>
  <c r="Y604" i="7" s="1" a="1"/>
  <c r="R605" i="7"/>
  <c r="Y605" i="7" s="1" a="1"/>
  <c r="R606" i="7"/>
  <c r="Y606" i="7" s="1" a="1"/>
  <c r="R607" i="7"/>
  <c r="Y607" i="7" s="1" a="1"/>
  <c r="R608" i="7"/>
  <c r="Y608" i="7" s="1" a="1"/>
  <c r="R609" i="7"/>
  <c r="Y609" i="7" s="1" a="1"/>
  <c r="R610" i="7"/>
  <c r="Y610" i="7" s="1" a="1"/>
  <c r="R611" i="7"/>
  <c r="Y611" i="7" s="1" a="1"/>
  <c r="R612" i="7"/>
  <c r="Y612" i="7" s="1" a="1"/>
  <c r="R613" i="7"/>
  <c r="Y613" i="7" s="1" a="1"/>
  <c r="R614" i="7"/>
  <c r="Y614" i="7" s="1" a="1"/>
  <c r="R615" i="7"/>
  <c r="Y615" i="7" s="1" a="1"/>
  <c r="R616" i="7"/>
  <c r="Y616" i="7" s="1" a="1"/>
  <c r="R617" i="7"/>
  <c r="Y617" i="7" s="1" a="1"/>
  <c r="R618" i="7"/>
  <c r="Y618" i="7" s="1" a="1"/>
  <c r="R619" i="7"/>
  <c r="Y619" i="7" s="1" a="1"/>
  <c r="R620" i="7"/>
  <c r="Y620" i="7" s="1" a="1"/>
  <c r="R621" i="7"/>
  <c r="Y621" i="7" s="1" a="1"/>
  <c r="R622" i="7"/>
  <c r="Y622" i="7" s="1" a="1"/>
  <c r="R623" i="7"/>
  <c r="Y623" i="7" s="1" a="1"/>
  <c r="R624" i="7"/>
  <c r="Y624" i="7" s="1" a="1"/>
  <c r="R625" i="7"/>
  <c r="Y625" i="7" s="1" a="1"/>
  <c r="R626" i="7"/>
  <c r="Y626" i="7" s="1" a="1"/>
  <c r="R627" i="7"/>
  <c r="Y627" i="7" s="1" a="1"/>
  <c r="R628" i="7"/>
  <c r="Y628" i="7" s="1" a="1"/>
  <c r="R629" i="7"/>
  <c r="Y629" i="7" s="1" a="1"/>
  <c r="R630" i="7"/>
  <c r="Y630" i="7" s="1" a="1"/>
  <c r="R631" i="7"/>
  <c r="Y631" i="7" s="1" a="1"/>
  <c r="R632" i="7"/>
  <c r="Y632" i="7" s="1" a="1"/>
  <c r="R633" i="7"/>
  <c r="Y633" i="7" s="1" a="1"/>
  <c r="R634" i="7"/>
  <c r="Y634" i="7" s="1" a="1"/>
  <c r="R635" i="7"/>
  <c r="Y635" i="7" s="1" a="1"/>
  <c r="R636" i="7"/>
  <c r="Y636" i="7" s="1" a="1"/>
  <c r="R637" i="7"/>
  <c r="Y637" i="7" s="1" a="1"/>
  <c r="R638" i="7"/>
  <c r="Y638" i="7" s="1" a="1"/>
  <c r="R639" i="7"/>
  <c r="Y639" i="7" s="1" a="1"/>
  <c r="R640" i="7"/>
  <c r="Y640" i="7" s="1" a="1"/>
  <c r="R641" i="7"/>
  <c r="Y641" i="7" s="1" a="1"/>
  <c r="R642" i="7"/>
  <c r="Y642" i="7" s="1" a="1"/>
  <c r="R643" i="7"/>
  <c r="Y643" i="7" s="1" a="1"/>
  <c r="R644" i="7"/>
  <c r="Y644" i="7" s="1" a="1"/>
  <c r="R645" i="7"/>
  <c r="Y645" i="7" s="1" a="1"/>
  <c r="R646" i="7"/>
  <c r="Y646" i="7" s="1" a="1"/>
  <c r="R647" i="7"/>
  <c r="Y647" i="7" s="1" a="1"/>
  <c r="R648" i="7"/>
  <c r="Y648" i="7" s="1" a="1"/>
  <c r="R649" i="7"/>
  <c r="Y649" i="7" s="1" a="1"/>
  <c r="R650" i="7"/>
  <c r="Y650" i="7" s="1" a="1"/>
  <c r="R651" i="7"/>
  <c r="Y651" i="7" s="1" a="1"/>
  <c r="R652" i="7"/>
  <c r="Y652" i="7" s="1" a="1"/>
  <c r="R653" i="7"/>
  <c r="Y653" i="7" s="1" a="1"/>
  <c r="R654" i="7"/>
  <c r="Y654" i="7" s="1" a="1"/>
  <c r="R655" i="7"/>
  <c r="Y655" i="7" s="1" a="1"/>
  <c r="R656" i="7"/>
  <c r="Y656" i="7" s="1" a="1"/>
  <c r="R657" i="7"/>
  <c r="Y657" i="7" s="1" a="1"/>
  <c r="R658" i="7"/>
  <c r="Y658" i="7" s="1" a="1"/>
  <c r="R659" i="7"/>
  <c r="Y659" i="7" s="1" a="1"/>
  <c r="R660" i="7"/>
  <c r="Y660" i="7" s="1" a="1"/>
  <c r="R661" i="7"/>
  <c r="Y661" i="7" s="1" a="1"/>
  <c r="R662" i="7"/>
  <c r="Y662" i="7" s="1" a="1"/>
  <c r="R663" i="7"/>
  <c r="Y663" i="7" s="1" a="1"/>
  <c r="R664" i="7"/>
  <c r="Y664" i="7" s="1" a="1"/>
  <c r="R665" i="7"/>
  <c r="Y665" i="7" s="1" a="1"/>
  <c r="R666" i="7"/>
  <c r="Y666" i="7" s="1" a="1"/>
  <c r="R667" i="7"/>
  <c r="Y667" i="7" s="1" a="1"/>
  <c r="R668" i="7"/>
  <c r="Y668" i="7" s="1" a="1"/>
  <c r="R669" i="7"/>
  <c r="Y669" i="7" s="1" a="1"/>
  <c r="R670" i="7"/>
  <c r="Y670" i="7" s="1" a="1"/>
  <c r="R671" i="7"/>
  <c r="Y671" i="7" s="1" a="1"/>
  <c r="R672" i="7"/>
  <c r="Y672" i="7" s="1" a="1"/>
  <c r="R673" i="7"/>
  <c r="Y673" i="7" s="1" a="1"/>
  <c r="R674" i="7"/>
  <c r="Y674" i="7" s="1" a="1"/>
  <c r="R675" i="7"/>
  <c r="Y675" i="7" s="1" a="1"/>
  <c r="R676" i="7"/>
  <c r="Y676" i="7" s="1" a="1"/>
  <c r="R677" i="7"/>
  <c r="Y677" i="7" s="1" a="1"/>
  <c r="R678" i="7"/>
  <c r="Y678" i="7" s="1" a="1"/>
  <c r="R679" i="7"/>
  <c r="Y679" i="7" s="1" a="1"/>
  <c r="R680" i="7"/>
  <c r="Y680" i="7" s="1" a="1"/>
  <c r="R681" i="7"/>
  <c r="Y681" i="7" s="1" a="1"/>
  <c r="R682" i="7"/>
  <c r="Y682" i="7" s="1" a="1"/>
  <c r="R683" i="7"/>
  <c r="Y683" i="7" s="1" a="1"/>
  <c r="R684" i="7"/>
  <c r="Y684" i="7" s="1" a="1"/>
  <c r="R685" i="7"/>
  <c r="Y685" i="7" s="1" a="1"/>
  <c r="R686" i="7"/>
  <c r="Y686" i="7" s="1" a="1"/>
  <c r="R687" i="7"/>
  <c r="Y687" i="7" s="1" a="1"/>
  <c r="R688" i="7"/>
  <c r="Y688" i="7" s="1" a="1"/>
  <c r="R689" i="7"/>
  <c r="Y689" i="7" s="1" a="1"/>
  <c r="R690" i="7"/>
  <c r="Y690" i="7" s="1" a="1"/>
  <c r="R691" i="7"/>
  <c r="Y691" i="7" s="1" a="1"/>
  <c r="R692" i="7"/>
  <c r="Y692" i="7" s="1" a="1"/>
  <c r="R693" i="7"/>
  <c r="Y693" i="7" s="1" a="1"/>
  <c r="R694" i="7"/>
  <c r="Y694" i="7" s="1" a="1"/>
  <c r="R695" i="7"/>
  <c r="Y695" i="7" s="1" a="1"/>
  <c r="R696" i="7"/>
  <c r="Y696" i="7" s="1" a="1"/>
  <c r="R697" i="7"/>
  <c r="Y697" i="7" s="1" a="1"/>
  <c r="R698" i="7"/>
  <c r="Y698" i="7" s="1" a="1"/>
  <c r="R699" i="7"/>
  <c r="Y699" i="7" s="1" a="1"/>
  <c r="R700" i="7"/>
  <c r="Y700" i="7" s="1" a="1"/>
  <c r="R701" i="7"/>
  <c r="Y701" i="7" s="1" a="1"/>
  <c r="R702" i="7"/>
  <c r="Y702" i="7" s="1" a="1"/>
  <c r="R703" i="7"/>
  <c r="Y703" i="7" s="1" a="1"/>
  <c r="R704" i="7"/>
  <c r="Y704" i="7" s="1" a="1"/>
  <c r="R705" i="7"/>
  <c r="Y705" i="7" s="1" a="1"/>
  <c r="R706" i="7"/>
  <c r="Y706" i="7" s="1" a="1"/>
  <c r="R707" i="7"/>
  <c r="Y707" i="7" s="1" a="1"/>
  <c r="R708" i="7"/>
  <c r="Y708" i="7" s="1" a="1"/>
  <c r="R709" i="7"/>
  <c r="Y709" i="7" s="1" a="1"/>
  <c r="R710" i="7"/>
  <c r="Y710" i="7" s="1" a="1"/>
  <c r="R711" i="7"/>
  <c r="Y711" i="7" s="1" a="1"/>
  <c r="R712" i="7"/>
  <c r="Y712" i="7" s="1" a="1"/>
  <c r="R713" i="7"/>
  <c r="Y713" i="7" s="1" a="1"/>
  <c r="R714" i="7"/>
  <c r="Y714" i="7" s="1" a="1"/>
  <c r="R715" i="7"/>
  <c r="Y715" i="7" s="1" a="1"/>
  <c r="R716" i="7"/>
  <c r="Y716" i="7" s="1" a="1"/>
  <c r="R717" i="7"/>
  <c r="Y717" i="7" s="1" a="1"/>
  <c r="R718" i="7"/>
  <c r="Y718" i="7" s="1" a="1"/>
  <c r="R719" i="7"/>
  <c r="Y719" i="7" s="1" a="1"/>
  <c r="R720" i="7"/>
  <c r="Y720" i="7" s="1" a="1"/>
  <c r="R721" i="7"/>
  <c r="Y721" i="7" s="1" a="1"/>
  <c r="R722" i="7"/>
  <c r="Y722" i="7" s="1" a="1"/>
  <c r="R723" i="7"/>
  <c r="Y723" i="7" s="1" a="1"/>
  <c r="R724" i="7"/>
  <c r="Y724" i="7" s="1" a="1"/>
  <c r="R725" i="7"/>
  <c r="Y725" i="7" s="1" a="1"/>
  <c r="R726" i="7"/>
  <c r="Y726" i="7" s="1" a="1"/>
  <c r="R727" i="7"/>
  <c r="Y727" i="7" s="1" a="1"/>
  <c r="R728" i="7"/>
  <c r="Y728" i="7" s="1" a="1"/>
  <c r="R729" i="7"/>
  <c r="Y729" i="7" s="1" a="1"/>
  <c r="R730" i="7"/>
  <c r="Y730" i="7" s="1" a="1"/>
  <c r="R731" i="7"/>
  <c r="Y731" i="7" s="1" a="1"/>
  <c r="R732" i="7"/>
  <c r="Y732" i="7" s="1" a="1"/>
  <c r="R733" i="7"/>
  <c r="Y733" i="7" s="1" a="1"/>
  <c r="R734" i="7"/>
  <c r="Y734" i="7" s="1" a="1"/>
  <c r="R735" i="7"/>
  <c r="Y735" i="7" s="1" a="1"/>
  <c r="R736" i="7"/>
  <c r="Y736" i="7" s="1" a="1"/>
  <c r="R737" i="7"/>
  <c r="Y737" i="7" s="1" a="1"/>
  <c r="R738" i="7"/>
  <c r="Y738" i="7" s="1" a="1"/>
  <c r="R739" i="7"/>
  <c r="Y739" i="7" s="1" a="1"/>
  <c r="R740" i="7"/>
  <c r="Y740" i="7" s="1" a="1"/>
  <c r="R741" i="7"/>
  <c r="Y741" i="7" s="1" a="1"/>
  <c r="R742" i="7"/>
  <c r="Y742" i="7" s="1" a="1"/>
  <c r="R743" i="7"/>
  <c r="Y743" i="7" s="1" a="1"/>
  <c r="R744" i="7"/>
  <c r="Y744" i="7" s="1" a="1"/>
  <c r="R745" i="7"/>
  <c r="Y745" i="7" s="1" a="1"/>
  <c r="R746" i="7"/>
  <c r="Y746" i="7" s="1" a="1"/>
  <c r="R747" i="7"/>
  <c r="Y747" i="7" s="1" a="1"/>
  <c r="R748" i="7"/>
  <c r="Y748" i="7" s="1" a="1"/>
  <c r="R749" i="7"/>
  <c r="Y749" i="7" s="1" a="1"/>
  <c r="R750" i="7"/>
  <c r="Y750" i="7" s="1" a="1"/>
  <c r="R751" i="7"/>
  <c r="Y751" i="7" s="1" a="1"/>
  <c r="R752" i="7"/>
  <c r="Y752" i="7" s="1" a="1"/>
  <c r="R753" i="7"/>
  <c r="Y753" i="7" s="1" a="1"/>
  <c r="R754" i="7"/>
  <c r="Y754" i="7" s="1" a="1"/>
  <c r="R755" i="7"/>
  <c r="Y755" i="7" s="1" a="1"/>
  <c r="R756" i="7"/>
  <c r="Y756" i="7" s="1" a="1"/>
  <c r="R757" i="7"/>
  <c r="Y757" i="7" s="1" a="1"/>
  <c r="R758" i="7"/>
  <c r="Y758" i="7" s="1" a="1"/>
  <c r="R759" i="7"/>
  <c r="Y759" i="7" s="1" a="1"/>
  <c r="R760" i="7"/>
  <c r="Y760" i="7" s="1" a="1"/>
  <c r="R761" i="7"/>
  <c r="Y761" i="7" s="1" a="1"/>
  <c r="R762" i="7"/>
  <c r="Y762" i="7" s="1" a="1"/>
  <c r="R763" i="7"/>
  <c r="Y763" i="7" s="1" a="1"/>
  <c r="R764" i="7"/>
  <c r="Y764" i="7" s="1" a="1"/>
  <c r="R765" i="7"/>
  <c r="Y765" i="7" s="1" a="1"/>
  <c r="R766" i="7"/>
  <c r="Y766" i="7" s="1" a="1"/>
  <c r="R767" i="7"/>
  <c r="Y767" i="7" s="1" a="1"/>
  <c r="R768" i="7"/>
  <c r="Y768" i="7" s="1" a="1"/>
  <c r="R769" i="7"/>
  <c r="Y769" i="7" s="1" a="1"/>
  <c r="R770" i="7"/>
  <c r="Y770" i="7" s="1" a="1"/>
  <c r="R771" i="7"/>
  <c r="Y771" i="7" s="1" a="1"/>
  <c r="R772" i="7"/>
  <c r="Y772" i="7" s="1" a="1"/>
  <c r="R773" i="7"/>
  <c r="Y773" i="7" s="1" a="1"/>
  <c r="R774" i="7"/>
  <c r="Y774" i="7" s="1" a="1"/>
  <c r="R775" i="7"/>
  <c r="Y775" i="7" s="1" a="1"/>
  <c r="R776" i="7"/>
  <c r="Y776" i="7" s="1" a="1"/>
  <c r="R777" i="7"/>
  <c r="Y777" i="7" s="1" a="1"/>
  <c r="R778" i="7"/>
  <c r="Y778" i="7" s="1" a="1"/>
  <c r="R779" i="7"/>
  <c r="Y779" i="7" s="1" a="1"/>
  <c r="R780" i="7"/>
  <c r="Y780" i="7" s="1" a="1"/>
  <c r="R781" i="7"/>
  <c r="Y781" i="7" s="1" a="1"/>
  <c r="R782" i="7"/>
  <c r="Y782" i="7" s="1" a="1"/>
  <c r="R783" i="7"/>
  <c r="Y783" i="7" s="1" a="1"/>
  <c r="R784" i="7"/>
  <c r="Y784" i="7" s="1" a="1"/>
  <c r="R785" i="7"/>
  <c r="Y785" i="7" s="1" a="1"/>
  <c r="R786" i="7"/>
  <c r="Y786" i="7" s="1" a="1"/>
  <c r="R787" i="7"/>
  <c r="Y787" i="7" s="1" a="1"/>
  <c r="R788" i="7"/>
  <c r="Y788" i="7" s="1" a="1"/>
  <c r="R789" i="7"/>
  <c r="Y789" i="7" s="1" a="1"/>
  <c r="R790" i="7"/>
  <c r="Y790" i="7" s="1" a="1"/>
  <c r="R791" i="7"/>
  <c r="Y791" i="7" s="1" a="1"/>
  <c r="R792" i="7"/>
  <c r="Y792" i="7" s="1" a="1"/>
  <c r="R793" i="7"/>
  <c r="Y793" i="7" s="1" a="1"/>
  <c r="R794" i="7"/>
  <c r="Y794" i="7" s="1" a="1"/>
  <c r="R795" i="7"/>
  <c r="Y795" i="7" s="1" a="1"/>
  <c r="R796" i="7"/>
  <c r="Y796" i="7" s="1" a="1"/>
  <c r="R797" i="7"/>
  <c r="Y797" i="7" s="1" a="1"/>
  <c r="R798" i="7"/>
  <c r="Y798" i="7" s="1" a="1"/>
  <c r="R799" i="7"/>
  <c r="Y799" i="7" s="1" a="1"/>
  <c r="R800" i="7"/>
  <c r="Y800" i="7" s="1" a="1"/>
  <c r="R801" i="7"/>
  <c r="Y801" i="7" s="1" a="1"/>
  <c r="R802" i="7"/>
  <c r="Y802" i="7" s="1" a="1"/>
  <c r="R803" i="7"/>
  <c r="Y803" i="7" s="1" a="1"/>
  <c r="R804" i="7"/>
  <c r="Y804" i="7" s="1" a="1"/>
  <c r="R805" i="7"/>
  <c r="Y805" i="7" s="1" a="1"/>
  <c r="R806" i="7"/>
  <c r="Y806" i="7" s="1" a="1"/>
  <c r="R807" i="7"/>
  <c r="Y807" i="7" s="1" a="1"/>
  <c r="R808" i="7"/>
  <c r="Y808" i="7" s="1" a="1"/>
  <c r="R809" i="7"/>
  <c r="Y809" i="7" s="1" a="1"/>
  <c r="R810" i="7"/>
  <c r="Y810" i="7" s="1" a="1"/>
  <c r="R811" i="7"/>
  <c r="Y811" i="7" s="1" a="1"/>
  <c r="R812" i="7"/>
  <c r="Y812" i="7" s="1" a="1"/>
  <c r="R813" i="7"/>
  <c r="Y813" i="7" s="1" a="1"/>
  <c r="R814" i="7"/>
  <c r="Y814" i="7" s="1" a="1"/>
  <c r="R815" i="7"/>
  <c r="Y815" i="7" s="1" a="1"/>
  <c r="R816" i="7"/>
  <c r="Y816" i="7" s="1" a="1"/>
  <c r="R817" i="7"/>
  <c r="Y817" i="7" s="1" a="1"/>
  <c r="R818" i="7"/>
  <c r="Y818" i="7" s="1" a="1"/>
  <c r="R819" i="7"/>
  <c r="Y819" i="7" s="1" a="1"/>
  <c r="R820" i="7"/>
  <c r="Y820" i="7" s="1" a="1"/>
  <c r="R821" i="7"/>
  <c r="Y821" i="7" s="1" a="1"/>
  <c r="R822" i="7"/>
  <c r="Y822" i="7" s="1" a="1"/>
  <c r="R823" i="7"/>
  <c r="Y823" i="7" s="1" a="1"/>
  <c r="R824" i="7"/>
  <c r="Y824" i="7" s="1" a="1"/>
  <c r="R825" i="7"/>
  <c r="Y825" i="7" s="1" a="1"/>
  <c r="R826" i="7"/>
  <c r="Y826" i="7" s="1" a="1"/>
  <c r="R827" i="7"/>
  <c r="Y827" i="7" s="1" a="1"/>
  <c r="R828" i="7"/>
  <c r="Y828" i="7" s="1" a="1"/>
  <c r="R829" i="7"/>
  <c r="Y829" i="7" s="1" a="1"/>
  <c r="R830" i="7"/>
  <c r="Y830" i="7" s="1" a="1"/>
  <c r="R831" i="7"/>
  <c r="Y831" i="7" s="1" a="1"/>
  <c r="R832" i="7"/>
  <c r="Y832" i="7" s="1" a="1"/>
  <c r="R833" i="7"/>
  <c r="Y833" i="7" s="1" a="1"/>
  <c r="R834" i="7"/>
  <c r="Y834" i="7" s="1" a="1"/>
  <c r="R835" i="7"/>
  <c r="Y835" i="7" s="1" a="1"/>
  <c r="R836" i="7"/>
  <c r="Y836" i="7" s="1" a="1"/>
  <c r="R837" i="7"/>
  <c r="Y837" i="7" s="1" a="1"/>
  <c r="R838" i="7"/>
  <c r="Y838" i="7" s="1" a="1"/>
  <c r="R839" i="7"/>
  <c r="Y839" i="7" s="1" a="1"/>
  <c r="R840" i="7"/>
  <c r="Y840" i="7" s="1" a="1"/>
  <c r="R841" i="7"/>
  <c r="Y841" i="7" s="1" a="1"/>
  <c r="R842" i="7"/>
  <c r="Y842" i="7" s="1" a="1"/>
  <c r="R843" i="7"/>
  <c r="Y843" i="7" s="1" a="1"/>
  <c r="R844" i="7"/>
  <c r="Y844" i="7" s="1" a="1"/>
  <c r="R845" i="7"/>
  <c r="Y845" i="7" s="1" a="1"/>
  <c r="R846" i="7"/>
  <c r="Y846" i="7" s="1" a="1"/>
  <c r="R847" i="7"/>
  <c r="Y847" i="7" s="1" a="1"/>
  <c r="R848" i="7"/>
  <c r="Y848" i="7" s="1" a="1"/>
  <c r="R849" i="7"/>
  <c r="Y849" i="7" s="1" a="1"/>
  <c r="R850" i="7"/>
  <c r="Y850" i="7" s="1" a="1"/>
  <c r="R851" i="7"/>
  <c r="Y851" i="7" s="1" a="1"/>
  <c r="R852" i="7"/>
  <c r="Y852" i="7" s="1" a="1"/>
  <c r="R853" i="7"/>
  <c r="Y853" i="7" s="1" a="1"/>
  <c r="R854" i="7"/>
  <c r="Y854" i="7" s="1" a="1"/>
  <c r="R855" i="7"/>
  <c r="Y855" i="7" s="1" a="1"/>
  <c r="R856" i="7"/>
  <c r="Y856" i="7" s="1" a="1"/>
  <c r="R857" i="7"/>
  <c r="Y857" i="7" s="1" a="1"/>
  <c r="R858" i="7"/>
  <c r="Y858" i="7" s="1" a="1"/>
  <c r="R859" i="7"/>
  <c r="Y859" i="7" s="1" a="1"/>
  <c r="R860" i="7"/>
  <c r="Y860" i="7" s="1" a="1"/>
  <c r="R861" i="7"/>
  <c r="Y861" i="7" s="1" a="1"/>
  <c r="R862" i="7"/>
  <c r="Y862" i="7" s="1" a="1"/>
  <c r="R863" i="7"/>
  <c r="Y863" i="7" s="1" a="1"/>
  <c r="R864" i="7"/>
  <c r="Y864" i="7" s="1" a="1"/>
  <c r="R865" i="7"/>
  <c r="Y865" i="7" s="1" a="1"/>
  <c r="R866" i="7"/>
  <c r="Y866" i="7" s="1" a="1"/>
  <c r="R867" i="7"/>
  <c r="Y867" i="7" s="1" a="1"/>
  <c r="R868" i="7"/>
  <c r="Y868" i="7" s="1" a="1"/>
  <c r="R869" i="7"/>
  <c r="Y869" i="7" s="1" a="1"/>
  <c r="R870" i="7"/>
  <c r="Y870" i="7" s="1" a="1"/>
  <c r="R871" i="7"/>
  <c r="Y871" i="7" s="1" a="1"/>
  <c r="R872" i="7"/>
  <c r="Y872" i="7" s="1" a="1"/>
  <c r="R873" i="7"/>
  <c r="Y873" i="7" s="1" a="1"/>
  <c r="R874" i="7"/>
  <c r="Y874" i="7" s="1" a="1"/>
  <c r="R875" i="7"/>
  <c r="Y875" i="7" s="1" a="1"/>
  <c r="R876" i="7"/>
  <c r="Y876" i="7" s="1" a="1"/>
  <c r="R877" i="7"/>
  <c r="Y877" i="7" s="1" a="1"/>
  <c r="R878" i="7"/>
  <c r="Y878" i="7" s="1" a="1"/>
  <c r="R879" i="7"/>
  <c r="Y879" i="7" s="1" a="1"/>
  <c r="R880" i="7"/>
  <c r="Y880" i="7" s="1" a="1"/>
  <c r="R881" i="7"/>
  <c r="Y881" i="7" s="1" a="1"/>
  <c r="R882" i="7"/>
  <c r="Y882" i="7" s="1" a="1"/>
  <c r="R883" i="7"/>
  <c r="Y883" i="7" s="1" a="1"/>
  <c r="R884" i="7"/>
  <c r="Y884" i="7" s="1" a="1"/>
  <c r="R885" i="7"/>
  <c r="Y885" i="7" s="1" a="1"/>
  <c r="R886" i="7"/>
  <c r="Y886" i="7" s="1" a="1"/>
  <c r="R887" i="7"/>
  <c r="Y887" i="7" s="1" a="1"/>
  <c r="R888" i="7"/>
  <c r="Y888" i="7" s="1" a="1"/>
  <c r="R889" i="7"/>
  <c r="Y889" i="7" s="1" a="1"/>
  <c r="R890" i="7"/>
  <c r="Y890" i="7" s="1" a="1"/>
  <c r="R891" i="7"/>
  <c r="Y891" i="7" s="1" a="1"/>
  <c r="R892" i="7"/>
  <c r="Y892" i="7" s="1" a="1"/>
  <c r="R893" i="7"/>
  <c r="Y893" i="7" s="1" a="1"/>
  <c r="R894" i="7"/>
  <c r="Y894" i="7" s="1" a="1"/>
  <c r="R895" i="7"/>
  <c r="Y895" i="7" s="1" a="1"/>
  <c r="R896" i="7"/>
  <c r="Y896" i="7" s="1" a="1"/>
  <c r="R897" i="7"/>
  <c r="Y897" i="7" s="1" a="1"/>
  <c r="R898" i="7"/>
  <c r="Y898" i="7" s="1" a="1"/>
  <c r="R899" i="7"/>
  <c r="Y899" i="7" s="1" a="1"/>
  <c r="R900" i="7"/>
  <c r="Y900" i="7" s="1" a="1"/>
  <c r="R901" i="7"/>
  <c r="Y901" i="7" s="1" a="1"/>
  <c r="R902" i="7"/>
  <c r="Y902" i="7" s="1" a="1"/>
  <c r="R903" i="7"/>
  <c r="Y903" i="7" s="1" a="1"/>
  <c r="R904" i="7"/>
  <c r="Y904" i="7" s="1" a="1"/>
  <c r="R905" i="7"/>
  <c r="Y905" i="7" s="1" a="1"/>
  <c r="R906" i="7"/>
  <c r="Y906" i="7" s="1" a="1"/>
  <c r="R907" i="7"/>
  <c r="Y907" i="7" s="1" a="1"/>
  <c r="R908" i="7"/>
  <c r="Y908" i="7" s="1" a="1"/>
  <c r="R909" i="7"/>
  <c r="Y909" i="7" s="1" a="1"/>
  <c r="R910" i="7"/>
  <c r="Y910" i="7" s="1" a="1"/>
  <c r="R911" i="7"/>
  <c r="Y911" i="7" s="1" a="1"/>
  <c r="R912" i="7"/>
  <c r="Y912" i="7" s="1" a="1"/>
  <c r="R913" i="7"/>
  <c r="Y913" i="7" s="1" a="1"/>
  <c r="R914" i="7"/>
  <c r="Y914" i="7" s="1" a="1"/>
  <c r="R915" i="7"/>
  <c r="Y915" i="7" s="1" a="1"/>
  <c r="R916" i="7"/>
  <c r="Y916" i="7" s="1" a="1"/>
  <c r="R917" i="7"/>
  <c r="Y917" i="7" s="1" a="1"/>
  <c r="R918" i="7"/>
  <c r="Y918" i="7" s="1" a="1"/>
  <c r="R919" i="7"/>
  <c r="Y919" i="7" s="1" a="1"/>
  <c r="R920" i="7"/>
  <c r="Y920" i="7" s="1" a="1"/>
  <c r="R921" i="7"/>
  <c r="Y921" i="7" s="1" a="1"/>
  <c r="R922" i="7"/>
  <c r="Y922" i="7" s="1" a="1"/>
  <c r="R923" i="7"/>
  <c r="Y923" i="7" s="1" a="1"/>
  <c r="R924" i="7"/>
  <c r="Y924" i="7" s="1" a="1"/>
  <c r="R925" i="7"/>
  <c r="Y925" i="7" s="1" a="1"/>
  <c r="R926" i="7"/>
  <c r="Y926" i="7" s="1" a="1"/>
  <c r="R927" i="7"/>
  <c r="Y927" i="7" s="1" a="1"/>
  <c r="R928" i="7"/>
  <c r="Y928" i="7" s="1" a="1"/>
  <c r="R929" i="7"/>
  <c r="Y929" i="7" s="1" a="1"/>
  <c r="R930" i="7"/>
  <c r="Y930" i="7" s="1" a="1"/>
  <c r="R931" i="7"/>
  <c r="Y931" i="7" s="1" a="1"/>
  <c r="R932" i="7"/>
  <c r="Y932" i="7" s="1" a="1"/>
  <c r="R933" i="7"/>
  <c r="Y933" i="7" s="1" a="1"/>
  <c r="R934" i="7"/>
  <c r="Y934" i="7" s="1" a="1"/>
  <c r="R935" i="7"/>
  <c r="Y935" i="7" s="1" a="1"/>
  <c r="R936" i="7"/>
  <c r="Y936" i="7" s="1" a="1"/>
  <c r="R937" i="7"/>
  <c r="Y937" i="7" s="1" a="1"/>
  <c r="R938" i="7"/>
  <c r="Y938" i="7" s="1" a="1"/>
  <c r="R939" i="7"/>
  <c r="Y939" i="7" s="1" a="1"/>
  <c r="R940" i="7"/>
  <c r="Y940" i="7" s="1" a="1"/>
  <c r="R941" i="7"/>
  <c r="Y941" i="7" s="1" a="1"/>
  <c r="R942" i="7"/>
  <c r="Y942" i="7" s="1" a="1"/>
  <c r="R943" i="7"/>
  <c r="Y943" i="7" s="1" a="1"/>
  <c r="R944" i="7"/>
  <c r="Y944" i="7" s="1" a="1"/>
  <c r="R945" i="7"/>
  <c r="Y945" i="7" s="1" a="1"/>
  <c r="R946" i="7"/>
  <c r="Y946" i="7" s="1" a="1"/>
  <c r="R947" i="7"/>
  <c r="Y947" i="7" s="1" a="1"/>
  <c r="R948" i="7"/>
  <c r="Y948" i="7" s="1" a="1"/>
  <c r="R949" i="7"/>
  <c r="Y949" i="7" s="1" a="1"/>
  <c r="R950" i="7"/>
  <c r="Y950" i="7" s="1" a="1"/>
  <c r="R951" i="7"/>
  <c r="Y951" i="7" s="1" a="1"/>
  <c r="R952" i="7"/>
  <c r="Y952" i="7" s="1" a="1"/>
  <c r="R953" i="7"/>
  <c r="Y953" i="7" s="1" a="1"/>
  <c r="R954" i="7"/>
  <c r="Y954" i="7" s="1" a="1"/>
  <c r="R955" i="7"/>
  <c r="Y955" i="7" s="1" a="1"/>
  <c r="R956" i="7"/>
  <c r="Y956" i="7" s="1" a="1"/>
  <c r="R957" i="7"/>
  <c r="Y957" i="7" s="1" a="1"/>
  <c r="R958" i="7"/>
  <c r="Y958" i="7" s="1" a="1"/>
  <c r="R959" i="7"/>
  <c r="Y959" i="7" s="1" a="1"/>
  <c r="R960" i="7"/>
  <c r="Y960" i="7" s="1" a="1"/>
  <c r="R961" i="7"/>
  <c r="Y961" i="7" s="1" a="1"/>
  <c r="R962" i="7"/>
  <c r="Y962" i="7" s="1" a="1"/>
  <c r="R963" i="7"/>
  <c r="Y963" i="7" s="1" a="1"/>
  <c r="R964" i="7"/>
  <c r="Y964" i="7" s="1" a="1"/>
  <c r="R965" i="7"/>
  <c r="Y965" i="7" s="1" a="1"/>
  <c r="R966" i="7"/>
  <c r="Y966" i="7" s="1" a="1"/>
  <c r="R967" i="7"/>
  <c r="Y967" i="7" s="1" a="1"/>
  <c r="R968" i="7"/>
  <c r="Y968" i="7" s="1" a="1"/>
  <c r="R969" i="7"/>
  <c r="Y969" i="7" s="1" a="1"/>
  <c r="R970" i="7"/>
  <c r="Y970" i="7" s="1" a="1"/>
  <c r="R971" i="7"/>
  <c r="Y971" i="7" s="1" a="1"/>
  <c r="R972" i="7"/>
  <c r="Y972" i="7" s="1" a="1"/>
  <c r="R973" i="7"/>
  <c r="Y973" i="7" s="1" a="1"/>
  <c r="R974" i="7"/>
  <c r="Y974" i="7" s="1" a="1"/>
  <c r="R975" i="7"/>
  <c r="Y975" i="7" s="1" a="1"/>
  <c r="R976" i="7"/>
  <c r="Y976" i="7" s="1" a="1"/>
  <c r="R977" i="7"/>
  <c r="Y977" i="7" s="1" a="1"/>
  <c r="R978" i="7"/>
  <c r="Y978" i="7" s="1" a="1"/>
  <c r="R979" i="7"/>
  <c r="Y979" i="7" s="1" a="1"/>
  <c r="R980" i="7"/>
  <c r="Y980" i="7" s="1" a="1"/>
  <c r="R981" i="7"/>
  <c r="Y981" i="7" s="1" a="1"/>
  <c r="R982" i="7"/>
  <c r="Y982" i="7" s="1" a="1"/>
  <c r="R983" i="7"/>
  <c r="Y983" i="7" s="1" a="1"/>
  <c r="R984" i="7"/>
  <c r="Y984" i="7" s="1" a="1"/>
  <c r="R985" i="7"/>
  <c r="Y985" i="7" s="1" a="1"/>
  <c r="R986" i="7"/>
  <c r="Y986" i="7" s="1" a="1"/>
  <c r="R987" i="7"/>
  <c r="Y987" i="7" s="1" a="1"/>
  <c r="R988" i="7"/>
  <c r="Y988" i="7" s="1" a="1"/>
  <c r="R989" i="7"/>
  <c r="Y989" i="7" s="1" a="1"/>
  <c r="R990" i="7"/>
  <c r="Y990" i="7" s="1" a="1"/>
  <c r="R991" i="7"/>
  <c r="Y991" i="7" s="1" a="1"/>
  <c r="R992" i="7"/>
  <c r="Y992" i="7" s="1" a="1"/>
  <c r="R993" i="7"/>
  <c r="Y993" i="7" s="1" a="1"/>
  <c r="R994" i="7"/>
  <c r="Y994" i="7" s="1" a="1"/>
  <c r="R995" i="7"/>
  <c r="Y995" i="7" s="1" a="1"/>
  <c r="R996" i="7"/>
  <c r="Y996" i="7" s="1" a="1"/>
  <c r="R997" i="7"/>
  <c r="Y997" i="7" s="1" a="1"/>
  <c r="R998" i="7"/>
  <c r="Y998" i="7" s="1" a="1"/>
  <c r="R999" i="7"/>
  <c r="Y999" i="7" s="1" a="1"/>
  <c r="R1000" i="7"/>
  <c r="Y1000" i="7" s="1" a="1"/>
  <c r="R1001" i="7"/>
  <c r="Y1001" i="7" s="1" a="1"/>
  <c r="R1002" i="7"/>
  <c r="Y1002" i="7" s="1" a="1"/>
  <c r="R1003" i="7"/>
  <c r="Y1003" i="7" s="1" a="1"/>
  <c r="R1004" i="7"/>
  <c r="Y1004" i="7" s="1" a="1"/>
  <c r="R1005" i="7"/>
  <c r="Y1005" i="7" s="1" a="1"/>
  <c r="R1006" i="7"/>
  <c r="Y1006" i="7" s="1" a="1"/>
  <c r="R1007" i="7"/>
  <c r="Y1007" i="7" s="1" a="1"/>
  <c r="R1008" i="7"/>
  <c r="Y1008" i="7" s="1" a="1"/>
  <c r="R1009" i="7"/>
  <c r="Y1009" i="7" s="1" a="1"/>
  <c r="R1010" i="7"/>
  <c r="Y1010" i="7" s="1" a="1"/>
  <c r="R1011" i="7"/>
  <c r="Y1011" i="7" s="1" a="1"/>
  <c r="R1012" i="7"/>
  <c r="Y1012" i="7" s="1" a="1"/>
  <c r="R1013" i="7"/>
  <c r="Y1013" i="7" s="1" a="1"/>
  <c r="R1014" i="7"/>
  <c r="Y1014" i="7" s="1" a="1"/>
  <c r="R1015" i="7"/>
  <c r="Y1015" i="7" s="1" a="1"/>
  <c r="R1016" i="7"/>
  <c r="Y1016" i="7" s="1" a="1"/>
  <c r="R1017" i="7"/>
  <c r="Y1017" i="7" s="1" a="1"/>
  <c r="R1018" i="7"/>
  <c r="Y1018" i="7" s="1" a="1"/>
  <c r="R1019" i="7"/>
  <c r="Y1019" i="7" s="1" a="1"/>
  <c r="R1020" i="7"/>
  <c r="Y1020" i="7" s="1" a="1"/>
  <c r="R1021" i="7"/>
  <c r="Y1021" i="7" s="1" a="1"/>
  <c r="R1022" i="7"/>
  <c r="Y1022" i="7" s="1" a="1"/>
  <c r="R1023" i="7"/>
  <c r="Y1023" i="7" s="1" a="1"/>
  <c r="R1024" i="7"/>
  <c r="Y1024" i="7" s="1" a="1"/>
  <c r="R1025" i="7"/>
  <c r="Y1025" i="7" s="1" a="1"/>
  <c r="R1026" i="7"/>
  <c r="Y1026" i="7" s="1" a="1"/>
  <c r="R1027" i="7"/>
  <c r="Y1027" i="7" s="1" a="1"/>
  <c r="R1028" i="7"/>
  <c r="Y1028" i="7" s="1" a="1"/>
  <c r="R1029" i="7"/>
  <c r="Y1029" i="7" s="1" a="1"/>
  <c r="R1030" i="7"/>
  <c r="Y1030" i="7" s="1" a="1"/>
  <c r="R1031" i="7"/>
  <c r="Y1031" i="7" s="1" a="1"/>
  <c r="R1032" i="7"/>
  <c r="Y1032" i="7" s="1" a="1"/>
  <c r="R1033" i="7"/>
  <c r="Y1033" i="7" s="1" a="1"/>
  <c r="R1034" i="7"/>
  <c r="Y1034" i="7" s="1" a="1"/>
  <c r="R1035" i="7"/>
  <c r="Y1035" i="7" s="1" a="1"/>
  <c r="R1036" i="7"/>
  <c r="Y1036" i="7" s="1" a="1"/>
  <c r="R1037" i="7"/>
  <c r="Y1037" i="7" s="1" a="1"/>
  <c r="R1038" i="7"/>
  <c r="Y1038" i="7" s="1" a="1"/>
  <c r="R1039" i="7"/>
  <c r="Y1039" i="7" s="1" a="1"/>
  <c r="R1040" i="7"/>
  <c r="Y1040" i="7" s="1" a="1"/>
  <c r="R1041" i="7"/>
  <c r="Y1041" i="7" s="1" a="1"/>
  <c r="R1042" i="7"/>
  <c r="Y1042" i="7" s="1" a="1"/>
  <c r="R1043" i="7"/>
  <c r="Y1043" i="7" s="1" a="1"/>
  <c r="R1044" i="7"/>
  <c r="Y1044" i="7" s="1" a="1"/>
  <c r="R1045" i="7"/>
  <c r="Y1045" i="7" s="1" a="1"/>
  <c r="R1046" i="7"/>
  <c r="Y1046" i="7" s="1" a="1"/>
  <c r="R1047" i="7"/>
  <c r="Y1047" i="7" s="1" a="1"/>
  <c r="R1048" i="7"/>
  <c r="Y1048" i="7" s="1" a="1"/>
  <c r="R1049" i="7"/>
  <c r="Y1049" i="7" s="1" a="1"/>
  <c r="R1050" i="7"/>
  <c r="Y1050" i="7" s="1" a="1"/>
  <c r="R1051" i="7"/>
  <c r="Y1051" i="7" s="1" a="1"/>
  <c r="R1052" i="7"/>
  <c r="Y1052" i="7" s="1" a="1"/>
  <c r="R1053" i="7"/>
  <c r="Y1053" i="7" s="1" a="1"/>
  <c r="R1054" i="7"/>
  <c r="Y1054" i="7" s="1" a="1"/>
  <c r="R1055" i="7"/>
  <c r="Y1055" i="7" s="1" a="1"/>
  <c r="R1056" i="7"/>
  <c r="Y1056" i="7" s="1" a="1"/>
  <c r="R1057" i="7"/>
  <c r="Y1057" i="7" s="1" a="1"/>
  <c r="R1058" i="7"/>
  <c r="Y1058" i="7" s="1" a="1"/>
  <c r="R1059" i="7"/>
  <c r="Y1059" i="7" s="1" a="1"/>
  <c r="R1060" i="7"/>
  <c r="Y1060" i="7" s="1" a="1"/>
  <c r="R1061" i="7"/>
  <c r="Y1061" i="7" s="1" a="1"/>
  <c r="R1062" i="7"/>
  <c r="Y1062" i="7" s="1" a="1"/>
  <c r="R1063" i="7"/>
  <c r="Y1063" i="7" s="1" a="1"/>
  <c r="R1064" i="7"/>
  <c r="Y1064" i="7" s="1" a="1"/>
  <c r="R1065" i="7"/>
  <c r="Y1065" i="7" s="1" a="1"/>
  <c r="R1066" i="7"/>
  <c r="Y1066" i="7" s="1" a="1"/>
  <c r="R1067" i="7"/>
  <c r="Y1067" i="7" s="1" a="1"/>
  <c r="R1068" i="7"/>
  <c r="Y1068" i="7" s="1" a="1"/>
  <c r="R1069" i="7"/>
  <c r="Y1069" i="7" s="1" a="1"/>
  <c r="R1070" i="7"/>
  <c r="Y1070" i="7" s="1" a="1"/>
  <c r="R1071" i="7"/>
  <c r="Y1071" i="7" s="1" a="1"/>
  <c r="R1072" i="7"/>
  <c r="Y1072" i="7" s="1" a="1"/>
  <c r="R1073" i="7"/>
  <c r="Y1073" i="7" s="1" a="1"/>
  <c r="R1074" i="7"/>
  <c r="Y1074" i="7" s="1" a="1"/>
  <c r="R1075" i="7"/>
  <c r="Y1075" i="7" s="1" a="1"/>
  <c r="R1076" i="7"/>
  <c r="Y1076" i="7" s="1" a="1"/>
  <c r="R1077" i="7"/>
  <c r="Y1077" i="7" s="1" a="1"/>
  <c r="R1078" i="7"/>
  <c r="Y1078" i="7" s="1" a="1"/>
  <c r="R1079" i="7"/>
  <c r="Y1079" i="7" s="1" a="1"/>
  <c r="R1080" i="7"/>
  <c r="Y1080" i="7" s="1" a="1"/>
  <c r="R1081" i="7"/>
  <c r="Y1081" i="7" s="1" a="1"/>
  <c r="R1082" i="7"/>
  <c r="Y1082" i="7" s="1" a="1"/>
  <c r="R1083" i="7"/>
  <c r="Y1083" i="7" s="1" a="1"/>
  <c r="R1084" i="7"/>
  <c r="Y1084" i="7" s="1" a="1"/>
  <c r="R1085" i="7"/>
  <c r="Y1085" i="7" s="1" a="1"/>
  <c r="R1086" i="7"/>
  <c r="Y1086" i="7" s="1" a="1"/>
  <c r="R1087" i="7"/>
  <c r="Y1087" i="7" s="1" a="1"/>
  <c r="R1088" i="7"/>
  <c r="Y1088" i="7" s="1" a="1"/>
  <c r="R1089" i="7"/>
  <c r="Y1089" i="7" s="1" a="1"/>
  <c r="R1090" i="7"/>
  <c r="Y1090" i="7" s="1" a="1"/>
  <c r="R1091" i="7"/>
  <c r="Y1091" i="7" s="1" a="1"/>
  <c r="R1092" i="7"/>
  <c r="Y1092" i="7" s="1" a="1"/>
  <c r="R1093" i="7"/>
  <c r="Y1093" i="7" s="1" a="1"/>
  <c r="R1094" i="7"/>
  <c r="Y1094" i="7" s="1" a="1"/>
  <c r="R1095" i="7"/>
  <c r="Y1095" i="7" s="1" a="1"/>
  <c r="R1096" i="7"/>
  <c r="Y1096" i="7" s="1" a="1"/>
  <c r="R1097" i="7"/>
  <c r="Y1097" i="7" s="1" a="1"/>
  <c r="R1098" i="7"/>
  <c r="Y1098" i="7" s="1" a="1"/>
  <c r="R1099" i="7"/>
  <c r="Y1099" i="7" s="1" a="1"/>
  <c r="R1100" i="7"/>
  <c r="Y1100" i="7" s="1" a="1"/>
  <c r="R1101" i="7"/>
  <c r="Y1101" i="7" s="1" a="1"/>
  <c r="R1102" i="7"/>
  <c r="Y1102" i="7" s="1" a="1"/>
  <c r="R1103" i="7"/>
  <c r="Y1103" i="7" s="1" a="1"/>
  <c r="R1104" i="7"/>
  <c r="Y1104" i="7" s="1" a="1"/>
  <c r="R1105" i="7"/>
  <c r="Y1105" i="7" s="1" a="1"/>
  <c r="R1106" i="7"/>
  <c r="Y1106" i="7" s="1" a="1"/>
  <c r="R1107" i="7"/>
  <c r="Y1107" i="7" s="1" a="1"/>
  <c r="R1108" i="7"/>
  <c r="Y1108" i="7" s="1" a="1"/>
  <c r="R1109" i="7"/>
  <c r="Y1109" i="7" s="1" a="1"/>
  <c r="R1110" i="7"/>
  <c r="Y1110" i="7" s="1" a="1"/>
  <c r="R1111" i="7"/>
  <c r="Y1111" i="7" s="1" a="1"/>
  <c r="R1112" i="7"/>
  <c r="Y1112" i="7" s="1" a="1"/>
  <c r="R1113" i="7"/>
  <c r="Y1113" i="7" s="1" a="1"/>
  <c r="R1114" i="7"/>
  <c r="Y1114" i="7" s="1" a="1"/>
  <c r="R1115" i="7"/>
  <c r="Y1115" i="7" s="1" a="1"/>
  <c r="R1116" i="7"/>
  <c r="Y1116" i="7" s="1" a="1"/>
  <c r="R1117" i="7"/>
  <c r="Y1117" i="7" s="1" a="1"/>
  <c r="R1118" i="7"/>
  <c r="Y1118" i="7" s="1" a="1"/>
  <c r="R1119" i="7"/>
  <c r="Y1119" i="7" s="1" a="1"/>
  <c r="R1120" i="7"/>
  <c r="Y1120" i="7" s="1" a="1"/>
  <c r="R1121" i="7"/>
  <c r="Y1121" i="7" s="1" a="1"/>
  <c r="R1122" i="7"/>
  <c r="Y1122" i="7" s="1" a="1"/>
  <c r="R1123" i="7"/>
  <c r="Y1123" i="7" s="1" a="1"/>
  <c r="R1124" i="7"/>
  <c r="Y1124" i="7" s="1" a="1"/>
  <c r="R1125" i="7"/>
  <c r="Y1125" i="7" s="1" a="1"/>
  <c r="R1126" i="7"/>
  <c r="Y1126" i="7" s="1" a="1"/>
  <c r="R1127" i="7"/>
  <c r="Y1127" i="7" s="1" a="1"/>
  <c r="R1128" i="7"/>
  <c r="Y1128" i="7" s="1" a="1"/>
  <c r="R1129" i="7"/>
  <c r="Y1129" i="7" s="1" a="1"/>
  <c r="R1130" i="7"/>
  <c r="Y1130" i="7" s="1" a="1"/>
  <c r="R1131" i="7"/>
  <c r="Y1131" i="7" s="1" a="1"/>
  <c r="R1132" i="7"/>
  <c r="Y1132" i="7" s="1" a="1"/>
  <c r="R1133" i="7"/>
  <c r="Y1133" i="7" s="1" a="1"/>
  <c r="R1134" i="7"/>
  <c r="Y1134" i="7" s="1" a="1"/>
  <c r="R1135" i="7"/>
  <c r="Y1135" i="7" s="1" a="1"/>
  <c r="R1136" i="7"/>
  <c r="Y1136" i="7" s="1" a="1"/>
  <c r="R1137" i="7"/>
  <c r="Y1137" i="7" s="1" a="1"/>
  <c r="R1138" i="7"/>
  <c r="Y1138" i="7" s="1" a="1"/>
  <c r="R1139" i="7"/>
  <c r="Y1139" i="7" s="1" a="1"/>
  <c r="R1140" i="7"/>
  <c r="Y1140" i="7" s="1" a="1"/>
  <c r="R1141" i="7"/>
  <c r="Y1141" i="7" s="1" a="1"/>
  <c r="R1142" i="7"/>
  <c r="Y1142" i="7" s="1" a="1"/>
  <c r="R1143" i="7"/>
  <c r="Y1143" i="7" s="1" a="1"/>
  <c r="R1144" i="7"/>
  <c r="Y1144" i="7" s="1" a="1"/>
  <c r="R1145" i="7"/>
  <c r="Y1145" i="7" s="1" a="1"/>
  <c r="R1146" i="7"/>
  <c r="Y1146" i="7" s="1" a="1"/>
  <c r="R1147" i="7"/>
  <c r="Y1147" i="7" s="1" a="1"/>
  <c r="R1148" i="7"/>
  <c r="Y1148" i="7" s="1" a="1"/>
  <c r="R1149" i="7"/>
  <c r="Y1149" i="7" s="1" a="1"/>
  <c r="R1150" i="7"/>
  <c r="Y1150" i="7" s="1" a="1"/>
  <c r="R1151" i="7"/>
  <c r="Y1151" i="7" s="1" a="1"/>
  <c r="R1152" i="7"/>
  <c r="Y1152" i="7" s="1" a="1"/>
  <c r="R1153" i="7"/>
  <c r="Y1153" i="7" s="1" a="1"/>
  <c r="R1154" i="7"/>
  <c r="Y1154" i="7" s="1" a="1"/>
  <c r="R1155" i="7"/>
  <c r="Y1155" i="7" s="1" a="1"/>
  <c r="R1156" i="7"/>
  <c r="Y1156" i="7" s="1" a="1"/>
  <c r="R1157" i="7"/>
  <c r="Y1157" i="7" s="1" a="1"/>
  <c r="R1158" i="7"/>
  <c r="Y1158" i="7" s="1" a="1"/>
  <c r="R1159" i="7"/>
  <c r="Y1159" i="7" s="1" a="1"/>
  <c r="R1160" i="7"/>
  <c r="Y1160" i="7" s="1" a="1"/>
  <c r="R1161" i="7"/>
  <c r="Y1161" i="7" s="1" a="1"/>
  <c r="R1162" i="7"/>
  <c r="Y1162" i="7" s="1" a="1"/>
  <c r="R1163" i="7"/>
  <c r="Y1163" i="7" s="1" a="1"/>
  <c r="R1164" i="7"/>
  <c r="Y1164" i="7" s="1" a="1"/>
  <c r="R1165" i="7"/>
  <c r="Y1165" i="7" s="1" a="1"/>
  <c r="R1166" i="7"/>
  <c r="Y1166" i="7" s="1" a="1"/>
  <c r="R1167" i="7"/>
  <c r="Y1167" i="7" s="1" a="1"/>
  <c r="R1168" i="7"/>
  <c r="Y1168" i="7" s="1" a="1"/>
  <c r="R1169" i="7"/>
  <c r="Y1169" i="7" s="1" a="1"/>
  <c r="R1170" i="7"/>
  <c r="Y1170" i="7" s="1" a="1"/>
  <c r="R1171" i="7"/>
  <c r="Y1171" i="7" s="1" a="1"/>
  <c r="R1172" i="7"/>
  <c r="Y1172" i="7" s="1" a="1"/>
  <c r="R1173" i="7"/>
  <c r="Y1173" i="7" s="1" a="1"/>
  <c r="R1174" i="7"/>
  <c r="Y1174" i="7" s="1" a="1"/>
  <c r="R1175" i="7"/>
  <c r="Y1175" i="7" s="1" a="1"/>
  <c r="R1176" i="7"/>
  <c r="Y1176" i="7" s="1" a="1"/>
  <c r="R1177" i="7"/>
  <c r="Y1177" i="7" s="1" a="1"/>
  <c r="R1178" i="7"/>
  <c r="Y1178" i="7" s="1" a="1"/>
  <c r="R1179" i="7"/>
  <c r="Y1179" i="7" s="1" a="1"/>
  <c r="R1180" i="7"/>
  <c r="Y1180" i="7" s="1" a="1"/>
  <c r="R1181" i="7"/>
  <c r="Y1181" i="7" s="1" a="1"/>
  <c r="R1182" i="7"/>
  <c r="Y1182" i="7" s="1" a="1"/>
  <c r="R1183" i="7"/>
  <c r="Y1183" i="7" s="1" a="1"/>
  <c r="R1184" i="7"/>
  <c r="Y1184" i="7" s="1" a="1"/>
  <c r="R1185" i="7"/>
  <c r="Y1185" i="7" s="1" a="1"/>
  <c r="R1186" i="7"/>
  <c r="Y1186" i="7" s="1" a="1"/>
  <c r="R1187" i="7"/>
  <c r="Y1187" i="7" s="1" a="1"/>
  <c r="R1188" i="7"/>
  <c r="Y1188" i="7" s="1" a="1"/>
  <c r="R1189" i="7"/>
  <c r="Y1189" i="7" s="1" a="1"/>
  <c r="R1190" i="7"/>
  <c r="Y1190" i="7" s="1" a="1"/>
  <c r="R1191" i="7"/>
  <c r="Y1191" i="7" s="1" a="1"/>
  <c r="R1192" i="7"/>
  <c r="Y1192" i="7" s="1" a="1"/>
  <c r="R1193" i="7"/>
  <c r="Y1193" i="7" s="1" a="1"/>
  <c r="R1194" i="7"/>
  <c r="Y1194" i="7" s="1" a="1"/>
  <c r="R1195" i="7"/>
  <c r="Y1195" i="7" s="1" a="1"/>
  <c r="R1196" i="7"/>
  <c r="Y1196" i="7" s="1" a="1"/>
  <c r="R1197" i="7"/>
  <c r="Y1197" i="7" s="1" a="1"/>
  <c r="R1198" i="7"/>
  <c r="Y1198" i="7" s="1" a="1"/>
  <c r="R1199" i="7"/>
  <c r="Y1199" i="7" s="1" a="1"/>
  <c r="R1200" i="7"/>
  <c r="Y1200" i="7" s="1" a="1"/>
  <c r="R1201" i="7"/>
  <c r="Y1201" i="7" s="1" a="1"/>
  <c r="R1202" i="7"/>
  <c r="Y1202" i="7" s="1" a="1"/>
  <c r="R1203" i="7"/>
  <c r="Y1203" i="7" s="1" a="1"/>
  <c r="R1204" i="7"/>
  <c r="Y1204" i="7" s="1" a="1"/>
  <c r="R1205" i="7"/>
  <c r="Y1205" i="7" s="1" a="1"/>
  <c r="R1206" i="7"/>
  <c r="Y1206" i="7" s="1" a="1"/>
  <c r="R1207" i="7"/>
  <c r="Y1207" i="7" s="1" a="1"/>
  <c r="R1208" i="7"/>
  <c r="Y1208" i="7" s="1" a="1"/>
  <c r="R1209" i="7"/>
  <c r="Y1209" i="7" s="1" a="1"/>
  <c r="R1210" i="7"/>
  <c r="Y1210" i="7" s="1" a="1"/>
  <c r="R1211" i="7"/>
  <c r="Y1211" i="7" s="1" a="1"/>
  <c r="R1212" i="7"/>
  <c r="Y1212" i="7" s="1" a="1"/>
  <c r="R1213" i="7"/>
  <c r="Y1213" i="7" s="1" a="1"/>
  <c r="R1214" i="7"/>
  <c r="Y1214" i="7" s="1" a="1"/>
  <c r="R1215" i="7"/>
  <c r="Y1215" i="7" s="1" a="1"/>
  <c r="R1216" i="7"/>
  <c r="Y1216" i="7" s="1" a="1"/>
  <c r="R1217" i="7"/>
  <c r="Y1217" i="7" s="1" a="1"/>
  <c r="R1218" i="7"/>
  <c r="Y1218" i="7" s="1" a="1"/>
  <c r="R1219" i="7"/>
  <c r="Y1219" i="7" s="1" a="1"/>
  <c r="R1220" i="7"/>
  <c r="Y1220" i="7" s="1" a="1"/>
  <c r="R1221" i="7"/>
  <c r="Y1221" i="7" s="1" a="1"/>
  <c r="R1222" i="7"/>
  <c r="Y1222" i="7" s="1" a="1"/>
  <c r="R1223" i="7"/>
  <c r="Y1223" i="7" s="1" a="1"/>
  <c r="R1224" i="7"/>
  <c r="Y1224" i="7" s="1" a="1"/>
  <c r="R1225" i="7"/>
  <c r="Y1225" i="7" s="1" a="1"/>
  <c r="R1226" i="7"/>
  <c r="Y1226" i="7" s="1" a="1"/>
  <c r="R1227" i="7"/>
  <c r="Y1227" i="7" s="1" a="1"/>
  <c r="R1228" i="7"/>
  <c r="Y1228" i="7" s="1" a="1"/>
  <c r="R1229" i="7"/>
  <c r="Y1229" i="7" s="1" a="1"/>
  <c r="R1230" i="7"/>
  <c r="Y1230" i="7" s="1" a="1"/>
  <c r="R1231" i="7"/>
  <c r="Y1231" i="7" s="1" a="1"/>
  <c r="R1232" i="7"/>
  <c r="Y1232" i="7" s="1" a="1"/>
  <c r="R1233" i="7"/>
  <c r="Y1233" i="7" s="1" a="1"/>
  <c r="R1234" i="7"/>
  <c r="Y1234" i="7" s="1" a="1"/>
  <c r="R1235" i="7"/>
  <c r="Y1235" i="7" s="1" a="1"/>
  <c r="R1236" i="7"/>
  <c r="Y1236" i="7" s="1" a="1"/>
  <c r="R1237" i="7"/>
  <c r="Y1237" i="7" s="1" a="1"/>
  <c r="R1238" i="7"/>
  <c r="Y1238" i="7" s="1" a="1"/>
  <c r="R1239" i="7"/>
  <c r="Y1239" i="7" s="1" a="1"/>
  <c r="R1240" i="7"/>
  <c r="Y1240" i="7" s="1" a="1"/>
  <c r="R1241" i="7"/>
  <c r="Y1241" i="7" s="1" a="1"/>
  <c r="R1242" i="7"/>
  <c r="Y1242" i="7" s="1" a="1"/>
  <c r="R1243" i="7"/>
  <c r="Y1243" i="7" s="1" a="1"/>
  <c r="R1244" i="7"/>
  <c r="Y1244" i="7" s="1" a="1"/>
  <c r="R1245" i="7"/>
  <c r="Y1245" i="7" s="1" a="1"/>
  <c r="R1246" i="7"/>
  <c r="Y1246" i="7" s="1" a="1"/>
  <c r="R1247" i="7"/>
  <c r="Y1247" i="7" s="1" a="1"/>
  <c r="R1248" i="7"/>
  <c r="Y1248" i="7" s="1" a="1"/>
  <c r="R1249" i="7"/>
  <c r="Y1249" i="7" s="1" a="1"/>
  <c r="R1250" i="7"/>
  <c r="Y1250" i="7" s="1" a="1"/>
  <c r="R1251" i="7"/>
  <c r="Y1251" i="7" s="1" a="1"/>
  <c r="R1252" i="7"/>
  <c r="Y1252" i="7" s="1" a="1"/>
  <c r="R1253" i="7"/>
  <c r="Y1253" i="7" s="1" a="1"/>
  <c r="R1254" i="7"/>
  <c r="Y1254" i="7" s="1" a="1"/>
  <c r="R1255" i="7"/>
  <c r="Y1255" i="7" s="1" a="1"/>
  <c r="R1256" i="7"/>
  <c r="Y1256" i="7" s="1" a="1"/>
  <c r="R1257" i="7"/>
  <c r="Y1257" i="7" s="1" a="1"/>
  <c r="R1258" i="7"/>
  <c r="Y1258" i="7" s="1" a="1"/>
  <c r="R1259" i="7"/>
  <c r="Y1259" i="7" s="1" a="1"/>
  <c r="R1260" i="7"/>
  <c r="Y1260" i="7" s="1" a="1"/>
  <c r="R1261" i="7"/>
  <c r="Y1261" i="7" s="1" a="1"/>
  <c r="R1262" i="7"/>
  <c r="Y1262" i="7" s="1" a="1"/>
  <c r="R1263" i="7"/>
  <c r="Y1263" i="7" s="1" a="1"/>
  <c r="R1264" i="7"/>
  <c r="Y1264" i="7" s="1" a="1"/>
  <c r="R1265" i="7"/>
  <c r="Y1265" i="7" s="1" a="1"/>
  <c r="R1266" i="7"/>
  <c r="Y1266" i="7" s="1" a="1"/>
  <c r="R1267" i="7"/>
  <c r="Y1267" i="7" s="1" a="1"/>
  <c r="R1268" i="7"/>
  <c r="Y1268" i="7" s="1" a="1"/>
  <c r="R1269" i="7"/>
  <c r="Y1269" i="7" s="1" a="1"/>
  <c r="R1270" i="7"/>
  <c r="Y1270" i="7" s="1" a="1"/>
  <c r="R1271" i="7"/>
  <c r="Y1271" i="7" s="1" a="1"/>
  <c r="R1272" i="7"/>
  <c r="Y1272" i="7" s="1" a="1"/>
  <c r="R1273" i="7"/>
  <c r="Y1273" i="7" s="1" a="1"/>
  <c r="R1274" i="7"/>
  <c r="Y1274" i="7" s="1" a="1"/>
  <c r="R1275" i="7"/>
  <c r="Y1275" i="7" s="1" a="1"/>
  <c r="R1276" i="7"/>
  <c r="Y1276" i="7" s="1" a="1"/>
  <c r="R1277" i="7"/>
  <c r="Y1277" i="7" s="1" a="1"/>
  <c r="R1278" i="7"/>
  <c r="Y1278" i="7" s="1" a="1"/>
  <c r="R1279" i="7"/>
  <c r="Y1279" i="7" s="1" a="1"/>
  <c r="R1280" i="7"/>
  <c r="Y1280" i="7" s="1" a="1"/>
  <c r="R1281" i="7"/>
  <c r="Y1281" i="7" s="1" a="1"/>
  <c r="R1282" i="7"/>
  <c r="Y1282" i="7" s="1" a="1"/>
  <c r="R1283" i="7"/>
  <c r="Y1283" i="7" s="1" a="1"/>
  <c r="R1284" i="7"/>
  <c r="Y1284" i="7" s="1" a="1"/>
  <c r="R1285" i="7"/>
  <c r="Y1285" i="7" s="1" a="1"/>
  <c r="R1286" i="7"/>
  <c r="Y1286" i="7" s="1" a="1"/>
  <c r="R1287" i="7"/>
  <c r="Y1287" i="7" s="1" a="1"/>
  <c r="R1288" i="7"/>
  <c r="Y1288" i="7" s="1" a="1"/>
  <c r="R1289" i="7"/>
  <c r="Y1289" i="7" s="1" a="1"/>
  <c r="R1290" i="7"/>
  <c r="Y1290" i="7" s="1" a="1"/>
  <c r="R1291" i="7"/>
  <c r="Y1291" i="7" s="1" a="1"/>
  <c r="R1292" i="7"/>
  <c r="Y1292" i="7" s="1" a="1"/>
  <c r="R1293" i="7"/>
  <c r="Y1293" i="7" s="1" a="1"/>
  <c r="R1294" i="7"/>
  <c r="Y1294" i="7" s="1" a="1"/>
  <c r="R1295" i="7"/>
  <c r="Y1295" i="7" s="1" a="1"/>
  <c r="R1296" i="7"/>
  <c r="Y1296" i="7" s="1" a="1"/>
  <c r="R1297" i="7"/>
  <c r="Y1297" i="7" s="1" a="1"/>
  <c r="R1298" i="7"/>
  <c r="Y1298" i="7" s="1" a="1"/>
  <c r="R1299" i="7"/>
  <c r="Y1299" i="7" s="1" a="1"/>
  <c r="R1300" i="7"/>
  <c r="Y1300" i="7" s="1" a="1"/>
  <c r="R1301" i="7"/>
  <c r="Y1301" i="7" s="1" a="1"/>
  <c r="R1302" i="7"/>
  <c r="Y1302" i="7" s="1" a="1"/>
  <c r="R1303" i="7"/>
  <c r="Y1303" i="7" s="1" a="1"/>
  <c r="R1304" i="7"/>
  <c r="Y1304" i="7" s="1" a="1"/>
  <c r="R1305" i="7"/>
  <c r="Y1305" i="7" s="1" a="1"/>
  <c r="R1306" i="7"/>
  <c r="Y1306" i="7" s="1" a="1"/>
  <c r="R1307" i="7"/>
  <c r="Y1307" i="7" s="1" a="1"/>
  <c r="R1308" i="7"/>
  <c r="Y1308" i="7" s="1" a="1"/>
  <c r="R1309" i="7"/>
  <c r="Y1309" i="7" s="1" a="1"/>
  <c r="R1310" i="7"/>
  <c r="Y1310" i="7" s="1" a="1"/>
  <c r="R1311" i="7"/>
  <c r="Y1311" i="7" s="1" a="1"/>
  <c r="R1312" i="7"/>
  <c r="Y1312" i="7" s="1" a="1"/>
  <c r="R1313" i="7"/>
  <c r="Y1313" i="7" s="1" a="1"/>
  <c r="R1314" i="7"/>
  <c r="Y1314" i="7" s="1" a="1"/>
  <c r="R1315" i="7"/>
  <c r="Y1315" i="7" s="1" a="1"/>
  <c r="R1316" i="7"/>
  <c r="Y1316" i="7" s="1" a="1"/>
  <c r="R1317" i="7"/>
  <c r="Y1317" i="7" s="1" a="1"/>
  <c r="R1318" i="7"/>
  <c r="Y1318" i="7" s="1" a="1"/>
  <c r="R1319" i="7"/>
  <c r="Y1319" i="7" s="1" a="1"/>
  <c r="R1320" i="7"/>
  <c r="Y1320" i="7" s="1" a="1"/>
  <c r="R1321" i="7"/>
  <c r="Y1321" i="7" s="1" a="1"/>
  <c r="R1322" i="7"/>
  <c r="Y1322" i="7" s="1" a="1"/>
  <c r="R1323" i="7"/>
  <c r="Y1323" i="7" s="1" a="1"/>
  <c r="R1324" i="7"/>
  <c r="Y1324" i="7" s="1" a="1"/>
  <c r="R1325" i="7"/>
  <c r="Y1325" i="7" s="1" a="1"/>
  <c r="R1326" i="7"/>
  <c r="Y1326" i="7" s="1" a="1"/>
  <c r="R1327" i="7"/>
  <c r="Y1327" i="7" s="1" a="1"/>
  <c r="R1328" i="7"/>
  <c r="Y1328" i="7" s="1" a="1"/>
  <c r="R1329" i="7"/>
  <c r="Y1329" i="7" s="1" a="1"/>
  <c r="R1330" i="7"/>
  <c r="Y1330" i="7" s="1" a="1"/>
  <c r="R1331" i="7"/>
  <c r="Y1331" i="7" s="1" a="1"/>
  <c r="R1332" i="7"/>
  <c r="Y1332" i="7" s="1" a="1"/>
  <c r="R1333" i="7"/>
  <c r="Y1333" i="7" s="1" a="1"/>
  <c r="R1334" i="7"/>
  <c r="Y1334" i="7" s="1" a="1"/>
  <c r="R1335" i="7"/>
  <c r="Y1335" i="7" s="1" a="1"/>
  <c r="R1336" i="7"/>
  <c r="Y1336" i="7" s="1" a="1"/>
  <c r="R1337" i="7"/>
  <c r="Y1337" i="7" s="1" a="1"/>
  <c r="R1338" i="7"/>
  <c r="Y1338" i="7" s="1" a="1"/>
  <c r="R1339" i="7"/>
  <c r="Y1339" i="7" s="1" a="1"/>
  <c r="R1340" i="7"/>
  <c r="Y1340" i="7" s="1" a="1"/>
  <c r="R1341" i="7"/>
  <c r="Y1341" i="7" s="1" a="1"/>
  <c r="R1342" i="7"/>
  <c r="Y1342" i="7" s="1" a="1"/>
  <c r="R1343" i="7"/>
  <c r="Y1343" i="7" s="1" a="1"/>
  <c r="R1344" i="7"/>
  <c r="Y1344" i="7" s="1" a="1"/>
  <c r="R1345" i="7"/>
  <c r="Y1345" i="7" s="1" a="1"/>
  <c r="R1346" i="7"/>
  <c r="Y1346" i="7" s="1" a="1"/>
  <c r="R1347" i="7"/>
  <c r="Y1347" i="7" s="1" a="1"/>
  <c r="R1348" i="7"/>
  <c r="Y1348" i="7" s="1" a="1"/>
  <c r="R1349" i="7"/>
  <c r="Y1349" i="7" s="1" a="1"/>
  <c r="R1350" i="7"/>
  <c r="Y1350" i="7" s="1" a="1"/>
  <c r="R1351" i="7"/>
  <c r="Y1351" i="7" s="1" a="1"/>
  <c r="R1352" i="7"/>
  <c r="Y1352" i="7" s="1" a="1"/>
  <c r="R1353" i="7"/>
  <c r="Y1353" i="7" s="1" a="1"/>
  <c r="R1354" i="7"/>
  <c r="Y1354" i="7" s="1" a="1"/>
  <c r="R1355" i="7"/>
  <c r="Y1355" i="7" s="1" a="1"/>
  <c r="R1356" i="7"/>
  <c r="Y1356" i="7" s="1" a="1"/>
  <c r="R1357" i="7"/>
  <c r="Y1357" i="7" s="1" a="1"/>
  <c r="R1358" i="7"/>
  <c r="Y1358" i="7" s="1" a="1"/>
  <c r="R1359" i="7"/>
  <c r="Y1359" i="7" s="1" a="1"/>
  <c r="R1360" i="7"/>
  <c r="Y1360" i="7" s="1" a="1"/>
  <c r="R1361" i="7"/>
  <c r="Y1361" i="7" s="1" a="1"/>
  <c r="R1362" i="7"/>
  <c r="Y1362" i="7" s="1" a="1"/>
  <c r="R1363" i="7"/>
  <c r="Y1363" i="7" s="1" a="1"/>
  <c r="R1364" i="7"/>
  <c r="Y1364" i="7" s="1" a="1"/>
  <c r="R1365" i="7"/>
  <c r="Y1365" i="7" s="1" a="1"/>
  <c r="R1366" i="7"/>
  <c r="Y1366" i="7" s="1" a="1"/>
  <c r="R1367" i="7"/>
  <c r="Y1367" i="7" s="1" a="1"/>
  <c r="R1368" i="7"/>
  <c r="Y1368" i="7" s="1" a="1"/>
  <c r="R1369" i="7"/>
  <c r="Y1369" i="7" s="1" a="1"/>
  <c r="R1370" i="7"/>
  <c r="Y1370" i="7" s="1" a="1"/>
  <c r="R1371" i="7"/>
  <c r="Y1371" i="7" s="1" a="1"/>
  <c r="R1372" i="7"/>
  <c r="Y1372" i="7" s="1" a="1"/>
  <c r="R1373" i="7"/>
  <c r="Y1373" i="7" s="1" a="1"/>
  <c r="R1374" i="7"/>
  <c r="Y1374" i="7" s="1" a="1"/>
  <c r="R1375" i="7"/>
  <c r="Y1375" i="7" s="1" a="1"/>
  <c r="R1376" i="7"/>
  <c r="Y1376" i="7" s="1" a="1"/>
  <c r="R1377" i="7"/>
  <c r="Y1377" i="7" s="1" a="1"/>
  <c r="R1378" i="7"/>
  <c r="Y1378" i="7" s="1" a="1"/>
  <c r="R1379" i="7"/>
  <c r="Y1379" i="7" s="1" a="1"/>
  <c r="R1380" i="7"/>
  <c r="Y1380" i="7" s="1" a="1"/>
  <c r="R1381" i="7"/>
  <c r="Y1381" i="7" s="1" a="1"/>
  <c r="R1382" i="7"/>
  <c r="Y1382" i="7" s="1" a="1"/>
  <c r="R1383" i="7"/>
  <c r="Y1383" i="7" s="1" a="1"/>
  <c r="R1384" i="7"/>
  <c r="Y1384" i="7" s="1" a="1"/>
  <c r="R1385" i="7"/>
  <c r="Y1385" i="7" s="1" a="1"/>
  <c r="R1386" i="7"/>
  <c r="Y1386" i="7" s="1" a="1"/>
  <c r="R1387" i="7"/>
  <c r="Y1387" i="7" s="1" a="1"/>
  <c r="R1388" i="7"/>
  <c r="Y1388" i="7" s="1" a="1"/>
  <c r="R1389" i="7"/>
  <c r="Y1389" i="7" s="1" a="1"/>
  <c r="R1390" i="7"/>
  <c r="Y1390" i="7" s="1" a="1"/>
  <c r="R1391" i="7"/>
  <c r="Y1391" i="7" s="1" a="1"/>
  <c r="R1392" i="7"/>
  <c r="Y1392" i="7" s="1" a="1"/>
  <c r="R1393" i="7"/>
  <c r="Y1393" i="7" s="1" a="1"/>
  <c r="R1394" i="7"/>
  <c r="Y1394" i="7" s="1" a="1"/>
  <c r="R1395" i="7"/>
  <c r="Y1395" i="7" s="1" a="1"/>
  <c r="R1396" i="7"/>
  <c r="Y1396" i="7" s="1" a="1"/>
  <c r="R1397" i="7"/>
  <c r="Y1397" i="7" s="1" a="1"/>
  <c r="R1398" i="7"/>
  <c r="Y1398" i="7" s="1" a="1"/>
  <c r="R1399" i="7"/>
  <c r="Y1399" i="7" s="1" a="1"/>
  <c r="R1400" i="7"/>
  <c r="Y1400" i="7" s="1" a="1"/>
  <c r="R1401" i="7"/>
  <c r="Y1401" i="7" s="1" a="1"/>
  <c r="R1402" i="7"/>
  <c r="Y1402" i="7" s="1" a="1"/>
  <c r="R1403" i="7"/>
  <c r="Y1403" i="7" s="1" a="1"/>
  <c r="R1404" i="7"/>
  <c r="Y1404" i="7" s="1" a="1"/>
  <c r="R1405" i="7"/>
  <c r="Y1405" i="7" s="1" a="1"/>
  <c r="R1406" i="7"/>
  <c r="Y1406" i="7" s="1" a="1"/>
  <c r="R1407" i="7"/>
  <c r="Y1407" i="7" s="1" a="1"/>
  <c r="R1408" i="7"/>
  <c r="Y1408" i="7" s="1" a="1"/>
  <c r="R1409" i="7"/>
  <c r="Y1409" i="7" s="1" a="1"/>
  <c r="R1410" i="7"/>
  <c r="Y1410" i="7" s="1" a="1"/>
  <c r="R1411" i="7"/>
  <c r="Y1411" i="7" s="1" a="1"/>
  <c r="R1412" i="7"/>
  <c r="Y1412" i="7" s="1" a="1"/>
  <c r="R1413" i="7"/>
  <c r="Y1413" i="7" s="1" a="1"/>
  <c r="R1414" i="7"/>
  <c r="Y1414" i="7" s="1" a="1"/>
  <c r="R1415" i="7"/>
  <c r="Y1415" i="7" s="1" a="1"/>
  <c r="R1416" i="7"/>
  <c r="Y1416" i="7" s="1" a="1"/>
  <c r="R1417" i="7"/>
  <c r="Y1417" i="7" s="1" a="1"/>
  <c r="R1418" i="7"/>
  <c r="Y1418" i="7" s="1" a="1"/>
  <c r="R1419" i="7"/>
  <c r="Y1419" i="7" s="1" a="1"/>
  <c r="R1420" i="7"/>
  <c r="Y1420" i="7" s="1" a="1"/>
  <c r="R1421" i="7"/>
  <c r="Y1421" i="7" s="1" a="1"/>
  <c r="R1422" i="7"/>
  <c r="Y1422" i="7" s="1" a="1"/>
  <c r="R1423" i="7"/>
  <c r="Y1423" i="7" s="1" a="1"/>
  <c r="R1424" i="7"/>
  <c r="Y1424" i="7" s="1" a="1"/>
  <c r="R1425" i="7"/>
  <c r="Y1425" i="7" s="1" a="1"/>
  <c r="R1426" i="7"/>
  <c r="Y1426" i="7" s="1" a="1"/>
  <c r="R1427" i="7"/>
  <c r="Y1427" i="7" s="1" a="1"/>
  <c r="R1428" i="7"/>
  <c r="Y1428" i="7" s="1" a="1"/>
  <c r="R1429" i="7"/>
  <c r="Y1429" i="7" s="1" a="1"/>
  <c r="R1430" i="7"/>
  <c r="Y1430" i="7" s="1" a="1"/>
  <c r="R1431" i="7"/>
  <c r="Y1431" i="7" s="1" a="1"/>
  <c r="R1432" i="7"/>
  <c r="Y1432" i="7" s="1" a="1"/>
  <c r="R1433" i="7"/>
  <c r="Y1433" i="7" s="1" a="1"/>
  <c r="R1434" i="7"/>
  <c r="Y1434" i="7" s="1" a="1"/>
  <c r="R1435" i="7"/>
  <c r="Y1435" i="7" s="1" a="1"/>
  <c r="R1436" i="7"/>
  <c r="Y1436" i="7" s="1" a="1"/>
  <c r="R1437" i="7"/>
  <c r="Y1437" i="7" s="1" a="1"/>
  <c r="R1438" i="7"/>
  <c r="Y1438" i="7" s="1" a="1"/>
  <c r="R1439" i="7"/>
  <c r="Y1439" i="7" s="1" a="1"/>
  <c r="R1440" i="7"/>
  <c r="Y1440" i="7" s="1" a="1"/>
  <c r="R1441" i="7"/>
  <c r="Y1441" i="7" s="1" a="1"/>
  <c r="R1442" i="7"/>
  <c r="Y1442" i="7" s="1" a="1"/>
  <c r="R1443" i="7"/>
  <c r="Y1443" i="7" s="1" a="1"/>
  <c r="R1444" i="7"/>
  <c r="Y1444" i="7" s="1" a="1"/>
  <c r="R1445" i="7"/>
  <c r="Y1445" i="7" s="1" a="1"/>
  <c r="R1446" i="7"/>
  <c r="Y1446" i="7" s="1" a="1"/>
  <c r="R1447" i="7"/>
  <c r="Y1447" i="7" s="1" a="1"/>
  <c r="R1448" i="7"/>
  <c r="Y1448" i="7" s="1" a="1"/>
  <c r="R1449" i="7"/>
  <c r="Y1449" i="7" s="1" a="1"/>
  <c r="R1450" i="7"/>
  <c r="Y1450" i="7" s="1" a="1"/>
  <c r="R1451" i="7"/>
  <c r="Y1451" i="7" s="1" a="1"/>
  <c r="R1452" i="7"/>
  <c r="Y1452" i="7" s="1" a="1"/>
  <c r="R1453" i="7"/>
  <c r="Y1453" i="7" s="1" a="1"/>
  <c r="R1454" i="7"/>
  <c r="Y1454" i="7" s="1" a="1"/>
  <c r="R1455" i="7"/>
  <c r="Y1455" i="7" s="1" a="1"/>
  <c r="R1456" i="7"/>
  <c r="Y1456" i="7" s="1" a="1"/>
  <c r="R1457" i="7"/>
  <c r="Y1457" i="7" s="1" a="1"/>
  <c r="R1458" i="7"/>
  <c r="Y1458" i="7" s="1" a="1"/>
  <c r="R1459" i="7"/>
  <c r="Y1459" i="7" s="1" a="1"/>
  <c r="R1460" i="7"/>
  <c r="Y1460" i="7" s="1" a="1"/>
  <c r="R1461" i="7"/>
  <c r="Y1461" i="7" s="1" a="1"/>
  <c r="R1462" i="7"/>
  <c r="Y1462" i="7" s="1" a="1"/>
  <c r="R1463" i="7"/>
  <c r="Y1463" i="7" s="1" a="1"/>
  <c r="R1464" i="7"/>
  <c r="Y1464" i="7" s="1" a="1"/>
  <c r="R1465" i="7"/>
  <c r="Y1465" i="7" s="1" a="1"/>
  <c r="R1466" i="7"/>
  <c r="Y1466" i="7" s="1" a="1"/>
  <c r="R1467" i="7"/>
  <c r="Y1467" i="7" s="1" a="1"/>
  <c r="R1468" i="7"/>
  <c r="Y1468" i="7" s="1" a="1"/>
  <c r="R1469" i="7"/>
  <c r="Y1469" i="7" s="1" a="1"/>
  <c r="R1470" i="7"/>
  <c r="Y1470" i="7" s="1" a="1"/>
  <c r="R1471" i="7"/>
  <c r="Y1471" i="7" s="1" a="1"/>
  <c r="R1472" i="7"/>
  <c r="Y1472" i="7" s="1" a="1"/>
  <c r="R1473" i="7"/>
  <c r="Y1473" i="7" s="1" a="1"/>
  <c r="R1474" i="7"/>
  <c r="Y1474" i="7" s="1" a="1"/>
  <c r="R1475" i="7"/>
  <c r="Y1475" i="7" s="1" a="1"/>
  <c r="R1476" i="7"/>
  <c r="Y1476" i="7" s="1" a="1"/>
  <c r="R1477" i="7"/>
  <c r="Y1477" i="7" s="1" a="1"/>
  <c r="R1478" i="7"/>
  <c r="Y1478" i="7" s="1" a="1"/>
  <c r="R1479" i="7"/>
  <c r="Y1479" i="7" s="1" a="1"/>
  <c r="R1480" i="7"/>
  <c r="Y1480" i="7" s="1" a="1"/>
  <c r="R1481" i="7"/>
  <c r="Y1481" i="7" s="1" a="1"/>
  <c r="R1482" i="7"/>
  <c r="Y1482" i="7" s="1" a="1"/>
  <c r="R1483" i="7"/>
  <c r="Y1483" i="7" s="1" a="1"/>
  <c r="R1484" i="7"/>
  <c r="Y1484" i="7" s="1" a="1"/>
  <c r="R1485" i="7"/>
  <c r="Y1485" i="7" s="1" a="1"/>
  <c r="R1486" i="7"/>
  <c r="Y1486" i="7" s="1" a="1"/>
  <c r="R1487" i="7"/>
  <c r="Y1487" i="7" s="1" a="1"/>
  <c r="R1488" i="7"/>
  <c r="Y1488" i="7" s="1" a="1"/>
  <c r="R1489" i="7"/>
  <c r="Y1489" i="7" s="1" a="1"/>
  <c r="R1490" i="7"/>
  <c r="Y1490" i="7" s="1" a="1"/>
  <c r="R1491" i="7"/>
  <c r="Y1491" i="7" s="1" a="1"/>
  <c r="R1492" i="7"/>
  <c r="Y1492" i="7" s="1" a="1"/>
  <c r="R1493" i="7"/>
  <c r="Y1493" i="7" s="1" a="1"/>
  <c r="R1494" i="7"/>
  <c r="Y1494" i="7" s="1" a="1"/>
  <c r="R1495" i="7"/>
  <c r="Y1495" i="7" s="1" a="1"/>
  <c r="R1496" i="7"/>
  <c r="Y1496" i="7" s="1" a="1"/>
  <c r="R1497" i="7"/>
  <c r="Y1497" i="7" s="1" a="1"/>
  <c r="R1498" i="7"/>
  <c r="Y1498" i="7" s="1" a="1"/>
  <c r="R1499" i="7"/>
  <c r="Y1499" i="7" s="1" a="1"/>
  <c r="R1500" i="7"/>
  <c r="Y1500" i="7" s="1" a="1"/>
  <c r="R1501" i="7"/>
  <c r="Y1501" i="7" s="1" a="1"/>
  <c r="R1502" i="7"/>
  <c r="Y1502" i="7" s="1" a="1"/>
  <c r="R1503" i="7"/>
  <c r="Y1503" i="7" s="1" a="1"/>
  <c r="R1504" i="7"/>
  <c r="Y1504" i="7" s="1" a="1"/>
  <c r="R1505" i="7"/>
  <c r="Y1505" i="7" s="1" a="1"/>
  <c r="R1506" i="7"/>
  <c r="Y1506" i="7" s="1" a="1"/>
  <c r="R1507" i="7"/>
  <c r="Y1507" i="7" s="1" a="1"/>
  <c r="R1508" i="7"/>
  <c r="Y1508" i="7" s="1" a="1"/>
  <c r="R1509" i="7"/>
  <c r="Y1509" i="7" s="1" a="1"/>
  <c r="R1510" i="7"/>
  <c r="Y1510" i="7" s="1" a="1"/>
  <c r="R1511" i="7"/>
  <c r="Y1511" i="7" s="1" a="1"/>
  <c r="R1512" i="7"/>
  <c r="Y1512" i="7" s="1" a="1"/>
  <c r="R1513" i="7"/>
  <c r="Y1513" i="7" s="1" a="1"/>
  <c r="R1514" i="7"/>
  <c r="Y1514" i="7" s="1" a="1"/>
  <c r="R1515" i="7"/>
  <c r="Y1515" i="7" s="1" a="1"/>
  <c r="R1516" i="7"/>
  <c r="Y1516" i="7" s="1" a="1"/>
  <c r="R1517" i="7"/>
  <c r="Y1517" i="7" s="1" a="1"/>
  <c r="R1518" i="7"/>
  <c r="Y1518" i="7" s="1" a="1"/>
  <c r="R1519" i="7"/>
  <c r="Y1519" i="7" s="1" a="1"/>
  <c r="R1520" i="7"/>
  <c r="Y1520" i="7" s="1" a="1"/>
  <c r="R1521" i="7"/>
  <c r="Y1521" i="7" s="1" a="1"/>
  <c r="R1522" i="7"/>
  <c r="Y1522" i="7" s="1" a="1"/>
  <c r="R1523" i="7"/>
  <c r="Y1523" i="7" s="1" a="1"/>
  <c r="R1524" i="7"/>
  <c r="Y1524" i="7" s="1" a="1"/>
  <c r="R1525" i="7"/>
  <c r="Y1525" i="7" s="1" a="1"/>
  <c r="R1526" i="7"/>
  <c r="Y1526" i="7" s="1" a="1"/>
  <c r="R1527" i="7"/>
  <c r="Y1527" i="7" s="1" a="1"/>
  <c r="R1528" i="7"/>
  <c r="Y1528" i="7" s="1" a="1"/>
  <c r="R1529" i="7"/>
  <c r="Y1529" i="7" s="1" a="1"/>
  <c r="R1530" i="7"/>
  <c r="Y1530" i="7" s="1" a="1"/>
  <c r="R1531" i="7"/>
  <c r="Y1531" i="7" s="1" a="1"/>
  <c r="R1532" i="7"/>
  <c r="Y1532" i="7" s="1" a="1"/>
  <c r="R1533" i="7"/>
  <c r="Y1533" i="7" s="1" a="1"/>
  <c r="R1534" i="7"/>
  <c r="Y1534" i="7" s="1" a="1"/>
  <c r="R1535" i="7"/>
  <c r="Y1535" i="7" s="1" a="1"/>
  <c r="R1536" i="7"/>
  <c r="Y1536" i="7" s="1" a="1"/>
  <c r="R1537" i="7"/>
  <c r="Y1537" i="7" s="1" a="1"/>
  <c r="R1538" i="7"/>
  <c r="Y1538" i="7" s="1" a="1"/>
  <c r="R1539" i="7"/>
  <c r="Y1539" i="7" s="1" a="1"/>
  <c r="R1540" i="7"/>
  <c r="Y1540" i="7" s="1" a="1"/>
  <c r="R1541" i="7"/>
  <c r="Y1541" i="7" s="1" a="1"/>
  <c r="R1542" i="7"/>
  <c r="Y1542" i="7" s="1" a="1"/>
  <c r="R1543" i="7"/>
  <c r="Y1543" i="7" s="1" a="1"/>
  <c r="R1544" i="7"/>
  <c r="Y1544" i="7" s="1" a="1"/>
  <c r="R1545" i="7"/>
  <c r="Y1545" i="7" s="1" a="1"/>
  <c r="R1546" i="7"/>
  <c r="Y1546" i="7" s="1" a="1"/>
  <c r="R1547" i="7"/>
  <c r="Y1547" i="7" s="1" a="1"/>
  <c r="R1548" i="7"/>
  <c r="Y1548" i="7" s="1" a="1"/>
  <c r="R1549" i="7"/>
  <c r="Y1549" i="7" s="1" a="1"/>
  <c r="R1550" i="7"/>
  <c r="Y1550" i="7" s="1" a="1"/>
  <c r="R1551" i="7"/>
  <c r="Y1551" i="7" s="1" a="1"/>
  <c r="R1552" i="7"/>
  <c r="Y1552" i="7" s="1" a="1"/>
  <c r="R1553" i="7"/>
  <c r="Y1553" i="7" s="1" a="1"/>
  <c r="R1554" i="7"/>
  <c r="Y1554" i="7" s="1" a="1"/>
  <c r="R1555" i="7"/>
  <c r="Y1555" i="7" s="1" a="1"/>
  <c r="R1556" i="7"/>
  <c r="Y1556" i="7" s="1" a="1"/>
  <c r="R1557" i="7"/>
  <c r="Y1557" i="7" s="1" a="1"/>
  <c r="R1558" i="7"/>
  <c r="Y1558" i="7" s="1" a="1"/>
  <c r="R1559" i="7"/>
  <c r="Y1559" i="7" s="1" a="1"/>
  <c r="R1560" i="7"/>
  <c r="Y1560" i="7" s="1" a="1"/>
  <c r="R1561" i="7"/>
  <c r="Y1561" i="7" s="1" a="1"/>
  <c r="R1562" i="7"/>
  <c r="Y1562" i="7" s="1" a="1"/>
  <c r="R1563" i="7"/>
  <c r="Y1563" i="7" s="1" a="1"/>
  <c r="R1564" i="7"/>
  <c r="Y1564" i="7" s="1" a="1"/>
  <c r="R1565" i="7"/>
  <c r="Y1565" i="7" s="1" a="1"/>
  <c r="R1566" i="7"/>
  <c r="Y1566" i="7" s="1" a="1"/>
  <c r="R1567" i="7"/>
  <c r="Y1567" i="7" s="1" a="1"/>
  <c r="R1568" i="7"/>
  <c r="Y1568" i="7" s="1" a="1"/>
  <c r="R1569" i="7"/>
  <c r="Y1569" i="7" s="1" a="1"/>
  <c r="R1570" i="7"/>
  <c r="Y1570" i="7" s="1" a="1"/>
  <c r="R1571" i="7"/>
  <c r="Y1571" i="7" s="1" a="1"/>
  <c r="R1572" i="7"/>
  <c r="Y1572" i="7" s="1" a="1"/>
  <c r="R1573" i="7"/>
  <c r="Y1573" i="7" s="1" a="1"/>
  <c r="R1574" i="7"/>
  <c r="Y1574" i="7" s="1" a="1"/>
  <c r="R1575" i="7"/>
  <c r="Y1575" i="7" s="1" a="1"/>
  <c r="R1576" i="7"/>
  <c r="Y1576" i="7" s="1" a="1"/>
  <c r="R1577" i="7"/>
  <c r="Y1577" i="7" s="1" a="1"/>
  <c r="R1578" i="7"/>
  <c r="Y1578" i="7" s="1" a="1"/>
  <c r="R1579" i="7"/>
  <c r="Y1579" i="7" s="1" a="1"/>
  <c r="R1580" i="7"/>
  <c r="Y1580" i="7" s="1" a="1"/>
  <c r="R1581" i="7"/>
  <c r="Y1581" i="7" s="1" a="1"/>
  <c r="R1582" i="7"/>
  <c r="Y1582" i="7" s="1" a="1"/>
  <c r="R1583" i="7"/>
  <c r="Y1583" i="7" s="1" a="1"/>
  <c r="R1584" i="7"/>
  <c r="Y1584" i="7" s="1" a="1"/>
  <c r="R1585" i="7"/>
  <c r="Y1585" i="7" s="1" a="1"/>
  <c r="R1586" i="7"/>
  <c r="Y1586" i="7" s="1" a="1"/>
  <c r="R1587" i="7"/>
  <c r="Y1587" i="7" s="1" a="1"/>
  <c r="R1588" i="7"/>
  <c r="Y1588" i="7" s="1" a="1"/>
  <c r="R1589" i="7"/>
  <c r="Y1589" i="7" s="1" a="1"/>
  <c r="R1590" i="7"/>
  <c r="Y1590" i="7" s="1" a="1"/>
  <c r="R1591" i="7"/>
  <c r="Y1591" i="7" s="1" a="1"/>
  <c r="R1592" i="7"/>
  <c r="Y1592" i="7" s="1" a="1"/>
  <c r="R1593" i="7"/>
  <c r="Y1593" i="7" s="1" a="1"/>
  <c r="R1594" i="7"/>
  <c r="Y1594" i="7" s="1" a="1"/>
  <c r="R1595" i="7"/>
  <c r="Y1595" i="7" s="1" a="1"/>
  <c r="R1596" i="7"/>
  <c r="Y1596" i="7" s="1" a="1"/>
  <c r="R1597" i="7"/>
  <c r="Y1597" i="7" s="1" a="1"/>
  <c r="R1598" i="7"/>
  <c r="Y1598" i="7" s="1" a="1"/>
  <c r="R1599" i="7"/>
  <c r="Y1599" i="7" s="1" a="1"/>
  <c r="R1600" i="7"/>
  <c r="Y1600" i="7" s="1" a="1"/>
  <c r="R1601" i="7"/>
  <c r="Y1601" i="7" s="1" a="1"/>
  <c r="R1602" i="7"/>
  <c r="Y1602" i="7" s="1" a="1"/>
  <c r="R1603" i="7"/>
  <c r="Y1603" i="7" s="1" a="1"/>
  <c r="R1604" i="7"/>
  <c r="Y1604" i="7" s="1" a="1"/>
  <c r="R1605" i="7"/>
  <c r="Y1605" i="7" s="1" a="1"/>
  <c r="R1606" i="7"/>
  <c r="Y1606" i="7" s="1" a="1"/>
  <c r="R1607" i="7"/>
  <c r="Y1607" i="7" s="1" a="1"/>
  <c r="R1608" i="7"/>
  <c r="Y1608" i="7" s="1" a="1"/>
  <c r="R1609" i="7"/>
  <c r="Y1609" i="7" s="1" a="1"/>
  <c r="R1610" i="7"/>
  <c r="Y1610" i="7" s="1" a="1"/>
  <c r="R1611" i="7"/>
  <c r="Y1611" i="7" s="1" a="1"/>
  <c r="R1612" i="7"/>
  <c r="Y1612" i="7" s="1" a="1"/>
  <c r="R1613" i="7"/>
  <c r="Y1613" i="7" s="1" a="1"/>
  <c r="R1614" i="7"/>
  <c r="Y1614" i="7" s="1" a="1"/>
  <c r="R1615" i="7"/>
  <c r="Y1615" i="7" s="1" a="1"/>
  <c r="R1616" i="7"/>
  <c r="Y1616" i="7" s="1" a="1"/>
  <c r="R1617" i="7"/>
  <c r="Y1617" i="7" s="1" a="1"/>
  <c r="R1618" i="7"/>
  <c r="Y1618" i="7" s="1" a="1"/>
  <c r="R1619" i="7"/>
  <c r="Y1619" i="7" s="1" a="1"/>
  <c r="R1620" i="7"/>
  <c r="Y1620" i="7" s="1" a="1"/>
  <c r="R1621" i="7"/>
  <c r="Y1621" i="7" s="1" a="1"/>
  <c r="R1622" i="7"/>
  <c r="Y1622" i="7" s="1" a="1"/>
  <c r="R1623" i="7"/>
  <c r="Y1623" i="7" s="1" a="1"/>
  <c r="R1624" i="7"/>
  <c r="Y1624" i="7" s="1" a="1"/>
  <c r="R1625" i="7"/>
  <c r="Y1625" i="7" s="1" a="1"/>
  <c r="R1626" i="7"/>
  <c r="Y1626" i="7" s="1" a="1"/>
  <c r="R1627" i="7"/>
  <c r="Y1627" i="7" s="1" a="1"/>
  <c r="R1628" i="7"/>
  <c r="Y1628" i="7" s="1" a="1"/>
  <c r="R1629" i="7"/>
  <c r="Y1629" i="7" s="1" a="1"/>
  <c r="R1630" i="7"/>
  <c r="Y1630" i="7" s="1" a="1"/>
  <c r="R1631" i="7"/>
  <c r="Y1631" i="7" s="1" a="1"/>
  <c r="R1632" i="7"/>
  <c r="Y1632" i="7" s="1" a="1"/>
  <c r="R1633" i="7"/>
  <c r="Y1633" i="7" s="1" a="1"/>
  <c r="R1634" i="7"/>
  <c r="Y1634" i="7" s="1" a="1"/>
  <c r="R1635" i="7"/>
  <c r="Y1635" i="7" s="1" a="1"/>
  <c r="R1636" i="7"/>
  <c r="Y1636" i="7" s="1" a="1"/>
  <c r="R1637" i="7"/>
  <c r="Y1637" i="7" s="1" a="1"/>
  <c r="R1638" i="7"/>
  <c r="Y1638" i="7" s="1" a="1"/>
  <c r="R1639" i="7"/>
  <c r="Y1639" i="7" s="1" a="1"/>
  <c r="R1640" i="7"/>
  <c r="Y1640" i="7" s="1" a="1"/>
  <c r="R1641" i="7"/>
  <c r="Y1641" i="7" s="1" a="1"/>
  <c r="R1642" i="7"/>
  <c r="Y1642" i="7" s="1" a="1"/>
  <c r="R1643" i="7"/>
  <c r="Y1643" i="7" s="1" a="1"/>
  <c r="R1644" i="7"/>
  <c r="Y1644" i="7" s="1" a="1"/>
  <c r="R1645" i="7"/>
  <c r="Y1645" i="7" s="1" a="1"/>
  <c r="R1646" i="7"/>
  <c r="Y1646" i="7" s="1" a="1"/>
  <c r="R1647" i="7"/>
  <c r="Y1647" i="7" s="1" a="1"/>
  <c r="R1648" i="7"/>
  <c r="Y1648" i="7" s="1" a="1"/>
  <c r="R1649" i="7"/>
  <c r="Y1649" i="7" s="1" a="1"/>
  <c r="R1650" i="7"/>
  <c r="Y1650" i="7" s="1" a="1"/>
  <c r="R1651" i="7"/>
  <c r="Y1651" i="7" s="1" a="1"/>
  <c r="R1652" i="7"/>
  <c r="Y1652" i="7" s="1" a="1"/>
  <c r="R1653" i="7"/>
  <c r="Y1653" i="7" s="1" a="1"/>
  <c r="R1654" i="7"/>
  <c r="Y1654" i="7" s="1" a="1"/>
  <c r="R1655" i="7"/>
  <c r="Y1655" i="7" s="1" a="1"/>
  <c r="R1656" i="7"/>
  <c r="Y1656" i="7" s="1" a="1"/>
  <c r="R1657" i="7"/>
  <c r="Y1657" i="7" s="1" a="1"/>
  <c r="R1658" i="7"/>
  <c r="Y1658" i="7" s="1" a="1"/>
  <c r="R1659" i="7"/>
  <c r="Y1659" i="7" s="1" a="1"/>
  <c r="R1660" i="7"/>
  <c r="Y1660" i="7" s="1" a="1"/>
  <c r="R1661" i="7"/>
  <c r="Y1661" i="7" s="1" a="1"/>
  <c r="R1662" i="7"/>
  <c r="Y1662" i="7" s="1" a="1"/>
  <c r="R1663" i="7"/>
  <c r="Y1663" i="7" s="1" a="1"/>
  <c r="R1664" i="7"/>
  <c r="Y1664" i="7" s="1" a="1"/>
  <c r="R1665" i="7"/>
  <c r="Y1665" i="7" s="1" a="1"/>
  <c r="R1666" i="7"/>
  <c r="Y1666" i="7" s="1" a="1"/>
  <c r="R1667" i="7"/>
  <c r="Y1667" i="7" s="1" a="1"/>
  <c r="R1668" i="7"/>
  <c r="Y1668" i="7" s="1" a="1"/>
  <c r="R1669" i="7"/>
  <c r="Y1669" i="7" s="1" a="1"/>
  <c r="R1670" i="7"/>
  <c r="Y1670" i="7" s="1" a="1"/>
  <c r="R1671" i="7"/>
  <c r="Y1671" i="7" s="1" a="1"/>
  <c r="R1672" i="7"/>
  <c r="Y1672" i="7" s="1" a="1"/>
  <c r="R1673" i="7"/>
  <c r="Y1673" i="7" s="1" a="1"/>
  <c r="R1674" i="7"/>
  <c r="Y1674" i="7" s="1" a="1"/>
  <c r="R1675" i="7"/>
  <c r="Y1675" i="7" s="1" a="1"/>
  <c r="R1676" i="7"/>
  <c r="Y1676" i="7" s="1" a="1"/>
  <c r="R1677" i="7"/>
  <c r="Y1677" i="7" s="1" a="1"/>
  <c r="R1678" i="7"/>
  <c r="Y1678" i="7" s="1" a="1"/>
  <c r="R1679" i="7"/>
  <c r="Y1679" i="7" s="1" a="1"/>
  <c r="R1680" i="7"/>
  <c r="Y1680" i="7" s="1" a="1"/>
  <c r="R1681" i="7"/>
  <c r="Y1681" i="7" s="1" a="1"/>
  <c r="R1682" i="7"/>
  <c r="Y1682" i="7" s="1" a="1"/>
  <c r="R1683" i="7"/>
  <c r="Y1683" i="7" s="1" a="1"/>
  <c r="R1684" i="7"/>
  <c r="Y1684" i="7" s="1" a="1"/>
  <c r="R1685" i="7"/>
  <c r="Y1685" i="7" s="1" a="1"/>
  <c r="R1686" i="7"/>
  <c r="Y1686" i="7" s="1" a="1"/>
  <c r="R1687" i="7"/>
  <c r="Y1687" i="7" s="1" a="1"/>
  <c r="R1688" i="7"/>
  <c r="Y1688" i="7" s="1" a="1"/>
  <c r="R1689" i="7"/>
  <c r="Y1689" i="7" s="1" a="1"/>
  <c r="R1690" i="7"/>
  <c r="Y1690" i="7" s="1" a="1"/>
  <c r="R1691" i="7"/>
  <c r="Y1691" i="7" s="1" a="1"/>
  <c r="R1692" i="7"/>
  <c r="Y1692" i="7" s="1" a="1"/>
  <c r="R1693" i="7"/>
  <c r="Y1693" i="7" s="1" a="1"/>
  <c r="R1694" i="7"/>
  <c r="Y1694" i="7" s="1" a="1"/>
  <c r="R1695" i="7"/>
  <c r="Y1695" i="7" s="1" a="1"/>
  <c r="R1696" i="7"/>
  <c r="Y1696" i="7" s="1" a="1"/>
  <c r="R1697" i="7"/>
  <c r="Y1697" i="7" s="1" a="1"/>
  <c r="R1698" i="7"/>
  <c r="Y1698" i="7" s="1" a="1"/>
  <c r="R1699" i="7"/>
  <c r="Y1699" i="7" s="1" a="1"/>
  <c r="R1700" i="7"/>
  <c r="Y1700" i="7" s="1" a="1"/>
  <c r="R1701" i="7"/>
  <c r="Y1701" i="7" s="1" a="1"/>
  <c r="R1702" i="7"/>
  <c r="Y1702" i="7" s="1" a="1"/>
  <c r="R1703" i="7"/>
  <c r="Y1703" i="7" s="1" a="1"/>
  <c r="R1704" i="7"/>
  <c r="Y1704" i="7" s="1" a="1"/>
  <c r="R1705" i="7"/>
  <c r="Y1705" i="7" s="1" a="1"/>
  <c r="R1706" i="7"/>
  <c r="Y1706" i="7" s="1" a="1"/>
  <c r="R1707" i="7"/>
  <c r="Y1707" i="7" s="1" a="1"/>
  <c r="R1708" i="7"/>
  <c r="Y1708" i="7" s="1" a="1"/>
  <c r="R1709" i="7"/>
  <c r="Y1709" i="7" s="1" a="1"/>
  <c r="R1710" i="7"/>
  <c r="Y1710" i="7" s="1" a="1"/>
  <c r="R1711" i="7"/>
  <c r="Y1711" i="7" s="1" a="1"/>
  <c r="R1712" i="7"/>
  <c r="Y1712" i="7" s="1" a="1"/>
  <c r="R1713" i="7"/>
  <c r="Y1713" i="7" s="1" a="1"/>
  <c r="R1714" i="7"/>
  <c r="Y1714" i="7" s="1" a="1"/>
  <c r="R1715" i="7"/>
  <c r="Y1715" i="7" s="1" a="1"/>
  <c r="R1716" i="7"/>
  <c r="Y1716" i="7" s="1" a="1"/>
  <c r="R1717" i="7"/>
  <c r="Y1717" i="7" s="1" a="1"/>
  <c r="R1718" i="7"/>
  <c r="Y1718" i="7" s="1" a="1"/>
  <c r="R1719" i="7"/>
  <c r="Y1719" i="7" s="1" a="1"/>
  <c r="R1720" i="7"/>
  <c r="Y1720" i="7" s="1" a="1"/>
  <c r="R1721" i="7"/>
  <c r="Y1721" i="7" s="1" a="1"/>
  <c r="R1722" i="7"/>
  <c r="Y1722" i="7" s="1" a="1"/>
  <c r="R1723" i="7"/>
  <c r="Y1723" i="7" s="1" a="1"/>
  <c r="R1724" i="7"/>
  <c r="Y1724" i="7" s="1" a="1"/>
  <c r="R1725" i="7"/>
  <c r="Y1725" i="7" s="1" a="1"/>
  <c r="R1726" i="7"/>
  <c r="Y1726" i="7" s="1" a="1"/>
  <c r="R1727" i="7"/>
  <c r="Y1727" i="7" s="1" a="1"/>
  <c r="R1728" i="7"/>
  <c r="Y1728" i="7" s="1" a="1"/>
  <c r="R1729" i="7"/>
  <c r="Y1729" i="7" s="1" a="1"/>
  <c r="R1730" i="7"/>
  <c r="Y1730" i="7" s="1" a="1"/>
  <c r="R1731" i="7"/>
  <c r="Y1731" i="7" s="1" a="1"/>
  <c r="R1732" i="7"/>
  <c r="Y1732" i="7" s="1" a="1"/>
  <c r="R1733" i="7"/>
  <c r="Y1733" i="7" s="1" a="1"/>
  <c r="R1734" i="7"/>
  <c r="Y1734" i="7" s="1" a="1"/>
  <c r="R1735" i="7"/>
  <c r="Y1735" i="7" s="1" a="1"/>
  <c r="R1736" i="7"/>
  <c r="Y1736" i="7" s="1" a="1"/>
  <c r="R1737" i="7"/>
  <c r="Y1737" i="7" s="1" a="1"/>
  <c r="R1738" i="7"/>
  <c r="Y1738" i="7" s="1" a="1"/>
  <c r="R1739" i="7"/>
  <c r="Y1739" i="7" s="1" a="1"/>
  <c r="R1740" i="7"/>
  <c r="Y1740" i="7" s="1" a="1"/>
  <c r="R1741" i="7"/>
  <c r="Y1741" i="7" s="1" a="1"/>
  <c r="R1742" i="7"/>
  <c r="Y1742" i="7" s="1" a="1"/>
  <c r="R1743" i="7"/>
  <c r="Y1743" i="7" s="1" a="1"/>
  <c r="R1744" i="7"/>
  <c r="Y1744" i="7" s="1" a="1"/>
  <c r="R1745" i="7"/>
  <c r="Y1745" i="7" s="1" a="1"/>
  <c r="R1746" i="7"/>
  <c r="Y1746" i="7" s="1" a="1"/>
  <c r="R1747" i="7"/>
  <c r="Y1747" i="7" s="1" a="1"/>
  <c r="R1748" i="7"/>
  <c r="Y1748" i="7" s="1" a="1"/>
  <c r="R1749" i="7"/>
  <c r="Y1749" i="7" s="1" a="1"/>
  <c r="R1750" i="7"/>
  <c r="Y1750" i="7" s="1" a="1"/>
  <c r="R1751" i="7"/>
  <c r="Y1751" i="7" s="1" a="1"/>
  <c r="R1752" i="7"/>
  <c r="Y1752" i="7" s="1" a="1"/>
  <c r="R1753" i="7"/>
  <c r="Y1753" i="7" s="1" a="1"/>
  <c r="R1754" i="7"/>
  <c r="Y1754" i="7" s="1" a="1"/>
  <c r="R1755" i="7"/>
  <c r="Y1755" i="7" s="1" a="1"/>
  <c r="R1756" i="7"/>
  <c r="Y1756" i="7" s="1" a="1"/>
  <c r="R1757" i="7"/>
  <c r="Y1757" i="7" s="1" a="1"/>
  <c r="R1758" i="7"/>
  <c r="Y1758" i="7" s="1" a="1"/>
  <c r="R1759" i="7"/>
  <c r="Y1759" i="7" s="1" a="1"/>
  <c r="R1760" i="7"/>
  <c r="Y1760" i="7" s="1" a="1"/>
  <c r="R1761" i="7"/>
  <c r="Y1761" i="7" s="1" a="1"/>
  <c r="R1762" i="7"/>
  <c r="Y1762" i="7" s="1" a="1"/>
  <c r="R1763" i="7"/>
  <c r="Y1763" i="7" s="1" a="1"/>
  <c r="R1764" i="7"/>
  <c r="Y1764" i="7" s="1" a="1"/>
  <c r="R1765" i="7"/>
  <c r="Y1765" i="7" s="1" a="1"/>
  <c r="R1766" i="7"/>
  <c r="Y1766" i="7" s="1" a="1"/>
  <c r="R1767" i="7"/>
  <c r="Y1767" i="7" s="1" a="1"/>
  <c r="R1768" i="7"/>
  <c r="Y1768" i="7" s="1" a="1"/>
  <c r="R1769" i="7"/>
  <c r="Y1769" i="7" s="1" a="1"/>
  <c r="R1770" i="7"/>
  <c r="Y1770" i="7" s="1" a="1"/>
  <c r="R1771" i="7"/>
  <c r="Y1771" i="7" s="1" a="1"/>
  <c r="R1772" i="7"/>
  <c r="Y1772" i="7" s="1" a="1"/>
  <c r="R1773" i="7"/>
  <c r="Y1773" i="7" s="1" a="1"/>
  <c r="R1774" i="7"/>
  <c r="Y1774" i="7" s="1" a="1"/>
  <c r="R1775" i="7"/>
  <c r="Y1775" i="7" s="1" a="1"/>
  <c r="R1776" i="7"/>
  <c r="Y1776" i="7" s="1" a="1"/>
  <c r="R1777" i="7"/>
  <c r="Y1777" i="7" s="1" a="1"/>
  <c r="R1778" i="7"/>
  <c r="Y1778" i="7" s="1" a="1"/>
  <c r="R1779" i="7"/>
  <c r="Y1779" i="7" s="1" a="1"/>
  <c r="R1780" i="7"/>
  <c r="Y1780" i="7" s="1" a="1"/>
  <c r="R1781" i="7"/>
  <c r="Y1781" i="7" s="1" a="1"/>
  <c r="R1782" i="7"/>
  <c r="Y1782" i="7" s="1" a="1"/>
  <c r="R1783" i="7"/>
  <c r="Y1783" i="7" s="1" a="1"/>
  <c r="R1784" i="7"/>
  <c r="Y1784" i="7" s="1" a="1"/>
  <c r="R1785" i="7"/>
  <c r="Y1785" i="7" s="1" a="1"/>
  <c r="R1786" i="7"/>
  <c r="Y1786" i="7" s="1" a="1"/>
  <c r="R1787" i="7"/>
  <c r="Y1787" i="7" s="1" a="1"/>
  <c r="R1788" i="7"/>
  <c r="Y1788" i="7" s="1" a="1"/>
  <c r="R1789" i="7"/>
  <c r="Y1789" i="7" s="1" a="1"/>
  <c r="R1790" i="7"/>
  <c r="Y1790" i="7" s="1" a="1"/>
  <c r="R1791" i="7"/>
  <c r="Y1791" i="7" s="1" a="1"/>
  <c r="R1792" i="7"/>
  <c r="Y1792" i="7" s="1" a="1"/>
  <c r="R1793" i="7"/>
  <c r="Y1793" i="7" s="1" a="1"/>
  <c r="R1794" i="7"/>
  <c r="Y1794" i="7" s="1" a="1"/>
  <c r="R1795" i="7"/>
  <c r="Y1795" i="7" s="1" a="1"/>
  <c r="R1796" i="7"/>
  <c r="Y1796" i="7" s="1" a="1"/>
  <c r="R1797" i="7"/>
  <c r="Y1797" i="7" s="1" a="1"/>
  <c r="R1798" i="7"/>
  <c r="Y1798" i="7" s="1" a="1"/>
  <c r="R1799" i="7"/>
  <c r="Y1799" i="7" s="1" a="1"/>
  <c r="R1800" i="7"/>
  <c r="Y1800" i="7" s="1" a="1"/>
  <c r="R1801" i="7"/>
  <c r="Y1801" i="7" s="1" a="1"/>
  <c r="R1802" i="7"/>
  <c r="Y1802" i="7" s="1" a="1"/>
  <c r="R1803" i="7"/>
  <c r="Y1803" i="7" s="1" a="1"/>
  <c r="R1804" i="7"/>
  <c r="Y1804" i="7" s="1" a="1"/>
  <c r="R1805" i="7"/>
  <c r="Y1805" i="7" s="1" a="1"/>
  <c r="R1806" i="7"/>
  <c r="Y1806" i="7" s="1" a="1"/>
  <c r="R1807" i="7"/>
  <c r="Y1807" i="7" s="1" a="1"/>
  <c r="R1808" i="7"/>
  <c r="Y1808" i="7" s="1" a="1"/>
  <c r="R1809" i="7"/>
  <c r="Y1809" i="7" s="1" a="1"/>
  <c r="R1810" i="7"/>
  <c r="Y1810" i="7" s="1" a="1"/>
  <c r="R1811" i="7"/>
  <c r="Y1811" i="7" s="1" a="1"/>
  <c r="R1812" i="7"/>
  <c r="Y1812" i="7" s="1" a="1"/>
  <c r="R1813" i="7"/>
  <c r="Y1813" i="7" s="1" a="1"/>
  <c r="R1814" i="7"/>
  <c r="Y1814" i="7" s="1" a="1"/>
  <c r="R1815" i="7"/>
  <c r="Y1815" i="7" s="1" a="1"/>
  <c r="R1816" i="7"/>
  <c r="Y1816" i="7" s="1" a="1"/>
  <c r="R1817" i="7"/>
  <c r="Y1817" i="7" s="1" a="1"/>
  <c r="R1818" i="7"/>
  <c r="Y1818" i="7" s="1" a="1"/>
  <c r="R1819" i="7"/>
  <c r="Y1819" i="7" s="1" a="1"/>
  <c r="R1820" i="7"/>
  <c r="Y1820" i="7" s="1" a="1"/>
  <c r="R1821" i="7"/>
  <c r="Y1821" i="7" s="1" a="1"/>
  <c r="R1822" i="7"/>
  <c r="Y1822" i="7" s="1" a="1"/>
  <c r="R1823" i="7"/>
  <c r="Y1823" i="7" s="1" a="1"/>
  <c r="R1824" i="7"/>
  <c r="Y1824" i="7" s="1" a="1"/>
  <c r="R1825" i="7"/>
  <c r="Y1825" i="7" s="1" a="1"/>
  <c r="R1826" i="7"/>
  <c r="Y1826" i="7" s="1" a="1"/>
  <c r="R1827" i="7"/>
  <c r="Y1827" i="7" s="1" a="1"/>
  <c r="R1828" i="7"/>
  <c r="Y1828" i="7" s="1" a="1"/>
  <c r="R1829" i="7"/>
  <c r="Y1829" i="7" s="1" a="1"/>
  <c r="R1830" i="7"/>
  <c r="Y1830" i="7" s="1" a="1"/>
  <c r="R1831" i="7"/>
  <c r="Y1831" i="7" s="1" a="1"/>
  <c r="R1832" i="7"/>
  <c r="Y1832" i="7" s="1" a="1"/>
  <c r="R1833" i="7"/>
  <c r="Y1833" i="7" s="1" a="1"/>
  <c r="R1834" i="7"/>
  <c r="Y1834" i="7" s="1" a="1"/>
  <c r="R1835" i="7"/>
  <c r="Y1835" i="7" s="1" a="1"/>
  <c r="R1836" i="7"/>
  <c r="Y1836" i="7" s="1" a="1"/>
  <c r="R1837" i="7"/>
  <c r="Y1837" i="7" s="1" a="1"/>
  <c r="R1838" i="7"/>
  <c r="Y1838" i="7" s="1" a="1"/>
  <c r="R1839" i="7"/>
  <c r="Y1839" i="7" s="1" a="1"/>
  <c r="R1840" i="7"/>
  <c r="Y1840" i="7" s="1" a="1"/>
  <c r="R1841" i="7"/>
  <c r="Y1841" i="7" s="1" a="1"/>
  <c r="R1842" i="7"/>
  <c r="Y1842" i="7" s="1" a="1"/>
  <c r="R1843" i="7"/>
  <c r="Y1843" i="7" s="1" a="1"/>
  <c r="R1844" i="7"/>
  <c r="Y1844" i="7" s="1" a="1"/>
  <c r="R1845" i="7"/>
  <c r="Y1845" i="7" s="1" a="1"/>
  <c r="R1846" i="7"/>
  <c r="Y1846" i="7" s="1" a="1"/>
  <c r="R1847" i="7"/>
  <c r="Y1847" i="7" s="1" a="1"/>
  <c r="R1848" i="7"/>
  <c r="Y1848" i="7" s="1" a="1"/>
  <c r="R1849" i="7"/>
  <c r="Y1849" i="7" s="1" a="1"/>
  <c r="R1850" i="7"/>
  <c r="Y1850" i="7" s="1" a="1"/>
  <c r="R1851" i="7"/>
  <c r="Y1851" i="7" s="1" a="1"/>
  <c r="R1852" i="7"/>
  <c r="Y1852" i="7" s="1" a="1"/>
  <c r="R1853" i="7"/>
  <c r="Y1853" i="7" s="1" a="1"/>
  <c r="R1854" i="7"/>
  <c r="Y1854" i="7" s="1" a="1"/>
  <c r="R1855" i="7"/>
  <c r="Y1855" i="7" s="1" a="1"/>
  <c r="R1856" i="7"/>
  <c r="Y1856" i="7" s="1" a="1"/>
  <c r="R1857" i="7"/>
  <c r="Y1857" i="7" s="1" a="1"/>
  <c r="R1858" i="7"/>
  <c r="Y1858" i="7" s="1" a="1"/>
  <c r="R1859" i="7"/>
  <c r="Y1859" i="7" s="1" a="1"/>
  <c r="R1860" i="7"/>
  <c r="Y1860" i="7" s="1" a="1"/>
  <c r="R1861" i="7"/>
  <c r="Y1861" i="7" s="1" a="1"/>
  <c r="R1862" i="7"/>
  <c r="Y1862" i="7" s="1" a="1"/>
  <c r="R1863" i="7"/>
  <c r="Y1863" i="7" s="1" a="1"/>
  <c r="R1864" i="7"/>
  <c r="Y1864" i="7" s="1" a="1"/>
  <c r="R1865" i="7"/>
  <c r="Y1865" i="7" s="1" a="1"/>
  <c r="R1866" i="7"/>
  <c r="Y1866" i="7" s="1" a="1"/>
  <c r="R1867" i="7"/>
  <c r="Y1867" i="7" s="1" a="1"/>
  <c r="R1868" i="7"/>
  <c r="Y1868" i="7" s="1" a="1"/>
  <c r="R1869" i="7"/>
  <c r="Y1869" i="7" s="1" a="1"/>
  <c r="R1870" i="7"/>
  <c r="Y1870" i="7" s="1" a="1"/>
  <c r="R1871" i="7"/>
  <c r="Y1871" i="7" s="1" a="1"/>
  <c r="R1872" i="7"/>
  <c r="Y1872" i="7" s="1" a="1"/>
  <c r="R1873" i="7"/>
  <c r="Y1873" i="7" s="1" a="1"/>
  <c r="R1874" i="7"/>
  <c r="Y1874" i="7" s="1" a="1"/>
  <c r="R1875" i="7"/>
  <c r="Y1875" i="7" s="1" a="1"/>
  <c r="R1876" i="7"/>
  <c r="Y1876" i="7" s="1" a="1"/>
  <c r="R1877" i="7"/>
  <c r="Y1877" i="7" s="1" a="1"/>
  <c r="R1878" i="7"/>
  <c r="Y1878" i="7" s="1" a="1"/>
  <c r="R1879" i="7"/>
  <c r="Y1879" i="7" s="1" a="1"/>
  <c r="R1880" i="7"/>
  <c r="Y1880" i="7" s="1" a="1"/>
  <c r="R1881" i="7"/>
  <c r="Y1881" i="7" s="1" a="1"/>
  <c r="R1882" i="7"/>
  <c r="Y1882" i="7" s="1" a="1"/>
  <c r="R1883" i="7"/>
  <c r="Y1883" i="7" s="1" a="1"/>
  <c r="R1884" i="7"/>
  <c r="Y1884" i="7" s="1" a="1"/>
  <c r="R1885" i="7"/>
  <c r="Y1885" i="7" s="1" a="1"/>
  <c r="R1886" i="7"/>
  <c r="Y1886" i="7" s="1" a="1"/>
  <c r="R1887" i="7"/>
  <c r="Y1887" i="7" s="1" a="1"/>
  <c r="R1888" i="7"/>
  <c r="Y1888" i="7" s="1" a="1"/>
  <c r="R1889" i="7"/>
  <c r="Y1889" i="7" s="1" a="1"/>
  <c r="R1890" i="7"/>
  <c r="Y1890" i="7" s="1" a="1"/>
  <c r="R1891" i="7"/>
  <c r="Y1891" i="7" s="1" a="1"/>
  <c r="R1892" i="7"/>
  <c r="Y1892" i="7" s="1" a="1"/>
  <c r="R1893" i="7"/>
  <c r="Y1893" i="7" s="1" a="1"/>
  <c r="R1894" i="7"/>
  <c r="Y1894" i="7" s="1" a="1"/>
  <c r="R1895" i="7"/>
  <c r="Y1895" i="7" s="1" a="1"/>
  <c r="R1896" i="7"/>
  <c r="Y1896" i="7" s="1" a="1"/>
  <c r="R1897" i="7"/>
  <c r="Y1897" i="7" s="1" a="1"/>
  <c r="R1898" i="7"/>
  <c r="Y1898" i="7" s="1" a="1"/>
  <c r="R1899" i="7"/>
  <c r="Y1899" i="7" s="1" a="1"/>
  <c r="R1900" i="7"/>
  <c r="Y1900" i="7" s="1" a="1"/>
  <c r="R1901" i="7"/>
  <c r="Y1901" i="7" s="1" a="1"/>
  <c r="R1902" i="7"/>
  <c r="Y1902" i="7" s="1" a="1"/>
  <c r="R1903" i="7"/>
  <c r="Y1903" i="7" s="1" a="1"/>
  <c r="R1904" i="7"/>
  <c r="Y1904" i="7" s="1" a="1"/>
  <c r="R1905" i="7"/>
  <c r="Y1905" i="7" s="1" a="1"/>
  <c r="R1906" i="7"/>
  <c r="Y1906" i="7" s="1" a="1"/>
  <c r="R1907" i="7"/>
  <c r="Y1907" i="7" s="1" a="1"/>
  <c r="R1908" i="7"/>
  <c r="Y1908" i="7" s="1" a="1"/>
  <c r="R1909" i="7"/>
  <c r="Y1909" i="7" s="1" a="1"/>
  <c r="R1910" i="7"/>
  <c r="Y1910" i="7" s="1" a="1"/>
  <c r="R1911" i="7"/>
  <c r="Y1911" i="7" s="1" a="1"/>
  <c r="R1912" i="7"/>
  <c r="Y1912" i="7" s="1" a="1"/>
  <c r="R1913" i="7"/>
  <c r="Y1913" i="7" s="1" a="1"/>
  <c r="R1914" i="7"/>
  <c r="Y1914" i="7" s="1" a="1"/>
  <c r="R1915" i="7"/>
  <c r="Y1915" i="7" s="1" a="1"/>
  <c r="R1916" i="7"/>
  <c r="Y1916" i="7" s="1" a="1"/>
  <c r="R1917" i="7"/>
  <c r="Y1917" i="7" s="1" a="1"/>
  <c r="R1918" i="7"/>
  <c r="Y1918" i="7" s="1" a="1"/>
  <c r="R1919" i="7"/>
  <c r="Y1919" i="7" s="1" a="1"/>
  <c r="R1920" i="7"/>
  <c r="Y1920" i="7" s="1" a="1"/>
  <c r="R1921" i="7"/>
  <c r="Y1921" i="7" s="1" a="1"/>
  <c r="R1922" i="7"/>
  <c r="Y1922" i="7" s="1" a="1"/>
  <c r="R1923" i="7"/>
  <c r="Y1923" i="7" s="1" a="1"/>
  <c r="R1924" i="7"/>
  <c r="Y1924" i="7" s="1" a="1"/>
  <c r="R1925" i="7"/>
  <c r="Y1925" i="7" s="1" a="1"/>
  <c r="R1926" i="7"/>
  <c r="Y1926" i="7" s="1" a="1"/>
  <c r="R1927" i="7"/>
  <c r="Y1927" i="7" s="1" a="1"/>
  <c r="R1928" i="7"/>
  <c r="Y1928" i="7" s="1" a="1"/>
  <c r="R1929" i="7"/>
  <c r="Y1929" i="7" s="1" a="1"/>
  <c r="R1930" i="7"/>
  <c r="Y1930" i="7" s="1" a="1"/>
  <c r="R1931" i="7"/>
  <c r="Y1931" i="7" s="1" a="1"/>
  <c r="R1932" i="7"/>
  <c r="Y1932" i="7" s="1" a="1"/>
  <c r="R1933" i="7"/>
  <c r="Y1933" i="7" s="1" a="1"/>
  <c r="R1934" i="7"/>
  <c r="Y1934" i="7" s="1" a="1"/>
  <c r="R1935" i="7"/>
  <c r="Y1935" i="7" s="1" a="1"/>
  <c r="R1936" i="7"/>
  <c r="Y1936" i="7" s="1" a="1"/>
  <c r="R1937" i="7"/>
  <c r="Y1937" i="7" s="1" a="1"/>
  <c r="R1938" i="7"/>
  <c r="Y1938" i="7" s="1" a="1"/>
  <c r="R1939" i="7"/>
  <c r="Y1939" i="7" s="1" a="1"/>
  <c r="R1940" i="7"/>
  <c r="Y1940" i="7" s="1" a="1"/>
  <c r="R1941" i="7"/>
  <c r="Y1941" i="7" s="1" a="1"/>
  <c r="R1942" i="7"/>
  <c r="Y1942" i="7" s="1" a="1"/>
  <c r="R1943" i="7"/>
  <c r="Y1943" i="7" s="1" a="1"/>
  <c r="R1944" i="7"/>
  <c r="Y1944" i="7" s="1" a="1"/>
  <c r="R1945" i="7"/>
  <c r="Y1945" i="7" s="1" a="1"/>
  <c r="R1946" i="7"/>
  <c r="Y1946" i="7" s="1" a="1"/>
  <c r="R1947" i="7"/>
  <c r="Y1947" i="7" s="1" a="1"/>
  <c r="R1948" i="7"/>
  <c r="Y1948" i="7" s="1" a="1"/>
  <c r="R1949" i="7"/>
  <c r="Y1949" i="7" s="1" a="1"/>
  <c r="R1950" i="7"/>
  <c r="Y1950" i="7" s="1" a="1"/>
  <c r="R1951" i="7"/>
  <c r="Y1951" i="7" s="1" a="1"/>
  <c r="R1952" i="7"/>
  <c r="Y1952" i="7" s="1" a="1"/>
  <c r="R1953" i="7"/>
  <c r="Y1953" i="7" s="1" a="1"/>
  <c r="R1954" i="7"/>
  <c r="Y1954" i="7" s="1" a="1"/>
  <c r="R1955" i="7"/>
  <c r="Y1955" i="7" s="1" a="1"/>
  <c r="R1956" i="7"/>
  <c r="Y1956" i="7" s="1" a="1"/>
  <c r="R1957" i="7"/>
  <c r="Y1957" i="7" s="1" a="1"/>
  <c r="R1958" i="7"/>
  <c r="Y1958" i="7" s="1" a="1"/>
  <c r="R1959" i="7"/>
  <c r="Y1959" i="7" s="1" a="1"/>
  <c r="R1960" i="7"/>
  <c r="Y1960" i="7" s="1" a="1"/>
  <c r="R1961" i="7"/>
  <c r="Y1961" i="7" s="1" a="1"/>
  <c r="R1962" i="7"/>
  <c r="Y1962" i="7" s="1" a="1"/>
  <c r="R1963" i="7"/>
  <c r="Y1963" i="7" s="1" a="1"/>
  <c r="R1964" i="7"/>
  <c r="Y1964" i="7" s="1" a="1"/>
  <c r="R1965" i="7"/>
  <c r="Y1965" i="7" s="1" a="1"/>
  <c r="R1966" i="7"/>
  <c r="Y1966" i="7" s="1" a="1"/>
  <c r="R1967" i="7"/>
  <c r="Y1967" i="7" s="1" a="1"/>
  <c r="R1968" i="7"/>
  <c r="Y1968" i="7" s="1" a="1"/>
  <c r="R1969" i="7"/>
  <c r="Y1969" i="7" s="1" a="1"/>
  <c r="R1970" i="7"/>
  <c r="Y1970" i="7" s="1" a="1"/>
  <c r="R1971" i="7"/>
  <c r="Y1971" i="7" s="1" a="1"/>
  <c r="R1972" i="7"/>
  <c r="Y1972" i="7" s="1" a="1"/>
  <c r="R1973" i="7"/>
  <c r="Y1973" i="7" s="1" a="1"/>
  <c r="R1974" i="7"/>
  <c r="Y1974" i="7" s="1" a="1"/>
  <c r="R1975" i="7"/>
  <c r="Y1975" i="7" s="1" a="1"/>
  <c r="R1976" i="7"/>
  <c r="Y1976" i="7" s="1" a="1"/>
  <c r="R1977" i="7"/>
  <c r="Y1977" i="7" s="1" a="1"/>
  <c r="R1978" i="7"/>
  <c r="Y1978" i="7" s="1" a="1"/>
  <c r="R1979" i="7"/>
  <c r="Y1979" i="7" s="1" a="1"/>
  <c r="R1980" i="7"/>
  <c r="Y1980" i="7" s="1" a="1"/>
  <c r="R1981" i="7"/>
  <c r="Y1981" i="7" s="1" a="1"/>
  <c r="R1982" i="7"/>
  <c r="Y1982" i="7" s="1" a="1"/>
  <c r="R1983" i="7"/>
  <c r="Y1983" i="7" s="1" a="1"/>
  <c r="R1984" i="7"/>
  <c r="Y1984" i="7" s="1" a="1"/>
  <c r="R1985" i="7"/>
  <c r="Y1985" i="7" s="1" a="1"/>
  <c r="R1986" i="7"/>
  <c r="Y1986" i="7" s="1" a="1"/>
  <c r="R1987" i="7"/>
  <c r="Y1987" i="7" s="1" a="1"/>
  <c r="R1988" i="7"/>
  <c r="Y1988" i="7" s="1" a="1"/>
  <c r="R1989" i="7"/>
  <c r="Y1989" i="7" s="1" a="1"/>
  <c r="R1990" i="7"/>
  <c r="Y1990" i="7" s="1" a="1"/>
  <c r="R1991" i="7"/>
  <c r="Y1991" i="7" s="1" a="1"/>
  <c r="R1992" i="7"/>
  <c r="Y1992" i="7" s="1" a="1"/>
  <c r="R1993" i="7"/>
  <c r="Y1993" i="7" s="1" a="1"/>
  <c r="R1994" i="7"/>
  <c r="Y1994" i="7" s="1" a="1"/>
  <c r="R1995" i="7"/>
  <c r="Y1995" i="7" s="1" a="1"/>
  <c r="R1996" i="7"/>
  <c r="Y1996" i="7" s="1" a="1"/>
  <c r="R1997" i="7"/>
  <c r="Y1997" i="7" s="1" a="1"/>
  <c r="R1998" i="7"/>
  <c r="Y1998" i="7" s="1" a="1"/>
  <c r="R1999" i="7"/>
  <c r="Y1999" i="7" s="1" a="1"/>
  <c r="R2000" i="7"/>
  <c r="Y2000" i="7" s="1" a="1"/>
  <c r="R2001" i="7"/>
  <c r="Y2001" i="7" s="1" a="1"/>
  <c r="R2002" i="7"/>
  <c r="Y2002" i="7" s="1" a="1"/>
  <c r="R2003" i="7"/>
  <c r="Y2003" i="7" s="1" a="1"/>
  <c r="R2004" i="7"/>
  <c r="Y2004" i="7" s="1" a="1"/>
  <c r="R2005" i="7"/>
  <c r="Y2005" i="7" s="1" a="1"/>
  <c r="R2006" i="7"/>
  <c r="Y2006" i="7" s="1" a="1"/>
  <c r="R2007" i="7"/>
  <c r="Y2007" i="7" s="1" a="1"/>
  <c r="R2008" i="7"/>
  <c r="Y2008" i="7" s="1" a="1"/>
  <c r="R2009" i="7"/>
  <c r="Y2009" i="7" s="1" a="1"/>
  <c r="R2010" i="7"/>
  <c r="Y2010" i="7" s="1" a="1"/>
  <c r="R2011" i="7"/>
  <c r="Y2011" i="7" s="1" a="1"/>
  <c r="R2012" i="7"/>
  <c r="Y2012" i="7" s="1" a="1"/>
  <c r="R2013" i="7"/>
  <c r="Y2013" i="7" s="1" a="1"/>
  <c r="R2014" i="7"/>
  <c r="Y2014" i="7" s="1" a="1"/>
  <c r="R2015" i="7"/>
  <c r="Y2015" i="7" s="1" a="1"/>
  <c r="R2016" i="7"/>
  <c r="Y2016" i="7" s="1" a="1"/>
  <c r="R2017" i="7"/>
  <c r="Y2017" i="7" s="1" a="1"/>
  <c r="R2018" i="7"/>
  <c r="Y2018" i="7" s="1" a="1"/>
  <c r="R2019" i="7"/>
  <c r="Y2019" i="7" s="1" a="1"/>
  <c r="R2020" i="7"/>
  <c r="Y2020" i="7" s="1" a="1"/>
  <c r="R2021" i="7"/>
  <c r="Y2021" i="7" s="1" a="1"/>
  <c r="R2022" i="7"/>
  <c r="Y2022" i="7" s="1" a="1"/>
  <c r="R2023" i="7"/>
  <c r="Y2023" i="7" s="1" a="1"/>
  <c r="R2024" i="7"/>
  <c r="Y2024" i="7" s="1" a="1"/>
  <c r="R2025" i="7"/>
  <c r="Y2025" i="7" s="1" a="1"/>
  <c r="R2026" i="7"/>
  <c r="Y2026" i="7" s="1" a="1"/>
  <c r="R2027" i="7"/>
  <c r="Y2027" i="7" s="1" a="1"/>
  <c r="R2028" i="7"/>
  <c r="Y2028" i="7" s="1" a="1"/>
  <c r="R2029" i="7"/>
  <c r="Y2029" i="7" s="1" a="1"/>
  <c r="R2030" i="7"/>
  <c r="Y2030" i="7" s="1" a="1"/>
  <c r="R2031" i="7"/>
  <c r="Y2031" i="7" s="1" a="1"/>
  <c r="R2032" i="7"/>
  <c r="Y2032" i="7" s="1" a="1"/>
  <c r="R2033" i="7"/>
  <c r="Y2033" i="7" s="1" a="1"/>
  <c r="R2034" i="7"/>
  <c r="Y2034" i="7" s="1" a="1"/>
  <c r="R2035" i="7"/>
  <c r="Y2035" i="7" s="1" a="1"/>
  <c r="R2036" i="7"/>
  <c r="Y2036" i="7" s="1" a="1"/>
  <c r="R2037" i="7"/>
  <c r="Y2037" i="7" s="1" a="1"/>
  <c r="R2038" i="7"/>
  <c r="Y2038" i="7" s="1" a="1"/>
  <c r="R2039" i="7"/>
  <c r="Y2039" i="7" s="1" a="1"/>
  <c r="R2040" i="7"/>
  <c r="Y2040" i="7" s="1" a="1"/>
  <c r="R2041" i="7"/>
  <c r="Y2041" i="7" s="1" a="1"/>
  <c r="R2042" i="7"/>
  <c r="Y2042" i="7" s="1" a="1"/>
  <c r="R2043" i="7"/>
  <c r="Y2043" i="7" s="1" a="1"/>
  <c r="R2044" i="7"/>
  <c r="Y2044" i="7" s="1" a="1"/>
  <c r="R2045" i="7"/>
  <c r="Y2045" i="7" s="1" a="1"/>
  <c r="R2046" i="7"/>
  <c r="Y2046" i="7" s="1" a="1"/>
  <c r="R2047" i="7"/>
  <c r="Y2047" i="7" s="1" a="1"/>
  <c r="R2048" i="7"/>
  <c r="Y2048" i="7" s="1" a="1"/>
  <c r="R2049" i="7"/>
  <c r="Y2049" i="7" s="1" a="1"/>
  <c r="R2050" i="7"/>
  <c r="Y2050" i="7" s="1" a="1"/>
  <c r="R2051" i="7"/>
  <c r="Y2051" i="7" s="1" a="1"/>
  <c r="R2052" i="7"/>
  <c r="Y2052" i="7" s="1" a="1"/>
  <c r="R2053" i="7"/>
  <c r="Y2053" i="7" s="1" a="1"/>
  <c r="R2054" i="7"/>
  <c r="Y2054" i="7" s="1" a="1"/>
  <c r="R2055" i="7"/>
  <c r="Y2055" i="7" s="1" a="1"/>
  <c r="R2056" i="7"/>
  <c r="Y2056" i="7" s="1" a="1"/>
  <c r="R2057" i="7"/>
  <c r="Y2057" i="7" s="1" a="1"/>
  <c r="R2058" i="7"/>
  <c r="Y2058" i="7" s="1" a="1"/>
  <c r="R2059" i="7"/>
  <c r="Y2059" i="7" s="1" a="1"/>
  <c r="R2060" i="7"/>
  <c r="Y2060" i="7" s="1" a="1"/>
  <c r="R2061" i="7"/>
  <c r="Y2061" i="7" s="1" a="1"/>
  <c r="R2062" i="7"/>
  <c r="Y2062" i="7" s="1" a="1"/>
  <c r="R2063" i="7"/>
  <c r="Y2063" i="7" s="1" a="1"/>
  <c r="R2064" i="7"/>
  <c r="Y2064" i="7" s="1" a="1"/>
  <c r="R2065" i="7"/>
  <c r="Y2065" i="7" s="1" a="1"/>
  <c r="R2066" i="7"/>
  <c r="Y2066" i="7" s="1" a="1"/>
  <c r="R2067" i="7"/>
  <c r="Y2067" i="7" s="1" a="1"/>
  <c r="R2068" i="7"/>
  <c r="Y2068" i="7" s="1" a="1"/>
  <c r="R2069" i="7"/>
  <c r="Y2069" i="7" s="1" a="1"/>
  <c r="R2070" i="7"/>
  <c r="Y2070" i="7" s="1" a="1"/>
  <c r="R2071" i="7"/>
  <c r="Y2071" i="7" s="1" a="1"/>
  <c r="R2072" i="7"/>
  <c r="Y2072" i="7" s="1" a="1"/>
  <c r="R2073" i="7"/>
  <c r="Y2073" i="7" s="1" a="1"/>
  <c r="R2074" i="7"/>
  <c r="Y2074" i="7" s="1" a="1"/>
  <c r="R2075" i="7"/>
  <c r="Y2075" i="7" s="1" a="1"/>
  <c r="R2076" i="7"/>
  <c r="Y2076" i="7" s="1" a="1"/>
  <c r="R2077" i="7"/>
  <c r="Y2077" i="7" s="1" a="1"/>
  <c r="R2078" i="7"/>
  <c r="Y2078" i="7" s="1" a="1"/>
  <c r="R2079" i="7"/>
  <c r="Y2079" i="7" s="1" a="1"/>
  <c r="R2080" i="7"/>
  <c r="Y2080" i="7" s="1" a="1"/>
  <c r="R2081" i="7"/>
  <c r="Y2081" i="7" s="1" a="1"/>
  <c r="R2082" i="7"/>
  <c r="Y2082" i="7" s="1" a="1"/>
  <c r="R2083" i="7"/>
  <c r="Y2083" i="7" s="1" a="1"/>
  <c r="R2084" i="7"/>
  <c r="Y2084" i="7" s="1" a="1"/>
  <c r="R2085" i="7"/>
  <c r="Y2085" i="7" s="1" a="1"/>
  <c r="R2086" i="7"/>
  <c r="Y2086" i="7" s="1" a="1"/>
  <c r="R2087" i="7"/>
  <c r="Y2087" i="7" s="1" a="1"/>
  <c r="R2088" i="7"/>
  <c r="Y2088" i="7" s="1" a="1"/>
  <c r="R2089" i="7"/>
  <c r="Y2089" i="7" s="1" a="1"/>
  <c r="R2090" i="7"/>
  <c r="Y2090" i="7" s="1" a="1"/>
  <c r="R2091" i="7"/>
  <c r="Y2091" i="7" s="1" a="1"/>
  <c r="R2092" i="7"/>
  <c r="Y2092" i="7" s="1" a="1"/>
  <c r="R2093" i="7"/>
  <c r="Y2093" i="7" s="1" a="1"/>
  <c r="R2094" i="7"/>
  <c r="Y2094" i="7" s="1" a="1"/>
  <c r="R2095" i="7"/>
  <c r="Y2095" i="7" s="1" a="1"/>
  <c r="R2096" i="7"/>
  <c r="Y2096" i="7" s="1" a="1"/>
  <c r="R2097" i="7"/>
  <c r="Y2097" i="7" s="1" a="1"/>
  <c r="R2098" i="7"/>
  <c r="Y2098" i="7" s="1" a="1"/>
  <c r="R2099" i="7"/>
  <c r="Y2099" i="7" s="1" a="1"/>
  <c r="R2100" i="7"/>
  <c r="Y2100" i="7" s="1" a="1"/>
  <c r="R2101" i="7"/>
  <c r="Y2101" i="7" s="1" a="1"/>
  <c r="R2102" i="7"/>
  <c r="Y2102" i="7" s="1" a="1"/>
  <c r="R2103" i="7"/>
  <c r="Y2103" i="7" s="1" a="1"/>
  <c r="R2104" i="7"/>
  <c r="Y2104" i="7" s="1" a="1"/>
  <c r="R2105" i="7"/>
  <c r="Y2105" i="7" s="1" a="1"/>
  <c r="R2106" i="7"/>
  <c r="Y2106" i="7" s="1" a="1"/>
  <c r="R2107" i="7"/>
  <c r="Y2107" i="7" s="1" a="1"/>
  <c r="R2108" i="7"/>
  <c r="Y2108" i="7" s="1" a="1"/>
  <c r="R2109" i="7"/>
  <c r="Y2109" i="7" s="1" a="1"/>
  <c r="R2110" i="7"/>
  <c r="Y2110" i="7" s="1" a="1"/>
  <c r="R2111" i="7"/>
  <c r="Y2111" i="7" s="1" a="1"/>
  <c r="R2112" i="7"/>
  <c r="Y2112" i="7" s="1" a="1"/>
  <c r="R2113" i="7"/>
  <c r="Y2113" i="7" s="1" a="1"/>
  <c r="R2114" i="7"/>
  <c r="Y2114" i="7" s="1" a="1"/>
  <c r="R2115" i="7"/>
  <c r="Y2115" i="7" s="1" a="1"/>
  <c r="R2116" i="7"/>
  <c r="Y2116" i="7" s="1" a="1"/>
  <c r="R2117" i="7"/>
  <c r="Y2117" i="7" s="1" a="1"/>
  <c r="R2118" i="7"/>
  <c r="Y2118" i="7" s="1" a="1"/>
  <c r="R2119" i="7"/>
  <c r="Y2119" i="7" s="1" a="1"/>
  <c r="R2120" i="7"/>
  <c r="Y2120" i="7" s="1" a="1"/>
  <c r="R2121" i="7"/>
  <c r="Y2121" i="7" s="1" a="1"/>
  <c r="R2122" i="7"/>
  <c r="Y2122" i="7" s="1" a="1"/>
  <c r="R2123" i="7"/>
  <c r="Y2123" i="7" s="1" a="1"/>
  <c r="R2124" i="7"/>
  <c r="Y2124" i="7" s="1" a="1"/>
  <c r="R2125" i="7"/>
  <c r="Y2125" i="7" s="1" a="1"/>
  <c r="R2126" i="7"/>
  <c r="Y2126" i="7" s="1" a="1"/>
  <c r="R2127" i="7"/>
  <c r="Y2127" i="7" s="1" a="1"/>
  <c r="R2128" i="7"/>
  <c r="Y2128" i="7" s="1" a="1"/>
  <c r="R2129" i="7"/>
  <c r="Y2129" i="7" s="1" a="1"/>
  <c r="R2130" i="7"/>
  <c r="Y2130" i="7" s="1" a="1"/>
  <c r="R2131" i="7"/>
  <c r="Y2131" i="7" s="1" a="1"/>
  <c r="R2132" i="7"/>
  <c r="Y2132" i="7" s="1" a="1"/>
  <c r="R2133" i="7"/>
  <c r="Y2133" i="7" s="1" a="1"/>
  <c r="R2134" i="7"/>
  <c r="Y2134" i="7" s="1" a="1"/>
  <c r="R2135" i="7"/>
  <c r="Y2135" i="7" s="1" a="1"/>
  <c r="R2136" i="7"/>
  <c r="Y2136" i="7" s="1" a="1"/>
  <c r="R2137" i="7"/>
  <c r="Y2137" i="7" s="1" a="1"/>
  <c r="R2138" i="7"/>
  <c r="Y2138" i="7" s="1" a="1"/>
  <c r="R2139" i="7"/>
  <c r="Y2139" i="7" s="1" a="1"/>
  <c r="R2140" i="7"/>
  <c r="Y2140" i="7" s="1" a="1"/>
  <c r="R2141" i="7"/>
  <c r="Y2141" i="7" s="1" a="1"/>
  <c r="R2142" i="7"/>
  <c r="Y2142" i="7" s="1" a="1"/>
  <c r="R2143" i="7"/>
  <c r="Y2143" i="7" s="1" a="1"/>
  <c r="R2144" i="7"/>
  <c r="Y2144" i="7" s="1" a="1"/>
  <c r="R2145" i="7"/>
  <c r="Y2145" i="7" s="1" a="1"/>
  <c r="R2146" i="7"/>
  <c r="Y2146" i="7" s="1" a="1"/>
  <c r="R2147" i="7"/>
  <c r="Y2147" i="7" s="1" a="1"/>
  <c r="R2148" i="7"/>
  <c r="Y2148" i="7" s="1" a="1"/>
  <c r="R2149" i="7"/>
  <c r="Y2149" i="7" s="1" a="1"/>
  <c r="R2150" i="7"/>
  <c r="Y2150" i="7" s="1" a="1"/>
  <c r="R2151" i="7"/>
  <c r="Y2151" i="7" s="1" a="1"/>
  <c r="R2152" i="7"/>
  <c r="Y2152" i="7" s="1" a="1"/>
  <c r="R2153" i="7"/>
  <c r="Y2153" i="7" s="1" a="1"/>
  <c r="R2154" i="7"/>
  <c r="Y2154" i="7" s="1" a="1"/>
  <c r="R2155" i="7"/>
  <c r="Y2155" i="7" s="1" a="1"/>
  <c r="R2156" i="7"/>
  <c r="Y2156" i="7" s="1" a="1"/>
  <c r="R2157" i="7"/>
  <c r="Y2157" i="7" s="1" a="1"/>
  <c r="R2158" i="7"/>
  <c r="Y2158" i="7" s="1" a="1"/>
  <c r="R2159" i="7"/>
  <c r="Y2159" i="7" s="1" a="1"/>
  <c r="R2160" i="7"/>
  <c r="Y2160" i="7" s="1" a="1"/>
  <c r="R2161" i="7"/>
  <c r="Y2161" i="7" s="1" a="1"/>
  <c r="R2162" i="7"/>
  <c r="Y2162" i="7" s="1" a="1"/>
  <c r="R2163" i="7"/>
  <c r="Y2163" i="7" s="1" a="1"/>
  <c r="R2164" i="7"/>
  <c r="Y2164" i="7" s="1" a="1"/>
  <c r="R2165" i="7"/>
  <c r="Y2165" i="7" s="1" a="1"/>
  <c r="R2166" i="7"/>
  <c r="Y2166" i="7" s="1" a="1"/>
  <c r="R2167" i="7"/>
  <c r="Y2167" i="7" s="1" a="1"/>
  <c r="R2168" i="7"/>
  <c r="Y2168" i="7" s="1" a="1"/>
  <c r="R2169" i="7"/>
  <c r="Y2169" i="7" s="1" a="1"/>
  <c r="R2170" i="7"/>
  <c r="Y2170" i="7" s="1" a="1"/>
  <c r="R2171" i="7"/>
  <c r="Y2171" i="7" s="1" a="1"/>
  <c r="R2172" i="7"/>
  <c r="Y2172" i="7" s="1" a="1"/>
  <c r="R2173" i="7"/>
  <c r="Y2173" i="7" s="1" a="1"/>
  <c r="R2174" i="7"/>
  <c r="Y2174" i="7" s="1" a="1"/>
  <c r="R2175" i="7"/>
  <c r="Y2175" i="7" s="1" a="1"/>
  <c r="R2176" i="7"/>
  <c r="Y2176" i="7" s="1" a="1"/>
  <c r="R2177" i="7"/>
  <c r="Y2177" i="7" s="1" a="1"/>
  <c r="R2178" i="7"/>
  <c r="Y2178" i="7" s="1" a="1"/>
  <c r="R2179" i="7"/>
  <c r="Y2179" i="7" s="1" a="1"/>
  <c r="R2180" i="7"/>
  <c r="Y2180" i="7" s="1" a="1"/>
  <c r="R2181" i="7"/>
  <c r="Y2181" i="7" s="1" a="1"/>
  <c r="R2182" i="7"/>
  <c r="Y2182" i="7" s="1" a="1"/>
  <c r="R2183" i="7"/>
  <c r="Y2183" i="7" s="1" a="1"/>
  <c r="R2184" i="7"/>
  <c r="Y2184" i="7" s="1" a="1"/>
  <c r="R2185" i="7"/>
  <c r="Y2185" i="7" s="1" a="1"/>
  <c r="R2186" i="7"/>
  <c r="Y2186" i="7" s="1" a="1"/>
  <c r="R2187" i="7"/>
  <c r="Y2187" i="7" s="1" a="1"/>
  <c r="R2188" i="7"/>
  <c r="Y2188" i="7" s="1" a="1"/>
  <c r="R2189" i="7"/>
  <c r="Y2189" i="7" s="1" a="1"/>
  <c r="R2190" i="7"/>
  <c r="Y2190" i="7" s="1" a="1"/>
  <c r="R2191" i="7"/>
  <c r="Y2191" i="7" s="1" a="1"/>
  <c r="R2192" i="7"/>
  <c r="Y2192" i="7" s="1" a="1"/>
  <c r="R2193" i="7"/>
  <c r="Y2193" i="7" s="1" a="1"/>
  <c r="R2194" i="7"/>
  <c r="Y2194" i="7" s="1" a="1"/>
  <c r="R2195" i="7"/>
  <c r="Y2195" i="7" s="1" a="1"/>
  <c r="R2196" i="7"/>
  <c r="Y2196" i="7" s="1" a="1"/>
  <c r="R2197" i="7"/>
  <c r="Y2197" i="7" s="1" a="1"/>
  <c r="R2198" i="7"/>
  <c r="Y2198" i="7" s="1" a="1"/>
  <c r="R2199" i="7"/>
  <c r="Y2199" i="7" s="1" a="1"/>
  <c r="R2200" i="7"/>
  <c r="Y2200" i="7" s="1" a="1"/>
  <c r="R2201" i="7"/>
  <c r="Y2201" i="7" s="1" a="1"/>
  <c r="R2202" i="7"/>
  <c r="Y2202" i="7" s="1" a="1"/>
  <c r="R2203" i="7"/>
  <c r="Y2203" i="7" s="1" a="1"/>
  <c r="R2204" i="7"/>
  <c r="Y2204" i="7" s="1" a="1"/>
  <c r="R2205" i="7"/>
  <c r="Y2205" i="7" s="1" a="1"/>
  <c r="R2206" i="7"/>
  <c r="Y2206" i="7" s="1" a="1"/>
  <c r="R2207" i="7"/>
  <c r="Y2207" i="7" s="1" a="1"/>
  <c r="R2208" i="7"/>
  <c r="Y2208" i="7" s="1" a="1"/>
  <c r="R2209" i="7"/>
  <c r="Y2209" i="7" s="1" a="1"/>
  <c r="R2210" i="7"/>
  <c r="Y2210" i="7" s="1" a="1"/>
  <c r="R2211" i="7"/>
  <c r="Y2211" i="7" s="1" a="1"/>
  <c r="R2212" i="7"/>
  <c r="Y2212" i="7" s="1" a="1"/>
  <c r="R2213" i="7"/>
  <c r="Y2213" i="7" s="1" a="1"/>
  <c r="R2214" i="7"/>
  <c r="Y2214" i="7" s="1" a="1"/>
  <c r="R2215" i="7"/>
  <c r="Y2215" i="7" s="1" a="1"/>
  <c r="R2216" i="7"/>
  <c r="Y2216" i="7" s="1" a="1"/>
  <c r="R2217" i="7"/>
  <c r="Y2217" i="7" s="1" a="1"/>
  <c r="R2218" i="7"/>
  <c r="Y2218" i="7" s="1" a="1"/>
  <c r="R2219" i="7"/>
  <c r="Y2219" i="7" s="1" a="1"/>
  <c r="R2220" i="7"/>
  <c r="Y2220" i="7" s="1" a="1"/>
  <c r="R2221" i="7"/>
  <c r="Y2221" i="7" s="1" a="1"/>
  <c r="R2222" i="7"/>
  <c r="Y2222" i="7" s="1" a="1"/>
  <c r="R2223" i="7"/>
  <c r="Y2223" i="7" s="1" a="1"/>
  <c r="R2224" i="7"/>
  <c r="Y2224" i="7" s="1" a="1"/>
  <c r="R2225" i="7"/>
  <c r="Y2225" i="7" s="1" a="1"/>
  <c r="R2226" i="7"/>
  <c r="Y2226" i="7" s="1" a="1"/>
  <c r="R2227" i="7"/>
  <c r="Y2227" i="7" s="1" a="1"/>
  <c r="R2228" i="7"/>
  <c r="Y2228" i="7" s="1" a="1"/>
  <c r="R2229" i="7"/>
  <c r="Y2229" i="7" s="1" a="1"/>
  <c r="R2230" i="7"/>
  <c r="Y2230" i="7" s="1" a="1"/>
  <c r="R2231" i="7"/>
  <c r="Y2231" i="7" s="1" a="1"/>
  <c r="R2232" i="7"/>
  <c r="Y2232" i="7" s="1" a="1"/>
  <c r="R2233" i="7"/>
  <c r="Y2233" i="7" s="1" a="1"/>
  <c r="R2234" i="7"/>
  <c r="Y2234" i="7" s="1" a="1"/>
  <c r="R2235" i="7"/>
  <c r="Y2235" i="7" s="1" a="1"/>
  <c r="R2236" i="7"/>
  <c r="Y2236" i="7" s="1" a="1"/>
  <c r="R2237" i="7"/>
  <c r="Y2237" i="7" s="1" a="1"/>
  <c r="R2238" i="7"/>
  <c r="Y2238" i="7" s="1" a="1"/>
  <c r="R2239" i="7"/>
  <c r="Y2239" i="7" s="1" a="1"/>
  <c r="R2240" i="7"/>
  <c r="Y2240" i="7" s="1" a="1"/>
  <c r="R2241" i="7"/>
  <c r="Y2241" i="7" s="1" a="1"/>
  <c r="R2242" i="7"/>
  <c r="Y2242" i="7" s="1" a="1"/>
  <c r="R2243" i="7"/>
  <c r="Y2243" i="7" s="1" a="1"/>
  <c r="R2244" i="7"/>
  <c r="Y2244" i="7" s="1" a="1"/>
  <c r="R2245" i="7"/>
  <c r="Y2245" i="7" s="1" a="1"/>
  <c r="R2246" i="7"/>
  <c r="Y2246" i="7" s="1" a="1"/>
  <c r="R2247" i="7"/>
  <c r="Y2247" i="7" s="1" a="1"/>
  <c r="R2248" i="7"/>
  <c r="Y2248" i="7" s="1" a="1"/>
  <c r="R2249" i="7"/>
  <c r="Y2249" i="7" s="1" a="1"/>
  <c r="R2250" i="7"/>
  <c r="Y2250" i="7" s="1" a="1"/>
  <c r="R2251" i="7"/>
  <c r="Y2251" i="7" s="1" a="1"/>
  <c r="R2252" i="7"/>
  <c r="Y2252" i="7" s="1" a="1"/>
  <c r="R2253" i="7"/>
  <c r="Y2253" i="7" s="1" a="1"/>
  <c r="R2254" i="7"/>
  <c r="Y2254" i="7" s="1" a="1"/>
  <c r="R2255" i="7"/>
  <c r="Y2255" i="7" s="1" a="1"/>
  <c r="R2256" i="7"/>
  <c r="Y2256" i="7" s="1" a="1"/>
  <c r="R2257" i="7"/>
  <c r="Y2257" i="7" s="1" a="1"/>
  <c r="R2258" i="7"/>
  <c r="Y2258" i="7" s="1" a="1"/>
  <c r="R2259" i="7"/>
  <c r="Y2259" i="7" s="1" a="1"/>
  <c r="R2260" i="7"/>
  <c r="Y2260" i="7" s="1" a="1"/>
  <c r="R2261" i="7"/>
  <c r="Y2261" i="7" s="1" a="1"/>
  <c r="R2262" i="7"/>
  <c r="Y2262" i="7" s="1" a="1"/>
  <c r="R2263" i="7"/>
  <c r="Y2263" i="7" s="1" a="1"/>
  <c r="R2264" i="7"/>
  <c r="Y2264" i="7" s="1" a="1"/>
  <c r="R2265" i="7"/>
  <c r="Y2265" i="7" s="1" a="1"/>
  <c r="R2266" i="7"/>
  <c r="Y2266" i="7" s="1" a="1"/>
  <c r="R2267" i="7"/>
  <c r="Y2267" i="7" s="1" a="1"/>
  <c r="R2268" i="7"/>
  <c r="Y2268" i="7" s="1" a="1"/>
  <c r="R2269" i="7"/>
  <c r="Y2269" i="7" s="1" a="1"/>
  <c r="R2270" i="7"/>
  <c r="Y2270" i="7" s="1" a="1"/>
  <c r="R2271" i="7"/>
  <c r="Y2271" i="7" s="1" a="1"/>
  <c r="R2272" i="7"/>
  <c r="Y2272" i="7" s="1" a="1"/>
  <c r="R2273" i="7"/>
  <c r="Y2273" i="7" s="1" a="1"/>
  <c r="R2274" i="7"/>
  <c r="Y2274" i="7" s="1" a="1"/>
  <c r="R2275" i="7"/>
  <c r="Y2275" i="7" s="1" a="1"/>
  <c r="R2276" i="7"/>
  <c r="Y2276" i="7" s="1" a="1"/>
  <c r="R2277" i="7"/>
  <c r="Y2277" i="7" s="1" a="1"/>
  <c r="R2278" i="7"/>
  <c r="Y2278" i="7" s="1" a="1"/>
  <c r="R2279" i="7"/>
  <c r="Y2279" i="7" s="1" a="1"/>
  <c r="R2280" i="7"/>
  <c r="Y2280" i="7" s="1" a="1"/>
  <c r="R2281" i="7"/>
  <c r="Y2281" i="7" s="1" a="1"/>
  <c r="R2282" i="7"/>
  <c r="Y2282" i="7" s="1" a="1"/>
  <c r="R2283" i="7"/>
  <c r="Y2283" i="7" s="1" a="1"/>
  <c r="R2284" i="7"/>
  <c r="Y2284" i="7" s="1" a="1"/>
  <c r="R2285" i="7"/>
  <c r="Y2285" i="7" s="1" a="1"/>
  <c r="R2286" i="7"/>
  <c r="Y2286" i="7" s="1" a="1"/>
  <c r="R2287" i="7"/>
  <c r="Y2287" i="7" s="1" a="1"/>
  <c r="R2288" i="7"/>
  <c r="Y2288" i="7" s="1" a="1"/>
  <c r="R2289" i="7"/>
  <c r="Y2289" i="7" s="1" a="1"/>
  <c r="R2290" i="7"/>
  <c r="Y2290" i="7" s="1" a="1"/>
  <c r="R2291" i="7"/>
  <c r="Y2291" i="7" s="1" a="1"/>
  <c r="R2292" i="7"/>
  <c r="Y2292" i="7" s="1" a="1"/>
  <c r="R2293" i="7"/>
  <c r="Y2293" i="7" s="1" a="1"/>
  <c r="R2294" i="7"/>
  <c r="Y2294" i="7" s="1" a="1"/>
  <c r="R2295" i="7"/>
  <c r="Y2295" i="7" s="1" a="1"/>
  <c r="R2296" i="7"/>
  <c r="Y2296" i="7" s="1" a="1"/>
  <c r="R2297" i="7"/>
  <c r="Y2297" i="7" s="1" a="1"/>
  <c r="R2298" i="7"/>
  <c r="Y2298" i="7" s="1" a="1"/>
  <c r="R2299" i="7"/>
  <c r="Y2299" i="7" s="1" a="1"/>
  <c r="R2300" i="7"/>
  <c r="Y2300" i="7" s="1" a="1"/>
  <c r="R2301" i="7"/>
  <c r="Y2301" i="7" s="1" a="1"/>
  <c r="R2302" i="7"/>
  <c r="Y2302" i="7" s="1" a="1"/>
  <c r="R2303" i="7"/>
  <c r="Y2303" i="7" s="1" a="1"/>
  <c r="R2304" i="7"/>
  <c r="Y2304" i="7" s="1" a="1"/>
  <c r="R2305" i="7"/>
  <c r="Y2305" i="7" s="1" a="1"/>
  <c r="R2306" i="7"/>
  <c r="Y2306" i="7" s="1" a="1"/>
  <c r="R2307" i="7"/>
  <c r="Y2307" i="7" s="1" a="1"/>
  <c r="R2308" i="7"/>
  <c r="Y2308" i="7" s="1" a="1"/>
  <c r="R2309" i="7"/>
  <c r="Y2309" i="7" s="1" a="1"/>
  <c r="R2310" i="7"/>
  <c r="Y2310" i="7" s="1" a="1"/>
  <c r="R2311" i="7"/>
  <c r="Y2311" i="7" s="1" a="1"/>
  <c r="R2312" i="7"/>
  <c r="Y2312" i="7" s="1" a="1"/>
  <c r="R2313" i="7"/>
  <c r="Y2313" i="7" s="1" a="1"/>
  <c r="R2314" i="7"/>
  <c r="Y2314" i="7" s="1" a="1"/>
  <c r="R2315" i="7"/>
  <c r="Y2315" i="7" s="1" a="1"/>
  <c r="R2316" i="7"/>
  <c r="Y2316" i="7" s="1" a="1"/>
  <c r="R2317" i="7"/>
  <c r="Y2317" i="7" s="1" a="1"/>
  <c r="R2318" i="7"/>
  <c r="Y2318" i="7" s="1" a="1"/>
  <c r="R2319" i="7"/>
  <c r="Y2319" i="7" s="1" a="1"/>
  <c r="R2320" i="7"/>
  <c r="Y2320" i="7" s="1" a="1"/>
  <c r="R2321" i="7"/>
  <c r="Y2321" i="7" s="1" a="1"/>
  <c r="R2322" i="7"/>
  <c r="Y2322" i="7" s="1" a="1"/>
  <c r="R2323" i="7"/>
  <c r="Y2323" i="7" s="1" a="1"/>
  <c r="R2324" i="7"/>
  <c r="Y2324" i="7" s="1" a="1"/>
  <c r="R2325" i="7"/>
  <c r="Y2325" i="7" s="1" a="1"/>
  <c r="R2326" i="7"/>
  <c r="Y2326" i="7" s="1" a="1"/>
  <c r="R2327" i="7"/>
  <c r="Y2327" i="7" s="1" a="1"/>
  <c r="R2328" i="7"/>
  <c r="Y2328" i="7" s="1" a="1"/>
  <c r="R2329" i="7"/>
  <c r="Y2329" i="7" s="1" a="1"/>
  <c r="R2330" i="7"/>
  <c r="Y2330" i="7" s="1" a="1"/>
  <c r="R2331" i="7"/>
  <c r="Y2331" i="7" s="1" a="1"/>
  <c r="R2332" i="7"/>
  <c r="Y2332" i="7" s="1" a="1"/>
  <c r="R2333" i="7"/>
  <c r="Y2333" i="7" s="1" a="1"/>
  <c r="R2334" i="7"/>
  <c r="Y2334" i="7" s="1" a="1"/>
  <c r="R2335" i="7"/>
  <c r="Y2335" i="7" s="1" a="1"/>
  <c r="R2336" i="7"/>
  <c r="Y2336" i="7" s="1" a="1"/>
  <c r="R2337" i="7"/>
  <c r="Y2337" i="7" s="1" a="1"/>
  <c r="R2338" i="7"/>
  <c r="Y2338" i="7" s="1" a="1"/>
  <c r="R2339" i="7"/>
  <c r="Y2339" i="7" s="1" a="1"/>
  <c r="R2340" i="7"/>
  <c r="Y2340" i="7" s="1" a="1"/>
  <c r="R2341" i="7"/>
  <c r="Y2341" i="7" s="1" a="1"/>
  <c r="R2342" i="7"/>
  <c r="Y2342" i="7" s="1" a="1"/>
  <c r="R2343" i="7"/>
  <c r="Y2343" i="7" s="1" a="1"/>
  <c r="R2344" i="7"/>
  <c r="Y2344" i="7" s="1" a="1"/>
  <c r="R2345" i="7"/>
  <c r="Y2345" i="7" s="1" a="1"/>
  <c r="R2346" i="7"/>
  <c r="Y2346" i="7" s="1" a="1"/>
  <c r="R2347" i="7"/>
  <c r="Y2347" i="7" s="1" a="1"/>
  <c r="R2348" i="7"/>
  <c r="Y2348" i="7" s="1" a="1"/>
  <c r="R2349" i="7"/>
  <c r="Y2349" i="7" s="1" a="1"/>
  <c r="R2350" i="7"/>
  <c r="Y2350" i="7" s="1" a="1"/>
  <c r="R2351" i="7"/>
  <c r="Y2351" i="7" s="1" a="1"/>
  <c r="R2352" i="7"/>
  <c r="Y2352" i="7" s="1" a="1"/>
  <c r="R2353" i="7"/>
  <c r="Y2353" i="7" s="1" a="1"/>
  <c r="R2354" i="7"/>
  <c r="Y2354" i="7" s="1" a="1"/>
  <c r="R2355" i="7"/>
  <c r="Y2355" i="7" s="1" a="1"/>
  <c r="R2356" i="7"/>
  <c r="Y2356" i="7" s="1" a="1"/>
  <c r="R2357" i="7"/>
  <c r="Y2357" i="7" s="1" a="1"/>
  <c r="R2358" i="7"/>
  <c r="Y2358" i="7" s="1" a="1"/>
  <c r="R2359" i="7"/>
  <c r="Y2359" i="7" s="1" a="1"/>
  <c r="R2360" i="7"/>
  <c r="Y2360" i="7" s="1" a="1"/>
  <c r="R2361" i="7"/>
  <c r="Y2361" i="7" s="1" a="1"/>
  <c r="R2362" i="7"/>
  <c r="Y2362" i="7" s="1" a="1"/>
  <c r="R2363" i="7"/>
  <c r="Y2363" i="7" s="1" a="1"/>
  <c r="R2364" i="7"/>
  <c r="Y2364" i="7" s="1" a="1"/>
  <c r="R2365" i="7"/>
  <c r="Y2365" i="7" s="1" a="1"/>
  <c r="R2366" i="7"/>
  <c r="Y2366" i="7" s="1" a="1"/>
  <c r="R2367" i="7"/>
  <c r="Y2367" i="7" s="1" a="1"/>
  <c r="R2368" i="7"/>
  <c r="Y2368" i="7" s="1" a="1"/>
  <c r="R2369" i="7"/>
  <c r="Y2369" i="7" s="1" a="1"/>
  <c r="R2370" i="7"/>
  <c r="Y2370" i="7" s="1" a="1"/>
  <c r="R2371" i="7"/>
  <c r="Y2371" i="7" s="1" a="1"/>
  <c r="R2372" i="7"/>
  <c r="Y2372" i="7" s="1" a="1"/>
  <c r="R2373" i="7"/>
  <c r="Y2373" i="7" s="1" a="1"/>
  <c r="R2374" i="7"/>
  <c r="Y2374" i="7" s="1" a="1"/>
  <c r="R2375" i="7"/>
  <c r="Y2375" i="7" s="1" a="1"/>
  <c r="R2376" i="7"/>
  <c r="Y2376" i="7" s="1" a="1"/>
  <c r="R2377" i="7"/>
  <c r="Y2377" i="7" s="1" a="1"/>
  <c r="R2378" i="7"/>
  <c r="Y2378" i="7" s="1" a="1"/>
  <c r="R2379" i="7"/>
  <c r="Y2379" i="7" s="1" a="1"/>
  <c r="R2380" i="7"/>
  <c r="Y2380" i="7" s="1" a="1"/>
  <c r="R2381" i="7"/>
  <c r="Y2381" i="7" s="1" a="1"/>
  <c r="R2382" i="7"/>
  <c r="Y2382" i="7" s="1" a="1"/>
  <c r="R2383" i="7"/>
  <c r="Y2383" i="7" s="1" a="1"/>
  <c r="R2384" i="7"/>
  <c r="Y2384" i="7" s="1" a="1"/>
  <c r="R2385" i="7"/>
  <c r="Y2385" i="7" s="1" a="1"/>
  <c r="R2386" i="7"/>
  <c r="Y2386" i="7" s="1" a="1"/>
  <c r="R2387" i="7"/>
  <c r="Y2387" i="7" s="1" a="1"/>
  <c r="R2388" i="7"/>
  <c r="Y2388" i="7" s="1" a="1"/>
  <c r="R2389" i="7"/>
  <c r="Y2389" i="7" s="1" a="1"/>
  <c r="R2390" i="7"/>
  <c r="Y2390" i="7" s="1" a="1"/>
  <c r="R2391" i="7"/>
  <c r="Y2391" i="7" s="1" a="1"/>
  <c r="R2392" i="7"/>
  <c r="Y2392" i="7" s="1" a="1"/>
  <c r="R2393" i="7"/>
  <c r="Y2393" i="7" s="1" a="1"/>
  <c r="R2394" i="7"/>
  <c r="Y2394" i="7" s="1" a="1"/>
  <c r="R2395" i="7"/>
  <c r="Y2395" i="7" s="1" a="1"/>
  <c r="R2396" i="7"/>
  <c r="Y2396" i="7" s="1" a="1"/>
  <c r="R2397" i="7"/>
  <c r="Y2397" i="7" s="1" a="1"/>
  <c r="R2398" i="7"/>
  <c r="Y2398" i="7" s="1" a="1"/>
  <c r="R2399" i="7"/>
  <c r="Y2399" i="7" s="1" a="1"/>
  <c r="R2400" i="7"/>
  <c r="Y2400" i="7" s="1" a="1"/>
  <c r="R2401" i="7"/>
  <c r="Y2401" i="7" s="1" a="1"/>
  <c r="R2402" i="7"/>
  <c r="Y2402" i="7" s="1" a="1"/>
  <c r="R2403" i="7"/>
  <c r="Y2403" i="7" s="1" a="1"/>
  <c r="R2404" i="7"/>
  <c r="Y2404" i="7" s="1" a="1"/>
  <c r="R2405" i="7"/>
  <c r="Y2405" i="7" s="1" a="1"/>
  <c r="R2406" i="7"/>
  <c r="Y2406" i="7" s="1" a="1"/>
  <c r="R2407" i="7"/>
  <c r="Y2407" i="7" s="1" a="1"/>
  <c r="R2408" i="7"/>
  <c r="Y2408" i="7" s="1" a="1"/>
  <c r="R2409" i="7"/>
  <c r="Y2409" i="7" s="1" a="1"/>
  <c r="R2410" i="7"/>
  <c r="Y2410" i="7" s="1" a="1"/>
  <c r="R2411" i="7"/>
  <c r="Y2411" i="7" s="1" a="1"/>
  <c r="R2412" i="7"/>
  <c r="Y2412" i="7" s="1" a="1"/>
  <c r="R2413" i="7"/>
  <c r="Y2413" i="7" s="1" a="1"/>
  <c r="R2414" i="7"/>
  <c r="Y2414" i="7" s="1" a="1"/>
  <c r="R2415" i="7"/>
  <c r="Y2415" i="7" s="1" a="1"/>
  <c r="R2416" i="7"/>
  <c r="Y2416" i="7" s="1" a="1"/>
  <c r="R2417" i="7"/>
  <c r="Y2417" i="7" s="1" a="1"/>
  <c r="R2418" i="7"/>
  <c r="Y2418" i="7" s="1" a="1"/>
  <c r="R2419" i="7"/>
  <c r="Y2419" i="7" s="1" a="1"/>
  <c r="R2420" i="7"/>
  <c r="Y2420" i="7" s="1" a="1"/>
  <c r="R2421" i="7"/>
  <c r="Y2421" i="7" s="1" a="1"/>
  <c r="R2422" i="7"/>
  <c r="Y2422" i="7" s="1" a="1"/>
  <c r="R2423" i="7"/>
  <c r="Y2423" i="7" s="1" a="1"/>
  <c r="R2424" i="7"/>
  <c r="Y2424" i="7" s="1" a="1"/>
  <c r="R2425" i="7"/>
  <c r="Y2425" i="7" s="1" a="1"/>
  <c r="R2426" i="7"/>
  <c r="Y2426" i="7" s="1" a="1"/>
  <c r="R2427" i="7"/>
  <c r="Y2427" i="7" s="1" a="1"/>
  <c r="R2428" i="7"/>
  <c r="Y2428" i="7" s="1" a="1"/>
  <c r="R2429" i="7"/>
  <c r="Y2429" i="7" s="1" a="1"/>
  <c r="R2430" i="7"/>
  <c r="Y2430" i="7" s="1" a="1"/>
  <c r="R2431" i="7"/>
  <c r="Y2431" i="7" s="1" a="1"/>
  <c r="R2432" i="7"/>
  <c r="Y2432" i="7" s="1" a="1"/>
  <c r="R2433" i="7"/>
  <c r="Y2433" i="7" s="1" a="1"/>
  <c r="R2434" i="7"/>
  <c r="Y2434" i="7" s="1" a="1"/>
  <c r="R2435" i="7"/>
  <c r="Y2435" i="7" s="1" a="1"/>
  <c r="R2436" i="7"/>
  <c r="Y2436" i="7" s="1" a="1"/>
  <c r="R2437" i="7"/>
  <c r="Y2437" i="7" s="1" a="1"/>
  <c r="R2438" i="7"/>
  <c r="Y2438" i="7" s="1" a="1"/>
  <c r="R2439" i="7"/>
  <c r="Y2439" i="7" s="1" a="1"/>
  <c r="R2440" i="7"/>
  <c r="Y2440" i="7" s="1" a="1"/>
  <c r="R2441" i="7"/>
  <c r="Y2441" i="7" s="1" a="1"/>
  <c r="R2442" i="7"/>
  <c r="Y2442" i="7" s="1" a="1"/>
  <c r="R2443" i="7"/>
  <c r="Y2443" i="7" s="1" a="1"/>
  <c r="R2444" i="7"/>
  <c r="Y2444" i="7" s="1" a="1"/>
  <c r="R2445" i="7"/>
  <c r="Y2445" i="7" s="1" a="1"/>
  <c r="R2446" i="7"/>
  <c r="Y2446" i="7" s="1" a="1"/>
  <c r="R2447" i="7"/>
  <c r="Y2447" i="7" s="1" a="1"/>
  <c r="R2448" i="7"/>
  <c r="Y2448" i="7" s="1" a="1"/>
  <c r="R2449" i="7"/>
  <c r="Y2449" i="7" s="1" a="1"/>
  <c r="R2450" i="7"/>
  <c r="Y2450" i="7" s="1" a="1"/>
  <c r="R2451" i="7"/>
  <c r="Y2451" i="7" s="1" a="1"/>
  <c r="R2452" i="7"/>
  <c r="Y2452" i="7" s="1" a="1"/>
  <c r="R2453" i="7"/>
  <c r="Y2453" i="7" s="1" a="1"/>
  <c r="R2454" i="7"/>
  <c r="Y2454" i="7" s="1" a="1"/>
  <c r="R2455" i="7"/>
  <c r="Y2455" i="7" s="1" a="1"/>
  <c r="R2456" i="7"/>
  <c r="Y2456" i="7" s="1" a="1"/>
  <c r="R2457" i="7"/>
  <c r="Y2457" i="7" s="1" a="1"/>
  <c r="R2458" i="7"/>
  <c r="Y2458" i="7" s="1" a="1"/>
  <c r="R2459" i="7"/>
  <c r="Y2459" i="7" s="1" a="1"/>
  <c r="R2460" i="7"/>
  <c r="Y2460" i="7" s="1" a="1"/>
  <c r="R2461" i="7"/>
  <c r="Y2461" i="7" s="1" a="1"/>
  <c r="R2462" i="7"/>
  <c r="Y2462" i="7" s="1" a="1"/>
  <c r="R2463" i="7"/>
  <c r="Y2463" i="7" s="1" a="1"/>
  <c r="R2464" i="7"/>
  <c r="Y2464" i="7" s="1" a="1"/>
  <c r="R2465" i="7"/>
  <c r="Y2465" i="7" s="1" a="1"/>
  <c r="R2466" i="7"/>
  <c r="Y2466" i="7" s="1" a="1"/>
  <c r="R2467" i="7"/>
  <c r="Y2467" i="7" s="1" a="1"/>
  <c r="R2468" i="7"/>
  <c r="Y2468" i="7" s="1" a="1"/>
  <c r="R2469" i="7"/>
  <c r="Y2469" i="7" s="1" a="1"/>
  <c r="R2470" i="7"/>
  <c r="Y2470" i="7" s="1" a="1"/>
  <c r="R2471" i="7"/>
  <c r="Y2471" i="7" s="1" a="1"/>
  <c r="R2472" i="7"/>
  <c r="Y2472" i="7" s="1" a="1"/>
  <c r="R2473" i="7"/>
  <c r="Y2473" i="7" s="1" a="1"/>
  <c r="R2474" i="7"/>
  <c r="Y2474" i="7" s="1" a="1"/>
  <c r="R2475" i="7"/>
  <c r="Y2475" i="7" s="1" a="1"/>
  <c r="R2476" i="7"/>
  <c r="Y2476" i="7" s="1" a="1"/>
  <c r="R2477" i="7"/>
  <c r="Y2477" i="7" s="1" a="1"/>
  <c r="R2478" i="7"/>
  <c r="Y2478" i="7" s="1" a="1"/>
  <c r="R2479" i="7"/>
  <c r="Y2479" i="7" s="1" a="1"/>
  <c r="R2480" i="7"/>
  <c r="Y2480" i="7" s="1" a="1"/>
  <c r="R2481" i="7"/>
  <c r="Y2481" i="7" s="1" a="1"/>
  <c r="R2482" i="7"/>
  <c r="Y2482" i="7" s="1" a="1"/>
  <c r="R2483" i="7"/>
  <c r="Y2483" i="7" s="1" a="1"/>
  <c r="R2484" i="7"/>
  <c r="Y2484" i="7" s="1" a="1"/>
  <c r="R2485" i="7"/>
  <c r="Y2485" i="7" s="1" a="1"/>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P4" i="6"/>
  <c r="V12" i="5"/>
  <c r="V15" i="5" s="1"/>
  <c r="V4" i="2"/>
  <c r="V13" i="5"/>
  <c r="V9"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V6" i="5" s="1"/>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V7" i="5"/>
  <c r="N2" i="5"/>
  <c r="O2" i="5" s="1"/>
  <c r="N3" i="5"/>
  <c r="O3" i="5" s="1"/>
  <c r="N4" i="5"/>
  <c r="O4" i="5" s="1"/>
  <c r="N5" i="5"/>
  <c r="O5" i="5" s="1"/>
  <c r="N6" i="5"/>
  <c r="O6" i="5" s="1"/>
  <c r="N7" i="5"/>
  <c r="O7" i="5" s="1"/>
  <c r="N8" i="5"/>
  <c r="O8" i="5" s="1"/>
  <c r="N9" i="5"/>
  <c r="O9" i="5" s="1"/>
  <c r="N10" i="5"/>
  <c r="O10" i="5" s="1"/>
  <c r="N11" i="5"/>
  <c r="O11" i="5" s="1"/>
  <c r="N12" i="5"/>
  <c r="O12" i="5" s="1"/>
  <c r="N13" i="5"/>
  <c r="O13" i="5" s="1"/>
  <c r="N14" i="5"/>
  <c r="O14" i="5" s="1"/>
  <c r="N15" i="5"/>
  <c r="O15" i="5" s="1"/>
  <c r="N16" i="5"/>
  <c r="O16" i="5" s="1"/>
  <c r="N17" i="5"/>
  <c r="O17" i="5" s="1"/>
  <c r="N18" i="5"/>
  <c r="O18" i="5" s="1"/>
  <c r="N19" i="5"/>
  <c r="O19" i="5" s="1"/>
  <c r="N20" i="5"/>
  <c r="O20" i="5" s="1"/>
  <c r="N21" i="5"/>
  <c r="O21" i="5" s="1"/>
  <c r="N22" i="5"/>
  <c r="O22" i="5" s="1"/>
  <c r="N23" i="5"/>
  <c r="O23" i="5" s="1"/>
  <c r="N24" i="5"/>
  <c r="O24" i="5" s="1"/>
  <c r="N25" i="5"/>
  <c r="O25" i="5" s="1"/>
  <c r="N26" i="5"/>
  <c r="O26" i="5" s="1"/>
  <c r="N27" i="5"/>
  <c r="O27" i="5" s="1"/>
  <c r="N28" i="5"/>
  <c r="O28" i="5" s="1"/>
  <c r="N29" i="5"/>
  <c r="O29" i="5" s="1"/>
  <c r="N30" i="5"/>
  <c r="O30" i="5" s="1"/>
  <c r="N31" i="5"/>
  <c r="O31" i="5" s="1"/>
  <c r="N32" i="5"/>
  <c r="O32" i="5" s="1"/>
  <c r="N33" i="5"/>
  <c r="O33" i="5" s="1"/>
  <c r="N34" i="5"/>
  <c r="O34" i="5" s="1"/>
  <c r="N35" i="5"/>
  <c r="O35" i="5" s="1"/>
  <c r="N36" i="5"/>
  <c r="O36" i="5" s="1"/>
  <c r="N37" i="5"/>
  <c r="O37" i="5" s="1"/>
  <c r="N38" i="5"/>
  <c r="O38" i="5" s="1"/>
  <c r="N39" i="5"/>
  <c r="O39" i="5" s="1"/>
  <c r="N40" i="5"/>
  <c r="O40" i="5" s="1"/>
  <c r="N41" i="5"/>
  <c r="O41" i="5" s="1"/>
  <c r="N42" i="5"/>
  <c r="O42" i="5" s="1"/>
  <c r="N43" i="5"/>
  <c r="O43" i="5" s="1"/>
  <c r="N44" i="5"/>
  <c r="O44" i="5" s="1"/>
  <c r="N45" i="5"/>
  <c r="O45" i="5" s="1"/>
  <c r="N46" i="5"/>
  <c r="O46" i="5" s="1"/>
  <c r="N47" i="5"/>
  <c r="O47" i="5" s="1"/>
  <c r="N48" i="5"/>
  <c r="O48" i="5" s="1"/>
  <c r="N49" i="5"/>
  <c r="O49" i="5" s="1"/>
  <c r="N50" i="5"/>
  <c r="O50" i="5" s="1"/>
  <c r="N51" i="5"/>
  <c r="O51" i="5" s="1"/>
  <c r="N52" i="5"/>
  <c r="O52" i="5" s="1"/>
  <c r="N53" i="5"/>
  <c r="O53" i="5" s="1"/>
  <c r="N54" i="5"/>
  <c r="O54" i="5" s="1"/>
  <c r="N55" i="5"/>
  <c r="O55" i="5" s="1"/>
  <c r="N56" i="5"/>
  <c r="O56" i="5" s="1"/>
  <c r="N57" i="5"/>
  <c r="O57" i="5" s="1"/>
  <c r="N58" i="5"/>
  <c r="O58" i="5" s="1"/>
  <c r="N59" i="5"/>
  <c r="O59" i="5" s="1"/>
  <c r="N60" i="5"/>
  <c r="O60" i="5" s="1"/>
  <c r="N61" i="5"/>
  <c r="O61" i="5" s="1"/>
  <c r="N62" i="5"/>
  <c r="O62" i="5" s="1"/>
  <c r="N63" i="5"/>
  <c r="O63" i="5" s="1"/>
  <c r="N64" i="5"/>
  <c r="O64" i="5" s="1"/>
  <c r="N65" i="5"/>
  <c r="O65" i="5" s="1"/>
  <c r="N66" i="5"/>
  <c r="O66" i="5" s="1"/>
  <c r="N67" i="5"/>
  <c r="O67" i="5" s="1"/>
  <c r="N68" i="5"/>
  <c r="O68" i="5" s="1"/>
  <c r="N69" i="5"/>
  <c r="O69" i="5" s="1"/>
  <c r="N70" i="5"/>
  <c r="O70" i="5" s="1"/>
  <c r="N71" i="5"/>
  <c r="O71" i="5" s="1"/>
  <c r="N72" i="5"/>
  <c r="O72" i="5" s="1"/>
  <c r="N73" i="5"/>
  <c r="O73" i="5" s="1"/>
  <c r="N74" i="5"/>
  <c r="O74" i="5" s="1"/>
  <c r="N75" i="5"/>
  <c r="O75" i="5" s="1"/>
  <c r="N76" i="5"/>
  <c r="O76" i="5" s="1"/>
  <c r="N77" i="5"/>
  <c r="O77" i="5" s="1"/>
  <c r="N78" i="5"/>
  <c r="O78" i="5" s="1"/>
  <c r="N79" i="5"/>
  <c r="O79" i="5" s="1"/>
  <c r="N80" i="5"/>
  <c r="O80" i="5" s="1"/>
  <c r="N81" i="5"/>
  <c r="O81" i="5" s="1"/>
  <c r="N82" i="5"/>
  <c r="O82" i="5" s="1"/>
  <c r="N83" i="5"/>
  <c r="O83" i="5" s="1"/>
  <c r="N84" i="5"/>
  <c r="O84" i="5" s="1"/>
  <c r="N85" i="5"/>
  <c r="O85" i="5" s="1"/>
  <c r="N86" i="5"/>
  <c r="O86" i="5" s="1"/>
  <c r="N87" i="5"/>
  <c r="O87" i="5" s="1"/>
  <c r="N88" i="5"/>
  <c r="O88" i="5" s="1"/>
  <c r="N89" i="5"/>
  <c r="O89" i="5" s="1"/>
  <c r="N90" i="5"/>
  <c r="O90" i="5" s="1"/>
  <c r="N91" i="5"/>
  <c r="O91" i="5" s="1"/>
  <c r="N92" i="5"/>
  <c r="O92" i="5" s="1"/>
  <c r="N93" i="5"/>
  <c r="O93" i="5" s="1"/>
  <c r="N94" i="5"/>
  <c r="O94" i="5" s="1"/>
  <c r="N95" i="5"/>
  <c r="O95" i="5" s="1"/>
  <c r="N96" i="5"/>
  <c r="O96" i="5" s="1"/>
  <c r="N97" i="5"/>
  <c r="O97" i="5" s="1"/>
  <c r="N98" i="5"/>
  <c r="O98" i="5" s="1"/>
  <c r="N99" i="5"/>
  <c r="O99" i="5" s="1"/>
  <c r="N100" i="5"/>
  <c r="O100" i="5" s="1"/>
  <c r="N101" i="5"/>
  <c r="O101" i="5" s="1"/>
  <c r="N102" i="5"/>
  <c r="O102" i="5" s="1"/>
  <c r="N103" i="5"/>
  <c r="O103" i="5" s="1"/>
  <c r="N104" i="5"/>
  <c r="O104" i="5" s="1"/>
  <c r="N105" i="5"/>
  <c r="O105" i="5" s="1"/>
  <c r="N106" i="5"/>
  <c r="O106" i="5" s="1"/>
  <c r="N107" i="5"/>
  <c r="O107" i="5" s="1"/>
  <c r="N108" i="5"/>
  <c r="O108" i="5" s="1"/>
  <c r="N109" i="5"/>
  <c r="O109" i="5" s="1"/>
  <c r="N110" i="5"/>
  <c r="O110" i="5" s="1"/>
  <c r="N111" i="5"/>
  <c r="O111" i="5" s="1"/>
  <c r="N112" i="5"/>
  <c r="O112" i="5" s="1"/>
  <c r="N113" i="5"/>
  <c r="O113" i="5" s="1"/>
  <c r="N114" i="5"/>
  <c r="O114" i="5" s="1"/>
  <c r="N115" i="5"/>
  <c r="O115" i="5" s="1"/>
  <c r="N116" i="5"/>
  <c r="O116" i="5" s="1"/>
  <c r="N117" i="5"/>
  <c r="O117" i="5" s="1"/>
  <c r="N118" i="5"/>
  <c r="O118" i="5" s="1"/>
  <c r="N119" i="5"/>
  <c r="O119" i="5" s="1"/>
  <c r="N120" i="5"/>
  <c r="O120" i="5" s="1"/>
  <c r="N121" i="5"/>
  <c r="O121" i="5" s="1"/>
  <c r="N122" i="5"/>
  <c r="O122" i="5" s="1"/>
  <c r="N123" i="5"/>
  <c r="O123" i="5" s="1"/>
  <c r="N124" i="5"/>
  <c r="O124" i="5" s="1"/>
  <c r="N125" i="5"/>
  <c r="O125" i="5" s="1"/>
  <c r="N126" i="5"/>
  <c r="O126" i="5" s="1"/>
  <c r="N127" i="5"/>
  <c r="O127" i="5" s="1"/>
  <c r="N128" i="5"/>
  <c r="O128" i="5" s="1"/>
  <c r="N129" i="5"/>
  <c r="O129" i="5" s="1"/>
  <c r="N130" i="5"/>
  <c r="O130" i="5" s="1"/>
  <c r="N131" i="5"/>
  <c r="O131" i="5" s="1"/>
  <c r="N132" i="5"/>
  <c r="O132" i="5" s="1"/>
  <c r="N133" i="5"/>
  <c r="O133" i="5" s="1"/>
  <c r="N134" i="5"/>
  <c r="O134" i="5" s="1"/>
  <c r="N135" i="5"/>
  <c r="O135" i="5" s="1"/>
  <c r="N136" i="5"/>
  <c r="O136" i="5" s="1"/>
  <c r="N137" i="5"/>
  <c r="O137" i="5" s="1"/>
  <c r="N138" i="5"/>
  <c r="O138" i="5" s="1"/>
  <c r="N139" i="5"/>
  <c r="O139" i="5" s="1"/>
  <c r="N140" i="5"/>
  <c r="O140" i="5" s="1"/>
  <c r="N141" i="5"/>
  <c r="O141" i="5" s="1"/>
  <c r="N142" i="5"/>
  <c r="O142" i="5" s="1"/>
  <c r="N143" i="5"/>
  <c r="O143" i="5" s="1"/>
  <c r="N144" i="5"/>
  <c r="O144" i="5" s="1"/>
  <c r="N145" i="5"/>
  <c r="O145" i="5" s="1"/>
  <c r="N146" i="5"/>
  <c r="O146" i="5" s="1"/>
  <c r="N147" i="5"/>
  <c r="O147" i="5" s="1"/>
  <c r="N148" i="5"/>
  <c r="O148" i="5" s="1"/>
  <c r="N149" i="5"/>
  <c r="O149" i="5" s="1"/>
  <c r="N150" i="5"/>
  <c r="O150" i="5" s="1"/>
  <c r="N151" i="5"/>
  <c r="O151" i="5" s="1"/>
  <c r="N152" i="5"/>
  <c r="O152" i="5" s="1"/>
  <c r="N153" i="5"/>
  <c r="O153" i="5" s="1"/>
  <c r="N154" i="5"/>
  <c r="O154" i="5" s="1"/>
  <c r="N155" i="5"/>
  <c r="O155" i="5" s="1"/>
  <c r="N156" i="5"/>
  <c r="O156" i="5" s="1"/>
  <c r="N157" i="5"/>
  <c r="O157" i="5" s="1"/>
  <c r="N158" i="5"/>
  <c r="O158" i="5" s="1"/>
  <c r="N159" i="5"/>
  <c r="O159" i="5" s="1"/>
  <c r="N160" i="5"/>
  <c r="O160" i="5" s="1"/>
  <c r="N161" i="5"/>
  <c r="O161" i="5" s="1"/>
  <c r="N162" i="5"/>
  <c r="O162" i="5" s="1"/>
  <c r="N163" i="5"/>
  <c r="O163" i="5" s="1"/>
  <c r="N164" i="5"/>
  <c r="O164" i="5" s="1"/>
  <c r="N165" i="5"/>
  <c r="O165" i="5" s="1"/>
  <c r="N166" i="5"/>
  <c r="O166" i="5" s="1"/>
  <c r="N167" i="5"/>
  <c r="O167" i="5" s="1"/>
  <c r="N168" i="5"/>
  <c r="O168" i="5" s="1"/>
  <c r="N169" i="5"/>
  <c r="O169" i="5" s="1"/>
  <c r="N170" i="5"/>
  <c r="O170" i="5" s="1"/>
  <c r="N171" i="5"/>
  <c r="O171" i="5" s="1"/>
  <c r="N172" i="5"/>
  <c r="O172" i="5" s="1"/>
  <c r="N173" i="5"/>
  <c r="O173" i="5" s="1"/>
  <c r="N174" i="5"/>
  <c r="O174" i="5" s="1"/>
  <c r="N175" i="5"/>
  <c r="O175" i="5" s="1"/>
  <c r="N176" i="5"/>
  <c r="O176" i="5" s="1"/>
  <c r="N177" i="5"/>
  <c r="O177" i="5" s="1"/>
  <c r="N178" i="5"/>
  <c r="O178" i="5" s="1"/>
  <c r="N179" i="5"/>
  <c r="O179" i="5" s="1"/>
  <c r="N180" i="5"/>
  <c r="O180" i="5" s="1"/>
  <c r="N181" i="5"/>
  <c r="O181" i="5" s="1"/>
  <c r="N182" i="5"/>
  <c r="O182" i="5" s="1"/>
  <c r="N183" i="5"/>
  <c r="O183" i="5" s="1"/>
  <c r="N184" i="5"/>
  <c r="O184" i="5" s="1"/>
  <c r="N185" i="5"/>
  <c r="O185" i="5" s="1"/>
  <c r="N186" i="5"/>
  <c r="O186" i="5" s="1"/>
  <c r="N187" i="5"/>
  <c r="O187" i="5" s="1"/>
  <c r="N188" i="5"/>
  <c r="O188" i="5" s="1"/>
  <c r="N189" i="5"/>
  <c r="O189" i="5" s="1"/>
  <c r="N190" i="5"/>
  <c r="O190" i="5" s="1"/>
  <c r="N191" i="5"/>
  <c r="O191" i="5" s="1"/>
  <c r="N192" i="5"/>
  <c r="O192" i="5" s="1"/>
  <c r="N193" i="5"/>
  <c r="O193" i="5" s="1"/>
  <c r="N194" i="5"/>
  <c r="O194" i="5" s="1"/>
  <c r="N195" i="5"/>
  <c r="O195" i="5" s="1"/>
  <c r="N196" i="5"/>
  <c r="O196" i="5" s="1"/>
  <c r="N197" i="5"/>
  <c r="O197" i="5" s="1"/>
  <c r="N198" i="5"/>
  <c r="O198" i="5" s="1"/>
  <c r="N199" i="5"/>
  <c r="O199" i="5" s="1"/>
  <c r="N200" i="5"/>
  <c r="O200" i="5" s="1"/>
  <c r="N201" i="5"/>
  <c r="O201" i="5" s="1"/>
  <c r="N202" i="5"/>
  <c r="O202" i="5" s="1"/>
  <c r="N203" i="5"/>
  <c r="O203" i="5" s="1"/>
  <c r="N204" i="5"/>
  <c r="O204" i="5" s="1"/>
  <c r="N205" i="5"/>
  <c r="O205" i="5" s="1"/>
  <c r="N206" i="5"/>
  <c r="O206" i="5" s="1"/>
  <c r="N207" i="5"/>
  <c r="O207" i="5" s="1"/>
  <c r="N208" i="5"/>
  <c r="O208" i="5" s="1"/>
  <c r="N209" i="5"/>
  <c r="O209" i="5" s="1"/>
  <c r="N210" i="5"/>
  <c r="O210" i="5" s="1"/>
  <c r="N211" i="5"/>
  <c r="O211" i="5" s="1"/>
  <c r="N212" i="5"/>
  <c r="O212" i="5" s="1"/>
  <c r="N213" i="5"/>
  <c r="O213" i="5" s="1"/>
  <c r="N214" i="5"/>
  <c r="O214" i="5" s="1"/>
  <c r="N215" i="5"/>
  <c r="O215" i="5" s="1"/>
  <c r="N216" i="5"/>
  <c r="O216" i="5" s="1"/>
  <c r="N217" i="5"/>
  <c r="O217" i="5" s="1"/>
  <c r="N218" i="5"/>
  <c r="O218" i="5" s="1"/>
  <c r="N219" i="5"/>
  <c r="O219" i="5" s="1"/>
  <c r="N220" i="5"/>
  <c r="O220" i="5" s="1"/>
  <c r="N221" i="5"/>
  <c r="O221" i="5" s="1"/>
  <c r="N222" i="5"/>
  <c r="O222" i="5" s="1"/>
  <c r="N223" i="5"/>
  <c r="O223" i="5" s="1"/>
  <c r="N224" i="5"/>
  <c r="O224" i="5" s="1"/>
  <c r="N225" i="5"/>
  <c r="O225" i="5" s="1"/>
  <c r="N226" i="5"/>
  <c r="O226" i="5" s="1"/>
  <c r="N227" i="5"/>
  <c r="O227" i="5" s="1"/>
  <c r="N228" i="5"/>
  <c r="O228" i="5" s="1"/>
  <c r="N229" i="5"/>
  <c r="O229" i="5" s="1"/>
  <c r="N230" i="5"/>
  <c r="O230" i="5" s="1"/>
  <c r="N231" i="5"/>
  <c r="O231" i="5" s="1"/>
  <c r="N232" i="5"/>
  <c r="O232" i="5" s="1"/>
  <c r="N233" i="5"/>
  <c r="O233" i="5" s="1"/>
  <c r="N234" i="5"/>
  <c r="O234" i="5" s="1"/>
  <c r="N235" i="5"/>
  <c r="O235" i="5" s="1"/>
  <c r="N236" i="5"/>
  <c r="O236" i="5" s="1"/>
  <c r="N237" i="5"/>
  <c r="O237" i="5" s="1"/>
  <c r="N238" i="5"/>
  <c r="O238" i="5" s="1"/>
  <c r="N239" i="5"/>
  <c r="O239" i="5" s="1"/>
  <c r="N240" i="5"/>
  <c r="O240" i="5" s="1"/>
  <c r="N241" i="5"/>
  <c r="O241" i="5" s="1"/>
  <c r="N242" i="5"/>
  <c r="O242" i="5" s="1"/>
  <c r="N243" i="5"/>
  <c r="O243" i="5" s="1"/>
  <c r="N244" i="5"/>
  <c r="O244" i="5" s="1"/>
  <c r="N245" i="5"/>
  <c r="O245" i="5" s="1"/>
  <c r="N246" i="5"/>
  <c r="O246" i="5" s="1"/>
  <c r="N247" i="5"/>
  <c r="O247" i="5" s="1"/>
  <c r="N248" i="5"/>
  <c r="O248" i="5" s="1"/>
  <c r="N249" i="5"/>
  <c r="O249" i="5" s="1"/>
  <c r="N250" i="5"/>
  <c r="O250" i="5" s="1"/>
  <c r="N251" i="5"/>
  <c r="O251" i="5" s="1"/>
  <c r="N252" i="5"/>
  <c r="O252" i="5" s="1"/>
  <c r="N253" i="5"/>
  <c r="O253" i="5" s="1"/>
  <c r="N254" i="5"/>
  <c r="O254" i="5" s="1"/>
  <c r="N255" i="5"/>
  <c r="O255" i="5" s="1"/>
  <c r="N256" i="5"/>
  <c r="O256" i="5" s="1"/>
  <c r="N257" i="5"/>
  <c r="O257" i="5" s="1"/>
  <c r="N258" i="5"/>
  <c r="O258" i="5" s="1"/>
  <c r="N259" i="5"/>
  <c r="O259" i="5" s="1"/>
  <c r="N260" i="5"/>
  <c r="O260" i="5" s="1"/>
  <c r="N261" i="5"/>
  <c r="O261" i="5" s="1"/>
  <c r="N262" i="5"/>
  <c r="O262" i="5" s="1"/>
  <c r="N263" i="5"/>
  <c r="O263" i="5" s="1"/>
  <c r="N264" i="5"/>
  <c r="O264" i="5" s="1"/>
  <c r="N265" i="5"/>
  <c r="O265" i="5" s="1"/>
  <c r="N266" i="5"/>
  <c r="O266" i="5" s="1"/>
  <c r="N267" i="5"/>
  <c r="O267" i="5" s="1"/>
  <c r="N268" i="5"/>
  <c r="O268" i="5" s="1"/>
  <c r="N269" i="5"/>
  <c r="O269" i="5" s="1"/>
  <c r="N270" i="5"/>
  <c r="O270" i="5" s="1"/>
  <c r="N271" i="5"/>
  <c r="O271" i="5" s="1"/>
  <c r="N272" i="5"/>
  <c r="O272" i="5" s="1"/>
  <c r="N273" i="5"/>
  <c r="O273" i="5" s="1"/>
  <c r="N274" i="5"/>
  <c r="O274" i="5" s="1"/>
  <c r="N275" i="5"/>
  <c r="O275" i="5" s="1"/>
  <c r="N276" i="5"/>
  <c r="O276" i="5" s="1"/>
  <c r="N277" i="5"/>
  <c r="O277" i="5" s="1"/>
  <c r="N278" i="5"/>
  <c r="O278" i="5" s="1"/>
  <c r="N279" i="5"/>
  <c r="O279" i="5" s="1"/>
  <c r="N280" i="5"/>
  <c r="O280" i="5" s="1"/>
  <c r="N281" i="5"/>
  <c r="O281" i="5" s="1"/>
  <c r="N282" i="5"/>
  <c r="O282" i="5" s="1"/>
  <c r="N283" i="5"/>
  <c r="O283" i="5" s="1"/>
  <c r="N284" i="5"/>
  <c r="O284" i="5" s="1"/>
  <c r="N285" i="5"/>
  <c r="O285" i="5" s="1"/>
  <c r="N286" i="5"/>
  <c r="O286" i="5" s="1"/>
  <c r="N287" i="5"/>
  <c r="O287" i="5" s="1"/>
  <c r="N288" i="5"/>
  <c r="O288" i="5" s="1"/>
  <c r="N289" i="5"/>
  <c r="O289" i="5" s="1"/>
  <c r="N290" i="5"/>
  <c r="O290" i="5" s="1"/>
  <c r="N291" i="5"/>
  <c r="O291" i="5" s="1"/>
  <c r="N292" i="5"/>
  <c r="O292" i="5" s="1"/>
  <c r="N293" i="5"/>
  <c r="O293" i="5" s="1"/>
  <c r="N294" i="5"/>
  <c r="O294" i="5" s="1"/>
  <c r="N295" i="5"/>
  <c r="O295" i="5" s="1"/>
  <c r="N296" i="5"/>
  <c r="O296" i="5" s="1"/>
  <c r="N297" i="5"/>
  <c r="O297" i="5" s="1"/>
  <c r="N298" i="5"/>
  <c r="O298" i="5" s="1"/>
  <c r="N299" i="5"/>
  <c r="O299" i="5" s="1"/>
  <c r="N300" i="5"/>
  <c r="O300" i="5" s="1"/>
  <c r="N301" i="5"/>
  <c r="O301" i="5" s="1"/>
  <c r="N302" i="5"/>
  <c r="O302" i="5" s="1"/>
  <c r="N303" i="5"/>
  <c r="O303" i="5" s="1"/>
  <c r="N304" i="5"/>
  <c r="O304" i="5" s="1"/>
  <c r="N305" i="5"/>
  <c r="O305" i="5" s="1"/>
  <c r="N306" i="5"/>
  <c r="O306" i="5" s="1"/>
  <c r="N307" i="5"/>
  <c r="O307" i="5" s="1"/>
  <c r="N308" i="5"/>
  <c r="O308" i="5" s="1"/>
  <c r="N309" i="5"/>
  <c r="O309" i="5" s="1"/>
  <c r="N310" i="5"/>
  <c r="O310" i="5" s="1"/>
  <c r="N311" i="5"/>
  <c r="O311" i="5" s="1"/>
  <c r="N312" i="5"/>
  <c r="O312" i="5" s="1"/>
  <c r="N313" i="5"/>
  <c r="O313" i="5" s="1"/>
  <c r="N314" i="5"/>
  <c r="O314" i="5" s="1"/>
  <c r="N315" i="5"/>
  <c r="O315" i="5" s="1"/>
  <c r="N316" i="5"/>
  <c r="O316" i="5" s="1"/>
  <c r="N317" i="5"/>
  <c r="O317" i="5" s="1"/>
  <c r="N318" i="5"/>
  <c r="O318" i="5" s="1"/>
  <c r="N319" i="5"/>
  <c r="O319" i="5" s="1"/>
  <c r="N320" i="5"/>
  <c r="O320" i="5" s="1"/>
  <c r="N321" i="5"/>
  <c r="O321" i="5" s="1"/>
  <c r="N322" i="5"/>
  <c r="O322" i="5" s="1"/>
  <c r="N323" i="5"/>
  <c r="O323" i="5" s="1"/>
  <c r="N324" i="5"/>
  <c r="O324" i="5" s="1"/>
  <c r="N325" i="5"/>
  <c r="O325" i="5" s="1"/>
  <c r="N326" i="5"/>
  <c r="O326" i="5" s="1"/>
  <c r="N327" i="5"/>
  <c r="O327" i="5" s="1"/>
  <c r="N328" i="5"/>
  <c r="O328" i="5" s="1"/>
  <c r="N329" i="5"/>
  <c r="O329" i="5" s="1"/>
  <c r="N330" i="5"/>
  <c r="O330" i="5" s="1"/>
  <c r="N331" i="5"/>
  <c r="O331" i="5" s="1"/>
  <c r="N332" i="5"/>
  <c r="O332" i="5" s="1"/>
  <c r="N333" i="5"/>
  <c r="O333" i="5" s="1"/>
  <c r="N334" i="5"/>
  <c r="O334" i="5" s="1"/>
  <c r="N335" i="5"/>
  <c r="O335" i="5" s="1"/>
  <c r="N336" i="5"/>
  <c r="O336" i="5" s="1"/>
  <c r="N337" i="5"/>
  <c r="O337" i="5" s="1"/>
  <c r="N338" i="5"/>
  <c r="O338" i="5" s="1"/>
  <c r="N339" i="5"/>
  <c r="O339" i="5" s="1"/>
  <c r="N340" i="5"/>
  <c r="O340" i="5" s="1"/>
  <c r="N341" i="5"/>
  <c r="O341" i="5" s="1"/>
  <c r="N342" i="5"/>
  <c r="O342" i="5" s="1"/>
  <c r="N343" i="5"/>
  <c r="O343" i="5" s="1"/>
  <c r="N344" i="5"/>
  <c r="O344" i="5" s="1"/>
  <c r="N345" i="5"/>
  <c r="O345" i="5" s="1"/>
  <c r="N346" i="5"/>
  <c r="O346" i="5" s="1"/>
  <c r="N347" i="5"/>
  <c r="O347" i="5" s="1"/>
  <c r="N348" i="5"/>
  <c r="O348" i="5" s="1"/>
  <c r="N349" i="5"/>
  <c r="O349" i="5" s="1"/>
  <c r="N350" i="5"/>
  <c r="O350" i="5" s="1"/>
  <c r="N351" i="5"/>
  <c r="O351" i="5" s="1"/>
  <c r="N352" i="5"/>
  <c r="O352" i="5" s="1"/>
  <c r="N353" i="5"/>
  <c r="O353" i="5" s="1"/>
  <c r="N354" i="5"/>
  <c r="O354" i="5" s="1"/>
  <c r="N355" i="5"/>
  <c r="O355" i="5" s="1"/>
  <c r="N356" i="5"/>
  <c r="O356" i="5" s="1"/>
  <c r="N357" i="5"/>
  <c r="O357" i="5" s="1"/>
  <c r="N358" i="5"/>
  <c r="O358" i="5" s="1"/>
  <c r="N359" i="5"/>
  <c r="O359" i="5" s="1"/>
  <c r="N360" i="5"/>
  <c r="O360" i="5" s="1"/>
  <c r="N361" i="5"/>
  <c r="O361" i="5" s="1"/>
  <c r="N362" i="5"/>
  <c r="O362" i="5" s="1"/>
  <c r="N363" i="5"/>
  <c r="O363" i="5" s="1"/>
  <c r="N364" i="5"/>
  <c r="O364" i="5" s="1"/>
  <c r="N365" i="5"/>
  <c r="O365" i="5" s="1"/>
  <c r="N366" i="5"/>
  <c r="O366" i="5" s="1"/>
  <c r="N367" i="5"/>
  <c r="O367" i="5" s="1"/>
  <c r="N368" i="5"/>
  <c r="O368" i="5" s="1"/>
  <c r="N369" i="5"/>
  <c r="O369" i="5" s="1"/>
  <c r="N370" i="5"/>
  <c r="O370" i="5" s="1"/>
  <c r="N371" i="5"/>
  <c r="O371" i="5" s="1"/>
  <c r="N372" i="5"/>
  <c r="O372" i="5" s="1"/>
  <c r="N373" i="5"/>
  <c r="O373" i="5" s="1"/>
  <c r="N374" i="5"/>
  <c r="O374" i="5" s="1"/>
  <c r="N375" i="5"/>
  <c r="O375" i="5" s="1"/>
  <c r="N376" i="5"/>
  <c r="O376" i="5" s="1"/>
  <c r="N377" i="5"/>
  <c r="O377" i="5" s="1"/>
  <c r="N378" i="5"/>
  <c r="O378" i="5" s="1"/>
  <c r="N379" i="5"/>
  <c r="O379" i="5" s="1"/>
  <c r="N380" i="5"/>
  <c r="O380" i="5" s="1"/>
  <c r="N381" i="5"/>
  <c r="O381" i="5" s="1"/>
  <c r="N382" i="5"/>
  <c r="O382" i="5" s="1"/>
  <c r="N383" i="5"/>
  <c r="O383" i="5" s="1"/>
  <c r="N384" i="5"/>
  <c r="O384" i="5" s="1"/>
  <c r="N385" i="5"/>
  <c r="O385" i="5" s="1"/>
  <c r="N386" i="5"/>
  <c r="O386" i="5" s="1"/>
  <c r="N387" i="5"/>
  <c r="O387" i="5" s="1"/>
  <c r="N388" i="5"/>
  <c r="O388" i="5" s="1"/>
  <c r="N389" i="5"/>
  <c r="O389" i="5" s="1"/>
  <c r="N390" i="5"/>
  <c r="O390" i="5" s="1"/>
  <c r="N391" i="5"/>
  <c r="O391" i="5" s="1"/>
  <c r="N392" i="5"/>
  <c r="O392" i="5" s="1"/>
  <c r="N393" i="5"/>
  <c r="O393" i="5" s="1"/>
  <c r="N394" i="5"/>
  <c r="O394" i="5" s="1"/>
  <c r="N395" i="5"/>
  <c r="O395" i="5" s="1"/>
  <c r="N396" i="5"/>
  <c r="O396" i="5" s="1"/>
  <c r="N397" i="5"/>
  <c r="O397" i="5" s="1"/>
  <c r="N398" i="5"/>
  <c r="O398" i="5" s="1"/>
  <c r="N399" i="5"/>
  <c r="O399" i="5" s="1"/>
  <c r="N400" i="5"/>
  <c r="O400" i="5" s="1"/>
  <c r="N401" i="5"/>
  <c r="O401" i="5" s="1"/>
  <c r="N402" i="5"/>
  <c r="O402" i="5" s="1"/>
  <c r="N403" i="5"/>
  <c r="O403" i="5" s="1"/>
  <c r="N404" i="5"/>
  <c r="O404" i="5" s="1"/>
  <c r="N405" i="5"/>
  <c r="O405" i="5" s="1"/>
  <c r="N406" i="5"/>
  <c r="O406" i="5" s="1"/>
  <c r="N407" i="5"/>
  <c r="O407" i="5" s="1"/>
  <c r="N408" i="5"/>
  <c r="O408" i="5" s="1"/>
  <c r="N409" i="5"/>
  <c r="O409" i="5" s="1"/>
  <c r="N410" i="5"/>
  <c r="O410" i="5" s="1"/>
  <c r="N411" i="5"/>
  <c r="O411" i="5" s="1"/>
  <c r="N412" i="5"/>
  <c r="O412" i="5" s="1"/>
  <c r="N413" i="5"/>
  <c r="O413" i="5" s="1"/>
  <c r="N414" i="5"/>
  <c r="O414" i="5" s="1"/>
  <c r="N415" i="5"/>
  <c r="O415" i="5" s="1"/>
  <c r="N416" i="5"/>
  <c r="O416" i="5" s="1"/>
  <c r="N417" i="5"/>
  <c r="O417" i="5" s="1"/>
  <c r="N418" i="5"/>
  <c r="O418" i="5" s="1"/>
  <c r="N419" i="5"/>
  <c r="O419" i="5" s="1"/>
  <c r="N420" i="5"/>
  <c r="O420" i="5" s="1"/>
  <c r="N421" i="5"/>
  <c r="O421" i="5" s="1"/>
  <c r="N422" i="5"/>
  <c r="O422" i="5" s="1"/>
  <c r="N423" i="5"/>
  <c r="O423" i="5" s="1"/>
  <c r="N424" i="5"/>
  <c r="O424" i="5" s="1"/>
  <c r="N425" i="5"/>
  <c r="O425" i="5" s="1"/>
  <c r="N426" i="5"/>
  <c r="O426" i="5" s="1"/>
  <c r="N427" i="5"/>
  <c r="O427" i="5" s="1"/>
  <c r="N428" i="5"/>
  <c r="O428" i="5" s="1"/>
  <c r="N429" i="5"/>
  <c r="O429" i="5" s="1"/>
  <c r="N430" i="5"/>
  <c r="O430" i="5" s="1"/>
  <c r="N431" i="5"/>
  <c r="O431" i="5" s="1"/>
  <c r="N432" i="5"/>
  <c r="O432" i="5" s="1"/>
  <c r="N433" i="5"/>
  <c r="O433" i="5" s="1"/>
  <c r="N434" i="5"/>
  <c r="O434" i="5" s="1"/>
  <c r="N435" i="5"/>
  <c r="O435" i="5" s="1"/>
  <c r="N436" i="5"/>
  <c r="O436" i="5" s="1"/>
  <c r="N437" i="5"/>
  <c r="O437" i="5" s="1"/>
  <c r="N438" i="5"/>
  <c r="O438" i="5" s="1"/>
  <c r="N439" i="5"/>
  <c r="O439" i="5" s="1"/>
  <c r="N440" i="5"/>
  <c r="O440" i="5" s="1"/>
  <c r="N441" i="5"/>
  <c r="O441" i="5" s="1"/>
  <c r="N442" i="5"/>
  <c r="O442" i="5" s="1"/>
  <c r="N443" i="5"/>
  <c r="O443" i="5" s="1"/>
  <c r="N444" i="5"/>
  <c r="O444" i="5" s="1"/>
  <c r="N445" i="5"/>
  <c r="O445" i="5" s="1"/>
  <c r="N446" i="5"/>
  <c r="O446" i="5" s="1"/>
  <c r="N447" i="5"/>
  <c r="O447" i="5" s="1"/>
  <c r="N448" i="5"/>
  <c r="O448" i="5" s="1"/>
  <c r="N449" i="5"/>
  <c r="O449" i="5" s="1"/>
  <c r="N450" i="5"/>
  <c r="O450" i="5" s="1"/>
  <c r="N451" i="5"/>
  <c r="O451" i="5" s="1"/>
  <c r="N452" i="5"/>
  <c r="O452" i="5" s="1"/>
  <c r="N453" i="5"/>
  <c r="O453" i="5" s="1"/>
  <c r="N454" i="5"/>
  <c r="O454" i="5" s="1"/>
  <c r="N455" i="5"/>
  <c r="O455" i="5" s="1"/>
  <c r="N456" i="5"/>
  <c r="O456" i="5" s="1"/>
  <c r="N457" i="5"/>
  <c r="O457" i="5" s="1"/>
  <c r="N458" i="5"/>
  <c r="O458" i="5" s="1"/>
  <c r="N459" i="5"/>
  <c r="O459" i="5" s="1"/>
  <c r="N460" i="5"/>
  <c r="O460" i="5" s="1"/>
  <c r="N461" i="5"/>
  <c r="O461" i="5" s="1"/>
  <c r="N462" i="5"/>
  <c r="O462" i="5" s="1"/>
  <c r="N463" i="5"/>
  <c r="O463" i="5" s="1"/>
  <c r="N464" i="5"/>
  <c r="O464" i="5" s="1"/>
  <c r="N465" i="5"/>
  <c r="O465" i="5" s="1"/>
  <c r="N466" i="5"/>
  <c r="O466" i="5" s="1"/>
  <c r="N467" i="5"/>
  <c r="O467" i="5" s="1"/>
  <c r="N468" i="5"/>
  <c r="O468" i="5" s="1"/>
  <c r="N469" i="5"/>
  <c r="O469" i="5" s="1"/>
  <c r="N470" i="5"/>
  <c r="O470" i="5" s="1"/>
  <c r="N471" i="5"/>
  <c r="O471" i="5" s="1"/>
  <c r="N472" i="5"/>
  <c r="O472" i="5" s="1"/>
  <c r="N473" i="5"/>
  <c r="O473" i="5" s="1"/>
  <c r="N474" i="5"/>
  <c r="O474" i="5" s="1"/>
  <c r="N475" i="5"/>
  <c r="O475" i="5" s="1"/>
  <c r="N476" i="5"/>
  <c r="O476" i="5" s="1"/>
  <c r="N477" i="5"/>
  <c r="O477" i="5" s="1"/>
  <c r="N478" i="5"/>
  <c r="O478" i="5" s="1"/>
  <c r="N479" i="5"/>
  <c r="O479" i="5" s="1"/>
  <c r="N480" i="5"/>
  <c r="O480" i="5" s="1"/>
  <c r="N481" i="5"/>
  <c r="O481" i="5" s="1"/>
  <c r="N482" i="5"/>
  <c r="O482" i="5" s="1"/>
  <c r="N483" i="5"/>
  <c r="O483" i="5" s="1"/>
  <c r="N484" i="5"/>
  <c r="O484" i="5" s="1"/>
  <c r="N485" i="5"/>
  <c r="O485" i="5" s="1"/>
  <c r="N486" i="5"/>
  <c r="O486" i="5" s="1"/>
  <c r="N487" i="5"/>
  <c r="O487" i="5" s="1"/>
  <c r="N488" i="5"/>
  <c r="O488" i="5" s="1"/>
  <c r="N489" i="5"/>
  <c r="O489" i="5" s="1"/>
  <c r="N490" i="5"/>
  <c r="O490" i="5" s="1"/>
  <c r="N491" i="5"/>
  <c r="O491" i="5" s="1"/>
  <c r="N492" i="5"/>
  <c r="O492" i="5" s="1"/>
  <c r="N493" i="5"/>
  <c r="O493" i="5" s="1"/>
  <c r="N494" i="5"/>
  <c r="O494" i="5" s="1"/>
  <c r="N495" i="5"/>
  <c r="O495" i="5" s="1"/>
  <c r="N496" i="5"/>
  <c r="O496" i="5" s="1"/>
  <c r="N497" i="5"/>
  <c r="O497" i="5" s="1"/>
  <c r="N498" i="5"/>
  <c r="O498" i="5" s="1"/>
  <c r="N499" i="5"/>
  <c r="O499" i="5" s="1"/>
  <c r="N500" i="5"/>
  <c r="O500" i="5" s="1"/>
  <c r="N501" i="5"/>
  <c r="O501" i="5" s="1"/>
  <c r="N502" i="5"/>
  <c r="O502" i="5" s="1"/>
  <c r="N503" i="5"/>
  <c r="O503" i="5" s="1"/>
  <c r="N504" i="5"/>
  <c r="O504" i="5" s="1"/>
  <c r="N505" i="5"/>
  <c r="O505" i="5" s="1"/>
  <c r="N506" i="5"/>
  <c r="O506" i="5" s="1"/>
  <c r="N507" i="5"/>
  <c r="O507" i="5" s="1"/>
  <c r="N508" i="5"/>
  <c r="O508" i="5" s="1"/>
  <c r="N509" i="5"/>
  <c r="O509" i="5" s="1"/>
  <c r="N510" i="5"/>
  <c r="O510" i="5" s="1"/>
  <c r="N511" i="5"/>
  <c r="O511" i="5" s="1"/>
  <c r="N512" i="5"/>
  <c r="O512" i="5" s="1"/>
  <c r="N513" i="5"/>
  <c r="O513" i="5" s="1"/>
  <c r="N514" i="5"/>
  <c r="O514" i="5" s="1"/>
  <c r="N515" i="5"/>
  <c r="O515" i="5" s="1"/>
  <c r="N516" i="5"/>
  <c r="O516" i="5" s="1"/>
  <c r="N517" i="5"/>
  <c r="O517" i="5" s="1"/>
  <c r="N518" i="5"/>
  <c r="O518" i="5" s="1"/>
  <c r="N519" i="5"/>
  <c r="O519" i="5" s="1"/>
  <c r="N520" i="5"/>
  <c r="O520" i="5" s="1"/>
  <c r="N521" i="5"/>
  <c r="O521" i="5" s="1"/>
  <c r="N522" i="5"/>
  <c r="O522" i="5" s="1"/>
  <c r="N523" i="5"/>
  <c r="O523" i="5" s="1"/>
  <c r="N524" i="5"/>
  <c r="O524" i="5" s="1"/>
  <c r="N525" i="5"/>
  <c r="O525" i="5" s="1"/>
  <c r="N526" i="5"/>
  <c r="O526" i="5" s="1"/>
  <c r="N527" i="5"/>
  <c r="O527" i="5" s="1"/>
  <c r="N528" i="5"/>
  <c r="O528" i="5" s="1"/>
  <c r="N529" i="5"/>
  <c r="O529" i="5" s="1"/>
  <c r="N530" i="5"/>
  <c r="O530" i="5" s="1"/>
  <c r="N531" i="5"/>
  <c r="O531" i="5" s="1"/>
  <c r="N532" i="5"/>
  <c r="O532" i="5" s="1"/>
  <c r="N533" i="5"/>
  <c r="O533" i="5" s="1"/>
  <c r="N534" i="5"/>
  <c r="O534" i="5" s="1"/>
  <c r="N535" i="5"/>
  <c r="O535" i="5" s="1"/>
  <c r="N536" i="5"/>
  <c r="O536" i="5" s="1"/>
  <c r="N537" i="5"/>
  <c r="O537" i="5" s="1"/>
  <c r="N538" i="5"/>
  <c r="O538" i="5" s="1"/>
  <c r="N539" i="5"/>
  <c r="O539" i="5" s="1"/>
  <c r="N540" i="5"/>
  <c r="O540" i="5" s="1"/>
  <c r="N541" i="5"/>
  <c r="O541" i="5" s="1"/>
  <c r="N542" i="5"/>
  <c r="O542" i="5" s="1"/>
  <c r="N543" i="5"/>
  <c r="O543" i="5" s="1"/>
  <c r="N544" i="5"/>
  <c r="O544" i="5" s="1"/>
  <c r="N545" i="5"/>
  <c r="O545" i="5" s="1"/>
  <c r="N546" i="5"/>
  <c r="O546" i="5" s="1"/>
  <c r="N547" i="5"/>
  <c r="O547" i="5" s="1"/>
  <c r="N548" i="5"/>
  <c r="O548" i="5" s="1"/>
  <c r="N549" i="5"/>
  <c r="O549" i="5" s="1"/>
  <c r="N550" i="5"/>
  <c r="O550" i="5" s="1"/>
  <c r="N551" i="5"/>
  <c r="O551" i="5" s="1"/>
  <c r="N552" i="5"/>
  <c r="O552" i="5" s="1"/>
  <c r="N553" i="5"/>
  <c r="O553" i="5" s="1"/>
  <c r="N554" i="5"/>
  <c r="O554" i="5" s="1"/>
  <c r="N555" i="5"/>
  <c r="O555" i="5" s="1"/>
  <c r="N556" i="5"/>
  <c r="O556" i="5" s="1"/>
  <c r="N557" i="5"/>
  <c r="O557" i="5" s="1"/>
  <c r="N558" i="5"/>
  <c r="O558" i="5" s="1"/>
  <c r="N559" i="5"/>
  <c r="O559" i="5" s="1"/>
  <c r="N560" i="5"/>
  <c r="O560" i="5" s="1"/>
  <c r="N561" i="5"/>
  <c r="O561" i="5" s="1"/>
  <c r="N562" i="5"/>
  <c r="O562" i="5" s="1"/>
  <c r="N563" i="5"/>
  <c r="O563" i="5" s="1"/>
  <c r="N564" i="5"/>
  <c r="O564" i="5" s="1"/>
  <c r="N565" i="5"/>
  <c r="O565" i="5" s="1"/>
  <c r="N566" i="5"/>
  <c r="O566" i="5" s="1"/>
  <c r="N567" i="5"/>
  <c r="O567" i="5" s="1"/>
  <c r="N568" i="5"/>
  <c r="O568" i="5" s="1"/>
  <c r="N569" i="5"/>
  <c r="O569" i="5" s="1"/>
  <c r="N570" i="5"/>
  <c r="O570" i="5" s="1"/>
  <c r="N571" i="5"/>
  <c r="O571" i="5" s="1"/>
  <c r="N572" i="5"/>
  <c r="O572" i="5" s="1"/>
  <c r="N573" i="5"/>
  <c r="O573" i="5" s="1"/>
  <c r="N574" i="5"/>
  <c r="O574" i="5" s="1"/>
  <c r="N575" i="5"/>
  <c r="O575" i="5" s="1"/>
  <c r="N576" i="5"/>
  <c r="O576" i="5" s="1"/>
  <c r="N577" i="5"/>
  <c r="O577" i="5" s="1"/>
  <c r="N578" i="5"/>
  <c r="O578" i="5" s="1"/>
  <c r="N579" i="5"/>
  <c r="O579" i="5" s="1"/>
  <c r="N580" i="5"/>
  <c r="O580" i="5" s="1"/>
  <c r="N581" i="5"/>
  <c r="O581" i="5" s="1"/>
  <c r="N582" i="5"/>
  <c r="O582" i="5" s="1"/>
  <c r="N583" i="5"/>
  <c r="O583" i="5" s="1"/>
  <c r="N584" i="5"/>
  <c r="O584" i="5" s="1"/>
  <c r="N585" i="5"/>
  <c r="O585" i="5" s="1"/>
  <c r="N586" i="5"/>
  <c r="O586" i="5" s="1"/>
  <c r="N587" i="5"/>
  <c r="O587" i="5" s="1"/>
  <c r="N588" i="5"/>
  <c r="O588" i="5" s="1"/>
  <c r="N589" i="5"/>
  <c r="O589" i="5" s="1"/>
  <c r="N590" i="5"/>
  <c r="O590" i="5" s="1"/>
  <c r="N591" i="5"/>
  <c r="O591" i="5" s="1"/>
  <c r="N592" i="5"/>
  <c r="O592" i="5" s="1"/>
  <c r="N593" i="5"/>
  <c r="O593" i="5" s="1"/>
  <c r="N594" i="5"/>
  <c r="O594" i="5" s="1"/>
  <c r="N595" i="5"/>
  <c r="O595" i="5" s="1"/>
  <c r="N596" i="5"/>
  <c r="O596" i="5" s="1"/>
  <c r="N597" i="5"/>
  <c r="O597" i="5" s="1"/>
  <c r="N598" i="5"/>
  <c r="O598" i="5" s="1"/>
  <c r="N599" i="5"/>
  <c r="O599" i="5" s="1"/>
  <c r="N600" i="5"/>
  <c r="O600" i="5" s="1"/>
  <c r="N601" i="5"/>
  <c r="O601" i="5" s="1"/>
  <c r="N602" i="5"/>
  <c r="O602" i="5" s="1"/>
  <c r="N603" i="5"/>
  <c r="O603" i="5" s="1"/>
  <c r="N604" i="5"/>
  <c r="O604" i="5" s="1"/>
  <c r="N605" i="5"/>
  <c r="O605" i="5" s="1"/>
  <c r="N606" i="5"/>
  <c r="O606" i="5" s="1"/>
  <c r="N607" i="5"/>
  <c r="O607" i="5" s="1"/>
  <c r="N608" i="5"/>
  <c r="O608" i="5" s="1"/>
  <c r="N609" i="5"/>
  <c r="O609" i="5" s="1"/>
  <c r="N610" i="5"/>
  <c r="O610" i="5" s="1"/>
  <c r="N611" i="5"/>
  <c r="O611" i="5" s="1"/>
  <c r="N612" i="5"/>
  <c r="O612" i="5" s="1"/>
  <c r="N613" i="5"/>
  <c r="O613" i="5" s="1"/>
  <c r="N614" i="5"/>
  <c r="O614" i="5" s="1"/>
  <c r="N615" i="5"/>
  <c r="O615" i="5" s="1"/>
  <c r="N616" i="5"/>
  <c r="O616" i="5" s="1"/>
  <c r="N617" i="5"/>
  <c r="O617" i="5" s="1"/>
  <c r="N618" i="5"/>
  <c r="O618" i="5" s="1"/>
  <c r="N619" i="5"/>
  <c r="O619" i="5" s="1"/>
  <c r="N620" i="5"/>
  <c r="O620" i="5" s="1"/>
  <c r="N621" i="5"/>
  <c r="O621" i="5" s="1"/>
  <c r="N622" i="5"/>
  <c r="O622" i="5" s="1"/>
  <c r="N623" i="5"/>
  <c r="O623" i="5" s="1"/>
  <c r="N624" i="5"/>
  <c r="O624" i="5" s="1"/>
  <c r="N625" i="5"/>
  <c r="O625" i="5" s="1"/>
  <c r="N626" i="5"/>
  <c r="O626" i="5" s="1"/>
  <c r="N627" i="5"/>
  <c r="O627" i="5" s="1"/>
  <c r="N628" i="5"/>
  <c r="O628" i="5" s="1"/>
  <c r="N629" i="5"/>
  <c r="O629" i="5" s="1"/>
  <c r="N630" i="5"/>
  <c r="O630" i="5" s="1"/>
  <c r="N631" i="5"/>
  <c r="O631" i="5" s="1"/>
  <c r="N632" i="5"/>
  <c r="O632" i="5" s="1"/>
  <c r="N633" i="5"/>
  <c r="O633" i="5" s="1"/>
  <c r="N634" i="5"/>
  <c r="O634" i="5" s="1"/>
  <c r="N635" i="5"/>
  <c r="O635" i="5" s="1"/>
  <c r="N636" i="5"/>
  <c r="O636" i="5" s="1"/>
  <c r="N637" i="5"/>
  <c r="O637" i="5" s="1"/>
  <c r="N638" i="5"/>
  <c r="O638" i="5" s="1"/>
  <c r="N639" i="5"/>
  <c r="O639" i="5" s="1"/>
  <c r="N640" i="5"/>
  <c r="O640" i="5" s="1"/>
  <c r="N641" i="5"/>
  <c r="O641" i="5" s="1"/>
  <c r="N642" i="5"/>
  <c r="O642" i="5" s="1"/>
  <c r="N643" i="5"/>
  <c r="O643" i="5" s="1"/>
  <c r="N644" i="5"/>
  <c r="O644" i="5" s="1"/>
  <c r="N645" i="5"/>
  <c r="O645" i="5" s="1"/>
  <c r="N646" i="5"/>
  <c r="O646" i="5" s="1"/>
  <c r="N647" i="5"/>
  <c r="O647" i="5" s="1"/>
  <c r="N648" i="5"/>
  <c r="O648" i="5" s="1"/>
  <c r="N649" i="5"/>
  <c r="O649" i="5" s="1"/>
  <c r="N650" i="5"/>
  <c r="O650" i="5" s="1"/>
  <c r="N651" i="5"/>
  <c r="O651" i="5" s="1"/>
  <c r="N652" i="5"/>
  <c r="O652" i="5" s="1"/>
  <c r="N653" i="5"/>
  <c r="O653" i="5" s="1"/>
  <c r="N654" i="5"/>
  <c r="O654" i="5" s="1"/>
  <c r="N655" i="5"/>
  <c r="O655" i="5" s="1"/>
  <c r="N656" i="5"/>
  <c r="O656" i="5" s="1"/>
  <c r="N657" i="5"/>
  <c r="O657" i="5" s="1"/>
  <c r="N658" i="5"/>
  <c r="O658" i="5" s="1"/>
  <c r="N659" i="5"/>
  <c r="O659" i="5" s="1"/>
  <c r="N660" i="5"/>
  <c r="O660" i="5" s="1"/>
  <c r="N661" i="5"/>
  <c r="O661" i="5" s="1"/>
  <c r="N662" i="5"/>
  <c r="O662" i="5" s="1"/>
  <c r="N663" i="5"/>
  <c r="O663" i="5" s="1"/>
  <c r="N664" i="5"/>
  <c r="O664" i="5" s="1"/>
  <c r="N665" i="5"/>
  <c r="O665" i="5" s="1"/>
  <c r="N666" i="5"/>
  <c r="O666" i="5" s="1"/>
  <c r="N667" i="5"/>
  <c r="O667" i="5" s="1"/>
  <c r="N668" i="5"/>
  <c r="O668" i="5" s="1"/>
  <c r="N669" i="5"/>
  <c r="O669" i="5" s="1"/>
  <c r="N670" i="5"/>
  <c r="O670" i="5" s="1"/>
  <c r="N671" i="5"/>
  <c r="O671" i="5" s="1"/>
  <c r="N672" i="5"/>
  <c r="O672" i="5" s="1"/>
  <c r="N673" i="5"/>
  <c r="O673" i="5" s="1"/>
  <c r="N674" i="5"/>
  <c r="O674" i="5" s="1"/>
  <c r="N675" i="5"/>
  <c r="O675" i="5" s="1"/>
  <c r="N676" i="5"/>
  <c r="O676" i="5" s="1"/>
  <c r="N677" i="5"/>
  <c r="O677" i="5" s="1"/>
  <c r="N678" i="5"/>
  <c r="O678" i="5" s="1"/>
  <c r="N679" i="5"/>
  <c r="O679" i="5" s="1"/>
  <c r="N680" i="5"/>
  <c r="O680" i="5" s="1"/>
  <c r="N681" i="5"/>
  <c r="O681" i="5" s="1"/>
  <c r="N682" i="5"/>
  <c r="O682" i="5" s="1"/>
  <c r="N683" i="5"/>
  <c r="O683" i="5" s="1"/>
  <c r="N684" i="5"/>
  <c r="O684" i="5" s="1"/>
  <c r="N685" i="5"/>
  <c r="O685" i="5" s="1"/>
  <c r="N686" i="5"/>
  <c r="O686" i="5" s="1"/>
  <c r="N687" i="5"/>
  <c r="O687" i="5" s="1"/>
  <c r="N688" i="5"/>
  <c r="O688" i="5" s="1"/>
  <c r="N689" i="5"/>
  <c r="O689" i="5" s="1"/>
  <c r="N690" i="5"/>
  <c r="O690" i="5" s="1"/>
  <c r="N691" i="5"/>
  <c r="O691" i="5" s="1"/>
  <c r="N692" i="5"/>
  <c r="O692" i="5" s="1"/>
  <c r="N693" i="5"/>
  <c r="O693" i="5" s="1"/>
  <c r="N694" i="5"/>
  <c r="O694" i="5" s="1"/>
  <c r="N695" i="5"/>
  <c r="O695" i="5" s="1"/>
  <c r="N696" i="5"/>
  <c r="O696" i="5" s="1"/>
  <c r="N697" i="5"/>
  <c r="O697" i="5" s="1"/>
  <c r="N698" i="5"/>
  <c r="O698" i="5" s="1"/>
  <c r="N699" i="5"/>
  <c r="O699" i="5" s="1"/>
  <c r="N700" i="5"/>
  <c r="O700" i="5" s="1"/>
  <c r="N701" i="5"/>
  <c r="O701" i="5" s="1"/>
  <c r="N702" i="5"/>
  <c r="O702" i="5" s="1"/>
  <c r="N703" i="5"/>
  <c r="O703" i="5" s="1"/>
  <c r="N704" i="5"/>
  <c r="O704" i="5" s="1"/>
  <c r="N705" i="5"/>
  <c r="O705" i="5" s="1"/>
  <c r="N706" i="5"/>
  <c r="O706" i="5" s="1"/>
  <c r="N707" i="5"/>
  <c r="O707" i="5" s="1"/>
  <c r="N708" i="5"/>
  <c r="O708" i="5" s="1"/>
  <c r="N709" i="5"/>
  <c r="O709" i="5" s="1"/>
  <c r="N710" i="5"/>
  <c r="O710" i="5" s="1"/>
  <c r="N711" i="5"/>
  <c r="O711" i="5" s="1"/>
  <c r="N712" i="5"/>
  <c r="O712" i="5" s="1"/>
  <c r="N713" i="5"/>
  <c r="O713" i="5" s="1"/>
  <c r="N714" i="5"/>
  <c r="O714" i="5" s="1"/>
  <c r="N715" i="5"/>
  <c r="O715" i="5" s="1"/>
  <c r="N716" i="5"/>
  <c r="O716" i="5" s="1"/>
  <c r="N717" i="5"/>
  <c r="O717" i="5" s="1"/>
  <c r="N718" i="5"/>
  <c r="O718" i="5" s="1"/>
  <c r="N719" i="5"/>
  <c r="O719" i="5" s="1"/>
  <c r="N720" i="5"/>
  <c r="O720" i="5" s="1"/>
  <c r="N721" i="5"/>
  <c r="O721" i="5" s="1"/>
  <c r="N722" i="5"/>
  <c r="O722" i="5" s="1"/>
  <c r="N723" i="5"/>
  <c r="O723" i="5" s="1"/>
  <c r="N724" i="5"/>
  <c r="O724" i="5" s="1"/>
  <c r="N725" i="5"/>
  <c r="O725" i="5" s="1"/>
  <c r="N726" i="5"/>
  <c r="O726" i="5" s="1"/>
  <c r="N727" i="5"/>
  <c r="O727" i="5" s="1"/>
  <c r="N728" i="5"/>
  <c r="O728" i="5" s="1"/>
  <c r="N729" i="5"/>
  <c r="O729" i="5" s="1"/>
  <c r="N730" i="5"/>
  <c r="O730" i="5" s="1"/>
  <c r="N731" i="5"/>
  <c r="O731" i="5" s="1"/>
  <c r="N732" i="5"/>
  <c r="O732" i="5" s="1"/>
  <c r="N733" i="5"/>
  <c r="O733" i="5" s="1"/>
  <c r="N734" i="5"/>
  <c r="O734" i="5" s="1"/>
  <c r="N735" i="5"/>
  <c r="O735" i="5" s="1"/>
  <c r="N736" i="5"/>
  <c r="O736" i="5" s="1"/>
  <c r="N737" i="5"/>
  <c r="O737" i="5" s="1"/>
  <c r="N738" i="5"/>
  <c r="O738" i="5" s="1"/>
  <c r="N739" i="5"/>
  <c r="O739" i="5" s="1"/>
  <c r="N740" i="5"/>
  <c r="O740" i="5" s="1"/>
  <c r="N741" i="5"/>
  <c r="O741" i="5" s="1"/>
  <c r="N742" i="5"/>
  <c r="O742" i="5" s="1"/>
  <c r="N743" i="5"/>
  <c r="O743" i="5" s="1"/>
  <c r="N744" i="5"/>
  <c r="O744" i="5" s="1"/>
  <c r="N745" i="5"/>
  <c r="O745" i="5" s="1"/>
  <c r="N746" i="5"/>
  <c r="O746" i="5" s="1"/>
  <c r="N747" i="5"/>
  <c r="O747" i="5" s="1"/>
  <c r="N748" i="5"/>
  <c r="O748" i="5" s="1"/>
  <c r="N749" i="5"/>
  <c r="O749" i="5" s="1"/>
  <c r="N750" i="5"/>
  <c r="O750" i="5" s="1"/>
  <c r="N751" i="5"/>
  <c r="O751" i="5" s="1"/>
  <c r="N752" i="5"/>
  <c r="O752" i="5" s="1"/>
  <c r="N753" i="5"/>
  <c r="O753" i="5" s="1"/>
  <c r="N754" i="5"/>
  <c r="O754" i="5" s="1"/>
  <c r="N755" i="5"/>
  <c r="O755" i="5" s="1"/>
  <c r="N756" i="5"/>
  <c r="O756" i="5" s="1"/>
  <c r="N757" i="5"/>
  <c r="O757" i="5" s="1"/>
  <c r="N758" i="5"/>
  <c r="O758" i="5" s="1"/>
  <c r="N759" i="5"/>
  <c r="O759" i="5" s="1"/>
  <c r="N760" i="5"/>
  <c r="O760" i="5" s="1"/>
  <c r="N761" i="5"/>
  <c r="O761" i="5" s="1"/>
  <c r="N762" i="5"/>
  <c r="O762" i="5" s="1"/>
  <c r="N763" i="5"/>
  <c r="O763" i="5" s="1"/>
  <c r="N764" i="5"/>
  <c r="O764" i="5" s="1"/>
  <c r="N765" i="5"/>
  <c r="O765" i="5" s="1"/>
  <c r="N766" i="5"/>
  <c r="O766" i="5" s="1"/>
  <c r="N767" i="5"/>
  <c r="O767" i="5" s="1"/>
  <c r="N768" i="5"/>
  <c r="O768" i="5" s="1"/>
  <c r="N769" i="5"/>
  <c r="O769" i="5" s="1"/>
  <c r="N770" i="5"/>
  <c r="O770" i="5" s="1"/>
  <c r="N771" i="5"/>
  <c r="O771" i="5" s="1"/>
  <c r="N772" i="5"/>
  <c r="O772" i="5" s="1"/>
  <c r="N773" i="5"/>
  <c r="O773" i="5" s="1"/>
  <c r="N774" i="5"/>
  <c r="O774" i="5" s="1"/>
  <c r="N775" i="5"/>
  <c r="O775" i="5" s="1"/>
  <c r="N776" i="5"/>
  <c r="O776" i="5" s="1"/>
  <c r="N777" i="5"/>
  <c r="O777" i="5" s="1"/>
  <c r="N778" i="5"/>
  <c r="O778" i="5" s="1"/>
  <c r="N779" i="5"/>
  <c r="O779" i="5" s="1"/>
  <c r="N780" i="5"/>
  <c r="O780" i="5" s="1"/>
  <c r="N781" i="5"/>
  <c r="O781" i="5" s="1"/>
  <c r="N782" i="5"/>
  <c r="O782" i="5" s="1"/>
  <c r="N783" i="5"/>
  <c r="O783" i="5" s="1"/>
  <c r="N784" i="5"/>
  <c r="O784" i="5" s="1"/>
  <c r="N785" i="5"/>
  <c r="O785" i="5" s="1"/>
  <c r="N786" i="5"/>
  <c r="O786" i="5" s="1"/>
  <c r="N787" i="5"/>
  <c r="O787" i="5" s="1"/>
  <c r="N788" i="5"/>
  <c r="O788" i="5" s="1"/>
  <c r="N789" i="5"/>
  <c r="O789" i="5" s="1"/>
  <c r="N790" i="5"/>
  <c r="O790" i="5" s="1"/>
  <c r="N791" i="5"/>
  <c r="O791" i="5" s="1"/>
  <c r="N792" i="5"/>
  <c r="O792" i="5" s="1"/>
  <c r="N793" i="5"/>
  <c r="O793" i="5" s="1"/>
  <c r="N794" i="5"/>
  <c r="O794" i="5" s="1"/>
  <c r="N795" i="5"/>
  <c r="O795" i="5" s="1"/>
  <c r="N796" i="5"/>
  <c r="O796" i="5" s="1"/>
  <c r="N797" i="5"/>
  <c r="O797" i="5" s="1"/>
  <c r="N798" i="5"/>
  <c r="O798" i="5" s="1"/>
  <c r="N799" i="5"/>
  <c r="O799" i="5" s="1"/>
  <c r="N800" i="5"/>
  <c r="O800" i="5" s="1"/>
  <c r="N801" i="5"/>
  <c r="O801" i="5" s="1"/>
  <c r="N802" i="5"/>
  <c r="O802" i="5" s="1"/>
  <c r="N803" i="5"/>
  <c r="O803" i="5" s="1"/>
  <c r="N804" i="5"/>
  <c r="O804" i="5" s="1"/>
  <c r="N805" i="5"/>
  <c r="O805" i="5" s="1"/>
  <c r="N806" i="5"/>
  <c r="O806" i="5" s="1"/>
  <c r="N807" i="5"/>
  <c r="O807" i="5" s="1"/>
  <c r="N808" i="5"/>
  <c r="O808" i="5" s="1"/>
  <c r="N809" i="5"/>
  <c r="O809" i="5" s="1"/>
  <c r="N810" i="5"/>
  <c r="O810" i="5" s="1"/>
  <c r="N811" i="5"/>
  <c r="O811" i="5" s="1"/>
  <c r="N812" i="5"/>
  <c r="O812" i="5" s="1"/>
  <c r="N813" i="5"/>
  <c r="O813" i="5" s="1"/>
  <c r="N814" i="5"/>
  <c r="O814" i="5" s="1"/>
  <c r="N815" i="5"/>
  <c r="O815" i="5" s="1"/>
  <c r="N816" i="5"/>
  <c r="O816" i="5" s="1"/>
  <c r="N817" i="5"/>
  <c r="O817" i="5" s="1"/>
  <c r="N818" i="5"/>
  <c r="O818" i="5" s="1"/>
  <c r="N819" i="5"/>
  <c r="O819" i="5" s="1"/>
  <c r="N820" i="5"/>
  <c r="O820" i="5" s="1"/>
  <c r="N821" i="5"/>
  <c r="O821" i="5" s="1"/>
  <c r="N822" i="5"/>
  <c r="O822" i="5" s="1"/>
  <c r="N823" i="5"/>
  <c r="O823" i="5" s="1"/>
  <c r="N824" i="5"/>
  <c r="O824" i="5" s="1"/>
  <c r="N825" i="5"/>
  <c r="O825" i="5" s="1"/>
  <c r="N826" i="5"/>
  <c r="O826" i="5" s="1"/>
  <c r="N827" i="5"/>
  <c r="O827" i="5" s="1"/>
  <c r="N828" i="5"/>
  <c r="O828" i="5" s="1"/>
  <c r="N829" i="5"/>
  <c r="O829" i="5" s="1"/>
  <c r="N830" i="5"/>
  <c r="O830" i="5" s="1"/>
  <c r="N831" i="5"/>
  <c r="O831" i="5" s="1"/>
  <c r="N832" i="5"/>
  <c r="O832" i="5" s="1"/>
  <c r="N833" i="5"/>
  <c r="O833" i="5" s="1"/>
  <c r="N834" i="5"/>
  <c r="O834" i="5" s="1"/>
  <c r="N835" i="5"/>
  <c r="O835" i="5" s="1"/>
  <c r="N836" i="5"/>
  <c r="O836" i="5" s="1"/>
  <c r="N837" i="5"/>
  <c r="O837" i="5" s="1"/>
  <c r="N838" i="5"/>
  <c r="O838" i="5" s="1"/>
  <c r="N839" i="5"/>
  <c r="O839" i="5" s="1"/>
  <c r="N840" i="5"/>
  <c r="O840" i="5" s="1"/>
  <c r="N841" i="5"/>
  <c r="O841" i="5" s="1"/>
  <c r="N842" i="5"/>
  <c r="O842" i="5" s="1"/>
  <c r="N843" i="5"/>
  <c r="O843" i="5" s="1"/>
  <c r="N844" i="5"/>
  <c r="O844" i="5" s="1"/>
  <c r="N845" i="5"/>
  <c r="O845" i="5" s="1"/>
  <c r="N846" i="5"/>
  <c r="O846" i="5" s="1"/>
  <c r="N847" i="5"/>
  <c r="O847" i="5" s="1"/>
  <c r="N848" i="5"/>
  <c r="O848" i="5" s="1"/>
  <c r="N849" i="5"/>
  <c r="O849" i="5" s="1"/>
  <c r="N850" i="5"/>
  <c r="O850" i="5" s="1"/>
  <c r="N851" i="5"/>
  <c r="O851" i="5" s="1"/>
  <c r="N852" i="5"/>
  <c r="O852" i="5" s="1"/>
  <c r="N853" i="5"/>
  <c r="O853" i="5" s="1"/>
  <c r="N854" i="5"/>
  <c r="O854" i="5" s="1"/>
  <c r="N855" i="5"/>
  <c r="O855" i="5" s="1"/>
  <c r="N856" i="5"/>
  <c r="O856" i="5" s="1"/>
  <c r="N857" i="5"/>
  <c r="O857" i="5" s="1"/>
  <c r="N858" i="5"/>
  <c r="O858" i="5" s="1"/>
  <c r="N859" i="5"/>
  <c r="O859" i="5" s="1"/>
  <c r="N860" i="5"/>
  <c r="O860" i="5" s="1"/>
  <c r="N861" i="5"/>
  <c r="O861" i="5" s="1"/>
  <c r="N862" i="5"/>
  <c r="O862" i="5" s="1"/>
  <c r="N863" i="5"/>
  <c r="O863" i="5" s="1"/>
  <c r="N864" i="5"/>
  <c r="O864" i="5" s="1"/>
  <c r="N865" i="5"/>
  <c r="O865" i="5" s="1"/>
  <c r="N866" i="5"/>
  <c r="O866" i="5" s="1"/>
  <c r="N867" i="5"/>
  <c r="O867" i="5" s="1"/>
  <c r="N868" i="5"/>
  <c r="O868" i="5" s="1"/>
  <c r="N869" i="5"/>
  <c r="O869" i="5" s="1"/>
  <c r="N870" i="5"/>
  <c r="O870" i="5" s="1"/>
  <c r="N871" i="5"/>
  <c r="O871" i="5" s="1"/>
  <c r="N872" i="5"/>
  <c r="O872" i="5" s="1"/>
  <c r="N873" i="5"/>
  <c r="O873" i="5" s="1"/>
  <c r="N874" i="5"/>
  <c r="O874" i="5" s="1"/>
  <c r="N875" i="5"/>
  <c r="O875" i="5" s="1"/>
  <c r="N876" i="5"/>
  <c r="O876" i="5" s="1"/>
  <c r="N877" i="5"/>
  <c r="O877" i="5" s="1"/>
  <c r="N878" i="5"/>
  <c r="O878" i="5" s="1"/>
  <c r="N879" i="5"/>
  <c r="O879" i="5" s="1"/>
  <c r="N880" i="5"/>
  <c r="O880" i="5" s="1"/>
  <c r="N881" i="5"/>
  <c r="O881" i="5" s="1"/>
  <c r="N882" i="5"/>
  <c r="O882" i="5" s="1"/>
  <c r="N883" i="5"/>
  <c r="O883" i="5" s="1"/>
  <c r="N884" i="5"/>
  <c r="O884" i="5" s="1"/>
  <c r="N885" i="5"/>
  <c r="O885" i="5" s="1"/>
  <c r="N886" i="5"/>
  <c r="O886" i="5" s="1"/>
  <c r="N887" i="5"/>
  <c r="O887" i="5" s="1"/>
  <c r="N888" i="5"/>
  <c r="O888" i="5" s="1"/>
  <c r="N889" i="5"/>
  <c r="O889" i="5" s="1"/>
  <c r="N890" i="5"/>
  <c r="O890" i="5" s="1"/>
  <c r="N891" i="5"/>
  <c r="O891" i="5" s="1"/>
  <c r="N892" i="5"/>
  <c r="O892" i="5" s="1"/>
  <c r="N893" i="5"/>
  <c r="O893" i="5" s="1"/>
  <c r="N894" i="5"/>
  <c r="O894" i="5" s="1"/>
  <c r="N895" i="5"/>
  <c r="O895" i="5" s="1"/>
  <c r="N896" i="5"/>
  <c r="O896" i="5" s="1"/>
  <c r="N897" i="5"/>
  <c r="O897" i="5" s="1"/>
  <c r="N898" i="5"/>
  <c r="O898" i="5" s="1"/>
  <c r="N899" i="5"/>
  <c r="O899" i="5" s="1"/>
  <c r="N900" i="5"/>
  <c r="O900" i="5" s="1"/>
  <c r="N901" i="5"/>
  <c r="O901" i="5" s="1"/>
  <c r="N902" i="5"/>
  <c r="O902" i="5" s="1"/>
  <c r="N903" i="5"/>
  <c r="O903" i="5" s="1"/>
  <c r="N904" i="5"/>
  <c r="O904" i="5" s="1"/>
  <c r="N905" i="5"/>
  <c r="O905" i="5" s="1"/>
  <c r="N906" i="5"/>
  <c r="O906" i="5" s="1"/>
  <c r="N907" i="5"/>
  <c r="O907" i="5" s="1"/>
  <c r="N908" i="5"/>
  <c r="O908" i="5" s="1"/>
  <c r="N909" i="5"/>
  <c r="O909" i="5" s="1"/>
  <c r="N910" i="5"/>
  <c r="O910" i="5" s="1"/>
  <c r="N911" i="5"/>
  <c r="O911" i="5" s="1"/>
  <c r="N912" i="5"/>
  <c r="O912" i="5" s="1"/>
  <c r="N913" i="5"/>
  <c r="O913" i="5" s="1"/>
  <c r="N914" i="5"/>
  <c r="O914" i="5" s="1"/>
  <c r="N915" i="5"/>
  <c r="O915" i="5" s="1"/>
  <c r="N916" i="5"/>
  <c r="O916" i="5" s="1"/>
  <c r="N917" i="5"/>
  <c r="O917" i="5" s="1"/>
  <c r="N918" i="5"/>
  <c r="O918" i="5" s="1"/>
  <c r="N919" i="5"/>
  <c r="O919" i="5" s="1"/>
  <c r="N920" i="5"/>
  <c r="O920" i="5" s="1"/>
  <c r="N921" i="5"/>
  <c r="O921" i="5" s="1"/>
  <c r="N922" i="5"/>
  <c r="O922" i="5" s="1"/>
  <c r="N923" i="5"/>
  <c r="O923" i="5" s="1"/>
  <c r="N924" i="5"/>
  <c r="O924" i="5" s="1"/>
  <c r="N925" i="5"/>
  <c r="O925" i="5" s="1"/>
  <c r="N926" i="5"/>
  <c r="O926" i="5" s="1"/>
  <c r="N927" i="5"/>
  <c r="O927" i="5" s="1"/>
  <c r="N928" i="5"/>
  <c r="O928" i="5" s="1"/>
  <c r="N929" i="5"/>
  <c r="O929" i="5" s="1"/>
  <c r="N930" i="5"/>
  <c r="O930" i="5" s="1"/>
  <c r="N931" i="5"/>
  <c r="O931" i="5" s="1"/>
  <c r="N932" i="5"/>
  <c r="O932" i="5" s="1"/>
  <c r="N933" i="5"/>
  <c r="O933" i="5" s="1"/>
  <c r="N934" i="5"/>
  <c r="O934" i="5" s="1"/>
  <c r="N935" i="5"/>
  <c r="O935" i="5" s="1"/>
  <c r="N936" i="5"/>
  <c r="O936" i="5" s="1"/>
  <c r="N937" i="5"/>
  <c r="O937" i="5" s="1"/>
  <c r="N938" i="5"/>
  <c r="O938" i="5" s="1"/>
  <c r="N939" i="5"/>
  <c r="O939" i="5" s="1"/>
  <c r="N940" i="5"/>
  <c r="O940" i="5" s="1"/>
  <c r="N941" i="5"/>
  <c r="O941" i="5" s="1"/>
  <c r="N942" i="5"/>
  <c r="O942" i="5" s="1"/>
  <c r="N943" i="5"/>
  <c r="O943" i="5" s="1"/>
  <c r="N944" i="5"/>
  <c r="O944" i="5" s="1"/>
  <c r="N945" i="5"/>
  <c r="O945" i="5" s="1"/>
  <c r="N946" i="5"/>
  <c r="O946" i="5" s="1"/>
  <c r="N947" i="5"/>
  <c r="O947" i="5" s="1"/>
  <c r="N948" i="5"/>
  <c r="O948" i="5" s="1"/>
  <c r="N949" i="5"/>
  <c r="O949" i="5" s="1"/>
  <c r="N950" i="5"/>
  <c r="O950" i="5" s="1"/>
  <c r="N951" i="5"/>
  <c r="O951" i="5" s="1"/>
  <c r="N952" i="5"/>
  <c r="O952" i="5" s="1"/>
  <c r="N953" i="5"/>
  <c r="O953" i="5" s="1"/>
  <c r="N954" i="5"/>
  <c r="O954" i="5" s="1"/>
  <c r="N955" i="5"/>
  <c r="O955" i="5" s="1"/>
  <c r="N956" i="5"/>
  <c r="O956" i="5" s="1"/>
  <c r="N957" i="5"/>
  <c r="O957" i="5" s="1"/>
  <c r="N958" i="5"/>
  <c r="O958" i="5" s="1"/>
  <c r="N959" i="5"/>
  <c r="O959" i="5" s="1"/>
  <c r="N960" i="5"/>
  <c r="O960" i="5" s="1"/>
  <c r="N961" i="5"/>
  <c r="O961" i="5" s="1"/>
  <c r="N962" i="5"/>
  <c r="O962" i="5" s="1"/>
  <c r="N963" i="5"/>
  <c r="O963" i="5" s="1"/>
  <c r="N964" i="5"/>
  <c r="O964" i="5" s="1"/>
  <c r="N965" i="5"/>
  <c r="O965" i="5" s="1"/>
  <c r="N966" i="5"/>
  <c r="O966" i="5" s="1"/>
  <c r="N967" i="5"/>
  <c r="O967" i="5" s="1"/>
  <c r="N968" i="5"/>
  <c r="O968" i="5" s="1"/>
  <c r="N969" i="5"/>
  <c r="O969" i="5" s="1"/>
  <c r="N970" i="5"/>
  <c r="O970" i="5" s="1"/>
  <c r="N971" i="5"/>
  <c r="O971" i="5" s="1"/>
  <c r="N972" i="5"/>
  <c r="O972" i="5" s="1"/>
  <c r="N973" i="5"/>
  <c r="O973" i="5" s="1"/>
  <c r="N974" i="5"/>
  <c r="O974" i="5" s="1"/>
  <c r="N975" i="5"/>
  <c r="O975" i="5" s="1"/>
  <c r="N976" i="5"/>
  <c r="O976" i="5" s="1"/>
  <c r="N977" i="5"/>
  <c r="O977" i="5" s="1"/>
  <c r="N978" i="5"/>
  <c r="O978" i="5" s="1"/>
  <c r="N979" i="5"/>
  <c r="O979" i="5" s="1"/>
  <c r="N980" i="5"/>
  <c r="O980" i="5" s="1"/>
  <c r="N981" i="5"/>
  <c r="O981" i="5" s="1"/>
  <c r="N982" i="5"/>
  <c r="O982" i="5" s="1"/>
  <c r="N983" i="5"/>
  <c r="O983" i="5" s="1"/>
  <c r="N984" i="5"/>
  <c r="O984" i="5" s="1"/>
  <c r="N985" i="5"/>
  <c r="O985" i="5" s="1"/>
  <c r="N986" i="5"/>
  <c r="O986" i="5" s="1"/>
  <c r="N987" i="5"/>
  <c r="O987" i="5" s="1"/>
  <c r="N988" i="5"/>
  <c r="O988" i="5" s="1"/>
  <c r="N989" i="5"/>
  <c r="O989" i="5" s="1"/>
  <c r="N990" i="5"/>
  <c r="O990" i="5" s="1"/>
  <c r="N991" i="5"/>
  <c r="O991" i="5" s="1"/>
  <c r="N992" i="5"/>
  <c r="O992" i="5" s="1"/>
  <c r="N993" i="5"/>
  <c r="O993" i="5" s="1"/>
  <c r="N994" i="5"/>
  <c r="O994" i="5" s="1"/>
  <c r="N995" i="5"/>
  <c r="O995" i="5" s="1"/>
  <c r="N996" i="5"/>
  <c r="O996" i="5" s="1"/>
  <c r="N997" i="5"/>
  <c r="O997" i="5" s="1"/>
  <c r="N998" i="5"/>
  <c r="O998" i="5" s="1"/>
  <c r="N999" i="5"/>
  <c r="O999" i="5" s="1"/>
  <c r="N1000" i="5"/>
  <c r="O1000" i="5" s="1"/>
  <c r="N1001" i="5"/>
  <c r="O1001" i="5" s="1"/>
  <c r="N1002" i="5"/>
  <c r="O1002" i="5" s="1"/>
  <c r="N1003" i="5"/>
  <c r="O1003" i="5" s="1"/>
  <c r="N1004" i="5"/>
  <c r="O1004" i="5" s="1"/>
  <c r="N1005" i="5"/>
  <c r="O1005" i="5" s="1"/>
  <c r="N1006" i="5"/>
  <c r="O1006" i="5" s="1"/>
  <c r="N1007" i="5"/>
  <c r="O1007" i="5" s="1"/>
  <c r="N1008" i="5"/>
  <c r="O1008" i="5" s="1"/>
  <c r="N1009" i="5"/>
  <c r="O1009" i="5" s="1"/>
  <c r="N1010" i="5"/>
  <c r="O1010" i="5" s="1"/>
  <c r="N1011" i="5"/>
  <c r="O1011" i="5" s="1"/>
  <c r="N1012" i="5"/>
  <c r="O1012" i="5" s="1"/>
  <c r="N1013" i="5"/>
  <c r="O1013" i="5" s="1"/>
  <c r="N1014" i="5"/>
  <c r="O1014" i="5" s="1"/>
  <c r="N1015" i="5"/>
  <c r="O1015" i="5" s="1"/>
  <c r="N1016" i="5"/>
  <c r="O1016" i="5" s="1"/>
  <c r="N1017" i="5"/>
  <c r="O1017" i="5" s="1"/>
  <c r="N1018" i="5"/>
  <c r="O1018" i="5" s="1"/>
  <c r="N1019" i="5"/>
  <c r="O1019" i="5" s="1"/>
  <c r="N1020" i="5"/>
  <c r="O1020" i="5" s="1"/>
  <c r="N1021" i="5"/>
  <c r="O1021" i="5" s="1"/>
  <c r="N1022" i="5"/>
  <c r="O1022" i="5" s="1"/>
  <c r="N1023" i="5"/>
  <c r="O1023" i="5" s="1"/>
  <c r="N1024" i="5"/>
  <c r="O1024" i="5" s="1"/>
  <c r="N1025" i="5"/>
  <c r="O1025" i="5" s="1"/>
  <c r="N1026" i="5"/>
  <c r="O1026" i="5" s="1"/>
  <c r="N1027" i="5"/>
  <c r="O1027" i="5" s="1"/>
  <c r="N1028" i="5"/>
  <c r="O1028" i="5" s="1"/>
  <c r="N1029" i="5"/>
  <c r="O1029" i="5" s="1"/>
  <c r="N1030" i="5"/>
  <c r="O1030" i="5" s="1"/>
  <c r="N1031" i="5"/>
  <c r="O1031" i="5" s="1"/>
  <c r="N1032" i="5"/>
  <c r="O1032" i="5" s="1"/>
  <c r="N1033" i="5"/>
  <c r="O1033" i="5" s="1"/>
  <c r="N1034" i="5"/>
  <c r="O1034" i="5" s="1"/>
  <c r="N1035" i="5"/>
  <c r="O1035" i="5" s="1"/>
  <c r="N1036" i="5"/>
  <c r="O1036" i="5" s="1"/>
  <c r="N1037" i="5"/>
  <c r="O1037" i="5" s="1"/>
  <c r="N1038" i="5"/>
  <c r="O1038" i="5" s="1"/>
  <c r="N1039" i="5"/>
  <c r="O1039" i="5" s="1"/>
  <c r="N1040" i="5"/>
  <c r="O1040" i="5" s="1"/>
  <c r="N1041" i="5"/>
  <c r="O1041" i="5" s="1"/>
  <c r="N1042" i="5"/>
  <c r="O1042" i="5" s="1"/>
  <c r="N1043" i="5"/>
  <c r="O1043" i="5" s="1"/>
  <c r="N1044" i="5"/>
  <c r="O1044" i="5" s="1"/>
  <c r="N1045" i="5"/>
  <c r="O1045" i="5" s="1"/>
  <c r="N1046" i="5"/>
  <c r="O1046" i="5" s="1"/>
  <c r="N1047" i="5"/>
  <c r="O1047" i="5" s="1"/>
  <c r="N1048" i="5"/>
  <c r="O1048" i="5" s="1"/>
  <c r="N1049" i="5"/>
  <c r="O1049" i="5" s="1"/>
  <c r="N1050" i="5"/>
  <c r="O1050" i="5" s="1"/>
  <c r="N1051" i="5"/>
  <c r="O1051" i="5" s="1"/>
  <c r="N1052" i="5"/>
  <c r="O1052" i="5" s="1"/>
  <c r="N1053" i="5"/>
  <c r="O1053" i="5" s="1"/>
  <c r="N1054" i="5"/>
  <c r="O1054" i="5" s="1"/>
  <c r="N1055" i="5"/>
  <c r="O1055" i="5" s="1"/>
  <c r="N1056" i="5"/>
  <c r="O1056" i="5" s="1"/>
  <c r="N1057" i="5"/>
  <c r="O1057" i="5" s="1"/>
  <c r="N1058" i="5"/>
  <c r="O1058" i="5" s="1"/>
  <c r="N1059" i="5"/>
  <c r="O1059" i="5" s="1"/>
  <c r="N1060" i="5"/>
  <c r="O1060" i="5" s="1"/>
  <c r="N1061" i="5"/>
  <c r="O1061" i="5" s="1"/>
  <c r="N1062" i="5"/>
  <c r="O1062" i="5" s="1"/>
  <c r="N1063" i="5"/>
  <c r="O1063" i="5" s="1"/>
  <c r="N1064" i="5"/>
  <c r="O1064" i="5" s="1"/>
  <c r="N1065" i="5"/>
  <c r="O1065" i="5" s="1"/>
  <c r="N1066" i="5"/>
  <c r="O1066" i="5" s="1"/>
  <c r="N1067" i="5"/>
  <c r="O1067" i="5" s="1"/>
  <c r="N1068" i="5"/>
  <c r="O1068" i="5" s="1"/>
  <c r="N1069" i="5"/>
  <c r="O1069" i="5" s="1"/>
  <c r="N1070" i="5"/>
  <c r="O1070" i="5" s="1"/>
  <c r="N1071" i="5"/>
  <c r="O1071" i="5" s="1"/>
  <c r="N1072" i="5"/>
  <c r="O1072" i="5" s="1"/>
  <c r="N1073" i="5"/>
  <c r="O1073" i="5" s="1"/>
  <c r="N1074" i="5"/>
  <c r="O1074" i="5" s="1"/>
  <c r="N1075" i="5"/>
  <c r="O1075" i="5" s="1"/>
  <c r="N1076" i="5"/>
  <c r="O1076" i="5" s="1"/>
  <c r="N1077" i="5"/>
  <c r="O1077" i="5" s="1"/>
  <c r="N1078" i="5"/>
  <c r="O1078" i="5" s="1"/>
  <c r="N1079" i="5"/>
  <c r="O1079" i="5" s="1"/>
  <c r="N1080" i="5"/>
  <c r="O1080" i="5" s="1"/>
  <c r="N1081" i="5"/>
  <c r="O1081" i="5" s="1"/>
  <c r="N1082" i="5"/>
  <c r="O1082" i="5" s="1"/>
  <c r="N1083" i="5"/>
  <c r="O1083" i="5" s="1"/>
  <c r="N1084" i="5"/>
  <c r="O1084" i="5" s="1"/>
  <c r="N1085" i="5"/>
  <c r="O1085" i="5" s="1"/>
  <c r="N1086" i="5"/>
  <c r="O1086" i="5" s="1"/>
  <c r="N1087" i="5"/>
  <c r="O1087" i="5" s="1"/>
  <c r="N1088" i="5"/>
  <c r="O1088" i="5" s="1"/>
  <c r="N1089" i="5"/>
  <c r="O1089" i="5" s="1"/>
  <c r="N1090" i="5"/>
  <c r="O1090" i="5" s="1"/>
  <c r="N1091" i="5"/>
  <c r="O1091" i="5" s="1"/>
  <c r="N1092" i="5"/>
  <c r="O1092" i="5" s="1"/>
  <c r="N1093" i="5"/>
  <c r="O1093" i="5" s="1"/>
  <c r="N1094" i="5"/>
  <c r="O1094" i="5" s="1"/>
  <c r="N1095" i="5"/>
  <c r="O1095" i="5" s="1"/>
  <c r="N1096" i="5"/>
  <c r="O1096" i="5" s="1"/>
  <c r="N1097" i="5"/>
  <c r="O1097" i="5" s="1"/>
  <c r="N1098" i="5"/>
  <c r="O1098" i="5" s="1"/>
  <c r="N1099" i="5"/>
  <c r="O1099" i="5" s="1"/>
  <c r="N1100" i="5"/>
  <c r="O1100" i="5" s="1"/>
  <c r="N1101" i="5"/>
  <c r="O1101" i="5" s="1"/>
  <c r="N1102" i="5"/>
  <c r="O1102" i="5" s="1"/>
  <c r="N1103" i="5"/>
  <c r="O1103" i="5" s="1"/>
  <c r="N1104" i="5"/>
  <c r="O1104" i="5" s="1"/>
  <c r="N1105" i="5"/>
  <c r="O1105" i="5" s="1"/>
  <c r="N1106" i="5"/>
  <c r="O1106" i="5" s="1"/>
  <c r="N1107" i="5"/>
  <c r="O1107" i="5" s="1"/>
  <c r="N1108" i="5"/>
  <c r="O1108" i="5" s="1"/>
  <c r="N1109" i="5"/>
  <c r="O1109" i="5" s="1"/>
  <c r="N1110" i="5"/>
  <c r="O1110" i="5" s="1"/>
  <c r="N1111" i="5"/>
  <c r="O1111" i="5" s="1"/>
  <c r="N1112" i="5"/>
  <c r="O1112" i="5" s="1"/>
  <c r="N1113" i="5"/>
  <c r="O1113" i="5" s="1"/>
  <c r="N1114" i="5"/>
  <c r="O1114" i="5" s="1"/>
  <c r="N1115" i="5"/>
  <c r="O1115" i="5" s="1"/>
  <c r="N1116" i="5"/>
  <c r="O1116" i="5" s="1"/>
  <c r="N1117" i="5"/>
  <c r="O1117" i="5" s="1"/>
  <c r="N1118" i="5"/>
  <c r="O1118" i="5" s="1"/>
  <c r="N1119" i="5"/>
  <c r="O1119" i="5" s="1"/>
  <c r="N1120" i="5"/>
  <c r="O1120" i="5" s="1"/>
  <c r="N1121" i="5"/>
  <c r="O1121" i="5" s="1"/>
  <c r="N1122" i="5"/>
  <c r="O1122" i="5" s="1"/>
  <c r="N1123" i="5"/>
  <c r="O1123" i="5" s="1"/>
  <c r="N1124" i="5"/>
  <c r="O1124" i="5" s="1"/>
  <c r="N1125" i="5"/>
  <c r="O1125" i="5" s="1"/>
  <c r="N1126" i="5"/>
  <c r="O1126" i="5" s="1"/>
  <c r="N1127" i="5"/>
  <c r="O1127" i="5" s="1"/>
  <c r="N1128" i="5"/>
  <c r="O1128" i="5" s="1"/>
  <c r="N1129" i="5"/>
  <c r="O1129" i="5" s="1"/>
  <c r="N1130" i="5"/>
  <c r="O1130" i="5" s="1"/>
  <c r="N1131" i="5"/>
  <c r="O1131" i="5" s="1"/>
  <c r="N1132" i="5"/>
  <c r="O1132" i="5" s="1"/>
  <c r="N1133" i="5"/>
  <c r="O1133" i="5" s="1"/>
  <c r="N1134" i="5"/>
  <c r="O1134" i="5" s="1"/>
  <c r="N1135" i="5"/>
  <c r="O1135" i="5" s="1"/>
  <c r="N1136" i="5"/>
  <c r="O1136" i="5" s="1"/>
  <c r="N1137" i="5"/>
  <c r="O1137" i="5" s="1"/>
  <c r="N1138" i="5"/>
  <c r="O1138" i="5" s="1"/>
  <c r="N1139" i="5"/>
  <c r="O1139" i="5" s="1"/>
  <c r="N1140" i="5"/>
  <c r="O1140" i="5" s="1"/>
  <c r="N1141" i="5"/>
  <c r="O1141" i="5" s="1"/>
  <c r="N1142" i="5"/>
  <c r="O1142" i="5" s="1"/>
  <c r="N1143" i="5"/>
  <c r="O1143" i="5" s="1"/>
  <c r="N1144" i="5"/>
  <c r="O1144" i="5" s="1"/>
  <c r="N1145" i="5"/>
  <c r="O1145" i="5" s="1"/>
  <c r="N1146" i="5"/>
  <c r="O1146" i="5" s="1"/>
  <c r="N1147" i="5"/>
  <c r="O1147" i="5" s="1"/>
  <c r="N1148" i="5"/>
  <c r="O1148" i="5" s="1"/>
  <c r="N1149" i="5"/>
  <c r="O1149" i="5" s="1"/>
  <c r="N1150" i="5"/>
  <c r="O1150" i="5" s="1"/>
  <c r="N1151" i="5"/>
  <c r="O1151" i="5" s="1"/>
  <c r="N1152" i="5"/>
  <c r="O1152" i="5" s="1"/>
  <c r="N1153" i="5"/>
  <c r="O1153" i="5" s="1"/>
  <c r="N1154" i="5"/>
  <c r="O1154" i="5" s="1"/>
  <c r="N1155" i="5"/>
  <c r="O1155" i="5" s="1"/>
  <c r="N1156" i="5"/>
  <c r="O1156" i="5" s="1"/>
  <c r="N1157" i="5"/>
  <c r="O1157" i="5" s="1"/>
  <c r="N1158" i="5"/>
  <c r="O1158" i="5" s="1"/>
  <c r="N1159" i="5"/>
  <c r="O1159" i="5" s="1"/>
  <c r="N1160" i="5"/>
  <c r="O1160" i="5" s="1"/>
  <c r="N1161" i="5"/>
  <c r="O1161" i="5" s="1"/>
  <c r="N1162" i="5"/>
  <c r="O1162" i="5" s="1"/>
  <c r="N1163" i="5"/>
  <c r="O1163" i="5" s="1"/>
  <c r="N1164" i="5"/>
  <c r="O1164" i="5" s="1"/>
  <c r="N1165" i="5"/>
  <c r="O1165" i="5" s="1"/>
  <c r="N1166" i="5"/>
  <c r="O1166" i="5" s="1"/>
  <c r="N1167" i="5"/>
  <c r="O1167" i="5" s="1"/>
  <c r="N1168" i="5"/>
  <c r="O1168" i="5" s="1"/>
  <c r="N1169" i="5"/>
  <c r="O1169" i="5" s="1"/>
  <c r="N1170" i="5"/>
  <c r="O1170" i="5" s="1"/>
  <c r="N1171" i="5"/>
  <c r="O1171" i="5" s="1"/>
  <c r="N1172" i="5"/>
  <c r="O1172" i="5" s="1"/>
  <c r="N1173" i="5"/>
  <c r="O1173" i="5" s="1"/>
  <c r="N1174" i="5"/>
  <c r="O1174" i="5" s="1"/>
  <c r="N1175" i="5"/>
  <c r="O1175" i="5" s="1"/>
  <c r="N1176" i="5"/>
  <c r="O1176" i="5" s="1"/>
  <c r="N1177" i="5"/>
  <c r="O1177" i="5" s="1"/>
  <c r="N1178" i="5"/>
  <c r="O1178" i="5" s="1"/>
  <c r="N1179" i="5"/>
  <c r="O1179" i="5" s="1"/>
  <c r="N1180" i="5"/>
  <c r="O1180" i="5" s="1"/>
  <c r="N1181" i="5"/>
  <c r="O1181" i="5" s="1"/>
  <c r="N1182" i="5"/>
  <c r="O1182" i="5" s="1"/>
  <c r="N1183" i="5"/>
  <c r="O1183" i="5" s="1"/>
  <c r="N1184" i="5"/>
  <c r="O1184" i="5" s="1"/>
  <c r="N1185" i="5"/>
  <c r="O1185" i="5" s="1"/>
  <c r="N1186" i="5"/>
  <c r="O1186" i="5" s="1"/>
  <c r="N1187" i="5"/>
  <c r="O1187" i="5" s="1"/>
  <c r="N1188" i="5"/>
  <c r="O1188" i="5" s="1"/>
  <c r="N1189" i="5"/>
  <c r="O1189" i="5" s="1"/>
  <c r="N1190" i="5"/>
  <c r="O1190" i="5" s="1"/>
  <c r="N1191" i="5"/>
  <c r="O1191" i="5" s="1"/>
  <c r="N1192" i="5"/>
  <c r="O1192" i="5" s="1"/>
  <c r="N1193" i="5"/>
  <c r="O1193" i="5" s="1"/>
  <c r="N1194" i="5"/>
  <c r="O1194" i="5" s="1"/>
  <c r="N1195" i="5"/>
  <c r="O1195" i="5" s="1"/>
  <c r="N1196" i="5"/>
  <c r="O1196" i="5" s="1"/>
  <c r="N1197" i="5"/>
  <c r="O1197" i="5" s="1"/>
  <c r="N1198" i="5"/>
  <c r="O1198" i="5" s="1"/>
  <c r="N1199" i="5"/>
  <c r="O1199" i="5" s="1"/>
  <c r="N1200" i="5"/>
  <c r="O1200" i="5" s="1"/>
  <c r="N1201" i="5"/>
  <c r="O1201" i="5" s="1"/>
  <c r="N1202" i="5"/>
  <c r="O1202" i="5" s="1"/>
  <c r="N1203" i="5"/>
  <c r="O1203" i="5" s="1"/>
  <c r="N1204" i="5"/>
  <c r="O1204" i="5" s="1"/>
  <c r="N1205" i="5"/>
  <c r="O1205" i="5" s="1"/>
  <c r="N1206" i="5"/>
  <c r="O1206" i="5" s="1"/>
  <c r="N1207" i="5"/>
  <c r="O1207" i="5" s="1"/>
  <c r="N1208" i="5"/>
  <c r="O1208" i="5" s="1"/>
  <c r="N1209" i="5"/>
  <c r="O1209" i="5" s="1"/>
  <c r="N1210" i="5"/>
  <c r="O1210" i="5" s="1"/>
  <c r="N1211" i="5"/>
  <c r="O1211" i="5" s="1"/>
  <c r="N1212" i="5"/>
  <c r="O1212" i="5" s="1"/>
  <c r="N1213" i="5"/>
  <c r="O1213" i="5" s="1"/>
  <c r="N1214" i="5"/>
  <c r="O1214" i="5" s="1"/>
  <c r="N1215" i="5"/>
  <c r="O1215" i="5" s="1"/>
  <c r="N1216" i="5"/>
  <c r="O1216" i="5" s="1"/>
  <c r="N1217" i="5"/>
  <c r="O1217" i="5" s="1"/>
  <c r="N1218" i="5"/>
  <c r="O1218" i="5" s="1"/>
  <c r="N1219" i="5"/>
  <c r="O1219" i="5" s="1"/>
  <c r="N1220" i="5"/>
  <c r="O1220" i="5" s="1"/>
  <c r="N1221" i="5"/>
  <c r="O1221" i="5" s="1"/>
  <c r="N1222" i="5"/>
  <c r="O1222" i="5" s="1"/>
  <c r="N1223" i="5"/>
  <c r="O1223" i="5" s="1"/>
  <c r="N1224" i="5"/>
  <c r="O1224" i="5" s="1"/>
  <c r="N1225" i="5"/>
  <c r="O1225" i="5" s="1"/>
  <c r="N1226" i="5"/>
  <c r="O1226" i="5" s="1"/>
  <c r="N1227" i="5"/>
  <c r="O1227" i="5" s="1"/>
  <c r="N1228" i="5"/>
  <c r="O1228" i="5" s="1"/>
  <c r="N1229" i="5"/>
  <c r="O1229" i="5" s="1"/>
  <c r="N1230" i="5"/>
  <c r="O1230" i="5" s="1"/>
  <c r="N1231" i="5"/>
  <c r="O1231" i="5" s="1"/>
  <c r="N1232" i="5"/>
  <c r="O1232" i="5" s="1"/>
  <c r="N1233" i="5"/>
  <c r="O1233" i="5" s="1"/>
  <c r="N1234" i="5"/>
  <c r="O1234" i="5" s="1"/>
  <c r="N1235" i="5"/>
  <c r="O1235" i="5" s="1"/>
  <c r="N1236" i="5"/>
  <c r="O1236" i="5" s="1"/>
  <c r="N1237" i="5"/>
  <c r="O1237" i="5" s="1"/>
  <c r="N1238" i="5"/>
  <c r="O1238" i="5" s="1"/>
  <c r="N1239" i="5"/>
  <c r="O1239" i="5" s="1"/>
  <c r="N1240" i="5"/>
  <c r="O1240" i="5" s="1"/>
  <c r="N1241" i="5"/>
  <c r="O1241" i="5" s="1"/>
  <c r="N1242" i="5"/>
  <c r="O1242" i="5" s="1"/>
  <c r="N1243" i="5"/>
  <c r="O1243" i="5" s="1"/>
  <c r="N1244" i="5"/>
  <c r="O1244" i="5" s="1"/>
  <c r="N1245" i="5"/>
  <c r="O1245" i="5" s="1"/>
  <c r="N1246" i="5"/>
  <c r="O1246" i="5" s="1"/>
  <c r="N1247" i="5"/>
  <c r="O1247" i="5" s="1"/>
  <c r="N1248" i="5"/>
  <c r="O1248" i="5" s="1"/>
  <c r="N1249" i="5"/>
  <c r="O1249" i="5" s="1"/>
  <c r="N1250" i="5"/>
  <c r="O1250" i="5" s="1"/>
  <c r="N1251" i="5"/>
  <c r="O1251" i="5" s="1"/>
  <c r="N1252" i="5"/>
  <c r="O1252" i="5" s="1"/>
  <c r="N1253" i="5"/>
  <c r="O1253" i="5" s="1"/>
  <c r="N1254" i="5"/>
  <c r="O1254" i="5" s="1"/>
  <c r="N1255" i="5"/>
  <c r="O1255" i="5" s="1"/>
  <c r="N1256" i="5"/>
  <c r="O1256" i="5" s="1"/>
  <c r="N1257" i="5"/>
  <c r="O1257" i="5" s="1"/>
  <c r="N1258" i="5"/>
  <c r="O1258" i="5" s="1"/>
  <c r="N1259" i="5"/>
  <c r="O1259" i="5" s="1"/>
  <c r="N1260" i="5"/>
  <c r="O1260" i="5" s="1"/>
  <c r="N1261" i="5"/>
  <c r="O1261" i="5" s="1"/>
  <c r="N1262" i="5"/>
  <c r="O1262" i="5" s="1"/>
  <c r="N1263" i="5"/>
  <c r="O1263" i="5" s="1"/>
  <c r="N1264" i="5"/>
  <c r="O1264" i="5" s="1"/>
  <c r="N1265" i="5"/>
  <c r="O1265" i="5" s="1"/>
  <c r="N1266" i="5"/>
  <c r="O1266" i="5" s="1"/>
  <c r="N1267" i="5"/>
  <c r="O1267" i="5" s="1"/>
  <c r="N1268" i="5"/>
  <c r="O1268" i="5" s="1"/>
  <c r="N1269" i="5"/>
  <c r="O1269" i="5" s="1"/>
  <c r="N1270" i="5"/>
  <c r="O1270" i="5" s="1"/>
  <c r="N1271" i="5"/>
  <c r="O1271" i="5" s="1"/>
  <c r="N1272" i="5"/>
  <c r="O1272" i="5" s="1"/>
  <c r="N1273" i="5"/>
  <c r="O1273" i="5" s="1"/>
  <c r="N1274" i="5"/>
  <c r="O1274" i="5" s="1"/>
  <c r="N1275" i="5"/>
  <c r="O1275" i="5" s="1"/>
  <c r="N1276" i="5"/>
  <c r="O1276" i="5" s="1"/>
  <c r="N1277" i="5"/>
  <c r="O1277" i="5" s="1"/>
  <c r="N1278" i="5"/>
  <c r="O1278" i="5" s="1"/>
  <c r="N1279" i="5"/>
  <c r="O1279" i="5" s="1"/>
  <c r="N1280" i="5"/>
  <c r="O1280" i="5" s="1"/>
  <c r="N1281" i="5"/>
  <c r="O1281" i="5" s="1"/>
  <c r="N1282" i="5"/>
  <c r="O1282" i="5" s="1"/>
  <c r="N1283" i="5"/>
  <c r="O1283" i="5" s="1"/>
  <c r="N1284" i="5"/>
  <c r="O1284" i="5" s="1"/>
  <c r="N1285" i="5"/>
  <c r="O1285" i="5" s="1"/>
  <c r="N1286" i="5"/>
  <c r="O1286" i="5" s="1"/>
  <c r="N1287" i="5"/>
  <c r="O1287" i="5" s="1"/>
  <c r="N1288" i="5"/>
  <c r="O1288" i="5" s="1"/>
  <c r="N1289" i="5"/>
  <c r="O1289" i="5" s="1"/>
  <c r="N1290" i="5"/>
  <c r="O1290" i="5" s="1"/>
  <c r="N1291" i="5"/>
  <c r="O1291" i="5" s="1"/>
  <c r="N1292" i="5"/>
  <c r="O1292" i="5" s="1"/>
  <c r="N1293" i="5"/>
  <c r="O1293" i="5" s="1"/>
  <c r="N1294" i="5"/>
  <c r="O1294" i="5" s="1"/>
  <c r="N1295" i="5"/>
  <c r="O1295" i="5" s="1"/>
  <c r="N1296" i="5"/>
  <c r="O1296" i="5" s="1"/>
  <c r="N1297" i="5"/>
  <c r="O1297" i="5" s="1"/>
  <c r="N1298" i="5"/>
  <c r="O1298" i="5" s="1"/>
  <c r="N1299" i="5"/>
  <c r="O1299" i="5" s="1"/>
  <c r="N1300" i="5"/>
  <c r="O1300" i="5" s="1"/>
  <c r="N1301" i="5"/>
  <c r="O1301" i="5" s="1"/>
  <c r="N1302" i="5"/>
  <c r="O1302" i="5" s="1"/>
  <c r="N1303" i="5"/>
  <c r="O1303" i="5" s="1"/>
  <c r="N1304" i="5"/>
  <c r="O1304" i="5" s="1"/>
  <c r="N1305" i="5"/>
  <c r="O1305" i="5" s="1"/>
  <c r="N1306" i="5"/>
  <c r="O1306" i="5" s="1"/>
  <c r="N1307" i="5"/>
  <c r="O1307" i="5" s="1"/>
  <c r="N1308" i="5"/>
  <c r="O1308" i="5" s="1"/>
  <c r="N1309" i="5"/>
  <c r="O1309" i="5" s="1"/>
  <c r="N1310" i="5"/>
  <c r="O1310" i="5" s="1"/>
  <c r="N1311" i="5"/>
  <c r="O1311" i="5" s="1"/>
  <c r="N1312" i="5"/>
  <c r="O1312" i="5" s="1"/>
  <c r="N1313" i="5"/>
  <c r="O1313" i="5" s="1"/>
  <c r="N1314" i="5"/>
  <c r="O1314" i="5" s="1"/>
  <c r="N1315" i="5"/>
  <c r="O1315" i="5" s="1"/>
  <c r="N1316" i="5"/>
  <c r="O1316" i="5" s="1"/>
  <c r="N1317" i="5"/>
  <c r="O1317" i="5" s="1"/>
  <c r="N1318" i="5"/>
  <c r="O1318" i="5" s="1"/>
  <c r="N1319" i="5"/>
  <c r="O1319" i="5" s="1"/>
  <c r="N1320" i="5"/>
  <c r="O1320" i="5" s="1"/>
  <c r="N1321" i="5"/>
  <c r="O1321" i="5" s="1"/>
  <c r="N1322" i="5"/>
  <c r="O1322" i="5" s="1"/>
  <c r="N1323" i="5"/>
  <c r="O1323" i="5" s="1"/>
  <c r="N1324" i="5"/>
  <c r="O1324" i="5" s="1"/>
  <c r="N1325" i="5"/>
  <c r="O1325" i="5" s="1"/>
  <c r="N1326" i="5"/>
  <c r="O1326" i="5" s="1"/>
  <c r="N1327" i="5"/>
  <c r="O1327" i="5" s="1"/>
  <c r="N1328" i="5"/>
  <c r="O1328" i="5" s="1"/>
  <c r="N1329" i="5"/>
  <c r="O1329" i="5" s="1"/>
  <c r="N1330" i="5"/>
  <c r="O1330" i="5" s="1"/>
  <c r="N1331" i="5"/>
  <c r="O1331" i="5" s="1"/>
  <c r="N1332" i="5"/>
  <c r="O1332" i="5" s="1"/>
  <c r="N1333" i="5"/>
  <c r="O1333" i="5" s="1"/>
  <c r="N1334" i="5"/>
  <c r="O1334" i="5" s="1"/>
  <c r="N1335" i="5"/>
  <c r="O1335" i="5" s="1"/>
  <c r="N1336" i="5"/>
  <c r="O1336" i="5" s="1"/>
  <c r="N1337" i="5"/>
  <c r="O1337" i="5" s="1"/>
  <c r="N1338" i="5"/>
  <c r="O1338" i="5" s="1"/>
  <c r="N1339" i="5"/>
  <c r="O1339" i="5" s="1"/>
  <c r="N1340" i="5"/>
  <c r="O1340" i="5" s="1"/>
  <c r="N1341" i="5"/>
  <c r="O1341" i="5" s="1"/>
  <c r="N1342" i="5"/>
  <c r="O1342" i="5" s="1"/>
  <c r="N1343" i="5"/>
  <c r="O1343" i="5" s="1"/>
  <c r="N1344" i="5"/>
  <c r="O1344" i="5" s="1"/>
  <c r="N1345" i="5"/>
  <c r="O1345" i="5" s="1"/>
  <c r="N1346" i="5"/>
  <c r="O1346" i="5" s="1"/>
  <c r="N1347" i="5"/>
  <c r="O1347" i="5" s="1"/>
  <c r="N1348" i="5"/>
  <c r="O1348" i="5" s="1"/>
  <c r="N1349" i="5"/>
  <c r="O1349" i="5" s="1"/>
  <c r="N1350" i="5"/>
  <c r="O1350" i="5" s="1"/>
  <c r="N1351" i="5"/>
  <c r="O1351" i="5" s="1"/>
  <c r="N1352" i="5"/>
  <c r="O1352" i="5" s="1"/>
  <c r="N1353" i="5"/>
  <c r="O1353" i="5" s="1"/>
  <c r="N1354" i="5"/>
  <c r="O1354" i="5" s="1"/>
  <c r="N1355" i="5"/>
  <c r="O1355" i="5" s="1"/>
  <c r="N1356" i="5"/>
  <c r="O1356" i="5" s="1"/>
  <c r="N1357" i="5"/>
  <c r="O1357" i="5" s="1"/>
  <c r="N1358" i="5"/>
  <c r="O1358" i="5" s="1"/>
  <c r="N1359" i="5"/>
  <c r="O1359" i="5" s="1"/>
  <c r="N1360" i="5"/>
  <c r="O1360" i="5" s="1"/>
  <c r="N1361" i="5"/>
  <c r="O1361" i="5" s="1"/>
  <c r="N1362" i="5"/>
  <c r="O1362" i="5" s="1"/>
  <c r="N1363" i="5"/>
  <c r="O1363" i="5" s="1"/>
  <c r="N1364" i="5"/>
  <c r="O1364" i="5" s="1"/>
  <c r="N1365" i="5"/>
  <c r="O1365" i="5" s="1"/>
  <c r="N1366" i="5"/>
  <c r="O1366" i="5" s="1"/>
  <c r="N1367" i="5"/>
  <c r="O1367" i="5" s="1"/>
  <c r="N1368" i="5"/>
  <c r="O1368" i="5" s="1"/>
  <c r="N1369" i="5"/>
  <c r="O1369" i="5" s="1"/>
  <c r="N1370" i="5"/>
  <c r="O1370" i="5" s="1"/>
  <c r="N1371" i="5"/>
  <c r="O1371" i="5" s="1"/>
  <c r="N1372" i="5"/>
  <c r="O1372" i="5" s="1"/>
  <c r="N1373" i="5"/>
  <c r="O1373" i="5" s="1"/>
  <c r="N1374" i="5"/>
  <c r="O1374" i="5" s="1"/>
  <c r="N1375" i="5"/>
  <c r="O1375" i="5" s="1"/>
  <c r="N1376" i="5"/>
  <c r="O1376" i="5" s="1"/>
  <c r="N1377" i="5"/>
  <c r="O1377" i="5" s="1"/>
  <c r="N1378" i="5"/>
  <c r="O1378" i="5" s="1"/>
  <c r="N1379" i="5"/>
  <c r="O1379" i="5" s="1"/>
  <c r="N1380" i="5"/>
  <c r="O1380" i="5" s="1"/>
  <c r="N1381" i="5"/>
  <c r="O1381" i="5" s="1"/>
  <c r="N1382" i="5"/>
  <c r="O1382" i="5" s="1"/>
  <c r="N1383" i="5"/>
  <c r="O1383" i="5" s="1"/>
  <c r="N1384" i="5"/>
  <c r="O1384" i="5" s="1"/>
  <c r="N1385" i="5"/>
  <c r="O1385" i="5" s="1"/>
  <c r="N1386" i="5"/>
  <c r="O1386" i="5" s="1"/>
  <c r="N1387" i="5"/>
  <c r="O1387" i="5" s="1"/>
  <c r="N1388" i="5"/>
  <c r="O1388" i="5" s="1"/>
  <c r="N1389" i="5"/>
  <c r="O1389" i="5" s="1"/>
  <c r="N1390" i="5"/>
  <c r="O1390" i="5" s="1"/>
  <c r="N1391" i="5"/>
  <c r="O1391" i="5" s="1"/>
  <c r="N1392" i="5"/>
  <c r="O1392" i="5" s="1"/>
  <c r="N1393" i="5"/>
  <c r="O1393" i="5" s="1"/>
  <c r="N1394" i="5"/>
  <c r="O1394" i="5" s="1"/>
  <c r="N1395" i="5"/>
  <c r="O1395" i="5" s="1"/>
  <c r="N1396" i="5"/>
  <c r="O1396" i="5" s="1"/>
  <c r="N1397" i="5"/>
  <c r="O1397" i="5" s="1"/>
  <c r="N1398" i="5"/>
  <c r="O1398" i="5" s="1"/>
  <c r="N1399" i="5"/>
  <c r="O1399" i="5" s="1"/>
  <c r="N1400" i="5"/>
  <c r="O1400" i="5" s="1"/>
  <c r="N1401" i="5"/>
  <c r="O1401" i="5" s="1"/>
  <c r="N1402" i="5"/>
  <c r="O1402" i="5" s="1"/>
  <c r="N1403" i="5"/>
  <c r="O1403" i="5" s="1"/>
  <c r="N1404" i="5"/>
  <c r="O1404" i="5" s="1"/>
  <c r="N1405" i="5"/>
  <c r="O1405" i="5" s="1"/>
  <c r="N1406" i="5"/>
  <c r="O1406" i="5" s="1"/>
  <c r="N1407" i="5"/>
  <c r="O1407" i="5" s="1"/>
  <c r="N1408" i="5"/>
  <c r="O1408" i="5" s="1"/>
  <c r="N1409" i="5"/>
  <c r="O1409" i="5" s="1"/>
  <c r="N1410" i="5"/>
  <c r="O1410" i="5" s="1"/>
  <c r="N1411" i="5"/>
  <c r="O1411" i="5" s="1"/>
  <c r="N1412" i="5"/>
  <c r="O1412" i="5" s="1"/>
  <c r="N1413" i="5"/>
  <c r="O1413" i="5" s="1"/>
  <c r="N1414" i="5"/>
  <c r="O1414" i="5" s="1"/>
  <c r="N1415" i="5"/>
  <c r="O1415" i="5" s="1"/>
  <c r="N1416" i="5"/>
  <c r="O1416" i="5" s="1"/>
  <c r="N1417" i="5"/>
  <c r="O1417" i="5" s="1"/>
  <c r="N1418" i="5"/>
  <c r="O1418" i="5" s="1"/>
  <c r="N1419" i="5"/>
  <c r="O1419" i="5" s="1"/>
  <c r="N1420" i="5"/>
  <c r="O1420" i="5" s="1"/>
  <c r="N1421" i="5"/>
  <c r="O1421" i="5" s="1"/>
  <c r="N1422" i="5"/>
  <c r="O1422" i="5" s="1"/>
  <c r="N1423" i="5"/>
  <c r="O1423" i="5" s="1"/>
  <c r="N1424" i="5"/>
  <c r="O1424" i="5" s="1"/>
  <c r="N1425" i="5"/>
  <c r="O1425" i="5" s="1"/>
  <c r="N1426" i="5"/>
  <c r="O1426" i="5" s="1"/>
  <c r="N1427" i="5"/>
  <c r="O1427" i="5" s="1"/>
  <c r="N1428" i="5"/>
  <c r="O1428" i="5" s="1"/>
  <c r="N1429" i="5"/>
  <c r="O1429" i="5" s="1"/>
  <c r="N1430" i="5"/>
  <c r="O1430" i="5" s="1"/>
  <c r="N1431" i="5"/>
  <c r="O1431" i="5" s="1"/>
  <c r="N1432" i="5"/>
  <c r="O1432" i="5" s="1"/>
  <c r="N1433" i="5"/>
  <c r="O1433" i="5" s="1"/>
  <c r="N1434" i="5"/>
  <c r="O1434" i="5" s="1"/>
  <c r="N1435" i="5"/>
  <c r="O1435" i="5" s="1"/>
  <c r="N1436" i="5"/>
  <c r="O1436" i="5" s="1"/>
  <c r="N1437" i="5"/>
  <c r="O1437" i="5" s="1"/>
  <c r="N1438" i="5"/>
  <c r="O1438" i="5" s="1"/>
  <c r="N1439" i="5"/>
  <c r="O1439" i="5" s="1"/>
  <c r="N1440" i="5"/>
  <c r="O1440" i="5" s="1"/>
  <c r="N1441" i="5"/>
  <c r="O1441" i="5" s="1"/>
  <c r="N1442" i="5"/>
  <c r="O1442" i="5" s="1"/>
  <c r="N1443" i="5"/>
  <c r="O1443" i="5" s="1"/>
  <c r="N1444" i="5"/>
  <c r="O1444" i="5" s="1"/>
  <c r="N1445" i="5"/>
  <c r="O1445" i="5" s="1"/>
  <c r="N1446" i="5"/>
  <c r="O1446" i="5" s="1"/>
  <c r="N1447" i="5"/>
  <c r="O1447" i="5" s="1"/>
  <c r="N1448" i="5"/>
  <c r="O1448" i="5" s="1"/>
  <c r="N1449" i="5"/>
  <c r="O1449" i="5" s="1"/>
  <c r="N1450" i="5"/>
  <c r="O1450" i="5" s="1"/>
  <c r="N1451" i="5"/>
  <c r="O1451" i="5" s="1"/>
  <c r="N1452" i="5"/>
  <c r="O1452" i="5" s="1"/>
  <c r="N1453" i="5"/>
  <c r="O1453" i="5" s="1"/>
  <c r="N1454" i="5"/>
  <c r="O1454" i="5" s="1"/>
  <c r="N1455" i="5"/>
  <c r="O1455" i="5" s="1"/>
  <c r="N1456" i="5"/>
  <c r="O1456" i="5" s="1"/>
  <c r="N1457" i="5"/>
  <c r="O1457" i="5" s="1"/>
  <c r="N1458" i="5"/>
  <c r="O1458" i="5" s="1"/>
  <c r="N1459" i="5"/>
  <c r="O1459" i="5" s="1"/>
  <c r="N1460" i="5"/>
  <c r="O1460" i="5" s="1"/>
  <c r="N1461" i="5"/>
  <c r="O1461" i="5" s="1"/>
  <c r="N1462" i="5"/>
  <c r="O1462" i="5" s="1"/>
  <c r="N1463" i="5"/>
  <c r="O1463" i="5" s="1"/>
  <c r="N1464" i="5"/>
  <c r="O1464" i="5" s="1"/>
  <c r="N1465" i="5"/>
  <c r="O1465" i="5" s="1"/>
  <c r="N1466" i="5"/>
  <c r="O1466" i="5" s="1"/>
  <c r="N1467" i="5"/>
  <c r="O1467" i="5" s="1"/>
  <c r="N1468" i="5"/>
  <c r="O1468" i="5" s="1"/>
  <c r="N1469" i="5"/>
  <c r="O1469" i="5" s="1"/>
  <c r="N1470" i="5"/>
  <c r="O1470" i="5" s="1"/>
  <c r="N1471" i="5"/>
  <c r="O1471" i="5" s="1"/>
  <c r="N1472" i="5"/>
  <c r="O1472" i="5" s="1"/>
  <c r="N1473" i="5"/>
  <c r="O1473" i="5" s="1"/>
  <c r="N1474" i="5"/>
  <c r="O1474" i="5" s="1"/>
  <c r="N1475" i="5"/>
  <c r="O1475" i="5" s="1"/>
  <c r="N1476" i="5"/>
  <c r="O1476" i="5" s="1"/>
  <c r="N1477" i="5"/>
  <c r="O1477" i="5" s="1"/>
  <c r="N1478" i="5"/>
  <c r="O1478" i="5" s="1"/>
  <c r="N1479" i="5"/>
  <c r="O1479" i="5" s="1"/>
  <c r="N1480" i="5"/>
  <c r="O1480" i="5" s="1"/>
  <c r="N1481" i="5"/>
  <c r="O1481" i="5" s="1"/>
  <c r="N1482" i="5"/>
  <c r="O1482" i="5" s="1"/>
  <c r="N1483" i="5"/>
  <c r="O1483" i="5" s="1"/>
  <c r="N1484" i="5"/>
  <c r="O1484" i="5" s="1"/>
  <c r="N1485" i="5"/>
  <c r="O1485" i="5" s="1"/>
  <c r="N1486" i="5"/>
  <c r="O1486" i="5" s="1"/>
  <c r="N1487" i="5"/>
  <c r="O1487" i="5" s="1"/>
  <c r="N1488" i="5"/>
  <c r="O1488" i="5" s="1"/>
  <c r="N1489" i="5"/>
  <c r="O1489" i="5" s="1"/>
  <c r="N1490" i="5"/>
  <c r="O1490" i="5" s="1"/>
  <c r="N1491" i="5"/>
  <c r="O1491" i="5" s="1"/>
  <c r="N1492" i="5"/>
  <c r="O1492" i="5" s="1"/>
  <c r="N1493" i="5"/>
  <c r="O1493" i="5" s="1"/>
  <c r="N1494" i="5"/>
  <c r="O1494" i="5" s="1"/>
  <c r="N1495" i="5"/>
  <c r="O1495" i="5" s="1"/>
  <c r="N1496" i="5"/>
  <c r="O1496" i="5" s="1"/>
  <c r="N1497" i="5"/>
  <c r="O1497" i="5" s="1"/>
  <c r="N1498" i="5"/>
  <c r="O1498" i="5" s="1"/>
  <c r="N1499" i="5"/>
  <c r="O1499" i="5" s="1"/>
  <c r="N1500" i="5"/>
  <c r="O1500" i="5" s="1"/>
  <c r="N1501" i="5"/>
  <c r="O1501" i="5" s="1"/>
  <c r="N1502" i="5"/>
  <c r="O1502" i="5" s="1"/>
  <c r="N1503" i="5"/>
  <c r="O1503" i="5" s="1"/>
  <c r="N1504" i="5"/>
  <c r="O1504" i="5" s="1"/>
  <c r="N1505" i="5"/>
  <c r="O1505" i="5" s="1"/>
  <c r="N1506" i="5"/>
  <c r="O1506" i="5" s="1"/>
  <c r="N1507" i="5"/>
  <c r="O1507" i="5" s="1"/>
  <c r="N1508" i="5"/>
  <c r="O1508" i="5" s="1"/>
  <c r="N1509" i="5"/>
  <c r="O1509" i="5" s="1"/>
  <c r="N1510" i="5"/>
  <c r="O1510" i="5" s="1"/>
  <c r="N1511" i="5"/>
  <c r="O1511" i="5" s="1"/>
  <c r="N1512" i="5"/>
  <c r="O1512" i="5" s="1"/>
  <c r="N1513" i="5"/>
  <c r="O1513" i="5" s="1"/>
  <c r="N1514" i="5"/>
  <c r="O1514" i="5" s="1"/>
  <c r="N1515" i="5"/>
  <c r="O1515" i="5" s="1"/>
  <c r="N1516" i="5"/>
  <c r="O1516" i="5" s="1"/>
  <c r="N1517" i="5"/>
  <c r="O1517" i="5" s="1"/>
  <c r="N1518" i="5"/>
  <c r="O1518" i="5" s="1"/>
  <c r="N1519" i="5"/>
  <c r="O1519" i="5" s="1"/>
  <c r="N1520" i="5"/>
  <c r="O1520" i="5" s="1"/>
  <c r="N1521" i="5"/>
  <c r="O1521" i="5" s="1"/>
  <c r="N1522" i="5"/>
  <c r="O1522" i="5" s="1"/>
  <c r="N1523" i="5"/>
  <c r="O1523" i="5" s="1"/>
  <c r="N1524" i="5"/>
  <c r="O1524" i="5" s="1"/>
  <c r="N1525" i="5"/>
  <c r="O1525" i="5" s="1"/>
  <c r="N1526" i="5"/>
  <c r="O1526" i="5" s="1"/>
  <c r="N1527" i="5"/>
  <c r="O1527" i="5" s="1"/>
  <c r="N1528" i="5"/>
  <c r="O1528" i="5" s="1"/>
  <c r="N1529" i="5"/>
  <c r="O1529" i="5" s="1"/>
  <c r="N1530" i="5"/>
  <c r="O1530" i="5" s="1"/>
  <c r="N1531" i="5"/>
  <c r="O1531" i="5" s="1"/>
  <c r="N1532" i="5"/>
  <c r="O1532" i="5" s="1"/>
  <c r="N1533" i="5"/>
  <c r="O1533" i="5" s="1"/>
  <c r="N1534" i="5"/>
  <c r="O1534" i="5" s="1"/>
  <c r="N1535" i="5"/>
  <c r="O1535" i="5" s="1"/>
  <c r="N1536" i="5"/>
  <c r="O1536" i="5" s="1"/>
  <c r="N1537" i="5"/>
  <c r="O1537" i="5" s="1"/>
  <c r="N1538" i="5"/>
  <c r="O1538" i="5" s="1"/>
  <c r="N1539" i="5"/>
  <c r="O1539" i="5" s="1"/>
  <c r="N1540" i="5"/>
  <c r="O1540" i="5" s="1"/>
  <c r="N1541" i="5"/>
  <c r="O1541" i="5" s="1"/>
  <c r="N1542" i="5"/>
  <c r="O1542" i="5" s="1"/>
  <c r="N1543" i="5"/>
  <c r="O1543" i="5" s="1"/>
  <c r="N1544" i="5"/>
  <c r="O1544" i="5" s="1"/>
  <c r="N1545" i="5"/>
  <c r="O1545" i="5" s="1"/>
  <c r="N1546" i="5"/>
  <c r="O1546" i="5" s="1"/>
  <c r="N1547" i="5"/>
  <c r="O1547" i="5" s="1"/>
  <c r="N1548" i="5"/>
  <c r="O1548" i="5" s="1"/>
  <c r="N1549" i="5"/>
  <c r="O1549" i="5" s="1"/>
  <c r="N1550" i="5"/>
  <c r="O1550" i="5" s="1"/>
  <c r="N1551" i="5"/>
  <c r="O1551" i="5" s="1"/>
  <c r="N1552" i="5"/>
  <c r="O1552" i="5" s="1"/>
  <c r="N1553" i="5"/>
  <c r="O1553" i="5" s="1"/>
  <c r="N1554" i="5"/>
  <c r="O1554" i="5" s="1"/>
  <c r="N1555" i="5"/>
  <c r="O1555" i="5" s="1"/>
  <c r="N1556" i="5"/>
  <c r="O1556" i="5" s="1"/>
  <c r="N1557" i="5"/>
  <c r="O1557" i="5" s="1"/>
  <c r="N1558" i="5"/>
  <c r="O1558" i="5" s="1"/>
  <c r="N1559" i="5"/>
  <c r="O1559" i="5" s="1"/>
  <c r="N1560" i="5"/>
  <c r="O1560" i="5" s="1"/>
  <c r="N1561" i="5"/>
  <c r="O1561" i="5" s="1"/>
  <c r="N1562" i="5"/>
  <c r="O1562" i="5" s="1"/>
  <c r="N1563" i="5"/>
  <c r="O1563" i="5" s="1"/>
  <c r="N1564" i="5"/>
  <c r="O1564" i="5" s="1"/>
  <c r="N1565" i="5"/>
  <c r="O1565" i="5" s="1"/>
  <c r="N1566" i="5"/>
  <c r="O1566" i="5" s="1"/>
  <c r="N1567" i="5"/>
  <c r="O1567" i="5" s="1"/>
  <c r="N1568" i="5"/>
  <c r="O1568" i="5" s="1"/>
  <c r="N1569" i="5"/>
  <c r="O1569" i="5" s="1"/>
  <c r="N1570" i="5"/>
  <c r="O1570" i="5" s="1"/>
  <c r="N1571" i="5"/>
  <c r="O1571" i="5" s="1"/>
  <c r="N1572" i="5"/>
  <c r="O1572" i="5" s="1"/>
  <c r="N1573" i="5"/>
  <c r="O1573" i="5" s="1"/>
  <c r="N1574" i="5"/>
  <c r="O1574" i="5" s="1"/>
  <c r="N1575" i="5"/>
  <c r="O1575" i="5" s="1"/>
  <c r="N1576" i="5"/>
  <c r="O1576" i="5" s="1"/>
  <c r="N1577" i="5"/>
  <c r="O1577" i="5" s="1"/>
  <c r="N1578" i="5"/>
  <c r="O1578" i="5" s="1"/>
  <c r="N1579" i="5"/>
  <c r="O1579" i="5" s="1"/>
  <c r="N1580" i="5"/>
  <c r="O1580" i="5" s="1"/>
  <c r="N1581" i="5"/>
  <c r="O1581" i="5" s="1"/>
  <c r="N1582" i="5"/>
  <c r="O1582" i="5" s="1"/>
  <c r="N1583" i="5"/>
  <c r="O1583" i="5" s="1"/>
  <c r="N1584" i="5"/>
  <c r="O1584" i="5" s="1"/>
  <c r="N1585" i="5"/>
  <c r="O1585" i="5" s="1"/>
  <c r="N1586" i="5"/>
  <c r="O1586" i="5" s="1"/>
  <c r="N1587" i="5"/>
  <c r="O1587" i="5" s="1"/>
  <c r="N1588" i="5"/>
  <c r="O1588" i="5" s="1"/>
  <c r="N1589" i="5"/>
  <c r="O1589" i="5" s="1"/>
  <c r="N1590" i="5"/>
  <c r="O1590" i="5" s="1"/>
  <c r="N1591" i="5"/>
  <c r="O1591" i="5" s="1"/>
  <c r="N1592" i="5"/>
  <c r="O1592" i="5" s="1"/>
  <c r="N1593" i="5"/>
  <c r="O1593" i="5" s="1"/>
  <c r="N1594" i="5"/>
  <c r="O1594" i="5" s="1"/>
  <c r="N1595" i="5"/>
  <c r="O1595" i="5" s="1"/>
  <c r="N1596" i="5"/>
  <c r="O1596" i="5" s="1"/>
  <c r="N1597" i="5"/>
  <c r="O1597" i="5" s="1"/>
  <c r="N1598" i="5"/>
  <c r="O1598" i="5" s="1"/>
  <c r="N1599" i="5"/>
  <c r="O1599" i="5" s="1"/>
  <c r="N1600" i="5"/>
  <c r="O1600" i="5" s="1"/>
  <c r="N1601" i="5"/>
  <c r="O1601" i="5" s="1"/>
  <c r="N1602" i="5"/>
  <c r="O1602" i="5" s="1"/>
  <c r="N1603" i="5"/>
  <c r="O1603" i="5" s="1"/>
  <c r="N1604" i="5"/>
  <c r="O1604" i="5" s="1"/>
  <c r="N1605" i="5"/>
  <c r="O1605" i="5" s="1"/>
  <c r="N1606" i="5"/>
  <c r="O1606" i="5" s="1"/>
  <c r="N1607" i="5"/>
  <c r="O1607" i="5" s="1"/>
  <c r="N1608" i="5"/>
  <c r="O1608" i="5" s="1"/>
  <c r="N1609" i="5"/>
  <c r="O1609" i="5" s="1"/>
  <c r="N1610" i="5"/>
  <c r="O1610" i="5" s="1"/>
  <c r="N1611" i="5"/>
  <c r="O1611" i="5" s="1"/>
  <c r="N1612" i="5"/>
  <c r="O1612" i="5" s="1"/>
  <c r="N1613" i="5"/>
  <c r="O1613" i="5" s="1"/>
  <c r="N1614" i="5"/>
  <c r="O1614" i="5" s="1"/>
  <c r="N1615" i="5"/>
  <c r="O1615" i="5" s="1"/>
  <c r="N1616" i="5"/>
  <c r="O1616" i="5" s="1"/>
  <c r="N1617" i="5"/>
  <c r="O1617" i="5" s="1"/>
  <c r="N1618" i="5"/>
  <c r="O1618" i="5" s="1"/>
  <c r="N1619" i="5"/>
  <c r="O1619" i="5" s="1"/>
  <c r="N1620" i="5"/>
  <c r="O1620" i="5" s="1"/>
  <c r="N1621" i="5"/>
  <c r="O1621" i="5" s="1"/>
  <c r="N1622" i="5"/>
  <c r="O1622" i="5" s="1"/>
  <c r="N1623" i="5"/>
  <c r="O1623" i="5" s="1"/>
  <c r="N1624" i="5"/>
  <c r="O1624" i="5" s="1"/>
  <c r="N1625" i="5"/>
  <c r="O1625" i="5" s="1"/>
  <c r="N1626" i="5"/>
  <c r="O1626" i="5" s="1"/>
  <c r="N1627" i="5"/>
  <c r="O1627" i="5" s="1"/>
  <c r="N1628" i="5"/>
  <c r="O1628" i="5" s="1"/>
  <c r="N1629" i="5"/>
  <c r="O1629" i="5" s="1"/>
  <c r="N1630" i="5"/>
  <c r="O1630" i="5" s="1"/>
  <c r="N1631" i="5"/>
  <c r="O1631" i="5" s="1"/>
  <c r="N1632" i="5"/>
  <c r="O1632" i="5" s="1"/>
  <c r="N1633" i="5"/>
  <c r="O1633" i="5" s="1"/>
  <c r="N1634" i="5"/>
  <c r="O1634" i="5" s="1"/>
  <c r="N1635" i="5"/>
  <c r="O1635" i="5" s="1"/>
  <c r="N1636" i="5"/>
  <c r="O1636" i="5" s="1"/>
  <c r="N1637" i="5"/>
  <c r="O1637" i="5" s="1"/>
  <c r="N1638" i="5"/>
  <c r="O1638" i="5" s="1"/>
  <c r="N1639" i="5"/>
  <c r="O1639" i="5" s="1"/>
  <c r="N1640" i="5"/>
  <c r="O1640" i="5" s="1"/>
  <c r="N1641" i="5"/>
  <c r="O1641" i="5" s="1"/>
  <c r="N1642" i="5"/>
  <c r="O1642" i="5" s="1"/>
  <c r="N1643" i="5"/>
  <c r="O1643" i="5" s="1"/>
  <c r="N1644" i="5"/>
  <c r="O1644" i="5" s="1"/>
  <c r="N1645" i="5"/>
  <c r="O1645" i="5" s="1"/>
  <c r="N1646" i="5"/>
  <c r="O1646" i="5" s="1"/>
  <c r="N1647" i="5"/>
  <c r="O1647" i="5" s="1"/>
  <c r="N1648" i="5"/>
  <c r="O1648" i="5" s="1"/>
  <c r="N1649" i="5"/>
  <c r="O1649" i="5" s="1"/>
  <c r="N1650" i="5"/>
  <c r="O1650" i="5" s="1"/>
  <c r="N1651" i="5"/>
  <c r="O1651" i="5" s="1"/>
  <c r="N1652" i="5"/>
  <c r="O1652" i="5" s="1"/>
  <c r="N1653" i="5"/>
  <c r="O1653" i="5" s="1"/>
  <c r="N1654" i="5"/>
  <c r="O1654" i="5" s="1"/>
  <c r="N1655" i="5"/>
  <c r="O1655" i="5" s="1"/>
  <c r="N1656" i="5"/>
  <c r="O1656" i="5" s="1"/>
  <c r="N1657" i="5"/>
  <c r="O1657" i="5" s="1"/>
  <c r="N1658" i="5"/>
  <c r="O1658" i="5" s="1"/>
  <c r="N1659" i="5"/>
  <c r="O1659" i="5" s="1"/>
  <c r="N1660" i="5"/>
  <c r="O1660" i="5" s="1"/>
  <c r="N1661" i="5"/>
  <c r="O1661" i="5" s="1"/>
  <c r="N1662" i="5"/>
  <c r="O1662" i="5" s="1"/>
  <c r="N1663" i="5"/>
  <c r="O1663" i="5" s="1"/>
  <c r="N1664" i="5"/>
  <c r="O1664" i="5" s="1"/>
  <c r="N1665" i="5"/>
  <c r="O1665" i="5" s="1"/>
  <c r="N1666" i="5"/>
  <c r="O1666" i="5" s="1"/>
  <c r="N1667" i="5"/>
  <c r="O1667" i="5" s="1"/>
  <c r="N1668" i="5"/>
  <c r="O1668" i="5" s="1"/>
  <c r="N1669" i="5"/>
  <c r="O1669" i="5" s="1"/>
  <c r="N1670" i="5"/>
  <c r="O1670" i="5" s="1"/>
  <c r="N1671" i="5"/>
  <c r="O1671" i="5" s="1"/>
  <c r="N1672" i="5"/>
  <c r="O1672" i="5" s="1"/>
  <c r="N1673" i="5"/>
  <c r="O1673" i="5" s="1"/>
  <c r="N1674" i="5"/>
  <c r="O1674" i="5" s="1"/>
  <c r="N1675" i="5"/>
  <c r="O1675" i="5" s="1"/>
  <c r="N1676" i="5"/>
  <c r="O1676" i="5" s="1"/>
  <c r="N1677" i="5"/>
  <c r="O1677" i="5" s="1"/>
  <c r="N1678" i="5"/>
  <c r="O1678" i="5" s="1"/>
  <c r="N1679" i="5"/>
  <c r="O1679" i="5" s="1"/>
  <c r="N1680" i="5"/>
  <c r="O1680" i="5" s="1"/>
  <c r="N1681" i="5"/>
  <c r="O1681" i="5" s="1"/>
  <c r="N1682" i="5"/>
  <c r="O1682" i="5" s="1"/>
  <c r="N1683" i="5"/>
  <c r="O1683" i="5" s="1"/>
  <c r="N1684" i="5"/>
  <c r="O1684" i="5" s="1"/>
  <c r="N1685" i="5"/>
  <c r="O1685" i="5" s="1"/>
  <c r="N1686" i="5"/>
  <c r="O1686" i="5" s="1"/>
  <c r="N1687" i="5"/>
  <c r="O1687" i="5" s="1"/>
  <c r="N1688" i="5"/>
  <c r="O1688" i="5" s="1"/>
  <c r="N1689" i="5"/>
  <c r="O1689" i="5" s="1"/>
  <c r="N1690" i="5"/>
  <c r="O1690" i="5" s="1"/>
  <c r="N1691" i="5"/>
  <c r="O1691" i="5" s="1"/>
  <c r="N1692" i="5"/>
  <c r="O1692" i="5" s="1"/>
  <c r="N1693" i="5"/>
  <c r="O1693" i="5" s="1"/>
  <c r="N1694" i="5"/>
  <c r="O1694" i="5" s="1"/>
  <c r="N1695" i="5"/>
  <c r="O1695" i="5" s="1"/>
  <c r="N1696" i="5"/>
  <c r="O1696" i="5" s="1"/>
  <c r="N1697" i="5"/>
  <c r="O1697" i="5" s="1"/>
  <c r="N1698" i="5"/>
  <c r="O1698" i="5" s="1"/>
  <c r="N1699" i="5"/>
  <c r="O1699" i="5" s="1"/>
  <c r="N1700" i="5"/>
  <c r="O1700" i="5" s="1"/>
  <c r="N1701" i="5"/>
  <c r="O1701" i="5" s="1"/>
  <c r="N1702" i="5"/>
  <c r="O1702" i="5" s="1"/>
  <c r="N1703" i="5"/>
  <c r="O1703" i="5" s="1"/>
  <c r="N1704" i="5"/>
  <c r="O1704" i="5" s="1"/>
  <c r="N1705" i="5"/>
  <c r="O1705" i="5" s="1"/>
  <c r="N1706" i="5"/>
  <c r="O1706" i="5" s="1"/>
  <c r="N1707" i="5"/>
  <c r="O1707" i="5" s="1"/>
  <c r="N1708" i="5"/>
  <c r="O1708" i="5" s="1"/>
  <c r="N1709" i="5"/>
  <c r="O1709" i="5" s="1"/>
  <c r="N1710" i="5"/>
  <c r="O1710" i="5" s="1"/>
  <c r="N1711" i="5"/>
  <c r="O1711" i="5" s="1"/>
  <c r="N1712" i="5"/>
  <c r="O1712" i="5" s="1"/>
  <c r="N1713" i="5"/>
  <c r="O1713" i="5" s="1"/>
  <c r="N1714" i="5"/>
  <c r="O1714" i="5" s="1"/>
  <c r="N1715" i="5"/>
  <c r="O1715" i="5" s="1"/>
  <c r="N1716" i="5"/>
  <c r="O1716" i="5" s="1"/>
  <c r="N1717" i="5"/>
  <c r="O1717" i="5" s="1"/>
  <c r="N1718" i="5"/>
  <c r="O1718" i="5" s="1"/>
  <c r="N1719" i="5"/>
  <c r="O1719" i="5" s="1"/>
  <c r="N1720" i="5"/>
  <c r="O1720" i="5" s="1"/>
  <c r="N1721" i="5"/>
  <c r="O1721" i="5" s="1"/>
  <c r="N1722" i="5"/>
  <c r="O1722" i="5" s="1"/>
  <c r="N1723" i="5"/>
  <c r="O1723" i="5" s="1"/>
  <c r="N1724" i="5"/>
  <c r="O1724" i="5" s="1"/>
  <c r="N1725" i="5"/>
  <c r="O1725" i="5" s="1"/>
  <c r="N1726" i="5"/>
  <c r="O1726" i="5" s="1"/>
  <c r="N1727" i="5"/>
  <c r="O1727" i="5" s="1"/>
  <c r="N1728" i="5"/>
  <c r="O1728" i="5" s="1"/>
  <c r="N1729" i="5"/>
  <c r="O1729" i="5" s="1"/>
  <c r="N1730" i="5"/>
  <c r="O1730" i="5" s="1"/>
  <c r="N1731" i="5"/>
  <c r="O1731" i="5" s="1"/>
  <c r="N1732" i="5"/>
  <c r="O1732" i="5" s="1"/>
  <c r="N1733" i="5"/>
  <c r="O1733" i="5" s="1"/>
  <c r="N1734" i="5"/>
  <c r="O1734" i="5" s="1"/>
  <c r="N1735" i="5"/>
  <c r="O1735" i="5" s="1"/>
  <c r="N1736" i="5"/>
  <c r="O1736" i="5" s="1"/>
  <c r="N1737" i="5"/>
  <c r="O1737" i="5" s="1"/>
  <c r="N1738" i="5"/>
  <c r="O1738" i="5" s="1"/>
  <c r="N1739" i="5"/>
  <c r="O1739" i="5" s="1"/>
  <c r="N1740" i="5"/>
  <c r="O1740" i="5" s="1"/>
  <c r="N1741" i="5"/>
  <c r="O1741" i="5" s="1"/>
  <c r="N1742" i="5"/>
  <c r="O1742" i="5" s="1"/>
  <c r="N1743" i="5"/>
  <c r="O1743" i="5" s="1"/>
  <c r="N1744" i="5"/>
  <c r="O1744" i="5" s="1"/>
  <c r="N1745" i="5"/>
  <c r="O1745" i="5" s="1"/>
  <c r="N1746" i="5"/>
  <c r="O1746" i="5" s="1"/>
  <c r="N1747" i="5"/>
  <c r="O1747" i="5" s="1"/>
  <c r="N1748" i="5"/>
  <c r="O1748" i="5" s="1"/>
  <c r="N1749" i="5"/>
  <c r="O1749" i="5" s="1"/>
  <c r="N1750" i="5"/>
  <c r="O1750" i="5" s="1"/>
  <c r="N1751" i="5"/>
  <c r="O1751" i="5" s="1"/>
  <c r="N1752" i="5"/>
  <c r="O1752" i="5" s="1"/>
  <c r="N1753" i="5"/>
  <c r="O1753" i="5" s="1"/>
  <c r="N1754" i="5"/>
  <c r="O1754" i="5" s="1"/>
  <c r="N1755" i="5"/>
  <c r="O1755" i="5" s="1"/>
  <c r="N1756" i="5"/>
  <c r="O1756" i="5" s="1"/>
  <c r="N1757" i="5"/>
  <c r="O1757" i="5" s="1"/>
  <c r="N1758" i="5"/>
  <c r="O1758" i="5" s="1"/>
  <c r="N1759" i="5"/>
  <c r="O1759" i="5" s="1"/>
  <c r="N1760" i="5"/>
  <c r="O1760" i="5" s="1"/>
  <c r="N1761" i="5"/>
  <c r="O1761" i="5" s="1"/>
  <c r="N1762" i="5"/>
  <c r="O1762" i="5" s="1"/>
  <c r="N1763" i="5"/>
  <c r="O1763" i="5" s="1"/>
  <c r="N1764" i="5"/>
  <c r="O1764" i="5" s="1"/>
  <c r="N1765" i="5"/>
  <c r="O1765" i="5" s="1"/>
  <c r="N1766" i="5"/>
  <c r="O1766" i="5" s="1"/>
  <c r="N1767" i="5"/>
  <c r="O1767" i="5" s="1"/>
  <c r="N1768" i="5"/>
  <c r="O1768" i="5" s="1"/>
  <c r="N1769" i="5"/>
  <c r="O1769" i="5" s="1"/>
  <c r="N1770" i="5"/>
  <c r="O1770" i="5" s="1"/>
  <c r="N1771" i="5"/>
  <c r="O1771" i="5" s="1"/>
  <c r="N1772" i="5"/>
  <c r="O1772" i="5" s="1"/>
  <c r="N1773" i="5"/>
  <c r="O1773" i="5" s="1"/>
  <c r="N1774" i="5"/>
  <c r="O1774" i="5" s="1"/>
  <c r="N1775" i="5"/>
  <c r="O1775" i="5" s="1"/>
  <c r="N1776" i="5"/>
  <c r="O1776" i="5" s="1"/>
  <c r="N1777" i="5"/>
  <c r="O1777" i="5" s="1"/>
  <c r="N1778" i="5"/>
  <c r="O1778" i="5" s="1"/>
  <c r="N1779" i="5"/>
  <c r="O1779" i="5" s="1"/>
  <c r="N1780" i="5"/>
  <c r="O1780" i="5" s="1"/>
  <c r="N1781" i="5"/>
  <c r="O1781" i="5" s="1"/>
  <c r="N1782" i="5"/>
  <c r="O1782" i="5" s="1"/>
  <c r="N1783" i="5"/>
  <c r="O1783" i="5" s="1"/>
  <c r="N1784" i="5"/>
  <c r="O1784" i="5" s="1"/>
  <c r="N1785" i="5"/>
  <c r="O1785" i="5" s="1"/>
  <c r="N1786" i="5"/>
  <c r="O1786" i="5" s="1"/>
  <c r="N1787" i="5"/>
  <c r="O1787" i="5" s="1"/>
  <c r="N1788" i="5"/>
  <c r="O1788" i="5" s="1"/>
  <c r="N1789" i="5"/>
  <c r="O1789" i="5" s="1"/>
  <c r="N1790" i="5"/>
  <c r="O1790" i="5" s="1"/>
  <c r="N1791" i="5"/>
  <c r="O1791" i="5" s="1"/>
  <c r="N1792" i="5"/>
  <c r="O1792" i="5" s="1"/>
  <c r="N1793" i="5"/>
  <c r="O1793" i="5" s="1"/>
  <c r="N1794" i="5"/>
  <c r="O1794" i="5" s="1"/>
  <c r="N1795" i="5"/>
  <c r="O1795" i="5" s="1"/>
  <c r="N1796" i="5"/>
  <c r="O1796" i="5" s="1"/>
  <c r="N1797" i="5"/>
  <c r="O1797" i="5" s="1"/>
  <c r="N1798" i="5"/>
  <c r="O1798" i="5" s="1"/>
  <c r="N1799" i="5"/>
  <c r="O1799" i="5" s="1"/>
  <c r="N1800" i="5"/>
  <c r="O1800" i="5" s="1"/>
  <c r="N1801" i="5"/>
  <c r="O1801" i="5" s="1"/>
  <c r="N1802" i="5"/>
  <c r="O1802" i="5" s="1"/>
  <c r="N1803" i="5"/>
  <c r="O1803" i="5" s="1"/>
  <c r="N1804" i="5"/>
  <c r="O1804" i="5" s="1"/>
  <c r="N1805" i="5"/>
  <c r="O1805" i="5" s="1"/>
  <c r="N1806" i="5"/>
  <c r="O1806" i="5" s="1"/>
  <c r="N1807" i="5"/>
  <c r="O1807" i="5" s="1"/>
  <c r="N1808" i="5"/>
  <c r="O1808" i="5" s="1"/>
  <c r="N1809" i="5"/>
  <c r="O1809" i="5" s="1"/>
  <c r="N1810" i="5"/>
  <c r="O1810" i="5" s="1"/>
  <c r="N1811" i="5"/>
  <c r="O1811" i="5" s="1"/>
  <c r="N1812" i="5"/>
  <c r="O1812" i="5" s="1"/>
  <c r="N1813" i="5"/>
  <c r="O1813" i="5" s="1"/>
  <c r="N1814" i="5"/>
  <c r="O1814" i="5" s="1"/>
  <c r="N1815" i="5"/>
  <c r="O1815" i="5" s="1"/>
  <c r="N1816" i="5"/>
  <c r="O1816" i="5" s="1"/>
  <c r="N1817" i="5"/>
  <c r="O1817" i="5" s="1"/>
  <c r="N1818" i="5"/>
  <c r="O1818" i="5" s="1"/>
  <c r="N1819" i="5"/>
  <c r="O1819" i="5" s="1"/>
  <c r="N1820" i="5"/>
  <c r="O1820" i="5" s="1"/>
  <c r="N1821" i="5"/>
  <c r="O1821" i="5" s="1"/>
  <c r="N1822" i="5"/>
  <c r="O1822" i="5" s="1"/>
  <c r="N1823" i="5"/>
  <c r="O1823" i="5" s="1"/>
  <c r="N1824" i="5"/>
  <c r="O1824" i="5" s="1"/>
  <c r="N1825" i="5"/>
  <c r="O1825" i="5" s="1"/>
  <c r="N1826" i="5"/>
  <c r="O1826" i="5" s="1"/>
  <c r="N1827" i="5"/>
  <c r="O1827" i="5" s="1"/>
  <c r="N1828" i="5"/>
  <c r="O1828" i="5" s="1"/>
  <c r="N1829" i="5"/>
  <c r="O1829" i="5" s="1"/>
  <c r="N1830" i="5"/>
  <c r="O1830" i="5" s="1"/>
  <c r="N1831" i="5"/>
  <c r="O1831" i="5" s="1"/>
  <c r="N1832" i="5"/>
  <c r="O1832" i="5" s="1"/>
  <c r="N1833" i="5"/>
  <c r="O1833" i="5" s="1"/>
  <c r="N1834" i="5"/>
  <c r="O1834" i="5" s="1"/>
  <c r="N1835" i="5"/>
  <c r="O1835" i="5" s="1"/>
  <c r="N1836" i="5"/>
  <c r="O1836" i="5" s="1"/>
  <c r="N1837" i="5"/>
  <c r="O1837" i="5" s="1"/>
  <c r="N1838" i="5"/>
  <c r="O1838" i="5" s="1"/>
  <c r="N1839" i="5"/>
  <c r="O1839" i="5" s="1"/>
  <c r="N1840" i="5"/>
  <c r="O1840" i="5" s="1"/>
  <c r="N1841" i="5"/>
  <c r="O1841" i="5" s="1"/>
  <c r="N1842" i="5"/>
  <c r="O1842" i="5" s="1"/>
  <c r="N1843" i="5"/>
  <c r="O1843" i="5" s="1"/>
  <c r="N1844" i="5"/>
  <c r="O1844" i="5" s="1"/>
  <c r="N1845" i="5"/>
  <c r="O1845" i="5" s="1"/>
  <c r="N1846" i="5"/>
  <c r="O1846" i="5" s="1"/>
  <c r="N1847" i="5"/>
  <c r="O1847" i="5" s="1"/>
  <c r="N1848" i="5"/>
  <c r="O1848" i="5" s="1"/>
  <c r="N1849" i="5"/>
  <c r="O1849" i="5" s="1"/>
  <c r="N1850" i="5"/>
  <c r="O1850" i="5" s="1"/>
  <c r="N1851" i="5"/>
  <c r="O1851" i="5" s="1"/>
  <c r="N1852" i="5"/>
  <c r="O1852" i="5" s="1"/>
  <c r="N1853" i="5"/>
  <c r="O1853" i="5" s="1"/>
  <c r="N1854" i="5"/>
  <c r="O1854" i="5" s="1"/>
  <c r="N1855" i="5"/>
  <c r="O1855" i="5" s="1"/>
  <c r="N1856" i="5"/>
  <c r="O1856" i="5" s="1"/>
  <c r="N1857" i="5"/>
  <c r="O1857" i="5" s="1"/>
  <c r="N1858" i="5"/>
  <c r="O1858" i="5" s="1"/>
  <c r="N1859" i="5"/>
  <c r="O1859" i="5" s="1"/>
  <c r="N1860" i="5"/>
  <c r="O1860" i="5" s="1"/>
  <c r="N1861" i="5"/>
  <c r="O1861" i="5" s="1"/>
  <c r="N1862" i="5"/>
  <c r="O1862" i="5" s="1"/>
  <c r="N1863" i="5"/>
  <c r="O1863" i="5" s="1"/>
  <c r="N1864" i="5"/>
  <c r="O1864" i="5" s="1"/>
  <c r="N1865" i="5"/>
  <c r="O1865" i="5" s="1"/>
  <c r="N1866" i="5"/>
  <c r="O1866" i="5" s="1"/>
  <c r="N1867" i="5"/>
  <c r="O1867" i="5" s="1"/>
  <c r="N1868" i="5"/>
  <c r="O1868" i="5" s="1"/>
  <c r="N1869" i="5"/>
  <c r="O1869" i="5" s="1"/>
  <c r="N1870" i="5"/>
  <c r="O1870" i="5" s="1"/>
  <c r="N1871" i="5"/>
  <c r="O1871" i="5" s="1"/>
  <c r="N1872" i="5"/>
  <c r="O1872" i="5" s="1"/>
  <c r="N1873" i="5"/>
  <c r="O1873" i="5" s="1"/>
  <c r="N1874" i="5"/>
  <c r="O1874" i="5" s="1"/>
  <c r="N1875" i="5"/>
  <c r="O1875" i="5" s="1"/>
  <c r="N1876" i="5"/>
  <c r="O1876" i="5" s="1"/>
  <c r="N1877" i="5"/>
  <c r="O1877" i="5" s="1"/>
  <c r="N1878" i="5"/>
  <c r="O1878" i="5" s="1"/>
  <c r="N1879" i="5"/>
  <c r="O1879" i="5" s="1"/>
  <c r="N1880" i="5"/>
  <c r="O1880" i="5" s="1"/>
  <c r="N1881" i="5"/>
  <c r="O1881" i="5" s="1"/>
  <c r="N1882" i="5"/>
  <c r="O1882" i="5" s="1"/>
  <c r="N1883" i="5"/>
  <c r="O1883" i="5" s="1"/>
  <c r="N1884" i="5"/>
  <c r="O1884" i="5" s="1"/>
  <c r="N1885" i="5"/>
  <c r="O1885" i="5" s="1"/>
  <c r="N1886" i="5"/>
  <c r="O1886" i="5" s="1"/>
  <c r="N1887" i="5"/>
  <c r="O1887" i="5" s="1"/>
  <c r="N1888" i="5"/>
  <c r="O1888" i="5" s="1"/>
  <c r="N1889" i="5"/>
  <c r="O1889" i="5" s="1"/>
  <c r="N1890" i="5"/>
  <c r="O1890" i="5" s="1"/>
  <c r="N1891" i="5"/>
  <c r="O1891" i="5" s="1"/>
  <c r="N1892" i="5"/>
  <c r="O1892" i="5" s="1"/>
  <c r="N1893" i="5"/>
  <c r="O1893" i="5" s="1"/>
  <c r="N1894" i="5"/>
  <c r="O1894" i="5" s="1"/>
  <c r="N1895" i="5"/>
  <c r="O1895" i="5" s="1"/>
  <c r="N1896" i="5"/>
  <c r="O1896" i="5" s="1"/>
  <c r="N1897" i="5"/>
  <c r="O1897" i="5" s="1"/>
  <c r="N1898" i="5"/>
  <c r="O1898" i="5" s="1"/>
  <c r="N1899" i="5"/>
  <c r="O1899" i="5" s="1"/>
  <c r="N1900" i="5"/>
  <c r="O1900" i="5" s="1"/>
  <c r="N1901" i="5"/>
  <c r="O1901" i="5" s="1"/>
  <c r="N1902" i="5"/>
  <c r="O1902" i="5" s="1"/>
  <c r="N1903" i="5"/>
  <c r="O1903" i="5" s="1"/>
  <c r="N1904" i="5"/>
  <c r="O1904" i="5" s="1"/>
  <c r="N1905" i="5"/>
  <c r="O1905" i="5" s="1"/>
  <c r="N1906" i="5"/>
  <c r="O1906" i="5" s="1"/>
  <c r="N1907" i="5"/>
  <c r="O1907" i="5" s="1"/>
  <c r="N1908" i="5"/>
  <c r="O1908" i="5" s="1"/>
  <c r="N1909" i="5"/>
  <c r="O1909" i="5" s="1"/>
  <c r="N1910" i="5"/>
  <c r="O1910" i="5" s="1"/>
  <c r="N1911" i="5"/>
  <c r="O1911" i="5" s="1"/>
  <c r="N1912" i="5"/>
  <c r="O1912" i="5" s="1"/>
  <c r="N1913" i="5"/>
  <c r="O1913" i="5" s="1"/>
  <c r="N1914" i="5"/>
  <c r="O1914" i="5" s="1"/>
  <c r="N1915" i="5"/>
  <c r="O1915" i="5" s="1"/>
  <c r="N1916" i="5"/>
  <c r="O1916" i="5" s="1"/>
  <c r="N1917" i="5"/>
  <c r="O1917" i="5" s="1"/>
  <c r="N1918" i="5"/>
  <c r="O1918" i="5" s="1"/>
  <c r="N1919" i="5"/>
  <c r="O1919" i="5" s="1"/>
  <c r="N1920" i="5"/>
  <c r="O1920" i="5" s="1"/>
  <c r="N1921" i="5"/>
  <c r="O1921" i="5" s="1"/>
  <c r="N1922" i="5"/>
  <c r="O1922" i="5" s="1"/>
  <c r="N1923" i="5"/>
  <c r="O1923" i="5" s="1"/>
  <c r="N1924" i="5"/>
  <c r="O1924" i="5" s="1"/>
  <c r="N1925" i="5"/>
  <c r="O1925" i="5" s="1"/>
  <c r="N1926" i="5"/>
  <c r="O1926" i="5" s="1"/>
  <c r="N1927" i="5"/>
  <c r="O1927" i="5" s="1"/>
  <c r="N1928" i="5"/>
  <c r="O1928" i="5" s="1"/>
  <c r="N1929" i="5"/>
  <c r="O1929" i="5" s="1"/>
  <c r="N1930" i="5"/>
  <c r="O1930" i="5" s="1"/>
  <c r="N1931" i="5"/>
  <c r="O1931" i="5" s="1"/>
  <c r="N1932" i="5"/>
  <c r="O1932" i="5" s="1"/>
  <c r="N1933" i="5"/>
  <c r="O1933" i="5" s="1"/>
  <c r="N1934" i="5"/>
  <c r="O1934" i="5" s="1"/>
  <c r="N1935" i="5"/>
  <c r="O1935" i="5" s="1"/>
  <c r="N1936" i="5"/>
  <c r="O1936" i="5" s="1"/>
  <c r="N1937" i="5"/>
  <c r="O1937" i="5" s="1"/>
  <c r="N1938" i="5"/>
  <c r="O1938" i="5" s="1"/>
  <c r="N1939" i="5"/>
  <c r="O1939" i="5" s="1"/>
  <c r="N1940" i="5"/>
  <c r="O1940" i="5" s="1"/>
  <c r="N1941" i="5"/>
  <c r="O1941" i="5" s="1"/>
  <c r="N1942" i="5"/>
  <c r="O1942" i="5" s="1"/>
  <c r="N1943" i="5"/>
  <c r="O1943" i="5" s="1"/>
  <c r="N1944" i="5"/>
  <c r="O1944" i="5" s="1"/>
  <c r="N1945" i="5"/>
  <c r="O1945" i="5" s="1"/>
  <c r="N1946" i="5"/>
  <c r="O1946" i="5" s="1"/>
  <c r="N1947" i="5"/>
  <c r="O1947" i="5" s="1"/>
  <c r="N1948" i="5"/>
  <c r="O1948" i="5" s="1"/>
  <c r="N1949" i="5"/>
  <c r="O1949" i="5" s="1"/>
  <c r="N1950" i="5"/>
  <c r="O1950" i="5" s="1"/>
  <c r="N1951" i="5"/>
  <c r="O1951" i="5" s="1"/>
  <c r="N1952" i="5"/>
  <c r="O1952" i="5" s="1"/>
  <c r="N1953" i="5"/>
  <c r="O1953" i="5" s="1"/>
  <c r="N1954" i="5"/>
  <c r="O1954" i="5" s="1"/>
  <c r="N1955" i="5"/>
  <c r="O1955" i="5" s="1"/>
  <c r="N1956" i="5"/>
  <c r="O1956" i="5" s="1"/>
  <c r="N1957" i="5"/>
  <c r="O1957" i="5" s="1"/>
  <c r="N1958" i="5"/>
  <c r="O1958" i="5" s="1"/>
  <c r="N1959" i="5"/>
  <c r="O1959" i="5" s="1"/>
  <c r="N1960" i="5"/>
  <c r="O1960" i="5" s="1"/>
  <c r="N1961" i="5"/>
  <c r="O1961" i="5" s="1"/>
  <c r="N1962" i="5"/>
  <c r="O1962" i="5" s="1"/>
  <c r="N1963" i="5"/>
  <c r="O1963" i="5" s="1"/>
  <c r="N1964" i="5"/>
  <c r="O1964" i="5" s="1"/>
  <c r="N1965" i="5"/>
  <c r="O1965" i="5" s="1"/>
  <c r="N1966" i="5"/>
  <c r="O1966" i="5" s="1"/>
  <c r="N1967" i="5"/>
  <c r="O1967" i="5" s="1"/>
  <c r="N1968" i="5"/>
  <c r="O1968" i="5" s="1"/>
  <c r="N1969" i="5"/>
  <c r="O1969" i="5" s="1"/>
  <c r="N1970" i="5"/>
  <c r="O1970" i="5" s="1"/>
  <c r="N1971" i="5"/>
  <c r="O1971" i="5" s="1"/>
  <c r="N1972" i="5"/>
  <c r="O1972" i="5" s="1"/>
  <c r="N1973" i="5"/>
  <c r="O1973" i="5" s="1"/>
  <c r="N1974" i="5"/>
  <c r="O1974" i="5" s="1"/>
  <c r="N1975" i="5"/>
  <c r="O1975" i="5" s="1"/>
  <c r="N1976" i="5"/>
  <c r="O1976" i="5" s="1"/>
  <c r="N1977" i="5"/>
  <c r="O1977" i="5" s="1"/>
  <c r="N1978" i="5"/>
  <c r="O1978" i="5" s="1"/>
  <c r="N1979" i="5"/>
  <c r="O1979" i="5" s="1"/>
  <c r="N1980" i="5"/>
  <c r="O1980" i="5" s="1"/>
  <c r="N1981" i="5"/>
  <c r="O1981" i="5" s="1"/>
  <c r="N1982" i="5"/>
  <c r="O1982" i="5" s="1"/>
  <c r="N1983" i="5"/>
  <c r="O1983" i="5" s="1"/>
  <c r="N1984" i="5"/>
  <c r="O1984" i="5" s="1"/>
  <c r="N1985" i="5"/>
  <c r="O1985" i="5" s="1"/>
  <c r="N1986" i="5"/>
  <c r="O1986" i="5" s="1"/>
  <c r="N1987" i="5"/>
  <c r="O1987" i="5" s="1"/>
  <c r="N1988" i="5"/>
  <c r="O1988" i="5" s="1"/>
  <c r="N1989" i="5"/>
  <c r="O1989" i="5" s="1"/>
  <c r="N1990" i="5"/>
  <c r="O1990" i="5" s="1"/>
  <c r="N1991" i="5"/>
  <c r="O1991" i="5" s="1"/>
  <c r="N1992" i="5"/>
  <c r="O1992" i="5" s="1"/>
  <c r="N1993" i="5"/>
  <c r="O1993" i="5" s="1"/>
  <c r="N1994" i="5"/>
  <c r="O1994" i="5" s="1"/>
  <c r="N1995" i="5"/>
  <c r="O1995" i="5" s="1"/>
  <c r="N1996" i="5"/>
  <c r="O1996" i="5" s="1"/>
  <c r="N1997" i="5"/>
  <c r="O1997" i="5" s="1"/>
  <c r="N1998" i="5"/>
  <c r="O1998" i="5" s="1"/>
  <c r="N1999" i="5"/>
  <c r="O1999" i="5" s="1"/>
  <c r="N2000" i="5"/>
  <c r="O2000" i="5" s="1"/>
  <c r="N2001" i="5"/>
  <c r="O2001" i="5" s="1"/>
  <c r="N2002" i="5"/>
  <c r="O2002" i="5" s="1"/>
  <c r="N2003" i="5"/>
  <c r="O2003" i="5" s="1"/>
  <c r="N2004" i="5"/>
  <c r="O2004" i="5" s="1"/>
  <c r="N2005" i="5"/>
  <c r="O2005" i="5" s="1"/>
  <c r="N2006" i="5"/>
  <c r="O2006" i="5" s="1"/>
  <c r="N2007" i="5"/>
  <c r="O2007" i="5" s="1"/>
  <c r="N2008" i="5"/>
  <c r="O2008" i="5" s="1"/>
  <c r="N2009" i="5"/>
  <c r="O2009" i="5" s="1"/>
  <c r="N2010" i="5"/>
  <c r="O2010" i="5" s="1"/>
  <c r="N2011" i="5"/>
  <c r="O2011" i="5" s="1"/>
  <c r="N2012" i="5"/>
  <c r="O2012" i="5" s="1"/>
  <c r="N2013" i="5"/>
  <c r="O2013" i="5" s="1"/>
  <c r="N2014" i="5"/>
  <c r="O2014" i="5" s="1"/>
  <c r="N2015" i="5"/>
  <c r="O2015" i="5" s="1"/>
  <c r="N2016" i="5"/>
  <c r="O2016" i="5" s="1"/>
  <c r="N2017" i="5"/>
  <c r="O2017" i="5" s="1"/>
  <c r="N2018" i="5"/>
  <c r="O2018" i="5" s="1"/>
  <c r="N2019" i="5"/>
  <c r="O2019" i="5" s="1"/>
  <c r="N2020" i="5"/>
  <c r="O2020" i="5" s="1"/>
  <c r="N2021" i="5"/>
  <c r="O2021" i="5" s="1"/>
  <c r="N2022" i="5"/>
  <c r="O2022" i="5" s="1"/>
  <c r="N2023" i="5"/>
  <c r="O2023" i="5" s="1"/>
  <c r="N2024" i="5"/>
  <c r="O2024" i="5" s="1"/>
  <c r="N2025" i="5"/>
  <c r="O2025" i="5" s="1"/>
  <c r="N2026" i="5"/>
  <c r="O2026" i="5" s="1"/>
  <c r="N2027" i="5"/>
  <c r="O2027" i="5" s="1"/>
  <c r="N2028" i="5"/>
  <c r="O2028" i="5" s="1"/>
  <c r="N2029" i="5"/>
  <c r="O2029" i="5" s="1"/>
  <c r="N2030" i="5"/>
  <c r="O2030" i="5" s="1"/>
  <c r="N2031" i="5"/>
  <c r="O2031" i="5" s="1"/>
  <c r="N2032" i="5"/>
  <c r="O2032" i="5" s="1"/>
  <c r="N2033" i="5"/>
  <c r="O2033" i="5" s="1"/>
  <c r="N2034" i="5"/>
  <c r="O2034" i="5" s="1"/>
  <c r="N2035" i="5"/>
  <c r="O2035" i="5" s="1"/>
  <c r="N2036" i="5"/>
  <c r="O2036" i="5" s="1"/>
  <c r="N2037" i="5"/>
  <c r="O2037" i="5" s="1"/>
  <c r="N2038" i="5"/>
  <c r="O2038" i="5" s="1"/>
  <c r="N2039" i="5"/>
  <c r="O2039" i="5" s="1"/>
  <c r="N2040" i="5"/>
  <c r="O2040" i="5" s="1"/>
  <c r="N2041" i="5"/>
  <c r="O2041" i="5" s="1"/>
  <c r="N2042" i="5"/>
  <c r="O2042" i="5" s="1"/>
  <c r="N2043" i="5"/>
  <c r="O2043" i="5" s="1"/>
  <c r="N2044" i="5"/>
  <c r="O2044" i="5" s="1"/>
  <c r="N2045" i="5"/>
  <c r="O2045" i="5" s="1"/>
  <c r="N2046" i="5"/>
  <c r="O2046" i="5" s="1"/>
  <c r="N2047" i="5"/>
  <c r="O2047" i="5" s="1"/>
  <c r="N2048" i="5"/>
  <c r="O2048" i="5" s="1"/>
  <c r="N2049" i="5"/>
  <c r="O2049" i="5" s="1"/>
  <c r="N2050" i="5"/>
  <c r="O2050" i="5" s="1"/>
  <c r="N2051" i="5"/>
  <c r="O2051" i="5" s="1"/>
  <c r="N2052" i="5"/>
  <c r="O2052" i="5" s="1"/>
  <c r="N2053" i="5"/>
  <c r="O2053" i="5" s="1"/>
  <c r="N2054" i="5"/>
  <c r="O2054" i="5" s="1"/>
  <c r="N2055" i="5"/>
  <c r="O2055" i="5" s="1"/>
  <c r="N2056" i="5"/>
  <c r="O2056" i="5" s="1"/>
  <c r="N2057" i="5"/>
  <c r="O2057" i="5" s="1"/>
  <c r="N2058" i="5"/>
  <c r="O2058" i="5" s="1"/>
  <c r="N2059" i="5"/>
  <c r="O2059" i="5" s="1"/>
  <c r="N2060" i="5"/>
  <c r="O2060" i="5" s="1"/>
  <c r="N2061" i="5"/>
  <c r="O2061" i="5" s="1"/>
  <c r="N2062" i="5"/>
  <c r="O2062" i="5" s="1"/>
  <c r="N2063" i="5"/>
  <c r="O2063" i="5" s="1"/>
  <c r="N2064" i="5"/>
  <c r="O2064" i="5" s="1"/>
  <c r="N2065" i="5"/>
  <c r="O2065" i="5" s="1"/>
  <c r="N2066" i="5"/>
  <c r="O2066" i="5" s="1"/>
  <c r="N2067" i="5"/>
  <c r="O2067" i="5" s="1"/>
  <c r="N2068" i="5"/>
  <c r="O2068" i="5" s="1"/>
  <c r="N2069" i="5"/>
  <c r="O2069" i="5" s="1"/>
  <c r="N2070" i="5"/>
  <c r="O2070" i="5" s="1"/>
  <c r="N2071" i="5"/>
  <c r="O2071" i="5" s="1"/>
  <c r="N2072" i="5"/>
  <c r="O2072" i="5" s="1"/>
  <c r="N2073" i="5"/>
  <c r="O2073" i="5" s="1"/>
  <c r="N2074" i="5"/>
  <c r="O2074" i="5" s="1"/>
  <c r="N2075" i="5"/>
  <c r="O2075" i="5" s="1"/>
  <c r="N2076" i="5"/>
  <c r="O2076" i="5" s="1"/>
  <c r="N2077" i="5"/>
  <c r="O2077" i="5" s="1"/>
  <c r="N2078" i="5"/>
  <c r="O2078" i="5" s="1"/>
  <c r="N2079" i="5"/>
  <c r="O2079" i="5" s="1"/>
  <c r="N2080" i="5"/>
  <c r="O2080" i="5" s="1"/>
  <c r="N2081" i="5"/>
  <c r="O2081" i="5" s="1"/>
  <c r="N2082" i="5"/>
  <c r="O2082" i="5" s="1"/>
  <c r="N2083" i="5"/>
  <c r="O2083" i="5" s="1"/>
  <c r="N2084" i="5"/>
  <c r="O2084" i="5" s="1"/>
  <c r="N2085" i="5"/>
  <c r="O2085" i="5" s="1"/>
  <c r="N2086" i="5"/>
  <c r="O2086" i="5" s="1"/>
  <c r="N2087" i="5"/>
  <c r="O2087" i="5" s="1"/>
  <c r="N2088" i="5"/>
  <c r="O2088" i="5" s="1"/>
  <c r="N2089" i="5"/>
  <c r="O2089" i="5" s="1"/>
  <c r="N2090" i="5"/>
  <c r="O2090" i="5" s="1"/>
  <c r="N2091" i="5"/>
  <c r="O2091" i="5" s="1"/>
  <c r="N2092" i="5"/>
  <c r="O2092" i="5" s="1"/>
  <c r="N2093" i="5"/>
  <c r="O2093" i="5" s="1"/>
  <c r="N2094" i="5"/>
  <c r="O2094" i="5" s="1"/>
  <c r="N2095" i="5"/>
  <c r="O2095" i="5" s="1"/>
  <c r="N2096" i="5"/>
  <c r="O2096" i="5" s="1"/>
  <c r="N2097" i="5"/>
  <c r="O2097" i="5" s="1"/>
  <c r="N2098" i="5"/>
  <c r="O2098" i="5" s="1"/>
  <c r="N2099" i="5"/>
  <c r="O2099" i="5" s="1"/>
  <c r="N2100" i="5"/>
  <c r="O2100" i="5" s="1"/>
  <c r="N2101" i="5"/>
  <c r="O2101" i="5" s="1"/>
  <c r="N2102" i="5"/>
  <c r="O2102" i="5" s="1"/>
  <c r="N2103" i="5"/>
  <c r="O2103" i="5" s="1"/>
  <c r="N2104" i="5"/>
  <c r="O2104" i="5" s="1"/>
  <c r="N2105" i="5"/>
  <c r="O2105" i="5" s="1"/>
  <c r="N2106" i="5"/>
  <c r="O2106" i="5" s="1"/>
  <c r="N2107" i="5"/>
  <c r="O2107" i="5" s="1"/>
  <c r="N2108" i="5"/>
  <c r="O2108" i="5" s="1"/>
  <c r="N2109" i="5"/>
  <c r="O2109" i="5" s="1"/>
  <c r="N2110" i="5"/>
  <c r="O2110" i="5" s="1"/>
  <c r="N2111" i="5"/>
  <c r="O2111" i="5" s="1"/>
  <c r="N2112" i="5"/>
  <c r="O2112" i="5" s="1"/>
  <c r="N2113" i="5"/>
  <c r="O2113" i="5" s="1"/>
  <c r="N2114" i="5"/>
  <c r="O2114" i="5" s="1"/>
  <c r="N2115" i="5"/>
  <c r="O2115" i="5" s="1"/>
  <c r="N2116" i="5"/>
  <c r="O2116" i="5" s="1"/>
  <c r="N2117" i="5"/>
  <c r="O2117" i="5" s="1"/>
  <c r="N2118" i="5"/>
  <c r="O2118" i="5" s="1"/>
  <c r="N2119" i="5"/>
  <c r="O2119" i="5" s="1"/>
  <c r="N2120" i="5"/>
  <c r="O2120" i="5" s="1"/>
  <c r="N2121" i="5"/>
  <c r="O2121" i="5" s="1"/>
  <c r="N2122" i="5"/>
  <c r="O2122" i="5" s="1"/>
  <c r="N2123" i="5"/>
  <c r="O2123" i="5" s="1"/>
  <c r="N2124" i="5"/>
  <c r="O2124" i="5" s="1"/>
  <c r="N2125" i="5"/>
  <c r="O2125" i="5" s="1"/>
  <c r="N2126" i="5"/>
  <c r="O2126" i="5" s="1"/>
  <c r="N2127" i="5"/>
  <c r="O2127" i="5" s="1"/>
  <c r="N2128" i="5"/>
  <c r="O2128" i="5" s="1"/>
  <c r="N2129" i="5"/>
  <c r="O2129" i="5" s="1"/>
  <c r="N2130" i="5"/>
  <c r="O2130" i="5" s="1"/>
  <c r="N2131" i="5"/>
  <c r="O2131" i="5" s="1"/>
  <c r="N2132" i="5"/>
  <c r="O2132" i="5" s="1"/>
  <c r="N2133" i="5"/>
  <c r="O2133" i="5" s="1"/>
  <c r="N2134" i="5"/>
  <c r="O2134" i="5" s="1"/>
  <c r="N2135" i="5"/>
  <c r="O2135" i="5" s="1"/>
  <c r="N2136" i="5"/>
  <c r="O2136" i="5" s="1"/>
  <c r="N2137" i="5"/>
  <c r="O2137" i="5" s="1"/>
  <c r="N2138" i="5"/>
  <c r="O2138" i="5" s="1"/>
  <c r="N2139" i="5"/>
  <c r="O2139" i="5" s="1"/>
  <c r="N2140" i="5"/>
  <c r="O2140" i="5" s="1"/>
  <c r="N2141" i="5"/>
  <c r="O2141" i="5" s="1"/>
  <c r="N2142" i="5"/>
  <c r="O2142" i="5" s="1"/>
  <c r="N2143" i="5"/>
  <c r="O2143" i="5" s="1"/>
  <c r="N2144" i="5"/>
  <c r="O2144" i="5" s="1"/>
  <c r="N2145" i="5"/>
  <c r="O2145" i="5" s="1"/>
  <c r="N2146" i="5"/>
  <c r="O2146" i="5" s="1"/>
  <c r="N2147" i="5"/>
  <c r="O2147" i="5" s="1"/>
  <c r="N2148" i="5"/>
  <c r="O2148" i="5" s="1"/>
  <c r="N2149" i="5"/>
  <c r="O2149" i="5" s="1"/>
  <c r="N2150" i="5"/>
  <c r="O2150" i="5" s="1"/>
  <c r="N2151" i="5"/>
  <c r="O2151" i="5" s="1"/>
  <c r="N2152" i="5"/>
  <c r="O2152" i="5" s="1"/>
  <c r="N2153" i="5"/>
  <c r="O2153" i="5" s="1"/>
  <c r="N2154" i="5"/>
  <c r="O2154" i="5" s="1"/>
  <c r="N2155" i="5"/>
  <c r="O2155" i="5" s="1"/>
  <c r="N2156" i="5"/>
  <c r="O2156" i="5" s="1"/>
  <c r="N2157" i="5"/>
  <c r="O2157" i="5" s="1"/>
  <c r="N2158" i="5"/>
  <c r="O2158" i="5" s="1"/>
  <c r="N2159" i="5"/>
  <c r="O2159" i="5" s="1"/>
  <c r="N2160" i="5"/>
  <c r="O2160" i="5" s="1"/>
  <c r="N2161" i="5"/>
  <c r="O2161" i="5" s="1"/>
  <c r="N2162" i="5"/>
  <c r="O2162" i="5" s="1"/>
  <c r="N2163" i="5"/>
  <c r="O2163" i="5" s="1"/>
  <c r="N2164" i="5"/>
  <c r="O2164" i="5" s="1"/>
  <c r="N2165" i="5"/>
  <c r="O2165" i="5" s="1"/>
  <c r="N2166" i="5"/>
  <c r="O2166" i="5" s="1"/>
  <c r="N2167" i="5"/>
  <c r="O2167" i="5" s="1"/>
  <c r="N2168" i="5"/>
  <c r="O2168" i="5" s="1"/>
  <c r="N2169" i="5"/>
  <c r="O2169" i="5" s="1"/>
  <c r="N2170" i="5"/>
  <c r="O2170" i="5" s="1"/>
  <c r="N2171" i="5"/>
  <c r="O2171" i="5" s="1"/>
  <c r="N2172" i="5"/>
  <c r="O2172" i="5" s="1"/>
  <c r="N2173" i="5"/>
  <c r="O2173" i="5" s="1"/>
  <c r="N2174" i="5"/>
  <c r="O2174" i="5" s="1"/>
  <c r="N2175" i="5"/>
  <c r="O2175" i="5" s="1"/>
  <c r="N2176" i="5"/>
  <c r="O2176" i="5" s="1"/>
  <c r="N2177" i="5"/>
  <c r="O2177" i="5" s="1"/>
  <c r="N2178" i="5"/>
  <c r="O2178" i="5" s="1"/>
  <c r="N2179" i="5"/>
  <c r="O2179" i="5" s="1"/>
  <c r="N2180" i="5"/>
  <c r="O2180" i="5" s="1"/>
  <c r="N2181" i="5"/>
  <c r="O2181" i="5" s="1"/>
  <c r="N2182" i="5"/>
  <c r="O2182" i="5" s="1"/>
  <c r="N2183" i="5"/>
  <c r="O2183" i="5" s="1"/>
  <c r="N2184" i="5"/>
  <c r="O2184" i="5" s="1"/>
  <c r="N2185" i="5"/>
  <c r="O2185" i="5" s="1"/>
  <c r="N2186" i="5"/>
  <c r="O2186" i="5" s="1"/>
  <c r="N2187" i="5"/>
  <c r="O2187" i="5" s="1"/>
  <c r="N2188" i="5"/>
  <c r="O2188" i="5" s="1"/>
  <c r="N2189" i="5"/>
  <c r="O2189" i="5" s="1"/>
  <c r="N2190" i="5"/>
  <c r="O2190" i="5" s="1"/>
  <c r="N2191" i="5"/>
  <c r="O2191" i="5" s="1"/>
  <c r="N2192" i="5"/>
  <c r="O2192" i="5" s="1"/>
  <c r="N2193" i="5"/>
  <c r="O2193" i="5" s="1"/>
  <c r="N2194" i="5"/>
  <c r="O2194" i="5" s="1"/>
  <c r="N2195" i="5"/>
  <c r="O2195" i="5" s="1"/>
  <c r="N2196" i="5"/>
  <c r="O2196" i="5" s="1"/>
  <c r="N2197" i="5"/>
  <c r="O2197" i="5" s="1"/>
  <c r="N2198" i="5"/>
  <c r="O2198" i="5" s="1"/>
  <c r="N2199" i="5"/>
  <c r="O2199" i="5" s="1"/>
  <c r="N2200" i="5"/>
  <c r="O2200" i="5" s="1"/>
  <c r="N2201" i="5"/>
  <c r="O2201" i="5" s="1"/>
  <c r="N2202" i="5"/>
  <c r="O2202" i="5" s="1"/>
  <c r="N2203" i="5"/>
  <c r="O2203" i="5" s="1"/>
  <c r="N2204" i="5"/>
  <c r="O2204" i="5" s="1"/>
  <c r="N2205" i="5"/>
  <c r="O2205" i="5" s="1"/>
  <c r="N2206" i="5"/>
  <c r="O2206" i="5" s="1"/>
  <c r="N2207" i="5"/>
  <c r="O2207" i="5" s="1"/>
  <c r="N2208" i="5"/>
  <c r="O2208" i="5" s="1"/>
  <c r="N2209" i="5"/>
  <c r="O2209" i="5" s="1"/>
  <c r="N2210" i="5"/>
  <c r="O2210" i="5" s="1"/>
  <c r="N2211" i="5"/>
  <c r="O2211" i="5" s="1"/>
  <c r="N2212" i="5"/>
  <c r="O2212" i="5" s="1"/>
  <c r="N2213" i="5"/>
  <c r="O2213" i="5" s="1"/>
  <c r="N2214" i="5"/>
  <c r="O2214" i="5" s="1"/>
  <c r="N2215" i="5"/>
  <c r="O2215" i="5" s="1"/>
  <c r="N2216" i="5"/>
  <c r="O2216" i="5" s="1"/>
  <c r="N2217" i="5"/>
  <c r="O2217" i="5" s="1"/>
  <c r="N2218" i="5"/>
  <c r="O2218" i="5" s="1"/>
  <c r="N2219" i="5"/>
  <c r="O2219" i="5" s="1"/>
  <c r="N2220" i="5"/>
  <c r="O2220" i="5" s="1"/>
  <c r="N2221" i="5"/>
  <c r="O2221" i="5" s="1"/>
  <c r="N2222" i="5"/>
  <c r="O2222" i="5" s="1"/>
  <c r="N2223" i="5"/>
  <c r="O2223" i="5" s="1"/>
  <c r="N2224" i="5"/>
  <c r="O2224" i="5" s="1"/>
  <c r="N2225" i="5"/>
  <c r="O2225" i="5" s="1"/>
  <c r="N2226" i="5"/>
  <c r="O2226" i="5" s="1"/>
  <c r="N2227" i="5"/>
  <c r="O2227" i="5" s="1"/>
  <c r="N2228" i="5"/>
  <c r="O2228" i="5" s="1"/>
  <c r="N2229" i="5"/>
  <c r="O2229" i="5" s="1"/>
  <c r="N2230" i="5"/>
  <c r="O2230" i="5" s="1"/>
  <c r="N2231" i="5"/>
  <c r="O2231" i="5" s="1"/>
  <c r="N2232" i="5"/>
  <c r="O2232" i="5" s="1"/>
  <c r="N2233" i="5"/>
  <c r="O2233" i="5" s="1"/>
  <c r="N2234" i="5"/>
  <c r="O2234" i="5" s="1"/>
  <c r="N2235" i="5"/>
  <c r="O2235" i="5" s="1"/>
  <c r="N2236" i="5"/>
  <c r="O2236" i="5" s="1"/>
  <c r="N2237" i="5"/>
  <c r="O2237" i="5" s="1"/>
  <c r="N2238" i="5"/>
  <c r="O2238" i="5" s="1"/>
  <c r="N2239" i="5"/>
  <c r="O2239" i="5" s="1"/>
  <c r="N2240" i="5"/>
  <c r="O2240" i="5" s="1"/>
  <c r="N2241" i="5"/>
  <c r="O2241" i="5" s="1"/>
  <c r="N2242" i="5"/>
  <c r="O2242" i="5" s="1"/>
  <c r="N2243" i="5"/>
  <c r="O2243" i="5" s="1"/>
  <c r="N2244" i="5"/>
  <c r="O2244" i="5" s="1"/>
  <c r="N2245" i="5"/>
  <c r="O2245" i="5" s="1"/>
  <c r="N2246" i="5"/>
  <c r="O2246" i="5" s="1"/>
  <c r="N2247" i="5"/>
  <c r="O2247" i="5" s="1"/>
  <c r="N2248" i="5"/>
  <c r="O2248" i="5" s="1"/>
  <c r="N2249" i="5"/>
  <c r="O2249" i="5" s="1"/>
  <c r="N2250" i="5"/>
  <c r="O2250" i="5" s="1"/>
  <c r="N2251" i="5"/>
  <c r="O2251" i="5" s="1"/>
  <c r="N2252" i="5"/>
  <c r="O2252" i="5" s="1"/>
  <c r="N2253" i="5"/>
  <c r="O2253" i="5" s="1"/>
  <c r="N2254" i="5"/>
  <c r="O2254" i="5" s="1"/>
  <c r="N2255" i="5"/>
  <c r="O2255" i="5" s="1"/>
  <c r="N2256" i="5"/>
  <c r="O2256" i="5" s="1"/>
  <c r="N2257" i="5"/>
  <c r="O2257" i="5" s="1"/>
  <c r="N2258" i="5"/>
  <c r="O2258" i="5" s="1"/>
  <c r="N2259" i="5"/>
  <c r="O2259" i="5" s="1"/>
  <c r="N2260" i="5"/>
  <c r="O2260" i="5" s="1"/>
  <c r="N2261" i="5"/>
  <c r="O2261" i="5" s="1"/>
  <c r="N2262" i="5"/>
  <c r="O2262" i="5" s="1"/>
  <c r="N2263" i="5"/>
  <c r="O2263" i="5" s="1"/>
  <c r="N2264" i="5"/>
  <c r="O2264" i="5" s="1"/>
  <c r="N2265" i="5"/>
  <c r="O2265" i="5" s="1"/>
  <c r="N2266" i="5"/>
  <c r="O2266" i="5" s="1"/>
  <c r="N2267" i="5"/>
  <c r="O2267" i="5" s="1"/>
  <c r="N2268" i="5"/>
  <c r="O2268" i="5" s="1"/>
  <c r="N2269" i="5"/>
  <c r="O2269" i="5" s="1"/>
  <c r="N2270" i="5"/>
  <c r="O2270" i="5" s="1"/>
  <c r="N2271" i="5"/>
  <c r="O2271" i="5" s="1"/>
  <c r="N2272" i="5"/>
  <c r="O2272" i="5" s="1"/>
  <c r="N2273" i="5"/>
  <c r="O2273" i="5" s="1"/>
  <c r="N2274" i="5"/>
  <c r="O2274" i="5" s="1"/>
  <c r="N2275" i="5"/>
  <c r="O2275" i="5" s="1"/>
  <c r="N2276" i="5"/>
  <c r="O2276" i="5" s="1"/>
  <c r="N2277" i="5"/>
  <c r="O2277" i="5" s="1"/>
  <c r="N2278" i="5"/>
  <c r="O2278" i="5" s="1"/>
  <c r="N2279" i="5"/>
  <c r="O2279" i="5" s="1"/>
  <c r="N2280" i="5"/>
  <c r="O2280" i="5" s="1"/>
  <c r="N2281" i="5"/>
  <c r="O2281" i="5" s="1"/>
  <c r="N2282" i="5"/>
  <c r="O2282" i="5" s="1"/>
  <c r="N2283" i="5"/>
  <c r="O2283" i="5" s="1"/>
  <c r="N2284" i="5"/>
  <c r="O2284" i="5" s="1"/>
  <c r="N2285" i="5"/>
  <c r="O2285" i="5" s="1"/>
  <c r="N2286" i="5"/>
  <c r="O2286" i="5" s="1"/>
  <c r="N2287" i="5"/>
  <c r="O2287" i="5" s="1"/>
  <c r="N2288" i="5"/>
  <c r="O2288" i="5" s="1"/>
  <c r="N2289" i="5"/>
  <c r="O2289" i="5" s="1"/>
  <c r="N2290" i="5"/>
  <c r="O2290" i="5" s="1"/>
  <c r="N2291" i="5"/>
  <c r="O2291" i="5" s="1"/>
  <c r="N2292" i="5"/>
  <c r="O2292" i="5" s="1"/>
  <c r="N2293" i="5"/>
  <c r="O2293" i="5" s="1"/>
  <c r="N2294" i="5"/>
  <c r="O2294" i="5" s="1"/>
  <c r="N2295" i="5"/>
  <c r="O2295" i="5" s="1"/>
  <c r="N2296" i="5"/>
  <c r="O2296" i="5" s="1"/>
  <c r="N2297" i="5"/>
  <c r="O2297" i="5" s="1"/>
  <c r="N2298" i="5"/>
  <c r="O2298" i="5" s="1"/>
  <c r="N2299" i="5"/>
  <c r="O2299" i="5" s="1"/>
  <c r="N2300" i="5"/>
  <c r="O2300" i="5" s="1"/>
  <c r="N2301" i="5"/>
  <c r="O2301" i="5" s="1"/>
  <c r="N2302" i="5"/>
  <c r="O2302" i="5" s="1"/>
  <c r="N2303" i="5"/>
  <c r="O2303" i="5" s="1"/>
  <c r="N2304" i="5"/>
  <c r="O2304" i="5" s="1"/>
  <c r="N2305" i="5"/>
  <c r="O2305" i="5" s="1"/>
  <c r="N2306" i="5"/>
  <c r="O2306" i="5" s="1"/>
  <c r="N2307" i="5"/>
  <c r="O2307" i="5" s="1"/>
  <c r="N2308" i="5"/>
  <c r="O2308" i="5" s="1"/>
  <c r="N2309" i="5"/>
  <c r="O2309" i="5" s="1"/>
  <c r="N2310" i="5"/>
  <c r="O2310" i="5" s="1"/>
  <c r="N2311" i="5"/>
  <c r="O2311" i="5" s="1"/>
  <c r="N2312" i="5"/>
  <c r="O2312" i="5" s="1"/>
  <c r="N2313" i="5"/>
  <c r="O2313" i="5" s="1"/>
  <c r="N2314" i="5"/>
  <c r="O2314" i="5" s="1"/>
  <c r="N2315" i="5"/>
  <c r="O2315" i="5" s="1"/>
  <c r="N2316" i="5"/>
  <c r="O2316" i="5" s="1"/>
  <c r="N2317" i="5"/>
  <c r="O2317" i="5" s="1"/>
  <c r="N2318" i="5"/>
  <c r="O2318" i="5" s="1"/>
  <c r="N2319" i="5"/>
  <c r="O2319" i="5" s="1"/>
  <c r="N2320" i="5"/>
  <c r="O2320" i="5" s="1"/>
  <c r="N2321" i="5"/>
  <c r="O2321" i="5" s="1"/>
  <c r="N2322" i="5"/>
  <c r="O2322" i="5" s="1"/>
  <c r="N2323" i="5"/>
  <c r="O2323" i="5" s="1"/>
  <c r="N2324" i="5"/>
  <c r="O2324" i="5" s="1"/>
  <c r="N2325" i="5"/>
  <c r="O2325" i="5" s="1"/>
  <c r="N2326" i="5"/>
  <c r="O2326" i="5" s="1"/>
  <c r="N2327" i="5"/>
  <c r="O2327" i="5" s="1"/>
  <c r="N2328" i="5"/>
  <c r="O2328" i="5" s="1"/>
  <c r="N2329" i="5"/>
  <c r="O2329" i="5" s="1"/>
  <c r="N2330" i="5"/>
  <c r="O2330" i="5" s="1"/>
  <c r="N2331" i="5"/>
  <c r="O2331" i="5" s="1"/>
  <c r="N2332" i="5"/>
  <c r="O2332" i="5" s="1"/>
  <c r="N2333" i="5"/>
  <c r="O2333" i="5" s="1"/>
  <c r="N2334" i="5"/>
  <c r="O2334" i="5" s="1"/>
  <c r="N2335" i="5"/>
  <c r="O2335" i="5" s="1"/>
  <c r="N2336" i="5"/>
  <c r="O2336" i="5" s="1"/>
  <c r="N2337" i="5"/>
  <c r="O2337" i="5" s="1"/>
  <c r="N2338" i="5"/>
  <c r="O2338" i="5" s="1"/>
  <c r="N2339" i="5"/>
  <c r="O2339" i="5" s="1"/>
  <c r="N2340" i="5"/>
  <c r="O2340" i="5" s="1"/>
  <c r="N2341" i="5"/>
  <c r="O2341" i="5" s="1"/>
  <c r="N2342" i="5"/>
  <c r="O2342" i="5" s="1"/>
  <c r="N2343" i="5"/>
  <c r="O2343" i="5" s="1"/>
  <c r="N2344" i="5"/>
  <c r="O2344" i="5" s="1"/>
  <c r="N2345" i="5"/>
  <c r="O2345" i="5" s="1"/>
  <c r="N2346" i="5"/>
  <c r="O2346" i="5" s="1"/>
  <c r="N2347" i="5"/>
  <c r="O2347" i="5" s="1"/>
  <c r="N2348" i="5"/>
  <c r="O2348" i="5" s="1"/>
  <c r="N2349" i="5"/>
  <c r="O2349" i="5" s="1"/>
  <c r="N2350" i="5"/>
  <c r="O2350" i="5" s="1"/>
  <c r="N2351" i="5"/>
  <c r="O2351" i="5" s="1"/>
  <c r="N2352" i="5"/>
  <c r="O2352" i="5" s="1"/>
  <c r="N2353" i="5"/>
  <c r="O2353" i="5" s="1"/>
  <c r="N2354" i="5"/>
  <c r="O2354" i="5" s="1"/>
  <c r="N2355" i="5"/>
  <c r="O2355" i="5" s="1"/>
  <c r="N2356" i="5"/>
  <c r="O2356" i="5" s="1"/>
  <c r="N2357" i="5"/>
  <c r="O2357" i="5" s="1"/>
  <c r="N2358" i="5"/>
  <c r="O2358" i="5" s="1"/>
  <c r="N2359" i="5"/>
  <c r="O2359" i="5" s="1"/>
  <c r="N2360" i="5"/>
  <c r="O2360" i="5" s="1"/>
  <c r="N2361" i="5"/>
  <c r="O2361" i="5" s="1"/>
  <c r="N2362" i="5"/>
  <c r="O2362" i="5" s="1"/>
  <c r="N2363" i="5"/>
  <c r="O2363" i="5" s="1"/>
  <c r="N2364" i="5"/>
  <c r="O2364" i="5" s="1"/>
  <c r="N2365" i="5"/>
  <c r="O2365" i="5" s="1"/>
  <c r="N2366" i="5"/>
  <c r="O2366" i="5" s="1"/>
  <c r="N2367" i="5"/>
  <c r="O2367" i="5" s="1"/>
  <c r="N2368" i="5"/>
  <c r="O2368" i="5" s="1"/>
  <c r="N2369" i="5"/>
  <c r="O2369" i="5" s="1"/>
  <c r="N2370" i="5"/>
  <c r="O2370" i="5" s="1"/>
  <c r="N2371" i="5"/>
  <c r="O2371" i="5" s="1"/>
  <c r="N2372" i="5"/>
  <c r="O2372" i="5" s="1"/>
  <c r="N2373" i="5"/>
  <c r="O2373" i="5" s="1"/>
  <c r="N2374" i="5"/>
  <c r="O2374" i="5" s="1"/>
  <c r="N2375" i="5"/>
  <c r="O2375" i="5" s="1"/>
  <c r="N2376" i="5"/>
  <c r="O2376" i="5" s="1"/>
  <c r="N2377" i="5"/>
  <c r="O2377" i="5" s="1"/>
  <c r="N2378" i="5"/>
  <c r="O2378" i="5" s="1"/>
  <c r="N2379" i="5"/>
  <c r="O2379" i="5" s="1"/>
  <c r="N2380" i="5"/>
  <c r="O2380" i="5" s="1"/>
  <c r="N2381" i="5"/>
  <c r="O2381" i="5" s="1"/>
  <c r="N2382" i="5"/>
  <c r="O2382" i="5" s="1"/>
  <c r="N2383" i="5"/>
  <c r="O2383" i="5" s="1"/>
  <c r="N2384" i="5"/>
  <c r="O2384" i="5" s="1"/>
  <c r="N2385" i="5"/>
  <c r="O2385" i="5" s="1"/>
  <c r="N2386" i="5"/>
  <c r="O2386" i="5" s="1"/>
  <c r="N2387" i="5"/>
  <c r="O2387" i="5" s="1"/>
  <c r="N2388" i="5"/>
  <c r="O2388" i="5" s="1"/>
  <c r="N2389" i="5"/>
  <c r="O2389" i="5" s="1"/>
  <c r="N2390" i="5"/>
  <c r="O2390" i="5" s="1"/>
  <c r="N2391" i="5"/>
  <c r="O2391" i="5" s="1"/>
  <c r="N2392" i="5"/>
  <c r="O2392" i="5" s="1"/>
  <c r="N2393" i="5"/>
  <c r="O2393" i="5" s="1"/>
  <c r="N2394" i="5"/>
  <c r="O2394" i="5" s="1"/>
  <c r="N2395" i="5"/>
  <c r="O2395" i="5" s="1"/>
  <c r="N2396" i="5"/>
  <c r="O2396" i="5" s="1"/>
  <c r="N2397" i="5"/>
  <c r="O2397" i="5" s="1"/>
  <c r="N2398" i="5"/>
  <c r="O2398" i="5" s="1"/>
  <c r="N2399" i="5"/>
  <c r="O2399" i="5" s="1"/>
  <c r="N2400" i="5"/>
  <c r="O2400" i="5" s="1"/>
  <c r="N2401" i="5"/>
  <c r="O2401" i="5" s="1"/>
  <c r="N2402" i="5"/>
  <c r="O2402" i="5" s="1"/>
  <c r="N2403" i="5"/>
  <c r="O2403" i="5" s="1"/>
  <c r="N2404" i="5"/>
  <c r="O2404" i="5" s="1"/>
  <c r="N2405" i="5"/>
  <c r="O2405" i="5" s="1"/>
  <c r="N2406" i="5"/>
  <c r="O2406" i="5" s="1"/>
  <c r="N2407" i="5"/>
  <c r="O2407" i="5" s="1"/>
  <c r="N2408" i="5"/>
  <c r="O2408" i="5" s="1"/>
  <c r="N2409" i="5"/>
  <c r="O2409" i="5" s="1"/>
  <c r="N2410" i="5"/>
  <c r="O2410" i="5" s="1"/>
  <c r="N2411" i="5"/>
  <c r="O2411" i="5" s="1"/>
  <c r="N2412" i="5"/>
  <c r="O2412" i="5" s="1"/>
  <c r="N2413" i="5"/>
  <c r="O2413" i="5" s="1"/>
  <c r="N2414" i="5"/>
  <c r="O2414" i="5" s="1"/>
  <c r="N2415" i="5"/>
  <c r="O2415" i="5" s="1"/>
  <c r="N2416" i="5"/>
  <c r="O2416" i="5" s="1"/>
  <c r="N2417" i="5"/>
  <c r="O2417" i="5" s="1"/>
  <c r="N2418" i="5"/>
  <c r="O2418" i="5" s="1"/>
  <c r="N2419" i="5"/>
  <c r="O2419" i="5" s="1"/>
  <c r="N2420" i="5"/>
  <c r="O2420" i="5" s="1"/>
  <c r="N2421" i="5"/>
  <c r="O2421" i="5" s="1"/>
  <c r="N2422" i="5"/>
  <c r="O2422" i="5" s="1"/>
  <c r="N2423" i="5"/>
  <c r="O2423" i="5" s="1"/>
  <c r="N2424" i="5"/>
  <c r="O2424" i="5" s="1"/>
  <c r="N2425" i="5"/>
  <c r="O2425" i="5" s="1"/>
  <c r="N2426" i="5"/>
  <c r="O2426" i="5" s="1"/>
  <c r="N2427" i="5"/>
  <c r="O2427" i="5" s="1"/>
  <c r="N2428" i="5"/>
  <c r="O2428" i="5" s="1"/>
  <c r="N2429" i="5"/>
  <c r="O2429" i="5" s="1"/>
  <c r="N2430" i="5"/>
  <c r="O2430" i="5" s="1"/>
  <c r="N2431" i="5"/>
  <c r="O2431" i="5" s="1"/>
  <c r="N2432" i="5"/>
  <c r="O2432" i="5" s="1"/>
  <c r="N2433" i="5"/>
  <c r="O2433" i="5" s="1"/>
  <c r="N2434" i="5"/>
  <c r="O2434" i="5" s="1"/>
  <c r="N2435" i="5"/>
  <c r="O2435" i="5" s="1"/>
  <c r="N2436" i="5"/>
  <c r="O2436" i="5" s="1"/>
  <c r="N2437" i="5"/>
  <c r="O2437" i="5" s="1"/>
  <c r="N2438" i="5"/>
  <c r="O2438" i="5" s="1"/>
  <c r="N2439" i="5"/>
  <c r="O2439" i="5" s="1"/>
  <c r="N2440" i="5"/>
  <c r="O2440" i="5" s="1"/>
  <c r="N2441" i="5"/>
  <c r="O2441" i="5" s="1"/>
  <c r="N2442" i="5"/>
  <c r="O2442" i="5" s="1"/>
  <c r="N2443" i="5"/>
  <c r="O2443" i="5" s="1"/>
  <c r="N2444" i="5"/>
  <c r="O2444" i="5" s="1"/>
  <c r="N2445" i="5"/>
  <c r="O2445" i="5" s="1"/>
  <c r="N2446" i="5"/>
  <c r="O2446" i="5" s="1"/>
  <c r="N2447" i="5"/>
  <c r="O2447" i="5" s="1"/>
  <c r="N2448" i="5"/>
  <c r="O2448" i="5" s="1"/>
  <c r="N2449" i="5"/>
  <c r="O2449" i="5" s="1"/>
  <c r="N2450" i="5"/>
  <c r="O2450" i="5" s="1"/>
  <c r="N2451" i="5"/>
  <c r="O2451" i="5" s="1"/>
  <c r="N2452" i="5"/>
  <c r="O2452" i="5" s="1"/>
  <c r="N2453" i="5"/>
  <c r="O2453" i="5" s="1"/>
  <c r="N2454" i="5"/>
  <c r="O2454" i="5" s="1"/>
  <c r="N2455" i="5"/>
  <c r="O2455" i="5" s="1"/>
  <c r="N2456" i="5"/>
  <c r="O2456" i="5" s="1"/>
  <c r="N2457" i="5"/>
  <c r="O2457" i="5" s="1"/>
  <c r="N2458" i="5"/>
  <c r="O2458" i="5" s="1"/>
  <c r="N2459" i="5"/>
  <c r="O2459" i="5" s="1"/>
  <c r="N2460" i="5"/>
  <c r="O2460" i="5" s="1"/>
  <c r="N2461" i="5"/>
  <c r="O2461" i="5" s="1"/>
  <c r="N2462" i="5"/>
  <c r="O2462" i="5" s="1"/>
  <c r="N2463" i="5"/>
  <c r="O2463" i="5" s="1"/>
  <c r="N2464" i="5"/>
  <c r="O2464" i="5" s="1"/>
  <c r="N2465" i="5"/>
  <c r="O2465" i="5" s="1"/>
  <c r="N2466" i="5"/>
  <c r="O2466" i="5" s="1"/>
  <c r="N2467" i="5"/>
  <c r="O2467" i="5" s="1"/>
  <c r="N2468" i="5"/>
  <c r="O2468" i="5" s="1"/>
  <c r="N2469" i="5"/>
  <c r="O2469" i="5" s="1"/>
  <c r="N2470" i="5"/>
  <c r="O2470" i="5" s="1"/>
  <c r="N2471" i="5"/>
  <c r="O2471" i="5" s="1"/>
  <c r="N2472" i="5"/>
  <c r="O2472" i="5" s="1"/>
  <c r="N2473" i="5"/>
  <c r="O2473" i="5" s="1"/>
  <c r="N2474" i="5"/>
  <c r="O2474" i="5" s="1"/>
  <c r="N2475" i="5"/>
  <c r="O2475" i="5" s="1"/>
  <c r="N2476" i="5"/>
  <c r="O2476" i="5" s="1"/>
  <c r="N2477" i="5"/>
  <c r="O2477" i="5" s="1"/>
  <c r="N2478" i="5"/>
  <c r="O2478" i="5" s="1"/>
  <c r="N2479" i="5"/>
  <c r="O2479" i="5" s="1"/>
  <c r="N2480" i="5"/>
  <c r="O2480" i="5" s="1"/>
  <c r="N2481" i="5"/>
  <c r="O2481" i="5" s="1"/>
  <c r="N2482" i="5"/>
  <c r="O2482" i="5" s="1"/>
  <c r="N2483" i="5"/>
  <c r="O2483" i="5" s="1"/>
  <c r="N2484" i="5"/>
  <c r="O2484" i="5" s="1"/>
  <c r="N2485" i="5"/>
  <c r="O2485" i="5" s="1"/>
  <c r="N2486" i="5"/>
  <c r="O2486" i="5" s="1"/>
  <c r="N2487" i="5"/>
  <c r="O2487" i="5" s="1"/>
  <c r="N2488" i="5"/>
  <c r="O2488" i="5" s="1"/>
  <c r="N2489" i="5"/>
  <c r="O2489" i="5" s="1"/>
  <c r="N2490" i="5"/>
  <c r="O2490" i="5" s="1"/>
  <c r="N2491" i="5"/>
  <c r="O2491" i="5" s="1"/>
  <c r="N2492" i="5"/>
  <c r="O2492" i="5" s="1"/>
  <c r="N2493" i="5"/>
  <c r="O2493" i="5" s="1"/>
  <c r="N2494" i="5"/>
  <c r="O2494" i="5" s="1"/>
  <c r="N2495" i="5"/>
  <c r="O2495" i="5" s="1"/>
  <c r="N2496" i="5"/>
  <c r="O2496" i="5" s="1"/>
  <c r="N2497" i="5"/>
  <c r="O2497" i="5" s="1"/>
  <c r="N2498" i="5"/>
  <c r="O2498" i="5" s="1"/>
  <c r="N2499" i="5"/>
  <c r="O2499" i="5" s="1"/>
  <c r="N2500" i="5"/>
  <c r="O2500" i="5" s="1"/>
  <c r="N2501" i="5"/>
  <c r="O2501" i="5" s="1"/>
  <c r="N2502" i="5"/>
  <c r="O2502" i="5" s="1"/>
  <c r="N2503" i="5"/>
  <c r="O2503" i="5" s="1"/>
  <c r="N2504" i="5"/>
  <c r="O2504" i="5" s="1"/>
  <c r="N2505" i="5"/>
  <c r="O2505" i="5" s="1"/>
  <c r="N2506" i="5"/>
  <c r="O2506" i="5" s="1"/>
  <c r="N2507" i="5"/>
  <c r="O2507" i="5" s="1"/>
  <c r="N2508" i="5"/>
  <c r="O2508" i="5" s="1"/>
  <c r="N2509" i="5"/>
  <c r="O2509" i="5" s="1"/>
  <c r="N2510" i="5"/>
  <c r="O2510" i="5" s="1"/>
  <c r="N2511" i="5"/>
  <c r="O2511" i="5" s="1"/>
  <c r="N2512" i="5"/>
  <c r="O2512" i="5" s="1"/>
  <c r="N2513" i="5"/>
  <c r="O2513" i="5" s="1"/>
  <c r="N2514" i="5"/>
  <c r="O2514" i="5" s="1"/>
  <c r="N2515" i="5"/>
  <c r="O2515" i="5" s="1"/>
  <c r="N2516" i="5"/>
  <c r="O2516" i="5" s="1"/>
  <c r="N2517" i="5"/>
  <c r="O2517" i="5" s="1"/>
  <c r="N2518" i="5"/>
  <c r="O2518" i="5" s="1"/>
  <c r="N2519" i="5"/>
  <c r="O2519" i="5" s="1"/>
  <c r="N2520" i="5"/>
  <c r="O2520" i="5" s="1"/>
  <c r="N2521" i="5"/>
  <c r="O2521" i="5" s="1"/>
  <c r="N2522" i="5"/>
  <c r="O2522" i="5" s="1"/>
  <c r="N2523" i="5"/>
  <c r="O2523" i="5" s="1"/>
  <c r="N2524" i="5"/>
  <c r="O2524" i="5" s="1"/>
  <c r="N2525" i="5"/>
  <c r="O2525" i="5" s="1"/>
  <c r="N2526" i="5"/>
  <c r="O2526" i="5" s="1"/>
  <c r="N2527" i="5"/>
  <c r="O2527" i="5" s="1"/>
  <c r="N2528" i="5"/>
  <c r="O2528" i="5" s="1"/>
  <c r="N2529" i="5"/>
  <c r="O2529" i="5" s="1"/>
  <c r="N2530" i="5"/>
  <c r="O2530" i="5" s="1"/>
  <c r="N2531" i="5"/>
  <c r="O2531" i="5" s="1"/>
  <c r="N2532" i="5"/>
  <c r="O2532" i="5" s="1"/>
  <c r="N2533" i="5"/>
  <c r="O2533" i="5" s="1"/>
  <c r="N2534" i="5"/>
  <c r="O2534" i="5" s="1"/>
  <c r="N2535" i="5"/>
  <c r="O2535" i="5" s="1"/>
  <c r="N2536" i="5"/>
  <c r="O2536" i="5"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V8" i="2"/>
  <c r="V10" i="2"/>
  <c r="V9" i="2"/>
  <c r="V7" i="2"/>
  <c r="E46" i="10" l="1"/>
  <c r="W3" i="11"/>
  <c r="W4" i="11"/>
  <c r="W5" i="11"/>
  <c r="W6" i="11"/>
  <c r="W7" i="11"/>
  <c r="W8" i="11"/>
  <c r="W9" i="11"/>
  <c r="W11" i="11"/>
  <c r="W12" i="11"/>
  <c r="W13" i="11"/>
  <c r="W2" i="11"/>
  <c r="W10" i="11"/>
  <c r="F53" i="10"/>
  <c r="G53" i="10"/>
  <c r="V3" i="11"/>
  <c r="V4" i="11"/>
  <c r="V5" i="11"/>
  <c r="V6" i="11"/>
  <c r="V7" i="11"/>
  <c r="V8" i="11"/>
  <c r="V9" i="11"/>
  <c r="V10" i="11"/>
  <c r="V11" i="11"/>
  <c r="V12" i="11"/>
  <c r="V13" i="11"/>
  <c r="G46" i="10"/>
  <c r="F46" i="10"/>
  <c r="E53" i="10"/>
  <c r="U3" i="11"/>
  <c r="U4" i="11"/>
  <c r="U5" i="11"/>
  <c r="U6" i="11"/>
  <c r="U7" i="11"/>
  <c r="U8" i="11"/>
  <c r="U9" i="11"/>
  <c r="U10" i="11"/>
  <c r="U11" i="11"/>
  <c r="U12" i="11"/>
  <c r="U13" i="11"/>
  <c r="U2" i="11"/>
  <c r="T3" i="11"/>
  <c r="T4" i="11"/>
  <c r="T5" i="11"/>
  <c r="T6" i="11"/>
  <c r="T7" i="11"/>
  <c r="T8" i="11"/>
  <c r="T9" i="11"/>
  <c r="T10" i="11"/>
  <c r="T11" i="11"/>
  <c r="T12" i="11"/>
  <c r="T13" i="11"/>
  <c r="T2" i="11"/>
  <c r="R2" i="11"/>
  <c r="R3" i="11"/>
  <c r="R4" i="11"/>
  <c r="R5" i="11"/>
  <c r="R6" i="11"/>
  <c r="R7" i="11"/>
  <c r="R8" i="11"/>
  <c r="R9" i="11"/>
  <c r="R10" i="11"/>
  <c r="R11" i="11"/>
  <c r="R12" i="11"/>
  <c r="R13" i="11"/>
  <c r="S8" i="11"/>
  <c r="S6" i="11"/>
  <c r="S7" i="11"/>
  <c r="S4" i="11"/>
  <c r="S9" i="11"/>
  <c r="S12" i="11"/>
  <c r="S5" i="11"/>
  <c r="S10" i="11"/>
  <c r="S13" i="11"/>
  <c r="S3" i="11"/>
  <c r="S11" i="11"/>
  <c r="S2" i="11"/>
  <c r="G10" i="10"/>
  <c r="C10" i="10"/>
  <c r="F10" i="10"/>
  <c r="E10" i="10"/>
  <c r="G32" i="10"/>
  <c r="F32" i="10"/>
  <c r="G39" i="10"/>
  <c r="F39" i="10"/>
  <c r="E39" i="10"/>
  <c r="E32" i="10"/>
  <c r="E25" i="10"/>
  <c r="G25" i="10"/>
  <c r="F25" i="10"/>
  <c r="G18" i="10"/>
  <c r="F18" i="10"/>
  <c r="E18" i="10"/>
  <c r="E51" i="8"/>
  <c r="F45" i="8"/>
  <c r="F44" i="8"/>
  <c r="F43" i="8"/>
  <c r="D52" i="8"/>
  <c r="G42" i="8"/>
  <c r="G53" i="8"/>
  <c r="G52" i="8"/>
  <c r="G51" i="8"/>
  <c r="D49" i="8"/>
  <c r="G50" i="8"/>
  <c r="G49" i="8"/>
  <c r="G47" i="8"/>
  <c r="D46" i="8"/>
  <c r="D43" i="8"/>
  <c r="E52" i="8"/>
  <c r="G46" i="8"/>
  <c r="E46" i="8"/>
  <c r="E45" i="8"/>
  <c r="E44" i="8"/>
  <c r="E47" i="8"/>
  <c r="E49" i="8"/>
  <c r="E53" i="8"/>
  <c r="D44" i="8"/>
  <c r="D47" i="8"/>
  <c r="D53" i="8"/>
  <c r="G45" i="8"/>
  <c r="F49" i="8"/>
  <c r="G44" i="8"/>
  <c r="G43" i="8"/>
  <c r="F52" i="8"/>
  <c r="F50" i="8"/>
  <c r="F47" i="8"/>
  <c r="E43" i="8"/>
  <c r="D51" i="8"/>
  <c r="D50" i="8"/>
  <c r="F53" i="8"/>
  <c r="E50" i="8"/>
  <c r="F42" i="8"/>
  <c r="F51" i="8"/>
  <c r="E42" i="8"/>
  <c r="D45" i="8"/>
  <c r="F46" i="8"/>
  <c r="D39" i="8"/>
  <c r="D40" i="8" s="1"/>
  <c r="Y2" i="7" a="1"/>
  <c r="D102" i="8"/>
  <c r="D101" i="8"/>
  <c r="D100" i="8"/>
  <c r="D99" i="8"/>
  <c r="D98" i="8"/>
  <c r="D97" i="8"/>
  <c r="E56" i="8"/>
  <c r="E60" i="8"/>
  <c r="E63" i="8"/>
  <c r="F63" i="8" s="1"/>
  <c r="E66" i="8"/>
  <c r="F66" i="8" s="1"/>
  <c r="E69" i="8"/>
  <c r="E72" i="8"/>
  <c r="E75" i="8"/>
  <c r="E78" i="8"/>
  <c r="E81" i="8"/>
  <c r="E84" i="8"/>
  <c r="E87" i="8"/>
  <c r="F87" i="8" s="1"/>
  <c r="E90" i="8"/>
  <c r="F90" i="8" s="1"/>
  <c r="E55" i="8"/>
  <c r="F69" i="8"/>
  <c r="F81" i="8"/>
  <c r="F84" i="8"/>
  <c r="F55" i="8"/>
  <c r="E58" i="8"/>
  <c r="E61" i="8"/>
  <c r="F61" i="8" s="1"/>
  <c r="E64" i="8"/>
  <c r="E67" i="8"/>
  <c r="E70" i="8"/>
  <c r="E73" i="8"/>
  <c r="E76" i="8"/>
  <c r="F76" i="8" s="1"/>
  <c r="E79" i="8"/>
  <c r="F79" i="8" s="1"/>
  <c r="E83" i="8"/>
  <c r="E85" i="8"/>
  <c r="F85" i="8" s="1"/>
  <c r="E88" i="8"/>
  <c r="E91" i="8"/>
  <c r="E93" i="8"/>
  <c r="F93" i="8" s="1"/>
  <c r="F56" i="8"/>
  <c r="F64" i="8"/>
  <c r="F67" i="8"/>
  <c r="F70" i="8"/>
  <c r="F72" i="8"/>
  <c r="F73" i="8"/>
  <c r="F75" i="8"/>
  <c r="F78" i="8"/>
  <c r="F83" i="8"/>
  <c r="F88" i="8"/>
  <c r="F91" i="8"/>
  <c r="E57" i="8"/>
  <c r="F57" i="8" s="1"/>
  <c r="E59" i="8"/>
  <c r="F59" i="8" s="1"/>
  <c r="E62" i="8"/>
  <c r="F62" i="8" s="1"/>
  <c r="E65" i="8"/>
  <c r="F65" i="8" s="1"/>
  <c r="E68" i="8"/>
  <c r="F68" i="8" s="1"/>
  <c r="E71" i="8"/>
  <c r="F71" i="8" s="1"/>
  <c r="E74" i="8"/>
  <c r="F74" i="8" s="1"/>
  <c r="E77" i="8"/>
  <c r="F77" i="8" s="1"/>
  <c r="E80" i="8"/>
  <c r="F80" i="8" s="1"/>
  <c r="E82" i="8"/>
  <c r="F82" i="8" s="1"/>
  <c r="E86" i="8"/>
  <c r="F86" i="8" s="1"/>
  <c r="E89" i="8"/>
  <c r="F89" i="8" s="1"/>
  <c r="E92" i="8"/>
  <c r="F92" i="8" s="1"/>
  <c r="E94" i="8"/>
  <c r="F94" i="8" s="1"/>
  <c r="F58" i="8"/>
  <c r="C31" i="8"/>
  <c r="F24" i="8"/>
  <c r="F25" i="8"/>
  <c r="F26" i="8"/>
  <c r="F27" i="8"/>
  <c r="E24" i="8"/>
  <c r="E26" i="8"/>
  <c r="E28" i="8"/>
  <c r="D24" i="8"/>
  <c r="D26" i="8"/>
  <c r="D28" i="8"/>
  <c r="F28" i="8"/>
  <c r="G28" i="8" s="1"/>
  <c r="E25" i="8"/>
  <c r="E27" i="8"/>
  <c r="D25" i="8"/>
  <c r="D27" i="8"/>
  <c r="C30" i="8"/>
  <c r="C29" i="8"/>
  <c r="J16" i="8"/>
  <c r="J17" i="8"/>
  <c r="J18" i="8"/>
  <c r="J19" i="8"/>
  <c r="J20" i="8"/>
  <c r="J21" i="8"/>
  <c r="J15" i="8"/>
  <c r="C7" i="8"/>
  <c r="F16" i="8"/>
  <c r="F18" i="8"/>
  <c r="F19" i="8"/>
  <c r="F21" i="8"/>
  <c r="F15" i="8"/>
  <c r="E18" i="8"/>
  <c r="E20" i="8"/>
  <c r="E21" i="8"/>
  <c r="D16" i="8"/>
  <c r="D17" i="8"/>
  <c r="D18" i="8"/>
  <c r="D20" i="8"/>
  <c r="F17" i="8"/>
  <c r="F20" i="8"/>
  <c r="E16" i="8"/>
  <c r="G16" i="8" s="1"/>
  <c r="E17" i="8"/>
  <c r="E19" i="8"/>
  <c r="D19" i="8"/>
  <c r="D21" i="8"/>
  <c r="C10" i="8"/>
  <c r="C8" i="8"/>
  <c r="C9" i="8"/>
  <c r="Z1204"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Z504" i="7"/>
  <c r="Z505" i="7"/>
  <c r="Z506" i="7"/>
  <c r="Z507" i="7"/>
  <c r="Z508" i="7"/>
  <c r="Z509" i="7"/>
  <c r="Z510" i="7"/>
  <c r="Z511" i="7"/>
  <c r="Z512" i="7"/>
  <c r="Z513" i="7"/>
  <c r="Z514" i="7"/>
  <c r="Z515" i="7"/>
  <c r="Z516" i="7"/>
  <c r="Z517" i="7"/>
  <c r="Z518" i="7"/>
  <c r="Z519" i="7"/>
  <c r="Z520" i="7"/>
  <c r="Z521" i="7"/>
  <c r="Z522" i="7"/>
  <c r="Z523" i="7"/>
  <c r="Z524" i="7"/>
  <c r="Z525" i="7"/>
  <c r="Z526" i="7"/>
  <c r="Z527" i="7"/>
  <c r="Z528" i="7"/>
  <c r="Z529" i="7"/>
  <c r="Z530" i="7"/>
  <c r="Z531" i="7"/>
  <c r="Z532" i="7"/>
  <c r="Z533" i="7"/>
  <c r="Z534" i="7"/>
  <c r="Z535" i="7"/>
  <c r="Z536" i="7"/>
  <c r="Z537" i="7"/>
  <c r="Z538" i="7"/>
  <c r="Z539" i="7"/>
  <c r="Z540" i="7"/>
  <c r="Z541" i="7"/>
  <c r="Z542" i="7"/>
  <c r="Z543" i="7"/>
  <c r="Z544" i="7"/>
  <c r="Z545" i="7"/>
  <c r="Z546" i="7"/>
  <c r="Z547" i="7"/>
  <c r="Z548" i="7"/>
  <c r="Z549" i="7"/>
  <c r="Z550" i="7"/>
  <c r="Z551" i="7"/>
  <c r="Z552" i="7"/>
  <c r="Z553" i="7"/>
  <c r="Z554" i="7"/>
  <c r="Z555" i="7"/>
  <c r="Z556" i="7"/>
  <c r="Z557" i="7"/>
  <c r="Z558" i="7"/>
  <c r="Z559" i="7"/>
  <c r="Z560" i="7"/>
  <c r="Z561" i="7"/>
  <c r="Z562" i="7"/>
  <c r="Z563" i="7"/>
  <c r="Z564" i="7"/>
  <c r="Z565" i="7"/>
  <c r="Z566" i="7"/>
  <c r="Z567" i="7"/>
  <c r="Z568" i="7"/>
  <c r="Z569" i="7"/>
  <c r="Z570" i="7"/>
  <c r="Z571" i="7"/>
  <c r="Z572" i="7"/>
  <c r="Z573" i="7"/>
  <c r="Z574" i="7"/>
  <c r="Z575" i="7"/>
  <c r="Z576" i="7"/>
  <c r="Z577" i="7"/>
  <c r="Z578" i="7"/>
  <c r="Z579" i="7"/>
  <c r="Z580" i="7"/>
  <c r="Z581" i="7"/>
  <c r="Z582" i="7"/>
  <c r="Z583" i="7"/>
  <c r="Z584" i="7"/>
  <c r="Z585" i="7"/>
  <c r="Z586" i="7"/>
  <c r="Z587" i="7"/>
  <c r="Z588" i="7"/>
  <c r="Z589" i="7"/>
  <c r="Z590" i="7"/>
  <c r="Z591" i="7"/>
  <c r="Z592" i="7"/>
  <c r="Z593" i="7"/>
  <c r="Z594" i="7"/>
  <c r="Z595" i="7"/>
  <c r="Z596" i="7"/>
  <c r="Z597" i="7"/>
  <c r="Z598" i="7"/>
  <c r="Z599" i="7"/>
  <c r="Z600" i="7"/>
  <c r="Z601" i="7"/>
  <c r="Z602" i="7"/>
  <c r="Z603" i="7"/>
  <c r="Z604" i="7"/>
  <c r="Z605" i="7"/>
  <c r="Z606" i="7"/>
  <c r="Z607" i="7"/>
  <c r="Z608" i="7"/>
  <c r="Z609" i="7"/>
  <c r="Z610" i="7"/>
  <c r="Z611" i="7"/>
  <c r="Z612" i="7"/>
  <c r="Z613" i="7"/>
  <c r="Z614" i="7"/>
  <c r="Z615" i="7"/>
  <c r="Z616" i="7"/>
  <c r="Z617" i="7"/>
  <c r="Z618" i="7"/>
  <c r="Z619" i="7"/>
  <c r="Z620" i="7"/>
  <c r="Z621" i="7"/>
  <c r="Z622" i="7"/>
  <c r="Z623" i="7"/>
  <c r="Z624" i="7"/>
  <c r="Z625" i="7"/>
  <c r="Z626" i="7"/>
  <c r="Z627" i="7"/>
  <c r="Z628" i="7"/>
  <c r="Z629" i="7"/>
  <c r="Z630" i="7"/>
  <c r="Z631" i="7"/>
  <c r="Z632" i="7"/>
  <c r="Z633" i="7"/>
  <c r="Z634" i="7"/>
  <c r="Z635" i="7"/>
  <c r="Z636" i="7"/>
  <c r="Z637" i="7"/>
  <c r="Z638" i="7"/>
  <c r="Z639" i="7"/>
  <c r="Z640" i="7"/>
  <c r="Z641" i="7"/>
  <c r="Z642" i="7"/>
  <c r="Z643" i="7"/>
  <c r="Z644" i="7"/>
  <c r="Z645" i="7"/>
  <c r="Z646" i="7"/>
  <c r="Z647" i="7"/>
  <c r="Z648" i="7"/>
  <c r="Z649" i="7"/>
  <c r="Z650" i="7"/>
  <c r="Z651" i="7"/>
  <c r="Z652" i="7"/>
  <c r="Z653" i="7"/>
  <c r="Z654" i="7"/>
  <c r="Z655" i="7"/>
  <c r="Z656" i="7"/>
  <c r="Z657" i="7"/>
  <c r="Z658" i="7"/>
  <c r="Z659" i="7"/>
  <c r="Z660" i="7"/>
  <c r="Z661" i="7"/>
  <c r="Z662" i="7"/>
  <c r="Z663" i="7"/>
  <c r="Z664" i="7"/>
  <c r="Z665" i="7"/>
  <c r="Z666" i="7"/>
  <c r="Z667" i="7"/>
  <c r="Z668" i="7"/>
  <c r="Z669" i="7"/>
  <c r="Z670" i="7"/>
  <c r="Z671" i="7"/>
  <c r="Z672" i="7"/>
  <c r="Z673" i="7"/>
  <c r="Z674" i="7"/>
  <c r="Z675" i="7"/>
  <c r="Z676" i="7"/>
  <c r="Z677" i="7"/>
  <c r="Z678" i="7"/>
  <c r="Z679" i="7"/>
  <c r="Z680" i="7"/>
  <c r="Z681" i="7"/>
  <c r="Z682" i="7"/>
  <c r="Z683" i="7"/>
  <c r="Z684" i="7"/>
  <c r="Z685" i="7"/>
  <c r="Z686" i="7"/>
  <c r="Z687" i="7"/>
  <c r="Z688" i="7"/>
  <c r="Z689" i="7"/>
  <c r="Z690" i="7"/>
  <c r="Z691" i="7"/>
  <c r="Z692" i="7"/>
  <c r="Z693" i="7"/>
  <c r="Z694" i="7"/>
  <c r="Z695" i="7"/>
  <c r="Z696" i="7"/>
  <c r="Z697" i="7"/>
  <c r="Z698" i="7"/>
  <c r="Z699" i="7"/>
  <c r="Z700" i="7"/>
  <c r="Z701" i="7"/>
  <c r="Z702" i="7"/>
  <c r="Z703" i="7"/>
  <c r="Z704" i="7"/>
  <c r="Z705" i="7"/>
  <c r="Z706" i="7"/>
  <c r="Z707" i="7"/>
  <c r="Z708" i="7"/>
  <c r="Z709" i="7"/>
  <c r="Z710" i="7"/>
  <c r="Z711" i="7"/>
  <c r="Z712" i="7"/>
  <c r="Z713" i="7"/>
  <c r="Z714" i="7"/>
  <c r="Z715" i="7"/>
  <c r="Z716" i="7"/>
  <c r="Z717" i="7"/>
  <c r="Z718" i="7"/>
  <c r="Z719" i="7"/>
  <c r="Z720" i="7"/>
  <c r="Z721" i="7"/>
  <c r="Z722" i="7"/>
  <c r="Z723" i="7"/>
  <c r="Z724" i="7"/>
  <c r="Z725" i="7"/>
  <c r="Z726" i="7"/>
  <c r="Z727" i="7"/>
  <c r="Z728" i="7"/>
  <c r="Z729" i="7"/>
  <c r="Z730" i="7"/>
  <c r="Z731" i="7"/>
  <c r="Z732" i="7"/>
  <c r="Z733" i="7"/>
  <c r="Z734" i="7"/>
  <c r="Z735" i="7"/>
  <c r="Z736" i="7"/>
  <c r="Z737" i="7"/>
  <c r="Z738" i="7"/>
  <c r="Z739" i="7"/>
  <c r="Z740" i="7"/>
  <c r="Z741" i="7"/>
  <c r="Z742" i="7"/>
  <c r="Z743" i="7"/>
  <c r="Z744" i="7"/>
  <c r="Z745" i="7"/>
  <c r="Z746" i="7"/>
  <c r="Z747" i="7"/>
  <c r="Z748" i="7"/>
  <c r="Z749" i="7"/>
  <c r="Z750" i="7"/>
  <c r="Z751" i="7"/>
  <c r="Z752" i="7"/>
  <c r="Z753" i="7"/>
  <c r="Z754" i="7"/>
  <c r="Z755" i="7"/>
  <c r="Z756" i="7"/>
  <c r="Z757" i="7"/>
  <c r="Z758" i="7"/>
  <c r="Z759" i="7"/>
  <c r="Z760" i="7"/>
  <c r="Z761" i="7"/>
  <c r="Z762" i="7"/>
  <c r="Z763" i="7"/>
  <c r="Z764" i="7"/>
  <c r="Z765" i="7"/>
  <c r="Z766" i="7"/>
  <c r="Z767" i="7"/>
  <c r="Z768" i="7"/>
  <c r="Z769" i="7"/>
  <c r="Z770" i="7"/>
  <c r="Z771" i="7"/>
  <c r="Z772" i="7"/>
  <c r="Z773" i="7"/>
  <c r="Z774" i="7"/>
  <c r="Z775" i="7"/>
  <c r="Z776" i="7"/>
  <c r="Z777" i="7"/>
  <c r="Z778" i="7"/>
  <c r="Z779" i="7"/>
  <c r="Z780" i="7"/>
  <c r="Z781" i="7"/>
  <c r="Z782" i="7"/>
  <c r="Z783" i="7"/>
  <c r="Z784" i="7"/>
  <c r="Z785" i="7"/>
  <c r="Z786" i="7"/>
  <c r="Z787" i="7"/>
  <c r="Z788" i="7"/>
  <c r="Z789" i="7"/>
  <c r="Z790" i="7"/>
  <c r="Z791" i="7"/>
  <c r="Z792" i="7"/>
  <c r="Z793" i="7"/>
  <c r="Z794" i="7"/>
  <c r="Z795" i="7"/>
  <c r="Z796" i="7"/>
  <c r="Z797" i="7"/>
  <c r="Z798" i="7"/>
  <c r="Z799" i="7"/>
  <c r="Z800" i="7"/>
  <c r="Z801" i="7"/>
  <c r="Z802" i="7"/>
  <c r="Z803" i="7"/>
  <c r="Z804" i="7"/>
  <c r="Z805" i="7"/>
  <c r="Z806" i="7"/>
  <c r="Z807" i="7"/>
  <c r="Z808" i="7"/>
  <c r="Z809" i="7"/>
  <c r="Z810" i="7"/>
  <c r="Z811" i="7"/>
  <c r="Z812" i="7"/>
  <c r="Z813" i="7"/>
  <c r="Z814" i="7"/>
  <c r="Z815" i="7"/>
  <c r="Z816" i="7"/>
  <c r="Z817" i="7"/>
  <c r="Z818" i="7"/>
  <c r="Z819" i="7"/>
  <c r="Z820" i="7"/>
  <c r="Z821" i="7"/>
  <c r="Z822" i="7"/>
  <c r="Z823" i="7"/>
  <c r="Z824" i="7"/>
  <c r="Z825" i="7"/>
  <c r="Z826" i="7"/>
  <c r="Z827" i="7"/>
  <c r="Z828" i="7"/>
  <c r="Z829" i="7"/>
  <c r="Z830" i="7"/>
  <c r="Z831" i="7"/>
  <c r="Z832" i="7"/>
  <c r="Z833" i="7"/>
  <c r="Z834" i="7"/>
  <c r="Z835" i="7"/>
  <c r="Z836" i="7"/>
  <c r="Z837" i="7"/>
  <c r="Z838" i="7"/>
  <c r="Z839" i="7"/>
  <c r="Z840" i="7"/>
  <c r="Z841" i="7"/>
  <c r="Z842" i="7"/>
  <c r="Z843" i="7"/>
  <c r="Z844" i="7"/>
  <c r="Z845" i="7"/>
  <c r="Z846" i="7"/>
  <c r="Z847" i="7"/>
  <c r="Z848" i="7"/>
  <c r="Z849" i="7"/>
  <c r="Z850" i="7"/>
  <c r="Z851" i="7"/>
  <c r="Z852" i="7"/>
  <c r="Z853" i="7"/>
  <c r="Z854" i="7"/>
  <c r="Z855" i="7"/>
  <c r="Z856" i="7"/>
  <c r="Z857" i="7"/>
  <c r="Z858" i="7"/>
  <c r="Z859" i="7"/>
  <c r="Z860" i="7"/>
  <c r="Z861" i="7"/>
  <c r="Z862" i="7"/>
  <c r="Z863" i="7"/>
  <c r="Z864" i="7"/>
  <c r="Z865" i="7"/>
  <c r="Z866" i="7"/>
  <c r="Z867" i="7"/>
  <c r="Z868" i="7"/>
  <c r="Z869" i="7"/>
  <c r="Z870" i="7"/>
  <c r="Z871" i="7"/>
  <c r="Z872" i="7"/>
  <c r="Z873" i="7"/>
  <c r="Z874" i="7"/>
  <c r="Z875" i="7"/>
  <c r="Z876" i="7"/>
  <c r="Z877" i="7"/>
  <c r="Z878" i="7"/>
  <c r="Z879" i="7"/>
  <c r="Z880" i="7"/>
  <c r="Z881" i="7"/>
  <c r="Z882" i="7"/>
  <c r="Z883" i="7"/>
  <c r="Z884" i="7"/>
  <c r="Z885" i="7"/>
  <c r="Z886" i="7"/>
  <c r="Z887" i="7"/>
  <c r="Z888" i="7"/>
  <c r="Z889" i="7"/>
  <c r="Z890" i="7"/>
  <c r="Z891" i="7"/>
  <c r="Z892" i="7"/>
  <c r="Z893" i="7"/>
  <c r="Z894" i="7"/>
  <c r="Z895" i="7"/>
  <c r="Z896" i="7"/>
  <c r="Z897" i="7"/>
  <c r="Z898" i="7"/>
  <c r="Z899" i="7"/>
  <c r="Z900" i="7"/>
  <c r="Z901" i="7"/>
  <c r="Z902" i="7"/>
  <c r="Z903" i="7"/>
  <c r="Z904" i="7"/>
  <c r="Z905" i="7"/>
  <c r="Z906" i="7"/>
  <c r="Z907" i="7"/>
  <c r="Z908" i="7"/>
  <c r="Z909" i="7"/>
  <c r="Z910" i="7"/>
  <c r="Z911" i="7"/>
  <c r="Z912" i="7"/>
  <c r="Z913" i="7"/>
  <c r="Z914" i="7"/>
  <c r="Z915" i="7"/>
  <c r="Z916" i="7"/>
  <c r="Z917" i="7"/>
  <c r="Z918" i="7"/>
  <c r="Z919" i="7"/>
  <c r="Z920" i="7"/>
  <c r="Z921" i="7"/>
  <c r="Z922" i="7"/>
  <c r="Z923" i="7"/>
  <c r="Z924" i="7"/>
  <c r="Z925" i="7"/>
  <c r="Z926" i="7"/>
  <c r="Z927" i="7"/>
  <c r="Z928" i="7"/>
  <c r="Z929" i="7"/>
  <c r="Z930" i="7"/>
  <c r="Z931" i="7"/>
  <c r="Z932" i="7"/>
  <c r="Z933" i="7"/>
  <c r="Z934" i="7"/>
  <c r="Z935" i="7"/>
  <c r="Z936" i="7"/>
  <c r="Z937" i="7"/>
  <c r="Z938" i="7"/>
  <c r="Z939" i="7"/>
  <c r="Z940" i="7"/>
  <c r="Z941" i="7"/>
  <c r="Z942" i="7"/>
  <c r="Z943" i="7"/>
  <c r="Z944" i="7"/>
  <c r="Z945" i="7"/>
  <c r="Z946" i="7"/>
  <c r="Z947" i="7"/>
  <c r="Z948" i="7"/>
  <c r="Z949" i="7"/>
  <c r="Z950" i="7"/>
  <c r="Z951" i="7"/>
  <c r="Z952" i="7"/>
  <c r="Z953" i="7"/>
  <c r="Z954" i="7"/>
  <c r="Z955" i="7"/>
  <c r="Z956" i="7"/>
  <c r="Z957" i="7"/>
  <c r="Z958" i="7"/>
  <c r="Z959" i="7"/>
  <c r="Z960" i="7"/>
  <c r="Z961" i="7"/>
  <c r="Z962" i="7"/>
  <c r="Z963" i="7"/>
  <c r="Z964" i="7"/>
  <c r="Z965" i="7"/>
  <c r="Z966" i="7"/>
  <c r="Z967" i="7"/>
  <c r="Z968" i="7"/>
  <c r="Z969" i="7"/>
  <c r="Z970" i="7"/>
  <c r="Z971" i="7"/>
  <c r="Z972" i="7"/>
  <c r="Z973" i="7"/>
  <c r="Z974" i="7"/>
  <c r="Z975" i="7"/>
  <c r="Z976" i="7"/>
  <c r="Z977" i="7"/>
  <c r="Z978" i="7"/>
  <c r="Z979" i="7"/>
  <c r="Z980" i="7"/>
  <c r="Z981" i="7"/>
  <c r="Z982" i="7"/>
  <c r="Z983" i="7"/>
  <c r="Z984" i="7"/>
  <c r="Z985" i="7"/>
  <c r="Z986" i="7"/>
  <c r="Z987" i="7"/>
  <c r="Z988" i="7"/>
  <c r="Z989" i="7"/>
  <c r="Z990" i="7"/>
  <c r="Z991" i="7"/>
  <c r="Z992" i="7"/>
  <c r="Z993" i="7"/>
  <c r="Z994" i="7"/>
  <c r="Z995" i="7"/>
  <c r="Z996" i="7"/>
  <c r="Z997" i="7"/>
  <c r="Z998" i="7"/>
  <c r="Z999" i="7"/>
  <c r="Z1000" i="7"/>
  <c r="Z1001" i="7"/>
  <c r="Z1002" i="7"/>
  <c r="Z1003" i="7"/>
  <c r="Z1004" i="7"/>
  <c r="Z1005" i="7"/>
  <c r="Z1006" i="7"/>
  <c r="Z1007" i="7"/>
  <c r="Z1008" i="7"/>
  <c r="Z1009" i="7"/>
  <c r="Z1010" i="7"/>
  <c r="Z1011" i="7"/>
  <c r="Z1012" i="7"/>
  <c r="Z1013" i="7"/>
  <c r="Z1014" i="7"/>
  <c r="Z1015" i="7"/>
  <c r="Z1016" i="7"/>
  <c r="Z1017" i="7"/>
  <c r="Z1018" i="7"/>
  <c r="Z1019" i="7"/>
  <c r="Z1020" i="7"/>
  <c r="Z1021" i="7"/>
  <c r="Z1022" i="7"/>
  <c r="Z1023" i="7"/>
  <c r="Z1024" i="7"/>
  <c r="Z1025" i="7"/>
  <c r="Z1026" i="7"/>
  <c r="Z1027" i="7"/>
  <c r="Z1028" i="7"/>
  <c r="Z1029" i="7"/>
  <c r="Z1030" i="7"/>
  <c r="Z1031" i="7"/>
  <c r="Z1032" i="7"/>
  <c r="Z1033" i="7"/>
  <c r="Z1034" i="7"/>
  <c r="Z1035" i="7"/>
  <c r="Z1036" i="7"/>
  <c r="Z1037" i="7"/>
  <c r="Z1038" i="7"/>
  <c r="Z1039" i="7"/>
  <c r="Z1040" i="7"/>
  <c r="Z1041" i="7"/>
  <c r="Z1042" i="7"/>
  <c r="Z1043" i="7"/>
  <c r="Z1044" i="7"/>
  <c r="Z1045" i="7"/>
  <c r="Z1046" i="7"/>
  <c r="Z1047" i="7"/>
  <c r="Z1048" i="7"/>
  <c r="Z1049" i="7"/>
  <c r="Z1050" i="7"/>
  <c r="Z1051" i="7"/>
  <c r="Z1052" i="7"/>
  <c r="Z1053" i="7"/>
  <c r="Z1054" i="7"/>
  <c r="Z1055" i="7"/>
  <c r="Z1056" i="7"/>
  <c r="Z1057" i="7"/>
  <c r="Z1058" i="7"/>
  <c r="Z1059" i="7"/>
  <c r="Z1060" i="7"/>
  <c r="Z1061" i="7"/>
  <c r="Z1062" i="7"/>
  <c r="Z1063" i="7"/>
  <c r="Z1064" i="7"/>
  <c r="Z1065" i="7"/>
  <c r="Z1066" i="7"/>
  <c r="Z1067" i="7"/>
  <c r="Z1068" i="7"/>
  <c r="Z1069" i="7"/>
  <c r="Z1070" i="7"/>
  <c r="Z1071" i="7"/>
  <c r="Z1072" i="7"/>
  <c r="Z1073" i="7"/>
  <c r="Z1074" i="7"/>
  <c r="Z1075" i="7"/>
  <c r="Z1076" i="7"/>
  <c r="Z1077" i="7"/>
  <c r="Z1078" i="7"/>
  <c r="Z1079" i="7"/>
  <c r="Z1080" i="7"/>
  <c r="Z1081" i="7"/>
  <c r="Z1082" i="7"/>
  <c r="Z1083" i="7"/>
  <c r="Z1084" i="7"/>
  <c r="Z1085" i="7"/>
  <c r="Z1086" i="7"/>
  <c r="Z1087" i="7"/>
  <c r="Z1088" i="7"/>
  <c r="Z1089" i="7"/>
  <c r="Z1090" i="7"/>
  <c r="Z1091" i="7"/>
  <c r="Z1092" i="7"/>
  <c r="Z1093" i="7"/>
  <c r="Z1094" i="7"/>
  <c r="Z1095" i="7"/>
  <c r="Z1096" i="7"/>
  <c r="Z1097" i="7"/>
  <c r="Z1098" i="7"/>
  <c r="Z1099" i="7"/>
  <c r="Z1100" i="7"/>
  <c r="Z1101" i="7"/>
  <c r="Z1102" i="7"/>
  <c r="Z1103" i="7"/>
  <c r="Z1104" i="7"/>
  <c r="Z1105" i="7"/>
  <c r="Z1106" i="7"/>
  <c r="Z1107" i="7"/>
  <c r="Z1108" i="7"/>
  <c r="Z1109" i="7"/>
  <c r="Z1110" i="7"/>
  <c r="Z1111" i="7"/>
  <c r="Z1112" i="7"/>
  <c r="Z1113" i="7"/>
  <c r="Z1114" i="7"/>
  <c r="Z1115" i="7"/>
  <c r="Z1116" i="7"/>
  <c r="Z1117" i="7"/>
  <c r="Z1118" i="7"/>
  <c r="Z1119" i="7"/>
  <c r="Z1120" i="7"/>
  <c r="Z1121" i="7"/>
  <c r="Z1122" i="7"/>
  <c r="Z1123" i="7"/>
  <c r="Z1124" i="7"/>
  <c r="Z1125" i="7"/>
  <c r="Z1126" i="7"/>
  <c r="Z1127" i="7"/>
  <c r="Z1128" i="7"/>
  <c r="Z1129" i="7"/>
  <c r="Z1130" i="7"/>
  <c r="Z1131" i="7"/>
  <c r="Z1132" i="7"/>
  <c r="Z1133" i="7"/>
  <c r="Z1134" i="7"/>
  <c r="Z1135" i="7"/>
  <c r="Z1136" i="7"/>
  <c r="Z1137" i="7"/>
  <c r="Z1138" i="7"/>
  <c r="Z1139" i="7"/>
  <c r="Z1140" i="7"/>
  <c r="Z1141" i="7"/>
  <c r="Z1142" i="7"/>
  <c r="Z1143" i="7"/>
  <c r="Z1144" i="7"/>
  <c r="Z1145" i="7"/>
  <c r="Z1146" i="7"/>
  <c r="Z1147" i="7"/>
  <c r="Z1148" i="7"/>
  <c r="Z1149" i="7"/>
  <c r="Z1150" i="7"/>
  <c r="Z1151" i="7"/>
  <c r="Z1152" i="7"/>
  <c r="Z1153" i="7"/>
  <c r="Z1154" i="7"/>
  <c r="Z1155" i="7"/>
  <c r="Z1156" i="7"/>
  <c r="Z1157" i="7"/>
  <c r="Z1158" i="7"/>
  <c r="Z1159" i="7"/>
  <c r="Z1160" i="7"/>
  <c r="Z1161" i="7"/>
  <c r="Z1162" i="7"/>
  <c r="Z1163" i="7"/>
  <c r="Z1164" i="7"/>
  <c r="Z1165" i="7"/>
  <c r="Z1166" i="7"/>
  <c r="Z1167" i="7"/>
  <c r="Z1168" i="7"/>
  <c r="Z1169" i="7"/>
  <c r="Z1170" i="7"/>
  <c r="Z1171" i="7"/>
  <c r="Z1172" i="7"/>
  <c r="Z1173" i="7"/>
  <c r="Z1174" i="7"/>
  <c r="Z1175" i="7"/>
  <c r="Z1176" i="7"/>
  <c r="Z1177" i="7"/>
  <c r="Z1178" i="7"/>
  <c r="Z1179" i="7"/>
  <c r="Z1180" i="7"/>
  <c r="Z1181" i="7"/>
  <c r="Z1182" i="7"/>
  <c r="Z1183" i="7"/>
  <c r="Z1184" i="7"/>
  <c r="Z1185" i="7"/>
  <c r="Z1186" i="7"/>
  <c r="Z1187" i="7"/>
  <c r="Z1188" i="7"/>
  <c r="Z1189" i="7"/>
  <c r="Z1190" i="7"/>
  <c r="Z1191" i="7"/>
  <c r="Z1192" i="7"/>
  <c r="Z1193" i="7"/>
  <c r="Z1194" i="7"/>
  <c r="Z1195" i="7"/>
  <c r="Z1196" i="7"/>
  <c r="Z1197" i="7"/>
  <c r="Z1198" i="7"/>
  <c r="Z1199" i="7"/>
  <c r="Z1200" i="7"/>
  <c r="Z1201" i="7"/>
  <c r="Z1202" i="7"/>
  <c r="Z1203" i="7"/>
  <c r="Z1205" i="7"/>
  <c r="Z1206" i="7"/>
  <c r="Z1207" i="7"/>
  <c r="Z1208" i="7"/>
  <c r="Z1209" i="7"/>
  <c r="Z1210" i="7"/>
  <c r="Z1211" i="7"/>
  <c r="Z1212" i="7"/>
  <c r="Z1213" i="7"/>
  <c r="Z1214" i="7"/>
  <c r="Z1215" i="7"/>
  <c r="Z1216" i="7"/>
  <c r="Z1217" i="7"/>
  <c r="Z1218" i="7"/>
  <c r="Z1219" i="7"/>
  <c r="Z1220" i="7"/>
  <c r="Z1221" i="7"/>
  <c r="Z1222" i="7"/>
  <c r="Z1223" i="7"/>
  <c r="Z1224" i="7"/>
  <c r="Z1225" i="7"/>
  <c r="Z1226" i="7"/>
  <c r="Z1227" i="7"/>
  <c r="Z1228" i="7"/>
  <c r="Z1229" i="7"/>
  <c r="Z1230" i="7"/>
  <c r="Z1231" i="7"/>
  <c r="Z1232" i="7"/>
  <c r="Z1233" i="7"/>
  <c r="Z1234" i="7"/>
  <c r="Z1235" i="7"/>
  <c r="Z1236" i="7"/>
  <c r="Z1237" i="7"/>
  <c r="Z1238" i="7"/>
  <c r="Z1239" i="7"/>
  <c r="Z1240" i="7"/>
  <c r="Z1241" i="7"/>
  <c r="Z1242" i="7"/>
  <c r="Z1243" i="7"/>
  <c r="Z1244" i="7"/>
  <c r="Z1245" i="7"/>
  <c r="Z1246" i="7"/>
  <c r="Z1247" i="7"/>
  <c r="Z1248" i="7"/>
  <c r="Z1249" i="7"/>
  <c r="Z1250" i="7"/>
  <c r="Z1251" i="7"/>
  <c r="Z1252" i="7"/>
  <c r="Z1253" i="7"/>
  <c r="Z1254" i="7"/>
  <c r="Z1255" i="7"/>
  <c r="Z1256" i="7"/>
  <c r="Z1257" i="7"/>
  <c r="Z1258" i="7"/>
  <c r="Z1259" i="7"/>
  <c r="Z1260" i="7"/>
  <c r="Z1261" i="7"/>
  <c r="Z1262" i="7"/>
  <c r="Z1263" i="7"/>
  <c r="Z1264" i="7"/>
  <c r="Z1265" i="7"/>
  <c r="Z1266" i="7"/>
  <c r="Z1267" i="7"/>
  <c r="Z1268" i="7"/>
  <c r="Z1269" i="7"/>
  <c r="Z1270" i="7"/>
  <c r="Z1271" i="7"/>
  <c r="Z1272" i="7"/>
  <c r="Z1273" i="7"/>
  <c r="Z1274" i="7"/>
  <c r="Z1275" i="7"/>
  <c r="Z1276" i="7"/>
  <c r="Z1277" i="7"/>
  <c r="Z1278" i="7"/>
  <c r="Z1279" i="7"/>
  <c r="Z1280" i="7"/>
  <c r="Z1281" i="7"/>
  <c r="Z1282" i="7"/>
  <c r="Z1283" i="7"/>
  <c r="Z1284" i="7"/>
  <c r="Z1285" i="7"/>
  <c r="Z1286" i="7"/>
  <c r="Z1287" i="7"/>
  <c r="Z1288" i="7"/>
  <c r="Z1289" i="7"/>
  <c r="Z1290" i="7"/>
  <c r="Z1291" i="7"/>
  <c r="Z1292" i="7"/>
  <c r="Z1293" i="7"/>
  <c r="Z1294" i="7"/>
  <c r="Z1295" i="7"/>
  <c r="Z1296" i="7"/>
  <c r="Z1297" i="7"/>
  <c r="Z1298" i="7"/>
  <c r="Z1299" i="7"/>
  <c r="Z1300" i="7"/>
  <c r="Z1301" i="7"/>
  <c r="Z1302" i="7"/>
  <c r="Z1303" i="7"/>
  <c r="Z1304" i="7"/>
  <c r="Z1305" i="7"/>
  <c r="Z1306" i="7"/>
  <c r="Z1307" i="7"/>
  <c r="Z1308" i="7"/>
  <c r="Z1309" i="7"/>
  <c r="Z1310" i="7"/>
  <c r="Z1311" i="7"/>
  <c r="Z1312" i="7"/>
  <c r="Z1313" i="7"/>
  <c r="Z1314" i="7"/>
  <c r="Z1315" i="7"/>
  <c r="Z1316" i="7"/>
  <c r="Z1317" i="7"/>
  <c r="Z1318" i="7"/>
  <c r="Z1319" i="7"/>
  <c r="Z1320" i="7"/>
  <c r="Z1321" i="7"/>
  <c r="Z1322" i="7"/>
  <c r="Z1323" i="7"/>
  <c r="Z1324" i="7"/>
  <c r="Z1325" i="7"/>
  <c r="Z1326" i="7"/>
  <c r="Z1327" i="7"/>
  <c r="Z1328" i="7"/>
  <c r="Z1329" i="7"/>
  <c r="Z1330" i="7"/>
  <c r="Z1331" i="7"/>
  <c r="Z1332" i="7"/>
  <c r="Z1333" i="7"/>
  <c r="Z1334" i="7"/>
  <c r="Z1335" i="7"/>
  <c r="Z1336" i="7"/>
  <c r="Z1337" i="7"/>
  <c r="Z1338" i="7"/>
  <c r="Z1339" i="7"/>
  <c r="Z1340" i="7"/>
  <c r="Z1341" i="7"/>
  <c r="Z1342" i="7"/>
  <c r="Z1343" i="7"/>
  <c r="Z1344" i="7"/>
  <c r="Z1345" i="7"/>
  <c r="Z1346" i="7"/>
  <c r="Z1347" i="7"/>
  <c r="Z1348" i="7"/>
  <c r="Z1349" i="7"/>
  <c r="Z1350" i="7"/>
  <c r="Z1351" i="7"/>
  <c r="Z1352" i="7"/>
  <c r="Z1353" i="7"/>
  <c r="Z1354" i="7"/>
  <c r="Z1355" i="7"/>
  <c r="Z1356" i="7"/>
  <c r="Z1357" i="7"/>
  <c r="Z1358" i="7"/>
  <c r="Z1359" i="7"/>
  <c r="Z1360" i="7"/>
  <c r="Z1361" i="7"/>
  <c r="Z1362" i="7"/>
  <c r="Z1363" i="7"/>
  <c r="Z1364" i="7"/>
  <c r="Z1365" i="7"/>
  <c r="Z1366" i="7"/>
  <c r="Z1367" i="7"/>
  <c r="Z1368" i="7"/>
  <c r="Z1369" i="7"/>
  <c r="Z1370" i="7"/>
  <c r="Z1371" i="7"/>
  <c r="Z1372" i="7"/>
  <c r="Z1373" i="7"/>
  <c r="Z1374" i="7"/>
  <c r="Z1375" i="7"/>
  <c r="Z1376" i="7"/>
  <c r="Z1377" i="7"/>
  <c r="Z1378" i="7"/>
  <c r="Z1379" i="7"/>
  <c r="Z1380" i="7"/>
  <c r="Z1381" i="7"/>
  <c r="Z1382" i="7"/>
  <c r="Z1383" i="7"/>
  <c r="Z1384" i="7"/>
  <c r="Z1385" i="7"/>
  <c r="Z1386" i="7"/>
  <c r="Z1387" i="7"/>
  <c r="Z1388" i="7"/>
  <c r="Z1389" i="7"/>
  <c r="Z1390" i="7"/>
  <c r="Z1391" i="7"/>
  <c r="Z1392" i="7"/>
  <c r="Z1393" i="7"/>
  <c r="Z1394" i="7"/>
  <c r="Z1395" i="7"/>
  <c r="Z1396" i="7"/>
  <c r="Z1397" i="7"/>
  <c r="Z1398" i="7"/>
  <c r="Z1399" i="7"/>
  <c r="Z1400" i="7"/>
  <c r="Z1401" i="7"/>
  <c r="Z1402" i="7"/>
  <c r="Z1403" i="7"/>
  <c r="Z1404" i="7"/>
  <c r="Z1405" i="7"/>
  <c r="Z1406" i="7"/>
  <c r="Z1407" i="7"/>
  <c r="Z1408" i="7"/>
  <c r="Z1409" i="7"/>
  <c r="Z1410" i="7"/>
  <c r="Z1411" i="7"/>
  <c r="Z1412" i="7"/>
  <c r="Z1413" i="7"/>
  <c r="Z1414" i="7"/>
  <c r="Z1415" i="7"/>
  <c r="Z1416" i="7"/>
  <c r="Z1417" i="7"/>
  <c r="Z1418" i="7"/>
  <c r="Z1419" i="7"/>
  <c r="Z1420" i="7"/>
  <c r="Z1421" i="7"/>
  <c r="Z1422" i="7"/>
  <c r="Z1423" i="7"/>
  <c r="Z1424" i="7"/>
  <c r="Z1425" i="7"/>
  <c r="Z1426" i="7"/>
  <c r="Z1427" i="7"/>
  <c r="Z1428" i="7"/>
  <c r="Z1429" i="7"/>
  <c r="Z1430" i="7"/>
  <c r="Z1431" i="7"/>
  <c r="Z1432" i="7"/>
  <c r="Z1433" i="7"/>
  <c r="Z1434" i="7"/>
  <c r="Z1435" i="7"/>
  <c r="Z1436" i="7"/>
  <c r="Z1437" i="7"/>
  <c r="Z1438" i="7"/>
  <c r="Z1439" i="7"/>
  <c r="Z1440" i="7"/>
  <c r="Z1441" i="7"/>
  <c r="Z1442" i="7"/>
  <c r="Z1443" i="7"/>
  <c r="Z1444" i="7"/>
  <c r="Z1445" i="7"/>
  <c r="Z1446" i="7"/>
  <c r="Z1447" i="7"/>
  <c r="Z1448" i="7"/>
  <c r="Z1449" i="7"/>
  <c r="Z1450" i="7"/>
  <c r="Z1451" i="7"/>
  <c r="Z1452" i="7"/>
  <c r="Z1453" i="7"/>
  <c r="Z1454" i="7"/>
  <c r="Z1455" i="7"/>
  <c r="Z1456" i="7"/>
  <c r="Z1457" i="7"/>
  <c r="Z1458" i="7"/>
  <c r="Z1459" i="7"/>
  <c r="Z1460" i="7"/>
  <c r="Z1461" i="7"/>
  <c r="Z1462" i="7"/>
  <c r="Z1463" i="7"/>
  <c r="Z1464" i="7"/>
  <c r="Z1465" i="7"/>
  <c r="Z1466" i="7"/>
  <c r="Z1467" i="7"/>
  <c r="Z1468" i="7"/>
  <c r="Z1469" i="7"/>
  <c r="Z1470" i="7"/>
  <c r="Z1471" i="7"/>
  <c r="Z1472" i="7"/>
  <c r="Z1473" i="7"/>
  <c r="Z1474" i="7"/>
  <c r="Z1475" i="7"/>
  <c r="Z1476" i="7"/>
  <c r="Z1477" i="7"/>
  <c r="Z1478" i="7"/>
  <c r="Z1479" i="7"/>
  <c r="Z1480" i="7"/>
  <c r="Z1481" i="7"/>
  <c r="Z1482" i="7"/>
  <c r="Z1483" i="7"/>
  <c r="Z1484" i="7"/>
  <c r="Z1485" i="7"/>
  <c r="Z1486" i="7"/>
  <c r="Z1487" i="7"/>
  <c r="Z1488" i="7"/>
  <c r="Z1489" i="7"/>
  <c r="Z1490" i="7"/>
  <c r="Z1491" i="7"/>
  <c r="Z1492" i="7"/>
  <c r="Z1493" i="7"/>
  <c r="Z1494" i="7"/>
  <c r="Z1495" i="7"/>
  <c r="Z1496" i="7"/>
  <c r="Z1497" i="7"/>
  <c r="Z1498" i="7"/>
  <c r="Z1499" i="7"/>
  <c r="Z1500" i="7"/>
  <c r="Z1501" i="7"/>
  <c r="Z1502" i="7"/>
  <c r="Z1503" i="7"/>
  <c r="Z1504" i="7"/>
  <c r="Z1505" i="7"/>
  <c r="Z1506" i="7"/>
  <c r="Z1507" i="7"/>
  <c r="Z1508" i="7"/>
  <c r="Z1509" i="7"/>
  <c r="Z1510" i="7"/>
  <c r="Z1511" i="7"/>
  <c r="Z1512" i="7"/>
  <c r="Z1513" i="7"/>
  <c r="Z1514" i="7"/>
  <c r="Z1515" i="7"/>
  <c r="Z1516" i="7"/>
  <c r="Z1517" i="7"/>
  <c r="Z1518" i="7"/>
  <c r="Z1519" i="7"/>
  <c r="Z1520" i="7"/>
  <c r="Z1521" i="7"/>
  <c r="Z1522" i="7"/>
  <c r="Z1523" i="7"/>
  <c r="Z1524" i="7"/>
  <c r="Z1525" i="7"/>
  <c r="Z1526" i="7"/>
  <c r="Z1527" i="7"/>
  <c r="Z1528" i="7"/>
  <c r="Z1529" i="7"/>
  <c r="Z1530" i="7"/>
  <c r="Z1531" i="7"/>
  <c r="Z1532" i="7"/>
  <c r="Z1533" i="7"/>
  <c r="Z1534" i="7"/>
  <c r="Z1535" i="7"/>
  <c r="Z1536" i="7"/>
  <c r="Z1537" i="7"/>
  <c r="Z1538" i="7"/>
  <c r="Z1539" i="7"/>
  <c r="Z1540" i="7"/>
  <c r="Z1541" i="7"/>
  <c r="Z1542" i="7"/>
  <c r="Z1543" i="7"/>
  <c r="Z1544" i="7"/>
  <c r="Z1545" i="7"/>
  <c r="Z1546" i="7"/>
  <c r="Z1547" i="7"/>
  <c r="Z1548" i="7"/>
  <c r="Z1549" i="7"/>
  <c r="Z1550" i="7"/>
  <c r="Z1551" i="7"/>
  <c r="Z1552" i="7"/>
  <c r="Z1553" i="7"/>
  <c r="Z1554" i="7"/>
  <c r="Z1555" i="7"/>
  <c r="Z1556" i="7"/>
  <c r="Z1557" i="7"/>
  <c r="Z1558" i="7"/>
  <c r="Z1559" i="7"/>
  <c r="Z1560" i="7"/>
  <c r="Z1561" i="7"/>
  <c r="Z1562" i="7"/>
  <c r="Z1563" i="7"/>
  <c r="Z1564" i="7"/>
  <c r="Z1565" i="7"/>
  <c r="Z1566" i="7"/>
  <c r="Z1567" i="7"/>
  <c r="Z1568" i="7"/>
  <c r="Z1569" i="7"/>
  <c r="Z1570" i="7"/>
  <c r="Z1571" i="7"/>
  <c r="Z1572" i="7"/>
  <c r="Z1573" i="7"/>
  <c r="Z1574" i="7"/>
  <c r="Z1575" i="7"/>
  <c r="Z1576" i="7"/>
  <c r="Z1577" i="7"/>
  <c r="Z1578" i="7"/>
  <c r="Z1579" i="7"/>
  <c r="Z1580" i="7"/>
  <c r="Z1581" i="7"/>
  <c r="Z1582" i="7"/>
  <c r="Z1583" i="7"/>
  <c r="Z1584" i="7"/>
  <c r="Z1585" i="7"/>
  <c r="Z1586" i="7"/>
  <c r="Z1587" i="7"/>
  <c r="Z1588" i="7"/>
  <c r="Z1589" i="7"/>
  <c r="Z1590" i="7"/>
  <c r="Z1591" i="7"/>
  <c r="Z1592" i="7"/>
  <c r="Z1593" i="7"/>
  <c r="Z1594" i="7"/>
  <c r="Z1595" i="7"/>
  <c r="Z1596" i="7"/>
  <c r="Z1597" i="7"/>
  <c r="Z1598" i="7"/>
  <c r="Z1599" i="7"/>
  <c r="Z1600" i="7"/>
  <c r="Z1601" i="7"/>
  <c r="Z1602" i="7"/>
  <c r="Z1603" i="7"/>
  <c r="Z1604" i="7"/>
  <c r="Z1605" i="7"/>
  <c r="Z1606" i="7"/>
  <c r="Z1607" i="7"/>
  <c r="Z1608" i="7"/>
  <c r="Z1609" i="7"/>
  <c r="Z1610" i="7"/>
  <c r="Z1611" i="7"/>
  <c r="Z1612" i="7"/>
  <c r="Z1613" i="7"/>
  <c r="Z1614" i="7"/>
  <c r="Z1615" i="7"/>
  <c r="Z1616" i="7"/>
  <c r="Z1617" i="7"/>
  <c r="Z1618" i="7"/>
  <c r="Z1619" i="7"/>
  <c r="Z1620" i="7"/>
  <c r="Z1621" i="7"/>
  <c r="Z1622" i="7"/>
  <c r="Z1623" i="7"/>
  <c r="Z1624" i="7"/>
  <c r="Z1625" i="7"/>
  <c r="Z1626" i="7"/>
  <c r="Z1627" i="7"/>
  <c r="Z1628" i="7"/>
  <c r="Z1629" i="7"/>
  <c r="Z1630" i="7"/>
  <c r="Z1631" i="7"/>
  <c r="Z1632" i="7"/>
  <c r="Z1633" i="7"/>
  <c r="Z1634" i="7"/>
  <c r="Z1635" i="7"/>
  <c r="Z1636" i="7"/>
  <c r="Z1637" i="7"/>
  <c r="Z1638" i="7"/>
  <c r="Z1639" i="7"/>
  <c r="Z1640" i="7"/>
  <c r="Z1641" i="7"/>
  <c r="Z1642" i="7"/>
  <c r="Z1643" i="7"/>
  <c r="Z1644" i="7"/>
  <c r="Z1645" i="7"/>
  <c r="Z1646" i="7"/>
  <c r="Z1647" i="7"/>
  <c r="Z1648" i="7"/>
  <c r="Z1649" i="7"/>
  <c r="Z1650" i="7"/>
  <c r="Z1651" i="7"/>
  <c r="Z1652" i="7"/>
  <c r="Z1653" i="7"/>
  <c r="Z1654" i="7"/>
  <c r="Z1655" i="7"/>
  <c r="Z1656" i="7"/>
  <c r="Z1657" i="7"/>
  <c r="Z1658" i="7"/>
  <c r="Z1659" i="7"/>
  <c r="Z1660" i="7"/>
  <c r="Z1661" i="7"/>
  <c r="Z1662" i="7"/>
  <c r="Z1663" i="7"/>
  <c r="Z1664" i="7"/>
  <c r="Z1665" i="7"/>
  <c r="Z1666" i="7"/>
  <c r="Z1667" i="7"/>
  <c r="Z1668" i="7"/>
  <c r="Z1669" i="7"/>
  <c r="Z1670" i="7"/>
  <c r="Z1671" i="7"/>
  <c r="Z1672" i="7"/>
  <c r="Z1673" i="7"/>
  <c r="Z1674" i="7"/>
  <c r="Z1675" i="7"/>
  <c r="Z1676" i="7"/>
  <c r="Z1677" i="7"/>
  <c r="Z1678" i="7"/>
  <c r="Z1679" i="7"/>
  <c r="Z1680" i="7"/>
  <c r="Z1681" i="7"/>
  <c r="Z1682" i="7"/>
  <c r="Z1683" i="7"/>
  <c r="Z1684" i="7"/>
  <c r="Z1685" i="7"/>
  <c r="Z1686" i="7"/>
  <c r="Z1687" i="7"/>
  <c r="Z1688" i="7"/>
  <c r="Z1689" i="7"/>
  <c r="Z1690" i="7"/>
  <c r="Z1691" i="7"/>
  <c r="Z1692" i="7"/>
  <c r="Z1693" i="7"/>
  <c r="Z1694" i="7"/>
  <c r="Z1695" i="7"/>
  <c r="Z1696" i="7"/>
  <c r="Z1697" i="7"/>
  <c r="Z1698" i="7"/>
  <c r="Z1699" i="7"/>
  <c r="Z1700" i="7"/>
  <c r="Z1701" i="7"/>
  <c r="Z1702" i="7"/>
  <c r="Z1703" i="7"/>
  <c r="Z1704" i="7"/>
  <c r="Z1705" i="7"/>
  <c r="Z1706" i="7"/>
  <c r="Z1707" i="7"/>
  <c r="Z1708" i="7"/>
  <c r="Z1709" i="7"/>
  <c r="Z1710" i="7"/>
  <c r="Z1711" i="7"/>
  <c r="Z1712" i="7"/>
  <c r="Z1713" i="7"/>
  <c r="Z1714" i="7"/>
  <c r="Z1715" i="7"/>
  <c r="Z1716" i="7"/>
  <c r="Z1717" i="7"/>
  <c r="Z1718" i="7"/>
  <c r="Z1719" i="7"/>
  <c r="Z1720" i="7"/>
  <c r="Z1721" i="7"/>
  <c r="Z1722" i="7"/>
  <c r="Z1723" i="7"/>
  <c r="Z1724" i="7"/>
  <c r="Z1725" i="7"/>
  <c r="Z1726" i="7"/>
  <c r="Z1727" i="7"/>
  <c r="Z1728" i="7"/>
  <c r="Z1729" i="7"/>
  <c r="Z1730" i="7"/>
  <c r="Z1731" i="7"/>
  <c r="Z1732" i="7"/>
  <c r="Z1733" i="7"/>
  <c r="Z1734" i="7"/>
  <c r="Z1735" i="7"/>
  <c r="Z1736" i="7"/>
  <c r="Z1737" i="7"/>
  <c r="Z1738" i="7"/>
  <c r="Z1739" i="7"/>
  <c r="Z1740" i="7"/>
  <c r="Z1741" i="7"/>
  <c r="Z1742" i="7"/>
  <c r="Z1743" i="7"/>
  <c r="Z1744" i="7"/>
  <c r="Z1745" i="7"/>
  <c r="Z1746" i="7"/>
  <c r="Z1747" i="7"/>
  <c r="Z1748" i="7"/>
  <c r="Z1749" i="7"/>
  <c r="Z1750" i="7"/>
  <c r="Z1751" i="7"/>
  <c r="Z1752" i="7"/>
  <c r="Z1753" i="7"/>
  <c r="Z1754" i="7"/>
  <c r="Z1755" i="7"/>
  <c r="Z1756" i="7"/>
  <c r="Z1757" i="7"/>
  <c r="Z1758" i="7"/>
  <c r="Z1759" i="7"/>
  <c r="Z1760" i="7"/>
  <c r="Z1761" i="7"/>
  <c r="Z1762" i="7"/>
  <c r="Z1763" i="7"/>
  <c r="Z1764" i="7"/>
  <c r="Z1765" i="7"/>
  <c r="Z1766" i="7"/>
  <c r="Z1767" i="7"/>
  <c r="Z1768" i="7"/>
  <c r="Z1769" i="7"/>
  <c r="Z1770" i="7"/>
  <c r="Z1771" i="7"/>
  <c r="Z1772" i="7"/>
  <c r="Z1773" i="7"/>
  <c r="Z1774" i="7"/>
  <c r="Z1775" i="7"/>
  <c r="Z1776" i="7"/>
  <c r="Z1777" i="7"/>
  <c r="Z1778" i="7"/>
  <c r="Z1779" i="7"/>
  <c r="Z1780" i="7"/>
  <c r="Z1781" i="7"/>
  <c r="Z1782" i="7"/>
  <c r="Z1783" i="7"/>
  <c r="Z1784" i="7"/>
  <c r="Z1785" i="7"/>
  <c r="Z1786" i="7"/>
  <c r="Z1787" i="7"/>
  <c r="Z1788" i="7"/>
  <c r="Z1789" i="7"/>
  <c r="Z1790" i="7"/>
  <c r="Z1791" i="7"/>
  <c r="Z1792" i="7"/>
  <c r="Z1793" i="7"/>
  <c r="Z1794" i="7"/>
  <c r="Z1795" i="7"/>
  <c r="Z1796" i="7"/>
  <c r="Z1797" i="7"/>
  <c r="Z1798" i="7"/>
  <c r="Z1799" i="7"/>
  <c r="Z1800" i="7"/>
  <c r="Z1801" i="7"/>
  <c r="Z1802" i="7"/>
  <c r="Z1803" i="7"/>
  <c r="Z1804" i="7"/>
  <c r="Z1805" i="7"/>
  <c r="Z1806" i="7"/>
  <c r="Z1807" i="7"/>
  <c r="Z1808" i="7"/>
  <c r="Z1809" i="7"/>
  <c r="Z1810" i="7"/>
  <c r="Z1811" i="7"/>
  <c r="Z1812" i="7"/>
  <c r="Z1813" i="7"/>
  <c r="Z1814" i="7"/>
  <c r="Z1815" i="7"/>
  <c r="Z1816" i="7"/>
  <c r="Z1817" i="7"/>
  <c r="Z1818" i="7"/>
  <c r="Z1819" i="7"/>
  <c r="Z1820" i="7"/>
  <c r="Z1821" i="7"/>
  <c r="Z1822" i="7"/>
  <c r="Z1823" i="7"/>
  <c r="Z1824" i="7"/>
  <c r="Z1825" i="7"/>
  <c r="Z1826" i="7"/>
  <c r="Z1827" i="7"/>
  <c r="Z1828" i="7"/>
  <c r="Z1829" i="7"/>
  <c r="Z1830" i="7"/>
  <c r="Z1831" i="7"/>
  <c r="Z1832" i="7"/>
  <c r="Z1833" i="7"/>
  <c r="Z1834" i="7"/>
  <c r="Z1835" i="7"/>
  <c r="Z1836" i="7"/>
  <c r="Z1837" i="7"/>
  <c r="Z1838" i="7"/>
  <c r="Z1839" i="7"/>
  <c r="Z1840" i="7"/>
  <c r="Z1841" i="7"/>
  <c r="Z1842" i="7"/>
  <c r="Z1843" i="7"/>
  <c r="Z1844" i="7"/>
  <c r="Z1845" i="7"/>
  <c r="Z1846" i="7"/>
  <c r="Z1847" i="7"/>
  <c r="Z1848" i="7"/>
  <c r="Z1849" i="7"/>
  <c r="Z1850" i="7"/>
  <c r="Z1851" i="7"/>
  <c r="Z1852" i="7"/>
  <c r="Z1853" i="7"/>
  <c r="Z1854" i="7"/>
  <c r="Z1855" i="7"/>
  <c r="Z1856" i="7"/>
  <c r="Z1857" i="7"/>
  <c r="Z1858" i="7"/>
  <c r="Z1859" i="7"/>
  <c r="Z1860" i="7"/>
  <c r="Z1861" i="7"/>
  <c r="Z1862" i="7"/>
  <c r="Z1863" i="7"/>
  <c r="Z1864" i="7"/>
  <c r="Z1865" i="7"/>
  <c r="Z1866" i="7"/>
  <c r="Z1867" i="7"/>
  <c r="Z1868" i="7"/>
  <c r="Z1869" i="7"/>
  <c r="Z1870" i="7"/>
  <c r="Z1871" i="7"/>
  <c r="Z1872" i="7"/>
  <c r="Z1873" i="7"/>
  <c r="Z1874" i="7"/>
  <c r="Z1875" i="7"/>
  <c r="Z1876" i="7"/>
  <c r="Z1877" i="7"/>
  <c r="Z1878" i="7"/>
  <c r="Z1879" i="7"/>
  <c r="Z1880" i="7"/>
  <c r="Z1881" i="7"/>
  <c r="Z1882" i="7"/>
  <c r="Z1883" i="7"/>
  <c r="Z1884" i="7"/>
  <c r="Z1885" i="7"/>
  <c r="Z1886" i="7"/>
  <c r="Z1887" i="7"/>
  <c r="Z1888" i="7"/>
  <c r="Z1889" i="7"/>
  <c r="Z1890" i="7"/>
  <c r="Z1891" i="7"/>
  <c r="Z1892" i="7"/>
  <c r="Z1893" i="7"/>
  <c r="Z1894" i="7"/>
  <c r="Z1895" i="7"/>
  <c r="Z1896" i="7"/>
  <c r="Z1897" i="7"/>
  <c r="Z1898" i="7"/>
  <c r="Z1899" i="7"/>
  <c r="Z1900" i="7"/>
  <c r="Z1901" i="7"/>
  <c r="Z1902" i="7"/>
  <c r="Z1903" i="7"/>
  <c r="Z1904" i="7"/>
  <c r="Z1905" i="7"/>
  <c r="Z1906" i="7"/>
  <c r="Z1907" i="7"/>
  <c r="Z1908" i="7"/>
  <c r="Z1909" i="7"/>
  <c r="Z1910" i="7"/>
  <c r="Z1911" i="7"/>
  <c r="Z1912" i="7"/>
  <c r="Z1913" i="7"/>
  <c r="Z1914" i="7"/>
  <c r="Z1915" i="7"/>
  <c r="Z1916" i="7"/>
  <c r="Z1917" i="7"/>
  <c r="Z1918" i="7"/>
  <c r="Z1919" i="7"/>
  <c r="Z1920" i="7"/>
  <c r="Z1921" i="7"/>
  <c r="Z1922" i="7"/>
  <c r="Z1923" i="7"/>
  <c r="Z1924" i="7"/>
  <c r="Z1925" i="7"/>
  <c r="Z1926" i="7"/>
  <c r="Z1927" i="7"/>
  <c r="Z1928" i="7"/>
  <c r="Z1929" i="7"/>
  <c r="Z1930" i="7"/>
  <c r="Z1931" i="7"/>
  <c r="Z1932" i="7"/>
  <c r="Z1933" i="7"/>
  <c r="Z1934" i="7"/>
  <c r="Z1935" i="7"/>
  <c r="Z1936" i="7"/>
  <c r="Z1937" i="7"/>
  <c r="Z1938" i="7"/>
  <c r="Z1939" i="7"/>
  <c r="Z1940" i="7"/>
  <c r="Z1941" i="7"/>
  <c r="Z1942" i="7"/>
  <c r="Z1943" i="7"/>
  <c r="Z1944" i="7"/>
  <c r="Z1945" i="7"/>
  <c r="Z1946" i="7"/>
  <c r="Z1947" i="7"/>
  <c r="Z1948" i="7"/>
  <c r="Z1949" i="7"/>
  <c r="Z1950" i="7"/>
  <c r="Z1951" i="7"/>
  <c r="Z1952" i="7"/>
  <c r="Z1953" i="7"/>
  <c r="Z1954" i="7"/>
  <c r="Z1955" i="7"/>
  <c r="Z1956" i="7"/>
  <c r="Z1957" i="7"/>
  <c r="Z1958" i="7"/>
  <c r="Z1959" i="7"/>
  <c r="Z1960" i="7"/>
  <c r="Z1961" i="7"/>
  <c r="Z1962" i="7"/>
  <c r="Z1963" i="7"/>
  <c r="Z1964" i="7"/>
  <c r="Z1965" i="7"/>
  <c r="Z1966" i="7"/>
  <c r="Z1967" i="7"/>
  <c r="Z1968" i="7"/>
  <c r="Z1969" i="7"/>
  <c r="Z1970" i="7"/>
  <c r="Z1971" i="7"/>
  <c r="Z1972" i="7"/>
  <c r="Z1973" i="7"/>
  <c r="Z1974" i="7"/>
  <c r="Z1975" i="7"/>
  <c r="Z1976" i="7"/>
  <c r="Z1977" i="7"/>
  <c r="Z1978" i="7"/>
  <c r="Z1979" i="7"/>
  <c r="Z1980" i="7"/>
  <c r="Z1981" i="7"/>
  <c r="Z1982" i="7"/>
  <c r="Z1983" i="7"/>
  <c r="Z1984" i="7"/>
  <c r="Z1985" i="7"/>
  <c r="Z1986" i="7"/>
  <c r="Z1987" i="7"/>
  <c r="Z1988" i="7"/>
  <c r="Z1989" i="7"/>
  <c r="Z1990" i="7"/>
  <c r="Z1991" i="7"/>
  <c r="Z1992" i="7"/>
  <c r="Z1993" i="7"/>
  <c r="Z1994" i="7"/>
  <c r="Z1995" i="7"/>
  <c r="Z1996" i="7"/>
  <c r="Z1997" i="7"/>
  <c r="Z1998" i="7"/>
  <c r="Z1999" i="7"/>
  <c r="Z2000" i="7"/>
  <c r="Z2001" i="7"/>
  <c r="Z2002" i="7"/>
  <c r="Z2003" i="7"/>
  <c r="Z2004" i="7"/>
  <c r="Z2005" i="7"/>
  <c r="Z2006" i="7"/>
  <c r="Z2007" i="7"/>
  <c r="Z2008" i="7"/>
  <c r="Z2009" i="7"/>
  <c r="Z2010" i="7"/>
  <c r="Z2011" i="7"/>
  <c r="Z2012" i="7"/>
  <c r="Z2013" i="7"/>
  <c r="Z2014" i="7"/>
  <c r="Z2015" i="7"/>
  <c r="Z2016" i="7"/>
  <c r="Z2017" i="7"/>
  <c r="Z2018" i="7"/>
  <c r="Z2019" i="7"/>
  <c r="Z2020" i="7"/>
  <c r="Z2021" i="7"/>
  <c r="Z2022" i="7"/>
  <c r="Z2023" i="7"/>
  <c r="Z2024" i="7"/>
  <c r="Z2025" i="7"/>
  <c r="Z2026" i="7"/>
  <c r="Z2027" i="7"/>
  <c r="Z2028" i="7"/>
  <c r="Z2029" i="7"/>
  <c r="Z2030" i="7"/>
  <c r="Z2031" i="7"/>
  <c r="Z2032" i="7"/>
  <c r="Z2033" i="7"/>
  <c r="Z2034" i="7"/>
  <c r="Z2035" i="7"/>
  <c r="Z2036" i="7"/>
  <c r="Z2037" i="7"/>
  <c r="Z2038" i="7"/>
  <c r="Z2039" i="7"/>
  <c r="Z2040" i="7"/>
  <c r="Z2041" i="7"/>
  <c r="Z2042" i="7"/>
  <c r="Z2043" i="7"/>
  <c r="Z2044" i="7"/>
  <c r="Z2045" i="7"/>
  <c r="Z2046" i="7"/>
  <c r="Z2047" i="7"/>
  <c r="Z2048" i="7"/>
  <c r="Z2049" i="7"/>
  <c r="Z2050" i="7"/>
  <c r="Z2051" i="7"/>
  <c r="Z2052" i="7"/>
  <c r="Z2053" i="7"/>
  <c r="Z2054" i="7"/>
  <c r="Z2055" i="7"/>
  <c r="Z2056" i="7"/>
  <c r="Z2057" i="7"/>
  <c r="Z2058" i="7"/>
  <c r="Z2059" i="7"/>
  <c r="Z2060" i="7"/>
  <c r="Z2061" i="7"/>
  <c r="Z2062" i="7"/>
  <c r="Z2063" i="7"/>
  <c r="Z2064" i="7"/>
  <c r="Z2065" i="7"/>
  <c r="Z2066" i="7"/>
  <c r="Z2067" i="7"/>
  <c r="Z2068" i="7"/>
  <c r="Z2069" i="7"/>
  <c r="Z2070" i="7"/>
  <c r="Z2071" i="7"/>
  <c r="Z2072" i="7"/>
  <c r="Z2073" i="7"/>
  <c r="Z2074" i="7"/>
  <c r="Z2075" i="7"/>
  <c r="Z2076" i="7"/>
  <c r="Z2077" i="7"/>
  <c r="Z2078" i="7"/>
  <c r="Z2079" i="7"/>
  <c r="Z2080" i="7"/>
  <c r="Z2081" i="7"/>
  <c r="Z2082" i="7"/>
  <c r="Z2083" i="7"/>
  <c r="Z2084" i="7"/>
  <c r="Z2085" i="7"/>
  <c r="Z2086" i="7"/>
  <c r="Z2087" i="7"/>
  <c r="Z2088" i="7"/>
  <c r="Z2089" i="7"/>
  <c r="Z2090" i="7"/>
  <c r="Z2091" i="7"/>
  <c r="Z2092" i="7"/>
  <c r="Z2093" i="7"/>
  <c r="Z2094" i="7"/>
  <c r="Z2095" i="7"/>
  <c r="Z2096" i="7"/>
  <c r="Z2097" i="7"/>
  <c r="Z2098" i="7"/>
  <c r="Z2099" i="7"/>
  <c r="Z2100" i="7"/>
  <c r="Z2101" i="7"/>
  <c r="Z2102" i="7"/>
  <c r="Z2103" i="7"/>
  <c r="Z2104" i="7"/>
  <c r="Z2105" i="7"/>
  <c r="Z2106" i="7"/>
  <c r="Z2107" i="7"/>
  <c r="Z2108" i="7"/>
  <c r="Z2109" i="7"/>
  <c r="Z2110" i="7"/>
  <c r="Z2111" i="7"/>
  <c r="Z2112" i="7"/>
  <c r="Z2113" i="7"/>
  <c r="Z2114" i="7"/>
  <c r="Z2115" i="7"/>
  <c r="Z2116" i="7"/>
  <c r="Z2117" i="7"/>
  <c r="Z2118" i="7"/>
  <c r="Z2119" i="7"/>
  <c r="Z2120" i="7"/>
  <c r="Z2121" i="7"/>
  <c r="Z2122" i="7"/>
  <c r="Z2123" i="7"/>
  <c r="Z2124" i="7"/>
  <c r="Z2125" i="7"/>
  <c r="Z2126" i="7"/>
  <c r="Z2127" i="7"/>
  <c r="Z2128" i="7"/>
  <c r="Z2129" i="7"/>
  <c r="Z2130" i="7"/>
  <c r="Z2131" i="7"/>
  <c r="Z2132" i="7"/>
  <c r="Z2133" i="7"/>
  <c r="Z2134" i="7"/>
  <c r="Z2135" i="7"/>
  <c r="Z2136" i="7"/>
  <c r="Z2137" i="7"/>
  <c r="Z2138" i="7"/>
  <c r="Z2139" i="7"/>
  <c r="Z2140" i="7"/>
  <c r="Z2141" i="7"/>
  <c r="Z2142" i="7"/>
  <c r="Z2143" i="7"/>
  <c r="Z2144" i="7"/>
  <c r="Z2145" i="7"/>
  <c r="Z2146" i="7"/>
  <c r="Z2147" i="7"/>
  <c r="Z2148" i="7"/>
  <c r="Z2149" i="7"/>
  <c r="Z2150" i="7"/>
  <c r="Z2151" i="7"/>
  <c r="Z2152" i="7"/>
  <c r="Z2153" i="7"/>
  <c r="Z2154" i="7"/>
  <c r="Z2155" i="7"/>
  <c r="Z2156" i="7"/>
  <c r="Z2157" i="7"/>
  <c r="Z2158" i="7"/>
  <c r="Z2159" i="7"/>
  <c r="Z2160" i="7"/>
  <c r="Z2161" i="7"/>
  <c r="Z2162" i="7"/>
  <c r="Z2163" i="7"/>
  <c r="Z2164" i="7"/>
  <c r="Z2165" i="7"/>
  <c r="Z2166" i="7"/>
  <c r="Z2167" i="7"/>
  <c r="Z2168" i="7"/>
  <c r="Z2169" i="7"/>
  <c r="Z2170" i="7"/>
  <c r="Z2171" i="7"/>
  <c r="Z2172" i="7"/>
  <c r="Z2173" i="7"/>
  <c r="Z2174" i="7"/>
  <c r="Z2175" i="7"/>
  <c r="Z2176" i="7"/>
  <c r="Z2177" i="7"/>
  <c r="Z2178" i="7"/>
  <c r="Z2179" i="7"/>
  <c r="Z2180" i="7"/>
  <c r="Z2181" i="7"/>
  <c r="Z2182" i="7"/>
  <c r="Z2183" i="7"/>
  <c r="Z2184" i="7"/>
  <c r="Z2185" i="7"/>
  <c r="Z2186" i="7"/>
  <c r="Z2187" i="7"/>
  <c r="Z2188" i="7"/>
  <c r="Z2189" i="7"/>
  <c r="Z2190" i="7"/>
  <c r="Z2191" i="7"/>
  <c r="Z2192" i="7"/>
  <c r="Z2193" i="7"/>
  <c r="Z2194" i="7"/>
  <c r="Z2195" i="7"/>
  <c r="Z2196" i="7"/>
  <c r="Z2197" i="7"/>
  <c r="Z2198" i="7"/>
  <c r="Z2199" i="7"/>
  <c r="Z2200" i="7"/>
  <c r="Z2201" i="7"/>
  <c r="Z2202" i="7"/>
  <c r="Z2203" i="7"/>
  <c r="Z2204" i="7"/>
  <c r="Z2205" i="7"/>
  <c r="Z2206" i="7"/>
  <c r="Z2207" i="7"/>
  <c r="Z2208" i="7"/>
  <c r="Z2209" i="7"/>
  <c r="Z2210" i="7"/>
  <c r="Z2211" i="7"/>
  <c r="Z2212" i="7"/>
  <c r="Z2213" i="7"/>
  <c r="Z2214" i="7"/>
  <c r="Z2215" i="7"/>
  <c r="Z2216" i="7"/>
  <c r="Z2217" i="7"/>
  <c r="Z2218" i="7"/>
  <c r="Z2219" i="7"/>
  <c r="Z2220" i="7"/>
  <c r="Z2221" i="7"/>
  <c r="Z2222" i="7"/>
  <c r="Z2223" i="7"/>
  <c r="Z2224" i="7"/>
  <c r="Z2225" i="7"/>
  <c r="Z2226" i="7"/>
  <c r="Z2227" i="7"/>
  <c r="Z2228" i="7"/>
  <c r="Z2229" i="7"/>
  <c r="Z2230" i="7"/>
  <c r="Z2231" i="7"/>
  <c r="Z2232" i="7"/>
  <c r="Z2233" i="7"/>
  <c r="Z2234" i="7"/>
  <c r="Z2235" i="7"/>
  <c r="Z2236" i="7"/>
  <c r="Z2237" i="7"/>
  <c r="Z2238" i="7"/>
  <c r="Z2239" i="7"/>
  <c r="Z2240" i="7"/>
  <c r="Z2241" i="7"/>
  <c r="Z2242" i="7"/>
  <c r="Z2243" i="7"/>
  <c r="Z2244" i="7"/>
  <c r="Z2245" i="7"/>
  <c r="Z2246" i="7"/>
  <c r="Z2247" i="7"/>
  <c r="Z2248" i="7"/>
  <c r="Z2249" i="7"/>
  <c r="Z2250" i="7"/>
  <c r="Z2251" i="7"/>
  <c r="Z2252" i="7"/>
  <c r="Z2253" i="7"/>
  <c r="Z2254" i="7"/>
  <c r="Z2255" i="7"/>
  <c r="Z2256" i="7"/>
  <c r="Z2257" i="7"/>
  <c r="Z2258" i="7"/>
  <c r="Z2259" i="7"/>
  <c r="Z2260" i="7"/>
  <c r="Z2261" i="7"/>
  <c r="Z2262" i="7"/>
  <c r="Z2263" i="7"/>
  <c r="Z2264" i="7"/>
  <c r="Z2265" i="7"/>
  <c r="Z2266" i="7"/>
  <c r="Z2267" i="7"/>
  <c r="Z2268" i="7"/>
  <c r="Z2269" i="7"/>
  <c r="Z2270" i="7"/>
  <c r="Z2271" i="7"/>
  <c r="Z2272" i="7"/>
  <c r="Z2273" i="7"/>
  <c r="Z2274" i="7"/>
  <c r="Z2275" i="7"/>
  <c r="Z2276" i="7"/>
  <c r="Z2277" i="7"/>
  <c r="Z2278" i="7"/>
  <c r="Z2279" i="7"/>
  <c r="Z2280" i="7"/>
  <c r="Z2281" i="7"/>
  <c r="Z2282" i="7"/>
  <c r="Z2283" i="7"/>
  <c r="Z2284" i="7"/>
  <c r="Z2285" i="7"/>
  <c r="Z2286" i="7"/>
  <c r="Z2287" i="7"/>
  <c r="Z2288" i="7"/>
  <c r="Z2289" i="7"/>
  <c r="Z2290" i="7"/>
  <c r="Z2291" i="7"/>
  <c r="Z2292" i="7"/>
  <c r="Z2293" i="7"/>
  <c r="Z2294" i="7"/>
  <c r="Z2295" i="7"/>
  <c r="Z2296" i="7"/>
  <c r="Z2297" i="7"/>
  <c r="Z2298" i="7"/>
  <c r="Z2299" i="7"/>
  <c r="Z2300" i="7"/>
  <c r="Z2301" i="7"/>
  <c r="Z2302" i="7"/>
  <c r="Z2303" i="7"/>
  <c r="Z2304" i="7"/>
  <c r="Z2305" i="7"/>
  <c r="Z2306" i="7"/>
  <c r="Z2307" i="7"/>
  <c r="Z2308" i="7"/>
  <c r="Z2309" i="7"/>
  <c r="Z2310" i="7"/>
  <c r="Z2311" i="7"/>
  <c r="Z2312" i="7"/>
  <c r="Z2313" i="7"/>
  <c r="Z2314" i="7"/>
  <c r="Z2315" i="7"/>
  <c r="Z2316" i="7"/>
  <c r="Z2317" i="7"/>
  <c r="Z2318" i="7"/>
  <c r="Z2319" i="7"/>
  <c r="Z2320" i="7"/>
  <c r="Z2321" i="7"/>
  <c r="Z2322" i="7"/>
  <c r="Z2323" i="7"/>
  <c r="Z2324" i="7"/>
  <c r="Z2325" i="7"/>
  <c r="Z2326" i="7"/>
  <c r="Z2327" i="7"/>
  <c r="Z2328" i="7"/>
  <c r="Z2329" i="7"/>
  <c r="Z2330" i="7"/>
  <c r="Z2331" i="7"/>
  <c r="Z2332" i="7"/>
  <c r="Z2333" i="7"/>
  <c r="Z2334" i="7"/>
  <c r="Z2335" i="7"/>
  <c r="Z2336" i="7"/>
  <c r="Z2337" i="7"/>
  <c r="Z2338" i="7"/>
  <c r="Z2339" i="7"/>
  <c r="Z2340" i="7"/>
  <c r="Z2341" i="7"/>
  <c r="Z2342" i="7"/>
  <c r="Z2343" i="7"/>
  <c r="Z2344" i="7"/>
  <c r="Z2345" i="7"/>
  <c r="Z2346" i="7"/>
  <c r="Z2347" i="7"/>
  <c r="Z2348" i="7"/>
  <c r="Z2349" i="7"/>
  <c r="Z2350" i="7"/>
  <c r="Z2351" i="7"/>
  <c r="Z2352" i="7"/>
  <c r="Z2353" i="7"/>
  <c r="Z2354" i="7"/>
  <c r="Z2355" i="7"/>
  <c r="Z2356" i="7"/>
  <c r="Z2357" i="7"/>
  <c r="Z2358" i="7"/>
  <c r="Z2359" i="7"/>
  <c r="Z2360" i="7"/>
  <c r="Z2361" i="7"/>
  <c r="Z2362" i="7"/>
  <c r="Z2363" i="7"/>
  <c r="Z2364" i="7"/>
  <c r="Z2365" i="7"/>
  <c r="Z2366" i="7"/>
  <c r="Z2367" i="7"/>
  <c r="Z2368" i="7"/>
  <c r="Z2369" i="7"/>
  <c r="Z2370" i="7"/>
  <c r="Z2371" i="7"/>
  <c r="Z2372" i="7"/>
  <c r="Z2373" i="7"/>
  <c r="Z2374" i="7"/>
  <c r="Z2375" i="7"/>
  <c r="Z2376" i="7"/>
  <c r="Z2377" i="7"/>
  <c r="Z2378" i="7"/>
  <c r="Z2379" i="7"/>
  <c r="Z2380" i="7"/>
  <c r="Z2381" i="7"/>
  <c r="Z2382" i="7"/>
  <c r="Z2383" i="7"/>
  <c r="Z2384" i="7"/>
  <c r="Z2385" i="7"/>
  <c r="Z2386" i="7"/>
  <c r="Z2387" i="7"/>
  <c r="Z2388" i="7"/>
  <c r="Z2389" i="7"/>
  <c r="Z2390" i="7"/>
  <c r="Z2391" i="7"/>
  <c r="Z2392" i="7"/>
  <c r="Z2393" i="7"/>
  <c r="Z2394" i="7"/>
  <c r="Z2395" i="7"/>
  <c r="Z2396" i="7"/>
  <c r="Z2397" i="7"/>
  <c r="Z2398" i="7"/>
  <c r="Z2399" i="7"/>
  <c r="Z2400" i="7"/>
  <c r="Z2401" i="7"/>
  <c r="Z2402" i="7"/>
  <c r="Z2403" i="7"/>
  <c r="Z2404" i="7"/>
  <c r="Z2405" i="7"/>
  <c r="Z2406" i="7"/>
  <c r="Z2407" i="7"/>
  <c r="Z2408" i="7"/>
  <c r="Z2409" i="7"/>
  <c r="Z2410" i="7"/>
  <c r="Z2411" i="7"/>
  <c r="Z2412" i="7"/>
  <c r="Z2413" i="7"/>
  <c r="Z2414" i="7"/>
  <c r="Z2415" i="7"/>
  <c r="Z2416" i="7"/>
  <c r="Z2417" i="7"/>
  <c r="Z2418" i="7"/>
  <c r="Z2419" i="7"/>
  <c r="Z2420" i="7"/>
  <c r="Z2421" i="7"/>
  <c r="Z2422" i="7"/>
  <c r="Z2423" i="7"/>
  <c r="Z2424" i="7"/>
  <c r="Z2425" i="7"/>
  <c r="Z2426" i="7"/>
  <c r="Z2427" i="7"/>
  <c r="Z2428" i="7"/>
  <c r="Z2429" i="7"/>
  <c r="Z2430" i="7"/>
  <c r="Z2431" i="7"/>
  <c r="Z2432" i="7"/>
  <c r="Z2433" i="7"/>
  <c r="Z2434" i="7"/>
  <c r="Z2435" i="7"/>
  <c r="Z2436" i="7"/>
  <c r="Z2437" i="7"/>
  <c r="Z2438" i="7"/>
  <c r="Z2439" i="7"/>
  <c r="Z2440" i="7"/>
  <c r="Z2441" i="7"/>
  <c r="Z2442" i="7"/>
  <c r="Z2443" i="7"/>
  <c r="Z2444" i="7"/>
  <c r="Z2445" i="7"/>
  <c r="Z2446" i="7"/>
  <c r="Z2447" i="7"/>
  <c r="Z2448" i="7"/>
  <c r="Z2449" i="7"/>
  <c r="Z2450" i="7"/>
  <c r="Z2451" i="7"/>
  <c r="Z2452" i="7"/>
  <c r="Z2453" i="7"/>
  <c r="Z2454" i="7"/>
  <c r="Z2455" i="7"/>
  <c r="Z2456" i="7"/>
  <c r="Z2457" i="7"/>
  <c r="Z2458" i="7"/>
  <c r="Z2459" i="7"/>
  <c r="Z2460" i="7"/>
  <c r="Z2461" i="7"/>
  <c r="Z2462" i="7"/>
  <c r="Z2463" i="7"/>
  <c r="Z2464" i="7"/>
  <c r="Z2465" i="7"/>
  <c r="Z2466" i="7"/>
  <c r="Z2467" i="7"/>
  <c r="Z2468" i="7"/>
  <c r="Z2469" i="7"/>
  <c r="Z2470" i="7"/>
  <c r="Z2471" i="7"/>
  <c r="Z2472" i="7"/>
  <c r="Z2473" i="7"/>
  <c r="Z2474" i="7"/>
  <c r="Z2475" i="7"/>
  <c r="Z2476" i="7"/>
  <c r="Z2477" i="7"/>
  <c r="Z2478" i="7"/>
  <c r="Z2479" i="7"/>
  <c r="Z2480" i="7"/>
  <c r="Z2481" i="7"/>
  <c r="Z2482" i="7"/>
  <c r="Z2483" i="7"/>
  <c r="Z2484" i="7"/>
  <c r="Z2485" i="7"/>
  <c r="S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S1033" i="7"/>
  <c r="S1034" i="7"/>
  <c r="S1035" i="7"/>
  <c r="S1036" i="7"/>
  <c r="S1037" i="7"/>
  <c r="S1038" i="7"/>
  <c r="S1039" i="7"/>
  <c r="S1040" i="7"/>
  <c r="S1041" i="7"/>
  <c r="S1042" i="7"/>
  <c r="S1043" i="7"/>
  <c r="S1044" i="7"/>
  <c r="S1045" i="7"/>
  <c r="S1046" i="7"/>
  <c r="S1047" i="7"/>
  <c r="S1048" i="7"/>
  <c r="S1049" i="7"/>
  <c r="S1050" i="7"/>
  <c r="S1051" i="7"/>
  <c r="S1052" i="7"/>
  <c r="S1053" i="7"/>
  <c r="S1054" i="7"/>
  <c r="S1055" i="7"/>
  <c r="S1056" i="7"/>
  <c r="S1057" i="7"/>
  <c r="S1058" i="7"/>
  <c r="S1059" i="7"/>
  <c r="S1060" i="7"/>
  <c r="S1061" i="7"/>
  <c r="S1062" i="7"/>
  <c r="S1063" i="7"/>
  <c r="S1064" i="7"/>
  <c r="S1065" i="7"/>
  <c r="S1066" i="7"/>
  <c r="S1067" i="7"/>
  <c r="S1068" i="7"/>
  <c r="S1069" i="7"/>
  <c r="S1070" i="7"/>
  <c r="S1071" i="7"/>
  <c r="S1072" i="7"/>
  <c r="S1073" i="7"/>
  <c r="S1074" i="7"/>
  <c r="S1075" i="7"/>
  <c r="S1076" i="7"/>
  <c r="S1077" i="7"/>
  <c r="S1078" i="7"/>
  <c r="S1079" i="7"/>
  <c r="S1080" i="7"/>
  <c r="S1081" i="7"/>
  <c r="S1082" i="7"/>
  <c r="S1083" i="7"/>
  <c r="S1084" i="7"/>
  <c r="S1085" i="7"/>
  <c r="S1086" i="7"/>
  <c r="S1087" i="7"/>
  <c r="S1088" i="7"/>
  <c r="S1089" i="7"/>
  <c r="S1090" i="7"/>
  <c r="S1091" i="7"/>
  <c r="S1092" i="7"/>
  <c r="S1093" i="7"/>
  <c r="S1094" i="7"/>
  <c r="S1095" i="7"/>
  <c r="S1096" i="7"/>
  <c r="S1097" i="7"/>
  <c r="S1098" i="7"/>
  <c r="S1099" i="7"/>
  <c r="S1100" i="7"/>
  <c r="S1101" i="7"/>
  <c r="S1102" i="7"/>
  <c r="S1103" i="7"/>
  <c r="S1104" i="7"/>
  <c r="S1105" i="7"/>
  <c r="S1106" i="7"/>
  <c r="S1107" i="7"/>
  <c r="S1108" i="7"/>
  <c r="S1109" i="7"/>
  <c r="S1110" i="7"/>
  <c r="S1111" i="7"/>
  <c r="S1112" i="7"/>
  <c r="S1113" i="7"/>
  <c r="S1114" i="7"/>
  <c r="S1115" i="7"/>
  <c r="S1116" i="7"/>
  <c r="S1117" i="7"/>
  <c r="S1118" i="7"/>
  <c r="S1119" i="7"/>
  <c r="S1120" i="7"/>
  <c r="S1121" i="7"/>
  <c r="S1122" i="7"/>
  <c r="S1123" i="7"/>
  <c r="S1124" i="7"/>
  <c r="S1125" i="7"/>
  <c r="S1126" i="7"/>
  <c r="S1127" i="7"/>
  <c r="S1128" i="7"/>
  <c r="S1129" i="7"/>
  <c r="S1130" i="7"/>
  <c r="S1131" i="7"/>
  <c r="S1132" i="7"/>
  <c r="S1133" i="7"/>
  <c r="S1134" i="7"/>
  <c r="S1135" i="7"/>
  <c r="S1136" i="7"/>
  <c r="S1137" i="7"/>
  <c r="S1138" i="7"/>
  <c r="S1139" i="7"/>
  <c r="S1140" i="7"/>
  <c r="S1141" i="7"/>
  <c r="S1142" i="7"/>
  <c r="S1143" i="7"/>
  <c r="S1144" i="7"/>
  <c r="S1145" i="7"/>
  <c r="S1146" i="7"/>
  <c r="S1147" i="7"/>
  <c r="S1148" i="7"/>
  <c r="S1149" i="7"/>
  <c r="S1150" i="7"/>
  <c r="S1151" i="7"/>
  <c r="S1152" i="7"/>
  <c r="S1153" i="7"/>
  <c r="S1154" i="7"/>
  <c r="S1155" i="7"/>
  <c r="S1156" i="7"/>
  <c r="S1157" i="7"/>
  <c r="S1158" i="7"/>
  <c r="S1159" i="7"/>
  <c r="S1160" i="7"/>
  <c r="S1161" i="7"/>
  <c r="S1162" i="7"/>
  <c r="S1163" i="7"/>
  <c r="S1164" i="7"/>
  <c r="S1165" i="7"/>
  <c r="S1166" i="7"/>
  <c r="S1167" i="7"/>
  <c r="S1168" i="7"/>
  <c r="S1169" i="7"/>
  <c r="S1170" i="7"/>
  <c r="S1171" i="7"/>
  <c r="S1172" i="7"/>
  <c r="S1173" i="7"/>
  <c r="S1174" i="7"/>
  <c r="S1175" i="7"/>
  <c r="S1176" i="7"/>
  <c r="S1177" i="7"/>
  <c r="S1178" i="7"/>
  <c r="S1179" i="7"/>
  <c r="S1180" i="7"/>
  <c r="S1181" i="7"/>
  <c r="S1182" i="7"/>
  <c r="S1183" i="7"/>
  <c r="S1184" i="7"/>
  <c r="S1185" i="7"/>
  <c r="S1186" i="7"/>
  <c r="S1187" i="7"/>
  <c r="S1188" i="7"/>
  <c r="S1189" i="7"/>
  <c r="S1190" i="7"/>
  <c r="S1191" i="7"/>
  <c r="S1192" i="7"/>
  <c r="S1193" i="7"/>
  <c r="S1194" i="7"/>
  <c r="S1195" i="7"/>
  <c r="S1196" i="7"/>
  <c r="S1197" i="7"/>
  <c r="S1198" i="7"/>
  <c r="S1199" i="7"/>
  <c r="S1200" i="7"/>
  <c r="S1201" i="7"/>
  <c r="S1202" i="7"/>
  <c r="S1203" i="7"/>
  <c r="S1204" i="7"/>
  <c r="S1205" i="7"/>
  <c r="S1206" i="7"/>
  <c r="S1207" i="7"/>
  <c r="S1208" i="7"/>
  <c r="S1209" i="7"/>
  <c r="S1210" i="7"/>
  <c r="S1211" i="7"/>
  <c r="S1212" i="7"/>
  <c r="S1213" i="7"/>
  <c r="S1214" i="7"/>
  <c r="S1215" i="7"/>
  <c r="S1216" i="7"/>
  <c r="S1217" i="7"/>
  <c r="S1218" i="7"/>
  <c r="S1219" i="7"/>
  <c r="S1220" i="7"/>
  <c r="S1221" i="7"/>
  <c r="S1222" i="7"/>
  <c r="S1223" i="7"/>
  <c r="S1224" i="7"/>
  <c r="S1225" i="7"/>
  <c r="S1226" i="7"/>
  <c r="S1227" i="7"/>
  <c r="S1228" i="7"/>
  <c r="S1229" i="7"/>
  <c r="S1230" i="7"/>
  <c r="S1231" i="7"/>
  <c r="S1232" i="7"/>
  <c r="S1233" i="7"/>
  <c r="S1234" i="7"/>
  <c r="S1235" i="7"/>
  <c r="S1236" i="7"/>
  <c r="S1237" i="7"/>
  <c r="S1238" i="7"/>
  <c r="S1239" i="7"/>
  <c r="S1240" i="7"/>
  <c r="S1241" i="7"/>
  <c r="S1242" i="7"/>
  <c r="S1243" i="7"/>
  <c r="S1244" i="7"/>
  <c r="S1245" i="7"/>
  <c r="S1246" i="7"/>
  <c r="S1247" i="7"/>
  <c r="S1248" i="7"/>
  <c r="S1249" i="7"/>
  <c r="S1250" i="7"/>
  <c r="S1251" i="7"/>
  <c r="S1252" i="7"/>
  <c r="S1253" i="7"/>
  <c r="S1254" i="7"/>
  <c r="S1255" i="7"/>
  <c r="S1256" i="7"/>
  <c r="S1257" i="7"/>
  <c r="S1258" i="7"/>
  <c r="S1259" i="7"/>
  <c r="S1260" i="7"/>
  <c r="S1261" i="7"/>
  <c r="S1262" i="7"/>
  <c r="S1263" i="7"/>
  <c r="S1264" i="7"/>
  <c r="S1265" i="7"/>
  <c r="S1266" i="7"/>
  <c r="S1267" i="7"/>
  <c r="S1268" i="7"/>
  <c r="S1269" i="7"/>
  <c r="S1270" i="7"/>
  <c r="S1271" i="7"/>
  <c r="S1272" i="7"/>
  <c r="S1273" i="7"/>
  <c r="S1274" i="7"/>
  <c r="S1275" i="7"/>
  <c r="S1276" i="7"/>
  <c r="S1277" i="7"/>
  <c r="S1278" i="7"/>
  <c r="S1279" i="7"/>
  <c r="S1280" i="7"/>
  <c r="S1281" i="7"/>
  <c r="S1282" i="7"/>
  <c r="S1283" i="7"/>
  <c r="S1284" i="7"/>
  <c r="S1285" i="7"/>
  <c r="S1286" i="7"/>
  <c r="S1287" i="7"/>
  <c r="S1288" i="7"/>
  <c r="S1289" i="7"/>
  <c r="S1290" i="7"/>
  <c r="S1291" i="7"/>
  <c r="S1292" i="7"/>
  <c r="S1293" i="7"/>
  <c r="S1294" i="7"/>
  <c r="S1295" i="7"/>
  <c r="S1296" i="7"/>
  <c r="S1297" i="7"/>
  <c r="S1298" i="7"/>
  <c r="S1299" i="7"/>
  <c r="S1300" i="7"/>
  <c r="S1301" i="7"/>
  <c r="S1302" i="7"/>
  <c r="S1303" i="7"/>
  <c r="S1304" i="7"/>
  <c r="S1305" i="7"/>
  <c r="S1306" i="7"/>
  <c r="S1307" i="7"/>
  <c r="S1308" i="7"/>
  <c r="S1309" i="7"/>
  <c r="S1310" i="7"/>
  <c r="S1311" i="7"/>
  <c r="S1312" i="7"/>
  <c r="S1313" i="7"/>
  <c r="S1314" i="7"/>
  <c r="S1315" i="7"/>
  <c r="S1316" i="7"/>
  <c r="S1317" i="7"/>
  <c r="S1318" i="7"/>
  <c r="S1319" i="7"/>
  <c r="S1320" i="7"/>
  <c r="S1321" i="7"/>
  <c r="S1322" i="7"/>
  <c r="S1323" i="7"/>
  <c r="S1324" i="7"/>
  <c r="S1325" i="7"/>
  <c r="S1326" i="7"/>
  <c r="S1327" i="7"/>
  <c r="S1328" i="7"/>
  <c r="S1329" i="7"/>
  <c r="S1330" i="7"/>
  <c r="S1331" i="7"/>
  <c r="S1332" i="7"/>
  <c r="S1333" i="7"/>
  <c r="S1334" i="7"/>
  <c r="S1335" i="7"/>
  <c r="S1336" i="7"/>
  <c r="S1337" i="7"/>
  <c r="S1338" i="7"/>
  <c r="S1339" i="7"/>
  <c r="S1340" i="7"/>
  <c r="S1341" i="7"/>
  <c r="S1342" i="7"/>
  <c r="S1343" i="7"/>
  <c r="S1344" i="7"/>
  <c r="S1345" i="7"/>
  <c r="S1346" i="7"/>
  <c r="S1347" i="7"/>
  <c r="S1348" i="7"/>
  <c r="S1349" i="7"/>
  <c r="S1350" i="7"/>
  <c r="S1351" i="7"/>
  <c r="S1352" i="7"/>
  <c r="S1353" i="7"/>
  <c r="S1354" i="7"/>
  <c r="S1355" i="7"/>
  <c r="S1356" i="7"/>
  <c r="S1357" i="7"/>
  <c r="S1358" i="7"/>
  <c r="S1359" i="7"/>
  <c r="S1360" i="7"/>
  <c r="S1361" i="7"/>
  <c r="S1362" i="7"/>
  <c r="S1363" i="7"/>
  <c r="S1364" i="7"/>
  <c r="S1365" i="7"/>
  <c r="S1366" i="7"/>
  <c r="S1367" i="7"/>
  <c r="S1368" i="7"/>
  <c r="S1369" i="7"/>
  <c r="S1370" i="7"/>
  <c r="S1371" i="7"/>
  <c r="S1372" i="7"/>
  <c r="S1373" i="7"/>
  <c r="S1374" i="7"/>
  <c r="S1375" i="7"/>
  <c r="S1376" i="7"/>
  <c r="S1377" i="7"/>
  <c r="S1378" i="7"/>
  <c r="S1379" i="7"/>
  <c r="S1380" i="7"/>
  <c r="S1381" i="7"/>
  <c r="S1382" i="7"/>
  <c r="S1383" i="7"/>
  <c r="S1384" i="7"/>
  <c r="S1385" i="7"/>
  <c r="S1386" i="7"/>
  <c r="S1387" i="7"/>
  <c r="S1388" i="7"/>
  <c r="S1389" i="7"/>
  <c r="S1390" i="7"/>
  <c r="S1391" i="7"/>
  <c r="S1392" i="7"/>
  <c r="S1393" i="7"/>
  <c r="S1394" i="7"/>
  <c r="S1395" i="7"/>
  <c r="S1396" i="7"/>
  <c r="S1397" i="7"/>
  <c r="S1398" i="7"/>
  <c r="S1399" i="7"/>
  <c r="S1400" i="7"/>
  <c r="S1401" i="7"/>
  <c r="S1402" i="7"/>
  <c r="S1403" i="7"/>
  <c r="S1404" i="7"/>
  <c r="S1405" i="7"/>
  <c r="S1406" i="7"/>
  <c r="S1407" i="7"/>
  <c r="S1408" i="7"/>
  <c r="S1409" i="7"/>
  <c r="S1410" i="7"/>
  <c r="S1411" i="7"/>
  <c r="S1412" i="7"/>
  <c r="S1413" i="7"/>
  <c r="S1414" i="7"/>
  <c r="S1415" i="7"/>
  <c r="S1416" i="7"/>
  <c r="S1417" i="7"/>
  <c r="S1418" i="7"/>
  <c r="S1419" i="7"/>
  <c r="S1420" i="7"/>
  <c r="S1421" i="7"/>
  <c r="S1422" i="7"/>
  <c r="S1423" i="7"/>
  <c r="S1424" i="7"/>
  <c r="S1425" i="7"/>
  <c r="S1426" i="7"/>
  <c r="S1427" i="7"/>
  <c r="S1428" i="7"/>
  <c r="S1429" i="7"/>
  <c r="S1430" i="7"/>
  <c r="S1431" i="7"/>
  <c r="S1432" i="7"/>
  <c r="S1433" i="7"/>
  <c r="S1434" i="7"/>
  <c r="S1435" i="7"/>
  <c r="S1436" i="7"/>
  <c r="S1437" i="7"/>
  <c r="S1438" i="7"/>
  <c r="S1439" i="7"/>
  <c r="S1440" i="7"/>
  <c r="S1441" i="7"/>
  <c r="S1442" i="7"/>
  <c r="S1443" i="7"/>
  <c r="S1444" i="7"/>
  <c r="S1445" i="7"/>
  <c r="S1446" i="7"/>
  <c r="S1447" i="7"/>
  <c r="S1448" i="7"/>
  <c r="S1449" i="7"/>
  <c r="S1450" i="7"/>
  <c r="S1451" i="7"/>
  <c r="S1452" i="7"/>
  <c r="S1453" i="7"/>
  <c r="S1454" i="7"/>
  <c r="S1455" i="7"/>
  <c r="S1456" i="7"/>
  <c r="S1457" i="7"/>
  <c r="S1458" i="7"/>
  <c r="S1459" i="7"/>
  <c r="S1460" i="7"/>
  <c r="S1461" i="7"/>
  <c r="S1462" i="7"/>
  <c r="S1463" i="7"/>
  <c r="S1464" i="7"/>
  <c r="S1465" i="7"/>
  <c r="S1466" i="7"/>
  <c r="S1467" i="7"/>
  <c r="S1468" i="7"/>
  <c r="S1469" i="7"/>
  <c r="S1470" i="7"/>
  <c r="S1471" i="7"/>
  <c r="S1472" i="7"/>
  <c r="S1473" i="7"/>
  <c r="S1474" i="7"/>
  <c r="S1475" i="7"/>
  <c r="S1476" i="7"/>
  <c r="S1477" i="7"/>
  <c r="S1478" i="7"/>
  <c r="S1479" i="7"/>
  <c r="S1480" i="7"/>
  <c r="S1481" i="7"/>
  <c r="S1482" i="7"/>
  <c r="S1483" i="7"/>
  <c r="S1484" i="7"/>
  <c r="S1485" i="7"/>
  <c r="S1486" i="7"/>
  <c r="S1487" i="7"/>
  <c r="S1488" i="7"/>
  <c r="S1489" i="7"/>
  <c r="S1490" i="7"/>
  <c r="S1491" i="7"/>
  <c r="S1492" i="7"/>
  <c r="S1493" i="7"/>
  <c r="S1494" i="7"/>
  <c r="S1495" i="7"/>
  <c r="S1496" i="7"/>
  <c r="S1497" i="7"/>
  <c r="S1498" i="7"/>
  <c r="S1499" i="7"/>
  <c r="S1500" i="7"/>
  <c r="S1501" i="7"/>
  <c r="S1502" i="7"/>
  <c r="S1503" i="7"/>
  <c r="S1504" i="7"/>
  <c r="S1505" i="7"/>
  <c r="S1506" i="7"/>
  <c r="S1507" i="7"/>
  <c r="S1508" i="7"/>
  <c r="S1509" i="7"/>
  <c r="S1510" i="7"/>
  <c r="S1511" i="7"/>
  <c r="S1512" i="7"/>
  <c r="S1513" i="7"/>
  <c r="S1514" i="7"/>
  <c r="S1515" i="7"/>
  <c r="S1516" i="7"/>
  <c r="S1517" i="7"/>
  <c r="S1518" i="7"/>
  <c r="S1519" i="7"/>
  <c r="S1520" i="7"/>
  <c r="S1521" i="7"/>
  <c r="S1522" i="7"/>
  <c r="S1523" i="7"/>
  <c r="S1524" i="7"/>
  <c r="S1525" i="7"/>
  <c r="S1526" i="7"/>
  <c r="S1527" i="7"/>
  <c r="S1528" i="7"/>
  <c r="S1529" i="7"/>
  <c r="S1530" i="7"/>
  <c r="S1531" i="7"/>
  <c r="S1532" i="7"/>
  <c r="S1533" i="7"/>
  <c r="S1534" i="7"/>
  <c r="S1535" i="7"/>
  <c r="S1536" i="7"/>
  <c r="S1537" i="7"/>
  <c r="S1538" i="7"/>
  <c r="S1539" i="7"/>
  <c r="S1540" i="7"/>
  <c r="S1541" i="7"/>
  <c r="S1542" i="7"/>
  <c r="S1543" i="7"/>
  <c r="S1544" i="7"/>
  <c r="S1545" i="7"/>
  <c r="S1546" i="7"/>
  <c r="S1547" i="7"/>
  <c r="S1548" i="7"/>
  <c r="S1549" i="7"/>
  <c r="S1550" i="7"/>
  <c r="S1551" i="7"/>
  <c r="S1552" i="7"/>
  <c r="S1553" i="7"/>
  <c r="S1554" i="7"/>
  <c r="S1555" i="7"/>
  <c r="S1556" i="7"/>
  <c r="S1557" i="7"/>
  <c r="S1558" i="7"/>
  <c r="S1559" i="7"/>
  <c r="S1560" i="7"/>
  <c r="S1561" i="7"/>
  <c r="S1562" i="7"/>
  <c r="S1563" i="7"/>
  <c r="S1564" i="7"/>
  <c r="S1565" i="7"/>
  <c r="S1566" i="7"/>
  <c r="S1567" i="7"/>
  <c r="S1568" i="7"/>
  <c r="S1569" i="7"/>
  <c r="S1570" i="7"/>
  <c r="S1571" i="7"/>
  <c r="S1572" i="7"/>
  <c r="S1573" i="7"/>
  <c r="S1574" i="7"/>
  <c r="S1575" i="7"/>
  <c r="S1576" i="7"/>
  <c r="S1577" i="7"/>
  <c r="S1578" i="7"/>
  <c r="S1579" i="7"/>
  <c r="S1580" i="7"/>
  <c r="S1581" i="7"/>
  <c r="S1582" i="7"/>
  <c r="S1583" i="7"/>
  <c r="S1584" i="7"/>
  <c r="S1585" i="7"/>
  <c r="S1586" i="7"/>
  <c r="S1587" i="7"/>
  <c r="S1588" i="7"/>
  <c r="S1589" i="7"/>
  <c r="S1590" i="7"/>
  <c r="S1591" i="7"/>
  <c r="S1592" i="7"/>
  <c r="S1593" i="7"/>
  <c r="S1594" i="7"/>
  <c r="S1595" i="7"/>
  <c r="S1596" i="7"/>
  <c r="S1597" i="7"/>
  <c r="S1598" i="7"/>
  <c r="S1599" i="7"/>
  <c r="S1600" i="7"/>
  <c r="S1601" i="7"/>
  <c r="S1602" i="7"/>
  <c r="S1603" i="7"/>
  <c r="S1604" i="7"/>
  <c r="S1605" i="7"/>
  <c r="S1606" i="7"/>
  <c r="S1607" i="7"/>
  <c r="S1608" i="7"/>
  <c r="S1609" i="7"/>
  <c r="S1610" i="7"/>
  <c r="S1611" i="7"/>
  <c r="S1612" i="7"/>
  <c r="S1613" i="7"/>
  <c r="S1614" i="7"/>
  <c r="S1615" i="7"/>
  <c r="S1616" i="7"/>
  <c r="S1617" i="7"/>
  <c r="S1618" i="7"/>
  <c r="S1619" i="7"/>
  <c r="S1620" i="7"/>
  <c r="S1621" i="7"/>
  <c r="S1622" i="7"/>
  <c r="S1623" i="7"/>
  <c r="S1624" i="7"/>
  <c r="S1625" i="7"/>
  <c r="S1626" i="7"/>
  <c r="S1627" i="7"/>
  <c r="S1628" i="7"/>
  <c r="S1629" i="7"/>
  <c r="S1630" i="7"/>
  <c r="S1631" i="7"/>
  <c r="S1632" i="7"/>
  <c r="S1633" i="7"/>
  <c r="S1634" i="7"/>
  <c r="S1635" i="7"/>
  <c r="S1636" i="7"/>
  <c r="S1637" i="7"/>
  <c r="S1638" i="7"/>
  <c r="S1639" i="7"/>
  <c r="S1640" i="7"/>
  <c r="S1641" i="7"/>
  <c r="S1642" i="7"/>
  <c r="S1643" i="7"/>
  <c r="S1644" i="7"/>
  <c r="S1645" i="7"/>
  <c r="S1646" i="7"/>
  <c r="S1647" i="7"/>
  <c r="S1648" i="7"/>
  <c r="S1649" i="7"/>
  <c r="S1650" i="7"/>
  <c r="S1651" i="7"/>
  <c r="S1652" i="7"/>
  <c r="S1653" i="7"/>
  <c r="S1654" i="7"/>
  <c r="S1655" i="7"/>
  <c r="S1656" i="7"/>
  <c r="S1657" i="7"/>
  <c r="S1658" i="7"/>
  <c r="S1659" i="7"/>
  <c r="S1660" i="7"/>
  <c r="S1661" i="7"/>
  <c r="S1662" i="7"/>
  <c r="S1663" i="7"/>
  <c r="S1664" i="7"/>
  <c r="S1665" i="7"/>
  <c r="S1666" i="7"/>
  <c r="S1667" i="7"/>
  <c r="S1668" i="7"/>
  <c r="S1669" i="7"/>
  <c r="S1670" i="7"/>
  <c r="S1671" i="7"/>
  <c r="S1672" i="7"/>
  <c r="S1673" i="7"/>
  <c r="S1674" i="7"/>
  <c r="S1675" i="7"/>
  <c r="S1676" i="7"/>
  <c r="S1677" i="7"/>
  <c r="S1678" i="7"/>
  <c r="S1679" i="7"/>
  <c r="S1680" i="7"/>
  <c r="S1681" i="7"/>
  <c r="S1682" i="7"/>
  <c r="S1683" i="7"/>
  <c r="S1684" i="7"/>
  <c r="S1685" i="7"/>
  <c r="S1686" i="7"/>
  <c r="S1687" i="7"/>
  <c r="S1688" i="7"/>
  <c r="S1689" i="7"/>
  <c r="S1690" i="7"/>
  <c r="S1691" i="7"/>
  <c r="S1692" i="7"/>
  <c r="S1693" i="7"/>
  <c r="S1694" i="7"/>
  <c r="S1695" i="7"/>
  <c r="S1696" i="7"/>
  <c r="S1697" i="7"/>
  <c r="S1698" i="7"/>
  <c r="S1699" i="7"/>
  <c r="S1700" i="7"/>
  <c r="S1701" i="7"/>
  <c r="S1702" i="7"/>
  <c r="S1703" i="7"/>
  <c r="S1704" i="7"/>
  <c r="S1705" i="7"/>
  <c r="S1706" i="7"/>
  <c r="S1707" i="7"/>
  <c r="S1708" i="7"/>
  <c r="S1709" i="7"/>
  <c r="S1710" i="7"/>
  <c r="S1711" i="7"/>
  <c r="S1712" i="7"/>
  <c r="S1713" i="7"/>
  <c r="S1714" i="7"/>
  <c r="S1715" i="7"/>
  <c r="S1716" i="7"/>
  <c r="S1717" i="7"/>
  <c r="S1718" i="7"/>
  <c r="S1719" i="7"/>
  <c r="S1720" i="7"/>
  <c r="S1721" i="7"/>
  <c r="S1722" i="7"/>
  <c r="S1723" i="7"/>
  <c r="S1724" i="7"/>
  <c r="S1725" i="7"/>
  <c r="S1726" i="7"/>
  <c r="S1727" i="7"/>
  <c r="S1728" i="7"/>
  <c r="S1729" i="7"/>
  <c r="S1730" i="7"/>
  <c r="S1731" i="7"/>
  <c r="S1732" i="7"/>
  <c r="S1733" i="7"/>
  <c r="S1734" i="7"/>
  <c r="S1735" i="7"/>
  <c r="S1736" i="7"/>
  <c r="S1737" i="7"/>
  <c r="S1738" i="7"/>
  <c r="S1739" i="7"/>
  <c r="S1740" i="7"/>
  <c r="S1741" i="7"/>
  <c r="S1742" i="7"/>
  <c r="S1743" i="7"/>
  <c r="S1744" i="7"/>
  <c r="S1745" i="7"/>
  <c r="S1746" i="7"/>
  <c r="S1747" i="7"/>
  <c r="S1748" i="7"/>
  <c r="S1749" i="7"/>
  <c r="S1750" i="7"/>
  <c r="S1751" i="7"/>
  <c r="S1752" i="7"/>
  <c r="S1753" i="7"/>
  <c r="S1754" i="7"/>
  <c r="S1755" i="7"/>
  <c r="S1756" i="7"/>
  <c r="S1757" i="7"/>
  <c r="S1758" i="7"/>
  <c r="S1759" i="7"/>
  <c r="S1760" i="7"/>
  <c r="S1761" i="7"/>
  <c r="S1762" i="7"/>
  <c r="S1763" i="7"/>
  <c r="S1764" i="7"/>
  <c r="S1765" i="7"/>
  <c r="S1766" i="7"/>
  <c r="S1767" i="7"/>
  <c r="S1768" i="7"/>
  <c r="S1769" i="7"/>
  <c r="S1770" i="7"/>
  <c r="S1771" i="7"/>
  <c r="S1772" i="7"/>
  <c r="S1773" i="7"/>
  <c r="S1774" i="7"/>
  <c r="S1775" i="7"/>
  <c r="S1776" i="7"/>
  <c r="S1777" i="7"/>
  <c r="S1778" i="7"/>
  <c r="S1779" i="7"/>
  <c r="S1780" i="7"/>
  <c r="S1781" i="7"/>
  <c r="S1782" i="7"/>
  <c r="S1783" i="7"/>
  <c r="S1784" i="7"/>
  <c r="S1785" i="7"/>
  <c r="S1786" i="7"/>
  <c r="S1787" i="7"/>
  <c r="S1788" i="7"/>
  <c r="S1789" i="7"/>
  <c r="S1790" i="7"/>
  <c r="S1791" i="7"/>
  <c r="S1792" i="7"/>
  <c r="S1793" i="7"/>
  <c r="S1794" i="7"/>
  <c r="S1795" i="7"/>
  <c r="S1796" i="7"/>
  <c r="S1797" i="7"/>
  <c r="S1798" i="7"/>
  <c r="S1799" i="7"/>
  <c r="S1800" i="7"/>
  <c r="S1801" i="7"/>
  <c r="S1802" i="7"/>
  <c r="S1803" i="7"/>
  <c r="S1804" i="7"/>
  <c r="S1805" i="7"/>
  <c r="S1806" i="7"/>
  <c r="S1807" i="7"/>
  <c r="S1808" i="7"/>
  <c r="S1809" i="7"/>
  <c r="S1810" i="7"/>
  <c r="S1811" i="7"/>
  <c r="S1812" i="7"/>
  <c r="S1813" i="7"/>
  <c r="S1814" i="7"/>
  <c r="S1815" i="7"/>
  <c r="S1816" i="7"/>
  <c r="S1817" i="7"/>
  <c r="S1818" i="7"/>
  <c r="S1819" i="7"/>
  <c r="S1820" i="7"/>
  <c r="S1821" i="7"/>
  <c r="S1822" i="7"/>
  <c r="S1823" i="7"/>
  <c r="S1824" i="7"/>
  <c r="S1825" i="7"/>
  <c r="S1826" i="7"/>
  <c r="S1827" i="7"/>
  <c r="S1828" i="7"/>
  <c r="S1829" i="7"/>
  <c r="S1830" i="7"/>
  <c r="S1831" i="7"/>
  <c r="S1832" i="7"/>
  <c r="S1833" i="7"/>
  <c r="S1834" i="7"/>
  <c r="S1835" i="7"/>
  <c r="S1836" i="7"/>
  <c r="S1837" i="7"/>
  <c r="S1838" i="7"/>
  <c r="S1839" i="7"/>
  <c r="S1840" i="7"/>
  <c r="S1841" i="7"/>
  <c r="S1842" i="7"/>
  <c r="S1843" i="7"/>
  <c r="S1844" i="7"/>
  <c r="S1845" i="7"/>
  <c r="S1846" i="7"/>
  <c r="S1847" i="7"/>
  <c r="S1848" i="7"/>
  <c r="S1849" i="7"/>
  <c r="S1850" i="7"/>
  <c r="S1851" i="7"/>
  <c r="S1852" i="7"/>
  <c r="S1853" i="7"/>
  <c r="S1854" i="7"/>
  <c r="S1855" i="7"/>
  <c r="S1856" i="7"/>
  <c r="S1857" i="7"/>
  <c r="S1858" i="7"/>
  <c r="S1859" i="7"/>
  <c r="S1860" i="7"/>
  <c r="S1861" i="7"/>
  <c r="S1862" i="7"/>
  <c r="S1863" i="7"/>
  <c r="S1864" i="7"/>
  <c r="S1865" i="7"/>
  <c r="S1866" i="7"/>
  <c r="S1867" i="7"/>
  <c r="S1868" i="7"/>
  <c r="S1869" i="7"/>
  <c r="S1870" i="7"/>
  <c r="S1871" i="7"/>
  <c r="S1872" i="7"/>
  <c r="S1873" i="7"/>
  <c r="S1874" i="7"/>
  <c r="S1875" i="7"/>
  <c r="S1876" i="7"/>
  <c r="S1877" i="7"/>
  <c r="S1878" i="7"/>
  <c r="S1879" i="7"/>
  <c r="S1880" i="7"/>
  <c r="S1881" i="7"/>
  <c r="S1882" i="7"/>
  <c r="S1883" i="7"/>
  <c r="S1884" i="7"/>
  <c r="S1885" i="7"/>
  <c r="S1886" i="7"/>
  <c r="S1887" i="7"/>
  <c r="S1888" i="7"/>
  <c r="S1889" i="7"/>
  <c r="S1890" i="7"/>
  <c r="S1891" i="7"/>
  <c r="S1892" i="7"/>
  <c r="S1893" i="7"/>
  <c r="S1894" i="7"/>
  <c r="S1895" i="7"/>
  <c r="S1896" i="7"/>
  <c r="S1897" i="7"/>
  <c r="S1898" i="7"/>
  <c r="S1899" i="7"/>
  <c r="S1900" i="7"/>
  <c r="S1901" i="7"/>
  <c r="S1902" i="7"/>
  <c r="S1903" i="7"/>
  <c r="S1904" i="7"/>
  <c r="S1905" i="7"/>
  <c r="S1906" i="7"/>
  <c r="S1907" i="7"/>
  <c r="S1908" i="7"/>
  <c r="S1909" i="7"/>
  <c r="S1910" i="7"/>
  <c r="S1911" i="7"/>
  <c r="S1912" i="7"/>
  <c r="S1913" i="7"/>
  <c r="S1914" i="7"/>
  <c r="S1915" i="7"/>
  <c r="S1916" i="7"/>
  <c r="S1917" i="7"/>
  <c r="S1918" i="7"/>
  <c r="S1919" i="7"/>
  <c r="S1920" i="7"/>
  <c r="S1921" i="7"/>
  <c r="S1922" i="7"/>
  <c r="S1923" i="7"/>
  <c r="S1924" i="7"/>
  <c r="S1925" i="7"/>
  <c r="S1926" i="7"/>
  <c r="S1927" i="7"/>
  <c r="S1928" i="7"/>
  <c r="S1929" i="7"/>
  <c r="S1930" i="7"/>
  <c r="S1931" i="7"/>
  <c r="S1932" i="7"/>
  <c r="S1933" i="7"/>
  <c r="S1934" i="7"/>
  <c r="S1935" i="7"/>
  <c r="S1936" i="7"/>
  <c r="S1937" i="7"/>
  <c r="S1938" i="7"/>
  <c r="S1939" i="7"/>
  <c r="S1940" i="7"/>
  <c r="S1941" i="7"/>
  <c r="S1942" i="7"/>
  <c r="S1943" i="7"/>
  <c r="S1944" i="7"/>
  <c r="S1945" i="7"/>
  <c r="S1946" i="7"/>
  <c r="S1947" i="7"/>
  <c r="S1948" i="7"/>
  <c r="S1949" i="7"/>
  <c r="S1950" i="7"/>
  <c r="S1951" i="7"/>
  <c r="S1952" i="7"/>
  <c r="S1953" i="7"/>
  <c r="S1954" i="7"/>
  <c r="S1955" i="7"/>
  <c r="S1956" i="7"/>
  <c r="S1957" i="7"/>
  <c r="S1958" i="7"/>
  <c r="S1959" i="7"/>
  <c r="S1960" i="7"/>
  <c r="S1961" i="7"/>
  <c r="S1962" i="7"/>
  <c r="S1963" i="7"/>
  <c r="S1964" i="7"/>
  <c r="S1965" i="7"/>
  <c r="S1966" i="7"/>
  <c r="S1967" i="7"/>
  <c r="S1968" i="7"/>
  <c r="S1969" i="7"/>
  <c r="S1970" i="7"/>
  <c r="S1971" i="7"/>
  <c r="S1972" i="7"/>
  <c r="S1973" i="7"/>
  <c r="S1974" i="7"/>
  <c r="S1975" i="7"/>
  <c r="S1976" i="7"/>
  <c r="S1977" i="7"/>
  <c r="S1978" i="7"/>
  <c r="S1979" i="7"/>
  <c r="S1980" i="7"/>
  <c r="S1981" i="7"/>
  <c r="S1982" i="7"/>
  <c r="S1983" i="7"/>
  <c r="S1984" i="7"/>
  <c r="S1985" i="7"/>
  <c r="S1986" i="7"/>
  <c r="S1987" i="7"/>
  <c r="S1988" i="7"/>
  <c r="S1989" i="7"/>
  <c r="S1990" i="7"/>
  <c r="S1991" i="7"/>
  <c r="S1992" i="7"/>
  <c r="S1993" i="7"/>
  <c r="S1994" i="7"/>
  <c r="S1995" i="7"/>
  <c r="S1996" i="7"/>
  <c r="S1997" i="7"/>
  <c r="S1998" i="7"/>
  <c r="S1999" i="7"/>
  <c r="S2000" i="7"/>
  <c r="S2001" i="7"/>
  <c r="S2002" i="7"/>
  <c r="S2003" i="7"/>
  <c r="S2004" i="7"/>
  <c r="S2005" i="7"/>
  <c r="S2006" i="7"/>
  <c r="S2007" i="7"/>
  <c r="S2008" i="7"/>
  <c r="S2009" i="7"/>
  <c r="S2010" i="7"/>
  <c r="S2011" i="7"/>
  <c r="S2012" i="7"/>
  <c r="S2013" i="7"/>
  <c r="S2014" i="7"/>
  <c r="S2015" i="7"/>
  <c r="S2016" i="7"/>
  <c r="S2017" i="7"/>
  <c r="S2018" i="7"/>
  <c r="S2019" i="7"/>
  <c r="S2020" i="7"/>
  <c r="S2021" i="7"/>
  <c r="S2022" i="7"/>
  <c r="S2023" i="7"/>
  <c r="S2024" i="7"/>
  <c r="S2025" i="7"/>
  <c r="S2026" i="7"/>
  <c r="S2027" i="7"/>
  <c r="S2028" i="7"/>
  <c r="S2029" i="7"/>
  <c r="S2030" i="7"/>
  <c r="S2031" i="7"/>
  <c r="S2032" i="7"/>
  <c r="S2033" i="7"/>
  <c r="S2034" i="7"/>
  <c r="S2035" i="7"/>
  <c r="S2036" i="7"/>
  <c r="S2037" i="7"/>
  <c r="S2038" i="7"/>
  <c r="S2039" i="7"/>
  <c r="S2040" i="7"/>
  <c r="S2041" i="7"/>
  <c r="S2042" i="7"/>
  <c r="S2043" i="7"/>
  <c r="S2044" i="7"/>
  <c r="S2045" i="7"/>
  <c r="S2046" i="7"/>
  <c r="S2047" i="7"/>
  <c r="S2048" i="7"/>
  <c r="S2049" i="7"/>
  <c r="S2050" i="7"/>
  <c r="S2051" i="7"/>
  <c r="S2052" i="7"/>
  <c r="S2053" i="7"/>
  <c r="S2054" i="7"/>
  <c r="S2055" i="7"/>
  <c r="S2056" i="7"/>
  <c r="S2057" i="7"/>
  <c r="S2058" i="7"/>
  <c r="S2059" i="7"/>
  <c r="S2060" i="7"/>
  <c r="S2061" i="7"/>
  <c r="S2062" i="7"/>
  <c r="S2063" i="7"/>
  <c r="S2064" i="7"/>
  <c r="S2065" i="7"/>
  <c r="S2066" i="7"/>
  <c r="S2067" i="7"/>
  <c r="S2068" i="7"/>
  <c r="S2069" i="7"/>
  <c r="S2070" i="7"/>
  <c r="S2071" i="7"/>
  <c r="S2072" i="7"/>
  <c r="S2073" i="7"/>
  <c r="S2074" i="7"/>
  <c r="S2075" i="7"/>
  <c r="S2076" i="7"/>
  <c r="S2077" i="7"/>
  <c r="S2078" i="7"/>
  <c r="S2079" i="7"/>
  <c r="S2080" i="7"/>
  <c r="S2081" i="7"/>
  <c r="S2082" i="7"/>
  <c r="S2083" i="7"/>
  <c r="S2084" i="7"/>
  <c r="S2085" i="7"/>
  <c r="S2086" i="7"/>
  <c r="S2087" i="7"/>
  <c r="S2088" i="7"/>
  <c r="S2089" i="7"/>
  <c r="S2090" i="7"/>
  <c r="S2091" i="7"/>
  <c r="S2092" i="7"/>
  <c r="S2093" i="7"/>
  <c r="S2094" i="7"/>
  <c r="S2095" i="7"/>
  <c r="S2096" i="7"/>
  <c r="S2097" i="7"/>
  <c r="S2098" i="7"/>
  <c r="S2099" i="7"/>
  <c r="S2100" i="7"/>
  <c r="S2101" i="7"/>
  <c r="S2102" i="7"/>
  <c r="S2103" i="7"/>
  <c r="S2104" i="7"/>
  <c r="S2105" i="7"/>
  <c r="S2106" i="7"/>
  <c r="S2107" i="7"/>
  <c r="S2108" i="7"/>
  <c r="S2109" i="7"/>
  <c r="S2110" i="7"/>
  <c r="S2111" i="7"/>
  <c r="S2112" i="7"/>
  <c r="S2113" i="7"/>
  <c r="S2114" i="7"/>
  <c r="S2115" i="7"/>
  <c r="S2116" i="7"/>
  <c r="S2117" i="7"/>
  <c r="S2118" i="7"/>
  <c r="S2119" i="7"/>
  <c r="S2120" i="7"/>
  <c r="S2121" i="7"/>
  <c r="S2122" i="7"/>
  <c r="S2123" i="7"/>
  <c r="S2124" i="7"/>
  <c r="S2125" i="7"/>
  <c r="S2126" i="7"/>
  <c r="S2127" i="7"/>
  <c r="S2128" i="7"/>
  <c r="S2129" i="7"/>
  <c r="S2130" i="7"/>
  <c r="S2131" i="7"/>
  <c r="S2132" i="7"/>
  <c r="S2133" i="7"/>
  <c r="S2134" i="7"/>
  <c r="S2135" i="7"/>
  <c r="S2136" i="7"/>
  <c r="S2137" i="7"/>
  <c r="S2138" i="7"/>
  <c r="S2139" i="7"/>
  <c r="S2140" i="7"/>
  <c r="S2141" i="7"/>
  <c r="S2142" i="7"/>
  <c r="S2143" i="7"/>
  <c r="S2144" i="7"/>
  <c r="S2145" i="7"/>
  <c r="S2146" i="7"/>
  <c r="S2147" i="7"/>
  <c r="S2148" i="7"/>
  <c r="S2149" i="7"/>
  <c r="S2150" i="7"/>
  <c r="S2151" i="7"/>
  <c r="S2152" i="7"/>
  <c r="S2153" i="7"/>
  <c r="S2154" i="7"/>
  <c r="S2155" i="7"/>
  <c r="S2156" i="7"/>
  <c r="S2157" i="7"/>
  <c r="S2158" i="7"/>
  <c r="S2159" i="7"/>
  <c r="S2160" i="7"/>
  <c r="S2161" i="7"/>
  <c r="S2162" i="7"/>
  <c r="S2163" i="7"/>
  <c r="S2164" i="7"/>
  <c r="S2165" i="7"/>
  <c r="S2166" i="7"/>
  <c r="S2167" i="7"/>
  <c r="S2168" i="7"/>
  <c r="S2169" i="7"/>
  <c r="S2170" i="7"/>
  <c r="S2171" i="7"/>
  <c r="S2172" i="7"/>
  <c r="S2173" i="7"/>
  <c r="S2174" i="7"/>
  <c r="S2175" i="7"/>
  <c r="S2176" i="7"/>
  <c r="S2177" i="7"/>
  <c r="S2178" i="7"/>
  <c r="S2179" i="7"/>
  <c r="S2180" i="7"/>
  <c r="S2181" i="7"/>
  <c r="S2182" i="7"/>
  <c r="S2183" i="7"/>
  <c r="S2184" i="7"/>
  <c r="S2185" i="7"/>
  <c r="S2186" i="7"/>
  <c r="S2187" i="7"/>
  <c r="S2188" i="7"/>
  <c r="S2189" i="7"/>
  <c r="S2190" i="7"/>
  <c r="S2191" i="7"/>
  <c r="S2192" i="7"/>
  <c r="S2193" i="7"/>
  <c r="S2194" i="7"/>
  <c r="S2195" i="7"/>
  <c r="S2196" i="7"/>
  <c r="S2197" i="7"/>
  <c r="S2198" i="7"/>
  <c r="S2199" i="7"/>
  <c r="S2200" i="7"/>
  <c r="S2201" i="7"/>
  <c r="S2202" i="7"/>
  <c r="S2203" i="7"/>
  <c r="S2204" i="7"/>
  <c r="S2205" i="7"/>
  <c r="S2206" i="7"/>
  <c r="S2207" i="7"/>
  <c r="S2208" i="7"/>
  <c r="S2209" i="7"/>
  <c r="S2210" i="7"/>
  <c r="S2211" i="7"/>
  <c r="S2212" i="7"/>
  <c r="S2213" i="7"/>
  <c r="S2214" i="7"/>
  <c r="S2215" i="7"/>
  <c r="S2216" i="7"/>
  <c r="S2217" i="7"/>
  <c r="S2218" i="7"/>
  <c r="S2219" i="7"/>
  <c r="S2220" i="7"/>
  <c r="S2221" i="7"/>
  <c r="S2222" i="7"/>
  <c r="S2223" i="7"/>
  <c r="S2224" i="7"/>
  <c r="S2225" i="7"/>
  <c r="S2226" i="7"/>
  <c r="S2227" i="7"/>
  <c r="S2228" i="7"/>
  <c r="S2229" i="7"/>
  <c r="S2230" i="7"/>
  <c r="S2231" i="7"/>
  <c r="S2232" i="7"/>
  <c r="S2233" i="7"/>
  <c r="S2234" i="7"/>
  <c r="S2235" i="7"/>
  <c r="S2236" i="7"/>
  <c r="S2237" i="7"/>
  <c r="S2238" i="7"/>
  <c r="S2239" i="7"/>
  <c r="S2240" i="7"/>
  <c r="S2241" i="7"/>
  <c r="S2242" i="7"/>
  <c r="S2243" i="7"/>
  <c r="S2244" i="7"/>
  <c r="S2245" i="7"/>
  <c r="S2246" i="7"/>
  <c r="S2247" i="7"/>
  <c r="S2248" i="7"/>
  <c r="S2249" i="7"/>
  <c r="S2250" i="7"/>
  <c r="S2251" i="7"/>
  <c r="S2252" i="7"/>
  <c r="S2253" i="7"/>
  <c r="S2254" i="7"/>
  <c r="S2255" i="7"/>
  <c r="S2256" i="7"/>
  <c r="S2257" i="7"/>
  <c r="S2258" i="7"/>
  <c r="S2259" i="7"/>
  <c r="S2260" i="7"/>
  <c r="S2261" i="7"/>
  <c r="S2262" i="7"/>
  <c r="S2263" i="7"/>
  <c r="S2264" i="7"/>
  <c r="S2265" i="7"/>
  <c r="S2266" i="7"/>
  <c r="S2267" i="7"/>
  <c r="S2268" i="7"/>
  <c r="S2269" i="7"/>
  <c r="S2270" i="7"/>
  <c r="S2271" i="7"/>
  <c r="S2272" i="7"/>
  <c r="S2273" i="7"/>
  <c r="S2274" i="7"/>
  <c r="S2275" i="7"/>
  <c r="S2276" i="7"/>
  <c r="S2277" i="7"/>
  <c r="S2278" i="7"/>
  <c r="S2279" i="7"/>
  <c r="S2280" i="7"/>
  <c r="S2281" i="7"/>
  <c r="S2282" i="7"/>
  <c r="S2283" i="7"/>
  <c r="S2284" i="7"/>
  <c r="S2285" i="7"/>
  <c r="S2286" i="7"/>
  <c r="S2287" i="7"/>
  <c r="S2288" i="7"/>
  <c r="S2289" i="7"/>
  <c r="S2290" i="7"/>
  <c r="S2291" i="7"/>
  <c r="S2292" i="7"/>
  <c r="S2293" i="7"/>
  <c r="S2294" i="7"/>
  <c r="S2295" i="7"/>
  <c r="S2296" i="7"/>
  <c r="S2297" i="7"/>
  <c r="S2298" i="7"/>
  <c r="S2299" i="7"/>
  <c r="S2300" i="7"/>
  <c r="S2301" i="7"/>
  <c r="S2302" i="7"/>
  <c r="S2303" i="7"/>
  <c r="S2304" i="7"/>
  <c r="S2305" i="7"/>
  <c r="S2306" i="7"/>
  <c r="S2307" i="7"/>
  <c r="S2308" i="7"/>
  <c r="S2309" i="7"/>
  <c r="S2310" i="7"/>
  <c r="S2311" i="7"/>
  <c r="S2312" i="7"/>
  <c r="S2313" i="7"/>
  <c r="S2314" i="7"/>
  <c r="S2315" i="7"/>
  <c r="S2316" i="7"/>
  <c r="S2317" i="7"/>
  <c r="S2318" i="7"/>
  <c r="S2319" i="7"/>
  <c r="S2320" i="7"/>
  <c r="S2321" i="7"/>
  <c r="S2322" i="7"/>
  <c r="S2323" i="7"/>
  <c r="S2324" i="7"/>
  <c r="S2325" i="7"/>
  <c r="S2326" i="7"/>
  <c r="S2327" i="7"/>
  <c r="S2328" i="7"/>
  <c r="S2329" i="7"/>
  <c r="S2330" i="7"/>
  <c r="S2331" i="7"/>
  <c r="S2332" i="7"/>
  <c r="S2333" i="7"/>
  <c r="S2334" i="7"/>
  <c r="S2335" i="7"/>
  <c r="S2336" i="7"/>
  <c r="S2337" i="7"/>
  <c r="S2338" i="7"/>
  <c r="S2339" i="7"/>
  <c r="S2340" i="7"/>
  <c r="S2341" i="7"/>
  <c r="S2342" i="7"/>
  <c r="S2343" i="7"/>
  <c r="S2344" i="7"/>
  <c r="S2345" i="7"/>
  <c r="S2346" i="7"/>
  <c r="S2347" i="7"/>
  <c r="S2348" i="7"/>
  <c r="S2349" i="7"/>
  <c r="S2350" i="7"/>
  <c r="S2351" i="7"/>
  <c r="S2352" i="7"/>
  <c r="S2353" i="7"/>
  <c r="S2354" i="7"/>
  <c r="S2355" i="7"/>
  <c r="S2356" i="7"/>
  <c r="S2357" i="7"/>
  <c r="S2358" i="7"/>
  <c r="S2359" i="7"/>
  <c r="S2360" i="7"/>
  <c r="S2361" i="7"/>
  <c r="S2362" i="7"/>
  <c r="S2363" i="7"/>
  <c r="S2364" i="7"/>
  <c r="S2365" i="7"/>
  <c r="S2366" i="7"/>
  <c r="S2367" i="7"/>
  <c r="S2368" i="7"/>
  <c r="S2369" i="7"/>
  <c r="S2370" i="7"/>
  <c r="S2371" i="7"/>
  <c r="S2372" i="7"/>
  <c r="S2373" i="7"/>
  <c r="S2374" i="7"/>
  <c r="S2375" i="7"/>
  <c r="S2376" i="7"/>
  <c r="S2377" i="7"/>
  <c r="S2378" i="7"/>
  <c r="S2379" i="7"/>
  <c r="S2380" i="7"/>
  <c r="S2381" i="7"/>
  <c r="S2382" i="7"/>
  <c r="S2383" i="7"/>
  <c r="S2384" i="7"/>
  <c r="S2385" i="7"/>
  <c r="S2386" i="7"/>
  <c r="S2387" i="7"/>
  <c r="S2388" i="7"/>
  <c r="S2389" i="7"/>
  <c r="S2390" i="7"/>
  <c r="S2391" i="7"/>
  <c r="S2392" i="7"/>
  <c r="S2393" i="7"/>
  <c r="S2394" i="7"/>
  <c r="S2395" i="7"/>
  <c r="S2396" i="7"/>
  <c r="S2397" i="7"/>
  <c r="S2398" i="7"/>
  <c r="S2399" i="7"/>
  <c r="S2400" i="7"/>
  <c r="S2401" i="7"/>
  <c r="S2402" i="7"/>
  <c r="S2403" i="7"/>
  <c r="S2404" i="7"/>
  <c r="S2405" i="7"/>
  <c r="S2406" i="7"/>
  <c r="S2407" i="7"/>
  <c r="S2408" i="7"/>
  <c r="S2409" i="7"/>
  <c r="S2410" i="7"/>
  <c r="S2411" i="7"/>
  <c r="S2412" i="7"/>
  <c r="S2413" i="7"/>
  <c r="S2414" i="7"/>
  <c r="S2415" i="7"/>
  <c r="S2416" i="7"/>
  <c r="S2417" i="7"/>
  <c r="S2418" i="7"/>
  <c r="S2419" i="7"/>
  <c r="S2420" i="7"/>
  <c r="S2421" i="7"/>
  <c r="S2422" i="7"/>
  <c r="S2423" i="7"/>
  <c r="S2424" i="7"/>
  <c r="S2425" i="7"/>
  <c r="S2426" i="7"/>
  <c r="S2427" i="7"/>
  <c r="S2428" i="7"/>
  <c r="S2429" i="7"/>
  <c r="S2430" i="7"/>
  <c r="S2431" i="7"/>
  <c r="S2432" i="7"/>
  <c r="S2433" i="7"/>
  <c r="S2434" i="7"/>
  <c r="S2435" i="7"/>
  <c r="S2436" i="7"/>
  <c r="S2437" i="7"/>
  <c r="S2438" i="7"/>
  <c r="S2439" i="7"/>
  <c r="S2440" i="7"/>
  <c r="S2441" i="7"/>
  <c r="S2442" i="7"/>
  <c r="S2443" i="7"/>
  <c r="S2444" i="7"/>
  <c r="S2445" i="7"/>
  <c r="S2446" i="7"/>
  <c r="S2447" i="7"/>
  <c r="S2448" i="7"/>
  <c r="S2449" i="7"/>
  <c r="S2450" i="7"/>
  <c r="S2451" i="7"/>
  <c r="S2452" i="7"/>
  <c r="S2453" i="7"/>
  <c r="S2454" i="7"/>
  <c r="S2455" i="7"/>
  <c r="S2456" i="7"/>
  <c r="S2457" i="7"/>
  <c r="S2458" i="7"/>
  <c r="S2459" i="7"/>
  <c r="S2460" i="7"/>
  <c r="S2461" i="7"/>
  <c r="S2462" i="7"/>
  <c r="S2463" i="7"/>
  <c r="S2464" i="7"/>
  <c r="S2465" i="7"/>
  <c r="S2466" i="7"/>
  <c r="S2467" i="7"/>
  <c r="S2468" i="7"/>
  <c r="S2469" i="7"/>
  <c r="S2470" i="7"/>
  <c r="S2471" i="7"/>
  <c r="S2472" i="7"/>
  <c r="S2473" i="7"/>
  <c r="S2474" i="7"/>
  <c r="S2475" i="7"/>
  <c r="S2476" i="7"/>
  <c r="S2477" i="7"/>
  <c r="S2478" i="7"/>
  <c r="S2479" i="7"/>
  <c r="S2480" i="7"/>
  <c r="S2481" i="7"/>
  <c r="S2482" i="7"/>
  <c r="S2483" i="7"/>
  <c r="S2484" i="7"/>
  <c r="S2485" i="7"/>
  <c r="V8" i="5"/>
  <c r="T5" i="5"/>
  <c r="V5" i="5" s="1"/>
  <c r="V11" i="2"/>
  <c r="E48" i="8" l="1"/>
  <c r="G48" i="8"/>
  <c r="D48" i="8"/>
  <c r="F48" i="8"/>
  <c r="D112" i="8"/>
  <c r="D103" i="8"/>
  <c r="E97" i="8"/>
  <c r="F60" i="8"/>
  <c r="J57" i="8" s="1"/>
  <c r="J56" i="8"/>
  <c r="H23" i="8"/>
  <c r="G17" i="8"/>
  <c r="G24" i="8"/>
  <c r="G27" i="8"/>
  <c r="H25" i="8"/>
  <c r="G25" i="8"/>
  <c r="G23" i="8"/>
  <c r="H28" i="8"/>
  <c r="H27" i="8"/>
  <c r="G26" i="8"/>
  <c r="H24" i="8"/>
  <c r="C34" i="8"/>
  <c r="C32" i="8"/>
  <c r="H16" i="8"/>
  <c r="I16" i="8"/>
  <c r="H17" i="8"/>
  <c r="I17" i="8"/>
  <c r="H18" i="8"/>
  <c r="I18" i="8"/>
  <c r="H20" i="8"/>
  <c r="I20" i="8"/>
  <c r="H15" i="8"/>
  <c r="I15" i="8"/>
  <c r="H19" i="8"/>
  <c r="I19" i="8"/>
  <c r="H21" i="8"/>
  <c r="I21" i="8"/>
  <c r="G21" i="8"/>
  <c r="G20" i="8"/>
  <c r="G19" i="8"/>
  <c r="G18" i="8"/>
  <c r="E106" i="8" l="1"/>
  <c r="E107" i="8"/>
  <c r="E109" i="8"/>
  <c r="E110" i="8"/>
  <c r="E108" i="8"/>
  <c r="E111" i="8"/>
  <c r="E105" i="8"/>
  <c r="E98" i="8"/>
  <c r="E99" i="8"/>
  <c r="E100" i="8"/>
  <c r="E101" i="8"/>
  <c r="E102" i="8"/>
  <c r="E96" i="8"/>
  <c r="G82" i="8"/>
  <c r="G71" i="8"/>
  <c r="G93" i="8"/>
  <c r="G83" i="8"/>
  <c r="G67" i="8"/>
  <c r="G89" i="8"/>
  <c r="G68" i="8"/>
  <c r="G85" i="8"/>
  <c r="G64" i="8"/>
  <c r="G87" i="8"/>
  <c r="G69" i="8"/>
  <c r="G86" i="8"/>
  <c r="G65" i="8"/>
  <c r="G88" i="8"/>
  <c r="G70" i="8"/>
  <c r="G84" i="8"/>
  <c r="G75" i="8"/>
  <c r="G66" i="8"/>
  <c r="G60" i="8"/>
  <c r="G80" i="8"/>
  <c r="G59" i="8"/>
  <c r="G79" i="8"/>
  <c r="G55" i="8"/>
  <c r="G78" i="8"/>
  <c r="G56" i="8"/>
  <c r="G94" i="8"/>
  <c r="G74" i="8"/>
  <c r="G57" i="8"/>
  <c r="G91" i="8"/>
  <c r="G73" i="8"/>
  <c r="G58" i="8"/>
  <c r="G90" i="8"/>
  <c r="G72" i="8"/>
  <c r="G92" i="8"/>
  <c r="G77" i="8"/>
  <c r="G62" i="8"/>
  <c r="G76" i="8"/>
  <c r="G61" i="8"/>
  <c r="G81" i="8"/>
  <c r="G63" i="8"/>
  <c r="J60" i="8" l="1"/>
  <c r="F106" i="8"/>
  <c r="F110" i="8"/>
  <c r="F105" i="8"/>
  <c r="F108" i="8"/>
  <c r="F111" i="8"/>
  <c r="F109" i="8"/>
  <c r="F107" i="8"/>
  <c r="J61" i="8" l="1"/>
  <c r="J62" i="8"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<sst xmlns="http://schemas.openxmlformats.org/spreadsheetml/2006/main" count="63100" uniqueCount="2788">
  <si>
    <t>Fecha,ID_Campaña,Canal,País,Dispositivo,Impresiones,Clics,Conversiones,Gasto_EUR,Ingresos_EUR,Nuevos_Clientes,Tipo_Campaña,Responsable</t>
  </si>
  <si>
    <t>2025-07-30,CMP-002,Email,México,Desktop,129041,9255,1081,4728.14,195401.22,926,Adquisición,Carlos Ruiz</t>
  </si>
  <si>
    <t>2025-05-02,CMP-009,Paid Search,Italia,Desktop,50677,4047,409,6481.73,65100.85,249,Retención,Luis Martín</t>
  </si>
  <si>
    <t>2025-01-05,CMP-009,Email,Francia,Desktop,12070,959,57,1465.19,7772.79,31,Retención,Laura Pérez</t>
  </si>
  <si>
    <t>2025-06-07,CMP-002,Affiliate,España,Mobile,114121,890,114,1196.8,24221.44,52,Adquisición,Luis Martín</t>
  </si>
  <si>
    <t>2025-09-16,CMP-026,Paid Search,Portugal,Desktop,123994,5563,308,1315.48,47341.08,254,Adquisición,Luis Martín</t>
  </si>
  <si>
    <t>2025-10-04,CMP-022,Paid Social,Portugal,Tablet,170534,7543,96,10662.79,15691.35,51,Adquisición,Carlos Ruiz</t>
  </si>
  <si>
    <t>2025-06-20,CMP-015,Email,Francia,Tablet,84579,3855,121,7967.14,12733.03,58,Reconocimiento,Marta López</t>
  </si>
  <si>
    <t>2025-10-11,CMP-004,Affiliate,Portugal,Mobile,125454,7459,507,14866.14,74384.02,356,Conversión,Laura Pérez</t>
  </si>
  <si>
    <t>2025-09-08,CMP-017,Paid Search,Portugal,Desktop,147026,2076,174,574.55,13381.79,125,Conversión,Luis Martín</t>
  </si>
  <si>
    <t>2025-11-13,CMP-002,Display,Francia,Mobile,8375,469,33,672.99,5104.23,18,Conversión,Marta López</t>
  </si>
  <si>
    <t>2025-06-30,CMP-025,Organic Social,España,Desktop,169640,13188,1573,3188.1,158029.53,1309,Retención,Luis Martín</t>
  </si>
  <si>
    <t>2025-02-09,CMP-006,Email,España,Desktop,1815,46,1,54.04,192.07,0,Conversión,Marta López</t>
  </si>
  <si>
    <t>2025-12-01,CMP-011,Paid Social,España,Mobile,58400,2796,80,361.39,8867.74,71,Reconocimiento,Ana García</t>
  </si>
  <si>
    <t>2025-01-31,CMP-018, display ,México,Desktop,95164,467,54,899.8,8314.82,33,Retención,Carlos Ruiz</t>
  </si>
  <si>
    <t>2025-10-08,CMP-004,Email,España,Desktop,163224,892,116,645.97,13245.61,70,Reconocimiento,Ana García</t>
  </si>
  <si>
    <t>2025-05-03,CMP-007,Affiliate,Francia,Tablet,44509,1756,45,2433.77,1487.74,24,Conversión,Ana García</t>
  </si>
  <si>
    <t>2025-05-22,CMP-018,Email,España,Tablet,49699,549,14,407.19,2598.86,12,Conversión,Marta López</t>
  </si>
  <si>
    <t>2025-03-22,CMP-011,Affiliate,España,Mobile,79946,6644,165,12172.18,3700.53,97,Retención,Luis Martín</t>
  </si>
  <si>
    <t>2025-04-18,CMP-022,Display,México,Mobile,90643,6251,607,1069.28,85223.12,473,Adquisición,Ana García</t>
  </si>
  <si>
    <t>2025-11-12,CMP-008,Display,España,Mobile,78294,5439,617,1504.93,130219.67,538,Conversión,Laura Pérez</t>
  </si>
  <si>
    <t>2025-12-18,CMP-028,Paid Search,Francia,Desktop,4759,234,22,333.25,2425.61,13,Retención,Ana García</t>
  </si>
  <si>
    <t>2025-05-14,CMP-012,Organic Social,Francia,Mobile,7310,569,77,65.92,3364.24,59,Reconocimiento,Luis Martín</t>
  </si>
  <si>
    <t>2025-11-28,CMP-025, email ,Portugal,Mobile,42237,591,35,506.92,7159.42,17,Reconocimiento,Ana García</t>
  </si>
  <si>
    <t>2025-06-21,CMP-002,Display,Portugal,Mobile,7568,600,21,703.66,3621.93,15,Adquisición,Ana García</t>
  </si>
  <si>
    <t>2025-07-22,CMP-028,Display,España,Mobile,105858,9130,579,8905.21,70771.17,511,Adquisición,Carlos Ruiz</t>
  </si>
  <si>
    <t>2025-07-06,CMP-019,Display,España,Mobile,103769,4146,299,1850.07,12653.93,235,Retención,Luis Martín</t>
  </si>
  <si>
    <t>2025-07-24,CMP-010,Display,España,Tablet,82374,1820,101,1012.99,3526.15,88,Conversión,Marta López</t>
  </si>
  <si>
    <t>2025-08-09,CMP-028,Email,Portugal,Mobile,176221,5694,645,9157.59,126731.53,313,Adquisición,Laura Pérez</t>
  </si>
  <si>
    <t>2025-08-23,CMP-017,Affiliate,Italia,Mobile,69153,3943,89,7263.43,12869.36,53,Reconocimiento,Carlos Ruiz</t>
  </si>
  <si>
    <t>2025-01-03,CMP-014,Paid Social,Francia,Mobile,78114,1158,156,738.9,18166.68,94,Adquisición,Laura Pérez</t>
  </si>
  <si>
    <t>2025-12-15,CMP-026,Display,España,Desktop,33428,180,5,320.21,175.56,4,Conversión,Luis Martín</t>
  </si>
  <si>
    <t>2025-09-17,CMP-030,Affiliate,España,Desktop,4187,41,0,38.14,0.0,0,Conversión,Ana García</t>
  </si>
  <si>
    <t>2025-04-04,CMP-015,Organic Social,España,Tablet,156964,9714,820,16423.11,39511.26,557,Adquisición,Ana García</t>
  </si>
  <si>
    <t>2025-09-21,CMP-010, paid social ,Francia,Mobile,78190,387,31,203.63,6507.47,16,Retención,Marta López</t>
  </si>
  <si>
    <t>2025-04-08,CMP-010,,México,DESKTOP,63702,5675,708,4115.09,107477.07,459,Reconocimiento,Ana García</t>
  </si>
  <si>
    <t>2025-05-04,CMP-027,Display,Francia,Mobile,62593,3168,202,1472.4,11607.45,102,Adquisición,Carlos Ruiz</t>
  </si>
  <si>
    <t>2025-01-23,CMP-002,Email,México,Desktop,91161,4430,265,5935.04,35663.11,186,Conversión,Carlos Ruiz</t>
  </si>
  <si>
    <t>2025-03-04,CMP-012,Display,España,MOBILE,16564,169,4,152.83,769.28,2,Conversión,Ana García</t>
  </si>
  <si>
    <t>2025-03-06,CMP-019,Paid Search,Francia,Desktop,65604,2826,147,370.78,8547.51,112,Retención,Ana García</t>
  </si>
  <si>
    <t>2025-04-28,CMP-002,Affiliate,Italia,Mobile,84707,512,33,940.78,6912.23,17,Retención,Luis Martín</t>
  </si>
  <si>
    <t>2025-04-01,CMP-008, organic social ,México,Desktop,125379,2816,211,2108.8,14718.61,168,Conversión,Carlos Ruiz</t>
  </si>
  <si>
    <t>2025-05-11,CMP-030,Affiliate,Italia,Mobile,75503,3617,24,3324.61,462.18,13,Conversión,Ana García</t>
  </si>
  <si>
    <t>2025-09-11,CMP-014,Paid Search,Francia,Desktop,177363,7732,999,9531.17,71611.15,470,Conversión,Marta López</t>
  </si>
  <si>
    <t>2025-05-07,CMP-026,Email,España,Mobile,160559,8096,866,14024.15,165614.97,406,Retención,Luis Martín</t>
  </si>
  <si>
    <t>2025-12-19,CMP-011,Organic Social,Italia,Tablet,134062,11816,1010,23456.15,139056.15,867,Retención,Carlos Ruiz</t>
  </si>
  <si>
    <t>2025-01-05,CMP-014,Paid Social,Portugal,Mobile,80985,3516,69,1147.83,7612.07,57,Reconocimiento,Carlos Ruiz</t>
  </si>
  <si>
    <t>2025-07-22,CMP-023,Paid Search,México,Tablet,172110,4863,151,4544.82,12852.56,78,Conversión,Marta López</t>
  </si>
  <si>
    <t>2025-07-02,CMP-014,Paid Social,España,DESKTOP,52772,2897,134,5137.29,11255.29,68,Retención,Carlos Ruiz</t>
  </si>
  <si>
    <t>2025-09-19,CMP-024,Email,España,Desktop,96520,6563,575,2726.57,11899.29,387,Reconocimiento,Carlos Ruiz</t>
  </si>
  <si>
    <t>2025-09-06,CMP-006,Paid Search,Francia,Mobile,12544,523,43,424.74,763.12,20,Conversión,Carlos Ruiz</t>
  </si>
  <si>
    <t>2025-10-11,CMP-014,Paid Social,México,Desktop,47739,1011,134,1917.9,24435.95,73,Conversión,Marta López</t>
  </si>
  <si>
    <t>2025-05-23,CMP-025,Organic Social,España,Tablet,163458,4544,304,4643.72,48587.57,203,Retención,Carlos Ruiz</t>
  </si>
  <si>
    <t>2025-03-25,CMP-005,Display,México,Desktop,87998,400,16,369.77,2155.19,11,Reconocimiento,Laura Pérez</t>
  </si>
  <si>
    <t>2025-07-12,CMP-001,Paid Search,México,Desktop,22982,488,52,723.46,10282.51,32,Conversión,Laura Pérez</t>
  </si>
  <si>
    <t>2025-10-11,CMP-021,Affiliate,España,Mobile,36400,698,13,619.54,1889.23,6,Conversión,Carlos Ruiz</t>
  </si>
  <si>
    <t>2025-02-19,CMP-020,Paid Social,Francia,Desktop,39432,195,2,359.51,360.95,1,Retención,Carlos Ruiz</t>
  </si>
  <si>
    <t>2025-09-14,CMP-020,Paid Social,España,Desktop,142452,8914,761,17944.19,61323.71,450,Reconocimiento,Carlos Ruiz</t>
  </si>
  <si>
    <t>2025-11-15,CMP-014,Affiliate,España,Mobile,102729,8680,476,13309.01,89911.75,357,Retención,Ana García</t>
  </si>
  <si>
    <t>2025-12-27,CMP-013,Paid Social,Italia,Mobile,7852,278,36,151.89,5039.98,20,Conversión,Luis Martín</t>
  </si>
  <si>
    <t>2025-06-01,CMP-012,Email,Portugal,Desktop,143687,8758,590,3260.05,78308.19,323,Conversión,Marta López</t>
  </si>
  <si>
    <t>2025-08-13,CMP-016,Display,España,Desktop,78011,3428,452,7029.6,14793.01,343,Retención,Laura Pérez</t>
  </si>
  <si>
    <t>2025-02-14,CMP-005,Organic Social,Francia,Mobile,101430,3059,396,6195.71,57060.46,334,Conversión,Marta López</t>
  </si>
  <si>
    <t>2025-07-31,CMP-002,Display,Francia,Mobile,131405,8184,574,10376.29,58970.85,338,Retención,Marta López</t>
  </si>
  <si>
    <t>2025-08-15,CMP-013,Paid Search,España,Mobile,130442,8546,578,13234.62,74181.06,477,Reconocimiento,Laura Pérez</t>
  </si>
  <si>
    <t>2025-05-21,CMP-020,Paid Social,España,Desktop,106661,2841,357,1574.27,69957.06,212,Conversión,Carlos Ruiz</t>
  </si>
  <si>
    <t>2025-01-21,CMP-016,Affiliate,España,Mobile,97055,1101,105,1653.64,9527.19,72,Adquisición,Laura Pérez</t>
  </si>
  <si>
    <t>2025-08-17,CMP-012,Organic Social,México,Mobile,143820,12456,1679,13393.63,46663.92,1062,Retención,Carlos Ruiz</t>
  </si>
  <si>
    <t>2025-10-18,CMP-015,Display,Italia,Desktop,156599,4886,403,5879.31,53974.45,261,Reconocimiento,Laura Pérez</t>
  </si>
  <si>
    <t>2025-04-24,CMP-010,Organic Social,Francia,Desktop,146138,7737,949,6548.8,123026.44,625,Retención,Ana García</t>
  </si>
  <si>
    <t>2025-12-07,CMP-029,Organic Social,España,Mobile,95481,1518,95,1000.65,2508.05,48,Adquisición,Marta López</t>
  </si>
  <si>
    <t>2025-10-04,CMP-023,Affiliate,España,Desktop,83550,7172,217,3758.29,34404.0,121,Conversión,Laura Pérez</t>
  </si>
  <si>
    <t>2025-06-21,CMP-008,Email,Italia,Tablet,137916,6514,592,4804.74,20376.89,450,Adquisición,Luis Martín</t>
  </si>
  <si>
    <t>2025-10-19,CMP-022,Email,Francia,Mobile,164370,9643,1013,7211.11,123210.79,702,Retención,Luis Martín</t>
  </si>
  <si>
    <t>2025-07-17,CMP-023,Paid Social,España,Desktop,17033,407,36,423.88,1569.98,19,Reconocimiento,Marta López</t>
  </si>
  <si>
    <t>2025-05-31,CMP-028,Display,España,Mobile,165163,6066,257,1640.69,7248.36,132,Retención,Laura Pérez</t>
  </si>
  <si>
    <t>2025-10-26,CMP-026,Paid Social,España,Mobile,164400,8064,247,13717.53,49833.79,124,Reconocimiento,Marta López</t>
  </si>
  <si>
    <t>2025-12-14,CMP-016,Affiliate,Francia,Desktop,5929,440,31,184.05,5250.9,26,Conversión,Marta López</t>
  </si>
  <si>
    <t>2025-01-02,CMP-009,Paid Search,México,Mobile,120263,727,68,600.79,8622.59,46,Conversión,Ana García</t>
  </si>
  <si>
    <t>2025-02-02,cmp-006,Display,México,Desktop,14379,1204,117,2429.36,6917.04,54,Reconocimiento,Luis Martín</t>
  </si>
  <si>
    <t>2025-06-30,CMP-009,Email,España,Mobile,139435,7423,294,2712.89,49981.84,183,Conversión,Carlos Ruiz</t>
  </si>
  <si>
    <t>2025-10-11,CMP-017,Email,España,Desktop,82478,5286,368,1588.16,33465.74,267,Retención,Luis Martín</t>
  </si>
  <si>
    <t>2025-11-27,CMP-030,Display,Italia,Mobile,7947,546,11,681.04,1400.69,5,Adquisición,Carlos Ruiz</t>
  </si>
  <si>
    <t>2025-01-21,CMP-009,Organic Social,Francia,Mobile,40689,834,91,594.19,8098.42,48,Adquisición,Luis Martín</t>
  </si>
  <si>
    <t>2025-03-12,CMP-011,Display,Portugal,Mobile,19998,92,5,190.04,861.71,2,Retención,Marta López</t>
  </si>
  <si>
    <t>2025-12-28,CMP-018,Display,Italia,Tablet,41090,886,74,378.97,3753.55,64,Retención,Carlos Ruiz</t>
  </si>
  <si>
    <t>2025-01-28,CMP-024,Email,Francia,Tablet,93340,3758,325,7207.83,50159.42,205,Retención,Laura Pérez</t>
  </si>
  <si>
    <t>2025-11-09,CMP-001,Email,Italia,MOBILE,168209,4760,445,9212.81,49516.92,299,Adquisición,Carlos Ruiz</t>
  </si>
  <si>
    <t>2025-10-22,CMP-016,Email,España,Mobile,167113,6183,317,8053.02,17412.28,239,Reconocimiento,Laura Pérez</t>
  </si>
  <si>
    <t>2025-01-05,CMP-007,Affiliate,España,Mobile,97811,501,33,968.45,3617.76,26,Conversión,Luis Martín</t>
  </si>
  <si>
    <t>2025-03-29,CMP-016,Affiliate,España,Desktop,56013,824,113,864.84,8343.14,65,Retención,Ana García</t>
  </si>
  <si>
    <t>2025-06-26,CMP-020,Paid Social,Italia,Mobile,168186,12846,248,11843.19,16511.03,193,Conversión,Laura Pérez</t>
  </si>
  <si>
    <t>2025-03-03,CMP-024,Organic Social,Francia,Desktop,125337,4913,247,,19111.59,173,Retención,Ana García</t>
  </si>
  <si>
    <t>2025-04-23,CMP-008,Affiliate,Portugal,Mobile,156107,10929,151,14137.01,25165.32,106,Retención,Carlos Ruiz</t>
  </si>
  <si>
    <t>2025-11-02,CMP-026,Paid Social,Francia,Mobile,107920,2646,80,313.34,16240.95,70,Reconocimiento,Laura Pérez</t>
  </si>
  <si>
    <t>2025-06-22,CMP-019,Paid Search,España,Tablet,149923,13315,1463,10768.8,89544.3,1298,Conversión,Luis Martín</t>
  </si>
  <si>
    <t>2025-08-19,CMP-022,Paid Search,Portugal,Desktop,153656,6271,500,12777.65,13674.92,260,Reconocimiento,Laura Pérez</t>
  </si>
  <si>
    <t>2025-06-18,CMP-007,Affiliate,España,Desktop,50750,742,33,121.99,1482.78,22,Conversión,Ana García</t>
  </si>
  <si>
    <t>2025-07-16,CMP-022,Paid Search,Portugal,Mobile,14125,603,7,544.15,785.17,5,Adquisición,Laura Pérez</t>
  </si>
  <si>
    <t>2025-09-30,CMP-018,Paid Social,España,Desktop,4605,133,16,71.82,2255.32,10,Conversión,Luis Martín</t>
  </si>
  <si>
    <t>2025-09-22,CMP-013,Affiliate, España ,Mobile,110457,2756,71,3572.7,10415.2,38,Reconocimiento,Marta López</t>
  </si>
  <si>
    <t>2025-12-21,CMP-009,Email,Italia,Desktop,9726,296,26,102.51,2620.52,22,Reconocimiento,Laura Pérez</t>
  </si>
  <si>
    <t>2025-01-15,CMP-027,Display,España,Desktop,164689,8202,215,17165.28,9987.1,156,Conversión,Luis Martín</t>
  </si>
  <si>
    <t>2025-11-08,CMP-011,Email,Francia,Desktop,24391,1360,179,2162.02,9403.73,102,Conversión,Carlos Ruiz</t>
  </si>
  <si>
    <t>2025-12-17,CMP-009,Affiliate,México,Desktop,150402,7857,646,8959.44,13290.32,314,Retención,Luis Martín</t>
  </si>
  <si>
    <t>2025-05-24,CMP-016,Affiliate,España,Desktop,58465,354,14,204.68,2616.19,8,Conversión,Carlos Ruiz</t>
  </si>
  <si>
    <t>2025-02-17,CMP-022,Paid Social,Francia,Tablet,71713,1171,163,946.06,24678.32,138,Conversión,Ana García</t>
  </si>
  <si>
    <t>2025-06-15,CMP-002,Organic Social,Italia,Tablet,163297,9413,744,8149.36,37371.14,559,Retención,Luis Martín</t>
  </si>
  <si>
    <t>2025-09-16,CMP-026,Paid Search,México,Mobile,126504,7015,797,8333.29,17445.59,397,Conversión,Marta López</t>
  </si>
  <si>
    <t>2025-10-10,CMP-010,Paid Social,México,Desktop,31074,2691,22,598.2,2082.5,11,Retención,Ana García</t>
  </si>
  <si>
    <t>2025-04-22,CMP-025,Email,España,Tablet,5691,424,56,640.21,9464.19,30,Retención,Marta López</t>
  </si>
  <si>
    <t>2025-10-26,CMP-025,Organic Social,Portugal,Desktop,102137,5209,416,3330.71,80667.89,320,Adquisición,Ana García</t>
  </si>
  <si>
    <t>2025-12-07,CMP-025,Email,Italia,Mobile,132147,3443,468,3993.42,84664.15,312,Reconocimiento,Marta López</t>
  </si>
  <si>
    <t>2025-07-23,CMP-011,Paid Search,España,Mobile,133955,3696,153,3680.78,3128.82,79,Reconocimiento,Luis Martín</t>
  </si>
  <si>
    <t>2025-12-27,CMP-009,Paid Social,España,Desktop,64939,1976,196,3152.73,26300.52,151,Adquisición,Luis Martín</t>
  </si>
  <si>
    <t>2025-07-26,CMP-003,Organic Social,México,Mobile,114954,5234,528,10691.29,19430.85,406,Reconocimiento,Ana García</t>
  </si>
  <si>
    <t>2025-07-19,CMP-023,Paid Search,España,Mobile,87216,2108,210,2454.09,45379.1,115,Reconocimiento,Laura Pérez</t>
  </si>
  <si>
    <t>2025-10-30,CMP-014,Email,España,Desktop,110960,5601,36,1946.95,1679.45,21,Conversión,Ana García</t>
  </si>
  <si>
    <t>2025-10-29,CMP-010,Display,Portugal,Desktop,116461,2968,241,4277.77,39297.04,188,Adquisición,Carlos Ruiz</t>
  </si>
  <si>
    <t>2025-07-30,CMP-001, email ,Portugal,Desktop,135208,1566,197,488.54,28752.4,136,Reconocimiento,Carlos Ruiz</t>
  </si>
  <si>
    <t>2025-11-21,CMP-010,Paid Social,España,Mobile,73777,4368,392,2832.11,44982.77,352,Retención,Ana García</t>
  </si>
  <si>
    <t>2025-05-06,CMP-016,Paid Search,España,Mobile,4291,45,62,24.22,345.27,3,Reconocimiento,Marta López</t>
  </si>
  <si>
    <t>2025-05-29,CMP-025,Display,Portugal,Mobile,113389,8082,55,8745.55,6590.93,32,Retención,Ana García</t>
  </si>
  <si>
    <t>2025-05-04,CMP-003,Organic Social,Italia,Mobile,111620,690,41,603.36,6363.86,23,Reconocimiento,Luis Martín</t>
  </si>
  <si>
    <t>2025-04-28,CMP-011,Email,Portugal,Mobile,152550,9882,276,1384.37,21403.25,242,Adquisición,Marta López</t>
  </si>
  <si>
    <t>2025-02-10,CMP-015,Email,Francia,Tablet,112119,6380,601,1706.79,54102.23,475,Adquisición,Laura Pérez</t>
  </si>
  <si>
    <t>2025-05-26,CMP-018,Organic Social,España,Desktop,63469,4281,215,5713.43,27455.77,160,Conversión,Carlos Ruiz</t>
  </si>
  <si>
    <t>2025-02-22,CMP-020,Paid Search,España,Desktop,147884,3787,390,6465.2,66488.03,176,Adquisición,Luis Martín</t>
  </si>
  <si>
    <t>2025-12-17,CMP-017,Affiliate,Italia,Desktop,133022,10526,1091,1592.72,21694.43,846,Conversión,Ana García</t>
  </si>
  <si>
    <t>2025-12-28,CMP-018,Paid Social,México,Desktop,100094,1969,134,2790.29,23430.25,106,Adquisición,Luis Martín</t>
  </si>
  <si>
    <t>2025-10-05,CMP-028,,Italia,Mobile,103365,6169,521,12257.09,70918.4,364,Reconocimiento,Laura Pérez</t>
  </si>
  <si>
    <t>2025-04-19,CMP-001,Paid Social,Italia,Tablet,31914,856,66,892.79,4847.64,36,Retención,Marta López</t>
  </si>
  <si>
    <t>2025-01-08,CMP-017,Paid Social,Francia,Mobile,138819,2950,187,4263.57,24624.94,89,Conversión,Luis Martín</t>
  </si>
  <si>
    <t>2025-09-16,CMP-002,Paid Social,Portugal,Mobile,36595,1891,109,2139.31,19247.15,79,Reconocimiento,Ana García</t>
  </si>
  <si>
    <t>2025-06-28,CMP-015, organic social ,España,Desktop,164535,3912,539,4300.55,58327.65,249,Reconocimiento,Ana García</t>
  </si>
  <si>
    <t>2025-08-01,CMP-024,Paid Search,España,Desktop,27241,1316,88,664.57,4930.39,46,Adquisición,Laura Pérez</t>
  </si>
  <si>
    <t>2025-05-28,CMP-001, paid search ,España,Desktop,68241,5400,76,5656.65,7573.44,55,Retención,Marta López</t>
  </si>
  <si>
    <t>2025-03-12,CMP-021,Organic Social,Portugal,Desktop,116273,7385,510,13188.13,90766.58,315,Reconocimiento,Carlos Ruiz</t>
  </si>
  <si>
    <t>2025-12-14,CMP-023,Affiliate,México,Desktop,50511,290,34,552.38,3612.1,30,Retención,Marta López</t>
  </si>
  <si>
    <t>2025-09-17,CMP-027,Email,Portugal,Desktop,82692,6137,337,2284.72,73323.36,266,Adquisición,Laura Pérez</t>
  </si>
  <si>
    <t>2025-03-13,CMP-029,Email,España,Desktop,24708,1803,151,947.2,30738.35,127,Retención,Laura Pérez</t>
  </si>
  <si>
    <t>2025-02-13,CMP-030,Email,España,Mobile,109330,9561,959,11031.29,171417.69,634,Reconocimiento,Marta López</t>
  </si>
  <si>
    <t>2025-01-07,CMP-018,Organic Social,España,Mobile,127287,2984,355,5481.3,36120.64,300,Adquisición,Laura Pérez</t>
  </si>
  <si>
    <t>2025-03-11,CMP-027,Paid Social,España,Desktop,3205,93,5,104.64,308.27,3,Retención,</t>
  </si>
  <si>
    <t>2025-03-31,CMP-022,Display,México,Mobile,143186,4151,383,5318.8,26849.63,300,Reconocimiento,Marta López</t>
  </si>
  <si>
    <t>2025-10-09,CMP-028,Display,España,Desktop,159308,10535,140,8913.76,18838.45,96,Conversión,Carlos Ruiz</t>
  </si>
  <si>
    <t>2025-03-09,CMP-007,Affiliate,Francia,Mobile,171401,8378,241,17294.6,30380.08,180,Conversión,Laura Pérez</t>
  </si>
  <si>
    <t>2025-11-27,CMP-005,,España,Mobile,56296,2915,404,5926.51,75911.75,296,Adquisición,Ana García</t>
  </si>
  <si>
    <t>2025-06-24,CMP-016,Email,España,Desktop,65635,1596,219,1057.81,17550.6,136,Conversión,Luis Martín</t>
  </si>
  <si>
    <t>2025-06-04,CMP-022,Display,México,Mobile,126856,551,48,226.62,1452.3,28,Retención,Laura Pérez</t>
  </si>
  <si>
    <t>2025-09-01,CMP-025,Display,España,Desktop,151546,706,14,852.88,1939.33,7,Retención,Luis Martín</t>
  </si>
  <si>
    <t>2025-08-11,CMP-030,Paid Social,España,Mobile,150117,8309,450,7578.69,81946.09,226,Conversión,Carlos Ruiz</t>
  </si>
  <si>
    <t>2025-01-09,CMP-006,Organic Social,Italia,Mobile,78280,3635,303,7526.87,66167.11,228,Reconocimiento,Carlos Ruiz</t>
  </si>
  <si>
    <t>2025-10-09,CMP-004,Affiliate,México,Desktop,62151,3252,101,5983.42,20425.59,81,Retención,Marta López</t>
  </si>
  <si>
    <t>2025-11-23,cmp-010,Email,España,Desktop,84202,5175,523,8691.29,70646.54,315,Retención,Laura Pérez</t>
  </si>
  <si>
    <t>2025-08-04,CMP-015,Affiliate,,Mobile,70993,5324,363,6370.38,10725.48,322,Retención,Luis Martín</t>
  </si>
  <si>
    <t>2025-10-13,CMP-029,Organic Social,Francia,Mobile,5365,283,20,429.12,1588.92,9,Adquisición,Luis Martín</t>
  </si>
  <si>
    <t>2025-04-19,CMP-027,Email,España,Mobile,76473,1429,67,837.55,10003.66,37,Conversión,Carlos Ruiz</t>
  </si>
  <si>
    <t>2025-01-25,CMP-012,Email,Francia,Mobile,89336,2284,258,1750.33,51761.79,131,Adquisición,Ana García</t>
  </si>
  <si>
    <t>2025-01-15,CMP-028,Display,España,Desktop,45075,3575,175,5975.28,36336.83,128,Retención,Laura Pérez</t>
  </si>
  <si>
    <t>2025-12-26,CMP-003, paid social ,Francia,Desktop,10749,592,55,794.7,5606.04,48,Retención,Carlos Ruiz</t>
  </si>
  <si>
    <t>2025-09-15,CMP-010,Affiliate,México,Desktop,174829,11184,699,23368.09,152960.56,468,Adquisición,Marta López</t>
  </si>
  <si>
    <t>2025-03-07,CMP-011,Email,Italia,Mobile,150839,2552,228,2408.91,48203.95,117,Retención,Luis Martín</t>
  </si>
  <si>
    <t>2025-10-09,CMP-004,Email,España,Mobile,31736,664,53,135.89,5370.7,46,Conversión,Laura Pérez</t>
  </si>
  <si>
    <t>2025-11-01,CMP-009,Paid Search,México,Desktop,72086,3771,308,4287.62,18299.27,147,Adquisición,Ana García</t>
  </si>
  <si>
    <t>2025-08-14,cmp-006,Organic Social,España,Mobile,171399,13578,577,18535.46,103508.43,334,Retención,Laura Pérez</t>
  </si>
  <si>
    <t>2025-08-26,CMP-003,Organic Social,España,Mobile,117579,7543,562,5372.17,49258.16,446,Retención,Ana García</t>
  </si>
  <si>
    <t>2025-08-01,CMP-008,Email,Italia,Mobile,88446,4732,194,1292.18,9438.83,166,Adquisición,Ana García</t>
  </si>
  <si>
    <t>2025-04-23,CMP-018,Organic Social,España,Tablet,179028,1943,40,1129.09,4721.6,35,Retención,Luis Martín</t>
  </si>
  <si>
    <t>2025-09-23,CMP-019,Display, España ,Mobile,70005,6221,224,2607.32,23165.44,111,Reconocimiento,Carlos Ruiz</t>
  </si>
  <si>
    <t>2025-10-27,CMP-029,Paid Social,España,Desktop,10697,849,95,1430.54,20479.18,60,Reconocimiento,Carlos Ruiz</t>
  </si>
  <si>
    <t>2025-10-27,CMP-025, affiliate ,Portugal,Mobile,35777,2832,350,5404.25,74096.95,256,Retención,Laura Pérez</t>
  </si>
  <si>
    <t>2025-12-10,CMP-024,Paid Social,España,Mobile,51515,4161,480,3643.84,88068.72,338,Retención,Laura Pérez</t>
  </si>
  <si>
    <t>2025-07-26,CMP-027,Email,España,Desktop,83878,5628,435,9012.74,76121.44,200,Retención,Ana García</t>
  </si>
  <si>
    <t>2025-06-07,CMP-003,Display,Francia,Mobile,37780,2981,208,5424.77,10400.28,108,Conversión,Marta López</t>
  </si>
  <si>
    <t>2025-10-29,CMP-014, organic social ,Portugal,Desktop,140142,720,86,654.98,7203.58,63,Adquisición,Luis Martín</t>
  </si>
  <si>
    <t>2025-12-21,CMP-002,Paid Search,Italia,Mobile,76778,1269,61,1272.36,3268.91,41,Retención,Luis Martín</t>
  </si>
  <si>
    <t>2025-05-15,CMP-012,Organic Social,España,Desktop,118268,1755,147,2369.22,27133.4,94,Adquisición,Luis Martín</t>
  </si>
  <si>
    <t>2025-04-02,CMP-005,Display,Portugal,Mobile,84649,4760,341,4437.73,12820.09,243,Adquisición,Luis Martín</t>
  </si>
  <si>
    <t>2025-08-10,CMP-013,,España,Desktop,149611,8402,717,3182.49,130126.07,519,Adquisición,Ana García</t>
  </si>
  <si>
    <t>2025-08-19,CMP-017,Affiliate,Portugal,Desktop,102417,7999,1066,10019.24,171998.5,772,Conversión,Ana García</t>
  </si>
  <si>
    <t>2025-11-17,CMP-008,Affiliate,España,Desktop,63443,2659,27,1559.63,4827.67,19,Adquisición,Luis Martín</t>
  </si>
  <si>
    <t>2025-03-15,CMP-016,Organic Social,Portugal,Tablet,54129,1124,67,1833.71,10818.44,30,Adquisición,Marta López</t>
  </si>
  <si>
    <t>2025-08-16,CMP-015,Paid Search,México,Mobile,34490,3056,414,3242.33,41365.42,227,Conversión,Carlos Ruiz</t>
  </si>
  <si>
    <t>2025-02-01,CMP-021,Paid Search,España,Mobile,1442,113,13,147.84,2250.66,6,Retención,Luis Martín</t>
  </si>
  <si>
    <t>2025-07-27,CMP-023,Email,Portugal,Mobile,175538,9664,942,10330.53,27823.85,443,Reconocimiento,Luis Martín</t>
  </si>
  <si>
    <t>2025-09-20,CMP-030,Display,México,Mobile,106994,2689,356,2763.42,30823.62,265,Retención,Ana García</t>
  </si>
  <si>
    <t>2025-12-23,CMP-021,Affiliate,España,Mobile,30052,1317,166,2716.37,31158.8,124,Retención,Marta López</t>
  </si>
  <si>
    <t>2025-10-06,CMP-019,Organic Social,Francia,Desktop,83548,638,21,1269.7,1766.04,12,Retención,Marta López</t>
  </si>
  <si>
    <t>2025-07-21,CMP-020,Paid Social,Italia,Desktop,58384,5247,264,2724.49,45380.79,147,Retención,Carlos Ruiz</t>
  </si>
  <si>
    <t>2025-10-26,CMP-028,Display,Portugal,Desktop,67410,5920,597,4375.77,115873.52,470,Reconocimiento,Ana García</t>
  </si>
  <si>
    <t>2025-09-18,CMP-027,Paid Social,España,Desktop,143658,3330,139,5711.52,19409.71,97,Conversión,Luis Martín</t>
  </si>
  <si>
    <t>2025-09-20,CMP-013,Organic Social,México,Mobile,37343,575,32,394.15,3013.09,21,Adquisición,Marta López</t>
  </si>
  <si>
    <t>2025-08-14,CMP-026,Display,España,Mobile,99860,4250,534,7379.33,73696.14,344,Conversión,Marta López</t>
  </si>
  <si>
    <t>2025-04-04,CMP-018,Paid Social,España,Mobile,68867,1547,131,1695.16,21946.34,94,Retención,Carlos Ruiz</t>
  </si>
  <si>
    <t>2025-08-13,CMP-025,Affiliate,Francia,Tablet,66906,4300,84,6004.22,8643.41,75,Conversión,Carlos Ruiz</t>
  </si>
  <si>
    <t>2025-05-04,CMP-018,Affiliate,España,Mobile,168910,3675,120,7407.12,14522.13,54,Adquisición,Carlos Ruiz</t>
  </si>
  <si>
    <t>2025-02-25,CMP-023,Paid Social,,Mobile,30501,330,18,68.59,1006.33,11,Retención,Luis Martín</t>
  </si>
  <si>
    <t>2025-01-10,CMP-005,Paid Social,México,Mobile,26787,192,25,164.0,5048.43,15,Retención,Laura Pérez</t>
  </si>
  <si>
    <t>2025-02-20,CMP-015,Display,Italia,Tablet,102524,5804,515,11138.51,104492.16,339,Conversión,Ana García</t>
  </si>
  <si>
    <t>2025-01-11,CMP-027,Affiliate,Italia,Desktop,162716,6461,529,9589.81,94859.64,265,Adquisición,Marta López</t>
  </si>
  <si>
    <t>2025-04-13,CMP-007,Display,España,Mobile,123237,2084,136,3356.46,26452.87,95,Retención,</t>
  </si>
  <si>
    <t>2025-05-12,CMP-004,Affiliate,España,Mobile,56944,1611,125,1852.91,25417.85,66,Reconocimiento,Laura Pérez</t>
  </si>
  <si>
    <t>2025-02-17,CMP-026,Organic Social,Italia,Mobile,116462,3489,365,2433.89,58568.78,236,Conversión,Laura Pérez</t>
  </si>
  <si>
    <t>2025-05-04,CMP-016,Organic Social,España,Mobile,173404,2979,385,6171.73,52827.09,229,Reconocimiento,Marta López</t>
  </si>
  <si>
    <t>2025-11-30,CMP-022,Affiliate,Portugal,Mobile,47889,2842,171,765.45,37602.88,89,Retención,Carlos Ruiz</t>
  </si>
  <si>
    <t>2025-12-21,CMP-025, paid social ,Francia,Mobile,82416,1753,88,2333.33,1550.34,46,Retención,Marta López</t>
  </si>
  <si>
    <t>2025-12-01,CMP-012,Organic Social,México,Mobile,37983,383,22,536.04,1977.36,13,Conversión,Laura Pérez</t>
  </si>
  <si>
    <t>2025-09-02,CMP-027,Paid Search,España,Desktop,144326,995,80,182.06,7814.33,65,Retención,Carlos Ruiz</t>
  </si>
  <si>
    <t>2025-07-31,CMP-028,Paid Search,España,Desktop,31320,2400,307,1348.17,41922.46,239,Adquisición,Luis Martín</t>
  </si>
  <si>
    <t>2025-08-19,CMP-010,Affiliate,México,Mobile,12248,627,5,989.53,737.79,3,Reconocimiento,Carlos Ruiz</t>
  </si>
  <si>
    <t>2025-04-02,CMP-023,Organic Social,Francia,Desktop,80445,2334,60,679.7,7450.56,27,Reconocimiento,Laura Pérez</t>
  </si>
  <si>
    <t>2025-06-25,CMP-027,Paid Search,España,Mobile,135678,5225,280,2721.65,56654.18,133,Retención,Luis Martín</t>
  </si>
  <si>
    <t>2025-04-22,CMP-017,Paid Social,México,Mobile,90317,1013,121,1931.04,17672.45,102,Adquisición,Laura Pérez</t>
  </si>
  <si>
    <t>2025-02-26,CMP-012,Organic Social,Espana,Mobile,178817,1545,206,167.94,22360.62,157,Reconocimiento,Carlos Ruiz</t>
  </si>
  <si>
    <t>2025-04-29,CMP-004,Display,Francia,Tablet,164988,6517,757,4155.56,158050.64,540,Reconocimiento,Marta López</t>
  </si>
  <si>
    <t>2025-11-12,CMP-006,Organic Social,Portugal,Desktop,149825,10305,129,8002.67,26250.15,81,Retención,Carlos Ruiz</t>
  </si>
  <si>
    <t>2025-01-18,CMP-012,Display,Francia,Mobile,173964,1011,27,488.79,1056.63,18,Adquisición,Laura Pérez</t>
  </si>
  <si>
    <t>2025-06-29,CMP-029,Paid Search,México,Desktop,65653,1899,84,3409.3,9517.72,62,Adquisición,Carlos Ruiz</t>
  </si>
  <si>
    <t>2025-02-08,CMP-005,Email,España,Mobile,142845,973,105,294.36,12444.54,72,Reconocimiento,Luis Martín</t>
  </si>
  <si>
    <t>2025-09-08,CMP-004,Affiliate,España,Mobile,56509,2680,36,365.91,6581.37,18,Adquisición,Luis Martín</t>
  </si>
  <si>
    <t>2025-04-20,CMP-020,Affiliate,Italia,Mobile,123953,5037,123,3732.75,9020.39,86,Retención,Marta López</t>
  </si>
  <si>
    <t>2025-06-12,CMP-021,Email,España,Mobile,57863,3291,204,1506.27,4955.18,166,Conversión,Marta López</t>
  </si>
  <si>
    <t>2025-10-09,CMP-028,Organic Social,España,Mobile,29715,2249,89,1855.71,14720.55,79,Adquisición,Laura Pérez</t>
  </si>
  <si>
    <t>2025-10-23,CMP-011,Paid Search,Portugal,Mobile,36403,350,43,570.22,5881.42,33,Conversión,Marta López</t>
  </si>
  <si>
    <t>2025-08-13,CMP-011,Email,España,Desktop,119718,9551,804,9584.78,90520.69,548,Retención,Carlos Ruiz</t>
  </si>
  <si>
    <t>2025-03-22,CMP-013,Email,Italia,Mobile,48427,1976,110,2829.49,21159.55,62,Retención,Luis Martín</t>
  </si>
  <si>
    <t>2025-12-06,CMP-023,Affiliate,España,Mobile,171020,8884,662,17801.39,80424.04,303,Reconocimiento,</t>
  </si>
  <si>
    <t>2025-12-12,CMP-010,Paid Search,Italia,Desktop,57275,258,31,203.76,6572.26,17,Retención,Carlos Ruiz</t>
  </si>
  <si>
    <t>2025-04-22,CMP-022,Display,Francia,Tablet,179090,3073,427,6449.94,27932.82,363,Adquisición,Ana García</t>
  </si>
  <si>
    <t>2025-11-27,CMP-019,Email,Francia,Desktop,158182,14182,1715,15077.58,315910.33,1019,Adquisición,Ana García</t>
  </si>
  <si>
    <t>2025-03-11,CMP-022,Paid Social,Italia,Mobile,141359,4614,46,6446.03,3828.59,25,Conversión,Marta López</t>
  </si>
  <si>
    <t>2025-04-25,CMP-012,Affiliate,Portugal,Mobile,43152,1650,56,2605.81,10686.11,27,Reconocimiento,Carlos Ruiz</t>
  </si>
  <si>
    <t>2025-10-07,CMP-028,Affiliate,España,Tablet,169243,14397,230,13347.12,36945.81,124,Conversión,Laura Pérez</t>
  </si>
  <si>
    <t>2025-11-08,CMP-028,Paid Social,España,Desktop,100766,8268,1128,-6794.31,181965.54,562,Reconocimiento,Luis Martín</t>
  </si>
  <si>
    <t>2025-06-07,CMP-009,Email,España,Mobile,144883,1547,181,1961.74,4464.4,154,Adquisición,Marta López</t>
  </si>
  <si>
    <t>2025-10-18,CMP-027,Display,Portugal,Mobile,25762,254,32,113.98,6748.92,21,Conversión,Ana García</t>
  </si>
  <si>
    <t>2025-02-28,CMP-008,Email,España,Mobile,162056,4802,403,1479.31,10907.97,331,Reconocimiento,Luis Martín</t>
  </si>
  <si>
    <t>2025-08-03,CMP-018,Email,Francia,Mobile,82909,3126,241,5614.73,47297.66,122,Conversión,Carlos Ruiz</t>
  </si>
  <si>
    <t>2025-01-15,CMP-024, paid search ,España,Tablet,4521,190,8,24.97,726.07,4,Adquisición,Laura Pérez</t>
  </si>
  <si>
    <t>2025-11-09,cmp-020,Email,España,Desktop,73351,2461,341,563.62,41037.68,187,Conversión,Luis Martín</t>
  </si>
  <si>
    <t>2025-02-07,CMP-020,Affiliate,Portugal,Mobile,88432,1168,132,1704.43,8742.64,102,Retención,Ana García</t>
  </si>
  <si>
    <t>2025-01-09,CMP-023,Organic Social,España,Mobile,32995,1206,33,466.06,3024.19,18,Conversión,Ana García</t>
  </si>
  <si>
    <t>2025-06-21,CMP-028,Affiliate,España,Mobile,126344,1283,94,815.77,15005.56,56,Retención,Marta López</t>
  </si>
  <si>
    <t>2025-08-23,CMP-001,Display,México,Mobile,87265,2441,40,3749.31,2624.65,27,Retención,Marta López</t>
  </si>
  <si>
    <t>2025-11-18,CMP-013,Paid Social,Francia,Desktop,96295,1424,81,323.29,16529.73,39,Adquisición,Ana García</t>
  </si>
  <si>
    <t>2025-03-05,CMP-009,Affiliate,España,Desktop,43556,2837,206,4174.68,23271.79,174,Conversión,Ana García</t>
  </si>
  <si>
    <t>2025-08-06,CMP-016,Affiliate,España,Desktop,42915,2250,58,386.61,12032.29,44,Reconocimiento,Marta López</t>
  </si>
  <si>
    <t>2025-11-04,CMP-007, paid social ,Portugal,Mobile,175749,1470,166,1907.79,12739.89,77,Reconocimiento,Ana García</t>
  </si>
  <si>
    <t>2025-05-27,CMP-001,Paid Social,España,Mobile,141863,11654,142,7848.74,19458.05,98,Conversión,Carlos Ruiz</t>
  </si>
  <si>
    <t>2025-04-11,CMP-021,Display,Francia,Tablet,119882,4931,486,9281.29,71734.79,429,Reconocimiento,Carlos Ruiz</t>
  </si>
  <si>
    <t>2025-11-12,CMP-013,Display,España,Mobile,145941,9341,580,9501.42,101929.86,447,Retención,</t>
  </si>
  <si>
    <t>2025-10-11,CMP-010,Affiliate,España,Mobile,105170,9344,1266,19197.38,90011.98,682,Reconocimiento,Luis Martín</t>
  </si>
  <si>
    <t>2025-11-11,CMP-025,Organic Social,Portugal,Mobile,162076,13171,1842,22835.83,158650.9,1459,Retención,Marta López</t>
  </si>
  <si>
    <t>2025-07-28,CMP-022,Paid Social,Francia,Desktop,134055,4008,396,4745.12,20132.45,335,Reconocimiento,Laura Pérez</t>
  </si>
  <si>
    <t>2025-12-17,CMP-008,Email,España,Desktop,68066,5586,127,809.41,17865.96,104,Reconocimiento,Luis Martín</t>
  </si>
  <si>
    <t>2025-08-03,CMP-016,Paid Search,España,Mobile,152106,9448,723,14822.38,97549.7,604,Conversión,Ana García</t>
  </si>
  <si>
    <t>2025-06-09,CMP-023,Display,España,Desktop,117875,7713,567,11000.89,52777.88,450,Adquisición,Luis Martín</t>
  </si>
  <si>
    <t>2025-01-31,CMP-010,Email,España,Mobile,90544,2948,219,4556.27,10935.12,125,Conversión,Marta López</t>
  </si>
  <si>
    <t>2025-02-16,CMP-005,Email,España,Desktop,120504,8297,403,12221.54,84257.06,335,Reconocimiento,Ana García</t>
  </si>
  <si>
    <t>2025-01-02,CMP-016,Email,España,Desktop,157816,11236,1114,16322.36,32644.32,718,Conversión,Luis Martín</t>
  </si>
  <si>
    <t>2025-10-22,CMP-019,Email,España,Mobile,38138,3238,289,1553.98,54085.79,197,Adquisición,Laura Pérez</t>
  </si>
  <si>
    <t>2025-05-28,CMP-024,Paid Search,España,Desktop,113419,6605,625,11755.57,120178.4,310,Conversión,Marta López</t>
  </si>
  <si>
    <t>2025-06-29,CMP-016,Paid Social,España,Mobile,115514,6124,76,3124.21,1815.51,34,Conversión,Laura Pérez</t>
  </si>
  <si>
    <t>2025-05-22,CMP-010,Email,Francia,Desktop,11582,270,37,411.11,6287.11,20,Conversión,Marta López</t>
  </si>
  <si>
    <t>2025-09-15,CMP-028,Organic Social,España,Mobile,88592,537,27,881.92,1497.89,13,Retención,Luis Martín</t>
  </si>
  <si>
    <t>2025-09-11,CMP-004,Paid Social,Francia,Mobile,33650,1872,256,805.37,23017.61,185,Conversión,Marta López</t>
  </si>
  <si>
    <t>2025-05-02,CMP-024,Display,Portugal,Mobile,68140,514,4,812.36,547.03,3,Adquisición,Luis Martín</t>
  </si>
  <si>
    <t>2025-02-26,CMP-021,Paid Social,España,Desktop,85605,3356,141,2682.58,17704.64,75,Retención,Ana García</t>
  </si>
  <si>
    <t>2025-01-07,CMP-026,Display,México,Desktop,47238,577,20,864.87,3835.5,14,Adquisición,Luis Martín</t>
  </si>
  <si>
    <t>2025-10-15,CMP-008,Display,España,Desktop,109089,2184,232,3148.64,27846.04,208,Adquisición,Carlos Ruiz</t>
  </si>
  <si>
    <t>2025-03-13,CMP-028,Paid Social,España,Desktop,75419,6401,322,2650.59,24284.18,192,Reconocimiento,Marta López</t>
  </si>
  <si>
    <t>2025-08-03,CMP-027,Organic Social,Francia,Desktop,126828,2773,15,1620.45,1306.39,8,Reconocimiento,Luis Martín</t>
  </si>
  <si>
    <t>2025-10-28,CMP-021,Affiliate,España,Mobile,115787,8330,347,1050.11,74920.49,249,Adquisición,</t>
  </si>
  <si>
    <t>2025-06-02,CMP-020,Organic Social,España,Mobile,153589,12225,1308,3881.0,224367.15,911,Retención,Carlos Ruiz</t>
  </si>
  <si>
    <t>2025-07-13,CMP-025,Paid Search,España,Mobile,54410,4726,133,723.27,12588.91,104,Retención,Laura Pérez</t>
  </si>
  <si>
    <t>2025-03-22,CMP-005,Display,España,Mobile,178156,9113,297,15507.44,38586.19,136,Retención,Luis Martín</t>
  </si>
  <si>
    <t>2025-12-07,CMP-024,Display,España,Mobile,8328,485,9,315.87,1758.62,7,Adquisición,Laura Pérez</t>
  </si>
  <si>
    <t>2025-06-27,cmp-003,Paid Social,México,Desktop,160927,9302,850,9590.22,105028.08,691,Conversión,Marta López</t>
  </si>
  <si>
    <t>2025-06-03,CMP-013,Organic Social,España,Desktop,159515,9905,261,2894.6,48300.06,192,Reconocimiento,Carlos Ruiz</t>
  </si>
  <si>
    <t>2025-07-05,CMP-008,Paid Search,Francia,Tablet,143309,10612,1154,17117.12,226014.0,840,Reconocimiento,Carlos Ruiz</t>
  </si>
  <si>
    <t>2025-01-24,CMP-002,Paid Search,España,Desktop,175738,6196,682,4348.78,108463.67,391,Retención,Luis Martín</t>
  </si>
  <si>
    <t>2025-09-26,CMP-005,Paid Search,Italia,Mobile,108199,962,62,1061.45,11040.25,52,Retención,Ana García</t>
  </si>
  <si>
    <t>2025-03-22,CMP-015,Email,México,Desktop,167371,6770,121,1108.2,20362.82,57,Retención,Marta López</t>
  </si>
  <si>
    <t>2025-04-16,CMP-028,Paid Social,España,Mobile,163224,163753,303,6163.53,26899.45,143,Retención,Marta López</t>
  </si>
  <si>
    <t>2025-12-20,CMP-027,Paid Social,España,Mobile,141588,9887,1154,15717.65,26965.62,567,Reconocimiento,Luis Martín</t>
  </si>
  <si>
    <t>2025-08-10,CMP-007,Organic Social,España,Mobile,157193,11883,322,21030.24,60087.95,173,Reconocimiento,Ana García</t>
  </si>
  <si>
    <t>2025-04-24,CMP-025,Affiliate,España,Mobile,41286,3027,308,5009.13,19980.95,263,Retención,Carlos Ruiz</t>
  </si>
  <si>
    <t>2025-10-27,CMP-026,Display,España,Mobile,51906,1079,86,905.95,10312.54,53,Adquisición,Laura Pérez</t>
  </si>
  <si>
    <t>2025-07-01,CMP-028,Affiliate,España,Mobile,74448,4364,87,5578.37,17493.57,46,Conversión,Luis Martín</t>
  </si>
  <si>
    <t>2025-07-28,CMP-015,,España,Mobile,10297,548,4,590.85,710.3,2,Adquisición,Carlos Ruiz</t>
  </si>
  <si>
    <t>2025-03-09,CMP-015,Affiliate,España,Desktop,23297,1091,58,1702.07,3133.53,31,Reconocimiento,Laura Pérez</t>
  </si>
  <si>
    <t>2025-12-29,CMP-026,Paid Social,Francia,Desktop,28312,1297,161,1403.33,16821.11,132,Conversión,Marta López</t>
  </si>
  <si>
    <t>2025-12-03,CMP-013,Email,España,Desktop,44740,2017,35,1810.86,5613.76,26,Retención,Ana García</t>
  </si>
  <si>
    <t>2025-01-21,CMP-023,Affiliate,México,Desktop,16741,700,29,448.9,5960.88,25,Retención,Marta López</t>
  </si>
  <si>
    <t>2025-03-29,CMP-029,Affiliate,Francia,Mobile,71816,971,72,773.45,6667.06,43,Adquisición,Luis Martín</t>
  </si>
  <si>
    <t>2025-12-02,CMP-026,Display,Italia,Tablet,14732,1305,135,957.79,8015.26,78,Retención,Luis Martín</t>
  </si>
  <si>
    <t>2025-05-23,CMP-012,Affiliate,España,Mobile,64904,5053,512,10051.28,19429.25,338,Reconocimiento,Luis Martín</t>
  </si>
  <si>
    <t>2025-03-19,CMP-020,Paid Search,Francia,Mobile,99094,4193,444,4184.9,80376.57,397,Adquisición,Laura Pérez</t>
  </si>
  <si>
    <t>2025-09-17,CMP-030,Paid Search,Italia,Desktop,90201,4310,48,7474.8,7974.93,27,Reconocimiento,Ana García</t>
  </si>
  <si>
    <t>2025-09-01,CMP-002,Email,México,Mobile,103498,3048,419,4067.56,78539.23,250,Conversión,Carlos Ruiz</t>
  </si>
  <si>
    <t>2025-04-07,CMP-029,Email,Italia,Desktop,2827,54,0,17.88,0.0,0,Adquisición,Marta López</t>
  </si>
  <si>
    <t>2025-09-03,CMP-012,Affiliate,España,Mobile,42588,2351,121,1117.48,9206.17,77,Reconocimiento,Ana García</t>
  </si>
  <si>
    <t>2025-03-20,CMP-011,Paid Social,España,Mobile,95361,1833,162,1415.64,19044.17,103,Retención,Marta López</t>
  </si>
  <si>
    <t>2025-12-14,CMP-025,Paid Search,México,Tablet,165746,8889,300,15327.29,64209.86,219,Retención,Luis Martín</t>
  </si>
  <si>
    <t>2025-09-24,CMP-009,Display, México ,Desktop,61892,5375,173,3920.91,19891.58,120,Retención,Luis Martín</t>
  </si>
  <si>
    <t>2025-04-17,CMP-016,Email,España,DESKTOP,140194,9802,1092,2069.82,137377.51,599,Conversión,Luis Martín</t>
  </si>
  <si>
    <t>2025-02-26,CMP-017,Display,España,MOBILE,31265,2095,213,1578.12,22151.25,108,Conversión,Luis Martín</t>
  </si>
  <si>
    <t>2025-10-12,CMP-012,Email,España,Desktop,42628,1446,78,1678.51,2963.14,60,Conversión,Carlos Ruiz</t>
  </si>
  <si>
    <t>2025-08-31,CMP-018,Display,México,Tablet,174697,15348,1313,8450.42,102248.99,1087,Conversión,Laura Pérez</t>
  </si>
  <si>
    <t>2025-09-30,CMP-008,Affiliate,España,Mobile,130043,9316,907,15919.54,77025.84,518,Conversión,Ana García</t>
  </si>
  <si>
    <t>2025-08-19,CMP-005,Affiliate,España,Desktop,166041,11422,390,10675.91,46445.82,263,Conversión,Luis Martín</t>
  </si>
  <si>
    <t>2025-04-05,CMP-024,Paid Social,Italia,Mobile,110825,8228,665,6451.84,39926.01,519,Conversión,Carlos Ruiz</t>
  </si>
  <si>
    <t>2025-03-12,CMP-019,Display,México,Mobile,148146,4180,319,8153.14,21959.94,207,Conversión,Marta López</t>
  </si>
  <si>
    <t>2025-04-03,CMP-002,Affiliate,España,Desktop,135641,4429,565,3940.34,89461.53,364,Retención,Marta López</t>
  </si>
  <si>
    <t>2025-07-12,CMP-028,Organic Social,España,Mobile,72739,749,9,127.87,1086.94,5,Adquisición,Carlos Ruiz</t>
  </si>
  <si>
    <t>2025-10-05,CMP-002,Paid Social,Portugal,Mobile,102617,2122,138,296.85,23658.6,83,Conversión,Laura Pérez</t>
  </si>
  <si>
    <t>2025-11-05,CMP-024,Email,España,Tablet,65015,579,6,1169.09,1249.31,4,Reconocimiento,Carlos Ruiz</t>
  </si>
  <si>
    <t>2025-03-02,CMP-030,Affiliate,Portugal,Mobile,170552,5116,592,1865.32,100739.53,377,Conversión,Ana García</t>
  </si>
  <si>
    <t>2025-12-13,CMP-008,Display,Italia,Desktop,24494,230,29,419.93,2323.51,21,Conversión,Carlos Ruiz</t>
  </si>
  <si>
    <t>2025-05-14,CMP-030,Email,España,Tablet,42882,316,33,258.41,1087.11,27,Adquisición,Carlos Ruiz</t>
  </si>
  <si>
    <t>2025-12-29,CMP-005,Paid Search,México,Desktop,14564,776,28,499.71,2449.94,20,Conversión,Ana García</t>
  </si>
  <si>
    <t>2025-10-21,CMP-023,Organic Social,Portugal,Desktop,113475,560,28,705.42,4685.83,18,Reconocimiento,Luis Martín</t>
  </si>
  <si>
    <t>2025-12-31,CMP-025,Affiliate,México,Mobile,26549,1150,124,521.91,23758.33,74,Conversión,Laura Pérez</t>
  </si>
  <si>
    <t>2025-03-10,CMP-002,Organic Social,España,Desktop,84112,4169,542,7974.51,45652.05,361,Retención,Ana García</t>
  </si>
  <si>
    <t>2025-06-28,CMP-013,Paid Search,España,Mobile,177367,11786,977,21306.64,38562.25,465,Retención,Marta López</t>
  </si>
  <si>
    <t>2025-12-09,CMP-029,Organic Social,Portugal,Desktop,40061,634,31,736.85,6405.86,25,Conversión,Marta López</t>
  </si>
  <si>
    <t>2025-06-28,CMP-009,Email,México,Mobile,171816,1637,91,734.06,14514.06,47,Adquisición,Marta López</t>
  </si>
  <si>
    <t>2025-11-03,CMP-008,Affiliate,España,Mobile,48643,1703,141,2204.16,10101.64,81,Reconocimiento,Laura Pérez</t>
  </si>
  <si>
    <t>2025-07-31,CMP-026,Paid Social,Francia,Desktop,104661,2233,260,3545.43,56370.76,145,Conversión,Luis Martín</t>
  </si>
  <si>
    <t>2025-11-22,CMP-003,Paid Search,España,Mobile,135174,6534,462,9304.96,50860.26,288,Retención,Laura Pérez</t>
  </si>
  <si>
    <t>2025-05-27,CMP-021,Display,España,Desktop,65387,3793,329,1005.81,48243.97,198,Reconocimiento,Laura Pérez</t>
  </si>
  <si>
    <t>2025-01-03,CMP-003, paid search ,España,Desktop,106826,9377,940,18693.62,148697.04,587,Reconocimiento,Marta López</t>
  </si>
  <si>
    <t>2025-09-25,CMP-011,Paid Search,España,Tablet,44292,2407,70,3578.59,5034.71,42,Adquisición,Marta López</t>
  </si>
  <si>
    <t>2025-07-29,CMP-009,Paid Search,España,Mobile,166986,7719,594,6018.64,52695.09,299,Retención,Ana García</t>
  </si>
  <si>
    <t>2025-08-28,CMP-025,Display,España,Desktop,76130,4959,674,9570.6,110246.44,512,Conversión,Laura Pérez</t>
  </si>
  <si>
    <t>2025-09-09,CMP-007,Email,Francia,Mobile,11965,67,7,30.62,1208.73,5,Adquisición,Ana García</t>
  </si>
  <si>
    <t>2025-01-03,CMP-001,Affiliate,España,Tablet,138916,4883,625,2324.27,73508.25,533,Retención,Marta López</t>
  </si>
  <si>
    <t>2025-01-03,CMP-005,Paid Search,España,Desktop,156774,4038,425,2904.34,87625.48,253,Retención,Laura Pérez</t>
  </si>
  <si>
    <t>2025-12-09,CMP-006,Paid Search,Portugal,Desktop,125272,5689,383,8059.72,68829.96,198,Conversión,Marta López</t>
  </si>
  <si>
    <t>2025-01-04,CMP-021,Email,Portugal,Desktop,120349,4392,193,2151.57,30337.3,130,Conversión,Luis Martín</t>
  </si>
  <si>
    <t>2025-01-09,CMP-002,Organic Social,Portugal,Mobile,115709,3063,201,6306.71,37103.85,152,Retención,Ana García</t>
  </si>
  <si>
    <t>2025-09-10,CMP-007,Display,España,Desktop,81247,2458,145,2095.11,7504.78,130,Reconocimiento,Marta López</t>
  </si>
  <si>
    <t>2025-11-04,CMP-016,Email,Portugal,Mobile,60952,3535,429,3784.02,85012.85,253,Retención,Marta López</t>
  </si>
  <si>
    <t>2025-06-11,CMP-004,Organic Social,España,Mobile,33381,2881,374,640.0,5624.01,293,Retención,Carlos Ruiz</t>
  </si>
  <si>
    <t>2025-06-03,CMP-013,Paid Social,España,Desktop,85570,418,50,267.2,8632.26,41,Adquisición,Carlos Ruiz</t>
  </si>
  <si>
    <t>2025-05-01,CMP-030,Affiliate,España,Desktop,21807,1668,75,3381.09,8499.61,36,Adquisición,Carlos Ruiz</t>
  </si>
  <si>
    <t>2025-06-04,CMP-002,Email,Francia,MOBILE,100617,6163,642,10935.04,47540.1,572,Reconocimiento,Carlos Ruiz</t>
  </si>
  <si>
    <t>2025-06-07,CMP-016,Organic Social,España,Tablet,35619,35851,141,1399.77,21317.41,66,Adquisición,Luis Martín</t>
  </si>
  <si>
    <t>2025-01-30,CMP-014,Paid Search,España,Desktop,23489,1195,107,810.4,17746.64,51,Conversión,Luis Martín</t>
  </si>
  <si>
    <t>2025-05-30,CMP-009,Paid Search,España,Mobile,177538,14298,1513,6839.89,101070.49,1237,Retención,Laura Pérez</t>
  </si>
  <si>
    <t>2025-12-10,CMP-018,Affiliate,España,Desktop,18970,1596,117,1123.25,6760.9,74,Adquisición,Carlos Ruiz</t>
  </si>
  <si>
    <t>2025-06-28,CMP-017,Paid Search,Francia,Tablet,34572,576,48,386.89,8015.47,30,Retención,Ana García</t>
  </si>
  <si>
    <t>2025-09-23,CMP-009,Organic Social,España,Desktop,38592,3438,320,3493.0,26012.11,238,Conversión,Ana García</t>
  </si>
  <si>
    <t>2025-03-19,CMP-029,Email,España,Desktop,27962,1623,196,1903.84,29641.94,164,Reconocimiento,Carlos Ruiz</t>
  </si>
  <si>
    <t>2025-07-10,CMP-027,Display,Portugal,Desktop,58138,1903,111,2065.38,4332.97,51,Conversión,Ana García</t>
  </si>
  <si>
    <t>2025-04-28,CMP-014,Organic Social,Portugal,Desktop,58221,967,29,354.59,3435.83,19,Adquisición,Marta López</t>
  </si>
  <si>
    <t>2025-03-29,CMP-005,Paid Social,Portugal,Mobile,94253,2847,257,5606.68,38809.25,140,Adquisición,Carlos Ruiz</t>
  </si>
  <si>
    <t>2025-07-28,CMP-002,Organic Social,México,Mobile,89698,6845,6868,11458.1,31748.43,268,Reconocimiento,Carlos Ruiz</t>
  </si>
  <si>
    <t>2025-01-07,cmp-009,Affiliate,México,Desktop,86465,1226,165,130.78,3136.57,97,Retención,Laura Pérez</t>
  </si>
  <si>
    <t>2025-08-18,CMP-017,Organic Social,España,Tablet,161509,6257,701,6965.17,81589.81,430,Adquisición,Marta López</t>
  </si>
  <si>
    <t>2025-01-01,CMP-002,Paid Search,España,Desktop,132090,3254,435,5965.4,90068.32,236,Adquisición,Carlos Ruiz</t>
  </si>
  <si>
    <t>2025-07-07,CMP-003,Paid Search,España,Desktop,61258,1728,60,2894.07,12563.29,36,Adquisición,Luis Martín</t>
  </si>
  <si>
    <t>2025-01-29,CMP-004,Paid Social,México,Desktop,153601,10179,897,1536.86,51519.43,417,Reconocimiento,Laura Pérez</t>
  </si>
  <si>
    <t>2025-08-02,CMP-027,Paid Search,España,Desktop,8347,81,8,58.25,622.6,4,Reconocimiento,Carlos Ruiz</t>
  </si>
  <si>
    <t>2025-06-03,CMP-028,Email,España,Mobile,12186,513,33,840.7,3090.58,22,Adquisición,Laura Pérez</t>
  </si>
  <si>
    <t>2025-10-24,CMP-022,Email,Francia,Desktop,84768,6549,594,2238.92,107121.07,309,Adquisición,Carlos Ruiz</t>
  </si>
  <si>
    <t>2025-05-01,CMP-003,Paid Social,México,Desktop,30869,1238,83,2347.1,9543.58,54,Reconocimiento,Laura Pérez</t>
  </si>
  <si>
    <t>2025-01-30,CMP-003,Paid Search,Portugal,Desktop,120105,4478,581,-826.98,10261.35,486,Reconocimiento,Carlos Ruiz</t>
  </si>
  <si>
    <t>2025-03-28,CMP-028,Display,México,Mobile,1213,52,6,-78.3,859.65,4,Conversión,Carlos Ruiz</t>
  </si>
  <si>
    <t>2025-01-04,CMP-023,Organic Social,España,MOBILE,149800,8365,478,1967.18,56297.97,350,Conversión,Ana García</t>
  </si>
  <si>
    <t>2025-11-28,CMP-011,Email,Francia,Tablet,131697,2248,187,4050.36,33252.28,91,Conversión,Ana García</t>
  </si>
  <si>
    <t>2025-03-13,CMP-019,Email,España,Mobile,72072,2918,151,2165.69,11043.66,118,Adquisición,Luis Martín</t>
  </si>
  <si>
    <t>2025-08-19,CMP-016,Organic Social,Portugal,Mobile,22966,131,0,59.28,0.0,0,Adquisición,Ana García</t>
  </si>
  <si>
    <t>2025-05-16,CMP-016,Organic Social,Portugal,Mobile,57022,3344,460,3789.67,89547.31,406,Reconocimiento,Carlos Ruiz</t>
  </si>
  <si>
    <t>2025-08-21,CMP-010,Paid Search,España,Desktop,8420,610,21,721.04,2318.92,12,Retención,Marta López</t>
  </si>
  <si>
    <t>2025-11-02,CMP-019,Email,España,Desktop,11039,625,22,209.95,789.84,15,Retención,Luis Martín</t>
  </si>
  <si>
    <t>2025-02-22,CMP-016,Display,Portugal,Desktop,146543,3673,478,2467.1,22806.01,234,Retención,Luis Martín</t>
  </si>
  <si>
    <t>2025-02-16,CMP-013,Organic Social,México,Desktop,104929,6977,148,12338.18,16053.49,129,Retención,Laura Pérez</t>
  </si>
  <si>
    <t>2025-03-30,CMP-030,Email,España,Desktop,35967,1101,149,1316.87,31454.55,84,Retención,Marta López</t>
  </si>
  <si>
    <t>2025-09-05,CMP-012,Email,Portugal,Desktop,5114,185,11,277.92,1227.35,6,Conversión,Ana García</t>
  </si>
  <si>
    <t>2025-01-03,CMP-018,Affiliate,España,Mobile,139020,8141,44,1743.65,1465.69,28,Reconocimiento,Carlos Ruiz</t>
  </si>
  <si>
    <t>2025-08-14,CMP-030,Affiliate,España,Desktop,58585,3433,361,4673.1,72865.22,295,Reconocimiento,Laura Pérez</t>
  </si>
  <si>
    <t>2025-01-05,cmp-003,Affiliate,España,Mobile,151173,7367,701,1387.83,123094.05,318,Adquisición,Ana García</t>
  </si>
  <si>
    <t>2025-07-12,CMP-001,Organic Social,Francia,Mobile,134284,3137,200,4718.29,10184.23,143,Retención,Marta López</t>
  </si>
  <si>
    <t>2025-09-04,CMP-017,Paid Social,España,Mobile,41687,2276,144,1511.61,11437.22,73,Retención,Luis Martín</t>
  </si>
  <si>
    <t>2025-01-31,CMP-025, organic social ,México,Desktop,93615,4787,96,7401.94,11576.34,57,Reconocimiento,Luis Martín</t>
  </si>
  <si>
    <t>2025-12-23,CMP-016,Paid Social,España,Desktop,111233,6105,724,3326.59,137632.61,528,Reconocimiento,Luis Martín</t>
  </si>
  <si>
    <t>2025-06-24,CMP-021,Email,México,DESKTOP,93356,2667,150,2410.14,26349.85,103,Retención,Luis Martín</t>
  </si>
  <si>
    <t>2025-12-22,CMP-016,Organic Social,España,Desktop,106825,6665,258,6326.81,31623.44,224,Conversión,Carlos Ruiz</t>
  </si>
  <si>
    <t>2025-07-03,CMP-015,Affiliate,Francia,Desktop,94836,4946,410,7832.7,33838.91,345,Adquisición,Ana García</t>
  </si>
  <si>
    <t>2025-03-19,CMP-015,Email,España,Mobile,118831,9553,448,16394.94,36719.76,328,Retención,Ana García</t>
  </si>
  <si>
    <t>2025-08-28,CMP-025,Organic Social,España,Mobile,104284,4530,573,900.28,78497.03,413,Reconocimiento,Marta López</t>
  </si>
  <si>
    <t>2025-07-23,CMP-022,Email,Portugal,Mobile,82608,1415,76,1335.65,7896.56,50,Reconocimiento,Marta López</t>
  </si>
  <si>
    <t>2025-07-17,CMP-010,Affiliate,España,Desktop,173373,9272,777,4290.95,143550.54,440,Conversión,Ana García</t>
  </si>
  <si>
    <t>2025-10-29,CMP-019,Display,España,Desktop,156660,8994,698,10431.11,67054.63,322,Reconocimiento,Laura Pérez</t>
  </si>
  <si>
    <t>2025-06-10,CMP-012,Paid Social,México,Mobile,72507,2561,244,4407.56,11371.66,125,Retención,Luis Martín</t>
  </si>
  <si>
    <t>2025-03-03,CMP-029,Organic Social,Francia,Desktop,37981,1989,83,3794.99,14168.96,40,Retención,Ana García</t>
  </si>
  <si>
    <t>2025-05-30,CMP-016,Organic Social,España,Desktop,13647,649,73,241.7,11248.19,33,Retención,Luis Martín</t>
  </si>
  <si>
    <t>2025-05-19,CMP-016,Paid Social,Francia,Desktop,4121,162,16,67.01,1208.56,9,Adquisición,Ana García</t>
  </si>
  <si>
    <t>2025-08-11,CMP-030,Paid Search,España,Desktop,73156,3027,358,1928.28,77597.86,260,Reconocimiento,Carlos Ruiz</t>
  </si>
  <si>
    <t>2025-07-07,CMP-005,Organic Social,México,Desktop,60135,3421,241,2632.77,48199.48,135,Conversión,Laura Pérez</t>
  </si>
  <si>
    <t>2025-10-17,CMP-021,Email,España,Mobile,171696,10160,631,3447.97,65659.16,522,Retención,Laura Pérez</t>
  </si>
  <si>
    <t>2025-01-06,CMP-028,Affiliate,España,Mobile,131014,5491,273,2219.41,48559.66,213,Retención,Ana García</t>
  </si>
  <si>
    <t>2025-05-26,CMP-010,Display,Francia,Desktop,111209,614,50,1227.61,5144.06,42,Conversión,Ana García</t>
  </si>
  <si>
    <t>2025-08-28,CMP-012,Paid Social,México,Mobile,34148,1110,137,635.35,29895.5,77,Adquisición,Laura Pérez</t>
  </si>
  <si>
    <t>2025-03-01,CMP-013,Organic Social,España,MOBILE,115268,7661,305,7387.27,40594.45,197,Adquisición,Marta López</t>
  </si>
  <si>
    <t>2025-04-02,CMP-021,Email,México,Desktop,106490,6905,36,1224.38,6174.76,25,Adquisición,Marta López</t>
  </si>
  <si>
    <t>2025-11-09,CMP-026,Affiliate,Francia,Mobile,123270,3000,227,3605.01,35185.3,123,Adquisición,Laura Pérez</t>
  </si>
  <si>
    <t>2025-08-01,CMP-029,Paid Social,Portugal,Desktop,38809,2819,83,4985.32,10001.44,40,Adquisición,Carlos Ruiz</t>
  </si>
  <si>
    <t>2025-05-08,cmp-028,Email,México,Desktop,61245,4769,600,9224.49,10474.28,338,Adquisición,Laura Pérez</t>
  </si>
  <si>
    <t>2025-05-26,CMP-024,Paid Search,España,Desktop,98569,2025,61,1701.71,7220.09,50,Conversión,Carlos Ruiz</t>
  </si>
  <si>
    <t>2025-08-25,CMP-010,Paid Search,España,Desktop,41305,635,25,563.75,1774.87,22,Conversión,Ana García</t>
  </si>
  <si>
    <t>2025-05-28,CMP-030, paid search ,España,Desktop,116027,8024,909,10275.89,25256.25,608,Retención,Luis Martín</t>
  </si>
  <si>
    <t>2025-11-21,CMP-006,Organic Social,España,Mobile,31035,1935,144,2842.24,9533.45,86,Reconocimiento,Ana García</t>
  </si>
  <si>
    <t>2025-09-01,CMP-006,Paid Social,España,Mobile,142758,6426,213,2113.02,19907.74,152,Reconocimiento,Ana García</t>
  </si>
  <si>
    <t>2025-09-14,CMP-005,Organic Social,Francia,Mobile,25072,1290,172,1299.79,19269.87,120,Reconocimiento,Ana García</t>
  </si>
  <si>
    <t>2025-11-06,CMP-019,Affiliate,España,Tablet,50975,1893,235,1283.3,4760.55,120,Retención,Marta López</t>
  </si>
  <si>
    <t>2025-05-29,CMP-015,Affiliate,España,Mobile,121280,8459,820,8546.01,120609.65,642,Retención,Laura Pérez</t>
  </si>
  <si>
    <t>2025-06-20,CMP-028,Organic Social,México,Desktop,67904,4821,298,8124.61,7316.18,189,Conversión,Carlos Ruiz</t>
  </si>
  <si>
    <t>2025-08-12,CMP-009,Paid Search,España,Desktop,60851,1526,76,333.86,14129.53,61,Conversión,Luis Martín</t>
  </si>
  <si>
    <t>2025-08-19,CMP-020,Display,México,Mobile,21969,1041,49,1918.27,2985.65,40,Conversión,Ana García</t>
  </si>
  <si>
    <t>2025-06-09,CMP-030,Paid Search,España,Mobile,173451,13725,790,8034.93,97812.09,611,Adquisición,Carlos Ruiz</t>
  </si>
  <si>
    <t>2025-12-10,CMP-026,Paid Search,España,Tablet,27569,1601,190,1809.8,31917.69,113,Retención,Laura Pérez</t>
  </si>
  <si>
    <t>2025-05-14,CMP-015,Organic Social,Italia,Desktop,116427,6459,753,2914.31,61557.71,438,Retención,Marta López</t>
  </si>
  <si>
    <t>2025-06-06,CMP-026,Paid Search,España,Desktop,78135,5223,128,5918.46,23620.09,82,Reconocimiento,Laura Pérez</t>
  </si>
  <si>
    <t>2025-01-12,CMP-019,Paid Search,Portugal,Mobile,134369,8040,427,13056.82,80392.05,266,Reconocimiento,Marta López</t>
  </si>
  <si>
    <t>2025-06-28,CMP-022,Display,Portugal,Desktop,47711,894,84,268.15,3265.59,43,Reconocimiento,Laura Pérez</t>
  </si>
  <si>
    <t>2025-04-09,CMP-016,Affiliate,España,Tablet,94135,8436,763,6389.71,87038.18,617,Conversión,Carlos Ruiz</t>
  </si>
  <si>
    <t>2025-01-10,CMP-030,Paid Search,Italia,Desktop,156784,12189,1133,21486.76,61293.28,957,Retención,Marta López</t>
  </si>
  <si>
    <t>2025-12-13,CMP-004,Organic Social, España ,Mobile,25611,2071,43,4220.7,7609.47,21,Reconocimiento,Marta López</t>
  </si>
  <si>
    <t>2025-03-15,CMP-014,Paid Social,España,Mobile,40730,3636,381,4781.92,63941.7,308,Reconocimiento,Ana García</t>
  </si>
  <si>
    <t>2025-02-06,CMP-014,Paid Social,México,Desktop,87539,1841,185,1910.38,22123.87,137,Reconocimiento,Carlos Ruiz</t>
  </si>
  <si>
    <t>2025-10-25,CMP-002,Display,España,Desktop,44272,2043,195,3078.0,41792.66,113,Adquisición,Luis Martín</t>
  </si>
  <si>
    <t>2025-07-11,CMP-016,Paid Social,España,Mobile,115801,6196,675,4076.09,33277.96,431,Conversión,Luis Martín</t>
  </si>
  <si>
    <t>2025-06-24,CMP-005,Display,España,Tablet,105120,2170,229,4271.96,50132.56,183,Reconocimiento,Ana García</t>
  </si>
  <si>
    <t>2025-09-18,CMP-018,Email,México,Mobile,143256,10691,273,6904.85,19851.86,188,Retención,Ana García</t>
  </si>
  <si>
    <t>2025-12-05,CMP-008,Affiliate,Portugal,Mobile,99547,7401,292,10224.87,35197.2,185,Retención,Carlos Ruiz</t>
  </si>
  <si>
    <t>2025-09-08,CMP-001,Email,España,Desktop,167919,1854,32,3041.75,2328.15,23,Adquisición,Luis Martín</t>
  </si>
  <si>
    <t>2025-01-04,CMP-012, affiliate ,España,Desktop,170089,12604,1055,26436.6,209689.75,706,Adquisición,Carlos Ruiz</t>
  </si>
  <si>
    <t>2025-04-19,CMP-020,Paid Social,México,Tablet,101989,4324,366,4400.86,19356.11,293,Reconocimiento,Laura Pérez</t>
  </si>
  <si>
    <t>2025-05-04,CMP-014,Organic Social,Francia,Mobile,163343,3081,329,5992.97,56078.12,236,Conversión,Laura Pérez</t>
  </si>
  <si>
    <t>2025-01-09,CMP-007,Paid Social,España,Mobile,37704,1830,232,1541.86,6678.72,170,Conversión,Ana García</t>
  </si>
  <si>
    <t>2025-10-04,CMP-025,Organic Social,Francia,Mobile,98300,4012,436,7101.02,51097.13,253,Conversión,Carlos Ruiz</t>
  </si>
  <si>
    <t>2025-03-12,CMP-005,Email,España,Mobile,37178,688,78,71.44,2202.84,64,Reconocimiento,Carlos Ruiz</t>
  </si>
  <si>
    <t>2025-12-19,CMP-007,Organic Social,España,Mobile,20305,818,70,1507.51,12332.9,36,Conversión,Laura Pérez</t>
  </si>
  <si>
    <t>2025-05-05,CMP-020,Affiliate,México,Desktop,35325,2472,308,3375.0,14283.69,201,Retención,Carlos Ruiz</t>
  </si>
  <si>
    <t>2025-09-17,CMP-030,Organic Social,Portugal,Mobile,152185,4715,384,6919.95,9966.42,282,Retención,Luis Martín</t>
  </si>
  <si>
    <t>2025-08-15,CMP-029,Affiliate,España,Mobile,18638,449,19,719.5,695.54,15,Reconocimiento,Ana García</t>
  </si>
  <si>
    <t>2025-01-24,CMP-004,Affiliate,España,Mobile,109206,2154,184,1098.24,12390.83,149,Conversión,Laura Pérez</t>
  </si>
  <si>
    <t>2025-09-17,CMP-023,Display,España,Mobile,85965,7604,978,3516.33,27733.89,627,Conversión,Marta López</t>
  </si>
  <si>
    <t>2025-05-11,CMP-025,Display,España,Desktop,22266,334,15,329.4,2006.3,12,Retención,Luis Martín</t>
  </si>
  <si>
    <t>2025-08-17,CMP-015,Organic Social,España,Mobile,126353,7459,420,14410.49,69168.4,271,Retención,Ana García</t>
  </si>
  <si>
    <t>2025-12-25,CMP-008,Affiliate,Portugal,Mobile,167064,9010,585,1844.62,57698.74,296,Retención,Laura Pérez</t>
  </si>
  <si>
    <t>2025-01-09,CMP-026,Paid Search,España,Mobile,101149,1079,97,185.84,11389.97,60,Adquisición,Ana García</t>
  </si>
  <si>
    <t>2025-05-29,CMP-017,Organic Social,España,Desktop,97102,8187,807,16591.56,163037.92,569,Conversión,Luis Martín</t>
  </si>
  <si>
    <t>2025-07-29,cmp-001,Email,Portugal,Mobile,88493,670,58,984.3,11436.83,38,Adquisición,Ana García</t>
  </si>
  <si>
    <t>2025-07-01,CMP-028,Paid Search,España,Desktop,33457,878,49,478.79,7836.19,22,Retención,Marta López</t>
  </si>
  <si>
    <t>2025-09-11,CMP-011,Organic Social,España,Mobile,70737,984,127,341.17,14379.5,73,Reconocimiento,Luis Martín</t>
  </si>
  <si>
    <t>2025-11-22,CMP-014,Paid Search,España,Mobile,17808,1303,83,1855.04,16616.24,40,Adquisición,Laura Pérez</t>
  </si>
  <si>
    <t>2025-07-15,CMP-026,Organic Social,Francia,Mobile,30254,796,80,771.88,16777.56,49,Adquisición,Carlos Ruiz</t>
  </si>
  <si>
    <t>2025-04-28,CMP-012,Paid Social,España,Desktop,170054,11704,505,20554.32,10064.43,446,Adquisición,Carlos Ruiz</t>
  </si>
  <si>
    <t>2025-05-09,CMP-022,Email,España,Desktop,104176,1171,58,2416.05,9910.96,40,Retención,Carlos Ruiz</t>
  </si>
  <si>
    <t>2025-10-06,CMP-010,Affiliate,España,Mobile,102542,8517,670,10658.49,111826.33,306,Retención,Ana García</t>
  </si>
  <si>
    <t>2025-01-31,CMP-021,Affiliate,España,Desktop,120231,6423,316,6005.11,63165.76,188,Reconocimiento,Carlos Ruiz</t>
  </si>
  <si>
    <t>2025-02-05,CMP-018,,Italia,Desktop,52009,1548,203,1936.84,19790.67,158,Reconocimiento,Ana García</t>
  </si>
  <si>
    <t>2025-08-31,CMP-027,Affiliate,España,Tablet,96760,7031,341,12676.24,41745.44,297,Retención,Laura Pérez</t>
  </si>
  <si>
    <t>2025-03-04,CMP-028,Email,España,Mobile,51941,1100,107,1030.41,5595.7,65,Adquisición,Luis Martín</t>
  </si>
  <si>
    <t>2025-03-29,CMP-017,Paid Social,España,Tablet,165122,1090,59,1829.0,10940.79,48,Conversión,Laura Pérez</t>
  </si>
  <si>
    <t>2025-01-01,CMP-009,Display,España,Mobile,67512,1190,71,438.72,7858.76,40,Adquisición,Carlos Ruiz</t>
  </si>
  <si>
    <t>2025-02-19,CMP-016,Affiliate, España ,Desktop,12575,906,117,903.69,12176.09,65,Adquisición,Marta López</t>
  </si>
  <si>
    <t>2025-01-17,CMP-030,Organic Social,España,Mobile,38973,2999,60,1961.62,12565.59,43,Reconocimiento,Ana García</t>
  </si>
  <si>
    <t>2025-02-19,CMP-022,Display,España,Tablet,77086,2539,145,1838.19,15663.22,77,Adquisición,Ana García</t>
  </si>
  <si>
    <t>2025-05-08,CMP-027,Display,España,Desktop,161276,3955,528,3484.76,105186.74,361,Retención,Ana García</t>
  </si>
  <si>
    <t>2025-06-17,CMP-025,Paid Social,España,Mobile,26122,499,57,293.72,4039.17,46,Adquisición,Laura Pérez</t>
  </si>
  <si>
    <t>2025-12-01,CMP-023,Affiliate,Italia,Mobile,42728,3632,355,1449.5,48137.66,226,Retención,Carlos Ruiz</t>
  </si>
  <si>
    <t>2025-07-19,CMP-016,Affiliate,Portugal,Mobile,155371,7786,424,8660.42,47785.44,227,Retención,Marta López</t>
  </si>
  <si>
    <t>2025-12-29,CMP-009,Paid Search,Portugal,Mobile,65248,3027,334,2988.37,6309.75,244,Adquisición,Luis Martín</t>
  </si>
  <si>
    <t>2025-06-21,CMP-014,Paid Social,Francia,Mobile,61936,1364,89,1487.51,1902.28,43,Reconocimiento,Laura Pérez</t>
  </si>
  <si>
    <t>2025-02-24,CMP-015,Paid Search,Portugal,Mobile,44658,2818,264,1079.2,26505.26,189,Conversión,Carlos Ruiz</t>
  </si>
  <si>
    <t>2025-10-04,CMP-010,Display,Portugal,Desktop,56708,3425,422,4545.77,24376.52,225,Retención,Marta López</t>
  </si>
  <si>
    <t>2025-07-05,CMP-030,Display,Italia,Desktop,38324,1031,130,761.81,16680.58,116,Conversión,Ana García</t>
  </si>
  <si>
    <t>2025-02-07,CMP-011,Email,España,Desktop,25936,1810,26,3193.78,3494.51,16,Reconocimiento,Ana García</t>
  </si>
  <si>
    <t>2025-06-02,CMP-024,Paid Social,España,Desktop,11479,669,11,384.59,1251.18,8,Conversión,Laura Pérez</t>
  </si>
  <si>
    <t>2025-08-01,CMP-005,Paid Search,España,Mobile,159787,1884,176,1308.28,12507.44,106,Reconocimiento,Carlos Ruiz</t>
  </si>
  <si>
    <t>2025-02-02,CMP-030,Affiliate,México,DESKTOP,136229,5837,472,967.04,84642.73,246,Adquisición,Ana García</t>
  </si>
  <si>
    <t>2025-03-11,CMP-004,Email,Francia,Mobile,41781,272,25,219.94,2227.52,12,Conversión,Luis Martín</t>
  </si>
  <si>
    <t>2025-09-14,CMP-008,Affiliate,España,Mobile,135739,783,28,722.91,2220.99,25,Conversión,Marta López</t>
  </si>
  <si>
    <t>2025-08-22,CMP-021,Organic Social,España,Mobile,163288,883,13,1118.72,1169.25,11,Reconocimiento,Luis Martín</t>
  </si>
  <si>
    <t>2025-12-29,CMP-002,Affiliate,España,Tablet,73742,6254,417,5231.89,73521.0,320,Conversión,Ana García</t>
  </si>
  <si>
    <t>2025-05-25,CMP-023,Paid Search,España,Mobile,130689,4848,540,8562.37,85967.47,451,Conversión,Luis Martín</t>
  </si>
  <si>
    <t>2025-10-16,CMP-030,Display,Francia,Mobile,61410,1129,124,2034.74,17273.48,101,Conversión,Ana García</t>
  </si>
  <si>
    <t>2025-12-04,CMP-029,Paid Search,España,Desktop,21153,1088,128,357.9,24785.87,63,Adquisición,Carlos Ruiz</t>
  </si>
  <si>
    <t>2025-07-19,CMP-017,Paid Search,Francia,Mobile,25155,1326,108,2782.88,8925.05,81,Conversión,Ana García</t>
  </si>
  <si>
    <t>2025-06-24,CMP-007,Affiliate,México,Desktop,49264,1923,34,2500.38,2200.38,29,Adquisición,Marta López</t>
  </si>
  <si>
    <t>2025-09-12,CMP-013,Paid Social,España,Mobile,165221,7412,528,8552.28,43921.9,424,Conversión,Ana García</t>
  </si>
  <si>
    <t>2025-06-07,CMP-030,Paid Social,España,Desktop,98100,4941,56,7871.56,10234.19,27,Conversión,Ana García</t>
  </si>
  <si>
    <t>2025-03-22,CMP-020,Email, España ,Desktop,37462,964,72,1796.03,11227.49,43,Retención,Carlos Ruiz</t>
  </si>
  <si>
    <t>2025-04-03,CMP-028,Organic Social,México,Mobile,2773,188,4,365.94,842.67,2,Adquisición,Luis Martín</t>
  </si>
  <si>
    <t>2025-12-04,CMP-006,Paid Social,Portugal,Tablet,55755,3489,365,2397.04,64793.36,276,Adquisición,Carlos Ruiz</t>
  </si>
  <si>
    <t>2025-06-02,CMP-016,Email,México,Mobile,161788,11571,1442,12013.3,179019.65,1002,Reconocimiento,Marta López</t>
  </si>
  <si>
    <t>2025-02-06,CMP-006,Organic Social,España,Mobile,23010,2050,128,3945.19,18288.53,70,Conversión,Luis Martín</t>
  </si>
  <si>
    <t>2025-09-17,CMP-018,Paid Social,México,Mobile,160422,12369,1393,8362.4,245307.9,881,Adquisición,Carlos Ruiz</t>
  </si>
  <si>
    <t>2025-07-26,CMP-001,Affiliate,Francia,Desktop,155743,11002,1158,8199.16,69554.89,996,Conversión,Marta López</t>
  </si>
  <si>
    <t>2025-09-08,CMP-014,Paid Social, Portugal ,Mobile,92162,7822,59,5813.1,2901.77,33,Conversión,Marta López</t>
  </si>
  <si>
    <t>2025-05-18,CMP-017,Paid Social,Portugal,Desktop,174272,4503,478,2554.43,42421.32,220,Conversión,Marta López</t>
  </si>
  <si>
    <t>2025-01-19,CMP-003,Affiliate,México,Mobile,126698,2524,123,1638.84,8326.49,95,Adquisición,Marta López</t>
  </si>
  <si>
    <t>2025-01-12,CMP-015,Organic Social,México,Mobile,62262,1815,47,2974.39,9412.1,30,Reconocimiento,Laura Pérez</t>
  </si>
  <si>
    <t>2025-09-09,CMP-001,Display,España,Mobile,108836,5484,492,5035.92,78452.45,322,Conversión,Marta López</t>
  </si>
  <si>
    <t>2025-02-24,CMP-020,Email,España,Desktop,3882,73,6,147.18,776.89,2,Retención,Ana García</t>
  </si>
  <si>
    <t>2025-11-09,CMP-018,Email,Francia,Desktop,56304,3821,433,3408.02,44074.75,335,Retención,Ana García</t>
  </si>
  <si>
    <t>2025-06-01,CMP-028,Paid Search,Portugal,Mobile,40605,1681,205,1539.51,31761.61,178,Retención,Carlos Ruiz</t>
  </si>
  <si>
    <t>2025-01-18,CMP-002,Email,España,Mobile,124301,1789,102,3332.17,17294.17,74,Conversión,Ana García</t>
  </si>
  <si>
    <t>2025-07-21,CMP-005,Email,España,Mobile,74435,4341,237,8785.98,12314.4,168,Adquisición,Marta López</t>
  </si>
  <si>
    <t>2025-06-04,cmp-010,Paid Social,España,Desktop,5731,102,2,11.2,263.91,1,Conversión,Laura Pérez</t>
  </si>
  <si>
    <t>2025-12-09,CMP-012,Display,España,Desktop,75197,639,80,481.65,5156.61,71,Reconocimiento,Marta López</t>
  </si>
  <si>
    <t>2025-04-12,CMP-030,Paid Search,España,Desktop,6340,122,15,169.89,2481.58,9,Conversión,Luis Martín</t>
  </si>
  <si>
    <t>2025-08-16,CMP-028,Paid Search,España,Mobile,25158,1323,183,1286.61,21545.99,119,Retención,Laura Pérez</t>
  </si>
  <si>
    <t>2025-07-10,CMP-011,Paid Search,Francia,Mobile,167573,1953,71,4005.9,14852.83,57,Reconocimiento,Laura Pérez</t>
  </si>
  <si>
    <t>2025-09-03,CMP-029,Display,Francia,Mobile,169608,12523,131,17347.38,9240.32,62,Reconocimiento,Marta López</t>
  </si>
  <si>
    <t>2025-02-28,CMP-030,Organic Social,México,Mobile,83513,5009,423,9894.7,57772.18,273,Reconocimiento,Luis Martín</t>
  </si>
  <si>
    <t>2025-07-21,CMP-019,Email,España,Desktop,91618,954,11,1289.63,981.21,6,Adquisición,Marta López</t>
  </si>
  <si>
    <t>2025-06-08,CMP-014,Paid Search,España,Desktop,70587,4263,262,7505.75,25218.16,128,Conversión,Carlos Ruiz</t>
  </si>
  <si>
    <t>2025-12-23,CMP-003,Affiliate,Francia,Desktop,135586,8967,1001,4618.69,161944.57,794,Retención,Luis Martín</t>
  </si>
  <si>
    <t>2025-03-23,CMP-011,Affiliate,España,Desktop,123898,7711,554,8737.22,71905.38,377,Adquisición,Marta López</t>
  </si>
  <si>
    <t>2025-04-13,CMP-006,Paid Social,Francia,Desktop,50197,3435,293,652.86,24762.57,213,Conversión,Marta López</t>
  </si>
  <si>
    <t>2025-09-10,CMP-015,Display,México,Desktop,85059,4913,440,7424.84,57954.56,206,Conversión,Carlos Ruiz</t>
  </si>
  <si>
    <t>2025-09-08,CMP-005,Email,México,DESKTOP,132539,8958,451,10437.58,55712.15,371,Reconocimiento,Ana García</t>
  </si>
  <si>
    <t>2025-05-14,CMP-011,Affiliate,Francia,Desktop,13308,380,26,400.15,4777.84,19,Reconocimiento,Carlos Ruiz</t>
  </si>
  <si>
    <t>2025-12-24,CMP-008,Organic Social,España,Desktop,138585,8238,1013,11972.56,130558.93,833,Conversión,Ana García</t>
  </si>
  <si>
    <t>2025-03-14,CMP-021,Paid Search,España,Mobile,138022,2106,281,3341.61,26440.59,190,Conversión,Luis Martín</t>
  </si>
  <si>
    <t>2025-03-02,CMP-022,Display,México,Desktop,59089,5218,659,5609.93,144502.79,345,Adquisición,Laura Pérez</t>
  </si>
  <si>
    <t>2025-10-20,CMP-010,Affiliate,España,Desktop,130778,8568,1168,10774.75,94265.13,863,Adquisición,</t>
  </si>
  <si>
    <t>2025-02-15,CMP-009,Display, España ,Tablet,7197,95,9,160.38,1121.53,4,Adquisición,Marta López</t>
  </si>
  <si>
    <t>2025-11-08,CMP-005,Email,Italia,Mobile,55259,3076,199,4397.83,9510.76,100,Reconocimiento,Ana García</t>
  </si>
  <si>
    <t>2025-04-21,CMP-010,Email,España,Desktop,158415,1114,54,910.04,7523.75,37,Conversión,Marta López</t>
  </si>
  <si>
    <t>2025-09-18,CMP-017, display ,España,Desktop,25674,1385,191,2838.08,32470.39,165,Adquisición,Luis Martín</t>
  </si>
  <si>
    <t>2025-12-19,CMP-024,Organic Social,México,Mobile,134740,1889,158,2162.62,9584.87,110,Conversión,Laura Pérez</t>
  </si>
  <si>
    <t>2025-01-19,CMP-027,Email,Italia,Mobile,41430,1764,45,1319.49,3724.67,22,Reconocimiento,Luis Martín</t>
  </si>
  <si>
    <t>2025-04-27,CMP-024,Affiliate,España,Mobile,76076,6252,88,12712.37,5792.79,69,Conversión,Laura Pérez</t>
  </si>
  <si>
    <t>2025-09-08,CMP-005,Paid Search,Francia,Tablet,35282,2628,72,1105.06,2969.77,64,Conversión,Carlos Ruiz</t>
  </si>
  <si>
    <t>2025-01-18,CMP-023,Paid Social,España,Desktop,126334,9346,246,4917.71,15174.97,133,Reconocimiento,Laura Pérez</t>
  </si>
  <si>
    <t>2025-01-20,CMP-003,Organic Social,Francia,Mobile,170456,3801,153,1729.77,32060.02,71,Conversión,Luis Martín</t>
  </si>
  <si>
    <t>2025-10-29,CMP-018,Display,México,Mobile,160113,7821,487,15375.48,84113.12,263,Retención,Carlos Ruiz</t>
  </si>
  <si>
    <t>2025-05-02,CMP-022,Display,Portugal,Tablet,171194,8972,723,4497.55,134133.66,352,Conversión,Marta López</t>
  </si>
  <si>
    <t>2025-08-27,CMP-015,Paid Social,España,Mobile,106927,7189,972,7497.92,47868.88,558,Reconocimiento,Luis Martín</t>
  </si>
  <si>
    <t>2025-10-18,CMP-001,Paid Search,España,Desktop,52188,795,21,1482.99,1736.66,17,Reconocimiento,Laura Pérez</t>
  </si>
  <si>
    <t>2025-10-05,CMP-019,Paid Search,España,Desktop,44539,3798,334,2992.84,36798.73,237,Retención,Ana García</t>
  </si>
  <si>
    <t>2025-07-18,CMP-008,Affiliate,Portugal,Mobile,125485,4174,413,5305.02,69968.84,266,Adquisición,Laura Pérez</t>
  </si>
  <si>
    <t>2025-08-13,CMP-026,Email,Portugal,Mobile,106819,6457,261,13028.48,53526.56,164,Adquisición,Luis Martín</t>
  </si>
  <si>
    <t>2025-12-20,CMP-029,Email,España,Mobile,26059,427,22,271.81,3786.04,18,Adquisición,Carlos Ruiz</t>
  </si>
  <si>
    <t>2025-01-25,CMP-010,Paid Social,Portugal,Tablet,49350,955,44,1281.14,8267.9,29,Conversión,Carlos Ruiz</t>
  </si>
  <si>
    <t>2025-05-28,CMP-027,,Portugal,Tablet,120476,6343,51,2115.96,6349.25,34,Adquisición,Carlos Ruiz</t>
  </si>
  <si>
    <t>2025-05-26,CMP-007,Email,España,Mobile,56913,935,30,1248.47,1651.84,18,Conversión,Marta López</t>
  </si>
  <si>
    <t>2025-12-27,CMP-006,Organic Social,España,Mobile,74281,6672,679,11982.8,86471.32,431,Retención,Laura Pérez</t>
  </si>
  <si>
    <t>2025-04-02,CMP-013,Email,Portugal,Desktop,42773,2533,186,3024.78,5936.8,110,Conversión,Marta López</t>
  </si>
  <si>
    <t>2025-01-05,CMP-002,Display,España,Desktop,70617,6249,100,11461.52,4341.01,54,Conversión,Carlos Ruiz</t>
  </si>
  <si>
    <t>2025-06-17,CMP-016,Affiliate,España,Desktop,74727,830,86,711.37,11249.76,40,Reconocimiento,Marta López</t>
  </si>
  <si>
    <t>2025-08-22,CMP-002,Affiliate,Portugal,Desktop,90880,7033,108,13104.11,13560.46,58,Adquisición,Laura Pérez</t>
  </si>
  <si>
    <t>2025-11-17,CMP-028,Display,España,Mobile,68941,3323,224,4050.88,30851.35,188,Retención,Laura Pérez</t>
  </si>
  <si>
    <t>2025-08-11,CMP-009,Organic Social,México,Mobile,66392,3019,343,2949.92,58734.42,261,Conversión,Luis Martín</t>
  </si>
  <si>
    <t>2025-11-24,CMP-027,Organic Social,España,Desktop,15386,172,23,349.86,2274.74,18,Retención,Ana García</t>
  </si>
  <si>
    <t>2025-07-15,CMP-007,Affiliate,México,Desktop,8928,456,29,547.5,2951.23,19,Reconocimiento,Laura Pérez</t>
  </si>
  <si>
    <t>2025-02-20,CMP-015,Paid Social,España,Desktop,13231,133,1,170.43,204.54,0,Conversión,Luis Martín</t>
  </si>
  <si>
    <t>2025-08-22,CMP-020,Paid Social,España,Desktop,66443,3211,148,1750.94,20683.27,117,Reconocimiento,Luis Martín</t>
  </si>
  <si>
    <t>2025-04-12,CMP-007,Paid Social,Portugal,Mobile,175647,9025,152,11827.49,28793.54,135,Reconocimiento,Luis Martín</t>
  </si>
  <si>
    <t>2025-01-11,CMP-025,Affiliate,Portugal,Desktop,12434,440,42,503.59,2935.28,36,Adquisición,Luis Martín</t>
  </si>
  <si>
    <t>2025-05-29,CMP-011,Organic Social,México,Desktop,139195,7615,67,7958.98,5996.87,34,Conversión,Ana García</t>
  </si>
  <si>
    <t>2025-02-04,CMP-006,Email,España,Tablet,128819,5095,652,4515.97,82017.38,494,Retención,Luis Martín</t>
  </si>
  <si>
    <t>2025-04-06,CMP-014,Paid Social,España,Desktop,170815,9376,62,8088.11,10101.87,36,Retención,Luis Martín</t>
  </si>
  <si>
    <t>2025-06-24,CMP-019,Display,España,Mobile,137607,8845,435,4920.11,15525.93,387,Adquisición,Ana García</t>
  </si>
  <si>
    <t>2025-01-23,CMP-025,Affiliate,España,Mobile,170460,8346,61,4775.78,7127.5,28,Adquisición,Luis Martín</t>
  </si>
  <si>
    <t>2025-01-06,CMP-030,Display,España,Mobile,8401,674,68,1174.8,3639.84,53,Adquisición,Laura Pérez</t>
  </si>
  <si>
    <t>2025-11-10,CMP-016,Email,Portugal,Mobile,54970,3819,213,3752.24,22328.83,153,Adquisición,Carlos Ruiz</t>
  </si>
  <si>
    <t>2025-04-10,CMP-002,Paid Search,México,Mobile,144557,5218,253,10918.3,20059.88,155,Conversión,Ana García</t>
  </si>
  <si>
    <t>2025-02-08,CMP-012,Paid Social,Portugal,Mobile,26839,1351,23,1225.67,4264.61,12,Retención,Laura Pérez</t>
  </si>
  <si>
    <t>2025-10-11,CMP-018,Display,México,Mobile,173842,8923,967,16989.91,152473.5,817,Adquisición,Carlos Ruiz</t>
  </si>
  <si>
    <t>2025-09-25,CMP-027,Paid Search,Italia,Desktop,79553,626,13,332.47,621.8,10,Adquisición,Carlos Ruiz</t>
  </si>
  <si>
    <t>2025-01-29,CMP-014,Display,Italia,Mobile,161725,13229,507,11992.95,26635.59,384,Adquisición,Carlos Ruiz</t>
  </si>
  <si>
    <t>2025-06-23,CMP-017,Paid Search,España,Mobile,21844,147,16,54.4,1948.48,11,Retención,Carlos Ruiz</t>
  </si>
  <si>
    <t>2025-04-10,CMP-018,Paid Search,España,Desktop,101859,2279,50,2227.21,2297.36,40,Retención,Luis Martín</t>
  </si>
  <si>
    <t>2025-06-11,CMP-010,Paid Social,Portugal,Mobile,139582,5208,621,,125553.01,514,Conversión,Carlos Ruiz</t>
  </si>
  <si>
    <t>2025-04-04,CMP-009,Display,Portugal,Mobile,37646,2476,217,2164.78,38992.74,186,Adquisición,Marta López</t>
  </si>
  <si>
    <t>2025-03-23,CMP-010,Display,España,Mobile,160286,13760,1345,14157.43,75922.85,627,Adquisición,Marta López</t>
  </si>
  <si>
    <t>2025-10-19,CMP-024,Display,España,MOBILE,88940,4498,258,7097.21,33353.42,218,Retención,Laura Pérez</t>
  </si>
  <si>
    <t>2025-05-19,CMP-027,Paid Search,España,Mobile,132798,1396,176,2011.16,22320.79,109,Retención,Ana García</t>
  </si>
  <si>
    <t>2025-10-28,CMP-027,Email,España,MOBILE,46715,802,25,716.66,381.22,18,Reconocimiento,Luis Martín</t>
  </si>
  <si>
    <t>2025-04-07,CMP-028,Display,España,Mobile,133242,7880,805,13300.4,154240.23,470,Conversión,Carlos Ruiz</t>
  </si>
  <si>
    <t>2025-09-14,CMP-011,Display,España,Mobile,27662,605,5,925.64,940.04,4,Reconocimiento,Laura Pérez</t>
  </si>
  <si>
    <t>2025-06-28,CMP-008,Display,Italia,Mobile,47996,1707,63,3263.03,13852.21,39,Retención,Marta López</t>
  </si>
  <si>
    <t>2025-05-05,CMP-012,Organic Social,México,Desktop,101857,415,52,255.48,5174.42,46,Retención,Laura Pérez</t>
  </si>
  <si>
    <t>2025-03-09,CMP-013,Organic Social,Francia,Mobile,30438,2569,130,4263.61,23248.11,71,Adquisición,Marta López</t>
  </si>
  <si>
    <t>2025-11-13,CMP-027,Organic Social,México,Tablet,91079,6977,920,9778.34,180286.24,681,Conversión,Luis Martín</t>
  </si>
  <si>
    <t>2025-10-13,CMP-013,Affiliate,México,Desktop,129946,10277,394,10676.43,7471.04,177,Retención,Luis Martín</t>
  </si>
  <si>
    <t>2025-01-24,CMP-002,Email,México,Mobile,90680,7967,853,11879.65,57024.19,653,Adquisición,Marta López</t>
  </si>
  <si>
    <t>2025-06-23,CMP-020,Display,España,Mobile,60465,3682,229,876.17,15289.48,182,Reconocimiento,Luis Martín</t>
  </si>
  <si>
    <t>2025-04-20,CMP-019,Paid Social,España,Mobile,161407,1743,189,646.81,24511.74,161,Reconocimiento,Luis Martín</t>
  </si>
  <si>
    <t>2025-07-27,CMP-009,Display,Portugal,Desktop,14418,371,39,117.48,7714.61,34,Conversión,Carlos Ruiz</t>
  </si>
  <si>
    <t>2025-05-11,cmp-015,Paid Social,México,Mobile,77533,2047,118,291.76,24594.58,97,Adquisición,Laura Pérez</t>
  </si>
  <si>
    <t>2025-09-24,CMP-006, email ,Italia,Desktop,159262,3347,291,3179.13,34527.14,209,Reconocimiento,Marta López</t>
  </si>
  <si>
    <t>2025-05-14,CMP-021,Paid Social,España,Mobile,101491,7199,747,2510.16,73824.75,474,Retención,Ana García</t>
  </si>
  <si>
    <t>2025-09-28,CMP-018,Paid Social,Francia,Desktop,177457,1872,140,3126.01,8528.63,79,Retención,</t>
  </si>
  <si>
    <t>2025-04-24,CMP-013,Display,España,Mobile,23455,2008,277,492.11,47655.86,128,Conversión,Ana García</t>
  </si>
  <si>
    <t>2025-04-30,CMP-025,Display,Francia,Mobile,166998,1308,133,1619.03,23299.06,109,Reconocimiento,Carlos Ruiz</t>
  </si>
  <si>
    <t>2025-08-03,CMP-003, organic social ,España,Mobile,55672,2991,120,1624.55,7429.8,78,Adquisición,Luis Martín</t>
  </si>
  <si>
    <t>2025-10-21,CMP-027,Organic Social,Francia,Desktop,150544,10877,998,13090.45,45004.52,602,Reconocimiento,Luis Martín</t>
  </si>
  <si>
    <t>2025-10-12,CMP-015,Email,Francia,Mobile,151414,2459,312,1466.72,39785.0,184,Reconocimiento,Luis Martín</t>
  </si>
  <si>
    <t>2025-02-09,CMP-030,Paid Social, España ,Mobile,82511,4275,175,4708.25,3660.85,132,Conversión,Ana García</t>
  </si>
  <si>
    <t>2025-02-21,CMP-025,Email,Italia,Mobile,144122,4222,167,3146.15,3272.92,79,Retención,Ana García</t>
  </si>
  <si>
    <t>2025-04-25,CMP-015,Paid Social,Italia,Desktop,51124,4044,73,1393.1,12949.96,55,Conversión,Laura Pérez</t>
  </si>
  <si>
    <t>2025-10-17,CMP-023,Organic Social,España,Mobile,113540,6864,215,12385.04,8141.21,110,Adquisición,Carlos Ruiz</t>
  </si>
  <si>
    <t>2025-05-17,CMP-019,Organic Social,Italia,Desktop,61818,2591,355,2530.02,69837.16,180,Conversión,Carlos Ruiz</t>
  </si>
  <si>
    <t>2025-04-18,CMP-004,Paid Social,Portugal,Desktop,55610,1835,153,309.96,14800.28,93,Retención,Carlos Ruiz</t>
  </si>
  <si>
    <t>2025-12-09,CMP-012,Display,España,Mobile,78787,5643,396,9196.96,58416.36,192,Reconocimiento,Marta López</t>
  </si>
  <si>
    <t>2025-05-29,CMP-001,Email,España,Desktop,175408,7460,64,12076.65,4497.0,37,Reconocimiento,Laura Pérez</t>
  </si>
  <si>
    <t>2025-11-22,cmp-014,Affiliate,España,Mobile,6662,342,27,476.43,868.82,13,Adquisición,Carlos Ruiz</t>
  </si>
  <si>
    <t>2025-10-28,CMP-001,Organic Social,España,Desktop,19363,1014,27,1853.9,469.8,16,Retención,Luis Martín</t>
  </si>
  <si>
    <t>2025-09-12,CMP-012,Organic Social,Francia,Mobile,125538,7116,419,13150.3,74135.75,290,Reconocimiento,Carlos Ruiz</t>
  </si>
  <si>
    <t>2025-02-18,CMP-009,Organic Social,España,Tablet,114654,541,65,307.4,10923.9,53,Conversión,Ana García</t>
  </si>
  <si>
    <t>2025-01-25,CMP-022,Affiliate,España,Desktop,61626,3327,336,6464.39,68355.5,206,Reconocimiento,Carlos Ruiz</t>
  </si>
  <si>
    <t>2025-11-03,CMP-006,Display,México,Mobile,105283,1239,103,1107.5,4977.37,71,Adquisición,Laura Pérez</t>
  </si>
  <si>
    <t>2025-07-11,CMP-027, organic social ,Italia,Desktop,74520,5946,653,2725.42,137235.64,561,Conversión,Carlos Ruiz</t>
  </si>
  <si>
    <t>2025-07-20,CMP-030,Organic Social,Portugal,Mobile,1980,22,2,3.12,343.43,1,Adquisición,Laura Pérez</t>
  </si>
  <si>
    <t>2025-07-08,CMP-028,Display,Francia,Mobile,66873,1049,101,1738.74,16691.24,83,Retención,Luis Martín</t>
  </si>
  <si>
    <t>2025-02-27,CMP-019,Organic Social,España,Mobile,137541,5636,273,3413.76,28266.14,135,Retención,Ana García</t>
  </si>
  <si>
    <t>2025-07-25,CMP-027,Affiliate,Italia,Desktop,70688,4949,409,3403.11,53577.93,210,Reconocimiento,Carlos Ruiz</t>
  </si>
  <si>
    <t>2025-01-08,CMP-011,Email,México,Mobile,172846,6014,704,1463.73,77483.72,546,Adquisición,Carlos Ruiz</t>
  </si>
  <si>
    <t>2025-07-27,CMP-005,Paid Search,Francia,Mobile,100849,5626,210,2276.66,16300.07,111,Retención,Carlos Ruiz</t>
  </si>
  <si>
    <t>2025-04-18,CMP-004,Organic Social,España,Desktop,102532,9023,958,6462.89,184870.89,469,Reconocimiento,Ana García</t>
  </si>
  <si>
    <t>2025-07-25,CMP-015,Display,Espana,Mobile,98413,2172,186,905.11,12273.46,115,Retención,Laura Pérez</t>
  </si>
  <si>
    <t>2025-11-02,CMP-011,Paid Search,México,Mobile,77029,77272,303,5239.89,12309.36,204,Adquisición,Marta López</t>
  </si>
  <si>
    <t>2025-01-21,CMP-017,Organic Social,Italia,Desktop,50949,2025,69,3336.51,9142.67,33,Reconocimiento,Marta López</t>
  </si>
  <si>
    <t>2025-01-04,CMP-007,Paid Search,Portugal,Tablet,117222,3792,377,4978.53,54629.07,232,Reconocimiento,Carlos Ruiz</t>
  </si>
  <si>
    <t>2025-04-29,CMP-026,Email,México,Mobile,9798,405,10,509.77,1018.24,7,Retención,Laura Pérez</t>
  </si>
  <si>
    <t>2025-07-10,CMP-028,Affiliate,España,Tablet,50433,361,31,499.36,4692.1,15,Conversión,Ana García</t>
  </si>
  <si>
    <t>2025-01-16,CMP-020,Display,España,Desktop,91198,1055,107,1102.57,4468.31,83,Retención,Carlos Ruiz</t>
  </si>
  <si>
    <t>2025-11-16,CMP-006,Paid Search,España,Mobile,50931,1955,166,3380.33,28495.71,101,Reconocimiento,Luis Martín</t>
  </si>
  <si>
    <t>2025-01-16,CMP-027,Display,España,Mobile,131451,10842,1200,22247.11,246975.73,947,Adquisición,Ana García</t>
  </si>
  <si>
    <t>2025-10-03,CMP-015,Paid Search,México,Mobile,133990,1889,31,2510.45,2879.75,21,Reconocimiento,Luis Martín</t>
  </si>
  <si>
    <t>2025-05-05,CMP-024,Display,España,Mobile,58227,1929,123,3435.75,8008.73,60,Adquisición,Ana García</t>
  </si>
  <si>
    <t>2025-08-17,CMP-028,Paid Social,España,Desktop,81114,1267,46,2487.8,1800.26,40,Conversión,Marta López</t>
  </si>
  <si>
    <t>2025-01-02,CMP-023,Paid Social,España,Desktop,149481,12168,743,14646.37,91148.79,633,Conversión,Luis Martín</t>
  </si>
  <si>
    <t>2025-06-03,CMP-011,Email,España,Desktop,33648,456,41,603.47,1694.01,28,Retención,Marta López</t>
  </si>
  <si>
    <t>2025-03-30,CMP-008,Organic Social, Italia ,Mobile,53021,431,38,247.25,1076.13,26,Conversión,Laura Pérez</t>
  </si>
  <si>
    <t>2025-09-30,CMP-003,Paid Search,Italia,Desktop,151125,11249,1346,21963.78,131704.06,666,Adquisición,Laura Pérez</t>
  </si>
  <si>
    <t>2025-09-28,CMP-018,Paid Search,España,Desktop,95160,3905,216,5486.17,25201.43,162,Retención,Ana García</t>
  </si>
  <si>
    <t>2025-03-15,CMP-011,Paid Social,España,Desktop,87005,6512,713,12440.06,115661.44,353,Reconocimiento,Laura Pérez</t>
  </si>
  <si>
    <t>2025-03-05,CMP-012,Email,España,Desktop,81159,2594,281,1977.55,16439.19,140,Reconocimiento,Luis Martín</t>
  </si>
  <si>
    <t>2025-12-25,CMP-026,Display,Portugal,Tablet,146738,11190,809,3671.31,171892.14,716,Retención,Carlos Ruiz</t>
  </si>
  <si>
    <t>2025-10-30,CMP-023,Paid Search,Francia,Mobile,74760,5526,276,10694.04,54850.02,149,Reconocimiento,Marta López</t>
  </si>
  <si>
    <t>2025-06-24,CMP-011,Display,Francia,Tablet,86482,629,43,1227.12,1018.31,28,Adquisición,Carlos Ruiz</t>
  </si>
  <si>
    <t>2025-01-20,CMP-030,Affiliate,Portugal,Mobile,44918,1633,208,2262.04,9065.77,179,Adquisición,Luis Martín</t>
  </si>
  <si>
    <t>2025-08-24,CMP-011,Email,Francia,Desktop,126350,6760,630,3975.02,91938.97,544,Retención,</t>
  </si>
  <si>
    <t>2025-03-18,CMP-028,Organic Social,Italia,Tablet,47013,930,8,936.32,1098.92,6,Retención,Marta López</t>
  </si>
  <si>
    <t>2025-02-15,CMP-025,Display,España,Mobile,161969,2844,392,3952.39,27562.18,273,Conversión,Ana García</t>
  </si>
  <si>
    <t>2025-05-27,CMP-013,Paid Social,España,Mobile,159275,3864,313,4832.89,39914.72,224,Reconocimiento,Marta López</t>
  </si>
  <si>
    <t>2025-09-13,cmp-029,Paid Search,España,Desktop,1702,96,9,15.89,1009.66,7,Adquisición,Laura Pérez</t>
  </si>
  <si>
    <t>2025-03-14,CMP-024,Organic Social,Francia,Desktop,135293,5402,408,5556.44,78557.27,207,Adquisición,Ana García</t>
  </si>
  <si>
    <t>2025-05-02,CMP-001,Display,España,Desktop,44362,1486,86,2994.64,8399.71,70,Retención,Luis Martín</t>
  </si>
  <si>
    <t>2025-09-22,CMP-005,Email,España,Tablet,99175,7418,728,3074.55,93339.63,330,Adquisición,Laura Pérez</t>
  </si>
  <si>
    <t>2025-12-26,CMP-021,Paid Social,España,Mobile,109986,9817,535,14561.54,45881.61,287,Conversión,Laura Pérez</t>
  </si>
  <si>
    <t>2025-06-03,CMP-029,Email,Francia,Desktop,135869,136843,75,1587.29,5593.64,49,Conversión,Laura Pérez</t>
  </si>
  <si>
    <t>2025-08-26,CMP-005,Affiliate,España,Mobile,162662,4815,566,9443.9,56501.69,434,Conversión,Marta López</t>
  </si>
  <si>
    <t>2025-07-04,CMP-028,Paid Search,Francia,Desktop,152078,3574,457,2691.66,13195.07,360,Retención,Marta López</t>
  </si>
  <si>
    <t>2025-04-07,CMP-024,Display,España,Mobile,148477,8778,358,10750.86,62423.5,238,Retención,Marta López</t>
  </si>
  <si>
    <t>2025-06-26,CMP-009,Organic Social,Francia,Desktop,2680,179,15,76.08,2679.01,11,Reconocimiento,Luis Martín</t>
  </si>
  <si>
    <t>2025-02-21,CMP-015,Organic Social,Francia,Mobile,58488,3347,142,2706.93,14894.22,85,Adquisición,Luis Martín</t>
  </si>
  <si>
    <t>2025-01-01,CMP-007,Paid Social,España,Mobile,147855,7882,234,6499.3,36565.64,152,Retención,Ana García</t>
  </si>
  <si>
    <t>2025-06-22,CMP-022,Display,Italia,Mobile,94806,6109,341,9131.02,73804.23,168,Adquisición,Luis Martín</t>
  </si>
  <si>
    <t>2025-06-08,CMP-029,Display,España,Mobile,52683,2255,83,3965.47,11563.97,39,Adquisición,Luis Martín</t>
  </si>
  <si>
    <t>2025-05-04,CMP-025,Affiliate,España,Mobile,129483,1420,186,1310.13,7578.48,135,Conversión,Marta López</t>
  </si>
  <si>
    <t>2025-10-30,CMP-015,Email,México,Mobile,165650,5047,292,2537.97,32206.3,156,Retención,Luis Martín</t>
  </si>
  <si>
    <t>2025-04-15,CMP-023,Email,España,Mobile,22582,433,14,794.38,1345.65,10,Retención,Laura Pérez</t>
  </si>
  <si>
    <t>2025-09-29,CMP-025,Email,Italia,Desktop,125690,5482,432,9711.41,21270.66,347,Adquisición,Ana García</t>
  </si>
  <si>
    <t>2025-07-22,CMP-025,Display,Italia,Mobile,57099,4595,242,8110.22,21665.16,121,Reconocimiento,Carlos Ruiz</t>
  </si>
  <si>
    <t>2025-01-15,CMP-023,Affiliate,Portugal,Mobile,75640,4641,140,5644.18,14349.7,78,Conversión,Ana García</t>
  </si>
  <si>
    <t>2025-07-11,CMP-022,Paid Social,Portugal,Tablet,168003,8511,464,10605.75,78496.54,291,Adquisición,Luis Martín</t>
  </si>
  <si>
    <t>2025-11-19,cmp-024,Paid Social,España,Desktop,48844,1237,129,355.96,16266.25,93,Reconocimiento,Laura Pérez</t>
  </si>
  <si>
    <t>2025-09-07,CMP-010,Affiliate,España,Mobile,157605,10945,753,7928.79,147210.55,493,Adquisición,Marta López</t>
  </si>
  <si>
    <t>2025-08-10,CMP-018,Paid Search,Italia,Mobile,117821,1769,134,559.0,3711.0,117,Conversión,Marta López</t>
  </si>
  <si>
    <t>2025-10-20,CMP-019,Paid Search,Portugal,Desktop,90138,1952,182,3510.27,29254.3,145,Conversión,Ana García</t>
  </si>
  <si>
    <t>2025-08-08,CMP-028,,México,Mobile,96911,4918,612,8914.11,66408.65,543,Reconocimiento,Laura Pérez</t>
  </si>
  <si>
    <t>2025-08-22,CMP-023,Affiliate,España,Tablet,124883,2655,19,3617.88,3756.92,15,Adquisición,Ana García</t>
  </si>
  <si>
    <t>2025-01-05,CMP-006,Display,México,Desktop,162176,7106,872,5250.62,63653.01,685,Reconocimiento,Luis Martín</t>
  </si>
  <si>
    <t>2025-11-19,CMP-006,Paid Search,España,Mobile,8595,237,13,217.65,241.9,6,Conversión,Laura Pérez</t>
  </si>
  <si>
    <t>2025-02-17,CMP-017, email ,México,Mobile,44692,1730,54,1823.76,8757.13,26,Reconocimiento,Carlos Ruiz</t>
  </si>
  <si>
    <t>2025-11-05,CMP-003,Display,España,Mobile,169276,1538,200,993.49,27118.27,95,Reconocimiento,Marta López</t>
  </si>
  <si>
    <t>2025-01-20,CMP-003,Paid Search,España,Desktop,152530,7322,373,14004.51,41976.75,235,Retención,Marta López</t>
  </si>
  <si>
    <t>2025-06-13,CMP-002,Paid Social,España,Mobile,140560,9208,1003,10197.78,175123.41,501,Retención,Carlos Ruiz</t>
  </si>
  <si>
    <t>2025-06-04,CMP-020,Affiliate,México,Mobile,83050,4655,43,6003.72,5642.28,20,Adquisición,Carlos Ruiz</t>
  </si>
  <si>
    <t>2025-01-16,CMP-009,Organic Social,Italia,Desktop,50916,2977,256,3954.53,15565.99,197,Reconocimiento,Carlos Ruiz</t>
  </si>
  <si>
    <t>2025-08-02,CMP-020,Paid Social,España,Desktop,122929,9675,765,18052.35,164213.48,670,Conversión,Marta López</t>
  </si>
  <si>
    <t>2025-12-20,CMP-005, paid social ,México,Mobile,132460,9522,930,3561.49,188777.57,461,Reconocimiento,Carlos Ruiz</t>
  </si>
  <si>
    <t>2025-02-07,CMP-020,,México,Mobile,22543,1542,135,1832.85,24155.74,82,Retención,</t>
  </si>
  <si>
    <t>2025-07-29,CMP-020,Email,España,Tablet,123717,1968,256,4074.84,23475.75,218,Retención,Luis Martín</t>
  </si>
  <si>
    <t>2025-03-13,CMP-025,Display,España,Desktop,40808,1997,245,1451.18,22368.11,150,Conversión,Carlos Ruiz</t>
  </si>
  <si>
    <t>2025-11-20,CMP-024, email ,España,Desktop,4453,258,30,469.78,1241.54,14,Adquisición,Laura Pérez</t>
  </si>
  <si>
    <t>2025-10-22,CMP-016,Display,España,Mobile,86311,4893,91,8967.05,17490.52,46,Conversión,Carlos Ruiz</t>
  </si>
  <si>
    <t>2025-06-18,CMP-028,Paid Search,Francia,Tablet,135061,9589,243,10952.39,15138.07,113,Adquisición,Ana García</t>
  </si>
  <si>
    <t>2025-07-14,CMP-021,Display,España,Desktop,140482,7004,317,6340.18,68644.59,237,Adquisición,Luis Martín</t>
  </si>
  <si>
    <t>2025-04-11,CMP-026,Paid Social,España,Desktop,103816,4253,423,5951.44,64888.19,222,Conversión,Luis Martín</t>
  </si>
  <si>
    <t>2025-07-16,CMP-019,Organic Social,Francia,Desktop,41550,2067,177,4241.22,8388.51,90,Reconocimiento,Luis Martín</t>
  </si>
  <si>
    <t>2025-05-16,CMP-023,Email,España,Mobile,133765,2011,194,3295.87,18557.85,142,Reconocimiento,Luis Martín</t>
  </si>
  <si>
    <t>2025-06-16,CMP-021,Display,España,Desktop,17060,1013,108,1567.57,3655.69,50,Conversión,Luis Martín</t>
  </si>
  <si>
    <t>2025-08-19,CMP-016,Email,España,Mobile,4683,222,26,317.05,5622.11,21,Conversión,Luis Martín</t>
  </si>
  <si>
    <t>2025-08-01,CMP-005,Organic Social,Francia,Mobile,8037,663,62,96.2,11757.49,37,Adquisición,Marta López</t>
  </si>
  <si>
    <t>2025-01-04,CMP-009,Paid Search,Portugal,Mobile,100711,1307,141,569.47,20151.16,106,Conversión,Carlos Ruiz</t>
  </si>
  <si>
    <t>2025-12-03,CMP-010,Paid Social,España,Desktop,138259,6040,417,718.58,91241.69,188,Retención,Marta López</t>
  </si>
  <si>
    <t>2025-03-30,CMP-027,Paid Search,Portugal,Desktop,69919,1287,69,1184.23,4859.44,37,Reconocimiento,Luis Martín</t>
  </si>
  <si>
    <t>2025-01-31,CMP-023,Affiliate,España,Mobile,165022,2044,174,2422.53,30348.91,140,Retención,Luis Martín</t>
  </si>
  <si>
    <t>2025-02-02,CMP-007,Affiliate,México,Mobile,163084,1315,83,516.35,9630.57,57,Conversión,Laura Pérez</t>
  </si>
  <si>
    <t>2025-09-20,CMP-011,Organic Social,México,Mobile,16201,973,102,576.88,10063.28,81,Adquisición,Carlos Ruiz</t>
  </si>
  <si>
    <t>2025-10-26,CMP-030,Email,Portugal,Mobile,77018,522,24,272.86,4052.72,18,Reconocimiento,Carlos Ruiz</t>
  </si>
  <si>
    <t>2025-01-17,CMP-019,Paid Social,Portugal,Desktop,108937,3881,453,3823.58,62221.98,204,Adquisición,Laura Pérez</t>
  </si>
  <si>
    <t>2025-06-18,CMP-020,Organic Social,México,Tablet,122451,836,30,841.1,2204.09,15,Reconocimiento,Laura Pérez</t>
  </si>
  <si>
    <t>2025-07-22,cmp-005,Display,España,Desktop,47533,3471,226,4610.2,22228.51,123,Conversión,Marta López</t>
  </si>
  <si>
    <t>2025-07-15,CMP-020,Display,Francia,Tablet,82120,4611,272,2313.8,4159.42,142,Adquisición,Ana García</t>
  </si>
  <si>
    <t>2025-04-24,CMP-023,Email,España,Mobile,38503,1614,117,3054.19,9729.19,54,Conversión,Carlos Ruiz</t>
  </si>
  <si>
    <t>2025-12-17,cmp-019,Paid Social,España,Mobile,11744,897,120,1453.94,3353.92,96,Reconocimiento,Marta López</t>
  </si>
  <si>
    <t>2025-04-10,CMP-008,Display,Portugal,Mobile,158762,2877,394,2254.2,9774.61,238,Reconocimiento,Marta López</t>
  </si>
  <si>
    <t>2025-06-08,CMP-030,Paid Social,Francia,Desktop,70439,3020,285,3072.76,50081.89,216,Retención,Ana García</t>
  </si>
  <si>
    <t>2025-02-10,CMP-029,Email,Francia,Mobile,139390,2428,282,798.42,60827.41,204,Reconocimiento,Ana García</t>
  </si>
  <si>
    <t>2025-10-01,CMP-015,Affiliate,Italia,Desktop,83329,4118,295,5296.06,64681.17,175,Reconocimiento,Laura Pérez</t>
  </si>
  <si>
    <t>2025-09-24,CMP-014,Affiliate,México,Desktop,144675,2845,294,4611.5,27756.52,142,Retención,Carlos Ruiz</t>
  </si>
  <si>
    <t>2025-05-22,CMP-012,Affiliate,Portugal,Desktop,25946,679,94,785.09,14844.03,48,Adquisición,Marta López</t>
  </si>
  <si>
    <t>2025-10-29,CMP-002,Paid Social,México,Mobile,143247,3851,426,6567.88,66057.87,360,Reconocimiento,Carlos Ruiz</t>
  </si>
  <si>
    <t>2025-12-01,CMP-005,Organic Social,Francia,Mobile,46246,3300,92,6353.65,18476.07,45,Retención,Luis Martín</t>
  </si>
  <si>
    <t>2025-07-23,CMP-006,Paid Social,España,Mobile,101042,3646,68,1267.02,6990.29,51,Retención,Laura Pérez</t>
  </si>
  <si>
    <t>2025-07-05,CMP-025,Organic Social,México,Desktop,50040,1259,139,1706.27,10810.01,95,Reconocimiento,Carlos Ruiz</t>
  </si>
  <si>
    <t>2025-09-09,CMP-029,Paid Social,España,Desktop,27535,1096,102,2110.41,14556.7,88,Conversión,Ana García</t>
  </si>
  <si>
    <t>2025-04-23,CMP-018,Organic Social,España,Tablet,135863,7737,610,3671.31,102362.6,296,Conversión,Marta López</t>
  </si>
  <si>
    <t>2025-09-22,CMP-027,Organic Social,Portugal,Tablet,65094,1450,191,1850.3,15422.98,163,Conversión,Laura Pérez</t>
  </si>
  <si>
    <t>2025-10-26,CMP-021,Display,México,Tablet,46578,1781,113,3522.64,10737.39,66,Adquisición,Carlos Ruiz</t>
  </si>
  <si>
    <t>2025-04-21,CMP-030,Affiliate,México,Desktop,49899,1109,37,406.24,989.68,18,Adquisición,Ana García</t>
  </si>
  <si>
    <t>2025-05-24,CMP-023,Paid Social,México,Desktop,63818,3546,188,5263.57,12005.05,135,Retención,Luis Martín</t>
  </si>
  <si>
    <t>2025-08-25,CMP-012,Affiliate,Francia,Mobile,30638,532,68,1091.68,13486.37,55,Conversión,Luis Martín</t>
  </si>
  <si>
    <t>2025-12-12,CMP-020,Email,México,Desktop,16480,1002,103,269.98,20077.27,67,Retención,Ana García</t>
  </si>
  <si>
    <t>2025-02-28,CMP-022,Paid Social,España,Desktop,119149,1015,118,1161.76,10503.91,83,Adquisición,Marta López</t>
  </si>
  <si>
    <t>2025-08-02,CMP-014,Display,México,Desktop,116079,4906,626,6054.74,33695.96,411,Adquisición,Marta López</t>
  </si>
  <si>
    <t>2025-04-26,CMP-023,Paid Search,España,Mobile,163278,6742,120,2803.16,24446.27,57,Reconocimiento,Luis Martín</t>
  </si>
  <si>
    <t>2025-01-24,CMP-007,Display,Italia,Desktop,9002,182,2,261.54,116.36,1,Reconocimiento,Carlos Ruiz</t>
  </si>
  <si>
    <t>2025-10-24,CMP-028,Organic Social,España,Mobile,167184,8796,254,7287.67,52424.67,165,Conversión,Laura Pérez</t>
  </si>
  <si>
    <t>2025-08-28,CMP-020,Display,México,Mobile,165266,12817,101,8409.63,17234.51,74,Conversión,Carlos Ruiz</t>
  </si>
  <si>
    <t>2025-01-10,CMP-019,,España,Mobile,151425,6267,732,9867.48,40433.92,512,Adquisición,Laura Pérez</t>
  </si>
  <si>
    <t>2025-11-11,CMP-007,Affiliate,España,Mobile,54088,790,106,732.9,12409.69,85,Reconocimiento,Marta López</t>
  </si>
  <si>
    <t>2025-04-05,CMP-018,Paid Social,México,Desktop,54678,2415,68,2038.76,5177.91,36,Adquisición,Marta López</t>
  </si>
  <si>
    <t>2025-12-22,CMP-018,Paid Social,España,Desktop,65088,3003,21,2878.21,1777.93,13,Adquisición,Luis Martín</t>
  </si>
  <si>
    <t>2025-02-26,CMP-013,Display,Francia,MOBILE,42796,1696,150,3534.31,32902.64,125,Conversión,Ana García</t>
  </si>
  <si>
    <t>2025-12-21,CMP-001,Paid Social,Italia,Desktop,91944,6325,96,4317.38,11882.21,47,Adquisición,Laura Pérez</t>
  </si>
  <si>
    <t>2025-08-24,CMP-015,Affiliate,España,Desktop,82054,7351,551,4641.66,93199.89,388,Adquisición,Laura Pérez</t>
  </si>
  <si>
    <t>2025-03-27,CMP-023,Email,España,Mobile,120467,7430,464,8519.35,89816.69,240,Conversión,Carlos Ruiz</t>
  </si>
  <si>
    <t>2025-10-26,CMP-030,Affiliate,Francia,Desktop,102121,3387,80,1947.51,15005.61,64,Conversión,Carlos Ruiz</t>
  </si>
  <si>
    <t>2025-12-22,CMP-017,Email,España,Desktop,53461,1511,99,1560.39,3052.32,64,Adquisición,Laura Pérez</t>
  </si>
  <si>
    <t>2025-07-28,CMP-009,Affiliate,España,MOBILE,22283,888,69,1735.99,14236.12,45,Conversión,Carlos Ruiz</t>
  </si>
  <si>
    <t>2025-11-17,CMP-029,Organic Social,Francia,Mobile,28046,765,87,1081.62,10782.28,76,Adquisición,Carlos Ruiz</t>
  </si>
  <si>
    <t>2025-09-11,CMP-023,Affiliate,España,Desktop,27301,2196,18,2795.96,1053.48,9,Conversión,Laura Pérez</t>
  </si>
  <si>
    <t>2025-09-11,CMP-002,Organic Social,Francia,Mobile,21900,1871,46,3152.95,2841.2,35,Reconocimiento,Ana García</t>
  </si>
  <si>
    <t>2025-08-15,CMP-028, paid social ,España,Desktop,21145,312,37,95.27,1987.06,32,Conversión,Laura Pérez</t>
  </si>
  <si>
    <t>2025-11-24,CMP-025,Display,España,Mobile,99270,5091,479,9174.77,95271.37,300,Reconocimiento,Marta López</t>
  </si>
  <si>
    <t>2025-03-12,CMP-017,Display,Portugal,Desktop,34220,1476,119,2550.65,3059.4,89,Adquisición,Carlos Ruiz</t>
  </si>
  <si>
    <t>2025-12-22,CMP-025,Organic Social,Portugal,Mobile,28165,782,82,827.74,12117.77,41,Conversión,Ana García</t>
  </si>
  <si>
    <t>2025-06-07,CMP-013,Affiliate,Italia,Desktop,160813,11849,1514,20480.6,71723.09,731,Adquisición,Marta López</t>
  </si>
  <si>
    <t>2025-01-05,CMP-029,Paid Search,México,Desktop,17559,1552,47,2773.89,7527.78,21,Adquisición,Luis Martín</t>
  </si>
  <si>
    <t>2025-07-11,CMP-008,Email,México,MOBILE,31244,1928,121,1116.72,4479.52,70,Adquisición,Ana García</t>
  </si>
  <si>
    <t>2025-10-19,CMP-003,Display,España,Desktop,38829,447,61,477.42,8526.36,53,Adquisición,Luis Martín</t>
  </si>
  <si>
    <t>2025-05-29,CMP-018,Paid Social,México,Desktop,92328,620,55,813.04,11242.87,26,Conversión,Luis Martín</t>
  </si>
  <si>
    <t>2025-09-08,CMP-012,Display,Portugal,Mobile,150675,2762,140,4660.56,21888.61,89,Retención,Carlos Ruiz</t>
  </si>
  <si>
    <t>2025-06-22,CMP-026,Organic Social,Francia,Desktop,150489,12127,1038,14823.38,147547.07,817,Conversión,Luis Martín</t>
  </si>
  <si>
    <t>2025-11-22,CMP-005,Display,España,Desktop,8118,86,8,47.61,1384.94,4,Reconocimiento,Ana García</t>
  </si>
  <si>
    <t>2025-03-21,CMP-030,Organic Social,Francia,Mobile,37879,406,40,123.6,975.87,25,Conversión,Carlos Ruiz</t>
  </si>
  <si>
    <t>2025-01-06,CMP-025,Paid Search,España,Mobile,24633,854,43,445.47,9288.15,25,Adquisición,Ana García</t>
  </si>
  <si>
    <t>2025-03-16,CMP-025,Paid Search,México,Mobile,49234,1641,150,1635.05,7538.28,81,Conversión,Ana García</t>
  </si>
  <si>
    <t>2025-09-20,CMP-017,Display,España,Mobile,73196,5815,610,10601.46,11783.54,372,Conversión,Ana García</t>
  </si>
  <si>
    <t>2025-11-27,CMP-012,Paid Social,Francia,Mobile,101646,5125,653,1100.91,130268.63,459,Retención,Marta López</t>
  </si>
  <si>
    <t>2025-07-21,CMP-025,Paid Search,México,Mobile,128452,11301,1108,16753.94,173037.04,674,Adquisición,Luis Martín</t>
  </si>
  <si>
    <t>2025-09-16,CMP-005,Email,España,Desktop,85155,6228,491,6653.61,31486.41,249,Conversión,Marta López</t>
  </si>
  <si>
    <t>2025-06-24,CMP-030,Affiliate,España,Mobile,139134,985,9,183.45,641.09,4,Conversión,Marta López</t>
  </si>
  <si>
    <t>2025-02-03,CMP-009,Display,España,Desktop,74707,4255,363,7191.6,66107.46,208,Reconocimiento,Carlos Ruiz</t>
  </si>
  <si>
    <t>2025-03-15,CMP-015,Display,España,Mobile,166112,3732,143,490.92,25789.09,126,Conversión,Carlos Ruiz</t>
  </si>
  <si>
    <t>2025-06-19,CMP-012,Organic Social,México,Desktop,61091,1135,154,1348.65,18227.86,123,Reconocimiento,Luis Martín</t>
  </si>
  <si>
    <t>2025-03-09,CMP-004,Paid Social,España,Desktop,90473,7819,864,5021.29,68341.57,390,Retención,Luis Martín</t>
  </si>
  <si>
    <t>2025-12-13,CMP-008,Display,México,Mobile,23565,1207,136,1109.26,26944.22,104,Retención,Ana García</t>
  </si>
  <si>
    <t>2025-03-29,CMP-001,Paid Search,España,Desktop,111367,8081,1093,6697.16,232412.6,814,Conversión,Luis Martín</t>
  </si>
  <si>
    <t>2025-01-18,CMP-006,Email,Italia,Desktop,24110,698,66,364.85,11852.83,58,Conversión,Carlos Ruiz</t>
  </si>
  <si>
    <t>2025-05-09,cmp-018,Organic Social,México,Mobile,44502,3149,411,4510.66,40680.64,349,Adquisición,Carlos Ruiz</t>
  </si>
  <si>
    <t>2025-02-12,CMP-026,Display,Francia,Mobile,140942,11107,185,16890.67,12826.0,115,Adquisición,Laura Pérez</t>
  </si>
  <si>
    <t>2025-06-10,CMP-002,Paid Search,España,Mobile,44849,2804,187,3166.17,20693.62,121,Adquisición,Laura Pérez</t>
  </si>
  <si>
    <t>2025-04-10,CMP-006,Display,España,Mobile,13075,230,8,214.45,1124.61,6,Reconocimiento,Laura Pérez</t>
  </si>
  <si>
    <t>2025-07-11,CMP-012,Affiliate,,Desktop,22870,214,7,349.93,1066.11,3,Reconocimiento,Marta López</t>
  </si>
  <si>
    <t>2025-11-21,CMP-003,Email,España,Mobile,146245,12457,754,12507.71,28733.69,530,Retención,Carlos Ruiz</t>
  </si>
  <si>
    <t>2025-06-08,CMP-024,Email,España,Mobile,166468,13944,634,13976.1,112922.56,368,Adquisición,Carlos Ruiz</t>
  </si>
  <si>
    <t>2025-11-18,CMP-024,Display,Italia,Mobile,154129,6600,564,7428.07,31628.29,454,Conversión,Ana García</t>
  </si>
  <si>
    <t>2025-03-20,CMP-013,Organic Social,España,Desktop,33319,2866,202,2578.22,39447.24,181,Adquisición,Luis Martín</t>
  </si>
  <si>
    <t>2025-11-15,CMP-011,Organic Social,Francia,Tablet,23608,1929,185,1847.95,11708.83,148,Conversión,Ana García</t>
  </si>
  <si>
    <t>2025-09-28,CMP-018,Organic Social,España,Desktop,131546,3414,30,2943.15,1661.82,19,Retención,</t>
  </si>
  <si>
    <t>2025-04-02,CMP-024,Email,Italia,Desktop,152028,3505,371,5857.92,78320.37,299,Adquisición,Luis Martín</t>
  </si>
  <si>
    <t>2025-04-03,CMP-013,Display,Italia,Mobile,131220,6584,662,11019.72,23343.39,467,Reconocimiento,Ana García</t>
  </si>
  <si>
    <t>2025-11-21,CMP-009,Organic Social,México,Desktop,24772,1537,31,2294.42,5516.44,21,Adquisición,Luis Martín</t>
  </si>
  <si>
    <t>2025-05-28,CMP-017,Display,México,Mobile,120912,8607,534,14050.5,76264.33,368,Conversión,Luis Martín</t>
  </si>
  <si>
    <t>2025-01-31,CMP-002,Email,España,Mobile,146442,6907,54,3280.12,1785.87,42,Conversión,Carlos Ruiz</t>
  </si>
  <si>
    <t>2025-09-03,CMP-012,Paid Search,Italia,Desktop,128707,900,61,874.97,8820.36,32,Reconocimiento,Laura Pérez</t>
  </si>
  <si>
    <t>2025-05-08,CMP-028,Organic Social,España,Desktop,150475,6716,759,4173.28,114798.74,607,Conversión,Ana García</t>
  </si>
  <si>
    <t>2025-04-23,CMP-025,Display,Francia,Mobile,60947,3338,85,6638.56,17689.5,51,Retención,Luis Martín</t>
  </si>
  <si>
    <t>2025-01-15,CMP-026,Email, Francia ,Mobile,110843,7620,962,11595.39,122173.73,692,Conversión,Laura Pérez</t>
  </si>
  <si>
    <t>2025-07-13,CMP-008,Affiliate,Portugal,Desktop,62894,4378,36,7185.74,3293.5,19,Reconocimiento,Ana García</t>
  </si>
  <si>
    <t>2025-04-10,CMP-009,Email,México,Desktop,160226,9087,475,2377.01,98767.83,331,Conversión,Carlos Ruiz</t>
  </si>
  <si>
    <t>2025-04-18,CMP-009,Affiliate,España,Mobile,143313,3134,221,5028.52,7892.0,188,Retención,Laura Pérez</t>
  </si>
  <si>
    <t>2025-10-15,CMP-014,Paid Social,Portugal,Mobile,142471,10962,1448,5700.32,278741.79,657,Reconocimiento,Luis Martín</t>
  </si>
  <si>
    <t>2025-12-21,CMP-025,Affiliate,España,Mobile,122646,8307,862,8828.21,117170.78,681,Conversión,Ana García</t>
  </si>
  <si>
    <t>2025-12-26,CMP-028,Display,España,Desktop,63278,5025,332,6610.0,67554.97,297,Adquisición,Marta López</t>
  </si>
  <si>
    <t>2025-04-01,CMP-009, display ,España,Mobile,174044,14856,405,7078.96,70701.65,319,Retención,Marta López</t>
  </si>
  <si>
    <t>2025-10-11,CMP-020,Paid Social,México,Desktop,59959,931,127,262.22,26172.18,88,Retención,Ana García</t>
  </si>
  <si>
    <t>2025-10-04,CMP-019,Display,Francia,Mobile,60952,3572,412,1488.23,78504.13,370,Conversión,Carlos Ruiz</t>
  </si>
  <si>
    <t>2025-07-22,CMP-025,Paid Search,España,Desktop,166131,1106,143,-1896.6,10315.93,88,Reconocimiento,Ana García</t>
  </si>
  <si>
    <t>2025-10-08,CMP-004,Email, España ,Mobile,34957,399,39,238.01,7306.67,28,Retención,Marta López</t>
  </si>
  <si>
    <t>2025-03-03,CMP-003,Display,España,Mobile,81329,3572,228,5803.43,12192.68,164,Reconocimiento,Luis Martín</t>
  </si>
  <si>
    <t>2025-03-25,CMP-028,Affiliate,España,Mobile,34362,213,16,60.36,2183.71,13,Conversión,Carlos Ruiz</t>
  </si>
  <si>
    <t>2025-10-12,CMP-013, paid search ,México,Mobile,114352,3496,404,4254.88,24303.26,311,Adquisición,Marta López</t>
  </si>
  <si>
    <t>2025-11-05,CMP-007,Paid Search,Francia,Desktop,10378,865,59,1378.02,1778.6,44,Reconocimiento,Laura Pérez</t>
  </si>
  <si>
    <t>2025-06-12,CMP-018,Paid Search, Italia ,Desktop,116481,9251,1043,7793.73,46258.8,854,Retención,Marta López</t>
  </si>
  <si>
    <t>2025-08-25,CMP-013,Paid Social,Portugal,Desktop,149412,8711,724,7475.95,91341.68,612,Adquisición,Marta López</t>
  </si>
  <si>
    <t>2025-03-10,CMP-002,Paid Social,México,Tablet,106161,3887,154,5573.03,23791.43,81,Conversión,Ana García</t>
  </si>
  <si>
    <t>2025-08-16,cmp-030,Display,España,Desktop,169442,12259,183,11671.66,26088.82,157,Reconocimiento,Luis Martín</t>
  </si>
  <si>
    <t>2025-11-22,CMP-007,Email,España,Mobile,129396,2635,360,4937.34,67845.22,221,Retención,Laura Pérez</t>
  </si>
  <si>
    <t>2025-03-04,CMP-006,Email,España,Mobile,77325,6145,61,8498.13,12125.94,34,Retención,Carlos Ruiz</t>
  </si>
  <si>
    <t>2025-04-22,CMP-003,Paid Social,España,Desktop,108296,3870,198,708.28,38705.94,167,Adquisición,Carlos Ruiz</t>
  </si>
  <si>
    <t>2025-08-12,CMP-012,Email,España,Tablet,92190,3343,101,6911.16,18808.75,76,Conversión,Laura Pérez</t>
  </si>
  <si>
    <t>2025-10-30,CMP-007,Paid Search,España,Mobile,145614,11489,673,18880.11,76757.77,354,Adquisición,Laura Pérez</t>
  </si>
  <si>
    <t>2025-01-28,CMP-020,Paid Search,España,Desktop,109628,5201,666,7105.83,14306.76,594,Reconocimiento,Marta López</t>
  </si>
  <si>
    <t>2025-04-30,CMP-024,Paid Social,Francia,Desktop,158005,10564,875,20563.59,136576.22,596,Retención,Laura Pérez</t>
  </si>
  <si>
    <t>2025-05-28,CMP-011,Affiliate,España,Desktop,126790,5145,349,5111.76,19216.99,167,Reconocimiento,Luis Martín</t>
  </si>
  <si>
    <t>2025-02-23,CMP-008,Email,México,Mobile,26134,1126,35,1107.51,819.26,29,Adquisición,Ana García</t>
  </si>
  <si>
    <t>2025-04-24,CMP-027,Affiliate,España,Mobile,23511,1184,148,2090.86,11158.78,131,Adquisición,Laura Pérez</t>
  </si>
  <si>
    <t>2025-08-30,CMP-011,Paid Search,México,Desktop,30910,1883,138,2608.61,28008.3,81,Conversión,Laura Pérez</t>
  </si>
  <si>
    <t>2025-06-08,CMP-027,Paid Search,Francia,Mobile,149544,10208,1016,13261.09,51645.3,486,Adquisición,Marta López</t>
  </si>
  <si>
    <t>2025-09-27,CMP-012,Organic Social,Italia,Mobile,14381,927,91,1659.73,13029.68,48,Adquisición,Ana García</t>
  </si>
  <si>
    <t>2025-03-19,CMP-018,Organic Social,España,Desktop,111545,8352,1004,4492.02,71953.43,566,Adquisición,Laura Pérez</t>
  </si>
  <si>
    <t>2025-05-30,CMP-019,Email,Portugal,Desktop,119496,1559,62,506.81,1201.55,47,Retención,Marta López</t>
  </si>
  <si>
    <t>2025-04-09,CMP-001,Email,Portugal,Desktop,118451,5581,768,822.81,23073.84,669,Retención,Luis Martín</t>
  </si>
  <si>
    <t>2025-12-24,CMP-011,Email,Portugal,Mobile,90953,5395,715,11158.91,37462.21,639,Reconocimiento,Laura Pérez</t>
  </si>
  <si>
    <t>2025-04-30,CMP-015,Email,Portugal,Desktop,136154,11781,1109,13673.61,227706.76,554,Conversión,Laura Pérez</t>
  </si>
  <si>
    <t>2025-12-14,CMP-014,Email,España,Desktop,36173,2830,67,2190.93,13302.99,45,Reconocimiento,Marta López</t>
  </si>
  <si>
    <t>2025-08-24,CMP-026,Paid Search,Italia,MOBILE,11146,296,35,276.81,1864.13,24,Adquisición,Marta López</t>
  </si>
  <si>
    <t>2025-05-21,CMP-026,Organic Social,Portugal,Desktop,66119,3177,153,897.84,14228.85,117,Adquisición,Ana García</t>
  </si>
  <si>
    <t>2025-10-20,CMP-002,Paid Social,México,Desktop,1675,59,3,17.07,592.82,2,Retención,</t>
  </si>
  <si>
    <t>2025-06-10,CMP-026,Affiliate,Portugal,Desktop,77309,3137,244,5708.27,8405.91,138,Retención,Carlos Ruiz</t>
  </si>
  <si>
    <t>2025-03-06,CMP-012,Organic Social,España,Mobile,88180,6410,757,6071.06,97118.14,610,Reconocimiento,Luis Martín</t>
  </si>
  <si>
    <t>2025-08-31,CMP-014,Display,Italia,Mobile,37982,1902,150,1068.92,16097.51,92,Retención,</t>
  </si>
  <si>
    <t>2025-03-08,CMP-004,Affiliate,España,Mobile,9246,562,42,1126.03,3841.58,28,Conversión,Marta López</t>
  </si>
  <si>
    <t>2025-04-15,CMP-003,Organic Social,México,Mobile,44820,1043,139,1558.12,10402.97,77,Reconocimiento,Carlos Ruiz</t>
  </si>
  <si>
    <t>2025-06-24,CMP-017,Organic Social,España,Mobile,54112,1455,50,1043.87,7731.54,23,Reconocimiento,Ana García</t>
  </si>
  <si>
    <t>2025-05-14,CMP-006,Organic Social,Italia,Desktop,131864,1760,141,1242.86,10347.38,65,Retención,Carlos Ruiz</t>
  </si>
  <si>
    <t>2025-11-14,CMP-006,Email,Portugal,Desktop,19051,1662,166,2489.13,29045.29,91,Conversión,Carlos Ruiz</t>
  </si>
  <si>
    <t>2025-09-04,CMP-010,Organic Social,España,Desktop,57687,5019,428,5643.36,53885.3,220,Adquisición,Marta López</t>
  </si>
  <si>
    <t>2025-12-25,CMP-018, email ,España,Desktop,33775,1718,33,3476.24,5848.22,29,Adquisición,Ana García</t>
  </si>
  <si>
    <t>2025-03-13,CMP-009,Affiliate,México,Desktop,38937,1630,140,1328.45,6274.01,104,Retención,Luis Martín</t>
  </si>
  <si>
    <t>2025-07-27,CMP-001,Affiliate,Italia,Tablet,147535,3996,335,3653.16,29614.72,165,Retención,Laura Pérez</t>
  </si>
  <si>
    <t>2025-05-14,CMP-015,Organic Social,España,Desktop,178702,6034,164,11602.18,8990.69,104,Conversión,Marta López</t>
  </si>
  <si>
    <t>2025-08-02,CMP-030,Paid Social,España,Tablet,154858,2889,362,5689.72,62113.33,295,Conversión,Laura Pérez</t>
  </si>
  <si>
    <t>2025-06-28,CMP-011,Affiliate,Francia,Tablet,66071,336,25,508.95,1467.86,21,Adquisición,Carlos Ruiz</t>
  </si>
  <si>
    <t>2025-04-01,CMP-009,Affiliate,Portugal,Tablet,42619,2924,260,4454.91,26043.49,201,Retención,Laura Pérez</t>
  </si>
  <si>
    <t>2025-11-24,CMP-026,Affiliate,Francia,Mobile,121158,7911,118,16233.36,5614.42,72,Adquisición,Laura Pérez</t>
  </si>
  <si>
    <t>2025-09-14,CMP-023,Display,España,Desktop,147443,8139,136,15875.64,22015.39,84,Retención,Marta López</t>
  </si>
  <si>
    <t>2025-12-26,CMP-023,Paid Search,España,Mobile,125507,3304,184,2361.98,33066.79,123,Conversión,Carlos Ruiz</t>
  </si>
  <si>
    <t>2025-02-18,CMP-001,Paid Social,Italia,Mobile,111274,501,51,716.03,8260.97,41,Conversión,Ana García</t>
  </si>
  <si>
    <t>2025-03-20,CMP-019,Affiliate,Francia,Desktop,101070,3692,323,1152.3,41834.16,190,Reconocimiento,Laura Pérez</t>
  </si>
  <si>
    <t>2025-04-12,CMP-002,Organic Social,España,Mobile,84771,85082,72,1261.51,13755.87,45,Conversión,Laura Pérez</t>
  </si>
  <si>
    <t>2025-06-03,CMP-002,Paid Social,Portugal,Mobile,112075,5382,570,9300.31,94507.98,419,Retención,Laura Pérez</t>
  </si>
  <si>
    <t>2025-06-05,CMP-029,Organic Social,España,Desktop,32250,811,28,1091.82,4038.89,14,Retención,Ana García</t>
  </si>
  <si>
    <t>2025-10-09,CMP-010,Affiliate,Francia,Desktop,47345,787,16,501.39,2941.71,10,Retención,Laura Pérez</t>
  </si>
  <si>
    <t>2025-04-09,CMP-022,Organic Social,México,Mobile,170369,11510,1080,4435.9,74907.84,689,Reconocimiento,Marta López</t>
  </si>
  <si>
    <t>2025-01-01,CMP-025,Paid Social,España,Desktop,37988,2755,108,4772.68,16713.49,75,Reconocimiento,Ana García</t>
  </si>
  <si>
    <t>2025-10-16,CMP-001,Paid Search,Portugal,Tablet,174433,5788,203,2419.35,18187.61,140,Retención,Ana García</t>
  </si>
  <si>
    <t>2025-03-26,CMP-026, organic social ,España,Tablet,135956,11039,1530,13536.84,266167.69,1090,Reconocimiento,Ana García</t>
  </si>
  <si>
    <t>2025-08-12,CMP-015,Paid Search,España,Mobile,144620,7523,393,2867.27,51533.42,279,Adquisición,Marta López</t>
  </si>
  <si>
    <t>2025-08-14,CMP-020,Display,México,Desktop,40244,2878,351,4327.83,76803.34,278,Adquisición,Ana García</t>
  </si>
  <si>
    <t>2025-10-09,CMP-017,Affiliate,Francia,Desktop,139912,10432,1290,4170.63,111491.1,1099,Adquisición,Marta López</t>
  </si>
  <si>
    <t>2025-09-26,CMP-027,Email,México,Mobile,131083,8065,195,4988.9,21649.29,148,Adquisición,Carlos Ruiz</t>
  </si>
  <si>
    <t>2025-07-19,CMP-029,Paid Social,España,Tablet,133441,8231,1073,11903.41,21680.87,803,Adquisición,Marta López</t>
  </si>
  <si>
    <t>2025-03-05,CMP-005,Affiliate,Francia,Mobile,165722,12887,1523,22763.51,68647.35,891,Adquisición,Laura Pérez</t>
  </si>
  <si>
    <t>2025-02-08,CMP-021,Affiliate,México,Mobile,69940,489,48,635.96,2811.83,37,Conversión,Laura Pérez</t>
  </si>
  <si>
    <t>2025-11-22,CMP-022,Paid Social, España ,Mobile,24125,782,97,902.64,15290.48,60,Conversión,Carlos Ruiz</t>
  </si>
  <si>
    <t>2025-05-02,CMP-018,Email,México,Desktop,50091,4205,204,2534.0,36782.6,139,Adquisición,Carlos Ruiz</t>
  </si>
  <si>
    <t>2025-01-22,CMP-003,Affiliate,España,Desktop,173256,7586,652,11764.93,30093.16,559,Adquisición,Laura Pérez</t>
  </si>
  <si>
    <t>2025-12-25,CMP-024,Paid Social,Francia,Mobile,39456,975,121,1770.75,25361.75,92,Adquisición,Carlos Ruiz</t>
  </si>
  <si>
    <t>2025-05-03,CMP-013,Display,España,Desktop,57755,3798,154,2098.45,28133.58,79,Adquisición,Carlos Ruiz</t>
  </si>
  <si>
    <t>2025-05-19,CMP-013,Organic Social,Italia,Mobile,103561,2641,329,4108.5,67225.85,212,Reconocimiento,Carlos Ruiz</t>
  </si>
  <si>
    <t>2025-01-14,CMP-021,Paid Search,España,Mobile,41693,1507,75,184.82,14243.84,64,Conversión,Luis Martín</t>
  </si>
  <si>
    <t>2025-05-11,CMP-006,Affiliate,Italia,Mobile,125464,4355,209,8971.16,23296.4,101,Conversión,Luis Martín</t>
  </si>
  <si>
    <t>2025-03-26,CMP-001,Affiliate,España,Mobile,3407,263,28,538.49,3168.29,13,Conversión,Luis Martín</t>
  </si>
  <si>
    <t>2025-09-30,CMP-016,Affiliate,España,Desktop,53660,1329,38,165.94,1833.31,33,Reconocimiento,Laura Pérez</t>
  </si>
  <si>
    <t>2025-10-30,CMP-012,Paid Search,Italia,Mobile,67113,5250,27,1943.68,3153.04,14,Adquisición,Carlos Ruiz</t>
  </si>
  <si>
    <t>2025-05-27,CMP-003,Paid Social,España,Mobile,12994,1084,106,335.52,1740.41,80,Retención,Laura Pérez</t>
  </si>
  <si>
    <t>2025-01-30,CMP-024,Paid Search,España,Mobile,160257,5835,732,11258.43,68587.91,376,Conversión,Luis Martín</t>
  </si>
  <si>
    <t>2025-11-14,CMP-007,Paid Search,España,Tablet,16244,1329,30,1386.6,5550.58,23,Reconocimiento,Marta López</t>
  </si>
  <si>
    <t>2025-08-24,CMP-009,Paid Search,España,Desktop,6619,50,1,22.64,61.86,0,Retención,Laura Pérez</t>
  </si>
  <si>
    <t>2025-08-06,CMP-025,Email,Portugal,Desktop,151208,3658,101,5920.5,10129.38,53,Reconocimiento,Luis Martín</t>
  </si>
  <si>
    <t>2025-03-07,CMP-024,Organic Social,Portugal,Desktop,10518,228,4,456.54,592.45,2,Adquisición,Carlos Ruiz</t>
  </si>
  <si>
    <t>2025-11-22,CMP-017,Paid Social,España,Mobile,126702,8077,468,10547.52,41953.11,301,Reconocimiento,Carlos Ruiz</t>
  </si>
  <si>
    <t>2025-04-21,CMP-028,Affiliate,México,Mobile,146066,9997,668,1639.59,60687.9,501,Conversión,Luis Martín</t>
  </si>
  <si>
    <t>2025-04-01,CMP-028,Paid Search,España,Mobile,55512,393,9,530.3,1904.01,7,Retención,Marta López</t>
  </si>
  <si>
    <t>2025-04-14,CMP-002,Paid Social,España,Mobile,110027,4061,356,7120.13,66660.7,243,Retención,Luis Martín</t>
  </si>
  <si>
    <t>2025-01-04,CMP-017,Organic Social,Italia,Mobile,176961,7019,901,3594.73,131335.76,613,Reconocimiento,Marta López</t>
  </si>
  <si>
    <t>2025-05-12,CMP-017,,España,Desktop,178864,7632,550,14618.85,117026.47,373,Conversión,Laura Pérez</t>
  </si>
  <si>
    <t>2025-06-14,CMP-016,Paid Social,España,Mobile,53750,405,48,484.88,5727.46,33,Adquisición,Ana García</t>
  </si>
  <si>
    <t>2025-09-09,CMP-027,Affiliate,México,Mobile,45842,2244,156,4483.94,32579.8,127,Conversión,Ana García</t>
  </si>
  <si>
    <t>2025-07-03,CMP-018, email ,España,Desktop,29592,386,43,349.73,1037.7,36,Reconocimiento,Ana García</t>
  </si>
  <si>
    <t>2025-02-02,CMP-009,Paid Social,México,Desktop,1939,61,7,27.37,717.61,5,Retención,Marta López</t>
  </si>
  <si>
    <t>2025-09-08,CMP-019,Email,México,Mobile,67678,5109,365,5524.71,60169.55,187,Conversión,Luis Martín</t>
  </si>
  <si>
    <t>2025-06-12,CMP-006,Paid Social,España,Desktop,108168,2481,241,4824.98,18509.44,149,Retención,Laura Pérez</t>
  </si>
  <si>
    <t>2025-10-23,CMP-024,Display,Italia,Desktop,43572,855,27,541.9,745.3,12,Reconocimiento,Carlos Ruiz</t>
  </si>
  <si>
    <t>2025-04-01,CMP-018, email ,Portugal,Mobile,16376,747,95,1162.71,4441.5,51,Adquisición,Carlos Ruiz</t>
  </si>
  <si>
    <t>2025-01-07,CMP-010,Paid Search,España,Mobile,135844,5901,428,6080.53,83659.13,336,Conversión,Luis Martín</t>
  </si>
  <si>
    <t>2025-12-24,CMP-012,Paid Social,España,Desktop,119856,4321,120,3274.3,25285.24,93,Adquisición,Carlos Ruiz</t>
  </si>
  <si>
    <t>2025-03-04,CMP-016,Paid Social,Italia,Desktop,56129,2143,276,1240.84,33875.72,233,Retención,Carlos Ruiz</t>
  </si>
  <si>
    <t>2025-11-11,CMP-010,Paid Search,México,Desktop,102749,2923,174,2753.92,19133.05,121,Conversión,Ana García</t>
  </si>
  <si>
    <t>2025-06-08,CMP-025,Organic Social,España,Mobile,65327,853,68,299.35,2223.89,33,Retención,Carlos Ruiz</t>
  </si>
  <si>
    <t>2025-06-19,CMP-024,Organic Social,Italia,Mobile,20180,1525,134,1631.74,5491.03,88,Reconocimiento,Luis Martín</t>
  </si>
  <si>
    <t>2025-01-29,CMP-007,Paid Social,México,Mobile,127695,2682,371,2925.87,79919.12,184,Retención,Carlos Ruiz</t>
  </si>
  <si>
    <t>2025-11-06,CMP-003,Affiliate,México,Mobile,43676,502,49,1034.09,5107.08,39,Conversión,Ana García</t>
  </si>
  <si>
    <t>2025-02-26,CMP-020,Display,Francia,Desktop,118766,4593,520,4356.34,89118.87,320,Reconocimiento,Luis Martín</t>
  </si>
  <si>
    <t>2025-04-21,CMP-007,Affiliate,México,Mobile,84095,6867,237,5383.68,5268.54,138,Conversión,Laura Pérez</t>
  </si>
  <si>
    <t>2025-06-21,CMP-021,Paid Search,Francia,Desktop,135724,9134,795,11725.82,82149.09,663,Adquisición,Marta López</t>
  </si>
  <si>
    <t>2025-12-13,CMP-024,Organic Social,España,Desktop,16260,600,62,564.33,2334.1,47,Conversión,Luis Martín</t>
  </si>
  <si>
    <t>2025-12-06,CMP-027,Display,Portugal,Desktop,67299,4163,551,6208.27,105171.1,380,Retención,Laura Pérez</t>
  </si>
  <si>
    <t>2025-09-04,CMP-017,Paid Search,Francia,Desktop,145595,10086,289,11230.84,51346.75,206,Reconocimiento,Luis Martín</t>
  </si>
  <si>
    <t>2025-06-23,CMP-002,Affiliate,México,Mobile,43054,3746,329,1758.72,34222.61,241,Adquisición,Carlos Ruiz</t>
  </si>
  <si>
    <t>2025-12-28,CMP-030,Email,España,Desktop,86400,5532,49,7536.52,875.85,38,Reconocimiento,Luis Martín</t>
  </si>
  <si>
    <t>2025-07-21,CMP-014,Paid Social,Francia,Desktop,28562,288,38,92.28,7097.44,29,Reconocimiento,Luis Martín</t>
  </si>
  <si>
    <t>2025-09-15,CMP-023,Email,México,Desktop,27834,124,3,68.68,329.74,2,Adquisición,Luis Martín</t>
  </si>
  <si>
    <t>2025-11-29,CMP-009,Email,Portugal,Desktop,126225,2091,78,309.26,15427.43,44,Conversión,Laura Pérez</t>
  </si>
  <si>
    <t>2025-01-18,CMP-025,Email,España,Desktop,43543,407,11,209.21,1788.62,7,Reconocimiento,Carlos Ruiz</t>
  </si>
  <si>
    <t>2025-03-15,CMP-020,Affiliate,Portugal,Desktop,87149,3476,87,664.47,18720.68,49,Conversión,Luis Martín</t>
  </si>
  <si>
    <t>2025-05-13,CMP-017,Organic Social,Portugal,Mobile,150274,5376,284,8397.02,9422.52,237,Retención,Ana García</t>
  </si>
  <si>
    <t>2025-12-17,CMP-010,Paid Search,Portugal,Desktop,70942,5234,164,5681.36,29659.28,117,Reconocimiento,Marta López</t>
  </si>
  <si>
    <t>2025-03-05,CMP-020,Paid Social,Italia,Mobile,178176,8003,267,14030.13,8134.46,188,Reconocimiento,Ana García</t>
  </si>
  <si>
    <t>2025-08-01,CMP-014,Paid Social,México,Desktop,77656,4164,568,539.6,19345.48,364,Retención,Laura Pérez</t>
  </si>
  <si>
    <t>2025-01-29,CMP-009,Paid Social,Francia,Tablet,75147,2390,163,1813.95,25154.79,88,Conversión,Carlos Ruiz</t>
  </si>
  <si>
    <t>2025-05-22,CMP-007,Paid Search,México,Desktop,138906,11944,1399,2275.11,255622.71,961,Reconocimiento,Luis Martín</t>
  </si>
  <si>
    <t>2025-05-19,CMP-012, display ,España,Tablet,27552,1563,90,2811.63,4791.62,54,Reconocimiento,Luis Martín</t>
  </si>
  <si>
    <t>2025-07-28,CMP-005,Affiliate,México,Mobile,61333,2373,162,3720.1,14095.28,73,Adquisición,Laura Pérez</t>
  </si>
  <si>
    <t>2025-02-28,CMP-009,Paid Social,España,Mobile,117292,3980,140,4881.15,3084.06,81,Reconocimiento,Marta López</t>
  </si>
  <si>
    <t>2025-11-07,CMP-007,Paid Search,España,Mobile,7017,630,58,1147.25,10975.82,39,Conversión,Ana García</t>
  </si>
  <si>
    <t>2025-07-17,CMP-007,, España ,Desktop,22879,753,31,700.49,2212.31,14,Retención,Laura Pérez</t>
  </si>
  <si>
    <t>2025-11-19,CMP-005,Affiliate,España,MOBILE,114981,5986,324,698.84,22195.9,212,Conversión,Luis Martín</t>
  </si>
  <si>
    <t>2025-01-25,CMP-012,Display,España,Desktop,153369,4205,533,8684.37,68269.07,420,Adquisición,Ana García</t>
  </si>
  <si>
    <t>2025-04-12,CMP-003,Affiliate,Francia,Mobile,42978,1265,122,891.33,11583.09,102,Retención,Luis Martín</t>
  </si>
  <si>
    <t>2025-01-17,CMP-016,Paid Search,Francia,Desktop,113235,10181,1348,10894.13,109441.22,1073,Conversión,Laura Pérez</t>
  </si>
  <si>
    <t>2025-04-21,CMP-017,Display,Italia,Mobile,149933,6105,335,7198.49,9974.27,249,Adquisición,Ana García</t>
  </si>
  <si>
    <t>2025-05-25,CMP-029,Affiliate,México,Mobile,141585,8738,301,2263.98,28737.24,190,Reconocimiento,Laura Pérez</t>
  </si>
  <si>
    <t>2025-01-03,CMP-020,Display,España,Tablet,125414,5316,367,9936.66,59884.19,227,Retención,Ana García</t>
  </si>
  <si>
    <t>2025-10-31,CMP-011,Paid Social,España,Mobile,158564,12147,1678,24917.15,96038.14,1344,Retención,Luis Martín</t>
  </si>
  <si>
    <t>2025-05-20,CMP-008,Email,Portugal,Mobile,25667,26332,79,1625.98,15788.62,61,Retención,Marta López</t>
  </si>
  <si>
    <t>2025-01-28,CMP-029,Affiliate,España,Mobile,67722,3921,38,7115.12,4910.17,30,Reconocimiento,Marta López</t>
  </si>
  <si>
    <t>2025-04-30,CMP-016,Email,México,Mobile,173242,9662,509,10139.7,111269.03,354,Retención,Marta López</t>
  </si>
  <si>
    <t>2025-10-06,CMP-008,Paid Social,Italia,Mobile,175185,10397,184,13503.21,24319.54,93,Adquisición,Luis Martín</t>
  </si>
  <si>
    <t>2025-04-30,CMP-009,Paid Search,España,Mobile,66646,5081,658,2266.14,143817.25,348,Adquisición,Luis Martín</t>
  </si>
  <si>
    <t>2025-03-07,CMP-008,Paid Search,España,Desktop,139339,592,78,1077.84,5217.87,55,Conversión,Luis Martín</t>
  </si>
  <si>
    <t>2025-03-08,CMP-001, organic social ,Italia,Desktop,95755,5999,696,9288.78,71878.91,318,Conversión,Laura Pérez</t>
  </si>
  <si>
    <t>2025-11-05,CMP-017,Affiliate,México,Mobile,165468,4552,568,6701.5,114457.35,362,Adquisición,Laura Pérez</t>
  </si>
  <si>
    <t>2025-07-06,CMP-005,Email,España,Desktop,150758,4211,4231,5305.71,50159.19,274,Reconocimiento,Marta López</t>
  </si>
  <si>
    <t>2025-03-28,CMP-010,Organic Social,Italia,Mobile,3951,260,24,151.45,4153.43,18,Retención,Laura Pérez</t>
  </si>
  <si>
    <t>2025-07-23,CMP-023,Display,España,Desktop,107742,6360,705,11310.42,93089.67,620,Conversión,Ana García</t>
  </si>
  <si>
    <t>2025-12-24,CMP-020,Display,España,Mobile,132835,1233,82,245.2,16361.65,43,Conversión,Carlos Ruiz</t>
  </si>
  <si>
    <t>2025-06-12,CMP-023,Email,México,Desktop,150871,7101,791,2403.79,104718.28,424,Reconocimiento,Carlos Ruiz</t>
  </si>
  <si>
    <t>2025-12-10,CMP-023,Paid Search,España,Desktop,2564,66,4,88.3,193.69,2,Reconocimiento,Laura Pérez</t>
  </si>
  <si>
    <t>2025-05-19,CMP-014,Paid Search,España,Mobile,79569,1264,10,1490.3,1901.6,5,Conversión,Marta López</t>
  </si>
  <si>
    <t>2025-07-02,CMP-017,Display,México,Desktop,104766,633,18,1035.11,2385.5,15,Conversión,Marta López</t>
  </si>
  <si>
    <t>2025-03-28,CMP-007,Organic Social,Francia,Desktop,66823,582,68,1021.65,1059.55,48,Retención,Laura Pérez</t>
  </si>
  <si>
    <t>2025-07-18,CMP-003,Affiliate,Portugal,Desktop,128897,8402,326,2532.18,33859.34,236,Adquisición,Luis Martín</t>
  </si>
  <si>
    <t>2025-11-21,CMP-008,Paid Search,España,Mobile,15348,330,20,270.88,2997.12,11,Adquisición,Laura Pérez</t>
  </si>
  <si>
    <t>2025-04-09,CMP-027,Display,España,Mobile,160691,13134,1464,26381.86,272818.66,1027,Adquisición,Luis Martín</t>
  </si>
  <si>
    <t>2025-08-23,CMP-009,Paid Social,Francia,Mobile,83680,5220,498,4579.98,107752.71,241,Retención,Ana García</t>
  </si>
  <si>
    <t>2025-04-11,CMP-018,Affiliate,México,Tablet,178605,12653,783,3726.37,48503.65,484,Adquisición,Luis Martín</t>
  </si>
  <si>
    <t>2025-12-25,CMP-009,Affiliate,Portugal,Desktop,123430,11014,1442,21349.39,94430.74,864,Reconocimiento,Marta López</t>
  </si>
  <si>
    <t>2025-11-08,CMP-005,Email,Francia,Mobile,87769,6894,765,2989.98,158117.46,627,Adquisición,Ana García</t>
  </si>
  <si>
    <t>2025-11-17,CMP-009,Email,España,Desktop,116741,7116,429,3398.98,47069.04,333,Conversión,Luis Martín</t>
  </si>
  <si>
    <t>2025-06-13,CMP-019,Email,Portugal,Desktop,75891,4887,625,4117.86,109906.16,477,Retención,Laura Pérez</t>
  </si>
  <si>
    <t>2025-07-03,CMP-020,Organic Social, España ,Mobile,136270,670,39,786.45,6409.71,30,Conversión,Carlos Ruiz</t>
  </si>
  <si>
    <t>2025-02-04,CMP-025,Affiliate,Italia,Desktop,26309,1703,47,1152.47,4195.67,31,Reconocimiento,Luis Martín</t>
  </si>
  <si>
    <t>2025-03-23,CMP-006,Affiliate,México,Desktop,104636,5983,172,7422.32,6415.62,122,Adquisición,Laura Pérez</t>
  </si>
  <si>
    <t>2025-06-21,CMP-019,Paid Social,Italia,Desktop,81817,1192,104,2213.25,6526.38,66,Conversión,Luis Martín</t>
  </si>
  <si>
    <t>2025-01-01,CMP-028,Display,España,Desktop,110409,9365,559,18551.97,110464.95,254,Retención,Marta López</t>
  </si>
  <si>
    <t>2025-09-28,cmp-010,Organic Social,Portugal,Desktop,85211,1105,39,2200.96,4903.47,22,Retención,Carlos Ruiz</t>
  </si>
  <si>
    <t>2025-06-26,CMP-019,Paid Search,España,Mobile,57555,954,126,844.02,2411.37,69,Adquisición,Luis Martín</t>
  </si>
  <si>
    <t>2025-08-01,CMP-011,Display,España,Mobile,168745,8736,450,2774.46,48249.9,278,Retención,Luis Martín</t>
  </si>
  <si>
    <t>2025-08-23,CMP-028,Organic Social,México,Desktop,23363,559,3,232.93,571.93,2,Retención,Laura Pérez</t>
  </si>
  <si>
    <t>2025-03-04,CMP-007,Display,España,Mobile,79688,1162,69,164.67,4512.41,42,Retención,Carlos Ruiz</t>
  </si>
  <si>
    <t>2025-04-21,CMP-022,Organic Social,España,Tablet,47716,2054,220,2473.45,29414.0,163,Retención,Luis Martín</t>
  </si>
  <si>
    <t>2025-03-25,CMP-017,,México,Mobile,115691,4297,466,3908.17,91499.65,323,Reconocimiento,Marta López</t>
  </si>
  <si>
    <t>2025-07-21,CMP-014,,Italia,Desktop,59275,1012,41,197.08,5609.18,30,Adquisición,Laura Pérez</t>
  </si>
  <si>
    <t>2025-05-20,CMP-016,Display,España,Desktop,40440,2315,181,3457.49,11670.72,120,Reconocimiento,Laura Pérez</t>
  </si>
  <si>
    <t>2025-05-24,CMP-024, organic social ,Francia,Mobile,137348,10190,700,15445.47,56834.55,595,Reconocimiento,Luis Martín</t>
  </si>
  <si>
    <t>2025-11-09,cmp-014,Affiliate,Portugal,Tablet,93484,7730,796,8103.71,44460.06,602,Reconocimiento,Marta López</t>
  </si>
  <si>
    <t>2025-02-16,CMP-014,Display,México,Mobile,146627,4232,390,964.12,68528.31,266,Conversión,Carlos Ruiz</t>
  </si>
  <si>
    <t>2025-09-09,CMP-019,Organic Social,Italia,Mobile,21568,447,4,228.5,415.24,2,Retención,Carlos Ruiz</t>
  </si>
  <si>
    <t>2025-11-06,CMP-021,Paid Social,Portugal,Mobile,88614,2787,216,5386.79,7164.93,117,Adquisición,Luis Martín</t>
  </si>
  <si>
    <t>2025-10-09,CMP-009,Display,España,Mobile,137155,9053,486,14717.34,92117.79,236,Retención,Ana García</t>
  </si>
  <si>
    <t>2025-03-22,CMP-004,Paid Social,España,Desktop,77768,3477,241,2650.64,26385.71,216,Adquisición,Marta López</t>
  </si>
  <si>
    <t>2025-09-27,CMP-016,Paid Social,Italia,Mobile,41555,3734,406,5396.3,24339.39,340,Conversión,Carlos Ruiz</t>
  </si>
  <si>
    <t>2025-11-11,CMP-021,Email,España,Mobile,158040,5300,643,3699.69,52503.24,415,Adquisición,Marta López</t>
  </si>
  <si>
    <t>2025-12-22,CMP-014,Paid Social,Francia,Mobile,67067,4075,469,3644.6,29998.53,246,Reconocimiento,Ana García</t>
  </si>
  <si>
    <t>2025-10-31,CMP-027,Email,España,Mobile,24120,2104,284,2152.62,53347.32,192,Adquisición,Ana García</t>
  </si>
  <si>
    <t>2025-09-05,CMP-006,Paid Search,España,Desktop,50790,1730,63,3511.97,7150.79,29,Adquisición,Carlos Ruiz</t>
  </si>
  <si>
    <t>2025-08-04,CMP-019,Organic Social,Portugal,Mobile,84018,1899,225,1804.78,6499.81,189,Adquisición,Carlos Ruiz</t>
  </si>
  <si>
    <t>2025-06-15,CMP-028,Paid Search,Francia,Mobile,49479,4264,34,8570.36,665.5,26,Adquisición,Laura Pérez</t>
  </si>
  <si>
    <t>2025-02-16,CMP-002,Paid Search,Portugal,Mobile,135898,11029,341,10182.02,57607.52,252,Reconocimiento,Ana García</t>
  </si>
  <si>
    <t>2025-03-18,CMP-014,Paid Search,México,Desktop,53396,2714,91,2052.33,7483.75,59,Adquisición,Laura Pérez</t>
  </si>
  <si>
    <t>2025-11-12,CMP-002,Affiliate,España,Desktop,64063,65037,92,5526.32,11954.8,60,Reconocimiento,Marta López</t>
  </si>
  <si>
    <t>2025-06-30,CMP-002,Display,España,Mobile,10447,663,23,995.72,3015.39,17,Reconocimiento,Luis Martín</t>
  </si>
  <si>
    <t>2025-09-15,CMP-004,Paid Social,Italia,Desktop,72023,5074,170,1589.75,12513.31,103,Retención,Laura Pérez</t>
  </si>
  <si>
    <t>2025-10-04,CMP-004,Affiliate,Portugal,Desktop,44007,1585,146,2086.08,30913.98,76,Conversión,Ana García</t>
  </si>
  <si>
    <t>2025-11-09,CMP-016,Display,Francia,Tablet,59084,761,86,443.84,7295.11,58,Conversión,Marta López</t>
  </si>
  <si>
    <t>2025-10-15,CMP-003,Organic Social,España,Desktop,100871,3780,114,3300.77,24063.17,96,Retención,Laura Pérez</t>
  </si>
  <si>
    <t>2025-08-05,CMP-004,Paid Social,Italia,Desktop,111376,2750,119,5315.88,5031.13,80,Retención,Ana García</t>
  </si>
  <si>
    <t>2025-05-27,CMP-016,Affiliate,España,Tablet,5456,150,9,16.22,622.11,4,Reconocimiento,Luis Martín</t>
  </si>
  <si>
    <t>2025-08-29,CMP-023,Display,España,Mobile,33954,238,19,324.16,572.46,11,Retención,Carlos Ruiz</t>
  </si>
  <si>
    <t>2025-09-14,CMP-015,Paid Social,España,Mobile,101921,5523,729,5460.95,95264.39,600,Adquisición,Marta López</t>
  </si>
  <si>
    <t>2025-09-19,CMP-024,Organic Social,Francia,Desktop,107165,6279,96,11935.31,6865.66,49,Conversión,Luis Martín</t>
  </si>
  <si>
    <t>2025-03-21,CMP-008,Paid Search,España,Mobile,155213,835,29,1531.41,5761.45,13,Retención,Marta López</t>
  </si>
  <si>
    <t>2025-08-20,CMP-004,Organic Social,Francia,Desktop,59595,2773,37,2321.0,7160.45,19,Adquisición,Marta López</t>
  </si>
  <si>
    <t>2025-03-13,CMP-018,Display,España,Desktop,21538,840,26,1026.0,4557.84,12,Adquisición,Ana García</t>
  </si>
  <si>
    <t>2025-07-01,CMP-004,Paid Social,Francia,Desktop,158720,6006,322,5511.04,63861.56,238,Retención,Luis Martín</t>
  </si>
  <si>
    <t>2025-01-31,CMP-017,Display,Francia,Desktop,81630,5513,380,4046.19,68048.12,328,Retención,Carlos Ruiz</t>
  </si>
  <si>
    <t>2025-07-23,CMP-009,Paid Search,España,Desktop,57908,1711,95,962.21,19085.83,45,Conversión,Luis Martín</t>
  </si>
  <si>
    <t>2025-12-01,CMP-025,Affiliate,México,Mobile,9303,516,32,359.81,4431.95,28,Retención,Luis Martín</t>
  </si>
  <si>
    <t>2025-04-11,CMP-011,Display,Italia,Desktop,175964,15152,162,5445.96,14353.45,114,Conversión,Luis Martín</t>
  </si>
  <si>
    <t>2025-12-12,CMP-026,Display,España,Desktop,38061,2140,38,1551.97,2846.51,25,Adquisición,Carlos Ruiz</t>
  </si>
  <si>
    <t>2025-10-10,CMP-014,Paid Search,España,Desktop,120062,6021,339,2374.61,23962.0,285,Reconocimiento,Carlos Ruiz</t>
  </si>
  <si>
    <t>2025-03-26,CMP-014,Display,Espana,Tablet,6031,70,7,35.16,1414.16,5,Reconocimiento,Ana García</t>
  </si>
  <si>
    <t>2025-10-15,CMP-023,Organic Social,Italia,Desktop,26682,1175,164,2044.65,6246.89,74,Adquisición,Carlos Ruiz</t>
  </si>
  <si>
    <t>2025-12-24,CMP-020,Organic Social,Francia,Desktop,54337,1083,8,1985.77,1744.14,4,Reconocimiento,Marta López</t>
  </si>
  <si>
    <t>2025-01-27,CMP-010,Email,México,Mobile,13176,555,5,549.78,631.83,3,Reconocimiento,Ana García</t>
  </si>
  <si>
    <t>2025-01-11,CMP-008,Email,España,Desktop,12534,184,2,301.64,247.54,1,Conversión,Ana García</t>
  </si>
  <si>
    <t>2025-12-26,CMP-006,Affiliate,México,Desktop,58798,3542,395,3713.96,13858.82,285,Retención,Carlos Ruiz</t>
  </si>
  <si>
    <t>2025-11-19,CMP-026,Paid Search,España,Mobile,151157,8550,532,15989.44,75598.52,363,Retención,Luis Martín</t>
  </si>
  <si>
    <t>2025-06-25,CMP-023,Email,Espana,Desktop,66303,1148,37,1277.9,1031.99,18,Retención,Luis Martín</t>
  </si>
  <si>
    <t>2025-01-24,CMP-007,Display,España,Tablet,140709,7129,182,2386.96,21092.59,150,Adquisición,Carlos Ruiz</t>
  </si>
  <si>
    <t>2025-10-24,CMP-026,Organic Social,España,Tablet,88162,5652,335,8104.04,15790.43,208,Adquisición,Carlos Ruiz</t>
  </si>
  <si>
    <t>2025-05-14,CMP-029,Affiliate,España,Mobile,30292,2272,96,3811.78,3314.2,70,Retención,Ana García</t>
  </si>
  <si>
    <t>2025-12-23,CMP-026,Organic Social,México,Desktop,64096,998,98,1261.94,10285.29,71,Retención,Luis Martín</t>
  </si>
  <si>
    <t>2025-12-10,CMP-017,Email,México,Mobile,46248,2689,211,2592.69,27366.49,166,Reconocimiento,Ana García</t>
  </si>
  <si>
    <t>2025-01-24,CMP-005,Affiliate,España,Mobile,10708,45,1,34.37,16.84,0,Reconocimiento,Laura Pérez</t>
  </si>
  <si>
    <t>2025-01-08,CMP-004,Paid Search,España,Desktop,144570,12150,1039,20749.13,164072.96,853,Retención,Laura Pérez</t>
  </si>
  <si>
    <t>2025-08-01,CMP-005,Paid Social,México,Mobile,160712,1782,115,1709.02,22142.66,91,Adquisición,Luis Martín</t>
  </si>
  <si>
    <t>2025-08-17,CMP-020,Paid Social,España,Mobile,62910,4106,378,4598.8,78128.38,250,Retención,Luis Martín</t>
  </si>
  <si>
    <t>2025-07-28,CMP-025,Organic Social,España,Mobile,42096,3647,78,5955.06,8670.44,62,Adquisición,Laura Pérez</t>
  </si>
  <si>
    <t>2025-11-17,CMP-012,Display,Italia,Tablet,49353,475,14,276.65,2505.61,7,Reconocimiento,Laura Pérez</t>
  </si>
  <si>
    <t>2025-09-05,CMP-017,Paid Search,España,Mobile,134045,10884,836,20466.03,48704.19,635,Adquisición,Carlos Ruiz</t>
  </si>
  <si>
    <t>2025-11-06,CMP-027,Paid Social,España,Tablet,135125,8640,554,14429.25,48903.64,258,Conversión,Laura Pérez</t>
  </si>
  <si>
    <t>2025-12-13,CMP-015,Display,España,Mobile,109440,783,73,1438.35,8688.39,39,Reconocimiento,Luis Martín</t>
  </si>
  <si>
    <t>2025-02-17,CMP-024,Organic Social, España ,Mobile,27274,831,66,1614.63,5071.88,33,Adquisición,Laura Pérez</t>
  </si>
  <si>
    <t>2025-10-09,CMP-024,Paid Social,Francia,Tablet,104628,3857,35,3005.29,6410.53,24,Conversión,Luis Martín</t>
  </si>
  <si>
    <t>2025-06-25,CMP-006,Paid Social,Francia,Mobile,136847,11153,941,17823.19,169319.93,701,Adquisición,Laura Pérez</t>
  </si>
  <si>
    <t>2025-12-16,CMP-014,Display,Italia,Desktop,63159,4633,602,7360.46,90967.67,534,Conversión,Carlos Ruiz</t>
  </si>
  <si>
    <t>2025-11-02,CMP-008,Affiliate,España,Desktop,161425,6911,83,3341.48,18156.06,49,Conversión,Laura Pérez</t>
  </si>
  <si>
    <t>2025-10-18,CMP-001,Email,España,Desktop,7883,479,65,701.18,11032.03,57,Reconocimiento,Laura Pérez</t>
  </si>
  <si>
    <t>2025-01-18,CMP-004,Paid Social,México,Mobile,168985,10515,778,12412.09,85237.28,511,Retención,Laura Pérez</t>
  </si>
  <si>
    <t>2025-02-09,CMP-016,Organic Social,España,Mobile,12074,1071,146,1617.16,8383.63,101,Retención,Laura Pérez</t>
  </si>
  <si>
    <t>2025-05-07,CMP-005,Paid Social,México,Tablet,99525,8517,824,3855.04,177573.71,648,Retención,Marta López</t>
  </si>
  <si>
    <t>2025-12-21,CMP-020,Paid Social,España,Desktop,69381,4401,78,2851.17,12998.06,66,Conversión,Laura Pérez</t>
  </si>
  <si>
    <t>2025-02-02,CMP-007,Display,Portugal,Mobile,23326,1858,117,3642.46,8802.01,88,Conversión,Luis Martín</t>
  </si>
  <si>
    <t>2025-07-14,CMP-007,Organic Social,España,Mobile,9969,363,21,172.4,1554.11,10,Retención,Ana García</t>
  </si>
  <si>
    <t>2025-12-26,CMP-013,Paid Social,España,Desktop,124208,4203,194,2093.17,5084.1,156,Adquisición,Luis Martín</t>
  </si>
  <si>
    <t>2025-07-05,CMP-005, paid search ,Francia,Desktop,121896,7110,880,5445.71,148674.01,408,Reconocimiento,Luis Martín</t>
  </si>
  <si>
    <t>2025-07-12,CMP-029,Paid Search,España,Desktop,72303,4165,268,5536.73,23073.54,211,Reconocimiento,Carlos Ruiz</t>
  </si>
  <si>
    <t>2025-10-08,CMP-019,Paid Social,Italia,Desktop,124225,2420,336,4242.41,63473.66,230,Adquisición,Luis Martín</t>
  </si>
  <si>
    <t>2025-09-26,CMP-028,Affiliate,España,Mobile,60641,3681,511,5436.83,52077.76,293,Reconocimiento,Laura Pérez</t>
  </si>
  <si>
    <t>2025-04-11,CMP-030,Organic Social,Italia,Mobile,144686,12540,935,11842.52,39892.87,717,Reconocimiento,Ana García</t>
  </si>
  <si>
    <t>2025-08-27,CMP-024,Paid Search,Portugal,Desktop,95829,943,69,1119.92,8834.78,42,Conversión,Luis Martín</t>
  </si>
  <si>
    <t>2025-03-13,CMP-016,Email,Francia,Desktop,97169,958,92,406.13,11926.35,46,Conversión,Carlos Ruiz</t>
  </si>
  <si>
    <t>2025-03-23,CMP-015,Paid Social,Francia,Desktop,5485,216,19,157.79,1726.93,9,Conversión,Marta López</t>
  </si>
  <si>
    <t>2025-05-25,CMP-016,Paid Social,Portugal,Desktop,114156,2762,141,3471.55,23260.31,106,Conversión,Marta López</t>
  </si>
  <si>
    <t>2025-06-12,CMP-024,Paid Search,España,Mobile,142601,12780,590,13766.92,104812.85,493,Adquisición,Ana García</t>
  </si>
  <si>
    <t>2025-10-31,CMP-004,Paid Social,Francia,Mobile,17021,638,66,619.58,10698.09,35,Retención,Laura Pérez</t>
  </si>
  <si>
    <t>2025-01-01,CMP-001,Affiliate,España,Tablet,41287,2407,190,4851.44,21327.06,147,Adquisición,Marta López</t>
  </si>
  <si>
    <t>2025-09-26,CMP-014,Paid Search,España,Mobile,51078,2397,160,3264.04,27109.7,130,Conversión,Marta López</t>
  </si>
  <si>
    <t>2025-10-22,CMP-020,Email,Francia,Desktop,167623,14312,1404,13255.99,32852.46,1130,Reconocimiento,Luis Martín</t>
  </si>
  <si>
    <t>2025-04-03,CMP-013,Email,España,Desktop,70603,6342,825,868.44,176068.4,439,Conversión,Laura Pérez</t>
  </si>
  <si>
    <t>2025-09-03,CMP-009,Display,Italia,Desktop,133096,10617,1139,20580.93,76496.22,731,Adquisición,Ana García</t>
  </si>
  <si>
    <t>2025-08-02,CMP-001,Paid Search,Portugal,Mobile,98564,7334,494,14958.13,52240.41,283,Conversión,Luis Martín</t>
  </si>
  <si>
    <t>2025-05-04,CMP-020,Paid Social,España,Mobile,78349,6006,801,1219.11,131056.92,547,Reconocimiento,Marta López</t>
  </si>
  <si>
    <t>2025-04-25,CMP-014,Affiliate,España,Mobile,86935,798,52,572.33,5109.24,28,Adquisición,Luis Martín</t>
  </si>
  <si>
    <t>2025-08-30,CMP-007,Display,Portugal,Mobile,94800,5840,747,8439.92,89848.06,606,Adquisición,Marta López</t>
  </si>
  <si>
    <t>2025-05-24,CMP-015,Paid Search,Italia,Desktop,17014,229,26,83.48,3639.85,20,Reconocimiento,Carlos Ruiz</t>
  </si>
  <si>
    <t>2025-12-16,CMP-018,Affiliate,Francia,Mobile,124073,8384,522,9807.12,44087.18,437,Retención,Marta López</t>
  </si>
  <si>
    <t>2025-05-14,CMP-026,Display,Italia,Mobile,20323,1234,147,1120.03,20864.39,121,Reconocimiento,Marta López</t>
  </si>
  <si>
    <t>2025-03-19,CMP-030,Paid Search,España,MOBILE,168419,11813,227,22459.92,27768.49,141,Adquisición,Carlos Ruiz</t>
  </si>
  <si>
    <t>2025-01-20,CMP-030,Affiliate,España,Desktop,172364,7896,745,3865.44,152652.1,474,Adquisición,Marta López</t>
  </si>
  <si>
    <t>2025-02-20,CMP-028,Affiliate,España,Mobile,19329,1171,82,2019.65,9064.18,37,Reconocimiento,Carlos Ruiz</t>
  </si>
  <si>
    <t>2025-12-15,CMP-017,Organic Social,México,Mobile,163068,4623,595,6407.64,38969.13,376,Conversión,Ana García</t>
  </si>
  <si>
    <t>2025-03-19,CMP-029,Paid Search,México,Tablet,16454,409,30,177.86,2319.94,16,Reconocimiento,Luis Martín</t>
  </si>
  <si>
    <t>2025-12-17,CMP-027,Paid Social,España,Mobile,179844,8689,979,10451.72,27464.99,652,Retención,Laura Pérez</t>
  </si>
  <si>
    <t>2025-12-11,CMP-003,Affiliate,Francia,Desktop,152204,5362,158,6820.84,14317.49,106,Retención,Ana García</t>
  </si>
  <si>
    <t>2025-10-08,CMP-021,Display,Francia,Tablet,51205,673,47,1200.73,9597.81,41,Retención,Luis Martín</t>
  </si>
  <si>
    <t>2025-02-12,CMP-026,Paid Social,España,Mobile,134420,10832,1451,13208.77,124506.66,1138,Adquisición,Luis Martín</t>
  </si>
  <si>
    <t>2025-03-28,CMP-012,Email,España,Mobile,66543,2075,38,2775.31,7919.9,28,Reconocimiento,Carlos Ruiz</t>
  </si>
  <si>
    <t>2025-07-24,CMP-001,Email,Francia,Mobile,73536,5231,395,9855.46,74326.79,254,Retención,Ana García</t>
  </si>
  <si>
    <t>2025-05-21,CMP-014,Organic Social,Francia,Mobile,93873,6249,691,2364.07,57502.02,507,Adquisición,Luis Martín</t>
  </si>
  <si>
    <t>2025-06-28,CMP-020,Paid Social,España,Mobile,173129,8028,1015,990.11,196743.7,893,Reconocimiento,Marta López</t>
  </si>
  <si>
    <t>2025-05-04,CMP-005,Display,España,Desktop,131267,1387,163,946.67,18259.77,75,Adquisición,Marta López</t>
  </si>
  <si>
    <t>2025-03-22,CMP-008,Paid Social,España,Mobile,18996,552,76,1025.57,16139.37,50,Conversión,Carlos Ruiz</t>
  </si>
  <si>
    <t>2025-02-13,CMP-024, organic social ,,Mobile,22382,551,66,152.49,8581.93,48,Retención,Carlos Ruiz</t>
  </si>
  <si>
    <t>2025-04-14,CMP-027,Affiliate,España,Mobile,99665,7730,988,8693.48,120059.43,797,Retención,Marta López</t>
  </si>
  <si>
    <t>2025-11-01,CMP-013,Paid Search,Francia,Mobile,13986,377,42,463.74,9132.08,30,Conversión,Marta López</t>
  </si>
  <si>
    <t>2025-12-20,CMP-012,Organic Social,Francia,Mobile,162853,3389,358,1434.85,50286.08,237,Adquisición,Marta López</t>
  </si>
  <si>
    <t>2025-06-10,CMP-020,Display,Francia,Mobile,91560,5364,201,8949.08,12606.8,93,Adquisición,Carlos Ruiz</t>
  </si>
  <si>
    <t>2025-12-10,CMP-012,Affiliate,Italia,Mobile,139901,5114,70,5775.04,13004.54,40,Retención,Luis Martín</t>
  </si>
  <si>
    <t>2025-10-03,CMP-020,Affiliate,España,Desktop,23453,768,25,750.47,4247.25,17,Conversión,Marta López</t>
  </si>
  <si>
    <t>2025-06-30,CMP-007,Email,Portugal,Mobile,39029,462,16,411.52,2854.52,9,Adquisición,Ana García</t>
  </si>
  <si>
    <t>2025-01-21,CMP-008,Paid Search,España,MOBILE,4001,61,1,85.15,165.55,0,Reconocimiento,Carlos Ruiz</t>
  </si>
  <si>
    <t>2025-10-29,CMP-015,Affiliate,Portugal,Desktop,53807,1510,112,599.8,12534.38,76,Adquisición,Laura Pérez</t>
  </si>
  <si>
    <t>2025-08-26,CMP-014,Affiliate,Francia,Mobile,173827,15467,1090,31379.62,85507.33,954,Retención,Ana García</t>
  </si>
  <si>
    <t>2025-04-22,CMP-003,Organic Social,Portugal,Desktop,153892,4351,592,2324.62,112479.99,342,Conversión,Carlos Ruiz</t>
  </si>
  <si>
    <t>2025-02-09,CMP-017,Email,España,Mobile,120267,5706,39,4394.7,6467.84,30,Adquisición,Carlos Ruiz</t>
  </si>
  <si>
    <t>2025-01-12,CMP-028,Display,España,Desktop,165467,12688,614,1724.43,86264.88,399,Reconocimiento,Marta López</t>
  </si>
  <si>
    <t>2025-02-02,CMP-028, display ,Francia,Desktop,37891,2758,181,5207.95,5831.83,157,Reconocimiento,Marta López</t>
  </si>
  <si>
    <t>2025-08-27,CMP-030,Affiliate,México,Desktop,24161,262,18,37.49,2225.76,10,Adquisición,Marta López</t>
  </si>
  <si>
    <t>2025-03-09,CMP-023,Organic Social,España,Mobile,40760,2082,161,1279.88,16700.44,113,Reconocimiento,Carlos Ruiz</t>
  </si>
  <si>
    <t>2025-05-24,CMP-003,Organic Social,España,Mobile,92634,511,27,631.43,3473.7,19,Retención,Marta López</t>
  </si>
  <si>
    <t>2025-08-21,CMP-022,Organic Social,España,Desktop,140978,783,6,1039.4,903.5,3,Reconocimiento,Luis Martín</t>
  </si>
  <si>
    <t>2025-01-15,CMP-001, display ,Francia,Mobile,21672,842,102,1127.49,3576.72,73,Retención,Ana García</t>
  </si>
  <si>
    <t>2025-04-06,CMP-011,Paid Social,España,Desktop,149238,3909,479,5288.3,13907.99,269,Conversión,Luis Martín</t>
  </si>
  <si>
    <t>2025-10-03,CMP-021,Display,Francia,Mobile,7179,345,28,57.28,3805.99,23,Retención,Laura Pérez</t>
  </si>
  <si>
    <t>2025-09-28,CMP-016,Organic Social,España,Desktop,145285,9434,268,5133.46,18332.81,129,Retención,Luis Martín</t>
  </si>
  <si>
    <t>2025-02-05,CMP-013,Affiliate,España,Desktop,107252,2414,272,3505.07,35706.0,192,Adquisición,Luis Martín</t>
  </si>
  <si>
    <t>2025-08-06,CMP-014,Paid Social,España,DESKTOP,58840,485,13,425.56,1537.81,7,Retención,Laura Pérez</t>
  </si>
  <si>
    <t>2025-10-11,CMP-020,Affiliate,Italia,Tablet,118665,3137,260,1348.47,26446.23,186,Conversión,Laura Pérez</t>
  </si>
  <si>
    <t>2025-06-20,CMP-027,Email, España ,Desktop,4363,84,1,79.75,71.88,0,Adquisición,Marta López</t>
  </si>
  <si>
    <t>2025-03-24,CMP-022,Paid Social,España,Mobile,3454,92,4,162.02,431.58,2,Retención,Carlos Ruiz</t>
  </si>
  <si>
    <t>2025-04-01,CMP-004,Affiliate,Portugal,Desktop,12402,919,106,301.26,15680.68,55,Adquisición,Laura Pérez</t>
  </si>
  <si>
    <t>2025-09-19,CMP-001,Email,España,Desktop,72807,5574,118,6156.75,21779.55,93,Conversión,Marta López</t>
  </si>
  <si>
    <t>2025-05-07,CMP-012,Organic Social,España,Desktop,151759,3242,45,3986.26,6754.16,21,Retención,Luis Martín</t>
  </si>
  <si>
    <t>2025-04-17,CMP-002,Display,Francia,Desktop,4855,95,7,121.78,1283.22,4,Conversión,Ana García</t>
  </si>
  <si>
    <t>2025-03-01,CMP-014,Organic Social,Francia,Desktop,50699,1473,50,3083.9,2983.83,40,Reconocimiento,Marta López</t>
  </si>
  <si>
    <t>2025-08-14,CMP-014,Paid Social,España,Tablet,121666,3931,302,6983.02,9569.41,147,Adquisición,Laura Pérez</t>
  </si>
  <si>
    <t>2025-06-03,CMP-010,Affiliate,España,Mobile,139061,8846,952,2056.54,120820.71,653,Conversión,Ana García</t>
  </si>
  <si>
    <t>2025-10-14,CMP-004,Email,España,Mobile,37754,629,5,233.22,734.19,4,Retención,Ana García</t>
  </si>
  <si>
    <t>2025-07-06,CMP-018,Paid Social,Italia,Mobile,55877,4902,466,3259.6,36907.08,243,Conversión,Luis Martín</t>
  </si>
  <si>
    <t>2025-03-04,CMP-012,Email,España,Mobile,90163,4268,443,7429.3,31552.81,231,Conversión,Laura Pérez</t>
  </si>
  <si>
    <t>2025-09-29,CMP-021,Paid Social,Portugal,Mobile,8746,581,9,777.55,1248.27,4,Adquisición,Laura Pérez</t>
  </si>
  <si>
    <t>2025-03-04,CMP-013,Paid Search,España,Desktop,33293,553,74,465.04,11335.61,43,Adquisición,Carlos Ruiz</t>
  </si>
  <si>
    <t>2025-11-22,CMP-029,Affiliate,España,Desktop,88575,3863,144,5128.53,14704.61,84,Conversión,Luis Martín</t>
  </si>
  <si>
    <t>2025-01-23,CMP-013,Display,España,DESKTOP,67641,5862,41,1462.11,8431.95,27,Conversión,Laura Pérez</t>
  </si>
  <si>
    <t>2025-04-16,CMP-007,Affiliate,España,Desktop,172623,10575,759,7207.13,117323.77,468,Conversión,Laura Pérez</t>
  </si>
  <si>
    <t>2025-08-05,CMP-022,Paid Social,Francia,Mobile,18518,1160,158,689.01,3396.64,101,Retención,Ana García</t>
  </si>
  <si>
    <t>2025-08-19,CMP-010,Organic Social,España,Mobile,130067,10650,1025,4595.96,137379.3,680,Conversión,Carlos Ruiz</t>
  </si>
  <si>
    <t>2025-01-15,CMP-020,Organic Social,España,Tablet,177703,14067,1465,13486.04,126597.44,1181,Retención,Carlos Ruiz</t>
  </si>
  <si>
    <t>2025-05-11,CMP-005,Email,México,Mobile,68139,2369,258,4436.49,49978.66,219,Adquisición,Ana García</t>
  </si>
  <si>
    <t>2025-10-17,CMP-013,Display,Portugal,Mobile,164017,4996,170,6449.46,16638.35,78,Conversión,Luis Martín</t>
  </si>
  <si>
    <t>2025-06-14,CMP-007,Paid Social,España,Desktop,124594,4746,299,5268.96,54344.96,205,Retención,Luis Martín</t>
  </si>
  <si>
    <t>2025-01-21,CMP-002,Paid Search,Francia,Desktop,156965,5806,73,3091.91,6415.7,33,Reconocimiento,Carlos Ruiz</t>
  </si>
  <si>
    <t>2025-10-04,CMP-004,Paid Search,Portugal,DESKTOP,166082,14573,1163,25999.78,132734.29,846,Adquisición,Marta López</t>
  </si>
  <si>
    <t>2025-10-01,CMP-014,Organic Social,España,Desktop,140686,9087,875,3201.94,92960.03,628,Adquisición,Ana García</t>
  </si>
  <si>
    <t>2025-07-27,CMP-023,Affiliate,España,Desktop,39458,656,84,91.49,3652.61,50,Adquisición,Luis Martín</t>
  </si>
  <si>
    <t>2025-10-24,CMP-027,Display,Portugal,Mobile,94072,8240,501,6995.63,63029.34,449,Adquisición,Ana García</t>
  </si>
  <si>
    <t>2025-01-09,CMP-002,Paid Social,España,Desktop,29356,2424,259,4720.26,35486.42,177,Conversión,Laura Pérez</t>
  </si>
  <si>
    <t>2025-06-04,CMP-027,Email,España,Desktop,107522,1399,66,1584.04,1659.05,44,Reconocimiento,Ana García</t>
  </si>
  <si>
    <t>2025-08-27,CMP-026,Email,Portugal,Tablet,1648,60,4,81.4,442.76,2,Adquisición,Luis Martín</t>
  </si>
  <si>
    <t>2025-02-04,CMP-008,Affiliate,Portugal,Desktop,22762,1042,103,160.85,13839.38,73,Reconocimiento,Laura Pérez</t>
  </si>
  <si>
    <t>2025-08-30,CMP-015,Display,Francia,Desktop,27522,1823,23,1850.65,4066.14,12,Adquisición,Carlos Ruiz</t>
  </si>
  <si>
    <t>2025-08-14,CMP-014,Organic Social,México,Desktop,60647,1677,133,796.35,24591.9,66,Adquisición,Luis Martín</t>
  </si>
  <si>
    <t>2025-05-25,CMP-022,Paid Search,España,Tablet,157640,8880,1156,8972.97,218433.0,997,Reconocimiento,Ana García</t>
  </si>
  <si>
    <t>2025-06-08,CMP-029,Affiliate,España,Desktop,106770,6364,596,4939.36,81568.1,444,Adquisición,Marta López</t>
  </si>
  <si>
    <t>2025-01-03,CMP-019,Paid Social, Francia ,Mobile,98572,1369,23,1314.29,3325.16,16,Adquisición,Ana García</t>
  </si>
  <si>
    <t>2025-05-12,CMP-008,Email,Portugal,Desktop,68029,4233,497,4017.98,39941.26,324,Retención,Ana García</t>
  </si>
  <si>
    <t>2025-08-30,CMP-025,Display,Francia,Desktop,118994,850,76,556.84,11715.58,56,Reconocimiento,Luis Martín</t>
  </si>
  <si>
    <t>2025-07-18,CMP-011,Email,España,Mobile,80926,5003,106,9907.75,22196.35,82,Conversión,Laura Pérez</t>
  </si>
  <si>
    <t>2025-08-19,CMP-025,Display,Portugal,Desktop,132767,8237,660,6670.74,14103.52,532,Reconocimiento,Laura Pérez</t>
  </si>
  <si>
    <t>2025-09-01,CMP-005,Affiliate,México,Mobile,18632,566,25,1037.67,5288.09,11,Reconocimiento,Ana García</t>
  </si>
  <si>
    <t>2025-02-17,CMP-024,Paid Search,Italia,Mobile,103207,4973,435,8940.83,28887.26,290,Reconocimiento,Laura Pérez</t>
  </si>
  <si>
    <t>2025-09-24,CMP-012,Paid Social,España,Desktop,104825,7224,390,11911.22,33359.67,332,Adquisición,Carlos Ruiz</t>
  </si>
  <si>
    <t>2025-02-24,CMP-025,Paid Search,España,Desktop,86641,7611,497,2241.98,73378.43,368,Conversión,Luis Martín</t>
  </si>
  <si>
    <t>2025-05-11,CMP-030,Paid Social, Italia ,Desktop,100000,4421,473,5556.08,26106.41,353,Reconocimiento,Laura Pérez</t>
  </si>
  <si>
    <t>2025-06-23,CMP-025,Paid Search,España,Mobile,98320,3901,103,5049.18,3932.46,82,Adquisición,Carlos Ruiz</t>
  </si>
  <si>
    <t>2025-07-05,CMP-001,Display,,Mobile,29691,697,14,942.94,1909.56,7,Reconocimiento,Laura Pérez</t>
  </si>
  <si>
    <t>2025-02-22,CMP-029,Affiliate,España,Desktop,137395,5256,55,5591.55,2820.81,36,Retención,Laura Pérez</t>
  </si>
  <si>
    <t>2025-10-25,CMP-002,Paid Social,España,Tablet,93028,2974,272,3578.64,26107.44,235,Adquisición,Ana García</t>
  </si>
  <si>
    <t>2025-06-20,CMP-010,Display,Francia,Mobile,88025,1193,142,1419.25,4393.0,113,Adquisición,Carlos Ruiz</t>
  </si>
  <si>
    <t>2025-02-06,CMP-006,Display,España,Mobile,3993,40,1,33.9,71.09,0,Retención,Laura Pérez</t>
  </si>
  <si>
    <t>2025-03-23,CMP-008,Paid Social,México,Mobile,53435,2306,95,1511.2,3878.02,57,Reconocimiento,Luis Martín</t>
  </si>
  <si>
    <t>2025-04-20,CMP-027,Paid Search,España,Desktop,103681,6792,593,8818.62,117559.63,335,Retención,Luis Martín</t>
  </si>
  <si>
    <t>2025-12-18,CMP-015,Affiliate,España,Mobile,137133,4780,584,1174.95,14588.16,391,Retención,Carlos Ruiz</t>
  </si>
  <si>
    <t>2025-10-12,CMP-026,Email,Portugal,Desktop,44533,787,92,1422.3,3210.39,72,Reconocimiento,Laura Pérez</t>
  </si>
  <si>
    <t>2025-11-18,CMP-011,Email,España,Desktop,65245,5501,626,11056.8,68534.56,342,Adquisición,Luis Martín</t>
  </si>
  <si>
    <t>2025-03-22,CMP-018,Affiliate,México,Desktop,150020,1137,122,1424.16,7450.9,100,Conversión,Luis Martín</t>
  </si>
  <si>
    <t>2025-11-19,CMP-023,Paid Search,Portugal,Desktop,56282,4190,552,5681.97,25182.82,347,Adquisición,Carlos Ruiz</t>
  </si>
  <si>
    <t>2025-11-10,CMP-029,Organic Social,Francia,Mobile,16226,383,41,464.21,2722.42,29,Adquisición,Ana García</t>
  </si>
  <si>
    <t>2025-12-14,CMP-026,Display,España,Desktop,144983,7917,1062,12398.31,203986.06,713,Retención,Marta López</t>
  </si>
  <si>
    <t>2025-04-24,CMP-004,Email,,Desktop,29813,2481,152,4984.74,28894.43,69,Adquisición,Luis Martín</t>
  </si>
  <si>
    <t>2025-04-27,CMP-011,Affiliate,España,Tablet,12716,880,75,484.18,1656.77,39,Conversión,Marta López</t>
  </si>
  <si>
    <t>2025-04-22,CMP-009,Affiliate,Italia,Tablet,48244,359,35,84.21,3302.56,27,Conversión,Luis Martín</t>
  </si>
  <si>
    <t>2025-09-02,CMP-019,Paid Search,España,Mobile,138924,3284,318,1529.57,62508.99,247,Retención,Marta López</t>
  </si>
  <si>
    <t>2025-02-15,CMP-015,Email,México,Desktop,50105,1587,18,1904.24,359.68,10,Reconocimiento,Luis Martín</t>
  </si>
  <si>
    <t>2025-06-17,CMP-027,Organic Social,México,Desktop,130793,2611,192,1907.04,27356.32,116,Retención,Luis Martín</t>
  </si>
  <si>
    <t>2025-04-11,CMP-029,Affiliate,España,Mobile,116439,2377,247,3456.41,29509.75,173,Retención,Ana García</t>
  </si>
  <si>
    <t>2025-10-05,CMP-023,Paid Search,España,Mobile,60737,3294,284,3087.95,21257.72,195,Adquisición,Marta López</t>
  </si>
  <si>
    <t>2025-10-14,CMP-010,Affiliate,Italia,Desktop,43828,499,51,737.74,7852.37,41,Reconocimiento,Luis Martín</t>
  </si>
  <si>
    <t>2025-04-07,CMP-022,Paid Social,España,Desktop,3144,77,0,135.29,0.0,0,Adquisición,Marta López</t>
  </si>
  <si>
    <t>2025-10-07,CMP-017,Paid Search,España,Mobile,109721,3385,233,2316.64,38486.13,151,Adquisición,Laura Pérez</t>
  </si>
  <si>
    <t>2025-12-14,CMP-017,Paid Social,México,Desktop,89894,6632,765,1540.4,68429.86,379,Reconocimiento,Marta López</t>
  </si>
  <si>
    <t>2025-11-27,CMP-026,Paid Social,México,Desktop,48189,1634,79,1261.92,4345.94,61,Reconocimiento,Carlos Ruiz</t>
  </si>
  <si>
    <t>2025-08-02,CMP-012,Affiliate,España,Desktop,51244,1628,64,1545.42,11725.95,43,Adquisición,Luis Martín</t>
  </si>
  <si>
    <t>2025-09-13,CMP-025,Affiliate,México,Mobile,152330,7552,839,7868.29,131502.68,705,Conversión,Laura Pérez</t>
  </si>
  <si>
    <t>2025-03-01,CMP-026,Paid Social,España,Mobile,58805,1384,171,1210.62,8101.63,131,Retención,Marta López</t>
  </si>
  <si>
    <t>2025-04-11,CMP-020, paid social ,España,Mobile,165179,9890,682,16078.17,107528.63,565,Adquisición,Ana García</t>
  </si>
  <si>
    <t>2025-12-25,CMP-029,Affiliate,España,Desktop,70351,2858,51,1127.9,3070.75,36,Reconocimiento,Carlos Ruiz</t>
  </si>
  <si>
    <t>2025-02-21,CMP-030,Paid Search,España,Mobile,109061,9496,188,5056.24,3275.14,125,Retención,Carlos Ruiz</t>
  </si>
  <si>
    <t>2025-04-17,CMP-019,Paid Search,México,Desktop,101902,5410,153,4598.78,16603.8,112,Conversión,Ana García</t>
  </si>
  <si>
    <t>2025-04-10,CMP-029,Organic Social,España,Desktop,77670,3197,235,1261.12,39932.94,139,Reconocimiento,Carlos Ruiz</t>
  </si>
  <si>
    <t>2025-04-21,CMP-007,Organic Social,Portugal,Tablet,97948,1018,56,1845.37,2897.75,45,Adquisición,Marta López</t>
  </si>
  <si>
    <t>2025-03-02,CMP-015,Affiliate,México,Mobile,148984,1135,105,1515.94,8810.09,74,Reconocimiento,Carlos Ruiz</t>
  </si>
  <si>
    <t>2025-09-17,CMP-021,Paid Search,España,Mobile,46190,401,6,582.38,1292.69,3,Adquisición,Ana García</t>
  </si>
  <si>
    <t>2025-07-13,CMP-007,Paid Search,Portugal,Mobile,170777,4518,341,9094.46,38128.98,214,Conversión,Luis Martín</t>
  </si>
  <si>
    <t>2025-11-10,CMP-010,Paid Social,Italia,Mobile,6232,422,12,408.58,1356.25,9,Adquisición,Ana García</t>
  </si>
  <si>
    <t>2025-03-16,CMP-030,Display,España,Desktop,160233,9433,323,7076.21,66985.68,273,Conversión,Carlos Ruiz</t>
  </si>
  <si>
    <t>2025-06-08,CMP-013,Paid Search,México,Desktop,12946,268,27,180.24,3075.64,22,Reconocimiento,Carlos Ruiz</t>
  </si>
  <si>
    <t>2025-07-03,CMP-001,Email,España,Desktop,153327,8364,1020,5428.53,121328.6,693,Retención,Marta López</t>
  </si>
  <si>
    <t>2025-08-17,CMP-011,Email,España,Tablet,90293,4786,135,9306.62,22431.64,115,Retención,Marta López</t>
  </si>
  <si>
    <t>2025-05-17,CMP-024,Display,España,Mobile,39108,390,50,237.92,4798.3,30,Adquisición,Luis Martín</t>
  </si>
  <si>
    <t>2025-08-14,CMP-004,Organic Social,México,Mobile,51148,3224,263,6414.06,24716.03,191,Reconocimiento,Laura Pérez</t>
  </si>
  <si>
    <t>2025-06-27,CMP-017,Paid Social,España,Mobile,19058,613,4,291.97,705.19,2,Conversión,Ana García</t>
  </si>
  <si>
    <t>2025-09-27,CMP-025,Affiliate,Francia,Tablet,12708,757,12,329.14,1913.44,9,Reconocimiento,Marta López</t>
  </si>
  <si>
    <t>2025-10-28,CMP-014,Email,México,Desktop,155927,13267,789,11858.97,18689.6,551,Adquisición,Marta López</t>
  </si>
  <si>
    <t>2025-01-04,CMP-024,Affiliate,México,Mobile,37910,1003,138,1350.23,11158.68,86,Retención,Laura Pérez</t>
  </si>
  <si>
    <t>2025-06-07,CMP-030,Paid Social,México,Desktop,179825,14838,600,17852.56,17469.78,426,Reconocimiento,Marta López</t>
  </si>
  <si>
    <t>2025-10-13,CMP-020,Display,España,Tablet,45683,2194,111,1579.47,13768.47,84,Retención,Ana García</t>
  </si>
  <si>
    <t>2025-12-30,CMP-022,Paid Search,España,Mobile,140397,12118,1530,14131.17,209873.6,1275,Reconocimiento,Luis Martín</t>
  </si>
  <si>
    <t>2025-01-01,CMP-021,Display,España,Mobile,86210,6305,382,5967.11,38115.39,307,Reconocimiento,Carlos Ruiz</t>
  </si>
  <si>
    <t>2025-10-10,CMP-006,Display,Francia,Mobile,73312,5571,333,3964.5,57216.34,217,Conversión,Marta López</t>
  </si>
  <si>
    <t>2025-09-26,CMP-014,Organic Social,México,Desktop,59498,2660,320,4543.14,30915.71,248,Reconocimiento,Luis Martín</t>
  </si>
  <si>
    <t>2025-05-24,CMP-013,Paid Search,Francia,Desktop,164120,6823,814,2517.8,108637.63,405,Retención,Luis Martín</t>
  </si>
  <si>
    <t>2025-01-22,CMP-011, email ,México,Desktop,142128,10568,1021,18019.88,38713.51,724,Retención,Carlos Ruiz</t>
  </si>
  <si>
    <t>2025-12-16,CMP-010,Organic Social,Portugal,Desktop,109966,3138,27,479.66,2545.06,13,Reconocimiento,Marta López</t>
  </si>
  <si>
    <t>2025-11-23,CMP-022,Display,España,Mobile,76750,1281,74,686.19,15437.98,47,Retención,Laura Pérez</t>
  </si>
  <si>
    <t>2025-12-29,CMP-015,Paid Social,España,Desktop,70389,5733,93,6849.53,7654.1,54,Reconocimiento,Luis Martín</t>
  </si>
  <si>
    <t>2025-01-14,CMP-015,Organic Social,Francia,Desktop,109765,7029,813,13419.36,148226.91,513,Retención,Ana García</t>
  </si>
  <si>
    <t>2025-04-24,CMP-013,Paid Search,Portugal,Desktop,37477,405,6,624.71,885.51,3,Retención,Ana García</t>
  </si>
  <si>
    <t>2025-12-07,CMP-015,Email,España,Desktop,116562,621,45,69.91,7351.7,20,Conversión,Ana García</t>
  </si>
  <si>
    <t>2025-10-05,CMP-018,Email,Italia,Desktop,138666,1973,248,4095.1,34064.93,155,Conversión,Luis Martín</t>
  </si>
  <si>
    <t>2025-07-31,CMP-016,Email,México,Mobile,62801,349,44,162.9,8526.78,31,Reconocimiento,Luis Martín</t>
  </si>
  <si>
    <t>2025-04-27,CMP-017,, Italia ,Desktop,47752,1936,264,1087.76,31600.35,237,Adquisición,Carlos Ruiz</t>
  </si>
  <si>
    <t>2025-01-18,CMP-029,Organic Social,España,Mobile,57300,1466,71,1091.8,6749.69,55,Adquisición,Laura Pérez</t>
  </si>
  <si>
    <t>2025-07-01,CMP-027,Email,España,Mobile,143790,8223,819,11984.24,40187.07,646,Reconocimiento,Marta López</t>
  </si>
  <si>
    <t>2025-05-21,CMP-025, paid social ,Portugal,Desktop,113661,6897,401,5828.71,30387.32,260,Reconocimiento,Laura Pérez</t>
  </si>
  <si>
    <t>2025-03-08,CMP-022,Display,Francia,Mobile,135731,3895,344,4658.23,16750.2,175,Adquisición,Ana García</t>
  </si>
  <si>
    <t>2025-02-25,CMP-020,Paid Search,México,Mobile,143003,2900,86,968.8,8100.0,60,Adquisición,Marta López</t>
  </si>
  <si>
    <t>2025-05-05,CMP-004,Organic Social,Francia,Desktop,23984,217,21,449.75,3256.86,16,Reconocimiento,Laura Pérez</t>
  </si>
  <si>
    <t>2025-10-05,CMP-009,Organic Social,España,Desktop,80289,5767,43,11205.21,4062.18,32,Reconocimiento,Marta López</t>
  </si>
  <si>
    <t>2025-12-01,CMP-003,Email,Francia,Desktop,25525,1952,272,3800.76,42615.06,127,Retención,Laura Pérez</t>
  </si>
  <si>
    <t>2025-12-11,CMP-021,Paid Search,Francia,Desktop,162914,11368,363,2530.78,23289.55,289,Retención,Laura Pérez</t>
  </si>
  <si>
    <t>2025-10-28,CMP-019,Paid Social,España,Mobile,69332,4558,76,6345.7,9773.16,61,Adquisición,Carlos Ruiz</t>
  </si>
  <si>
    <t>2025-07-21,CMP-017,Paid Social,España,Mobile,57137,2229,284,1124.78,39241.07,168,Retención,Luis Martín</t>
  </si>
  <si>
    <t>2025-12-16,CMP-006,Affiliate,Francia,Desktop,178438,14567,1255,7878.24,124885.36,955,Reconocimiento,Luis Martín</t>
  </si>
  <si>
    <t>2025-04-22,CMP-013, paid search ,Italia,Desktop,166207,2223,186,1244.13,10414.39,136,Retención,Laura Pérez</t>
  </si>
  <si>
    <t>2025-11-14,CMP-019,Email,Portugal,Mobile,146762,1614,132,2670.53,24522.73,107,Adquisición,Luis Martín</t>
  </si>
  <si>
    <t>2025-07-07,CMP-014,Display,España,Mobile,55933,2235,302,4579.27,46845.24,243,Reconocimiento,Ana García</t>
  </si>
  <si>
    <t>2025-12-08,CMP-012,Display,Francia,Mobile,37212,1278,56,389.28,8833.59,37,Retención,Carlos Ruiz</t>
  </si>
  <si>
    <t>2025-10-12,CMP-017,Paid Search,Portugal,Mobile,90185,6892,576,12331.64,51773.97,344,Retención,Ana García</t>
  </si>
  <si>
    <t>2025-11-30,CMP-027,Paid Social,Italia,Mobile,117714,1488,207,869.51,18199.39,179,Adquisición,Ana García</t>
  </si>
  <si>
    <t>2025-07-24,CMP-022,Affiliate,Italia,Mobile,143149,4780,227,5284.77,44097.48,118,Reconocimiento,Marta López</t>
  </si>
  <si>
    <t>2025-11-30,CMP-009,Email,Portugal,Tablet,89565,7513,43,3499.8,1033.31,37,Reconocimiento,Marta López</t>
  </si>
  <si>
    <t>2025-01-15,CMP-015,Display, México ,Mobile,95412,6296,513,9302.81,73987.03,271,Reconocimiento,Marta López</t>
  </si>
  <si>
    <t>2025-05-28,CMP-025,Email,,Desktop,43342,2365,270,3269.21,37673.25,205,Conversión,Luis Martín</t>
  </si>
  <si>
    <t>2025-05-06,CMP-007,Email,España,Mobile,26679,178,9,311.75,426.39,5,Conversión,Laura Pérez</t>
  </si>
  <si>
    <t>2025-06-25,CMP-007,Paid Search,España,Desktop,116177,2522,295,4670.24,41820.2,162,Adquisición,Ana García</t>
  </si>
  <si>
    <t>2025-06-01,CMP-009,Affiliate,México,Desktop,168668,11018,1144,6803.68,146828.16,605,Reconocimiento,Luis Martín</t>
  </si>
  <si>
    <t>2025-10-24,CMP-006,Organic Social,Italia,Mobile,162159,5588,139,8148.76,17106.45,83,Retención,Ana García</t>
  </si>
  <si>
    <t>2025-08-17,CMP-021,Paid Social,Italia,Desktop,89788,2757,229,1157.6,22914.2,202,Retención,Carlos Ruiz</t>
  </si>
  <si>
    <t>2025-03-16,CMP-014,Paid Social,México,Desktop,95984,1137,113,761.41,5484.78,95,Conversión,Marta López</t>
  </si>
  <si>
    <t>2025-03-10,CMP-017,Display,México,Desktop,86571,2063,247,1379.35,31659.45,215,Adquisición,Marta López</t>
  </si>
  <si>
    <t>2025-01-30,CMP-001,Display,España,Tablet,49187,3064,138,1515.08,15808.3,74,Retención,Ana García</t>
  </si>
  <si>
    <t>2025-02-09,CMP-012,Paid Search,España,Desktop,127219,3424,129,5226.33,26534.76,101,Adquisición,Luis Martín</t>
  </si>
  <si>
    <t>2025-03-04,CMP-005,Paid Search,Portugal,Mobile,120016,708,12,556.61,2274.87,8,Adquisición,Ana García</t>
  </si>
  <si>
    <t>2025-10-08,CMP-017,Paid Social,Francia,Mobile,155418,2491,218,2322.06,12510.67,154,Reconocimiento,Marta López</t>
  </si>
  <si>
    <t>2025-01-23,CMP-007,Paid Social,España,Mobile,62741,354,27,382.83,5473.73,21,Conversión,Laura Pérez</t>
  </si>
  <si>
    <t>2025-02-10,CMP-002,Email,Francia,Mobile,114767,4059,36,5186.1,6674.22,16,Reconocimiento,Marta López</t>
  </si>
  <si>
    <t>2025-10-13,CMP-005,Email,Francia,Mobile,46522,3268,152,2733.63,20584.24,123,Conversión,Laura Pérez</t>
  </si>
  <si>
    <t>2025-02-10,CMP-012,Paid Social,,Desktop,90182,6723,525,12012.57,104939.41,357,Conversión,Luis Martín</t>
  </si>
  <si>
    <t>2025-05-12,CMP-027,Email,España,Desktop,78724,6219,847,1816.4,173348.56,670,Adquisición,Carlos Ruiz</t>
  </si>
  <si>
    <t>2025-01-11,CMP-016,Paid Search,España,Mobile,84247,5908,351,7686.04,12703.92,292,Conversión,Carlos Ruiz</t>
  </si>
  <si>
    <t>2025-10-18,CMP-025,Affiliate, Portugal ,Mobile,103510,7103,628,12062.88,118018.57,307,Adquisición,Luis Martín</t>
  </si>
  <si>
    <t>2025-12-01,CMP-009,Email,España,Mobile,170230,10698,95,2647.86,18471.66,64,Reconocimiento,Carlos Ruiz</t>
  </si>
  <si>
    <t>2025-05-28,CMP-011,Affiliate,Italia,Desktop,134095,10672,1120,16559.05,151623.4,916,Adquisición,Carlos Ruiz</t>
  </si>
  <si>
    <t>2025-09-29,CMP-018,Paid Social,,Mobile,138122,9846,657,20352.79,73294.76,301,Retención,Carlos Ruiz</t>
  </si>
  <si>
    <t>2025-05-13,CMP-017,Email,España,Mobile,23293,262,23,195.1,4500.66,14,Reconocimiento,Laura Pérez</t>
  </si>
  <si>
    <t>2025-07-18,CMP-014,Paid Search,España,Desktop,38237,1052,140,1992.89,4146.05,113,Reconocimiento,Laura Pérez</t>
  </si>
  <si>
    <t>2025-11-12,CMP-014,Display,España,DESKTOP,128158,7202,271,4596.46,48387.87,154,Conversión,Ana García</t>
  </si>
  <si>
    <t>2025-12-13,CMP-001,Paid Social,España,Tablet,16855,170,9,176.75,1676.99,7,Retención,Laura Pérez</t>
  </si>
  <si>
    <t>2025-03-30,CMP-009,Email,Italia,Mobile,90343,3206,425,2181.39,38125.99,285,Adquisición,Ana García</t>
  </si>
  <si>
    <t>2025-04-06,CMP-009,Display,Portugal,Desktop,34909,268,9,315.09,1952.15,5,Adquisición,Ana García</t>
  </si>
  <si>
    <t>2025-03-23,CMP-030,Email,España,Mobile,103546,977,99,1972.26,6546.39,86,Retención,Carlos Ruiz</t>
  </si>
  <si>
    <t>2025-05-07,CMP-005,Email,Francia,Desktop,107534,3414,259,-4327.81,29367.44,188,Retención,Marta López</t>
  </si>
  <si>
    <t>2025-01-17,CMP-027,Email,Francia,Mobile,68617,1122,97,889.33,4954.77,54,Conversión,Carlos Ruiz</t>
  </si>
  <si>
    <t>2025-04-15,CMP-017,Email,España,MOBILE,147868,9431,1298,17000.35,45052.76,792,Conversión,Marta López</t>
  </si>
  <si>
    <t>2025-01-09,CMP-028,Paid Social,Italia,Desktop,103983,8707,713,8536.56,150770.19,532,Retención,Carlos Ruiz</t>
  </si>
  <si>
    <t>2025-11-10,CMP-025,Paid Social,España,Mobile,138489,9738,720,9876.3,121819.86,507,Adquisición,Ana García</t>
  </si>
  <si>
    <t>2025-04-10,CMP-027,Organic Social,España,Desktop,137951,6093,823,11964.11,56842.24,423,Adquisición,Ana García</t>
  </si>
  <si>
    <t>2025-05-01,CMP-013,Email,Francia,Desktop,159462,3564,29,1257.11,945.72,22,Conversión,Marta López</t>
  </si>
  <si>
    <t>2025-12-31,CMP-021,Display,España,Mobile,158017,9352,73,17338.74,15116.08,34,Reconocimiento,Luis Martín</t>
  </si>
  <si>
    <t>2025-11-30,CMP-002,Organic Social,España,Tablet,31969,606,35,745.62,3954.22,19,Retención,Carlos Ruiz</t>
  </si>
  <si>
    <t>2025-11-22,CMP-005,Paid Search,México,Tablet,108811,3297,133,5385.86,3993.13,109,Reconocimiento,Carlos Ruiz</t>
  </si>
  <si>
    <t>2025-07-25,CMP-012,Display,Francia,Desktop,174982,5102,27,7234.6,2276.87,14,Retención,Ana García</t>
  </si>
  <si>
    <t>2025-10-06,CMP-010,Paid Social,Francia,Desktop,85980,6196,529,6870.76,21937.59,394,Retención,Laura Pérez</t>
  </si>
  <si>
    <t>2025-01-09,CMP-006,Organic Social,España,Mobile,131260,7604,247,15793.87,39228.88,141,Retención,Ana García</t>
  </si>
  <si>
    <t>2025-01-08,CMP-007,Display,México,Mobile,146805,3775,356,1379.74,57735.37,184,Conversión,Carlos Ruiz</t>
  </si>
  <si>
    <t>2025-12-07,CMP-018,Organic Social,Portugal,Mobile,26291,1134,110,351.97,20155.89,56,Conversión,Luis Martín</t>
  </si>
  <si>
    <t>2025-10-23,CMP-014,Display,España,Desktop,35678,1657,220,2495.14,24232.99,126,Reconocimiento,Ana García</t>
  </si>
  <si>
    <t>2025-11-03,CMP-028,Paid Social,España,Mobile,135977,6918,483,8393.97,33461.63,360,Adquisición,Luis Martín</t>
  </si>
  <si>
    <t>2025-02-02,CMP-009,Display,España,Desktop,26955,945,122,1383.05,18597.46,105,Retención,Luis Martín</t>
  </si>
  <si>
    <t>2025-06-04,CMP-005,Organic Social,España,Desktop,165607,2819,113,2051.7,6591.24,87,Reconocimiento,Luis Martín</t>
  </si>
  <si>
    <t>2025-05-17,CMP-011,Email,España,Tablet,37170,1498,105,1865.23,17967.7,58,Adquisición,Marta López</t>
  </si>
  <si>
    <t>2025-10-24,CMP-007,Paid Social,España,Desktop,69035,5031,181,6326.89,32771.72,161,Retención,Carlos Ruiz</t>
  </si>
  <si>
    <t>2025-08-03,CMP-009,Affiliate,España,Mobile,168325,11484,603,12467.22,13973.87,434,Retención,Carlos Ruiz</t>
  </si>
  <si>
    <t>2025-11-28,CMP-003,Organic Social,España,Mobile,10883,222,20,261.37,2042.82,14,Retención,Marta López</t>
  </si>
  <si>
    <t>2025-12-22,CMP-011,Paid Search,España,Desktop,87923,7811,465,4694.37,32975.77,291,Retención,Luis Martín</t>
  </si>
  <si>
    <t>2025-01-18,CMP-004,Organic Social,Francia,Desktop,1730,133,7,198.12,118.68,5,Retención,Ana García</t>
  </si>
  <si>
    <t>2025-04-18,CMP-028,Organic Social,México,Mobile,105584,2035,37,3720.36,5032.73,19,Retención,Marta López</t>
  </si>
  <si>
    <t>2025-10-03,CMP-005,Paid Search,Francia,Desktop,60690,2237,256,2978.87,9714.4,129,Retención,Carlos Ruiz</t>
  </si>
  <si>
    <t>2025-04-07,CMP-014,Display,España,Mobile,175136,4361,402,7310.75,18613.18,199,Adquisición,Marta López</t>
  </si>
  <si>
    <t>2025-02-21,CMP-026,Paid Social,México,Tablet,72634,2875,400,3867.32,61763.35,359,Retención,Laura Pérez</t>
  </si>
  <si>
    <t>2025-06-09,CMP-030,Display,España,Desktop,173765,3097,75,1191.79,9241.54,37,Retención,Ana García</t>
  </si>
  <si>
    <t>2025-12-04,CMP-020,Email,España,Desktop,88725,3231,389,4450.29,11851.28,325,Adquisición,Ana García</t>
  </si>
  <si>
    <t>2025-05-26,CMP-029,Display,España,Tablet,79966,4883,306,3623.82,18074.73,170,Conversión,Laura Pérez</t>
  </si>
  <si>
    <t>2025-05-03,CMP-022,Display,España,Desktop,174554,4349,4398,4329.24,22886.9,525,Retención,Carlos Ruiz</t>
  </si>
  <si>
    <t>2025-01-03,CMP-010,Paid Social,Italia,Tablet,161812,6760,625,4639.98,134146.43,459,Reconocimiento,Carlos Ruiz</t>
  </si>
  <si>
    <t>2025-11-11,CMP-023,Display,México,Mobile,8295,50,3,60.92,653.85,2,Reconocimiento,Carlos Ruiz</t>
  </si>
  <si>
    <t>2025-10-12,CMP-003,Affiliate,España,Desktop,101954,4634,201,7108.91,34025.82,99,Conversión,Luis Martín</t>
  </si>
  <si>
    <t>2025-06-09,CMP-017,Email,Portugal,Mobile,103784,810,110,1618.36,7423.06,77,Retención,Ana García</t>
  </si>
  <si>
    <t>2025-05-03,CMP-014,Paid Social,Portugal,Mobile,17455,760,19,978.22,2444.3,15,Retención,Marta López</t>
  </si>
  <si>
    <t>2025-06-18,CMP-004,Organic Social,Portugal,Mobile,160474,13911,580,7292.51,122110.79,289,Reconocimiento,Marta López</t>
  </si>
  <si>
    <t>2025-04-20,CMP-015,Paid Search,España,Mobile,44965,3162,116,3476.19,3519.3,95,Retención,Laura Pérez</t>
  </si>
  <si>
    <t>2025-03-24,CMP-003,Paid Search,Italia,Desktop,62735,5457,580,5012.11,41920.5,507,Adquisición,Luis Martín</t>
  </si>
  <si>
    <t>2025-03-06,CMP-022,Paid Search,España,Desktop,144295,10429,689,19990.29,147345.36,547,Retención,Carlos Ruiz</t>
  </si>
  <si>
    <t>2025-09-02,CMP-019,Paid Search,España,Mobile,104663,3852,482,7692.25,74343.85,302,Conversión,Luis Martín</t>
  </si>
  <si>
    <t>2025-12-29,CMP-003,Paid Social,España,Tablet,123604,4616,86,7976.94,15889.32,54,Conversión,Laura Pérez</t>
  </si>
  <si>
    <t>2025-01-24,CMP-016,Organic Social,Francia,Mobile,63216,5180,138,1605.14,24336.84,97,Adquisición,Luis Martín</t>
  </si>
  <si>
    <t>2025-09-06,CMP-019,Email,España,Mobile,132567,826,36,362.75,6631.67,25,Conversión,Carlos Ruiz</t>
  </si>
  <si>
    <t>2025-07-24,CMP-009,Paid Social,Portugal,Mobile,172048,12622,446,7670.17,82355.15,224,Adquisición,Ana García</t>
  </si>
  <si>
    <t>2025-10-20,CMP-014,Display,España,Desktop,109858,4555,103,6968.21,11668.79,61,Conversión,Ana García</t>
  </si>
  <si>
    <t>2025-03-16,CMP-025,Affiliate,México,Mobile,141071,685,47,542.76,3499.37,31,Adquisición,Ana García</t>
  </si>
  <si>
    <t>2025-12-26,CMP-005,Email,México,Desktop,164565,7866,358,10028.65,69429.11,214,Reconocimiento,Luis Martín</t>
  </si>
  <si>
    <t>2025-09-14,CMP-022,Paid Search,Francia,Desktop,87155,4244,297,3582.3,33208.43,218,Reconocimiento,Marta López</t>
  </si>
  <si>
    <t>2025-07-07,CMP-002,Organic Social,Francia,Mobile,57341,3351,19,4106.53,3053.74,15,Retención,Ana García</t>
  </si>
  <si>
    <t>2025-06-01,cmp-029,Paid Social,Francia,Desktop,105464,105822,378,1877.42,74821.45,299,Conversión,Marta López</t>
  </si>
  <si>
    <t>2025-07-19,cmp-001,Display,Portugal,Desktop,57451,2814,167,4567.8,9772.56,132,Reconocimiento,Carlos Ruiz</t>
  </si>
  <si>
    <t>2025-08-01,CMP-006,Email,México,Mobile,52333,4355,322,1058.74,40387.75,273,Adquisición,Marta López</t>
  </si>
  <si>
    <t>2025-12-06,CMP-002,Email,España,Desktop,33376,2244,239,2193.23,20193.93,194,Conversión,Ana García</t>
  </si>
  <si>
    <t>2025-07-17,CMP-019,Affiliate,México,Desktop,150401,1049,58,223.74,11625.8,33,Adquisición,Ana García</t>
  </si>
  <si>
    <t>2025-01-29,CMP-028,Affiliate,Francia,Desktop,167137,13537,1281,15796.99,57997.36,896,Reconocimiento,Carlos Ruiz</t>
  </si>
  <si>
    <t>2025-09-08,CMP-024,Organic Social,Francia,Desktop,168137,13438,682,15331.58,77399.08,596,Reconocimiento,Carlos Ruiz</t>
  </si>
  <si>
    <t>2025-08-05,CMP-023,Paid Social,Italia,Tablet,32703,1953,160,3285.02,3579.6,102,Conversión,Laura Pérez</t>
  </si>
  <si>
    <t>2025-12-26,CMP-024,Display,Portugal,Desktop,49015,4409,392,1202.16,15116.88,178,Conversión,Ana García</t>
  </si>
  <si>
    <t>2025-02-28,CMP-027,Organic Social,España,Desktop,21520,1699,187,2157.48,32714.11,148,Conversión,Luis Martín</t>
  </si>
  <si>
    <t>2025-03-01,CMP-013,Organic Social,México,Desktop,67163,5572,658,6390.58,72534.09,529,Reconocimiento,Marta López</t>
  </si>
  <si>
    <t>2025-06-03,CMP-021,Email,Francia,Mobile,175538,6234,374,12125.44,15140.83,269,Conversión,Laura Pérez</t>
  </si>
  <si>
    <t>2025-08-08,CMP-029,Email,Francia,Mobile,12581,248,3,344.53,512.78,2,Retención,Luis Martín</t>
  </si>
  <si>
    <t>2025-11-25,CMP-015,Display,España,Desktop,127330,9608,1307,3866.57,117468.13,672,Adquisición,Ana García</t>
  </si>
  <si>
    <t>2025-02-06,CMP-013,Email,España,Mobile,50484,2739,168,893.63,15349.97,85,Adquisición,Luis Martín</t>
  </si>
  <si>
    <t>2025-10-08,CMP-008,Paid Social,Francia,Desktop,122042,1700,55,953.51,2839.69,43,Retención,Ana García</t>
  </si>
  <si>
    <t>2025-08-10,CMP-017,Organic Social,México,Desktop,41714,2447,192,2109.44,34702.43,127,Reconocimiento,Laura Pérez</t>
  </si>
  <si>
    <t>2025-06-04,CMP-028,Organic Social,Italia,Mobile,37969,499,44,311.65,5166.94,32,Reconocimiento,Ana García</t>
  </si>
  <si>
    <t>2025-10-14,CMP-006,Organic Social,Francia,Mobile,43647,1660,221,546.53,22738.5,172,Conversión,Carlos Ruiz</t>
  </si>
  <si>
    <t>2025-12-16,CMP-022,Affiliate,España,Desktop,60005,3694,27,937.12,5669.27,19,Reconocimiento,Marta López</t>
  </si>
  <si>
    <t>2025-04-24,CMP-028,Organic Social,Italia,Desktop,25943,357,42,747.3,3798.21,30,Adquisición,Luis Martín</t>
  </si>
  <si>
    <t>2025-11-27,CMP-015,Display,México,Desktop,131623,1844,60,903.93,9082.85,28,Reconocimiento,Laura Pérez</t>
  </si>
  <si>
    <t>2025-11-30,CMP-011,Affiliate,Portugal,Mobile,109040,4274,405,1544.42,55818.91,234,Reconocimiento,Luis Martín</t>
  </si>
  <si>
    <t>2025-08-05,CMP-012,Paid Search,Italia,Desktop,81695,5685,535,1128.0,91321.15,468,Adquisición,Laura Pérez</t>
  </si>
  <si>
    <t>2025-10-09,CMP-019,Affiliate,Italia,Desktop,22381,497,8,962.52,154.76,3,Retención,Laura Pérez</t>
  </si>
  <si>
    <t>2025-02-13,CMP-025,Paid Social,Italia,Desktop,26073,2063,147,902.39,14102.13,112,Retención,Marta López</t>
  </si>
  <si>
    <t>2025-05-26,CMP-011,Email,España,Mobile,117657,8142,795,15246.53,161847.74,569,Retención,Ana García</t>
  </si>
  <si>
    <t>2025-12-20,CMP-016,Organic Social,Italia,Desktop,19155,1553,42,2419.85,1988.98,31,Conversión,Luis Martín</t>
  </si>
  <si>
    <t>2025-07-25,cmp-023,Paid Social,Italia,Mobile,159728,13641,450,20262.9,84589.48,258,Adquisición,Carlos Ruiz</t>
  </si>
  <si>
    <t>2025-12-20,CMP-030,Display,España,Mobile,38721,202,7,180.96,937.59,6,Retención,Marta López</t>
  </si>
  <si>
    <t>2025-10-01,CMP-012,Email,México,Desktop,69623,3588,406,1979.26,10504.81,342,Conversión,Marta López</t>
  </si>
  <si>
    <t>2025-12-13,CMP-023,Affiliate,Francia,Mobile,108087,9588,553,18917.71,115610.31,321,Retención,Laura Pérez</t>
  </si>
  <si>
    <t>2025-10-10,CMP-023,Display,Portugal,Mobile,101507,4375,467,2931.49,37273.49,416,Retención,Luis Martín</t>
  </si>
  <si>
    <t>2025-06-09,CMP-027,Paid Search,España,Mobile,137784,1909,21,2987.78,4568.14,11,Retención,Laura Pérez</t>
  </si>
  <si>
    <t>2025-05-01,CMP-022,Paid Social,España,Desktop,122753,9771,692,14537.3,131196.4,429,Retención,Marta López</t>
  </si>
  <si>
    <t>2025-06-10,CMP-013,Display,España,TABLET,137750,9704,167,12793.63,32224.46,94,Conversión,Laura Pérez</t>
  </si>
  <si>
    <t>2025-05-07,CMP-029,Display,Portugal,Mobile,31845,2333,63,704.27,2239.48,43,Adquisición,Luis Martín</t>
  </si>
  <si>
    <t>2025-07-27,CMP-027,Paid Social,México,Desktop,90775,1355,40,2626.64,1207.93,21,Reconocimiento,Laura Pérez</t>
  </si>
  <si>
    <t>2025-09-01,CMP-023, display ,España,Tablet,1107,44,3,,525.47,1,Reconocimiento,Laura Pérez</t>
  </si>
  <si>
    <t>2025-05-12,CMP-028,Email,España,Desktop,90241,5367,697,11216.52,53170.72,616,Adquisición,Laura Pérez</t>
  </si>
  <si>
    <t>2025-02-09,CMP-011,Email,Portugal,Desktop,20365,1124,96,256.46,9825.47,50,Conversión,Marta López</t>
  </si>
  <si>
    <t>2025-01-20,CMP-019,Paid Search,México,Desktop,121456,2581,197,4160.52,43205.44,166,Conversión,Carlos Ruiz</t>
  </si>
  <si>
    <t>2025-04-24,CMP-005,Display,España,Mobile,98915,3255,185,1878.5,38992.94,155,Reconocimiento,Ana García</t>
  </si>
  <si>
    <t>2025-07-19,CMP-026,Organic Social,México,Mobile,167922,10840,1053,10855.87,156224.57,528,Conversión,Ana García</t>
  </si>
  <si>
    <t>2025-02-26,CMP-002,Display,España,Mobile,147670,11109,293,12040.77,5299.35,151,Adquisición,Luis Martín</t>
  </si>
  <si>
    <t>2025-04-05,CMP-016,Email,España,Desktop,70321,4372,359,467.89,66108.6,180,Conversión,Carlos Ruiz</t>
  </si>
  <si>
    <t>2025-02-07,CMP-027,Email,Francia,Desktop,113620,4875,268,6289.02,12077.01,189,Reconocimiento,Laura Pérez</t>
  </si>
  <si>
    <t>2025-08-06,CMP-011,Paid Social,España,Mobile,29752,1450,45,384.26,9049.51,31,Retención,Ana García</t>
  </si>
  <si>
    <t>2025-09-04,CMP-018,Organic Social,España,Desktop,8125,352,27,639.34,906.81,24,Retención,Marta López</t>
  </si>
  <si>
    <t>2025-06-04,CMP-010,Paid Search,España,Mobile,88571,4924,543,1933.38,58873.8,440,Reconocimiento,Marta López</t>
  </si>
  <si>
    <t>2025-03-24,CMP-030,Organic Social,España,Tablet,8105,123,14,111.25,1557.09,11,Reconocimiento,Carlos Ruiz</t>
  </si>
  <si>
    <t>2025-01-26,CMP-011,Display,Portugal,Mobile,153799,13478,1011,7598.32,137373.91,808,Conversión,Marta López</t>
  </si>
  <si>
    <t>2025-01-16,CMP-019,Organic Social,España,Mobile,157079,5127,531,8414.0,34222.47,321,Adquisición,Marta López</t>
  </si>
  <si>
    <t>2025-08-30,CMP-010,Email,México,Mobile,12603,316,10,589.63,2172.7,6,Retención,Marta López</t>
  </si>
  <si>
    <t>2025-11-29,CMP-022,Paid Social,Italia,Desktop,30947,1116,47,2018.09,7571.93,40,Conversión,Laura Pérez</t>
  </si>
  <si>
    <t>2025-04-18,CMP-021,Display,México,Desktop,131188,6918,750,13825.98,56164.53,345,Conversión,Carlos Ruiz</t>
  </si>
  <si>
    <t>2025-06-06,CMP-030,Paid Search,España,Mobile,50273,655,79,1309.61,5382.81,68,Reconocimiento,Luis Martín</t>
  </si>
  <si>
    <t>2025-05-11,CMP-022,Paid Social, España ,Desktop,154262,2825,390,2855.96,7112.68,188,Conversión,Laura Pérez</t>
  </si>
  <si>
    <t>2025-08-04,CMP-029,Organic Social,Portugal,Mobile,79781,4728,374,7506.15,81617.71,268,Retención,Luis Martín</t>
  </si>
  <si>
    <t>2025-08-05,CMP-012,Paid Social,España,Mobile,32930,961,67,1202.95,5692.84,44,Adquisición,Luis Martín</t>
  </si>
  <si>
    <t>2025-05-13,CMP-006,Paid Search,Portugal,Desktop,15642,1146,108,521.38,12405.33,59,Reconocimiento,Luis Martín</t>
  </si>
  <si>
    <t>2025-01-19,CMP-009,Display,Francia,Mobile,164543,1783,48,335.24,4381.36,36,Conversión,Luis Martín</t>
  </si>
  <si>
    <t>2025-08-13,CMP-012,Paid Search,Italia,Mobile,150527,6648,882,1778.87,132901.84,660,Reconocimiento,Ana García</t>
  </si>
  <si>
    <t>2025-12-15,CMP-004,Display,España,Desktop,102652,6331,741,7654.88,12865.93,396,Reconocimiento,Carlos Ruiz</t>
  </si>
  <si>
    <t>2025-09-09,CMP-024,Paid Social,España,Mobile,142149,5151,209,10034.25,3188.46,120,Adquisición,Luis Martín</t>
  </si>
  <si>
    <t>2025-12-20,CMP-018,Email,España,Desktop,52292,3312,360,3057.14,69437.99,238,Retención,Carlos Ruiz</t>
  </si>
  <si>
    <t>2025-12-22,CMP-016,Email,España,Mobile,123525,4416,443,9002.16,7346.83,271,Reconocimiento,Carlos Ruiz</t>
  </si>
  <si>
    <t>2025-01-20,CMP-001,Paid Search,Portugal,Mobile,6385,378,51,554.84,2938.27,24,Conversión,Laura Pérez</t>
  </si>
  <si>
    <t>2025-03-26,CMP-005,Affiliate,España,Mobile,130044,7319,386,13151.05,68396.33,304,Reconocimiento,Ana García</t>
  </si>
  <si>
    <t>2025-03-17,CMP-030,Email,México,Tablet,88209,398,49,539.1,8477.53,29,Retención,Luis Martín</t>
  </si>
  <si>
    <t>2025-10-02,CMP-007,Affiliate,España,Tablet,155618,11634,1171,16483.94,142358.87,668,Reconocimiento,Ana García</t>
  </si>
  <si>
    <t>2025-08-05,CMP-019,Paid Search,Francia,Desktop,130763,890,25,694.99,745.93,14,Reconocimiento,Luis Martín</t>
  </si>
  <si>
    <t>2025-02-26,CMP-026,Paid Social,México,Mobile,77734,4952,31,6671.24,2890.66,19,Reconocimiento,Luis Martín</t>
  </si>
  <si>
    <t>2025-08-01,CMP-009,Display,Francia,Mobile,147578,10590,573,12512.4,83779.9,411,Conversión,Carlos Ruiz</t>
  </si>
  <si>
    <t>2025-01-11,CMP-003,Paid Social,España,Desktop,156532,1322,161,2354.91,23218.41,122,Adquisición,Marta López</t>
  </si>
  <si>
    <t>2025-01-15,CMP-016,Affiliate,España,Mobile,103037,5721,686,10224.8,31502.94,428,Adquisición,Laura Pérez</t>
  </si>
  <si>
    <t>2025-11-30,CMP-020,Affiliate,Portugal,Desktop,120105,10302,299,1537.67,23534.49,228,Conversión,Ana García</t>
  </si>
  <si>
    <t>2025-08-29,CMP-005,Paid Search,España,Mobile,36498,2356,299,486.73,40535.91,231,Retención,Laura Pérez</t>
  </si>
  <si>
    <t>2025-07-07,CMP-013,Organic Social,,Mobile,169826,12317,344,16000.14,22173.88,226,Adquisición,Luis Martín</t>
  </si>
  <si>
    <t>2025-03-07,CMP-020,Display,Portugal,Desktop,31003,553,35,680.31,2094.81,22,Conversión,Ana García</t>
  </si>
  <si>
    <t>2025-09-01,CMP-008,Affiliate,España,Mobile,14291,1198,152,2139.21,19147.92,96,Adquisición,Laura Pérez</t>
  </si>
  <si>
    <t>2025-02-15,CMP-005,Email,Portugal,Desktop,71668,5069,594,7828.79,54460.88,309,Adquisición,Laura Pérez</t>
  </si>
  <si>
    <t>2025-07-15,CMP-008,Paid Search,Portugal,Mobile,47262,399,43,123.13,3262.63,30,Adquisición,Ana García</t>
  </si>
  <si>
    <t>2025-09-08,CMP-013,Email,Portugal,Desktop,103575,1136,82,2365.2,4606.62,45,Conversión,Luis Martín</t>
  </si>
  <si>
    <t>2025-08-02,CMP-006,Paid Search,Portugal,Mobile,141767,6496,657,1147.97,21812.31,573,Retención,Marta López</t>
  </si>
  <si>
    <t>2025-04-28,CMP-024,Display,Italia,Desktop,78313,1331,93,1476.85,11856.12,79,Adquisición,Carlos Ruiz</t>
  </si>
  <si>
    <t>2025-02-07,CMP-013,Paid Search,España,Mobile,97509,1056,109,197.82,6537.22,55,Adquisición,Marta López</t>
  </si>
  <si>
    <t>2025-04-23,CMP-022,Paid Search,Italia,Tablet,43260,1015,110,1803.86,7877.76,91,Conversión,Laura Pérez</t>
  </si>
  <si>
    <t>2025-08-20,CMP-026,Email,España,Desktop,105343,3588,250,2248.35,10991.46,167,Retención,Marta López</t>
  </si>
  <si>
    <t>2025-12-11,CMP-019,Organic Social,España,Desktop,59936,878,5,871.58,346.49,3,Adquisición,Laura Pérez</t>
  </si>
  <si>
    <t>2025-03-28,CMP-029,Paid Social,España,Mobile,14341,242,32,224.46,3504.1,15,Adquisición,Carlos Ruiz</t>
  </si>
  <si>
    <t>2025-07-30,CMP-009,Display,España,Desktop,95745,5589,779,10587.37,65434.22,623,Adquisición,Luis Martín</t>
  </si>
  <si>
    <t>2025-06-26,CMP-023,Organic Social,España,Desktop,100907,6795,406,7949.67,58762.21,201,Adquisición,Luis Martín</t>
  </si>
  <si>
    <t>2025-04-07,CMP-015,Affiliate,Francia,Desktop,61294,3468,317,1246.53,12563.6,234,Reconocimiento,Luis Martín</t>
  </si>
  <si>
    <t>2025-08-29,CMP-026,Paid Social,España,Mobile,137519,2555,240,1327.45,33367.16,115,Retención,Laura Pérez</t>
  </si>
  <si>
    <t>2025-03-03,CMP-007,Paid Social,Francia,Desktop,89898,4328,477,4689.42,25295.24,242,Retención,Luis Martín</t>
  </si>
  <si>
    <t>2025-03-01,CMP-007,Paid Social,Francia,Desktop,32732,2044,225,1603.67,33187.96,112,Reconocimiento,Laura Pérez</t>
  </si>
  <si>
    <t>2025-05-22,CMP-006,Organic Social,Francia,TABLET,115864,4552,279,4546.06,19995.35,199,Adquisición,Carlos Ruiz</t>
  </si>
  <si>
    <t>2025-09-26,CMP-002,Affiliate,Portugal,Desktop,65814,3778,521,2008.57,21391.54,310,Retención,Ana García</t>
  </si>
  <si>
    <t>2025-12-17,CMP-008,Affiliate,España,Mobile,177117,10686,912,18761.16,76201.42,531,Adquisición,Marta López</t>
  </si>
  <si>
    <t>2025-10-18,CMP-021,Organic Social,España,Mobile,30956,1616,112,1529.88,18220.28,71,Retención,Carlos Ruiz</t>
  </si>
  <si>
    <t>2025-03-03,CMP-008,Paid Social,Francia,Desktop,46440,257,270,209.65,1610.07,14,Adquisición,Ana García</t>
  </si>
  <si>
    <t>2025-12-28,CMP-025,Organic Social,Francia,Mobile,65148,5478,697,1304.84,59311.0,598,Adquisición,Luis Martín</t>
  </si>
  <si>
    <t>2025-06-24,CMP-008,Affiliate,México,DESKTOP,123366,3519,124,2945.05,23793.19,55,Reconocimiento,Ana García</t>
  </si>
  <si>
    <t>2025-01-15,CMP-018,Paid Social,España,Mobile,104439,8477,689,13753.4,33004.33,491,Retención,Marta López</t>
  </si>
  <si>
    <t>2025-09-17,CMP-030,Paid Social,España,Mobile,44892,2443,301,813.09,19562.76,254,Conversión,Laura Pérez</t>
  </si>
  <si>
    <t>2025-10-28,CMP-022,Paid Social,Portugal,Mobile,177937,3230,356,1618.3,34214.57,255,Adquisición,Marta López</t>
  </si>
  <si>
    <t>2025-10-27,CMP-003,Paid Social,España,Desktop,142148,2833,338,2789.32,61252.53,206,Adquisición,Ana García</t>
  </si>
  <si>
    <t>2025-10-26,CMP-008,Display,México,Desktop,121475,1959,73,3983.78,14765.1,48,Retención,Marta López</t>
  </si>
  <si>
    <t>2025-12-28,CMP-006,Paid Social,España,Mobile,91902,5068,154,4909.76,4848.04,109,Conversión,Ana García</t>
  </si>
  <si>
    <t>2025-03-18,CMP-019,Affiliate,México,Desktop,12214,515,62,611.52,11637.69,49,Conversión,Luis Martín</t>
  </si>
  <si>
    <t>2025-09-27,CMP-013,Paid Social,Francia,Desktop,121233,3134,289,1018.03,24867.32,190,Conversión,Marta López</t>
  </si>
  <si>
    <t>2025-12-30,CMP-028,Display,Francia,Mobile,49658,1904,70,3995.77,11925.35,62,Retención,Ana García</t>
  </si>
  <si>
    <t>2025-03-15,CMP-012,Display,Francia,Mobile,113579,4972,613,5914.33,47603.82,355,Retención,Marta López</t>
  </si>
  <si>
    <t>2025-02-06,CMP-018,Paid Social,España,Mobile,32411,2739,319,1985.78,33572.84,159,Conversión,Laura Pérez</t>
  </si>
  <si>
    <t>2025-08-14,CMP-010,Affiliate,Francia,Mobile,132260,5197,318,2568.99,10505.95,196,Conversión,Marta López</t>
  </si>
  <si>
    <t>2025-03-23,CMP-013,Email,México,Mobile,162511,4762,357,9509.9,76410.14,194,Retención,Laura Pérez</t>
  </si>
  <si>
    <t>2025-12-08,CMP-009,Affiliate,Portugal,Desktop,121663,2711,154,4025.94,32322.08,128,Reconocimiento,Carlos Ruiz</t>
  </si>
  <si>
    <t>2025-04-23,CMP-012,Organic Social,Francia,Mobile,129675,9097,481,7556.3,89908.26,375,Retención,Carlos Ruiz</t>
  </si>
  <si>
    <t>2025-12-22,CMP-002,Paid Search,México,Mobile,172498,6969,635,14570.57,86623.86,518,Adquisición,Ana García</t>
  </si>
  <si>
    <t>2025-05-25,CMP-017,Organic Social, Italia ,Desktop,77926,4121,275,3793.32,44396.71,222,Retención,Carlos Ruiz</t>
  </si>
  <si>
    <t>2025-12-07,cmp-027,Paid Search,España,Mobile,140104,12034,1380,3485.22,194633.15,762,Adquisición,Marta López</t>
  </si>
  <si>
    <t>2025-06-19,CMP-017,Email,Portugal,Mobile,80074,1419,69,1135.52,9606.93,36,Retención,Marta López</t>
  </si>
  <si>
    <t>2025-09-01,CMP-021,Affiliate,España,Mobile,164149,1435,84,2385.5,16617.77,49,Reconocimiento,Laura Pérez</t>
  </si>
  <si>
    <t>2025-07-16,CMP-003,Display,España,Mobile,52142,2674,91,3473.56,4686.01,67,Retención,Ana García</t>
  </si>
  <si>
    <t>2025-01-26,CMP-009,Display,Francia,Desktop,68689,5617,542,9192.32,48814.24,483,Conversión,Ana García</t>
  </si>
  <si>
    <t>2025-03-30,CMP-008,Organic Social,Italia,Tablet,4187,172,10,111.79,545.27,5,Retención,Laura Pérez</t>
  </si>
  <si>
    <t>2025-12-14,CMP-022,Affiliate,México,Desktop,115538,7868,401,10789.71,17948.68,234,Conversión,Ana García</t>
  </si>
  <si>
    <t>2025-01-11,CMP-028,Paid Social,España,Mobile,67479,1847,151,1818.24,7795.88,91,Adquisición,Ana García</t>
  </si>
  <si>
    <t>2025-11-14,CMP-026,Organic Social,Francia,Desktop,47396,1954,199,2025.71,23777.75,147,Conversión,Luis Martín</t>
  </si>
  <si>
    <t>2025-11-04,CMP-020,Display,Italia,Desktop,104829,2094,256,1131.48,37276.69,188,Retención,Carlos Ruiz</t>
  </si>
  <si>
    <t>2025-09-28,CMP-026,Paid Social,España,Mobile,168175,8443,736,16195.15,44539.13,425,Reconocimiento,Marta López</t>
  </si>
  <si>
    <t>2025-12-06,CMP-005,Email,Francia,Mobile,95465,2894,191,5175.61,23261.0,121,Adquisición,Carlos Ruiz</t>
  </si>
  <si>
    <t>2025-08-20,CMP-019,Paid Search,España,Desktop,145636,1712,72,1111.66,4309.42,57,Adquisición,Luis Martín</t>
  </si>
  <si>
    <t>2025-10-11,CMP-002,Display,Portugal,Mobile,148076,12039,363,11346.86,13567.09,287,Conversión,Luis Martín</t>
  </si>
  <si>
    <t>2025-06-10,CMP-005, paid search ,Portugal,Mobile,71097,2060,233,1399.39,50583.79,191,Reconocimiento,Luis Martín</t>
  </si>
  <si>
    <t>2025-10-07,CMP-001,Email,Italia,Desktop,46108,453,49,384.76,10165.56,38,Reconocimiento,Carlos Ruiz</t>
  </si>
  <si>
    <t>2025-08-05,CMP-010,Organic Social,España,Mobile,78759,3641,360,988.59,30605.48,215,Reconocimiento,Laura Pérez</t>
  </si>
  <si>
    <t>2025-08-12,CMP-004,Organic Social,Portugal,Desktop,38667,1438,183,2653.82,26139.44,146,Retención,Carlos Ruiz</t>
  </si>
  <si>
    <t>2025-04-06,CMP-015,Display,México,Mobile,4736,89,2,65.27,312.09,1,Conversión,Marta López</t>
  </si>
  <si>
    <t>2025-11-08,CMP-025,Paid Search,España,Mobile,133873,5754,227,9041.98,25729.51,187,Retención,Luis Martín</t>
  </si>
  <si>
    <t>2025-12-29,CMP-021, paid search ,España,Desktop,84498,2915,71,5566.83,5839.43,39,Adquisición,Ana García</t>
  </si>
  <si>
    <t>2025-02-11,CMP-017,Organic Social,España,Mobile,98763,1996,119,415.01,24438.47,54,Retención,Marta López</t>
  </si>
  <si>
    <t>2025-08-16,CMP-005, paid search ,España,Mobile,172006,7724,972,9945.25,158576.32,629,Retención,Marta López</t>
  </si>
  <si>
    <t>2025-10-22,CMP-028,Display,Francia,Mobile,91874,6704,118,1700.48,15971.23,104,Conversión,Luis Martín</t>
  </si>
  <si>
    <t>2025-02-01,CMP-013, paid search ,México,Mobile,45273,3937,350,1985.81,44887.84,263,Conversión,Marta López</t>
  </si>
  <si>
    <t>2025-02-10,CMP-024,Affiliate,España,Desktop,158231,1738,26,2529.31,5349.07,12,Conversión,Ana García</t>
  </si>
  <si>
    <t>2025-10-13,CMP-026,Organic Social,Francia,Mobile,145476,7420,101,5015.18,7222.67,58,Conversión,Ana García</t>
  </si>
  <si>
    <t>2025-01-02,CMP-030,Paid Search,Portugal,Tablet,177271,1610,113,303.5,17854.92,67,Adquisición,Carlos Ruiz</t>
  </si>
  <si>
    <t>2025-12-06,CMP-029,Email,España,Mobile,157010,12792,1357,6607.34,60926.28,641,Retención,Ana García</t>
  </si>
  <si>
    <t>2025-12-11,CMP-004,Paid Search,Portugal,Desktop,47879,523,20,559.54,3437.0,11,Conversión,Ana García</t>
  </si>
  <si>
    <t>2025-04-18,CMP-020,Affiliate,México,Mobile,72088,1935,23,3622.5,2753.12,19,Reconocimiento,Marta López</t>
  </si>
  <si>
    <t>2025-02-10,CMP-019,Paid Search,Portugal,Desktop,78862,6396,471,8180.75,64875.29,374,Adquisición,Laura Pérez</t>
  </si>
  <si>
    <t>2025-04-20,CMP-005,Organic Social,México,Mobile,1807,38,0,36.81,0.0,0,Conversión,Marta López</t>
  </si>
  <si>
    <t>2025-07-16,CMP-022,Display,España,Mobile,158920,2089,69,1037.34,14341.85,56,Adquisición,Luis Martín</t>
  </si>
  <si>
    <t>2025-11-18,CMP-023, affiliate ,México,Mobile,136608,4923,546,1368.55,85584.75,386,Adquisición,Marta López</t>
  </si>
  <si>
    <t>2025-06-19,CMP-004,Affiliate,Francia,Mobile,22459,1676,69,374.14,4041.0,52,Retención,Marta López</t>
  </si>
  <si>
    <t>2025-12-09,CMP-024,Organic Social,México,Mobile,75462,6531,246,11768.5,42199.03,146,Adquisición,Carlos Ruiz</t>
  </si>
  <si>
    <t>2025-12-22,CMP-023,Organic Social,España,Desktop,152923,4709,630,7324.54,83882.91,297,Retención,Laura Pérez</t>
  </si>
  <si>
    <t>2025-07-08,CMP-016, paid search ,México,Desktop,48618,3916,26,6871.39,2490.69,14,Retención,Laura Pérez</t>
  </si>
  <si>
    <t>2025-04-04,CMP-029,Display,España,DESKTOP,26210,1978,167,1578.0,9949.97,115,Retención,Ana García</t>
  </si>
  <si>
    <t>2025-10-15,CMP-013,Affiliate,Portugal,Mobile,113803,5875,797,10508.4,123064.24,609,Retención,Luis Martín</t>
  </si>
  <si>
    <t>2025-06-20,CMP-002,Paid Social,México,Desktop,161358,9911,1297,11371.4,44199.28,1054,Conversión,Carlos Ruiz</t>
  </si>
  <si>
    <t>2025-10-16,CMP-027,Email,España,Mobile,153744,11044,958,4148.63,32501.49,751,Conversión,Ana García</t>
  </si>
  <si>
    <t>2025-05-21,CMP-004,Email,España,Desktop,116040,9271,956,11988.86,117902.95,636,Adquisición,Laura Pérez</t>
  </si>
  <si>
    <t>2025-04-25,CMP-028,Organic Social,España,Tablet,60203,1955,238,3510.59,32237.42,151,Retención,Laura Pérez</t>
  </si>
  <si>
    <t>2025-07-18,CMP-023,Paid Search,España,Tablet,32797,2493,220,3726.11,45238.48,186,Conversión,Ana García</t>
  </si>
  <si>
    <t>2025-08-02,cmp-008,Organic Social,México,Mobile,117265,5454,453,9160.43,23853.34,304,Adquisición,Carlos Ruiz</t>
  </si>
  <si>
    <t>2025-08-26,CMP-020,Email,España,Desktop,37609,1494,119,590.8,3939.41,95,Conversión,Marta López</t>
  </si>
  <si>
    <t>2025-11-18,CMP-007,Paid Search,Francia,Mobile,59056,3130,303,5041.21,60426.22,250,Reconocimiento,Luis Martín</t>
  </si>
  <si>
    <t>2025-05-15,CMP-001,Organic Social,México,Mobile,34557,975,21,729.13,4314.39,17,Conversión,Luis Martín</t>
  </si>
  <si>
    <t>2025-11-26,CMP-005,Affiliate,Francia,Mobile,171703,2050,271,1097.48,11264.4,223,Adquisición,Marta López</t>
  </si>
  <si>
    <t>2025-12-21,CMP-012,Paid Search,Italia,Desktop,30764,1062,110,1249.12,10191.85,61,Retención,Laura Pérez</t>
  </si>
  <si>
    <t>2025-06-19,CMP-003,Display,España,Mobile,25311,422,27,278.01,1050.12,21,Retención,Marta López</t>
  </si>
  <si>
    <t>2025-03-08,CMP-003,Email,México,Desktop,97627,5878,748,777.87,151240.46,427,Retención,Laura Pérez</t>
  </si>
  <si>
    <t>2025-01-17,CMP-023,Paid Social,España,Desktop,76464,5607,317,7789.48,6149.77,160,Adquisición,Marta López</t>
  </si>
  <si>
    <t>2025-11-16,CMP-001,Affiliate,Francia,Desktop,73846,4345,460,6235.57,88640.97,289,Conversión,Marta López</t>
  </si>
  <si>
    <t>2025-04-17,CMP-020,Paid Social,México,Desktop,154483,9189,106,1923.74,15317.67,70,Retención,Marta López</t>
  </si>
  <si>
    <t>2025-12-07,CMP-026,Organic Social,Portugal,Mobile,143169,4384,435,4824.95,58617.86,367,Reconocimiento,Laura Pérez</t>
  </si>
  <si>
    <t>2025-05-25,CMP-012,Affiliate,España,Desktop,132279,10352,931,15918.6,134045.31,660,Retención,Marta López</t>
  </si>
  <si>
    <t>2025-01-09,CMP-004,Organic Social,México,Mobile,5773,428,43,120.06,7050.5,23,Retención,Carlos Ruiz</t>
  </si>
  <si>
    <t>2025-09-21,CMP-019,Email,México,Desktop,3959,210,22,179.58,371.04,13,Conversión,Ana García</t>
  </si>
  <si>
    <t>2025-01-21,CMP-001,Display,España,Desktop,35813,2804,358,877.97,73336.14,255,Retención,Carlos Ruiz</t>
  </si>
  <si>
    <t>2025-02-02,CMP-003,Display,Italia,Mobile,87035,7449,992,1271.33,119307.94,804,Adquisición,Ana García</t>
  </si>
  <si>
    <t>2025-04-12,CMP-019,Organic Social,España,Desktop,148867,10163,579,18664.95,36056.85,375,Adquisición,Luis Martín</t>
  </si>
  <si>
    <t>2025-11-10,CMP-026,Paid Search,España,Mobile,15921,518,13,573.85,384.86,10,Reconocimiento,Carlos Ruiz</t>
  </si>
  <si>
    <t>2025-02-09,CMP-024,Organic Social,España,Desktop,66085,3463,216,5661.18,4707.47,123,Adquisición,Ana García</t>
  </si>
  <si>
    <t>2025-03-31,CMP-026,Email,España,Mobile,124600,5189,60,8713.31,10827.38,38,Retención,Carlos Ruiz</t>
  </si>
  <si>
    <t>2025-10-09,CMP-005,Display,México,Desktop,177580,3544,135,4192.04,15346.32,67,Retención,Ana García</t>
  </si>
  <si>
    <t>2025-11-19,CMP-003,Organic Social,Italia,Mobile,162787,4642,181,3446.08,12832.43,131,Reconocimiento,Marta López</t>
  </si>
  <si>
    <t>2025-01-10,CMP-022,Email, México ,Mobile,78808,2281,253,746.58,21512.11,146,Adquisición,Marta López</t>
  </si>
  <si>
    <t>2025-05-11,CMP-001,Paid Social,Portugal,Desktop,168664,13474,1668,16926.44,234966.05,1054,Reconocimiento,Luis Martín</t>
  </si>
  <si>
    <t>2025-04-04,CMP-015,Affiliate,España,Desktop,121777,3191,303,5930.38,34446.48,223,Retención,Marta López</t>
  </si>
  <si>
    <t>2025-05-24,CMP-005,Affiliate,España,Desktop,46429,3679,323,4349.86,11847.41,162,Conversión,Carlos Ruiz</t>
  </si>
  <si>
    <t>2025-01-22,CMP-029,Paid Search,España,Desktop,139403,1430,172,1804.26,7979.76,111,Retención,Ana García</t>
  </si>
  <si>
    <t>2025-02-14,CMP-014,Paid Search,México,Mobile,158003,7990,643,15771.09,14383.5,405,Reconocimiento,Marta López</t>
  </si>
  <si>
    <t>2025-12-31,CMP-008,Organic Social,España,Mobile,85913,649,31,946.95,4384.24,25,Reconocimiento,Luis Martín</t>
  </si>
  <si>
    <t>2025-12-12,CMP-016,Display,España,Mobile,13719,413,47,88.82,5065.41,34,Conversión,Luis Martín</t>
  </si>
  <si>
    <t>2025-01-30,CMP-016,Paid Search,España,Tablet,23943,1274,107,2222.29,9235.95,66,Reconocimiento,Laura Pérez</t>
  </si>
  <si>
    <t>2025-05-19,CMP-018,Organic Social,Francia,Mobile,69001,4027,316,8249.01,30459.07,253,Reconocimiento,Carlos Ruiz</t>
  </si>
  <si>
    <t>2025-04-05,CMP-012,Organic Social,Portugal,MOBILE,80135,6495,617,1951.46,63056.72,482,Retención,Laura Pérez</t>
  </si>
  <si>
    <t>2025-02-14,CMP-013,Organic Social,España,Desktop,32523,1867,109,1969.11,11350.4,76,Reconocimiento,Laura Pérez</t>
  </si>
  <si>
    <t>2025-10-06,CMP-029,Affiliate,Portugal,Mobile,36245,452,12,336.79,1522.32,7,Retención,Ana García</t>
  </si>
  <si>
    <t>2025-10-04,CMP-003,Display,México,Desktop,91166,2900,325,733.59,65334.28,244,Retención,Luis Martín</t>
  </si>
  <si>
    <t>2025-06-01,CMP-015,Paid Search,España,Mobile,174485,8504,1126,12769.07,104774.34,851,Reconocimiento,Ana García</t>
  </si>
  <si>
    <t>2025-08-27,CMP-007,Paid Social,España,Mobile,86575,3825,308,5908.47,61375.07,229,Adquisición,Luis Martín</t>
  </si>
  <si>
    <t>2025-12-24,CMP-022,Affiliate,Portugal,Mobile,94123,2531,125,2996.88,23461.31,78,Retención,Carlos Ruiz</t>
  </si>
  <si>
    <t>2025-06-15,CMP-027,Affiliate,Portugal,Mobile,41742,3075,180,2383.98,16501.62,144,Reconocimiento,Luis Martín</t>
  </si>
  <si>
    <t>2025-06-01,CMP-023,Affiliate,España,Mobile,88001,3204,334,2322.64,62734.87,282,Adquisición,Marta López</t>
  </si>
  <si>
    <t>2025-12-31,CMP-023,Display,Espana,Mobile,45858,2950,391,3752.98,55230.08,241,Retención,Ana García</t>
  </si>
  <si>
    <t>2025-06-02,CMP-013,Paid Social,España,Desktop,11350,603,10,237.73,954.66,5,Retención,Carlos Ruiz</t>
  </si>
  <si>
    <t>2025-07-29,cmp-022,Paid Search,España,Desktop,74680,3150,59,565.36,2981.63,41,Retención,Luis Martín</t>
  </si>
  <si>
    <t>2025-07-12,CMP-009,Paid Search,España,Mobile,123567,9558,997,-7388.71,65729.63,607,Reconocimiento,Laura Pérez</t>
  </si>
  <si>
    <t>2025-12-29,CMP-004,Paid Social,España,Mobile,91013,3403,211,2061.77,38741.92,126,Conversión,Carlos Ruiz</t>
  </si>
  <si>
    <t>2025-02-18,CMP-018,Organic Social,España,Desktop,176740,10149,1252,21305.42,122622.73,716,Conversión,Ana García</t>
  </si>
  <si>
    <t>2025-09-06,CMP-006,Paid Social,Francia,Desktop,110772,1358,185,2142.07,3234.59,102,Reconocimiento,Ana García</t>
  </si>
  <si>
    <t>2025-02-03,CMP-017,Email,España,Tablet,13726,949,52,1111.44,5434.39,41,Adquisición,Carlos Ruiz</t>
  </si>
  <si>
    <t>2025-09-16,CMP-008,Paid Search,España,Desktop,157486,12942,1529,10116.94,206637.16,1091,Conversión,Laura Pérez</t>
  </si>
  <si>
    <t>2025-11-02,CMP-015,Email,Francia,Mobile,38730,1561,170,2202.38,26518.39,119,Retención,Luis Martín</t>
  </si>
  <si>
    <t>2025-02-22,CMP-003,Display,España,Mobile,4752,164,17,177.56,1617.48,11,Retención,Luis Martín</t>
  </si>
  <si>
    <t>2025-04-19,CMP-029,Display,Francia,Desktop,1185,88,10,181.64,1223.23,5,Conversión,Carlos Ruiz</t>
  </si>
  <si>
    <t>2025-03-10,CMP-020,Affiliate,Francia,Mobile,82624,4522,212,3235.26,15902.27,115,Reconocimiento,Carlos Ruiz</t>
  </si>
  <si>
    <t>2025-12-11,CMP-026,Affiliate,España,Mobile,129286,9189,625,17817.09,46659.23,358,Adquisición,Ana García</t>
  </si>
  <si>
    <t>2025-09-17,CMP-007,Paid Search,Italia,Mobile,167190,2077,61,3229.3,2247.06,30,Adquisición,Ana García</t>
  </si>
  <si>
    <t>2025-08-22,CMP-024,Paid Search,España,Tablet,74186,4019,48,2379.06,5100.57,29,Adquisición,Carlos Ruiz</t>
  </si>
  <si>
    <t>2025-04-29,CMP-011,Email,España,Mobile,49392,2731,36,980.5,4555.1,21,Retención,Marta López</t>
  </si>
  <si>
    <t>2025-07-08,CMP-019,Paid Social,España,Desktop,57283,4474,396,6905.08,28974.29,206,Conversión,Carlos Ruiz</t>
  </si>
  <si>
    <t>2025-12-11,CMP-012,Paid Social,Francia,Desktop,104330,9220,979,10409.63,41594.45,472,Conversión,Ana García</t>
  </si>
  <si>
    <t>2025-01-24,CMP-020, organic social ,Portugal,Desktop,84643,5051,554,4726.66,110230.7,321,Conversión,Ana García</t>
  </si>
  <si>
    <t>2025-10-22,CMP-027,Affiliate,Italia,Mobile,178509,1179,77,1091.91,16699.88,37,Retención,Laura Pérez</t>
  </si>
  <si>
    <t>2025-08-24,CMP-030,Email,España,Desktop,123937,1556,95,2520.98,6338.43,42,Conversión,Carlos Ruiz</t>
  </si>
  <si>
    <t>2025-12-06,CMP-030,Email,España,Desktop,21280,879,97,293.6,9794.3,47,Conversión,Carlos Ruiz</t>
  </si>
  <si>
    <t>2025-01-08,CMP-013,Paid Social,México,Desktop,139243,6012,566,8344.88,31694.12,384,Conversión,Laura Pérez</t>
  </si>
  <si>
    <t>2025-09-11,CMP-018,Organic Social,Francia,Desktop,123999,9153,916,1722.21,36661.31,768,Reconocimiento,</t>
  </si>
  <si>
    <t>2025-06-14,CMP-024,Organic Social,España,Mobile,54298,3585,474,1866.61,55675.3,365,Retención,Ana García</t>
  </si>
  <si>
    <t>2025-04-27,CMP-017,Affiliate,España,Mobile,14546,1006,27,178.34,1291.87,15,Retención,Laura Pérez</t>
  </si>
  <si>
    <t>2025-06-29,CMP-023,Display,Portugal,Desktop,37219,1261,54,2110.19,3560.58,45,Retención,Laura Pérez</t>
  </si>
  <si>
    <t>2025-04-06,CMP-020,Email,España,Mobile,173819,12630,1384,18048.96,116701.43,663,Conversión,Laura Pérez</t>
  </si>
  <si>
    <t>2025-11-15,CMP-005,Paid Social,Italia,Desktop,121538,2165,260,3395.25,50662.65,214,Reconocimiento,Laura Pérez</t>
  </si>
  <si>
    <t>2025-02-02,CMP-011,Organic Social,España,Desktop,13188,144,2,150.33,179.64,1,Conversión,Luis Martín</t>
  </si>
  <si>
    <t>2025-09-13,CMP-003,Paid Search,,Mobile,124056,5690,354,4860.13,69220.76,196,Adquisición,Marta López</t>
  </si>
  <si>
    <t>2025-12-19,CMP-018,Display,España,Mobile,17448,1127,91,2150.16,1420.76,74,Conversión,Carlos Ruiz</t>
  </si>
  <si>
    <t>2025-02-27,CMP-022,Paid Social,España,Mobile,160119,7944,93,1382.1,3713.46,73,Conversión,Ana García</t>
  </si>
  <si>
    <t>2025-08-08,CMP-028,Email,España,Mobile,102033,3550,365,4691.45,29458.14,268,Adquisición,Luis Martín</t>
  </si>
  <si>
    <t>2025-12-26,CMP-011,Paid Social,España,Tablet,56132,4795,657,8067.37,16643.04,490,Conversión,Luis Martín</t>
  </si>
  <si>
    <t>2025-12-23,CMP-001,Paid Search,México,Desktop,90513,6985,258,6921.46,14260.11,146,Conversión,Marta López</t>
  </si>
  <si>
    <t>2025-05-18,CMP-009,Display,Italia,Mobile,65699,1387,35,2659.35,4678.46,22,Conversión,Marta López</t>
  </si>
  <si>
    <t>2025-10-21,CMP-022,Paid Social,México,Desktop,66844,2803,166,4311.42,21428.29,129,Reconocimiento,Ana García</t>
  </si>
  <si>
    <t>2025-06-14,CMP-020,Email,España,Desktop,125492,2416,198,3077.51,3227.08,89,Adquisición,Laura Pérez</t>
  </si>
  <si>
    <t>2025-04-17,CMP-005,Organic Social,España,MOBILE,71498,5021,510,9677.1,64149.66,297,Conversión,Ana García</t>
  </si>
  <si>
    <t>2025-02-09,CMP-013,Paid Search,España,Mobile,91373,830,6,1088.79,299.73,3,Adquisición,Marta López</t>
  </si>
  <si>
    <t>2025-08-07,CMP-021,Paid Search,Francia,Desktop,104043,3860,357,5329.12,30116.7,289,Retención,Marta López</t>
  </si>
  <si>
    <t>2025-09-01,CMP-023,Display,España,Desktop,17017,1368,175,2400.86,21806.97,139,Reconocimiento,Luis Martín</t>
  </si>
  <si>
    <t>2025-12-08,CMP-014,Paid Social,España,Desktop,22089,767,39,511.54,5509.86,32,Conversión,Carlos Ruiz</t>
  </si>
  <si>
    <t>2025-03-13,CMP-028,Organic Social,España,Mobile,53503,2980,356,1686.23,28910.76,260,Adquisición,Laura Pérez</t>
  </si>
  <si>
    <t>2025-09-09,CMP-019,Paid Social,Francia,Desktop,73951,2624,333,3254.98,23542.28,201,Conversión,Luis Martín</t>
  </si>
  <si>
    <t>2025-05-16,CMP-002,Paid Search,Italia,Desktop,131478,5362,650,5076.24,120757.47,486,Adquisición,Ana García</t>
  </si>
  <si>
    <t>2025-06-23,CMP-015,Organic Social,Portugal,Mobile,65993,2080,53,1320.35,8882.56,24,Reconocimiento,Marta López</t>
  </si>
  <si>
    <t>2025-08-19,CMP-029,Paid Search,México,Desktop,59500,2120,111,2125.35,10947.21,58,Reconocimiento,Laura Pérez</t>
  </si>
  <si>
    <t>2025-07-20,CMP-006,Organic Social,España,Mobile,137385,12227,1349,24381.01,265670.28,720,Retención,Laura Pérez</t>
  </si>
  <si>
    <t>2025-04-08,CMP-003,Paid Social,España,Mobile,5924,36,4,10.82,744.24,3,Conversión,Marta López</t>
  </si>
  <si>
    <t>2025-07-08,CMP-009,Paid Search,México,Tablet,122849,8784,175,2448.02,27271.61,102,Conversión,Laura Pérez</t>
  </si>
  <si>
    <t>2025-10-26,CMP-012,Affiliate,Francia,Desktop,57201,462,9,624.31,651.48,5,Retención,Luis Martín</t>
  </si>
  <si>
    <t>2025-07-25,CMP-018,Paid Social,Francia,Desktop,98819,672,74,261.18,6994.36,63,Retención,Luis Martín</t>
  </si>
  <si>
    <t>2025-12-31,CMP-022,Paid Search,México,Tablet,43699,3745,163,2934.64,3744.79,132,Reconocimiento,Laura Pérez</t>
  </si>
  <si>
    <t>2025-11-15,CMP-002,Email, México ,Desktop,171047,2182,155,2980.57,18902.5,94,Adquisición,Luis Martín</t>
  </si>
  <si>
    <t>2025-09-12,CMP-015,Email, España ,Desktop,144284,7528,501,14677.35,94154.6,329,Reconocimiento,Marta López</t>
  </si>
  <si>
    <t>2025-08-26,CMP-019,Email,España,Mobile,78711,5756,611,2861.34,99760.57,522,Retención,Marta López</t>
  </si>
  <si>
    <t>2025-08-11,CMP-022,Email,Francia,Mobile,77997,1274,94,1441.47,5544.5,73,Adquisición,Luis Martín</t>
  </si>
  <si>
    <t>2025-01-27,CMP-021,Paid Social,Francia,Tablet,165204,12204,470,10390.04,80861.14,408,Adquisición,Laura Pérez</t>
  </si>
  <si>
    <t>2025-05-31,CMP-023,Paid Search,España,Desktop,174851,3727,90,1228.36,9191.29,64,Reconocimiento,Carlos Ruiz</t>
  </si>
  <si>
    <t>2025-03-09,CMP-026,Organic Social,España,Desktop,59836,2678,277,2101.9,9658.89,209,Conversión,Marta López</t>
  </si>
  <si>
    <t>2025-10-02,CMP-016,Affiliate,Francia,Mobile,53631,1537,68,2958.95,4047.44,31,Retención,Carlos Ruiz</t>
  </si>
  <si>
    <t>2025-10-13,CMP-021,Organic Social,México,Mobile,154473,12215,955,20863.4,190050.32,802,Retención,Ana García</t>
  </si>
  <si>
    <t>2025-03-31,CMP-026,Paid Social,España,Mobile,159572,6822,822,5267.14,171886.75,428,Retención,Carlos Ruiz</t>
  </si>
  <si>
    <t>2025-06-08,CMP-029,Organic Social,Portugal,Mobile,151478,3984,435,2136.97,26101.71,283,Conversión,Luis Martín</t>
  </si>
  <si>
    <t>2025-03-26,CMP-030,Display,Francia,Desktop,40226,1822,76,1629.87,1988.08,60,Conversión,Luis Martín</t>
  </si>
  <si>
    <t>2025-02-02,CMP-015,Paid Social,Francia,Desktop,60226,3144,297,6373.52,42517.43,212,Conversión,Marta López</t>
  </si>
  <si>
    <t>2025-05-04,CMP-009,Email,Francia,Desktop,57217,4309,98,1968.98,12456.97,74,Retención,Carlos Ruiz</t>
  </si>
  <si>
    <t>2025-10-20,CMP-030,Email,Francia,Desktop,79965,4389,594,7429.03,114589.17,322,Adquisición,Ana García</t>
  </si>
  <si>
    <t>2025-12-06,CMP-003,Display,España,Desktop,103225,7533,565,6438.13,63160.72,503,Reconocimiento,Ana García</t>
  </si>
  <si>
    <t>2025-01-24,CMP-027,Email,España,Mobile,92355,6337,362,10062.56,52193.1,300,Retención,Ana García</t>
  </si>
  <si>
    <t>2025-02-22,CMP-012,Email,México,Mobile,126534,2187,67,3788.89,7216.29,55,Adquisición,Luis Martín</t>
  </si>
  <si>
    <t>2025-07-15,CMP-021,Organic Social,España,Mobile,128741,10758,1348,3988.1,214146.53,623,Conversión,</t>
  </si>
  <si>
    <t>2025-03-25,CMP-027,Paid Social,España,Desktop,50009,1129,68,1425.48,2778.11,46,Retención,Laura Pérez</t>
  </si>
  <si>
    <t>2025-03-24,CMP-027,Display,España,Desktop,76275,1883,76,984.24,16585.0,51,Retención,Luis Martín</t>
  </si>
  <si>
    <t>2025-12-04,CMP-019,Email,España,Desktop,30295,544,75,90.66,5560.59,52,Conversión,Luis Martín</t>
  </si>
  <si>
    <t>2025-05-26,CMP-011,Paid Search,México,Tablet,58288,541,18,1050.04,1165.99,14,Conversión,Luis Martín</t>
  </si>
  <si>
    <t>2025-05-02,CMP-018,Affiliate,Francia,Mobile,69888,4232,478,3565.32,68391.9,381,Adquisición,Marta López</t>
  </si>
  <si>
    <t>2025-07-25,CMP-030,Email,España,Mobile,174292,11071,1081,11628.8,37260.12,544,Adquisición,Luis Martín</t>
  </si>
  <si>
    <t>2025-10-22,CMP-024,Email, Portugal ,Desktop,17186,1443,52,1021.04,4010.28,42,Adquisición,Ana García</t>
  </si>
  <si>
    <t>2025-08-08,CMP-008,Paid Search,México,Tablet,144140,2560,138,4516.44,25555.58,92,Adquisición,Marta López</t>
  </si>
  <si>
    <t>2025-05-25,CMP-024,Paid Search,España,Mobile,136387,6380,526,6756.57,94809.26,386,Adquisición,Marta López</t>
  </si>
  <si>
    <t>2025-05-17,CMP-019,Paid Search,España,Desktop,53539,2300,269,2971.0,49829.98,195,Retención,Laura Pérez</t>
  </si>
  <si>
    <t>2025-05-06,CMP-027,Paid Search,México,Mobile,47096,2219,112,2862.5,9526.36,65,Reconocimiento,Laura Pérez</t>
  </si>
  <si>
    <t>2025-06-24,CMP-013,Email,España,Desktop,44197,3556,129,6956.5,19843.04,98,Retención,Luis Martín</t>
  </si>
  <si>
    <t>2025-12-08,CMP-001,Display,Portugal,Mobile,129330,3958,537,6327.34,13102.43,341,Conversión,Marta López</t>
  </si>
  <si>
    <t>2025-11-29,CMP-024,Paid Social,España,Mobile,143675,9233,675,14029.04,97109.76,457,Conversión,Laura Pérez</t>
  </si>
  <si>
    <t>2025-06-19,CMP-014,Email,España,Desktop,112733,9308,749,1451.53,116310.66,446,Adquisición,Laura Pérez</t>
  </si>
  <si>
    <t>2025-10-31,CMP-003,Email,Portugal,Desktop,42340,1606,70,1866.26,12329.02,50,Conversión,Marta López</t>
  </si>
  <si>
    <t>2025-04-23,CMP-007,Display,Francia,Mobile,31492,295,29,110.79,5986.31,22,Retención,Marta López</t>
  </si>
  <si>
    <t>2025-08-14,CMP-015,Paid Search,Portugal,Desktop,90363,3498,133,6450.37,10041.27,81,Conversión,Laura Pérez</t>
  </si>
  <si>
    <t>2025-05-04,CMP-003,Affiliate,España,Desktop,123182,6427,886,11730.17,72957.87,459,Adquisición,Ana García</t>
  </si>
  <si>
    <t>2025-09-06,CMP-023,Paid Search,Francia,Tablet,141620,2087,246,3863.75,3873.3,202,Adquisición,Laura Pérez</t>
  </si>
  <si>
    <t>2025-09-17,CMP-004,Paid Search,Francia,Mobile,178042,7705,326,12192.09,7117.62,274,Reconocimiento,Laura Pérez</t>
  </si>
  <si>
    <t>2025-01-11,CMP-004,Paid Search,España,Mobile,88774,2587,72,4843.7,2206.51,37,Conversión,Ana García</t>
  </si>
  <si>
    <t>2025-04-02,CMP-005,Paid Search,España,Mobile,157435,12647,1226,4268.0,168110.35,1003,Adquisición,Ana García</t>
  </si>
  <si>
    <t>2025-10-27,CMP-006,Paid Search,España,Tablet,139763,6259,359,8484.3,64103.44,178,Retención,Ana García</t>
  </si>
  <si>
    <t>2025-07-12,CMP-009,Paid Social,Francia,Desktop,67773,1335,119,2595.13,13373.04,98,Adquisición,Marta López</t>
  </si>
  <si>
    <t>2025-12-16,CMP-004,Affiliate,Italia,Desktop,118595,4660,87,8501.32,14293.45,44,Conversión,Marta López</t>
  </si>
  <si>
    <t>2025-01-08,CMP-005,Paid Social,España,Mobile,20382,179,24,317.06,2047.64,11,Reconocimiento,Carlos Ruiz</t>
  </si>
  <si>
    <t>2025-10-21,CMP-010,Display,México,Desktop,129278,11046,642,21174.01,59348.53,421,Retención,Laura Pérez</t>
  </si>
  <si>
    <t>2025-02-08,CMP-008,Paid Social,España,Mobile,107469,2622,338,3303.12,23129.02,207,Conversión,Carlos Ruiz</t>
  </si>
  <si>
    <t>2025-08-15,CMP-020,Paid Search,México,Mobile,18515,1484,86,1336.04,6390.85,63,Reconocimiento,Carlos Ruiz</t>
  </si>
  <si>
    <t>2025-12-13,CMP-020,Organic Social,Portugal,Mobile,71270,2427,83,2284.38,9875.8,44,Retención,Ana García</t>
  </si>
  <si>
    <t>2025-10-23,CMP-008, organic social ,España,Mobile,105096,7790,739,15918.42,119560.1,555,Retención,Laura Pérez</t>
  </si>
  <si>
    <t>2025-07-30,CMP-028,Organic Social,España,Mobile,84955,6069,206,8405.56,9875.96,124,Reconocimiento,Marta López</t>
  </si>
  <si>
    <t>2025-02-14,CMP-028,Paid Search,México,Mobile,102907,6578,368,888.98,58956.7,298,Reconocimiento,Laura Pérez</t>
  </si>
  <si>
    <t>2025-09-25,CMP-027,Email,España,Desktop,19470,594,3,496.55,432.63,2,Adquisición,Luis Martín</t>
  </si>
  <si>
    <t>2025-01-20,CMP-005,,México,Mobile,176321,11037,405,23020.23,87304.1,284,Adquisición,Carlos Ruiz</t>
  </si>
  <si>
    <t>2025-05-09,CMP-024,Affiliate,Italia,Desktop,122990,6837,759,7912.84,143743.08,442,Conversión,Marta López</t>
  </si>
  <si>
    <t>2025-09-09,CMP-027,Organic Social,Portugal,Mobile,130718,5467,350,2267.9,9727.36,238,Reconocimiento,Laura Pérez</t>
  </si>
  <si>
    <t>2025-09-05,CMP-013, email ,Francia,Desktop,137056,3460,230,3508.33,40684.11,120,Adquisición,Laura Pérez</t>
  </si>
  <si>
    <t>2025-02-21,CMP-011,Affiliate,México,Mobile,148207,13173,327,3704.99,16065.05,209,Conversión,Luis Martín</t>
  </si>
  <si>
    <t>2025-03-29,CMP-001,Email,Portugal,Desktop,26489,1840,123,929.01,21737.73,65,Reconocimiento,Marta López</t>
  </si>
  <si>
    <t>2025-11-02,CMP-012,Paid Social, Francia ,Desktop,31047,1527,26,2123.6,2912.84,15,Adquisición,Luis Martín</t>
  </si>
  <si>
    <t>2025-07-08,CMP-022,Paid Social,Portugal,Desktop,18855,625,68,1279.21,7861.78,55,Conversión,Laura Pérez</t>
  </si>
  <si>
    <t>2025-08-07,CMP-004,Display,España,Mobile,75070,984,94,1968.19,4807.81,63,Conversión,Marta López</t>
  </si>
  <si>
    <t>2025-05-23,cmp-025,Display,Francia,Desktop,80241,3049,292,3202.37,46025.76,217,Conversión,Laura Pérez</t>
  </si>
  <si>
    <t>2025-12-05,CMP-019,Affiliate,Francia,Desktop,120799,10487,1230,7788.06,244041.0,573,Adquisición,Marta López</t>
  </si>
  <si>
    <t>2025-07-01,CMP-027,Paid Search,Francia,Desktop,136766,10170,174,10915.04,33205.28,145,Conversión,</t>
  </si>
  <si>
    <t>2025-04-22,CMP-013,Affiliate,México,Mobile,101204,4432,344,5400.91,14429.54,302,Retención,Luis Martín</t>
  </si>
  <si>
    <t>2025-02-18,CMP-030,Organic Social,Portugal,Mobile,1697,142,4,142.97,758.38,2,Adquisición,Luis Martín</t>
  </si>
  <si>
    <t>2025-10-24,CMP-014,Display, Italia ,Desktop,154146,13559,952,2633.54,115941.0,815,Adquisición,Ana García</t>
  </si>
  <si>
    <t>2025-08-08,CMP-025,Display,Italia,Mobile,150754,11738,149,1953.69,23602.22,123,Conversión,Luis Martín</t>
  </si>
  <si>
    <t>2025-01-11,CMP-023,Paid Social,España,Mobile,40340,1202,93,1314.69,19489.4,47,Conversión,Marta López</t>
  </si>
  <si>
    <t>2025-08-23,CMP-026,Organic Social,España,Desktop,174511,14130,1288,18973.89,91710.59,1031,Conversión,Carlos Ruiz</t>
  </si>
  <si>
    <t>2025-02-23,CMP-025,Paid Social,Italia,Desktop,14410,847,88,960.73,14248.2,49,Adquisición,Ana García</t>
  </si>
  <si>
    <t>2025-06-25,CMP-021,Paid Search,Italia,Mobile,10122,449,21,165.59,3870.17,13,Reconocimiento,Luis Martín</t>
  </si>
  <si>
    <t>2025-11-19,CMP-023,Paid Search,España,Desktop,12799,142,7,187.28,1304.92,4,Retención,Carlos Ruiz</t>
  </si>
  <si>
    <t>2025-09-16,CMP-030,Display,Francia,Mobile,18706,1581,87,355.27,12333.36,52,Conversión,Ana García</t>
  </si>
  <si>
    <t>2025-05-07,CMP-019,Affiliate,Francia,Desktop,139562,1394,80,2778.08,16089.63,68,Reconocimiento,Carlos Ruiz</t>
  </si>
  <si>
    <t>2025-04-06,CMP-018,Email,Portugal,Mobile,1045,57,5,16.06,601.88,3,Conversión,Laura Pérez</t>
  </si>
  <si>
    <t>2025-03-11,CMP-001,Paid Search,España,Desktop,118298,2597,168,1371.48,32389.16,79,Adquisición,Ana García</t>
  </si>
  <si>
    <t>2025-06-26,CMP-025,Display,España,Mobile,141228,7146,763,10618.99,88142.19,452,Reconocimiento,Marta López</t>
  </si>
  <si>
    <t>2025-06-11,CMP-025,Paid Social,Portugal,Mobile,127234,3025,172,4569.94,10814.74,128,Reconocimiento,Luis Martín</t>
  </si>
  <si>
    <t>2025-10-26,CMP-013,Affiliate,México,Mobile,139892,4626,624,5658.42,126598.12,345,Adquisición,Ana García</t>
  </si>
  <si>
    <t>2025-01-27,CMP-012,Paid Search,España,Mobile,4195,66,6,107.39,742.25,5,Conversión,Ana García</t>
  </si>
  <si>
    <t>2025-11-03,CMP-008,Paid Search,España,Desktop,23227,1609,169,2068.55,35208.66,77,Retención,Ana García</t>
  </si>
  <si>
    <t>2025-10-03,CMP-013,Display,España,Tablet,26333,2286,286,2857.63,13204.82,210,Retención,Ana García</t>
  </si>
  <si>
    <t>2025-03-27,CMP-014,Display,España,Desktop,99851,8765,822,1123.72,38184.92,462,Reconocimiento,Marta López</t>
  </si>
  <si>
    <t>2025-12-07,CMP-018,Display,España,Mobile,63444,2372,66,4733.28,8771.9,44,Adquisición,Carlos Ruiz</t>
  </si>
  <si>
    <t>2025-01-13,CMP-023,Affiliate,Italia,Desktop,123358,4880,325,1291.09,11770.39,242,Reconocimiento,Marta López</t>
  </si>
  <si>
    <t>2025-06-04,CMP-003,Organic Social,España,Mobile,161895,9629,1143,2884.55,33193.59,989,Reconocimiento,Laura Pérez</t>
  </si>
  <si>
    <t>2025-03-07,CMP-019,Paid Social,México,Mobile,93118,4502,189,2101.59,9058.67,157,Reconocimiento,Laura Pérez</t>
  </si>
  <si>
    <t>2025-02-19,CMP-022,Affiliate, Francia ,Desktop,56356,2188,286,4505.33,50748.61,147,Reconocimiento,Carlos Ruiz</t>
  </si>
  <si>
    <t>2025-03-31,CMP-011, paid search ,Francia,Desktop,145171,12456,508,-20537.83,19365.69,307,Reconocimiento,Carlos Ruiz</t>
  </si>
  <si>
    <t>2025-05-09,CMP-004,Display,Italia,Mobile,58071,4374,365,3925.64,32178.39,180,Adquisición,Carlos Ruiz</t>
  </si>
  <si>
    <t>2025-06-03,CMP-001,Paid Social,Italia,Desktop,58427,3771,507,4728.2,44661.55,342,Conversión,Luis Martín</t>
  </si>
  <si>
    <t>2025-10-03,CMP-030,Email,España,Desktop,176407,7991,1116,10936.21,208030.1,746,Reconocimiento,Marta López</t>
  </si>
  <si>
    <t>2025-06-01,CMP-001,Organic Social,España,Mobile,33358,964,58,1755.87,2721.23,39,Adquisición,Ana García</t>
  </si>
  <si>
    <t>2025-05-11,CMP-026,Paid Social,Francia,Desktop,41459,1945,63,2951.7,12222.5,55,Adquisición,Carlos Ruiz</t>
  </si>
  <si>
    <t>2025-01-01,CMP-018,Email,Francia,Desktop,134323,1574,60,177.69,12122.03,28,Reconocimiento,Carlos Ruiz</t>
  </si>
  <si>
    <t>2025-08-24,CMP-004,Paid Search,México,Mobile,96925,7251,324,2361.02,38712.78,186,Adquisición,Laura Pérez</t>
  </si>
  <si>
    <t>2025-08-29,CMP-026,Affiliate,España,Mobile,84359,5061,633,10614.4,28661.53,562,Conversión,Ana García</t>
  </si>
  <si>
    <t>2025-03-15,CMP-010,Display,España,Mobile,170105,7698,341,12745.51,70127.52,164,Reconocimiento,Carlos Ruiz</t>
  </si>
  <si>
    <t>2025-09-30,CMP-030, affiliate ,Portugal,Mobile,55036,4880,437,2174.38,74826.22,329,Retención,Ana García</t>
  </si>
  <si>
    <t>2025-06-10,CMP-006,Display, México ,Mobile,38955,310,36,639.95,2953.84,24,Reconocimiento,Laura Pérez</t>
  </si>
  <si>
    <t>2025-11-15,CMP-020,Display,España,Desktop,27542,1825,95,243.51,10176.47,75,Reconocimiento,Ana García</t>
  </si>
  <si>
    <t>2025-04-20,CMP-018,Organic Social,México,Mobile,68320,1288,15,562.63,1280.84,7,Retención,Luis Martín</t>
  </si>
  <si>
    <t>2025-05-02,CMP-008,Email,México,Mobile,89511,1980,74,2050.72,7692.95,64,Retención,Luis Martín</t>
  </si>
  <si>
    <t>2025-12-27,CMP-021,Paid Social,Portugal,Mobile,20489,511,20,601.01,1475.16,16,Reconocimiento,Luis Martín</t>
  </si>
  <si>
    <t>2025-03-23,CMP-003,Paid Social,España,Mobile,79949,80141,146,5485.13,19925.19,127,Conversión,Carlos Ruiz</t>
  </si>
  <si>
    <t>2025-03-17,CMP-017,Display,Francia,Mobile,85085,6266,700,5126.92,17932.77,548,Adquisición,Carlos Ruiz</t>
  </si>
  <si>
    <t>2025-01-02,CMP-003,Email,España,Desktop,63958,1582,214,1336.7,20203.12,100,Conversión,Luis Martín</t>
  </si>
  <si>
    <t>2025-09-16,CMP-030,Display,Portugal,Mobile,161238,161852,256,5213.91,24852.43,227,Conversión,Luis Martín</t>
  </si>
  <si>
    <t>2025-12-15,CMP-024,Email,Francia,Mobile,111304,8163,715,13104.11,37182.57,598,Conversión,Luis Martín</t>
  </si>
  <si>
    <t>2025-03-07,CMP-024,Organic Social,España,Desktop,71000,6041,595,10482.06,21993.18,295,Conversión,Marta López</t>
  </si>
  <si>
    <t>2025-03-10,CMP-030,Email,Italia,Mobile,158940,3126,232,2547.55,14925.51,178,Reconocimiento,Luis Martín</t>
  </si>
  <si>
    <t>2025-09-10,CMP-009,Organic Social,España,Desktop,134119,1770,205,3370.63,8382.23,120,Reconocimiento,Laura Pérez</t>
  </si>
  <si>
    <t>2025-04-07,CMP-027,Paid Social,España,Mobile,13902,888,60,1196.96,7104.14,40,Adquisición,Luis Martín</t>
  </si>
  <si>
    <t>2025-01-27,CMP-001,Email,Portugal,Mobile,173555,8407,602,16612.59,102311.14,277,Adquisición,Marta López</t>
  </si>
  <si>
    <t>2025-11-04,CMP-014,Paid Search,España,Desktop,110256,6225,847,1365.63,146779.74,419,Conversión,Marta López</t>
  </si>
  <si>
    <t>2025-06-10,CMP-011,Display,Francia,Desktop,37623,2251,25,2238.05,3473.93,13,Reconocimiento,Marta López</t>
  </si>
  <si>
    <t>2025-01-23,CMP-008,Email,España,Mobile,162744,4537,606,3385.13,39174.6,382,Retención,Laura Pérez</t>
  </si>
  <si>
    <t>2025-05-02,CMP-003,Paid Search,Francia,Mobile,5807,300,29,286.5,1562.21,14,Conversión,Luis Martín</t>
  </si>
  <si>
    <t>2025-11-27,CMP-026,Organic Social,Italia,Tablet,20878,1089,82,191.2,14734.74,63,Adquisición,Marta López</t>
  </si>
  <si>
    <t>2025-08-10,CMP-025,Paid Social,España,Tablet,172286,9270,1220,6995.42,100829.39,767,Retención,Laura Pérez</t>
  </si>
  <si>
    <t>2025-05-08,CMP-018,Paid Search,España,Tablet,107450,565,6,930.25,632.48,4,Conversión,Laura Pérez</t>
  </si>
  <si>
    <t>2025-01-18,CMP-012,Display,España,Mobile,66156,5816,772,2044.42,82965.96,638,Reconocimiento,Laura Pérez</t>
  </si>
  <si>
    <t>2025-10-17,CMP-025,Organic Social,España,Mobile,3493,104,11,69.33,1212.42,9,Retención,Luis Martín</t>
  </si>
  <si>
    <t>2025-04-17,CMP-019,Paid Social,España,Desktop,160153,8582,153,10778.68,29127.03,78,Adquisición,Ana García</t>
  </si>
  <si>
    <t>2025-06-30,CMP-010,Affiliate,España,Desktop,36280,2113,107,3075.35,17404.29,93,Retención,Luis Martín</t>
  </si>
  <si>
    <t>2025-06-20,CMP-027,Affiliate,España,Mobile,15095,1116,63,118.9,9937.09,50,Retención,Laura Pérez</t>
  </si>
  <si>
    <t>2025-02-26,CMP-022,Email,España,Mobile,143160,9648,787,7430.46,165462.25,529,Reconocimiento,Marta López</t>
  </si>
  <si>
    <t>2025-01-08,CMP-005,Display,Portugal,Desktop,87666,924,72,264.01,13539.19,43,Adquisición,Laura Pérez</t>
  </si>
  <si>
    <t>2025-03-26,CMP-016,Paid Social,Francia,Desktop,127806,5253,313,6909.33,14525.96,194,Retención,Marta López</t>
  </si>
  <si>
    <t>2025-02-09,CMP-013,Paid Search,España,Mobile,74047,6354,738,12247.42,160987.62,340,Retención,Ana García</t>
  </si>
  <si>
    <t>2025-02-27,CMP-027,Email,Italia,Mobile,137650,7641,924,5783.98,139695.4,626,Adquisición,Marta López</t>
  </si>
  <si>
    <t>2025-02-08,CMP-026,Paid Search,España,Tablet,27096,827,60,395.45,9264.81,43,Conversión,Ana García</t>
  </si>
  <si>
    <t>2025-01-23,CMP-024,Display,España,Mobile,47702,1835,12,363.17,1811.29,10,Conversión,Ana García</t>
  </si>
  <si>
    <t>2025-07-09,CMP-012,Paid Search,Italia,Mobile,147670,11953,493,21518.48,7704.74,352,Reconocimiento,Ana García</t>
  </si>
  <si>
    <t>2025-10-29,CMP-027,Paid Social,España,Desktop,147726,2516,265,4783.37,36378.48,236,Adquisición,Luis Martín</t>
  </si>
  <si>
    <t>2025-08-31,CMP-021,Display,España,Desktop,78481,2599,153,4713.86,10484.18,122,Conversión,Carlos Ruiz</t>
  </si>
  <si>
    <t>2025-01-30,CMP-025,Paid Search,Francia,Mobile,62597,5016,620,7294.12,54392.64,491,Reconocimiento,Ana García</t>
  </si>
  <si>
    <t>2025-08-17,CMP-030,Affiliate,Francia,Desktop,51934,3978,479,6005.07,79987.27,274,Retención,Laura Pérez</t>
  </si>
  <si>
    <t>2025-06-26,CMP-007,Email,España,Mobile,65123,4674,380,6109.13,76086.97,212,Retención,Laura Pérez</t>
  </si>
  <si>
    <t>2025-05-08,CMP-027,Email,España,Desktop,132492,7639,337,2256.18,54184.43,182,Conversión,Carlos Ruiz</t>
  </si>
  <si>
    <t>2025-08-07,CMP-019,Affiliate,España,Mobile,11461,204,14,251.08,2607.55,10,Retención,Laura Pérez</t>
  </si>
  <si>
    <t>2025-06-05,CMP-015,Affiliate,España,Desktop,59892,5217,608,10943.23,64142.42,368,Retención,Ana García</t>
  </si>
  <si>
    <t>2025-04-26,CMP-011,,Portugal,Desktop,100417,5269,624,9251.64,41214.95,344,Conversión,Ana García</t>
  </si>
  <si>
    <t>2025-03-15,CMP-002,Display, España ,Desktop,102092,5843,656,3221.96,67843.3,360,Reconocimiento,Marta López</t>
  </si>
  <si>
    <t>2025-10-06,CMP-025,Affiliate,España,Mobile,49388,652,19,1364.07,3981.32,15,Conversión,Ana García</t>
  </si>
  <si>
    <t>2025-01-25,CMP-001,Display,España,Mobile,178964,4222,579,5335.65,116716.25,301,Adquisición,Marta López</t>
  </si>
  <si>
    <t>2025-12-31,CMP-010,Paid Search,Francia,Mobile,75126,1891,30,1829.86,5022.11,17,Adquisición,Carlos Ruiz</t>
  </si>
  <si>
    <t>2025-11-20,CMP-027,Paid Social,Francia,Mobile,141857,5244,191,4697.51,38988.93,158,Adquisición,Ana García</t>
  </si>
  <si>
    <t>2025-03-17,CMP-022,Display,Francia,Mobile,177929,13233,989,9525.44,92152.4,449,Retención,Marta López</t>
  </si>
  <si>
    <t>2025-07-07,CMP-020,Organic Social,Italia,Desktop,86565,1242,162,1753.32,22439.1,130,Adquisición,Ana García</t>
  </si>
  <si>
    <t>2025-07-26,CMP-016,Organic Social,España,Desktop,7855,649,33,633.93,4191.26,21,Retención,Marta López</t>
  </si>
  <si>
    <t>2025-06-02,CMP-004,Display,Portugal,Mobile,179102,12322,1326,24258.64,191459.43,598,Adquisición,Marta López</t>
  </si>
  <si>
    <t>2025-08-18,CMP-027,Display,España,Desktop,136783,5272,245,7627.22,14292.61,209,Reconocimiento,Laura Pérez</t>
  </si>
  <si>
    <t>2025-05-23,CMP-004,Affiliate,España,Mobile,32172,636,71,1101.44,13528.45,49,Reconocimiento,Luis Martín</t>
  </si>
  <si>
    <t>2025-11-03,CMP-025,Display,Francia,Desktop,81445,6354,856,4659.68,160667.25,392,Conversión,Marta López</t>
  </si>
  <si>
    <t>2025-07-03,CMP-024,Paid Social,Portugal,Desktop,159005,10666,807,16460.81,67452.5,638,Reconocimiento,Laura Pérez</t>
  </si>
  <si>
    <t>2025-12-12,CMP-018,Paid Search,Italia,Desktop,172622,12451,1400,9068.38,112979.69,1109,Reconocimiento,Ana García</t>
  </si>
  <si>
    <t>2025-07-15,CMP-021,Paid Search,España,Desktop,97138,7880,354,6258.9,74907.87,270,Adquisición,Ana García</t>
  </si>
  <si>
    <t>2025-09-03,CMP-021,Affiliate,España,Desktop,54196,3954,434,6382.16,53810.61,331,Retención,Marta López</t>
  </si>
  <si>
    <t>2025-12-05,CMP-013,Email,Portugal,Mobile,97664,5523,85,8944.33,9054.45,75,Reconocimiento,</t>
  </si>
  <si>
    <t>2025-12-28,CMP-030,Affiliate,Francia,Mobile,42471,1116,26,2010.77,525.9,14,Reconocimiento,Luis Martín</t>
  </si>
  <si>
    <t>2025-05-20,CMP-028,Email,España,Desktop,90932,1302,172,635.32,17159.52,107,Adquisición,Carlos Ruiz</t>
  </si>
  <si>
    <t>2025-11-09,CMP-018,Paid Social,España,Mobile,64603,3827,156,3961.49,17807.47,70,Conversión,Marta López</t>
  </si>
  <si>
    <t>2025-08-10,CMP-003,Paid Search,Portugal,MOBILE,95785,7858,877,7858.81,69761.1,550,Retención,Carlos Ruiz</t>
  </si>
  <si>
    <t>2025-10-02,CMP-014,Organic Social,Italia,Desktop,10851,423,8,397.49,418.72,6,Reconocimiento,Laura Pérez</t>
  </si>
  <si>
    <t>2025-01-07,CMP-023,Display,España,Desktop,11652,806,44,515.68,5721.09,35,Retención,Ana García</t>
  </si>
  <si>
    <t>2025-04-09,CMP-027,Affiliate,España,Mobile,72154,73029,545,9586.16,38129.86,304,Retención,Carlos Ruiz</t>
  </si>
  <si>
    <t>2025-01-15,CMP-021,Display,España,Mobile,66037,2416,55,593.58,1279.83,36,Reconocimiento,Laura Pérez</t>
  </si>
  <si>
    <t>2025-05-31,CMP-001,Affiliate,Portugal,Mobile,70344,4111,338,3361.51,56576.27,162,Retención,Marta López</t>
  </si>
  <si>
    <t>2025-11-28,CMP-021,Email,España,Desktop,84877,4421,74,8776.55,15209.49,43,Conversión,Marta López</t>
  </si>
  <si>
    <t>2025-07-27,CMP-009,Organic Social,Portugal,Desktop,13545,253,29,424.78,3750.25,16,Adquisición,Laura Pérez</t>
  </si>
  <si>
    <t>2025-12-28,CMP-007,Paid Search,España,Mobile,150469,2089,215,4146.28,7867.52,164,Reconocimiento,Luis Martín</t>
  </si>
  <si>
    <t>2025-10-14,cmp-008,Paid Search,Francia,Mobile,7356,162,8,60.24,760.64,6,Reconocimiento,Laura Pérez</t>
  </si>
  <si>
    <t>2025-08-13,CMP-027,Email,Francia,Mobile,144729,7786,730,2415.68,61879.08,623,Adquisición,Marta López</t>
  </si>
  <si>
    <t>2025-05-15,CMP-018,Email,España,Mobile,46391,4052,566,7701.91,56826.89,407,Retención,Luis Martín</t>
  </si>
  <si>
    <t>2025-05-16,CMP-023,Paid Social,España,Mobile,147529,6475,572,3302.13,29813.23,420,Conversión,Luis Martín</t>
  </si>
  <si>
    <t>2025-04-19,CMP-005,Affiliate,Francia,Desktop,11759,678,43,218.78,6826.64,30,Retención,Luis Martín</t>
  </si>
  <si>
    <t>2025-07-06,CMP-006,Email,España,Mobile,10749,747,43,1070.35,2908.08,26,Conversión,Laura Pérez</t>
  </si>
  <si>
    <t>2025-03-05,CMP-010,Affiliate,México,Mobile,74153,1066,125,263.65,8715.89,111,Retención,Ana García</t>
  </si>
  <si>
    <t>2025-02-07,CMP-030,Email,España,Mobile,45452,3858,66,5607.9,13285.37,58,Adquisición,Carlos Ruiz</t>
  </si>
  <si>
    <t>2025-01-28,cmp-008,Email,Francia,Tablet,79615,5249,215,2127.01,15654.98,146,Conversión,Ana García</t>
  </si>
  <si>
    <t>2025-03-18,CMP-013,Email,España,Desktop,21547,363,18,,1251.14,10,Reconocimiento,Laura Pérez</t>
  </si>
  <si>
    <t>2025-07-01,CMP-024,Paid Search,España,Mobile,17910,250,2,202.26,237.55,1,Conversión,Marta López</t>
  </si>
  <si>
    <t>2025-02-22,CMP-027,Affiliate,Portugal,Mobile,24544,934,76,1307.15,9350.6,66,Retención,Luis Martín</t>
  </si>
  <si>
    <t>2025-12-17,CMP-029,Display,Francia,Mobile,126646,8908,191,5105.77,17217.29,142,Adquisición,Laura Pérez</t>
  </si>
  <si>
    <t>2025-06-25,CMP-005,Email,España,Desktop,28619,2304,153,4577.62,8727.06,112,Adquisición,Laura Pérez</t>
  </si>
  <si>
    <t>2025-11-22,CMP-007,Display,Italia,Mobile,126780,9423,794,14223.2,135883.66,611,Adquisición,Carlos Ruiz</t>
  </si>
  <si>
    <t>2025-08-08,CMP-023,Paid Search,España,Desktop,70764,2336,228,942.98,41745.86,116,Conversión,Carlos Ruiz</t>
  </si>
  <si>
    <t>2025-10-14,CMP-030,Paid Social,España,Desktop,118667,4655,231,4241.11,44804.83,205,Adquisición,Marta López</t>
  </si>
  <si>
    <t>2025-04-16,CMP-024,Organic Social,Italia,Mobile,48889,2667,56,374.14,9864.67,47,Retención,Laura Pérez</t>
  </si>
  <si>
    <t>2025-12-29,CMP-028,Paid Search,Portugal,Desktop,115130,7384,372,6867.44,63344.39,231,Adquisición,Ana García</t>
  </si>
  <si>
    <t>2025-06-03,CMP-009,Display,España,Mobile,41080,2746,19,5692.78,392.69,9,Reconocimiento,Ana García</t>
  </si>
  <si>
    <t>2025-03-11,CMP-004,Display,Francia,Desktop,165228,6505,508,9112.89,110448.03,311,Reconocimiento,Luis Martín</t>
  </si>
  <si>
    <t>2025-09-16,CMP-024,Display,España,Mobile,112826,5729,585,718.93,16510.23,267,Adquisición,Luis Martín</t>
  </si>
  <si>
    <t>2025-05-20,CMP-007,Email,Francia,Mobile,134931,10889,442,12321.9,20768.24,372,Adquisición,Marta López</t>
  </si>
  <si>
    <t>2025-07-21,CMP-009,Affiliate,España,Mobile,135732,10013,407,3419.13,11069.38,294,Reconocimiento,Ana García</t>
  </si>
  <si>
    <t>2025-01-10,CMP-026,Display,España,Desktop,97859,6860,200,10942.62,34323.25,160,Conversión,Carlos Ruiz</t>
  </si>
  <si>
    <t>2025-05-10,CMP-012,Display,Italia,Mobile,42268,3621,45,1117.83,9084.07,30,Retención,Marta López</t>
  </si>
  <si>
    <t>2025-05-07,CMP-006,Paid Social,España,Mobile,60910,4426,71,2179.32,4649.97,36,Conversión,Ana García</t>
  </si>
  <si>
    <t>2025-10-30,CMP-007,Paid Social,España,Mobile,160354,13002,1646,13289.46,94181.96,1425,Conversión,Ana García</t>
  </si>
  <si>
    <t>2025-12-25,CMP-014,Paid Social,España,Desktop,120771,9939,454,12548.96,92492.11,277,Reconocimiento,Luis Martín</t>
  </si>
  <si>
    <t>2025-04-22,CMP-001,Paid Search,España,Mobile,82713,6216,147,8090.35,22804.69,98,Conversión,Ana García</t>
  </si>
  <si>
    <t>2025-12-18,CMP-002,Organic Social,España,Mobile,103509,4912,476,6582.7,20151.06,301,Adquisición,Laura Pérez</t>
  </si>
  <si>
    <t>2025-12-02,CMP-019,Affiliate,Portugal,Desktop,32140,1259,43,1932.05,7121.66,28,Conversión,Laura Pérez</t>
  </si>
  <si>
    <t>2025-11-21,CMP-012,Affiliate,Portugal,Tablet,5454,266,2,133.45,419.21,1,Conversión,Laura Pérez</t>
  </si>
  <si>
    <t>2025-03-02,CMP-012,Affiliate,España,Mobile,45667,2666,317,1083.77,48036.36,225,Conversión,Laura Pérez</t>
  </si>
  <si>
    <t>2025-11-22,CMP-019,Affiliate,México,Desktop,76502,1199,108,1313.8,19299.58,58,Conversión,Ana García</t>
  </si>
  <si>
    <t>2025-02-13,CMP-003,Email,México,Tablet,109487,4072,524,7935.09,20676.3,273,Reconocimiento,Laura Pérez</t>
  </si>
  <si>
    <t>2025-01-03,CMP-026,Paid Social,España,Desktop,40177,1228,167,2377.66,13197.06,119,Reconocimiento,Carlos Ruiz</t>
  </si>
  <si>
    <t>2025-03-22,CMP-020,Display,España,Mobile,145027,10461,292,14532.19,54028.79,166,Adquisición,Ana García</t>
  </si>
  <si>
    <t>2025-01-16,CMP-023,Paid Search,Italia,Mobile,1790,124,7,60.51,1073.8,5,Conversión,Ana García</t>
  </si>
  <si>
    <t>2025-12-06,CMP-010,Email,España,Mobile,98657,8242,61,17053.27,12471.91,54,Reconocimiento,Luis Martín</t>
  </si>
  <si>
    <t>2025-03-13,CMP-008,Paid Search,Francia,Desktop,26958,2171,119,3432.61,7566.82,101,Conversión,Carlos Ruiz</t>
  </si>
  <si>
    <t>2025-02-28,CMP-030,Display,México,Mobile,40464,346,38,684.03,2469.07,19,Conversión,Ana García</t>
  </si>
  <si>
    <t>2025-01-24,CMP-021,Paid Social,Francia,MOBILE,16309,348,47,613.05,6296.08,41,Adquisición,Ana García</t>
  </si>
  <si>
    <t>2025-07-13,CMP-025,Affiliate,México,Tablet,43720,398,52,165.78,8094.14,29,Retención,Ana García</t>
  </si>
  <si>
    <t>2025-03-20,CMP-020,Email,España,Desktop,17126,1484,145,915.11,5807.89,82,Retención,Marta López</t>
  </si>
  <si>
    <t>2025-10-21,CMP-020,Display,España,Mobile,149731,7766,137,14779.22,20507.4,81,Adquisición,Ana García</t>
  </si>
  <si>
    <t>2025-02-06,CMP-027,Display,México,Mobile,89065,978,73,723.14,5774.03,60,Adquisición,Laura Pérez</t>
  </si>
  <si>
    <t>2025-06-15,CMP-004,Email, España ,Desktop,139245,6131,277,1509.48,57779.83,199,Conversión,Carlos Ruiz</t>
  </si>
  <si>
    <t>2025-09-12,CMP-011,Affiliate, España ,Mobile,44691,3406,262,2630.13,14022.01,222,Reconocimiento,Carlos Ruiz</t>
  </si>
  <si>
    <t>2025-12-01,CMP-030,Affiliate,España,Tablet,119134,3132,278,611.01,45579.34,200,Adquisición,Marta López</t>
  </si>
  <si>
    <t>2025-03-10,CMP-014,Organic Social,España,Desktop,80048,2177,292,3831.29,9155.19,257,Conversión,Luis Martín</t>
  </si>
  <si>
    <t>2025-05-15,CMP-001,Paid Search,México,Mobile,144130,4243,38,2684.92,8087.33,31,Retención,Laura Pérez</t>
  </si>
  <si>
    <t>2025-02-19,CMP-006,Affiliate,,Desktop,27620,1741,107,410.57,11658.12,64,Reconocimiento,Luis Martín</t>
  </si>
  <si>
    <t>2025-11-12,CMP-027,Affiliate,España,Mobile,31708,1919,180,2963.09,2949.81,86,Adquisición,Carlos Ruiz</t>
  </si>
  <si>
    <t>2025-03-11,CMP-028,Organic Social,España,Mobile,15432,872,74,1473.67,1155.62,33,Adquisición,Ana García</t>
  </si>
  <si>
    <t>2025-04-13,CMP-004,Display,México,Desktop,103017,2685,163,789.5,27544.91,124,Adquisición,Luis Martín</t>
  </si>
  <si>
    <t>2025-09-07,CMP-023,Display,España,Desktop,82771,4626,184,7231.41,29883.53,162,Reconocimiento,Carlos Ruiz</t>
  </si>
  <si>
    <t>2025-07-05,CMP-028,Paid Social,España,Mobile,122318,10376,1285,15263.31,143302.43,689,Retención,Carlos Ruiz</t>
  </si>
  <si>
    <t>2025-08-02,CMP-018,Organic Social,Francia,Desktop,143509,7560,529,7404.78,57905.71,472,Retención,Carlos Ruiz</t>
  </si>
  <si>
    <t>2025-05-18,CMP-009,Paid Social,México,MOBILE,104385,1278,165,1350.77,33313.96,106,Adquisición,Luis Martín</t>
  </si>
  <si>
    <t>2025-10-30,CMP-017,Paid Search,España,Desktop,25281,660,69,375.16,4135.01,49,Reconocimiento,Luis Martín</t>
  </si>
  <si>
    <t>2025-02-28,CMP-008,Affiliate,Francia,Desktop,118475,9672,288,17048.98,39606.4,158,Reconocimiento,Carlos Ruiz</t>
  </si>
  <si>
    <t>2025-04-26,CMP-017,Email,España,Mobile,145644,10729,1421,1453.02,250329.44,1263,Reconocimiento,Marta López</t>
  </si>
  <si>
    <t>2025-10-15,CMP-024,Email,España,Mobile,111755,4484,518,4645.11,66062.97,285,Retención,Marta López</t>
  </si>
  <si>
    <t>2025-11-06,CMP-028,Organic Social,Italia,MOBILE,25795,538,32,854.29,4547.23,20,Reconocimiento,Carlos Ruiz</t>
  </si>
  <si>
    <t>2025-05-08,CMP-020,Display,España,Mobile,169372,5683,120,11345.02,8349.73,56,Reconocimiento,Laura Pérez</t>
  </si>
  <si>
    <t>2025-12-31,CMP-013,Organic Social,Italia,Mobile,50581,2820,330,3644.68,36594.05,231,Reconocimiento,Luis Martín</t>
  </si>
  <si>
    <t>2025-08-30,CMP-022,Organic Social,España,Mobile,157479,11320,580,21510.64,110852.74,369,Conversión,Ana García</t>
  </si>
  <si>
    <t>2025-12-09,CMP-006,Email,España,Desktop,178936,12867,1207,15102.35,94161.79,571,Adquisición,Laura Pérez</t>
  </si>
  <si>
    <t>2025-07-21,CMP-026,Paid Social,España,Mobile,37674,2366,237,1886.28,11793.92,197,Conversión,Laura Pérez</t>
  </si>
  <si>
    <t>2025-04-20,CMP-019,Affiliate,México,Desktop,137270,11403,1431,9931.2,52877.94,644,Adquisición,Laura Pérez</t>
  </si>
  <si>
    <t>2025-06-02,CMP-022, paid social ,Italia,Desktop,146091,7753,380,5213.29,17244.33,268,Conversión,Luis Martín</t>
  </si>
  <si>
    <t>2025-12-07,CMP-001,Affiliate,México,MOBILE,118399,4829,550,8532.07,54040.98,384,Retención,Laura Pérez</t>
  </si>
  <si>
    <t>2025-09-14,CMP-018,Paid Search,Francia,Desktop,54632,1658,217,1870.33,31200.34,191,Retención,Marta López</t>
  </si>
  <si>
    <t>2025-07-10,CMP-004,Affiliate,España,Desktop,77155,4533,481,1916.34,70290.28,284,Conversión,Marta López</t>
  </si>
  <si>
    <t>2025-08-29,CMP-030,Email,Italia,Mobile,149635,1360,115,2378.31,10830.63,85,Adquisición,Marta López</t>
  </si>
  <si>
    <t>2025-05-05,CMP-024,Paid Search,México,Desktop,110178,9281,289,15392.83,49443.06,193,Retención,Luis Martín</t>
  </si>
  <si>
    <t>2025-03-03,CMP-006,Organic Social,España,Tablet,158051,4672,455,4193.14,84820.31,366,Reconocimiento,Marta López</t>
  </si>
  <si>
    <t>2025-04-05,CMP-028,Organic Social,Francia,Desktop,45805,3258,410,1084.59,36306.0,298,Reconocimiento,Luis Martín</t>
  </si>
  <si>
    <t>2025-08-29,CMP-019,Organic Social,Portugal,Desktop,10947,326,7,75.48,1468.96,3,Reconocimiento,Marta López</t>
  </si>
  <si>
    <t>2025-08-20,CMP-030,Organic Social,España,Mobile,122807,1876,58,587.19,3911.33,42,Conversión,Carlos Ruiz</t>
  </si>
  <si>
    <t>2025-01-07,CMP-030,Organic Social,Italia,Mobile,25058,2223,293,970.53,42482.03,204,Retención,Laura Pérez</t>
  </si>
  <si>
    <t>2025-04-01,CMP-013,Organic Social,España,Tablet,103587,4822,549,4184.02,24604.25,293,Retención,Ana García</t>
  </si>
  <si>
    <t>2025-06-04,CMP-020,Email,México,Desktop,175358,5248,56,6824.61,3668.82,50,Retención,Laura Pérez</t>
  </si>
  <si>
    <t>2025-04-10,CMP-012,Organic Social,España,Mobile,153110,4746,645,8654.03,141495.57,534,Conversión,Luis Martín</t>
  </si>
  <si>
    <t>2025-10-27,CMP-025,Paid Search,España,Desktop,59478,2226,125,3107.93,27356.43,87,Reconocimiento,Marta López</t>
  </si>
  <si>
    <t>2025-01-02,CMP-028,Email,España,Desktop,69094,1728,219,1231.92,11381.53,144,Adquisición,Carlos Ruiz</t>
  </si>
  <si>
    <t>2025-11-09,CMP-026,Display,México,DESKTOP,111238,502,16,503.14,682.97,13,Retención,Carlos Ruiz</t>
  </si>
  <si>
    <t>2025-09-19,CMP-016,Paid Search,Francia,Desktop,148849,12219,1061,4473.55,137304.52,623,Adquisición,Laura Pérez</t>
  </si>
  <si>
    <t>2025-03-18,CMP-028,Display,Portugal,Desktop,168033,12506,486,2215.1,32812.89,272,Conversión,Luis Martín</t>
  </si>
  <si>
    <t>2025-01-04,CMP-020,Organic Social,España,Desktop,81262,1487,146,1327.11,4018.82,76,Conversión,Laura Pérez</t>
  </si>
  <si>
    <t>2025-06-12,CMP-013,Paid Search,Italia,Desktop,162004,9775,237,18277.81,31829.01,179,Reconocimiento,Laura Pérez</t>
  </si>
  <si>
    <t>2025-11-07,CMP-012,Paid Search, Francia ,Desktop,136775,8867,1101,11072.0,121842.3,662,Adquisición,Laura Pérez</t>
  </si>
  <si>
    <t>2025-01-06,cmp-023,Paid Search,España,Mobile,164065,11085,652,7830.81,51218.41,533,Reconocimiento,Ana García</t>
  </si>
  <si>
    <t>2025-07-03,CMP-023,Paid Search,España,Tablet,174569,2974,201,1697.27,3555.73,116,Retención,Luis Martín</t>
  </si>
  <si>
    <t>2025-06-07,CMP-026,Paid Search,España,Mobile,119688,1519,174,1971.2,23770.55,91,Adquisición,Luis Martín</t>
  </si>
  <si>
    <t>2025-09-04,CMP-022,Affiliate,España,Desktop,74351,914,111,1040.53,21470.76,69,Reconocimiento,Laura Pérez</t>
  </si>
  <si>
    <t>2025-01-25,CMP-028,Display,Italia,Desktop,85746,6753,851,3960.59,126285.9,556,Adquisición,Luis Martín</t>
  </si>
  <si>
    <t>2025-11-25,CMP-003,Affiliate,Francia,Mobile,71318,4825,281,9905.76,25491.32,127,Adquisición,Ana García</t>
  </si>
  <si>
    <t>2025-05-23,CMP-004,Paid Social,España,Mobile,153271,4361,27,3003.87,1174.88,18,Retención,Carlos Ruiz</t>
  </si>
  <si>
    <t>2025-11-04,CMP-020,Paid Social,Francia,Desktop,80590,3985,280,2228.39,16841.28,199,Reconocimiento,Laura Pérez</t>
  </si>
  <si>
    <t>2025-05-05,CMP-011,Email, Italia ,Mobile,119018,10423,206,11639.73,10962.59,118,Retención,Marta López</t>
  </si>
  <si>
    <t>2025-02-07,CMP-009,Affiliate,México,Mobile,12131,98,9,85.25,734.79,7,Retención,Ana García</t>
  </si>
  <si>
    <t>2025-11-26,CMP-001,Affiliate,España,Desktop,39921,780,6,1284.75,1184.59,3,Conversión,Marta López</t>
  </si>
  <si>
    <t>2025-11-08,CMP-025, affiliate ,España,Desktop,35956,1017,102,2030.72,12013.95,90,Conversión,Luis Martín</t>
  </si>
  <si>
    <t>2025-01-22,CMP-010,Organic Social,España,Desktop,138985,8834,430,4707.72,73397.65,221,Reconocimiento,Laura Pérez</t>
  </si>
  <si>
    <t>2025-09-18,CMP-009,Affiliate,Espana,Desktop,59458,2241,298,1447.74,41737.98,154,Retención,Ana García</t>
  </si>
  <si>
    <t>2025-12-19,CMP-021,Organic Social,México,Desktop,157363,7694,242,14323.28,16875.37,192,Conversión,Laura Pérez</t>
  </si>
  <si>
    <t>2025-04-11,CMP-028,Affiliate,España,Mobile,166554,5839,315,8298.14,23373.65,184,Reconocimiento,Carlos Ruiz</t>
  </si>
  <si>
    <t>2025-07-26,CMP-002,Paid Search,España,Mobile,25120,2123,86,2715.22,2690.07,46,Conversión,Ana García</t>
  </si>
  <si>
    <t>2025-04-13,CMP-030,Email,Francia,Desktop,118486,10086,10092,4646.57,74476.76,327,Conversión,Marta López</t>
  </si>
  <si>
    <t>2025-10-18,CMP-007,Email,Francia,Mobile,69602,5574,59,4069.89,1936.86,37,Retención,Luis Martín</t>
  </si>
  <si>
    <t>2025-04-24,CMP-028,Organic Social,México,Mobile,17800,814,24,1487.15,4936.29,14,Conversión,Marta López</t>
  </si>
  <si>
    <t>2025-12-25,cmp-025,Display,España,Tablet,51472,3131,430,6397.83,44922.43,213,Conversión,Laura Pérez</t>
  </si>
  <si>
    <t>2025-02-05,CMP-022,Organic Social,España,Tablet,155342,9491,164,6288.72,2754.04,92,Conversión,Ana García</t>
  </si>
  <si>
    <t>2025-03-10,CMP-019,Affiliate,España,Desktop,133922,11643,292,22990.62,38986.5,250,Conversión,Marta López</t>
  </si>
  <si>
    <t>2025-06-23,CMP-012,Paid Social,Portugal,Mobile,89122,3889,44,7781.66,5817.83,39,Retención,Carlos Ruiz</t>
  </si>
  <si>
    <t>2025-05-01,CMP-007,Email,España,Tablet,149192,1800,139,2336.64,17837.95,75,Conversión,Marta López</t>
  </si>
  <si>
    <t>2025-07-25,CMP-029,Paid Search,España,Tablet,165121,2900,157,1962.5,3243.78,135,Adquisición,Carlos Ruiz</t>
  </si>
  <si>
    <t>2025-09-11,CMP-021,Paid Social, Portugal ,Mobile,35239,1514,202,2209.39,7285.93,116,Conversión,Laura Pérez</t>
  </si>
  <si>
    <t>2025-02-23,CMP-016,Affiliate,España,Mobile,155954,13563,1680,13089.58,204974.81,1418,Reconocimiento,Marta López</t>
  </si>
  <si>
    <t>2025-08-27,CMP-020,Email,España,Desktop,83081,1684,146,695.77,15050.27,78,Adquisición,Ana García</t>
  </si>
  <si>
    <t>2025-05-11,CMP-002,Email,Italia,Desktop,95331,3981,214,2083.36,25624.62,116,Retención,Luis Martín</t>
  </si>
  <si>
    <t>2025-05-30,CMP-020,Paid Search,España,Desktop,160703,11513,74,3305.89,14144.31,38,Reconocimiento,Ana García</t>
  </si>
  <si>
    <t>2025-05-17,CMP-011,Paid Search,España,Mobile,11787,953,130,822.27,21415.73,93,Reconocimiento,Carlos Ruiz</t>
  </si>
  <si>
    <t>2025-12-02,CMP-023,Paid Social,Francia,Mobile,25625,1755,196,3488.11,17968.07,129,Reconocimiento,Ana García</t>
  </si>
  <si>
    <t>2025-07-11,CMP-025,Paid Social,España,Desktop,175832,9818,571,18853.42,22761.46,471,Reconocimiento,Luis Martín</t>
  </si>
  <si>
    <t>2025-06-16,CMP-011,Affiliate,México,Desktop,127737,4842,310,1881.95,25695.14,240,Conversión,Luis Martín</t>
  </si>
  <si>
    <t>2025-04-27,CMP-009,Paid Social,España,Desktop,110340,7142,815,3077.68,168967.51,732,Reconocimiento,Ana García</t>
  </si>
  <si>
    <t>2025-08-26,CMP-014,Paid Search,México,Mobile,133215,2039,180,3847.71,21270.85,120,Conversión,Laura Pérez</t>
  </si>
  <si>
    <t>2025-01-27,CMP-027,Affiliate,España,Desktop,98070,1205,100,292.15,9796.69,71,Adquisición,Carlos Ruiz</t>
  </si>
  <si>
    <t>2025-10-02,CMP-013,Affiliate,México,Mobile,114371,10151,1095,16880.87,177102.23,723,Retención,Marta López</t>
  </si>
  <si>
    <t>2025-06-03,CMP-022,Organic Social, España ,Mobile,119206,2804,128,4155.94,22821.55,82,Adquisición,Marta López</t>
  </si>
  <si>
    <t>2025-03-17,CMP-008,Email,México,Desktop,94235,3938,55,3488.87,1090.66,39,Reconocimiento,Laura Pérez</t>
  </si>
  <si>
    <t>2025-12-02,CMP-030,Affiliate,Italia,Mobile,26394,1183,128,2090.09,8463.31,80,Adquisición,Carlos Ruiz</t>
  </si>
  <si>
    <t>2025-04-28,CMP-001,Paid Social,Italia,Desktop,145465,11107,367,12015.8,76083.96,218,Retención,Marta López</t>
  </si>
  <si>
    <t>2025-04-13,CMP-021,Organic Social,España,Mobile,44429,3957,287,3227.51,27310.7,171,Conversión,Marta López</t>
  </si>
  <si>
    <t>2025-07-07,CMP-001,Paid Social,España,Desktop,36262,2613,30,4109.28,5164.04,23,Adquisición,Marta López</t>
  </si>
  <si>
    <t>2025-07-28,CMP-005,Affiliate,Francia,Desktop,163322,12431,782,8726.04,105315.12,626,Reconocimiento,Luis Martín</t>
  </si>
  <si>
    <t>2025-02-19,CMP-021,Paid Search,México,Mobile,31924,1669,201,1260.77,43815.67,171,Adquisición,Carlos Ruiz</t>
  </si>
  <si>
    <t>2025-11-18,CMP-012,Display,España,Desktop,26901,496,62,595.51,6864.83,40,Reconocimiento,Marta López</t>
  </si>
  <si>
    <t>2025-05-31,CMP-029,Display,Italia,Tablet,37641,2283,52,4719.12,5765.99,27,Reconocimiento,Marta López</t>
  </si>
  <si>
    <t>2025-07-20,CMP-006,Display,México,Mobile,81211,844,6,1365.3,1259.87,3,Retención,Luis Martín</t>
  </si>
  <si>
    <t>2025-05-25,CMP-001,Email,España,Mobile,30393,863,78,483.09,6549.03,48,Adquisición,Laura Pérez</t>
  </si>
  <si>
    <t>2025-09-05,CMP-010,Display,España,Desktop,158320,10990,1044,22877.12,105252.64,861,Adquisición,Carlos Ruiz</t>
  </si>
  <si>
    <t>2025-12-06,CMP-022,Paid Social,Francia,Mobile,105167,8585,1019,5080.42,214698.07,908,Retención,Carlos Ruiz</t>
  </si>
  <si>
    <t>2025-07-27,CMP-018,Organic Social,España,Desktop,22681,684,65,516.62,10600.82,35,Retención,Laura Pérez</t>
  </si>
  <si>
    <t>2025-09-22,CMP-023,Paid Social,Francia,Desktop,1975,143,0,48.79,0.0,0,Reconocimiento,Laura Pérez</t>
  </si>
  <si>
    <t>2025-01-07,CMP-026,Display,Francia,Desktop,61093,2027,279,760.04,56800.39,244,Retención,Carlos Ruiz</t>
  </si>
  <si>
    <t>2025-04-17,CMP-019, paid search ,España,Mobile,153656,7598,123,6764.56,12714.87,94,Adquisición,Luis Martín</t>
  </si>
  <si>
    <t>2025-05-21,CMP-024,Display,España,Desktop,9384,226,6,381.14,939.39,2,Reconocimiento,Marta López</t>
  </si>
  <si>
    <t>2025-01-17,CMP-025,Email,México,Desktop,51292,1018,76,1168.09,1941.86,59,Reconocimiento,Luis Martín</t>
  </si>
  <si>
    <t>2025-03-02,CMP-009,Affiliate,España,Tablet,76423,5557,424,,25679.91,332,Conversión,Ana García</t>
  </si>
  <si>
    <t>2025-04-08,CMP-025, organic social ,Portugal,Desktop,67537,2094,16,3308.28,2798.67,7,Conversión,Laura Pérez</t>
  </si>
  <si>
    <t>2025-09-08,CMP-023, paid search ,Portugal,Desktop,133554,4595,271,7493.83,15937.73,172,Retención,Marta López</t>
  </si>
  <si>
    <t>2025-10-20,CMP-023,Organic Social,Francia,Desktop,13528,289,37,73.08,6376.19,31,Conversión,Laura Pérez</t>
  </si>
  <si>
    <t>2025-12-27,CMP-018,Affiliate,Italia,Mobile,54939,1743,42,1289.76,2276.72,31,Conversión,Laura Pérez</t>
  </si>
  <si>
    <t>2025-09-08,CMP-004,Display,México,Desktop,5395,343,7,196.49,1038.34,4,Retención,Luis Martín</t>
  </si>
  <si>
    <t>2025-02-21,CMP-004,Paid Social,España,Mobile,159226,13263,1756,11829.55,222152.81,1280,Retención,Laura Pérez</t>
  </si>
  <si>
    <t>2025-05-05,CMP-003,Affiliate,México,Mobile,55221,3419,288,4247.17,11912.6,138,Reconocimiento,Ana García</t>
  </si>
  <si>
    <t>2025-01-23,CMP-004,Paid Search,México,Mobile,120716,3874,477,3947.54,52889.29,360,Retención,Marta López</t>
  </si>
  <si>
    <t>2025-08-06,CMP-020,Display,España,Desktop,94504,6519,105,9159.01,11042.59,64,Adquisición,Marta López</t>
  </si>
  <si>
    <t>2025-06-19,CMP-008,Organic Social,España,Mobile,130858,5398,467,3814.01,20812.7,338,Adquisición,Laura Pérez</t>
  </si>
  <si>
    <t>2025-12-11,CMP-011,Organic Social,España,Desktop,37196,3241,95,6767.88,18718.85,84,Retención,Luis Martín</t>
  </si>
  <si>
    <t>2025-01-10,CMP-007,Display,Portugal,Desktop,134932,4325,517,4564.93,56619.33,460,Reconocimiento,Luis Martín</t>
  </si>
  <si>
    <t>2025-03-13,CMP-003,Paid Social,Portugal,Desktop,108490,5784,746,7392.81,87293.47,607,Retención,Carlos Ruiz</t>
  </si>
  <si>
    <t>2025-05-29,CMP-005,Paid Search, México ,Desktop,135868,5358,326,2023.12,54119.0,252,Retención,Carlos Ruiz</t>
  </si>
  <si>
    <t>2025-02-09,CMP-022,Paid Search,Francia,Desktop,156932,9013,338,12009.07,23180.47,255,Reconocimiento,Marta López</t>
  </si>
  <si>
    <t>2025-05-06,CMP-030,Affiliate,,Desktop,40686,1876,75,3297.45,13984.56,49,Reconocimiento,Ana García</t>
  </si>
  <si>
    <t>2025-11-25,CMP-013,Organic Social,Francia,Mobile,105205,591,78,566.22,8377.72,64,Reconocimiento,Carlos Ruiz</t>
  </si>
  <si>
    <t>2025-04-29,CMP-011,Email,España,Mobile,178933,2203,79,3378.59,7821.78,37,Reconocimiento,Carlos Ruiz</t>
  </si>
  <si>
    <t>2025-08-09,CMP-009,Paid Social,Francia,Mobile,170675,1256,120,1442.9,7731.54,77,Conversión,Ana García</t>
  </si>
  <si>
    <t>2025-01-09,CMP-017,Paid Social,Francia,Desktop,67299,5831,360,10338.6,25726.86,259,Adquisición,Marta López</t>
  </si>
  <si>
    <t>2025-10-06,CMP-017,Paid Search,México,Desktop,10481,611,27,1214.79,883.63,16,Conversión,Marta López</t>
  </si>
  <si>
    <t>2025-08-23,CMP-009,Organic Social,España,Desktop,28524,688,4,417.14,365.27,2,Conversión,Marta López</t>
  </si>
  <si>
    <t>2025-11-16,CMP-024,Organic Social,Portugal,Tablet,176437,14105,237,27468.33,15915.38,209,Reconocimiento,Luis Martín</t>
  </si>
  <si>
    <t>2025-06-23,CMP-005,Email,España,Desktop,115688,5559,440,9599.94,95440.41,294,Conversión,Marta López</t>
  </si>
  <si>
    <t>2025-01-01,CMP-018,Display,España,Mobile,15810,432,32,653.79,3514.82,27,Retención,Carlos Ruiz</t>
  </si>
  <si>
    <t>2025-06-03,CMP-012,Paid Search,España,Desktop,53470,1545,39,735.45,4344.26,25,Reconocimiento,Luis Martín</t>
  </si>
  <si>
    <t>2025-06-23,CMP-003,Organic Social,España,Desktop,107836,9435,690,9179.0,35813.6,616,Adquisición,Laura Pérez</t>
  </si>
  <si>
    <t>2025-12-24,CMP-008,Affiliate,México,Desktop,88409,1895,208,1405.08,25368.45,153,Reconocimiento,Carlos Ruiz</t>
  </si>
  <si>
    <t>2025-03-17,CMP-020,Display,España,Desktop,54153,1177,22,850.06,2255.2,11,Reconocimiento,Carlos Ruiz</t>
  </si>
  <si>
    <t>2025-06-17,CMP-017,Organic Social,España,Mobile,170398,2581,307,2030.92,30139.93,158,Reconocimiento,Carlos Ruiz</t>
  </si>
  <si>
    <t>2025-01-06,CMP-019,Email,Francia,Desktop,131503,11374,551,11594.07,13045.91,470,Reconocimiento,Ana García</t>
  </si>
  <si>
    <t>2025-07-17,CMP-008,Organic Social,México,Tablet,4357,76,0,147.38,0.0,0,Reconocimiento,Carlos Ruiz</t>
  </si>
  <si>
    <t>2025-03-09,CMP-014,Paid Social,España,Mobile,153835,9039,226,6415.53,33304.66,111,Adquisición,Carlos Ruiz</t>
  </si>
  <si>
    <t>2025-05-05,CMP-001,Organic Social,México,Mobile,154239,5121,548,6092.93,58811.07,341,Retención,Laura Pérez</t>
  </si>
  <si>
    <t>2025-03-09,CMP-017,Paid Search,España,Mobile,3652,20,2,13.0,278.67,1,Reconocimiento,Laura Pérez</t>
  </si>
  <si>
    <t>2025-10-31,CMP-009,Paid Social,España,Desktop,168291,2775,192,1395.21,33405.13,135,Reconocimiento,Carlos Ruiz</t>
  </si>
  <si>
    <t>2025-05-09,CMP-028,Paid Search,México,Mobile,120665,8398,1084,8577.49,42890.92,563,Conversión,Ana García</t>
  </si>
  <si>
    <t>2025-08-04,CMP-012,Affiliate,España,Desktop,75171,5135,551,9981.54,47412.03,320,Reconocimiento,Marta López</t>
  </si>
  <si>
    <t>2025-12-07,CMP-020,Paid Search,España,Mobile,110768,6295,598,10180.87,82640.13,294,Conversión,Ana García</t>
  </si>
  <si>
    <t>2025-01-15,CMP-026,Email,España,Desktop,94015,7166,549,10032.92,34863.93,326,Conversión,Luis Martín</t>
  </si>
  <si>
    <t>2025-08-21,CMP-005,Organic Social,México,Desktop,138818,6807,535,9413.29,84720.36,297,Reconocimiento,Carlos Ruiz</t>
  </si>
  <si>
    <t>2025-08-28,CMP-024,Display,España,DESKTOP,7381,54,4,80.96,426.98,1,Retención,Marta López</t>
  </si>
  <si>
    <t>2025-11-21,CMP-006,Email,España,Desktop,83914,3544,404,4748.36,85178.22,192,Adquisición,Ana García</t>
  </si>
  <si>
    <t>2025-08-28,CMP-008,Email,Francia,Desktop,151380,964,120,1028.89,19639.11,67,Conversión,Luis Martín</t>
  </si>
  <si>
    <t>2025-04-21,CMP-004,Paid Social,España,Desktop,33082,905,64,711.94,8995.77,48,Conversión,Ana García</t>
  </si>
  <si>
    <t>2025-08-30,CMP-015,Affiliate,Francia,Desktop,157988,8843,1130,6551.17,225417.49,563,Reconocimiento,Carlos Ruiz</t>
  </si>
  <si>
    <t>2025-11-27,CMP-029,Paid Search,España,Desktop,14540,1121,39,620.95,5713.99,30,Adquisición,Marta López</t>
  </si>
  <si>
    <t>2025-04-26,CMP-025,Email,España,Mobile,161274,4711,400,4707.37,79327.66,306,Adquisición,Luis Martín</t>
  </si>
  <si>
    <t>2025-08-02,CMP-023,Affiliate,Portugal,Mobile,57294,1978,115,1003.79,4312.15,72,Retención,Luis Martín</t>
  </si>
  <si>
    <t>2025-06-19,CMP-003,Affiliate,España,Desktop,137271,11758,299,20066.89,47484.45,216,Reconocimiento,Ana García</t>
  </si>
  <si>
    <t>2025-05-31,CMP-009,Paid Search,España,TABLET,101640,1313,56,1612.54,7992.5,49,Retención,Marta López</t>
  </si>
  <si>
    <t>2025-02-27,cmp-017,Paid Search,España,Desktop,109709,1359,86,2143.84,7177.71,61,Conversión,Carlos Ruiz</t>
  </si>
  <si>
    <t>2025-03-13,CMP-013,Display,Francia,Mobile,42571,1818,236,3526.14,48212.43,107,Reconocimiento,Ana García</t>
  </si>
  <si>
    <t>2025-10-11,CMP-030,Paid Social,México,Desktop,9182,442,26,901.74,2508.72,14,Adquisición,Marta López</t>
  </si>
  <si>
    <t>2025-01-20,CMP-003,Affiliate,España,Mobile,112669,6856,150,8672.95,11139.85,97,Reconocimiento,Marta López</t>
  </si>
  <si>
    <t>2025-01-14,CMP-007,Display,España,Mobile,179106,2824,329,519.92,14050.65,171,Adquisición,Carlos Ruiz</t>
  </si>
  <si>
    <t>2025-12-07,CMP-005,Organic Social,España,DESKTOP,179046,14730,1870,23501.56,299302.29,1366,Adquisición,Laura Pérez</t>
  </si>
  <si>
    <t>2025-04-26,CMP-023,Affiliate,Portugal,Mobile,176129,13853,831,20566.77,14690.84,726,Conversión,Marta López</t>
  </si>
  <si>
    <t>2025-06-23,CMP-007,Affiliate,España,Mobile,158664,8954,390,10101.15,79675.42,335,Reconocimiento,Carlos Ruiz</t>
  </si>
  <si>
    <t>2025-09-22,CMP-006,Organic Social,España,Mobile,145672,3955,293,868.49,24625.15,173,Retención,Luis Martín</t>
  </si>
  <si>
    <t>2025-05-19,CMP-027,Paid Search,España,Desktop,154863,1232,169,1640.22,11001.19,111,Conversión,Carlos Ruiz</t>
  </si>
  <si>
    <t>2025-04-02,CMP-010,,México,Desktop,87557,5927,583,7246.65,60482.09,442,Conversión,Laura Pérez</t>
  </si>
  <si>
    <t>2025-07-08,CMP-022,Paid Social,España,Mobile,92895,2864,284,1340.52,37549.67,144,Retención,Luis Martín</t>
  </si>
  <si>
    <t>2025-07-25,CMP-004,Display,España,Desktop,170831,1193,142,2091.65,13203.92,85,Conversión,Laura Pérez</t>
  </si>
  <si>
    <t>2025-01-04,CMP-009,Affiliate, Francia ,Mobile,108607,9364,1164,2454.04,243444.23,1014,Conversión,Luis Martín</t>
  </si>
  <si>
    <t>2025-04-06,CMP-015,Display,Italia,Desktop,103924,7435,748,10652.13,91140.77,638,Conversión,Ana García</t>
  </si>
  <si>
    <t>2025-11-23,CMP-027,Email, España ,Mobile,135532,10997,498,22907.99,88606.06,447,Conversión,Marta López</t>
  </si>
  <si>
    <t>2025-08-02,CMP-009,Organic Social,Francia,Desktop,169741,1978,259,435.36,23300.73,158,Retención,Carlos Ruiz</t>
  </si>
  <si>
    <t>2025-08-04,CMP-029,Paid Search,España,Desktop,5815,379,19,638.59,354.26,16,Adquisición,Marta López</t>
  </si>
  <si>
    <t>2025-09-09,CMP-020,Affiliate,Francia,Desktop,91403,7958,355,5697.89,70001.48,164,Adquisición,Ana García</t>
  </si>
  <si>
    <t>2025-08-30,CMP-018,Paid Search,España,Desktop,12963,1045,9,347.6,478.11,5,Adquisición,Ana García</t>
  </si>
  <si>
    <t>2025-01-27,CMP-009,Organic Social,Francia,Mobile,16358,216,2,335.2,417.2,1,Adquisición,Marta López</t>
  </si>
  <si>
    <t>2025-09-06,CMP-019,Organic Social,España,Desktop,89532,5359,470,2317.08,24221.58,315,Reconocimiento,Luis Martín</t>
  </si>
  <si>
    <t>2025-06-10,CMP-016,Paid Social, Francia ,Desktop,94815,7093,671,13002.69,113993.99,420,Reconocimiento,Marta López</t>
  </si>
  <si>
    <t>2025-03-25,CMP-008,Paid Social,España,Desktop,149611,5200,605,2523.18,85392.85,404,Conversión,Marta López</t>
  </si>
  <si>
    <t>2025-06-15,CMP-019,Paid Social,Francia,Desktop,52248,2491,316,2233.53,10890.87,168,Conversión,Luis Martín</t>
  </si>
  <si>
    <t>2025-07-03,CMP-015,Display,Italia,Desktop,86901,1804,38,403.23,7719.65,22,Conversión,Marta López</t>
  </si>
  <si>
    <t>2025-04-21,CMP-012,Display,Italia,Mobile,5619,169,2,256.9,217.56,1,Reconocimiento,Laura Pérez</t>
  </si>
  <si>
    <t>2025-06-01,CMP-008,Paid Social,España,Mobile,56113,4807,109,1766.01,7812.74,57,Reconocimiento,Laura Pérez</t>
  </si>
  <si>
    <t>2025-02-19,CMP-023,Affiliate,Portugal,Desktop,144839,3570,341,5069.47,63812.69,179,Retención,Luis Martín</t>
  </si>
  <si>
    <t>2025-06-16,CMP-009,Paid Search, Italia ,Mobile,52422,2784,82,3392.73,7248.37,56,Conversión,Laura Pérez</t>
  </si>
  <si>
    <t>2025-03-18,CMP-023,Organic Social,Francia,Mobile,138698,4733,538,4525.89,35285.53,373,Adquisición,Marta López</t>
  </si>
  <si>
    <t>2025-09-18,CMP-030,Email,España,Desktop,114463,2867,117,1098.54,16731.13,61,Conversión,Carlos Ruiz</t>
  </si>
  <si>
    <t>2025-09-17,CMP-013,Display,España,Desktop,128688,7011,864,10793.34,139922.59,562,Conversión,Marta López</t>
  </si>
  <si>
    <t>2025-01-24,CMP-016,Paid Social,México,Desktop,76646,5658,491,11109.67,30476.62,382,Conversión,Luis Martín</t>
  </si>
  <si>
    <t>2025-05-22,CMP-005,Display,España,Mobile,89483,4811,546,8003.55,101011.36,332,Adquisición,Laura Pérez</t>
  </si>
  <si>
    <t>2025-05-20,CMP-011,Affiliate,España,Mobile,96853,6773,671,8322.19,72995.92,346,Conversión,Ana García</t>
  </si>
  <si>
    <t>2025-06-07,CMP-023,Paid Social,España,Tablet,149538,3411,76,987.41,14669.32,53,Reconocimiento,Luis Martín</t>
  </si>
  <si>
    <t>2025-02-26,CMP-028,Affiliate,España,Desktop,148207,1289,95,1939.69,20368.64,51,Retención,Marta López</t>
  </si>
  <si>
    <t>2025-10-07,CMP-007,Email,Italia,Tablet,133884,8248,718,4588.47,46257.13,560,Conversión,</t>
  </si>
  <si>
    <t>2025-02-14,CMP-017,Paid Social,España,Desktop,23137,1346,7,1260.12,232.33,3,Retención,Laura Pérez</t>
  </si>
  <si>
    <t>2025-01-03,CMP-020,Display,Espana,Mobile,157070,11262,348,6992.94,39010.84,298,Reconocimiento,Marta López</t>
  </si>
  <si>
    <t>2025-07-04,CMP-018,Organic Social,España,Mobile,136843,977,63,1782.55,4119.41,35,Reconocimiento,Luis Martín</t>
  </si>
  <si>
    <t>2025-10-01,cmp-007,Paid Search,España,Desktop,30033,935,26,1781.31,2814.07,20,Conversión,Marta López</t>
  </si>
  <si>
    <t>2025-10-22,CMP-021,Affiliate,Portugal,Desktop,23916,571,64,1133.04,7437.55,31,Adquisición,Ana García</t>
  </si>
  <si>
    <t>2025-07-08,CMP-028,Email,España,Mobile,99333,8399,1119,1811.11,165050.49,608,Adquisición,Laura Pérez</t>
  </si>
  <si>
    <t>2025-05-28,CMP-011,Paid Search,Francia,Mobile,157718,972,103,967.04,14268.76,85,Retención,Carlos Ruiz</t>
  </si>
  <si>
    <t>2025-01-07,CMP-014,Email,México,Mobile,85402,2969,68,4421.04,5516.4,42,Retención,Laura Pérez</t>
  </si>
  <si>
    <t>2025-04-06,CMP-015,Paid Social, España ,Desktop,105024,7938,743,12049.15,21658.99,581,Reconocimiento,Laura Pérez</t>
  </si>
  <si>
    <t>2025-01-22,CMP-008,Organic Social, Italia ,Desktop,141873,747,64,1551.44,1965.82,52,Retención,Luis Martín</t>
  </si>
  <si>
    <t>2025-06-13,CMP-003,Organic Social,México,Desktop,60042,3140,76,526.07,6186.28,43,Conversión,Marta López</t>
  </si>
  <si>
    <t>2025-05-10,CMP-016,Affiliate,Italia,Mobile,172625,10466,1123,10282.15,156284.4,509,Retención,Ana García</t>
  </si>
  <si>
    <t>2025-08-20,CMP-021,Email,España,Mobile,135344,2163,249,1550.05,27917.42,137,Reconocimiento,Marta López</t>
  </si>
  <si>
    <t>2025-01-28,CMP-009,Paid Search,España,Mobile,136578,3889,23,3075.99,1865.58,20,Conversión,Carlos Ruiz</t>
  </si>
  <si>
    <t>2025-04-29,CMP-023,Organic Social,Francia,Desktop,160262,14343,1612,25539.59,209416.14,1342,Retención,Ana García</t>
  </si>
  <si>
    <t>2025-11-05,CMP-023,Email,España,Mobile,110394,1522,145,729.85,20111.63,94,Retención,Marta López</t>
  </si>
  <si>
    <t>2025-01-06,CMP-004,Display,México,Mobile,48187,781,36,1310.85,5537.41,29,Reconocimiento,Carlos Ruiz</t>
  </si>
  <si>
    <t>2025-11-22,CMP-015,Display,España,Mobile,110375,9777,973,7811.37,101825.04,481,Adquisición,Ana García</t>
  </si>
  <si>
    <t>2025-03-29,CMP-027,Email,España,DESKTOP,98563,2363,45,1123.02,5171.87,39,Adquisición,Marta López</t>
  </si>
  <si>
    <t>2025-03-05,CMP-022,Email,Francia,Mobile,14251,877,23,500.86,2852.2,13,Conversión,Ana García</t>
  </si>
  <si>
    <t>2025-10-14,CMP-027,Email,España,Desktop,72561,5842,584,8074.8,48887.91,486,Reconocimiento,Carlos Ruiz</t>
  </si>
  <si>
    <t>2025-03-14,CMP-029,Paid Social,España,Mobile,117142,4804,41,4543.5,7046.53,31,Conversión,Marta López</t>
  </si>
  <si>
    <t>2025-09-06,CMP-001,Paid Search,España,Desktop,120381,5952,454,1920.71,99587.97,215,Retención,Luis Martín</t>
  </si>
  <si>
    <t>2025-02-28,CMP-025,Affiliate,México,Desktop,41777,510,5,996.11,256.56,3,Retención,Carlos Ruiz</t>
  </si>
  <si>
    <t>2025-09-15,CMP-023,Display,España,Mobile,115490,7724,99,1886.75,12835.39,47,Reconocimiento,Marta López</t>
  </si>
  <si>
    <t>2025-04-03,CMP-005,Paid Search,México,Mobile,15715,1100,123,880.71,25665.72,108,Reconocimiento,Marta López</t>
  </si>
  <si>
    <t>2025-09-08,CMP-010,Email,Portugal,Mobile,10911,934,51,1019.86,8869.98,36,Retención,Luis Martín</t>
  </si>
  <si>
    <t>2025-01-13,CMP-018,Organic Social,México,Desktop,99810,7861,672,11628.47,120282.97,542,Reconocimiento,Laura Pérez</t>
  </si>
  <si>
    <t>2025-06-14,CMP-008,Email,España,Tablet,10619,179,17,342.84,3214.83,8,Conversión,Marta López</t>
  </si>
  <si>
    <t>2025-12-28,CMP-011,Email,España,Desktop,90025,1144,73,1255.06,9979.52,51,Adquisición,Ana García</t>
  </si>
  <si>
    <t>2025-04-03,CMP-006,Paid Social,Portugal,Desktop,81086,7185,886,13671.15,66793.97,506,Conversión,Carlos Ruiz</t>
  </si>
  <si>
    <t>2025-05-06,CMP-021,Email,España,Desktop,78934,79332,48,1548.03,3063.97,25,Conversión,Luis Martín</t>
  </si>
  <si>
    <t>2025-06-28,CMP-012,Email,España,Desktop,56821,2811,216,4077.22,30212.52,155,Adquisición,Carlos Ruiz</t>
  </si>
  <si>
    <t>2025-12-16,CMP-004,Affiliate,Francia,Desktop,25649,634,32,518.81,5605.71,19,Adquisición,Ana García</t>
  </si>
  <si>
    <t>2025-03-31,CMP-029,Affiliate,Francia,Mobile,109539,9840,112,3297.03,15759.24,59,Conversión,Luis Martín</t>
  </si>
  <si>
    <t>2025-12-11,CMP-004,Paid Social,Francia,Desktop,177395,5960,586,8695.11,51765.7,335,Reconocimiento,Laura Pérez</t>
  </si>
  <si>
    <t>2025-08-21,CMP-021,Paid Social,España,Mobile,168382,12775,1286,21499.44,49231.29,647,Conversión,Carlos Ruiz</t>
  </si>
  <si>
    <t>2025-09-10,CMP-017,Affiliate,Portugal,Mobile,118162,6791,687,3366.11,14475.66,464,Reconocimiento,Ana García</t>
  </si>
  <si>
    <t>2025-03-28,CMP-011,Affiliate,España,Desktop,114348,4257,68,3812.91,1573.32,54,Conversión,Marta López</t>
  </si>
  <si>
    <t>2025-04-28,CMP-014,Display,México,Mobile,78548,3057,169,3713.93,18625.34,81,Retención,Ana García</t>
  </si>
  <si>
    <t>2025-01-07,CMP-021,Paid Social,Portugal,Mobile,17769,829,113,837.77,18650.58,70,Reconocimiento,Marta López</t>
  </si>
  <si>
    <t>2025-07-07,CMP-012,Paid Social,Italia,Desktop,110825,5430,641,5135.75,36954.26,417,Reconocimiento,Ana García</t>
  </si>
  <si>
    <t>2025-03-08,CMP-013,Email,España,Mobile,154249,8833,253,13334.45,47529.86,193,Retención,Laura Pérez</t>
  </si>
  <si>
    <t>2025-06-15,CMP-010,Organic Social,Italia,Desktop,48430,1819,229,941.97,13238.57,184,Conversión,Laura Pérez</t>
  </si>
  <si>
    <t>2025-07-30,CMP-021,Affiliate,Portugal,Mobile,68222,4016,477,6597.61,46142.43,282,Conversión,Carlos Ruiz</t>
  </si>
  <si>
    <t>2025-04-10,CMP-026,Affiliate,Portugal,Desktop,103020,8472,412,10159.8,64405.08,333,Conversión,Luis Martín</t>
  </si>
  <si>
    <t>2025-05-08,CMP-014,Paid Search,Portugal,Mobile,148483,3378,120,1502.65,3387.93,76,Conversión,Ana García</t>
  </si>
  <si>
    <t>2025-06-22,CMP-001,Display,México,Desktop,42894,2678,27,,2346.7,23,Reconocimiento,Luis Martín</t>
  </si>
  <si>
    <t>2025-12-21,CMP-014,Paid Social,España,Mobile,171491,8526,118,6728.2,3780.27,70,Reconocimiento,Ana García</t>
  </si>
  <si>
    <t>2025-05-29,CMP-009,Paid Search, España ,Mobile,43591,3178,443,3862.28,63768.57,247,Reconocimiento,Luis Martín</t>
  </si>
  <si>
    <t>2025-12-20,CMP-010,Display,España,Desktop,133385,4070,278,1988.53,37242.44,162,Conversión,Carlos Ruiz</t>
  </si>
  <si>
    <t>2025-11-08,cmp-007,Organic Social,México,Tablet,80073,6190,715,7803.69,116147.64,611,Adquisición,Carlos Ruiz</t>
  </si>
  <si>
    <t>2025-11-02,CMP-025,Display,España,Desktop,179695,4557,152,5375.99,16006.17,75,Adquisición,Laura Pérez</t>
  </si>
  <si>
    <t>2025-12-17,CMP-015,Paid Social,Francia,Desktop,64697,1713,31,2705.43,6472.04,18,Retención,Ana García</t>
  </si>
  <si>
    <t>2025-06-16,CMP-010,Organic Social,España,Mobile,163138,14476,131,5353.35,22444.65,106,Adquisición,Carlos Ruiz</t>
  </si>
  <si>
    <t>2025-09-06,CMP-027,Organic Social,España,Desktop,173723,9344,963,4643.16,188474.42,840,Reconocimiento,Marta López</t>
  </si>
  <si>
    <t>2025-11-18,CMP-021,Paid Social,España,Desktop,127934,7227,935,1967.02,142453.47,451,Reconocimiento,Carlos Ruiz</t>
  </si>
  <si>
    <t>2025-11-08,CMP-001,Email,México,Desktop,15320,97,7,61.94,969.35,5,Conversión,Carlos Ruiz</t>
  </si>
  <si>
    <t>2025-05-10,CMP-012,Affiliate,España,Desktop,119606,9820,694,11419.1,26066.86,578,Retención,Marta López</t>
  </si>
  <si>
    <t>2025-04-17,CMP-007,Paid Search,España,Desktop,124508,3605,364,2112.19,59640.25,178,Retención,Luis Martín</t>
  </si>
  <si>
    <t>2025-03-08,CMP-020,Email,Italia,Desktop,88249,7864,915,12296.1,160765.42,625,Adquisición,Laura Pérez</t>
  </si>
  <si>
    <t>2025-10-28,CMP-001,Email,México,Desktop,144739,1874,93,2064.47,14256.17,56,Retención,Laura Pérez</t>
  </si>
  <si>
    <t>2025-08-27,CMP-012,Paid Social,España,Mobile,169077,6988,165,4791.23,6505.52,139,Conversión,Carlos Ruiz</t>
  </si>
  <si>
    <t>2025-10-12,CMP-023,Affiliate,Italia,Desktop,14532,116,6,123.27,1214.21,4,Retención,Ana García</t>
  </si>
  <si>
    <t>2025-09-05,CMP-009,Paid Social,Francia,Mobile,12917,807,57,1533.07,9035.26,45,Conversión,Carlos Ruiz</t>
  </si>
  <si>
    <t>2025-01-12,CMP-002,Paid Search,México,Mobile,2889,121,3,226.68,243.48,2,Retención,Ana García</t>
  </si>
  <si>
    <t>2025-09-28,CMP-008, paid search ,Portugal,Mobile,168964,11546,701,19461.99,69814.81,544,Adquisición,Luis Martín</t>
  </si>
  <si>
    <t>2025-06-30,CMP-001,Paid Social,Francia,Desktop,125540,8307,630,1118.31,43254.52,311,Retención,Marta López</t>
  </si>
  <si>
    <t>2025-06-05,CMP-012,Paid Social,Portugal,Mobile,175998,11033,1257,2550.27,35076.39,618,Conversión,Ana García</t>
  </si>
  <si>
    <t>2025-01-28,CMP-027,Paid Search,España,Tablet,83085,5612,696,5023.66,147751.12,384,Retención,Laura Pérez</t>
  </si>
  <si>
    <t>2025-07-02,CMP-030,Paid Social,Portugal,Mobile,26160,2227,140,2223.49,5601.31,68,Adquisición,Luis Martín</t>
  </si>
  <si>
    <t>2025-05-20,CMP-024,Paid Social,España,Desktop,116991,3677,36,4326.6,3450.16,22,Reconocimiento,Carlos Ruiz</t>
  </si>
  <si>
    <t>2025-09-02,CMP-017,Affiliate,España,Mobile,68305,3598,68,6860.89,6713.7,35,Reconocimiento,Ana García</t>
  </si>
  <si>
    <t>2025-02-25,CMP-002,Display,México,Mobile,85214,2819,76,5775.02,2608.8,39,Adquisición,Ana García</t>
  </si>
  <si>
    <t>2025-12-27,CMP-019,Email,Francia,Desktop,57983,2757,248,5114.08,24256.77,133,Adquisición,Luis Martín</t>
  </si>
  <si>
    <t>2025-03-14,CMP-001,Organic Social,Francia,Mobile,175397,15195,1073,29749.36,162478.39,673,Conversión,Laura Pérez</t>
  </si>
  <si>
    <t>2025-03-28,CMP-023,Paid Search,Francia,Mobile,9244,527,22,294.24,3608.86,17,Reconocimiento,Marta López</t>
  </si>
  <si>
    <t>2025-10-25,CMP-021,Display,Portugal,Desktop,91158,1012,127,1820.13,25754.37,71,Reconocimiento,Luis Martín</t>
  </si>
  <si>
    <t>2025-03-14,CMP-003,Affiliate,España,Mobile,53224,2096,93,4157.59,5710.81,75,Reconocimiento,Marta López</t>
  </si>
  <si>
    <t>2025-06-19,CMP-019,Paid Search,Francia,Desktop,156433,12906,1134,11515.33,30592.76,881,Adquisición,Carlos Ruiz</t>
  </si>
  <si>
    <t>2025-06-16,CMP-014,Organic Social,Portugal,Tablet,84387,4921,92,9780.67,6261.48,49,Adquisición,Marta López</t>
  </si>
  <si>
    <t>2025-03-07,CMP-016,Paid Search,España,Desktop,8364,123,9,71.52,253.81,6,Adquisición,Ana García</t>
  </si>
  <si>
    <t>2025-09-01,CMP-010,Affiliate,México,Desktop,151532,12136,135,17153.29,15798.49,118,Conversión,Luis Martín</t>
  </si>
  <si>
    <t>2025-09-30,CMP-011,Paid Search,Italia,Desktop,144892,7727,951,1167.6,142820.71,533,Retención,Laura Pérez</t>
  </si>
  <si>
    <t>2025-04-03,CMP-029,Display, México ,Mobile,150028,5060,514,2164.09,63297.43,296,Reconocimiento,Carlos Ruiz</t>
  </si>
  <si>
    <t>2025-03-28,CMP-029,Organic Social,Portugal,Desktop,34270,2993,48,5345.06,3864.37,29,Retención,Carlos Ruiz</t>
  </si>
  <si>
    <t>2025-03-16,CMP-020,Paid Social, Francia ,Desktop,1874,99,5,83.64,689.95,2,Retención,Ana García</t>
  </si>
  <si>
    <t>2025-05-08,CMP-003,Email,Portugal,Desktop,137094,7774,393,14541.86,20997.77,343,Reconocimiento,Laura Pérez</t>
  </si>
  <si>
    <t>2025-03-21,CMP-028,Email,España,Mobile,136032,1613,151,1596.0,5546.95,109,Retención,Marta López</t>
  </si>
  <si>
    <t>2025-08-18,CMP-002,Paid Social,España,Mobile,64229,4631,51,7902.36,1897.58,23,Retención,Laura Pérez</t>
  </si>
  <si>
    <t>2025-04-24,CMP-003,Paid Search,México,Mobile,105694,837,16,1376.23,607.0,11,Reconocimiento,Laura Pérez</t>
  </si>
  <si>
    <t>2025-08-03,CMP-003,Organic Social,España,Mobile,158706,11332,1074,11128.01,193634.02,666,Adquisición,Carlos Ruiz</t>
  </si>
  <si>
    <t>2025-05-09,CMP-006,Paid Search,México,Desktop,3407,24,1,39.2,172.19,0,Reconocimiento,Luis Martín</t>
  </si>
  <si>
    <t>2025-05-08,CMP-005,Paid Search,Francia,Desktop,124110,1751,47,3573.66,8694.34,38,Conversión,Ana García</t>
  </si>
  <si>
    <t>2025-03-16,CMP-024,Affiliate,España,Desktop,103870,2016,70,3023.26,4189.51,44,Reconocimiento,Marta López</t>
  </si>
  <si>
    <t>2025-03-14,CMP-015,Display,España,Mobile,75381,1741,218,1732.43,32543.71,98,Adquisición,Luis Martín</t>
  </si>
  <si>
    <t>2025-01-23,CMP-016,Paid Search,Portugal,Desktop,171176,11005,724,20071.7,22382.26,527,Reconocimiento,Ana García</t>
  </si>
  <si>
    <t>2025-12-26,CMP-026,Organic Social,España,Desktop,134355,867,27,1778.99,4043.15,21,Retención,Marta López</t>
  </si>
  <si>
    <t>2025-11-25,CMP-007,Affiliate,España,Mobile,152677,12307,585,5434.15,12185.95,501,Adquisición,Ana García</t>
  </si>
  <si>
    <t>2025-05-27,CMP-015,Paid Search,España,Mobile,47951,896,43,1668.04,2366.06,28,Reconocimiento,Carlos Ruiz</t>
  </si>
  <si>
    <t>2025-01-17,CMP-025,Display,España,Mobile,17221,1244,123,1902.44,23709.45,80,Reconocimiento,Luis Martín</t>
  </si>
  <si>
    <t>2025-02-26,CMP-011,Paid Social,España,Mobile,64373,1115,122,962.21,12517.02,98,Reconocimiento,Marta López</t>
  </si>
  <si>
    <t>2025-08-04,CMP-006,Display,España,Desktop,74397,1633,213,689.46,20691.45,95,Retención,Carlos Ruiz</t>
  </si>
  <si>
    <t>2025-10-06,CMP-028,Paid Search,Francia,Desktop,68463,2798,113,5291.64,20327.22,80,Conversión,Ana García</t>
  </si>
  <si>
    <t>2025-08-30,CMP-021,Organic Social,España,Desktop,118978,8992,1171,1391.39,203724.65,557,Reconocimiento,Ana García</t>
  </si>
  <si>
    <t>2025-02-28,CMP-013,Email,Francia,Desktop,61899,2080,133,3165.87,7164.27,91,Conversión,Marta López</t>
  </si>
  <si>
    <t>2025-10-24,CMP-027,Affiliate,Francia,Desktop,38441,1203,83,353.0,4209.84,45,Conversión,Laura Pérez</t>
  </si>
  <si>
    <t>2025-08-03,CMP-026,Email,España,Desktop,179572,12201,942,13510.98,167325.27,512,Adquisición,Carlos Ruiz</t>
  </si>
  <si>
    <t>2025-06-17,CMP-016,Display,México,Desktop,15935,1301,115,1238.22,12768.87,91,Retención,Ana García</t>
  </si>
  <si>
    <t>2025-04-25,CMP-026,Paid Social,Italia,Mobile,72739,1797,77,2076.18,10066.38,39,Adquisición,Carlos Ruiz</t>
  </si>
  <si>
    <t>2025-08-29,CMP-026,Paid Social,España,Mobile,112626,1406,18,289.36,805.83,13,Adquisición,Ana García</t>
  </si>
  <si>
    <t>2025-04-27,CMP-008,Email,España,Mobile,79966,4398,360,7998.2,10434.65,237,Reconocimiento,Laura Pérez</t>
  </si>
  <si>
    <t>2025-01-17,CMP-025,Paid Social,Italia,Mobile,20288,863,29,974.74,4127.56,19,Adquisición,Luis Martín</t>
  </si>
  <si>
    <t>2025-09-13,CMP-025,Display,España,Desktop,179624,7442,712,5662.89,151077.67,455,Reconocimiento,Laura Pérez</t>
  </si>
  <si>
    <t>2025-02-16,CMP-015,Organic Social,Francia,Desktop,131266,8744,394,1678.44,18661.67,304,Adquisición,Laura Pérez</t>
  </si>
  <si>
    <t>2025-02-19,CMP-013,Organic Social,,Desktop,62047,4603,213,8542.27,15293.41,123,Adquisición,Carlos Ruiz</t>
  </si>
  <si>
    <t>2025-11-29,CMP-008,Display,España,Desktop,178805,4889,232,3787.09,42097.83,122,Reconocimiento,Carlos Ruiz</t>
  </si>
  <si>
    <t>2025-12-30,CMP-024,Display,España,Desktop,150843,11566,412,22706.01,12086.79,317,Adquisición,Laura Pérez</t>
  </si>
  <si>
    <t>2025-04-10,CMP-014,Affiliate,España,Desktop,120666,6149,428,8464.79,66365.92,347,Retención,Carlos Ruiz</t>
  </si>
  <si>
    <t>2025-03-22,CMP-001,Affiliate,Francia,Desktop,114607,2862,337,803.33,58408.58,254,Reconocimiento,Carlos Ruiz</t>
  </si>
  <si>
    <t>2025-07-13,CMP-020,Paid Social,Francia,Mobile,171491,8552,235,8114.71,40299.3,151,Reconocimiento,Laura Pérez</t>
  </si>
  <si>
    <t>2025-03-24,CMP-022,Paid Search,España,Mobile,103572,1514,94,211.42,1413.25,69,Conversión,Luis Martín</t>
  </si>
  <si>
    <t>2025-03-11,CMP-017,Email,España,Desktop,116849,10176,765,2679.28,20455.93,411,Retención,Luis Martín</t>
  </si>
  <si>
    <t>2025-02-11,CMP-002,Paid Search,Portugal,Desktop,105814,1794,90,3585.65,17010.92,57,Adquisición,Laura Pérez</t>
  </si>
  <si>
    <t>2025-12-05,CMP-019,Affiliate,España,Mobile,172769,833,19,1328.0,3828.01,15,Reconocimiento,Luis Martín</t>
  </si>
  <si>
    <t>2025-07-14,CMP-001,Email,Portugal,Mobile,1162,95,7,177.98,373.6,4,Adquisición,Laura Pérez</t>
  </si>
  <si>
    <t>2025-07-24,CMP-014,Paid Search,Portugal,Desktop,142268,8529,598,13539.01,51756.65,294,Reconocimiento,Luis Martín</t>
  </si>
  <si>
    <t>2025-12-29,CMP-006,Organic Social,España,Desktop,82712,7252,172,2041.56,19367.77,82,Conversión,Marta López</t>
  </si>
  <si>
    <t>2025-12-12,CMP-023,Paid Social,España,Mobile,97376,2244,120,4397.3,14261.13,104,Retención,Laura Pérez</t>
  </si>
  <si>
    <t>2025-08-27,CMP-017,Organic Social,Francia,Desktop,166563,8995,430,13758.51,30805.32,375,Conversión,Carlos Ruiz</t>
  </si>
  <si>
    <t>2025-10-19,CMP-009,Paid Social,Francia,Tablet,55100,390,16,702.4,3285.18,11,Adquisición,Carlos Ruiz</t>
  </si>
  <si>
    <t>2025-05-21,CMP-012,Paid Search,Italia,Tablet,133127,1418,126,372.76,18393.2,99,Reconocimiento,Marta López</t>
  </si>
  <si>
    <t>2025-03-11,CMP-015,Email,Francia,Tablet,20580,1144,113,2043.93,5066.73,59,Retención,Ana García</t>
  </si>
  <si>
    <t>2025-07-28,CMP-017,Paid Search,España,Mobile,165394,2853,192,5515.12,23758.79,147,Adquisición,Marta López</t>
  </si>
  <si>
    <t>2025-03-26,CMP-025, paid search ,España,Mobile,153030,6948,615,2816.4,115556.33,551,Adquisición,Ana García</t>
  </si>
  <si>
    <t>2025-07-03,CMP-030,Paid Social,España,Desktop,3921,186,7,114.17,1171.28,4,Conversión,Luis Martín</t>
  </si>
  <si>
    <t>2025-04-16,CMP-024,Paid Social,España,Desktop,80677,3625,494,3292.77,25757.86,414,Conversión,Luis Martín</t>
  </si>
  <si>
    <t>2025-02-04,CMP-020,Paid Search,España,Mobile,108337,3200,389,443.02,63561.87,307,Adquisición,Carlos Ruiz</t>
  </si>
  <si>
    <t>2025-11-18,CMP-008,Organic Social,España,Mobile,112306,9531,970,5696.44,193078.33,514,Conversión,Ana García</t>
  </si>
  <si>
    <t>2025-09-25,CMP-023,Paid Search,España,Desktop,80508,6174,831,12758.11,98280.13,638,Adquisición,Ana García</t>
  </si>
  <si>
    <t>2025-11-18,CMP-008,Email,Francia,Desktop,6706,479,37,973.5,672.7,24,Retención,Marta López</t>
  </si>
  <si>
    <t>2025-05-08,CMP-007,Affiliate,Italia,Mobile,49150,3695,51,4441.67,7828.93,24,Adquisición,Ana García</t>
  </si>
  <si>
    <t>2025-05-30,CMP-018,Organic Social,Portugal,Desktop,9589,638,36,232.95,7886.28,23,Retención,Marta López</t>
  </si>
  <si>
    <t>2025-02-21,CMP-017,Paid Search,España,Desktop,76120,4014,546,2136.65,65611.15,361,Reconocimiento,Laura Pérez</t>
  </si>
  <si>
    <t>2025-02-10,CMP-010,Paid Social,Francia,Mobile,95972,986,28,1072.34,5741.78,22,Reconocimiento,Carlos Ruiz</t>
  </si>
  <si>
    <t>2025-01-30,CMP-013,Affiliate,España,MOBILE,176952,10671,955,16314.27,168400.17,670,Retención,Laura Pérez</t>
  </si>
  <si>
    <t>2025-05-18,CMP-011,Affiliate, México ,Mobile,53552,2249,170,3539.52,20810.72,141,Retención,Ana García</t>
  </si>
  <si>
    <t>2025-03-29,CMP-021,Affiliate,España,Desktop,93683,661,4,655.41,604.12,2,Reconocimiento,Carlos Ruiz</t>
  </si>
  <si>
    <t>2025-08-17,CMP-002,Email,México,Tablet,56276,460,14,369.18,3077.41,10,Reconocimiento,Laura Pérez</t>
  </si>
  <si>
    <t>2025-08-23,CMP-027,Email,Francia,Tablet,23456,1825,32,3777.26,6704.32,14,Adquisición,Ana García</t>
  </si>
  <si>
    <t>2025-02-23,CMP-027,Paid Social,España,Desktop,2439,149,8,100.0,327.49,5,Retención,Carlos Ruiz</t>
  </si>
  <si>
    <t>2025-04-14,CMP-030,Paid Social, México ,Desktop,156012,3591,3628,5485.86,88579.93,296,Retención,Luis Martín</t>
  </si>
  <si>
    <t>2025-08-05,CMP-016,Email,México,Desktop,173230,11924,1645,11479.55,304204.22,1144,Reconocimiento,Luis Martín</t>
  </si>
  <si>
    <t>2025-12-04,CMP-013,Organic Social,Portugal,Desktop,22865,460,25,927.36,3465.97,11,Reconocimiento,Luis Martín</t>
  </si>
  <si>
    <t>2025-01-11,CMP-021,Paid Search,España,Desktop,65882,1224,50,2353.34,7977.19,33,Retención,Luis Martín</t>
  </si>
  <si>
    <t>2025-02-09,CMP-020,Paid Search,España,Mobile,178182,8974,511,13140.71,111714.96,422,Reconocimiento,Laura Pérez</t>
  </si>
  <si>
    <t>2025-04-10,CMP-010,Paid Search,Francia,Mobile,77014,3981,280,4426.57,40102.15,198,Retención,Laura Pérez</t>
  </si>
  <si>
    <t>2025-09-06,CMP-017,Email,Portugal,Desktop,176682,13206,1272,4385.31,277076.04,672,Retención,Laura Pérez</t>
  </si>
  <si>
    <t>2025-05-20,CMP-002,Display,México,Mobile,142911,8008,867,13892.23,81223.24,753,Conversión,Laura Pérez</t>
  </si>
  <si>
    <t>2025-08-08,CMP-011,Display,España,Desktop,39450,2980,223,595.88,47662.21,113,Reconocimiento,Carlos Ruiz</t>
  </si>
  <si>
    <t>2025-10-26,CMP-005,Email,España,Mobile,39011,3388,373,6701.66,62472.22,175,Reconocimiento,Laura Pérez</t>
  </si>
  <si>
    <t>2025-10-14,CMP-012,Paid Search,España,Desktop,73538,2640,298,2968.35,17641.77,215,Conversión,Laura Pérez</t>
  </si>
  <si>
    <t>2025-07-18,CMP-002,Paid Social,España,Desktop,34831,2795,66,633.7,8768.14,38,Reconocimiento,Luis Martín</t>
  </si>
  <si>
    <t>2025-04-20,CMP-004, email ,Italia,Desktop,57008,1663,182,2872.78,18341.77,135,Reconocimiento,Luis Martín</t>
  </si>
  <si>
    <t>2025-05-03,CMP-025,Display,México,Mobile,159247,2760,341,1344.65,5226.42,214,Adquisición,Luis Martín</t>
  </si>
  <si>
    <t>2025-06-15,CMP-028,Email,España,Desktop,20808,514,46,166.89,7574.86,34,Conversión,Luis Martín</t>
  </si>
  <si>
    <t>2025-11-28,CMP-028,Display,España,Desktop,41853,585,53,906.25,5643.16,27,Retención,Carlos Ruiz</t>
  </si>
  <si>
    <t>2025-07-06,CMP-002,Paid Social,España,Desktop,104588,2472,142,832.3,11870.18,102,Conversión,Luis Martín</t>
  </si>
  <si>
    <t>2025-10-10,CMP-025,Email,España,Mobile,145436,1104,27,572.88,4268.94,23,Reconocimiento,Luis Martín</t>
  </si>
  <si>
    <t>2025-11-20,CMP-004,Affiliate,España,Mobile,25969,516,64,745.61,2220.69,37,Conversión,Carlos Ruiz</t>
  </si>
  <si>
    <t>2025-08-14,CMP-010,Email,Italia,Desktop,80817,5906,496,11741.17,82847.68,439,Retención,Luis Martín</t>
  </si>
  <si>
    <t>2025-10-18,CMP-028, email ,España,Mobile,97690,3481,217,1952.13,37073.89,148,Conversión,</t>
  </si>
  <si>
    <t>2025-08-16,CMP-011,Paid Social,España,Desktop,11816,803,8,346.29,745.29,4,Reconocimiento,Laura Pérez</t>
  </si>
  <si>
    <t>2025-06-11,CMP-009,Organic Social,México,Mobile,85263,2892,324,356.14,40983.31,200,Retención,Marta López</t>
  </si>
  <si>
    <t>2025-10-24,CMP-005,Paid Social, España ,Mobile,75858,6028,377,683.81,69660.91,193,Conversión,Luis Martín</t>
  </si>
  <si>
    <t>2025-11-25,CMP-021,Email,España,Mobile,46519,896,26,1246.43,4074.71,12,Retención,Ana García</t>
  </si>
  <si>
    <t>2025-03-18,CMP-017,Paid Search,Portugal,Desktop,8716,633,28,425.02,3925.31,17,Reconocimiento,Carlos Ruiz</t>
  </si>
  <si>
    <t>2025-01-17,cmp-009,Display,México,Mobile,17438,211,26,37.34,4020.37,14,Adquisición,Ana García</t>
  </si>
  <si>
    <t>2025-07-26,CMP-011,Organic Social,Italia,Mobile,3011,123,2,19.64,396.37,1,Reconocimiento,Marta López</t>
  </si>
  <si>
    <t>2025-02-09,CMP-012,Organic Social,Portugal,Desktop,23510,470,33,839.59,6278.69,22,Retención,Laura Pérez</t>
  </si>
  <si>
    <t>2025-10-06,CMP-002,Paid Search,Francia,Desktop,158769,8117,365,13976.51,27294.44,257,Retención,Laura Pérez</t>
  </si>
  <si>
    <t>2025-12-22,CMP-008,Organic Social,España,Desktop,80262,4565,272,2446.76,43241.66,185,Reconocimiento,Luis Martín</t>
  </si>
  <si>
    <t>2025-09-26,CMP-007,Paid Search,México,Desktop,118229,10169,214,8244.91,19736.33,175,Conversión,Laura Pérez</t>
  </si>
  <si>
    <t>2025-10-10,CMP-007,Paid Search,México,Desktop,148462,8117,784,3246.35,111959.65,408,Conversión,Luis Martín</t>
  </si>
  <si>
    <t>2025-06-29,CMP-008,Paid Search,México,Mobile,123827,1661,89,3477.56,2944.48,66,Reconocimiento,Marta López</t>
  </si>
  <si>
    <t>2025-04-02,CMP-016, email ,Francia,Desktop,49315,1724,9,374.6,1972.92,4,Adquisición,Laura Pérez</t>
  </si>
  <si>
    <t>2025-06-13,CMP-024,Paid Search,Portugal,Mobile,46109,3417,321,3192.09,26471.12,223,Conversión,Ana García</t>
  </si>
  <si>
    <t>2025-07-16,CMP-010,Paid Search,España,Mobile,23638,128,1,13.76,66.05,0,Adquisición,Luis Martín</t>
  </si>
  <si>
    <t>2025-11-21,CMP-030,Paid Search,Portugal,Desktop,150337,4507,330,8435.95,19284.84,199,Adquisición,Luis Martín</t>
  </si>
  <si>
    <t>2025-11-24,CMP-015,Paid Search,Francia,Mobile,24563,1730,225,1997.52,47315.39,161,Adquisición,Marta López</t>
  </si>
  <si>
    <t>2025-08-20,CMP-029,Email,España,Desktop,62233,3567,218,6164.11,19257.61,179,Reconocimiento,Luis Martín</t>
  </si>
  <si>
    <t>2025-09-04,CMP-025,Display,Francia,Desktop,16619,508,16,114.47,2210.91,10,Reconocimiento,Luis Martín</t>
  </si>
  <si>
    <t>2025-07-10,CMP-010,Paid Social,España,Mobile,169528,7933,628,13027.5,100367.9,523,Adquisición,Ana García</t>
  </si>
  <si>
    <t>2025-05-17,CMP-022,Organic Social,España,Desktop,140744,6832,160,2048.9,29697.01,83,Reconocimiento,Marta López</t>
  </si>
  <si>
    <t>2025-05-12,CMP-022,Organic Social,Italia,Mobile,91058,4463,325,953.8,7459.12,272,Retención,Marta López</t>
  </si>
  <si>
    <t>2025-04-08,CMP-030,Email,España,Desktop,52778,1859,88,3484.66,14022.66,44,Reconocimiento,Marta López</t>
  </si>
  <si>
    <t>2025-01-06,CMP-012,Paid Search,Portugal,Mobile,88726,1710,75,1350.76,12830.36,59,Adquisición,Luis Martín</t>
  </si>
  <si>
    <t>2025-10-22,CMP-029,Paid Social,Italia,Mobile,151314,9761,9790,11377.62,61417.41,834,Adquisición,Carlos Ruiz</t>
  </si>
  <si>
    <t>2025-11-30,CMP-007,Paid Search,México,Desktop,96731,7280,261,2957.33,6192.78,211,Retención,Marta López</t>
  </si>
  <si>
    <t>2025-06-19,CMP-016,Organic Social,Francia,Desktop,39027,2516,225,3206.42,30724.28,192,Retención,Ana García</t>
  </si>
  <si>
    <t>2025-03-29,CMP-007,Affiliate,España,TABLET,169346,9690,944,4182.46,151059.42,699,Reconocimiento,Luis Martín</t>
  </si>
  <si>
    <t>2025-06-18,CMP-015, affiliate ,España,Desktop,178812,1519,56,2311.06,4607.66,42,Adquisición,Laura Pérez</t>
  </si>
  <si>
    <t>2025-03-08,CMP-005,Affiliate,México,Mobile,111279,7583,432,2838.59,55583.3,346,Conversión,Laura Pérez</t>
  </si>
  <si>
    <t>2025-12-09,CMP-005,Display,Francia,Mobile,138731,11011,1069,3982.96,36314.43,534,Adquisición,Carlos Ruiz</t>
  </si>
  <si>
    <t>2025-09-17,CMP-020, paid search ,México,Mobile,13383,663,63,129.6,1082.62,36,Reconocimiento,Carlos Ruiz</t>
  </si>
  <si>
    <t>2025-06-07,CMP-019,Organic Social,España,Mobile,54845,2453,25,4036.48,1395.53,15,Adquisición,Laura Pérez</t>
  </si>
  <si>
    <t>2025-05-14,CMP-015,Organic Social,España,Desktop,111803,1084,135,1072.39,17073.8,120,Adquisición,Luis Martín</t>
  </si>
  <si>
    <t>2025-04-06,CMP-003,Paid Social,España,Desktop,110939,4039,117,6618.77,20530.71,98,Retención,Laura Pérez</t>
  </si>
  <si>
    <t>2025-05-20,CMP-010,Organic Social,Francia,Mobile,129790,790,87,1352.45,14281.58,43,Adquisición,Luis Martín</t>
  </si>
  <si>
    <t>2025-12-06,CMP-025,Paid Search,México,Desktop,124952,6875,91,3521.97,4253.42,70,Retención,Luis Martín</t>
  </si>
  <si>
    <t>2025-01-22,CMP-021,Display,España,Mobile,141781,11568,796,9844.53,50838.76,503,Conversión,Marta López</t>
  </si>
  <si>
    <t>2025-06-06,CMP-007,Organic Social,España,Desktop,20277,1600,140,1806.65,6237.7,117,Retención,Carlos Ruiz</t>
  </si>
  <si>
    <t>2025-10-10,CMP-024,,Portugal,Mobile,18500,1656,18,2295.03,3644.14,14,Retención,Carlos Ruiz</t>
  </si>
  <si>
    <t>2025-01-24,CMP-030,Affiliate,Italia,Mobile,47596,1850,245,2493.3,53588.42,131,Retención,Laura Pérez</t>
  </si>
  <si>
    <t>2025-08-20,CMP-017,Paid Social,España,Mobile,108306,8389,967,7668.25,130326.22,650,Conversión,Marta López</t>
  </si>
  <si>
    <t>2025-06-23,CMP-010,Display,España,Desktop,170870,2505,58,3533.01,4634.39,43,Adquisición,Carlos Ruiz</t>
  </si>
  <si>
    <t>2025-10-31,CMP-013,Paid Search,México,Mobile,154720,5156,344,5514.36,65999.41,291,Reconocimiento,Carlos Ruiz</t>
  </si>
  <si>
    <t>2025-07-19,CMP-016,Email,México,Desktop,105531,1779,97,2397.82,14815.12,45,Reconocimiento,Marta López</t>
  </si>
  <si>
    <t>2025-04-01,CMP-026,Paid Search,Portugal,Desktop,150936,5880,732,10803.19,83522.41,381,Adquisición,Marta López</t>
  </si>
  <si>
    <t>2025-11-23,CMP-008,Display,España,Desktop,141521,11874,622,1603.67,92673.96,365,Adquisición,Luis Martín</t>
  </si>
  <si>
    <t>2025-03-25,CMP-018,Paid Social,España,Desktop,14517,427,58,619.94,2722.83,37,Retención,Marta López</t>
  </si>
  <si>
    <t>2025-11-16,CMP-025,Organic Social,Francia,Mobile,104634,7855,458,6478.7,83699.19,360,Adquisición,Laura Pérez</t>
  </si>
  <si>
    <t>2025-02-01,CMP-007,Display, España ,Desktop,69685,6204,360,5547.72,50927.26,268,Adquisición,Luis Martín</t>
  </si>
  <si>
    <t>2025-02-03,CMP-018,Affiliate,España,Desktop,105828,1596,198,2053.38,32741.25,102,Reconocimiento,Marta López</t>
  </si>
  <si>
    <t>2025-06-06,CMP-009,Email,Francia,DESKTOP,65462,1781,79,1507.78,11500.07,46,Conversión,Ana García</t>
  </si>
  <si>
    <t>2025-06-21,CMP-013,Display,México,Mobile,31248,2618,298,3166.54,27031.68,181,Conversión,Marta López</t>
  </si>
  <si>
    <t>2025-05-08,CMP-003,Organic Social,Italia,Mobile,1025,65,8,36.64,1579.3,4,Retención,Marta López</t>
  </si>
  <si>
    <t>2025-12-14,CMP-018, affiliate ,España,Mobile,142872,5740,753,4988.3,157776.14,544,Reconocimiento,Marta López</t>
  </si>
  <si>
    <t>2025-08-28,CMP-005,Email,España,Mobile,117663,6184,690,9917.45,114306.39,366,Retención,Ana García</t>
  </si>
  <si>
    <t>2025-09-13,CMP-005,Organic Social,México,Mobile,45185,3674,418,989.34,36013.41,234,Reconocimiento,Luis Martín</t>
  </si>
  <si>
    <t>2025-01-12,CMP-027,Organic Social,Portugal,Mobile,13467,587,18,111.03,1749.98,10,Conversión,Laura Pérez</t>
  </si>
  <si>
    <t>2025-01-24,CMP-028,Email,España,Desktop,15231,971,33,1440.26,3451.4,18,Conversión,Carlos Ruiz</t>
  </si>
  <si>
    <t>2025-05-18,CMP-013,Affiliate,España,Mobile,123596,2576,132,2550.98,6405.52,117,Reconocimiento,Carlos Ruiz</t>
  </si>
  <si>
    <t>2025-12-25,CMP-012,Paid Social,Francia,Mobile,30971,508,63,863.58,954.92,45,Reconocimiento,Laura Pérez</t>
  </si>
  <si>
    <t>2025-06-13,CMP-013,Affiliate,México,Desktop,6679,119,2,174.38,96.04,1,Conversión,Laura Pérez</t>
  </si>
  <si>
    <t>2025-12-20,CMP-012,Paid Search,España,Mobile,71914,4965,161,4667.07,28450.6,117,Retención,Luis Martín</t>
  </si>
  <si>
    <t>2025-04-08,CMP-004,Organic Social,España,Tablet,3495,213,2,145.43,323.07,1,Conversión,Luis Martín</t>
  </si>
  <si>
    <t>2025-12-24,CMP-014,Affiliate,Portugal,Desktop,153561,8864,737,15850.88,72650.81,608,Conversión,Ana García</t>
  </si>
  <si>
    <t>2025-06-25,CMP-005,Affiliate,España,Desktop,60169,2765,114,1161.5,7020.84,52,Reconocimiento,Luis Martín</t>
  </si>
  <si>
    <t>2025-05-21,CMP-022,Paid Search,España,Mobile,75567,3022,352,2106.15,22871.69,314,Adquisición,Luis Martín</t>
  </si>
  <si>
    <t>2025-08-18,CMP-012,Paid Search,España,Desktop,40005,2187,248,651.98,23120.65,199,Conversión,Marta López</t>
  </si>
  <si>
    <t>2025-01-29,CMP-014,Paid Search,España,Desktop,155722,7415,1015,12585.94,87081.32,821,Conversión,Laura Pérez</t>
  </si>
  <si>
    <t>2025-07-11,CMP-024,Paid Social,México,Mobile,176788,13555,1810,22642.93,313851.81,1397,Adquisición,Laura Pérez</t>
  </si>
  <si>
    <t>2025-02-26,CMP-010,Display,México,Desktop,83520,7210,45,3971.98,7863.71,27,Adquisición,Luis Martín</t>
  </si>
  <si>
    <t>2025-01-28,CMP-021,Paid Search,Francia,Desktop,66963,5174,159,3707.43,30141.67,103,Reconocimiento,Marta López</t>
  </si>
  <si>
    <t>2025-02-20,CMP-026,Organic Social,España,Desktop,131552,7390,394,14746.13,56382.5,232,Adquisición,Luis Martín</t>
  </si>
  <si>
    <t>2025-11-18,CMP-018,Affiliate,España,Mobile,25044,1593,28,905.16,2069.69,16,Conversión,Laura Pérez</t>
  </si>
  <si>
    <t>2025-11-14,CMP-004,Organic Social,Portugal,Mobile,93010,1208,132,1757.33,25499.38,80,Retención,Ana García</t>
  </si>
  <si>
    <t>2025-10-01,CMP-005,Organic Social,Francia,Desktop,62252,3841,29,7114.33,5839.92,22,Conversión,Laura Pérez</t>
  </si>
  <si>
    <t>2025-08-14,CMP-028,Organic Social,España,MOBILE,172079,12450,922,6512.12,90286.16,690,Reconocimiento,Laura Pérez</t>
  </si>
  <si>
    <t>2025-01-20,CMP-024,Affiliate,México,Mobile,86509,5627,554,2602.64,109245.61,387,Adquisición,Laura Pérez</t>
  </si>
  <si>
    <t>2025-02-06,CMP-026,Email,España,Desktop,12310,596,19,219.54,1383.9,12,Retención,Luis Martín</t>
  </si>
  <si>
    <t>2025-07-14,CMP-014,Paid Social,México,Desktop,34056,2096,148,2903.2,22649.43,131,Retención,Laura Pérez</t>
  </si>
  <si>
    <t>2025-12-04,CMP-006,Organic Social,Francia,Desktop,137453,5153,48,9012.7,725.98,38,Reconocimiento,Marta López</t>
  </si>
  <si>
    <t>2025-05-06,CMP-007,Paid Social,México,Mobile,88028,860,14,813.48,407.24,8,Adquisición,Ana García</t>
  </si>
  <si>
    <t>2025-01-18,CMP-024,Email,España,Mobile,125817,3590,492,5254.97,21494.88,308,Retención,Carlos Ruiz</t>
  </si>
  <si>
    <t>2025-04-29,CMP-024,Display, España ,Mobile,74838,3310,254,2216.05,4593.86,124,Reconocimiento,Ana García</t>
  </si>
  <si>
    <t>2025-01-27,cmp-018,Affiliate,España,Desktop,66713,5561,610,10005.93,74528.24,501,Conversión,Laura Pérez</t>
  </si>
  <si>
    <t>2025-02-25,CMP-001,Organic Social,Portugal,Mobile,85218,6975,741,12876.21,44547.56,596,Conversión,Laura Pérez</t>
  </si>
  <si>
    <t>2025-07-28,CMP-012,Email,Portugal,Desktop,88432,5971,280,9512.51,56394.42,249,Conversión,Laura Pérez</t>
  </si>
  <si>
    <t>2025-07-07,CMP-003,Display,México,Tablet,144023,12595,1188,22609.94,183094.21,840,Conversión,Luis Martín</t>
  </si>
  <si>
    <t>2025-12-08,CMP-027,Email,México,Mobile,12247,721,71,1219.23,5280.11,54,Adquisición,Luis Martín</t>
  </si>
  <si>
    <t>2025-07-11,CMP-017,Email,México,Mobile,5481,74,3,126.8,164.0,2,Retención,Carlos Ruiz</t>
  </si>
  <si>
    <t>2025-11-05,CMP-004,Email,México,Desktop,77501,1774,68,947.37,6043.49,51,Reconocimiento,Laura Pérez</t>
  </si>
  <si>
    <t>2025-12-19,CMP-020,Paid Search,Francia,Mobile,63275,4902,62,4845.19,8266.04,29,Conversión,Marta López</t>
  </si>
  <si>
    <t>2025-09-28,CMP-002,Paid Social,España,Desktop,169426,9431,876,2895.52,186342.29,756,Adquisición,Laura Pérez</t>
  </si>
  <si>
    <t>2025-02-23,CMP-021,Affiliate,España,Desktop,34835,2812,343,3528.38,72886.85,200,Reconocimiento,Marta López</t>
  </si>
  <si>
    <t>2025-04-05,CMP-003,Affiliate,Italia,Mobile,121890,615,21,893.36,972.26,10,Retención,Luis Martín</t>
  </si>
  <si>
    <t>2025-11-29,CMP-019,Organic Social,Portugal,Mobile,76031,4118,186,7725.1,14664.85,94,Conversión,Carlos Ruiz</t>
  </si>
  <si>
    <t>2025-09-25,CMP-025,Paid Search,España,Desktop,117760,3365,97,,6413.48,53,Reconocimiento,Carlos Ruiz</t>
  </si>
  <si>
    <t>2025-11-05,CMP-022, display ,España,Desktop,143332,9194,1107,4021.76,96415.4,966,Conversión,Laura Pérez</t>
  </si>
  <si>
    <t>2025-02-08,CMP-001,Email,Francia,Mobile,160761,11676,1065,17325.72,202070.43,865,Reconocimiento,Marta López</t>
  </si>
  <si>
    <t>2025-10-25,CMP-008,Affiliate,España,Mobile,118375,1377,183,1351.8,23839.24,92,Reconocimiento,Marta López</t>
  </si>
  <si>
    <t>2025-04-05,CMP-016,Affiliate,España,Mobile,173950,11915,345,14390.19,61993.35,231,Reconocimiento,Marta López</t>
  </si>
  <si>
    <t>2025-09-17,CMP-017,Organic Social,México,Mobile,37786,1813,120,3478.59,22271.24,65,Adquisición,Luis Martín</t>
  </si>
  <si>
    <t>2025-08-29,CMP-023,Paid Social,España,Tablet,44816,2894,188,4372.95,25182.36,140,Conversión,Luis Martín</t>
  </si>
  <si>
    <t>2025-11-01,CMP-028,Paid Search,España,MOBILE,116290,8652,137,15386.67,12683.33,68,Adquisición,Laura Pérez</t>
  </si>
  <si>
    <t>2025-02-20,CMP-008,Paid Social,Francia,Desktop,112186,5157,544,4368.72,27031.39,399,Adquisición,Marta López</t>
  </si>
  <si>
    <t>2025-12-30,CMP-013,Display,España,Tablet,85943,4939,335,5912.02,58301.16,245,Reconocimiento,Luis Martín</t>
  </si>
  <si>
    <t>2025-08-05,cmp-005,Affiliate,Italia,Tablet,149652,12473,1228,6169.49,137857.83,915,Conversión,Marta López</t>
  </si>
  <si>
    <t>2025-08-12,CMP-019,Paid Search,España,Tablet,101942,8319,940,2990.03,139687.18,491,Retención,Luis Martín</t>
  </si>
  <si>
    <t>2025-07-13,CMP-014,Organic Social,México,Desktop,17624,1286,97,2481.63,8537.97,83,Retención,Ana García</t>
  </si>
  <si>
    <t>2025-07-17,CMP-030,Paid Social,España,Desktop,77666,4239,363,2028.05,16558.1,289,Conversión,Carlos Ruiz</t>
  </si>
  <si>
    <t>2025-04-07,CMP-022,Affiliate,Francia,Mobile,102561,952,90,336.81,11859.8,67,Retención,Ana García</t>
  </si>
  <si>
    <t>2025-11-25,CMP-005,Email,Italia,Desktop,73219,2926,106,941.36,3532.59,71,Adquisición,Luis Martín</t>
  </si>
  <si>
    <t>2025-03-03,CMP-017,Organic Social,Francia,DESKTOP,45406,2623,343,1895.35,5269.42,223,Reconocimiento,Marta López</t>
  </si>
  <si>
    <t>2025-08-30,CMP-001,Paid Search,Italia,Desktop,124056,6876,646,3197.51,83871.8,430,Conversión,Marta López</t>
  </si>
  <si>
    <t>2025-08-16,CMP-006,Email,Portugal,Desktop,78935,4984,575,1779.6,112395.06,409,Reconocimiento,Marta López</t>
  </si>
  <si>
    <t>2025-02-27,CMP-022,Affiliate,España,Desktop,54036,1452,8,650.87,1438.7,3,Adquisición,Carlos Ruiz</t>
  </si>
  <si>
    <t>2025-09-24,CMP-030,Paid Search,Italia,Mobile,60275,2800,163,2623.63,11742.64,83,Adquisición,Carlos Ruiz</t>
  </si>
  <si>
    <t>2025-11-02,CMP-006,Display,España,Mobile,101539,7681,898,2116.38,153917.21,597,Reconocimiento,Carlos Ruiz</t>
  </si>
  <si>
    <t>2025-02-24,CMP-015,Organic Social,España,Mobile,132739,6408,129,8347.43,9646.63,79,Reconocimiento,Marta López</t>
  </si>
  <si>
    <t>2025-12-01,cmp-002,Display,Francia,Desktop,114547,8913,1155,8462.95,24272.21,874,Conversión,Marta López</t>
  </si>
  <si>
    <t>2025-03-27,CMP-009,Display,España,Desktop,79309,4040,447,6717.69,24424.26,365,Conversión,Laura Pérez</t>
  </si>
  <si>
    <t>2025-06-28,CMP-007,Paid Search,España,Mobile,76040,1951,33,1905.27,3411.47,28,Adquisición,Ana García</t>
  </si>
  <si>
    <t>2025-03-01,CMP-009,Organic Social,Italia,Desktop,76764,1631,185,2432.11,13943.68,102,Conversión,Ana García</t>
  </si>
  <si>
    <t>2025-09-12,CMP-030,Email,Portugal,Mobile,37824,2783,321,1451.13,53271.02,224,Conversión,Laura Pérez</t>
  </si>
  <si>
    <t>2025-02-17,CMP-014,Organic Social,España,Mobile,96470,2590,74,1268.92,14382.1,60,Reconocimiento,Carlos Ruiz</t>
  </si>
  <si>
    <t>2025-12-01,CMP-011,Organic Social,Francia,Desktop,169663,14121,1887,21781.64,171390.14,1020,Retención,Laura Pérez</t>
  </si>
  <si>
    <t>2025-12-22,CMP-019,Email,Portugal,Desktop,146855,7391,949,8458.75,23779.84,826,Adquisición,Carlos Ruiz</t>
  </si>
  <si>
    <t>2025-01-15,CMP-030,Display,España,Desktop,62847,5129,323,4762.03,50634.82,226,Retención,Marta López</t>
  </si>
  <si>
    <t>2025-08-17,CMP-029,Paid Search,España,Desktop,161748,5871,92,4496.58,3235.92,50,Conversión,Luis Martín</t>
  </si>
  <si>
    <t>2025-01-06,CMP-029,Affiliate,Francia,Desktop,71430,4937,230,1272.37,40774.7,155,Adquisición,Marta López</t>
  </si>
  <si>
    <t>2025-11-10,CMP-009,Paid Search,México,Mobile,141891,2062,90,3209.95,9905.64,46,Conversión,Marta López</t>
  </si>
  <si>
    <t>2025-02-03,CMP-009,Paid Social,España,Desktop,169819,1558,212,172.06,45672.78,162,Conversión,Laura Pérez</t>
  </si>
  <si>
    <t>2025-05-03,CMP-021,Display,España,Mobile,9900,554,43,1053.56,2902.88,31,Adquisición,Marta López</t>
  </si>
  <si>
    <t>2025-05-09,CMP-019,Affiliate,Francia,Desktop,99791,7473,668,12860.38,102392.56,461,Adquisición,Luis Martín</t>
  </si>
  <si>
    <t>2025-06-30,CMP-026,Display,Italia,Desktop,89411,2201,132,2741.66,22767.92,78,Conversión,Carlos Ruiz</t>
  </si>
  <si>
    <t>2025-09-11,CMP-001,Organic Social,Francia,Desktop,18264,1483,141,898.74,21639.16,76,Reconocimiento,Marta López</t>
  </si>
  <si>
    <t>2025-06-02,CMP-002,Paid Social,España,Mobile,32729,1350,108,832.98,5264.86,77,Adquisición,Marta López</t>
  </si>
  <si>
    <t>2025-05-16,CMP-024,Email,Francia,Mobile,121895,2708,171,1730.93,3287.82,146,Adquisición,Carlos Ruiz</t>
  </si>
  <si>
    <t>2025-02-13,CMP-028,Email,Francia,Desktop,143428,6278,755,7351.32,55166.55,547,Conversión,Laura Pérez</t>
  </si>
  <si>
    <t>2025-04-09,CMP-008,Organic Social,España,Desktop,41745,3341,275,-5522.74,39074.34,189,Reconocimiento,Ana García</t>
  </si>
  <si>
    <t>2025-03-31,cmp-028,Affiliate,España,Mobile,136562,9297,1193,19216.13,137187.45,873,Adquisición,Marta López</t>
  </si>
  <si>
    <t>2025-05-15,CMP-023,Paid Search,España,Desktop,89257,7908,476,15709.46,42247.03,244,Reconocimiento,Marta López</t>
  </si>
  <si>
    <t>2025-10-05,CMP-028,Paid Social,Italia,Mobile,69456,4917,115,8541.98,3257.25,95,Conversión,Laura Pérez</t>
  </si>
  <si>
    <t>2025-11-28,CMP-027,Affiliate,México,Mobile,68278,5648,403,3169.34,19094.15,189,Retención,Laura Pérez</t>
  </si>
  <si>
    <t>2025-09-21,CMP-011,Display,México,Tablet,45098,3058,327,2130.19,24926.12,203,Retención,Carlos Ruiz</t>
  </si>
  <si>
    <t>2025-10-26,CMP-022,Email,España,Mobile,176353,9955,287,2015.95,30458.57,223,Adquisición,Carlos Ruiz</t>
  </si>
  <si>
    <t>2025-04-17,CMP-029,Affiliate,Francia,Desktop,85755,5618,288,1038.0,23494.37,236,Retención,Luis Martín</t>
  </si>
  <si>
    <t>2025-10-30,CMP-012,Email,España,Mobile,141037,853,62,806.95,11074.93,47,Adquisición,Marta López</t>
  </si>
  <si>
    <t>2025-05-22,CMP-022,Affiliate,México,Desktop,2032,43,2,7.74,330.35,1,Reconocimiento,Carlos Ruiz</t>
  </si>
  <si>
    <t>2025-03-08,CMP-010,Organic Social,España,Desktop,53012,4490,344,6684.79,20668.19,184,Retención,Laura Pérez</t>
  </si>
  <si>
    <t>2025-04-28,CMP-024,Paid Social,España,Desktop,60620,4722,572,4575.61,57645.24,422,Retención,Carlos Ruiz</t>
  </si>
  <si>
    <t>2025-01-12,CMP-028,Affiliate,España,Desktop,2728,242,12,301.34,2055.61,5,Reconocimiento,Marta López</t>
  </si>
  <si>
    <t>2025-05-08,CMP-029,Organic Social,México,Mobile,31767,2205,214,1253.12,13436.87,136,Conversión,Carlos Ruiz</t>
  </si>
  <si>
    <t>2025-07-29,CMP-021,Paid Search,Italia,Desktop,6567,382,19,463.66,2236.96,14,Conversión,Luis Martín</t>
  </si>
  <si>
    <t>2025-09-09,CMP-003,Organic Social,México,Mobile,98741,1688,97,2762.13,9096.52,61,Conversión,Laura Pérez</t>
  </si>
  <si>
    <t>2025-06-02,CMP-016,Organic Social,Francia,Mobile,15713,649,53,876.41,11505.02,38,Retención,Carlos Ruiz</t>
  </si>
  <si>
    <t>2025-11-21,CMP-001,Email,México,Desktop,70313,5007,429,1444.66,88353.03,357,Reconocimiento,Laura Pérez</t>
  </si>
  <si>
    <t>2025-04-05,CMP-008,Paid Social,Francia,Mobile,151482,5235,352,3035.14,77210.3,219,Conversión,Laura Pérez</t>
  </si>
  <si>
    <t>2025-02-07,CMP-020,Affiliate,,Mobile,95666,4656,273,9347.14,37745.98,229,Adquisición,Carlos Ruiz</t>
  </si>
  <si>
    <t>2025-10-10,CMP-008,Paid Search,México,Mobile,5444,131,142,23.76,370.94,6,Adquisición,Ana García</t>
  </si>
  <si>
    <t>2025-06-27,CMP-011,Email,Italia,Desktop,117311,9895,752,8161.27,34034.39,588,Reconocimiento,Luis Martín</t>
  </si>
  <si>
    <t>2025-06-17,CMP-003,Paid Search,Portugal,Mobile,119287,8541,727,9208.41,74011.42,512,Adquisición,Marta López</t>
  </si>
  <si>
    <t>2025-08-08,CMP-008,Paid Search,Portugal,Desktop,174479,14775,835,28644.77,152997.82,743,Conversión,Laura Pérez</t>
  </si>
  <si>
    <t>2025-09-27,CMP-018,Display,España,Desktop,20115,476,49,942.08,4894.61,42,Conversión,Marta López</t>
  </si>
  <si>
    <t>2025-03-30,CMP-022,Paid Search,España,Mobile,68235,2010,12,1548.89,362.66,9,Reconocimiento,Luis Martín</t>
  </si>
  <si>
    <t>2025-11-26,CMP-015,Affiliate,España,Desktop,77581,918,121,1503.96,5356.63,102,Adquisición,Luis Martín</t>
  </si>
  <si>
    <t>2025-10-10,CMP-015,Paid Social,Francia,Mobile,127220,9240,400,1092.85,64907.24,276,Retención,Laura Pérez</t>
  </si>
  <si>
    <t>2025-09-11,CMP-030,Paid Search,España,Desktop,71189,2654,342,5071.81,70473.79,175,Reconocimiento,Luis Martín</t>
  </si>
  <si>
    <t>2025-10-04,CMP-002,Email,México,Desktop,118195,1928,27,3626.58,5357.18,21,Reconocimiento,Marta López</t>
  </si>
  <si>
    <t>2025-03-02,CMP-016,Email,México,Desktop,79984,989,61,716.74,9932.16,37,Retención,Carlos Ruiz</t>
  </si>
  <si>
    <t>2025-11-02,CMP-006,Paid Search,Francia,Desktop,52118,3992,501,4372.91,68998.72,400,Reconocimiento,Laura Pérez</t>
  </si>
  <si>
    <t>2025-09-27,CMP-021,Paid Social,México,Mobile,153671,7395,1020,13017.39,41588.89,783,Conversión,Laura Pérez</t>
  </si>
  <si>
    <t>2025-08-14,CMP-016,Email,España,Desktop,29530,278,6,33.97,1283.56,5,Adquisición,Laura Pérez</t>
  </si>
  <si>
    <t>2025-08-22,CMP-029,Paid Social,España,Mobile,72677,5047,118,5325.2,14030.83,72,Adquisición,Luis Martín</t>
  </si>
  <si>
    <t>2025-08-16,CMP-003,Paid Social,Portugal,Mobile,19451,1076,55,1782.7,10580.99,31,Adquisición,Ana García</t>
  </si>
  <si>
    <t>2025-06-07,CMP-008,Paid Search, México ,Desktop,24633,786,32,300.83,5931.67,22,Adquisición,Luis Martín</t>
  </si>
  <si>
    <t>2025-11-28,CMP-021,Email,Francia,Mobile,92803,7973,131,12099.2,4560.53,105,Adquisición,Ana García</t>
  </si>
  <si>
    <t>2025-07-31,CMP-013,Email,España,Tablet,19513,1215,62,1388.53,13062.47,29,Reconocimiento,Carlos Ruiz</t>
  </si>
  <si>
    <t>2025-11-12,CMP-030,Organic Social,España,Desktop,139870,6061,811,2823.88,134104.56,570,Reconocimiento,Marta López</t>
  </si>
  <si>
    <t>2025-01-25,CMP-016,Affiliate,Francia,Desktop,104530,6590,474,7214.8,76628.23,384,Retención,Laura Pérez</t>
  </si>
  <si>
    <t>2025-11-03,CMP-022,Paid Social,España,Mobile,163979,10871,1045,14415.42,112137.65,841,Retención,Laura Pérez</t>
  </si>
  <si>
    <t>2025-02-17,CMP-013,Affiliate, Francia ,Desktop,152420,2297,296,709.33,32651.22,266,Conversión,Luis Martín</t>
  </si>
  <si>
    <t>2025-10-06,CMP-019,Organic Social,España,Mobile,96797,2065,85,1378.3,2011.12,59,Reconocimiento,Laura Pérez</t>
  </si>
  <si>
    <t>2025-08-06,CMP-011,Affiliate,Italia,Mobile,150173,13170,88,23279.98,4308.62,61,Adquisición,Carlos Ruiz</t>
  </si>
  <si>
    <t>2025-03-24,CMP-030,Paid Search,Italia,Desktop,63088,4672,514,3053.46,81746.13,278,Retención,Ana García</t>
  </si>
  <si>
    <t>2025-05-31,CMP-006,Display,Francia,Desktop,50503,2701,210,319.08,21004.91,135,Conversión,Luis Martín</t>
  </si>
  <si>
    <t>2025-10-09,CMP-008,Organic Social,Italia,Mobile,171687,8541,344,10748.37,11884.79,233,Retención,Marta López</t>
  </si>
  <si>
    <t>2025-10-15,CMP-009,Organic Social,Portugal,Mobile,85382,4664,556,5962.18,83397.56,280,Retención,Ana García</t>
  </si>
  <si>
    <t>2025-12-07,CMP-011,Display,España,Tablet,99552,4854,88,3678.59,2313.58,56,Reconocimiento,Ana García</t>
  </si>
  <si>
    <t>2025-09-25,CMP-002,Display,España,Mobile,106069,3404,92,5410.79,17172.98,59,Reconocimiento,Carlos Ruiz</t>
  </si>
  <si>
    <t>2025-02-09,CMP-002,Organic Social,Francia,Desktop,28374,1867,52,3092.31,1647.67,28,Reconocimiento,Laura Pérez</t>
  </si>
  <si>
    <t>2025-10-23,CMP-015,Paid Social,Francia,Mobile,1214,49,2,50.07,252.03,1,Conversión,Laura Pérez</t>
  </si>
  <si>
    <t>2025-01-12,CMP-002,Email,España,Mobile,102229,8025,1062,14604.59,178659.09,827,Retención,Ana García</t>
  </si>
  <si>
    <t>2025-03-06,CMP-026,Organic Social,España,Desktop,126631,8670,820,17713.2,92482.89,587,Conversión,Marta López</t>
  </si>
  <si>
    <t>2025-12-31,CMP-010,Paid Search,Francia,Desktop,114197,3885,431,7387.11,69183.62,198,Reconocimiento,Laura Pérez</t>
  </si>
  <si>
    <t>2025-12-30,CMP-025,Affiliate,España,Mobile,15873,680,32,252.96,4901.23,17,Adquisición,Carlos Ruiz</t>
  </si>
  <si>
    <t>2025-07-09,CMP-030,Display,España,Tablet,158168,13117,204,18104.75,28768.66,135,Adquisición,Carlos Ruiz</t>
  </si>
  <si>
    <t>2025-01-22,CMP-005,Affiliate,Portugal,Mobile,42981,2902,285,5485.4,57117.3,212,Retención,Marta López</t>
  </si>
  <si>
    <t>2025-06-03,CMP-011,Email,España,Desktop,31010,1913,91,1889.37,4677.63,44,Reconocimiento,Luis Martín</t>
  </si>
  <si>
    <t>2025-06-30,CMP-022,Paid Social,España,Desktop,112192,5964,826,5272.56,103278.97,615,Reconocimiento,Laura Pérez</t>
  </si>
  <si>
    <t>2025-07-04,CMP-020,Affiliate,España,Mobile,116672,2178,296,3104.95,35826.36,175,Retención,Laura Pérez</t>
  </si>
  <si>
    <t>2025-04-24,CMP-005,Organic Social,México,Tablet,165271,10161,750,2116.55,139746.29,382,Adquisición,Luis Martín</t>
  </si>
  <si>
    <t>2025-08-10,CMP-028,Paid Search,España,Mobile,137397,12252,339,,16568.13,182,Reconocimiento,Luis Martín</t>
  </si>
  <si>
    <t>2025-08-07,CMP-023,Email,Italia,DESKTOP,115744,8313,181,14193.28,19562.96,130,Adquisición,Ana García</t>
  </si>
  <si>
    <t>2025-11-05,CMP-021,Paid Social,España,Mobile,10681,675,4,886.65,87.15,2,Conversión,Carlos Ruiz</t>
  </si>
  <si>
    <t>2025-11-21,CMP-004,Display,Portugal,Mobile,96331,6941,654,13110.14,97813.35,493,Reconocimiento,Luis Martín</t>
  </si>
  <si>
    <t>2025-10-29,CMP-028,Affiliate,España,Mobile,66727,4522,528,5185.99,86182.75,472,Retención,Marta López</t>
  </si>
  <si>
    <t>2025-09-26,CMP-019,Email,España,Mobile,158490,6871,489,13818.64,85169.09,301,Adquisición,Ana García</t>
  </si>
  <si>
    <t>2025-05-07,CMP-013,Paid Search,México,Mobile,150094,5387,545,5335.04,8683.62,430,Conversión,Marta López</t>
  </si>
  <si>
    <t>2025-07-18,CMP-011,Paid Search,Francia,Desktop,153211,11578,965,9650.13,184088.59,570,Adquisición,Ana García</t>
  </si>
  <si>
    <t>2025-10-13,CMP-008,Display,Francia,Desktop,135463,3593,480,1114.6,11042.63,283,Retención,Luis Martín</t>
  </si>
  <si>
    <t>2025-09-06,CMP-012,Paid Social,Portugal,Desktop,140126,11011,1056,5021.1,153046.67,515,Adquisición,Marta López</t>
  </si>
  <si>
    <t>2025-03-08,CMP-013,Email,España,Mobile,67832,1516,87,448.12,5421.27,44,Conversión,Carlos Ruiz</t>
  </si>
  <si>
    <t>2025-09-10,CMP-026,Paid Search,Francia,Desktop,54132,4759,236,2053.76,42766.28,149,Retención,Luis Martín</t>
  </si>
  <si>
    <t>2025-02-28,CMP-010,Display,España,Desktop,159021,6363,797,10746.17,59554.29,650,Adquisición,Marta López</t>
  </si>
  <si>
    <t>2025-03-07,CMP-018,Paid Search,Francia,Desktop,172334,11933,865,16565.84,22770.37,532,Adquisición,Laura Pérez</t>
  </si>
  <si>
    <t>2025-06-29,CMP-016,Email,Italia,Mobile,159170,13780,89,12935.9,9498.49,51,Retención,Laura Pérez</t>
  </si>
  <si>
    <t>2025-07-09,CMP-013,Display,Portugal,Mobile,36139,1076,102,1871.09,22056.0,70,Adquisición,Laura Pérez</t>
  </si>
  <si>
    <t>2025-06-27,CMP-012,Email,España,MOBILE,141083,3457,80,1030.13,1990.29,50,Retención,Luis Martín</t>
  </si>
  <si>
    <t>2025-07-27,CMP-019,Email,México,Mobile,22975,1068,79,595.24,16489.9,49,Adquisición,Marta López</t>
  </si>
  <si>
    <t>2025-03-22,CMP-019,Paid Social,España,Mobile,100611,1676,34,614.26,1240.72,29,Conversión,Marta López</t>
  </si>
  <si>
    <t>2025-08-01,CMP-011,Paid Social,España,Mobile,152141,11790,1271,1659.98,120772.99,944,Retención,Ana García</t>
  </si>
  <si>
    <t>2025-06-07,CMP-023,Email,España,Desktop,54026,4736,184,9548.18,30139.31,85,Retención,Carlos Ruiz</t>
  </si>
  <si>
    <t>2025-01-21,CMP-030,Organic Social,Portugal,Mobile,49736,787,16,1254.3,2345.43,7,Adquisición,Luis Martín</t>
  </si>
  <si>
    <t>2025-04-13,CMP-003,Paid Search,Francia,Mobile,80964,6340,40,12407.19,2860.03,31,Retención,Carlos Ruiz</t>
  </si>
  <si>
    <t>2025-01-21,CMP-001,Display,España,Mobile,101307,4951,33,2857.18,1326.66,19,Retención,Ana García</t>
  </si>
  <si>
    <t>2025-01-19,CMP-018,Affiliate,México,Desktop,72780,4278,512,951.71,24263.63,367,Adquisición,Ana García</t>
  </si>
  <si>
    <t>2025-12-20,CMP-011,Paid Social,España,Desktop,18565,1247,74,1565.04,6293.62,40,Conversión,Luis Martín</t>
  </si>
  <si>
    <t>2025-02-24,CMP-019,Affiliate,México,Desktop,26290,349,39,702.38,4895.63,19,Reconocimiento,Luis Martín</t>
  </si>
  <si>
    <t>2025-03-24,CMP-005,Display,España,Mobile,96040,3500,398,5383.58,52931.57,180,Retención,Laura Pérez</t>
  </si>
  <si>
    <t>2025-02-17,CMP-020,Display,México,Desktop,41194,3055,282,1682.94,19862.99,209,Adquisición,Laura Pérez</t>
  </si>
  <si>
    <t>2025-02-28,CMP-026,Affiliate,Italia,Tablet,71272,461,28,559.42,5087.52,14,Adquisición,Luis Martín</t>
  </si>
  <si>
    <t>2025-04-27,CMP-023,Organic Social,España,Mobile,124841,1968,153,1671.86,11659.99,136,Conversión,Laura Pérez</t>
  </si>
  <si>
    <t>2025-02-18,CMP-006,Organic Social,España,Mobile,122209,7448,878,3623.81,147409.71,545,Adquisición,Luis Martín</t>
  </si>
  <si>
    <t>2025-07-21,CMP-003,Display,España,Mobile,7795,170,19,106.63,920.32,14,Retención,Luis Martín</t>
  </si>
  <si>
    <t>2025-05-03,CMP-004,Display,México,Mobile,58941,1271,63,1703.72,10931.68,43,Retención,Carlos Ruiz</t>
  </si>
  <si>
    <t>2025-09-25,CMP-003,Display,España,Desktop,83493,4386,161,978.91,27505.75,101,Retención,Carlos Ruiz</t>
  </si>
  <si>
    <t>2025-08-11,CMP-029,Display,España,Desktop,68958,2991,232,813.89,32807.15,185,Reconocimiento,Ana García</t>
  </si>
  <si>
    <t>2025-11-23,CMP-001,Affiliate,Francia,Mobile,4392,213,29,209.14,3945.3,16,Adquisición,Carlos Ruiz</t>
  </si>
  <si>
    <t>2025-01-16,CMP-015,Display,Italia,Desktop,49769,2369,162,2922.4,8937.06,127,Conversión,Luis Martín</t>
  </si>
  <si>
    <t>2025-07-28,CMP-007,Email,España,Mobile,100329,7091,508,7836.66,35450.83,232,Retención,Carlos Ruiz</t>
  </si>
  <si>
    <t>2025-12-01,CMP-001,Email,España,Desktop,44506,3547,221,1582.81,28638.77,190,Reconocimiento,Luis Martín</t>
  </si>
  <si>
    <t>2025-12-23,CMP-021,Paid Social,Italia,Mobile,10276,792,65,133.61,8534.5,33,Adquisición,Luis Martín</t>
  </si>
  <si>
    <t>2025-07-18,CMP-026,Paid Search,España,Mobile,129491,3490,424,6430.09,38355.27,352,Adquisición,Marta López</t>
  </si>
  <si>
    <t>2025-06-25,CMP-019,Affiliate,Portugal,Mobile,23352,256,26,65.61,2951.16,17,Reconocimiento,Carlos Ruiz</t>
  </si>
  <si>
    <t>2025-11-28,CMP-014,Organic Social, España ,Desktop,167159,3738,352,2308.5,21911.59,248,Reconocimiento,Laura Pérez</t>
  </si>
  <si>
    <t>2025-07-23,CMP-027,Paid Social,Italia,Tablet,32706,1193,144,388.52,30124.36,91,Retención,Laura Pérez</t>
  </si>
  <si>
    <t>2025-01-28,CMP-017,Paid Social,Francia,Mobile,66449,3950,157,6535.58,6902.17,104,Conversión,Luis Martín</t>
  </si>
  <si>
    <t>2025-08-01,CMP-018,Display,Italia,Desktop,125182,8444,846,9852.72,88178.6,733,Reconocimiento,Ana García</t>
  </si>
  <si>
    <t>2025-09-16,CMP-028,Email,España,Desktop,163603,5107,597,9379.19,92404.53,279,Reconocimiento,Luis Martín</t>
  </si>
  <si>
    <t>2025-07-06,CMP-015,Organic Social,Francia,Mobile,161676,4319,522,3456.57,69730.7,338,Reconocimiento,Carlos Ruiz</t>
  </si>
  <si>
    <t>2025-04-16,CMP-018,Paid Social,España,Desktop,69620,1607,47,1492.06,4179.17,33,Reconocimiento,Luis Martín</t>
  </si>
  <si>
    <t>2025-01-19,CMP-020,Affiliate,Italia,Mobile,81597,3942,411,2691.83,71212.16,234,Reconocimiento,Luis Martín</t>
  </si>
  <si>
    <t>2025-08-31,CMP-012,Affiliate,España,Desktop,136673,4341,256,1117.29,9812.85,163,Reconocimiento,Ana García</t>
  </si>
  <si>
    <t>2025-07-26,CMP-026,Display,Italia,Desktop,87836,1663,170,1956.54,14853.58,91,Reconocimiento,Luis Martín</t>
  </si>
  <si>
    <t>2025-09-16,CMP-002,Paid Search,España,Mobile,163694,6089,661,8045.69,124199.31,405,Retención,Laura Pérez</t>
  </si>
  <si>
    <t>2025-12-27,CMP-025,Paid Social,Italia,Desktop,27326,1841,174,3309.03,14847.17,89,Conversión,Carlos Ruiz</t>
  </si>
  <si>
    <t>2025-12-21,CMP-018,Email,Italia,Tablet,150246,2834,391,622.6,83373.57,231,Retención,Carlos Ruiz</t>
  </si>
  <si>
    <t>2025-01-04,CMP-018,Organic Social,Portugal,Mobile,139698,11790,739,3155.14,98880.18,476,Conversión,Marta López</t>
  </si>
  <si>
    <t>2025-04-11,CMP-013,Paid Search,Francia,Mobile,69394,2360,2388,321.44,7749.8,50,Adquisición,Marta López</t>
  </si>
  <si>
    <t>2025-05-09,CMP-019,Display,Italia,Mobile,137747,8419,627,12724.72,99492.88,392,Reconocimiento,Laura Pérez</t>
  </si>
  <si>
    <t>2025-09-23,CMP-025,Affiliate,España,Tablet,148063,5360,451,2029.66,86717.51,373,Reconocimiento,Carlos Ruiz</t>
  </si>
  <si>
    <t>2025-06-13,CMP-024, paid social ,España,Mobile,30710,1122,54,1536.49,6413.24,42,Retención,Ana García</t>
  </si>
  <si>
    <t>2025-02-19,CMP-001,Email,México,Desktop,34053,1137,92,417.55,11977.12,56,Retención,Marta López</t>
  </si>
  <si>
    <t>2025-11-12,CMP-025,Organic Social,España,Desktop,29424,2594,108,2502.42,2167.47,71,Adquisición,Luis Martín</t>
  </si>
  <si>
    <t>2025-01-17,CMP-001,Email,España,Desktop,52692,4330,473,7339.28,67861.49,344,Adquisición,Luis Martín</t>
  </si>
  <si>
    <t>2025-06-04,CMP-015,Paid Social,Francia,Desktop,134173,1030,70,874.43,8441.31,57,Adquisición,Ana García</t>
  </si>
  <si>
    <t>2025-09-27,CMP-012,Display,Francia,Mobile,55134,1070,102,307.12,10397.1,63,Adquisición,Luis Martín</t>
  </si>
  <si>
    <t>2025-10-13,CMP-021,Paid Search,Francia,Desktop,18622,1383,190,1561.52,13186.9,134,Adquisición,Ana García</t>
  </si>
  <si>
    <t>2025-05-22,cmp-026,Affiliate,México,Mobile,20768,1198,96,733.98,4665.56,72,Reconocimiento,Luis Martín</t>
  </si>
  <si>
    <t>2025-08-02,CMP-016,Paid Social,España,Mobile,43334,3699,167,6005.73,14322.33,83,Conversión,Marta López</t>
  </si>
  <si>
    <t>2025-03-14,CMP-021,Paid Search,España,Desktop,128199,4291,197,3924.31,39113.8,169,Conversión,Laura Pérez</t>
  </si>
  <si>
    <t>2025-10-11,CMP-026,Display,España,Desktop,44999,641,4,384.52,852.55,2,Adquisición,Carlos Ruiz</t>
  </si>
  <si>
    <t>2025-12-06,CMP-002,Paid Social, Portugal ,Desktop,27560,1980,70,1018.45,6060.11,57,Retención,Carlos Ruiz</t>
  </si>
  <si>
    <t>2025-01-08,CMP-024,Display,México,Mobile,121614,4655,474,2463.4,52288.23,245,Adquisición,Ana García</t>
  </si>
  <si>
    <t>2025-11-18,CMP-013,Email,España,Mobile,11152,60,5,28.8,992.32,2,Reconocimiento,Ana García</t>
  </si>
  <si>
    <t>2025-03-22,CMP-003,Display,España,Desktop,42456,977,5,1877.93,509.17,3,Adquisición,Laura Pérez</t>
  </si>
  <si>
    <t>2025-10-30,CMP-026,Paid Social,México,Desktop,16372,305,3,61.41,151.56,2,Retención,Ana García</t>
  </si>
  <si>
    <t>2025-08-01,CMP-014,Paid Search,México,Mobile,117559,2732,83,4818.75,9651.4,55,Reconocimiento,Laura Pérez</t>
  </si>
  <si>
    <t>2025-10-12,CMP-021,Affiliate,Francia,Tablet,22612,556,69,309.48,8846.87,35,Conversión,Ana García</t>
  </si>
  <si>
    <t>2025-08-08,CMP-013,Organic Social,Portugal,Mobile,23085,620,65,394.01,7554.21,51,Reconocimiento,Laura Pérez</t>
  </si>
  <si>
    <t>2025-06-16,CMP-022,Affiliate,España,Tablet,130725,8984,845,6429.68,23900.85,526,Reconocimiento,Marta López</t>
  </si>
  <si>
    <t>2025-08-08,CMP-019,Organic Social,Italia,Desktop,48007,460,17,198.7,2338.36,10,Conversión,Marta López</t>
  </si>
  <si>
    <t>2025-03-10,CMP-022, paid search ,Portugal,Mobile,47850,2712,173,906.58,28561.94,134,Reconocimiento,Ana García</t>
  </si>
  <si>
    <t>2025-06-08,CMP-008,Affiliate,Portugal,Desktop,7238,222,7,191.93,513.34,4,Adquisición,Ana García</t>
  </si>
  <si>
    <t>2025-12-21,CMP-017,,España,Tablet,78232,2412,78,2979.21,16485.61,35,Adquisición,Laura Pérez</t>
  </si>
  <si>
    <t>2025-03-02,CMP-013,Paid Search,Italia,Desktop,32213,2076,275,3699.24,42238.89,192,Adquisición,Ana García</t>
  </si>
  <si>
    <t>2025-07-14,CMP-009,Paid Search,Italia,Desktop,149006,3937,528,4470.61,26721.05,429,Retención,Marta López</t>
  </si>
  <si>
    <t>2025-02-25,CMP-002,Display,México,Mobile,123155,3529,413,7192.56,7697.17,250,Adquisición,Laura Pérez</t>
  </si>
  <si>
    <t>2025-10-12,CMP-017,Display,Italia,Desktop,115563,2064,67,1210.36,1247.69,41,Adquisición,Marta López</t>
  </si>
  <si>
    <t>2025-11-17,CMP-022,Affiliate,España,Desktop,106405,8369,72,6594.17,4302.41,34,Conversión,Ana García</t>
  </si>
  <si>
    <t>2025-04-03,CMP-006,Organic Social,España,Tablet,1167,32,3,61.24,513.97,2,Conversión,Ana García</t>
  </si>
  <si>
    <t>2025-10-17,CMP-014,Paid Social,Italia,Desktop,41277,2138,116,2479.83,11289.34,97,Reconocimiento,Ana García</t>
  </si>
  <si>
    <t>2025-05-07,CMP-025,Paid Social,Portugal,Desktop,18037,1119,84,2288.3,4991.54,64,Conversión,Laura Pérez</t>
  </si>
  <si>
    <t>2025-10-15,CMP-029,Paid Search,España,Desktop,95850,672,70,1199.28,11956.39,46,Reconocimiento,Marta López</t>
  </si>
  <si>
    <t>2025-01-07,CMP-024,Affiliate,México,Desktop,63519,3811,415,5741.06,38183.36,328,Reconocimiento,Carlos Ruiz</t>
  </si>
  <si>
    <t>2025-01-18,CMP-010,Paid Search,Portugal,Desktop,141247,10050,89,9195.42,2930.77,78,Retención,Ana García</t>
  </si>
  <si>
    <t>2025-07-15,CMP-014,Affiliate,Francia,Mobile,43257,200,3,248.41,253.61,2,Reconocimiento,Luis Martín</t>
  </si>
  <si>
    <t>2025-05-20,CMP-015,Display,Francia,Desktop,91559,1844,115,2847.34,8008.23,84,Retención,Carlos Ruiz</t>
  </si>
  <si>
    <t>2025-04-30,CMP-020,Organic Social,Italia,Tablet,165506,1188,92,148.48,5724.74,58,Adquisición,Carlos Ruiz</t>
  </si>
  <si>
    <t>2025-05-16,CMP-012,Email,Portugal,Mobile,3038,193,24,303.76,4454.33,18,Adquisición,Luis Martín</t>
  </si>
  <si>
    <t>Fecha</t>
  </si>
  <si>
    <t>ID_Campaña</t>
  </si>
  <si>
    <t>Canal</t>
  </si>
  <si>
    <t>País</t>
  </si>
  <si>
    <t>Dispositivo</t>
  </si>
  <si>
    <t>Impresiones</t>
  </si>
  <si>
    <t>Clics</t>
  </si>
  <si>
    <t>Conversiones</t>
  </si>
  <si>
    <t>Gasto_EUR</t>
  </si>
  <si>
    <t>Ingresos_EUR</t>
  </si>
  <si>
    <t>Nuevos_Clientes</t>
  </si>
  <si>
    <t>Tipo_Campaña</t>
  </si>
  <si>
    <t>Responsable</t>
  </si>
  <si>
    <t>CMP-002</t>
  </si>
  <si>
    <t>Email</t>
  </si>
  <si>
    <t>México</t>
  </si>
  <si>
    <t>Desktop</t>
  </si>
  <si>
    <t>Adquisición</t>
  </si>
  <si>
    <t>Carlos Ruiz</t>
  </si>
  <si>
    <t>CMP-009</t>
  </si>
  <si>
    <t>Paid Search</t>
  </si>
  <si>
    <t>Italia</t>
  </si>
  <si>
    <t>Retención</t>
  </si>
  <si>
    <t>Luis Martín</t>
  </si>
  <si>
    <t>Francia</t>
  </si>
  <si>
    <t>Laura Pérez</t>
  </si>
  <si>
    <t>Affiliate</t>
  </si>
  <si>
    <t>España</t>
  </si>
  <si>
    <t>Mobile</t>
  </si>
  <si>
    <t>CMP-026</t>
  </si>
  <si>
    <t>Portugal</t>
  </si>
  <si>
    <t>CMP-022</t>
  </si>
  <si>
    <t>Paid Social</t>
  </si>
  <si>
    <t>Tablet</t>
  </si>
  <si>
    <t>CMP-015</t>
  </si>
  <si>
    <t>Reconocimiento</t>
  </si>
  <si>
    <t>Marta López</t>
  </si>
  <si>
    <t>CMP-004</t>
  </si>
  <si>
    <t>Conversión</t>
  </si>
  <si>
    <t>CMP-017</t>
  </si>
  <si>
    <t>Display</t>
  </si>
  <si>
    <t>CMP-025</t>
  </si>
  <si>
    <t>Organic Social</t>
  </si>
  <si>
    <t>CMP-006</t>
  </si>
  <si>
    <t>CMP-011</t>
  </si>
  <si>
    <t>Ana García</t>
  </si>
  <si>
    <t>CMP-018</t>
  </si>
  <si>
    <t xml:space="preserve"> display </t>
  </si>
  <si>
    <t>CMP-007</t>
  </si>
  <si>
    <t>CMP-008</t>
  </si>
  <si>
    <t>CMP-028</t>
  </si>
  <si>
    <t>CMP-012</t>
  </si>
  <si>
    <t xml:space="preserve"> email </t>
  </si>
  <si>
    <t>CMP-019</t>
  </si>
  <si>
    <t>CMP-010</t>
  </si>
  <si>
    <t>CMP-014</t>
  </si>
  <si>
    <t>CMP-030</t>
  </si>
  <si>
    <t xml:space="preserve"> paid social </t>
  </si>
  <si>
    <t>DESKTOP</t>
  </si>
  <si>
    <t>CMP-027</t>
  </si>
  <si>
    <t>MOBILE</t>
  </si>
  <si>
    <t xml:space="preserve"> organic social </t>
  </si>
  <si>
    <t>CMP-023</t>
  </si>
  <si>
    <t>CMP-024</t>
  </si>
  <si>
    <t>CMP-005</t>
  </si>
  <si>
    <t>CMP-001</t>
  </si>
  <si>
    <t>CMP-021</t>
  </si>
  <si>
    <t>CMP-020</t>
  </si>
  <si>
    <t>CMP-013</t>
  </si>
  <si>
    <t>CMP-016</t>
  </si>
  <si>
    <t>CMP-029</t>
  </si>
  <si>
    <t>cmp-006</t>
  </si>
  <si>
    <t xml:space="preserve"> España </t>
  </si>
  <si>
    <t>CMP-003</t>
  </si>
  <si>
    <t xml:space="preserve"> paid search </t>
  </si>
  <si>
    <t>cmp-010</t>
  </si>
  <si>
    <t xml:space="preserve"> affiliate </t>
  </si>
  <si>
    <t>cmp-020</t>
  </si>
  <si>
    <t>cmp-003</t>
  </si>
  <si>
    <t xml:space="preserve"> México </t>
  </si>
  <si>
    <t>cmp-009</t>
  </si>
  <si>
    <t>cmp-028</t>
  </si>
  <si>
    <t>cmp-001</t>
  </si>
  <si>
    <t xml:space="preserve"> Portugal </t>
  </si>
  <si>
    <t>cmp-015</t>
  </si>
  <si>
    <t>cmp-014</t>
  </si>
  <si>
    <t xml:space="preserve"> Italia </t>
  </si>
  <si>
    <t>cmp-029</t>
  </si>
  <si>
    <t>cmp-024</t>
  </si>
  <si>
    <t>cmp-005</t>
  </si>
  <si>
    <t>cmp-019</t>
  </si>
  <si>
    <t>cmp-018</t>
  </si>
  <si>
    <t xml:space="preserve"> Francia </t>
  </si>
  <si>
    <t>cmp-030</t>
  </si>
  <si>
    <t>cmp-023</t>
  </si>
  <si>
    <t>TABLET</t>
  </si>
  <si>
    <t>cmp-027</t>
  </si>
  <si>
    <t>cmp-008</t>
  </si>
  <si>
    <t>cmp-022</t>
  </si>
  <si>
    <t>cmp-025</t>
  </si>
  <si>
    <t>cmp-017</t>
  </si>
  <si>
    <t>cmp-007</t>
  </si>
  <si>
    <t>cmp-002</t>
  </si>
  <si>
    <t>cmp-026</t>
  </si>
  <si>
    <t>Número de registros</t>
  </si>
  <si>
    <t>Gasto</t>
  </si>
  <si>
    <t>Tabla blancos</t>
  </si>
  <si>
    <t>AUX_Canal</t>
  </si>
  <si>
    <t>AUX_ID</t>
  </si>
  <si>
    <t>AUX_País</t>
  </si>
  <si>
    <t>AUX_Dispositivo</t>
  </si>
  <si>
    <t>AUX_tipo</t>
  </si>
  <si>
    <t>AUX_Responsable</t>
  </si>
  <si>
    <t>Total</t>
  </si>
  <si>
    <t>Cmp-002</t>
  </si>
  <si>
    <t>Cmp-009</t>
  </si>
  <si>
    <t>Cmp-026</t>
  </si>
  <si>
    <t>Cmp-022</t>
  </si>
  <si>
    <t>Cmp-015</t>
  </si>
  <si>
    <t>Cmp-004</t>
  </si>
  <si>
    <t>Cmp-017</t>
  </si>
  <si>
    <t>Cmp-025</t>
  </si>
  <si>
    <t>Cmp-006</t>
  </si>
  <si>
    <t>Cmp-011</t>
  </si>
  <si>
    <t>Cmp-018</t>
  </si>
  <si>
    <t>Cmp-007</t>
  </si>
  <si>
    <t>Cmp-008</t>
  </si>
  <si>
    <t>Cmp-028</t>
  </si>
  <si>
    <t>Cmp-012</t>
  </si>
  <si>
    <t>Cmp-019</t>
  </si>
  <si>
    <t>Cmp-010</t>
  </si>
  <si>
    <t>Cmp-014</t>
  </si>
  <si>
    <t>Cmp-030</t>
  </si>
  <si>
    <t>Cmp-027</t>
  </si>
  <si>
    <t>Cmp-023</t>
  </si>
  <si>
    <t>Cmp-024</t>
  </si>
  <si>
    <t>Cmp-005</t>
  </si>
  <si>
    <t>Cmp-001</t>
  </si>
  <si>
    <t>Cmp-021</t>
  </si>
  <si>
    <t>Cmp-020</t>
  </si>
  <si>
    <t>Cmp-013</t>
  </si>
  <si>
    <t>Cmp-016</t>
  </si>
  <si>
    <t>Cmp-029</t>
  </si>
  <si>
    <t>Cmp-003</t>
  </si>
  <si>
    <t>Por identificar</t>
  </si>
  <si>
    <t>Control_gasto</t>
  </si>
  <si>
    <t>Control_duplicados</t>
  </si>
  <si>
    <t>Duplicados</t>
  </si>
  <si>
    <t>Control_conversiones</t>
  </si>
  <si>
    <t>Control_nuevos_clientes</t>
  </si>
  <si>
    <t>Tabla control</t>
  </si>
  <si>
    <t xml:space="preserve">Total </t>
  </si>
  <si>
    <t xml:space="preserve">Registros afectados </t>
  </si>
  <si>
    <t>CTR</t>
  </si>
  <si>
    <t xml:space="preserve">Tasa de conversión </t>
  </si>
  <si>
    <t>CPC</t>
  </si>
  <si>
    <t>CPA</t>
  </si>
  <si>
    <t>ROAS</t>
  </si>
  <si>
    <t>%ROAS</t>
  </si>
  <si>
    <t>Etiqueta Canal-País</t>
  </si>
  <si>
    <t>Año</t>
  </si>
  <si>
    <t>Número mes</t>
  </si>
  <si>
    <t>Mes</t>
  </si>
  <si>
    <t>Día de la semana</t>
  </si>
  <si>
    <t>Rendimiento</t>
  </si>
  <si>
    <t>Seguimiento</t>
  </si>
  <si>
    <t>¿Cuál es la inversión total?</t>
  </si>
  <si>
    <t>¿Cuál es el ingreso total?</t>
  </si>
  <si>
    <t>¿Cuántos clics se generaron?</t>
  </si>
  <si>
    <t>¿Cuántas conversiones se generaron?</t>
  </si>
  <si>
    <t>¿Cuál es el CTR global?</t>
  </si>
  <si>
    <t>¿Cuál es la tasa de conversión global?</t>
  </si>
  <si>
    <t>¿Cuál es el CPC global?</t>
  </si>
  <si>
    <t>¿Cuál es el CPA global?</t>
  </si>
  <si>
    <t>¿Cuál es el ROAS global?</t>
  </si>
  <si>
    <t>¿Cuántos registros hay en la base?</t>
  </si>
  <si>
    <t>¿Cuántos canales y países distintos hay?</t>
  </si>
  <si>
    <t>¿Cuánto se gastó en cada canal?</t>
  </si>
  <si>
    <t>¿Qué ingresos generó cada canal?</t>
  </si>
  <si>
    <t>¿Cuántas conversiones generó cada canal?</t>
  </si>
  <si>
    <t>¿Cuál es el ROAS global de cada canal?</t>
  </si>
  <si>
    <t>¿Cuál es el CPA global de cada canal?</t>
  </si>
  <si>
    <t>¿Cuál es el CPC global de cada canal?</t>
  </si>
  <si>
    <t>¿Cuántos registros tiene cada canal?</t>
  </si>
  <si>
    <t>¿Qué país generó más conversiones?</t>
  </si>
  <si>
    <t>¿Cuánto se gastó y cuánto ingreso generó cada país?</t>
  </si>
  <si>
    <t>¿Cuál es el ROAS global y el CPA global por país?</t>
  </si>
  <si>
    <t>¿Cuántos registros tienen tasa de conversión superior al 5%?</t>
  </si>
  <si>
    <t>¿Cuántos registros son clasificados como excelentes?</t>
  </si>
  <si>
    <t>¿Cuántos registros requieren atención?</t>
  </si>
  <si>
    <t>¿Cuántos registros son de alto rendimiento?</t>
  </si>
  <si>
    <t>¿Qué campaña o combinación tiene mayor ingreso?</t>
  </si>
  <si>
    <t>¿Qué registro tiene el ROAS más alto y cuánto gastó?</t>
  </si>
  <si>
    <t>¿Cómo cambia el rendimiento por mes?</t>
  </si>
  <si>
    <t>¿Qué canal y país combinan mayor inversión con ROAS bajo?</t>
  </si>
  <si>
    <t>¿Qué porcentaje de la inversión corresponde a cada canal?</t>
  </si>
  <si>
    <t>¿Qué parte del ingreso aporta cada canal y cuál es su contribución acumulada?</t>
  </si>
  <si>
    <t>Con BUSCARX, ¿qué objetivo de ROAS corresponde al canal de cada fila?</t>
  </si>
  <si>
    <t>Con BUSCARV, ¿qué objetivo recuperas desde una tabla auxiliar ordenada por columnas?</t>
  </si>
  <si>
    <t>Pregunta</t>
  </si>
  <si>
    <t>Canales</t>
  </si>
  <si>
    <t>Registros</t>
  </si>
  <si>
    <t>Países</t>
  </si>
  <si>
    <t>Ingreso</t>
  </si>
  <si>
    <t xml:space="preserve">Gasto </t>
  </si>
  <si>
    <t xml:space="preserve">Ingreso </t>
  </si>
  <si>
    <t>¿Cuántos registros tienen ROAS inferior a 2?</t>
  </si>
  <si>
    <t>¿Cuántos registros tienen ROAS superior a 5?</t>
  </si>
  <si>
    <t xml:space="preserve">Mayor inversión </t>
  </si>
  <si>
    <t>Campaña</t>
  </si>
  <si>
    <t>¿Qué campaña tiene mayor inversión?</t>
  </si>
  <si>
    <t>Mayor Ingreso</t>
  </si>
  <si>
    <t>ROAS alto</t>
  </si>
  <si>
    <t>Enero</t>
  </si>
  <si>
    <t>Febrero</t>
  </si>
  <si>
    <t>Marzo</t>
  </si>
  <si>
    <t>Abril</t>
  </si>
  <si>
    <t>Mayo</t>
  </si>
  <si>
    <t>Junio</t>
  </si>
  <si>
    <t>Julio</t>
  </si>
  <si>
    <t>Agosto</t>
  </si>
  <si>
    <t>Septiembre</t>
  </si>
  <si>
    <t>Octubre</t>
  </si>
  <si>
    <t>Noviembre</t>
  </si>
  <si>
    <t>Diciembre</t>
  </si>
  <si>
    <t>Excelente</t>
  </si>
  <si>
    <t xml:space="preserve">Bueno </t>
  </si>
  <si>
    <t xml:space="preserve">Débil </t>
  </si>
  <si>
    <t>Deficiente</t>
  </si>
  <si>
    <t>Etiqueta</t>
  </si>
  <si>
    <t xml:space="preserve">Inversión </t>
  </si>
  <si>
    <t>Inversión promedio</t>
  </si>
  <si>
    <t>ROAS promedio</t>
  </si>
  <si>
    <t>Diagnóstico</t>
  </si>
  <si>
    <t>ROAS bajo diagnóstico</t>
  </si>
  <si>
    <t xml:space="preserve">Etiqueta </t>
  </si>
  <si>
    <t>Inversión</t>
  </si>
  <si>
    <t xml:space="preserve">% de inversión </t>
  </si>
  <si>
    <t>% de ingreso</t>
  </si>
  <si>
    <t>% Acumulado</t>
  </si>
  <si>
    <t xml:space="preserve"> ROAS Objetivo</t>
  </si>
  <si>
    <t>CPC Objetivo</t>
  </si>
  <si>
    <t>ROAS Objetivo</t>
  </si>
  <si>
    <t xml:space="preserve">         Gasto</t>
  </si>
  <si>
    <t>Con dos criterios (Campaña+Fecha), ¿qué gasto recuperas si la combinación es única?</t>
  </si>
  <si>
    <t>Si una combinación de campaña y fecha aparece en varias filas, ¿cómo recuperarías todos los registros y calcularías su gasto total?</t>
  </si>
  <si>
    <t>¿Cómo identificarías la campaña con mayor inversión y recuperarías todos los identificadores si hay empate?</t>
  </si>
  <si>
    <t>Si seleccionas un canal y un indicador, ¿cómo recuperarías el objetivo correcto de una tabla con filas por canal y columnas por indicador?</t>
  </si>
  <si>
    <t xml:space="preserve">      Gasto</t>
  </si>
  <si>
    <t>Análisis campañas de marketing</t>
  </si>
  <si>
    <t>Inversión total</t>
  </si>
  <si>
    <t>Ingreso total</t>
  </si>
  <si>
    <t xml:space="preserve">Clics Totales </t>
  </si>
  <si>
    <t>Conversiones totales</t>
  </si>
  <si>
    <t>Impresiones totales</t>
  </si>
  <si>
    <t>Roas global</t>
  </si>
  <si>
    <t>CTR global</t>
  </si>
  <si>
    <t>CPC Global</t>
  </si>
  <si>
    <t>CPA global</t>
  </si>
  <si>
    <t>Tasa de conversión global</t>
  </si>
  <si>
    <t>Datos generales</t>
  </si>
  <si>
    <t>Datos por canal</t>
  </si>
  <si>
    <t>Roas</t>
  </si>
  <si>
    <t xml:space="preserve">CPA </t>
  </si>
  <si>
    <t>Seleccione un canal</t>
  </si>
  <si>
    <t>Datos por país</t>
  </si>
  <si>
    <t>Datos por campaña</t>
  </si>
  <si>
    <t>Datos por dispositivo</t>
  </si>
  <si>
    <t>Seleccione un país</t>
  </si>
  <si>
    <t>Seleccione un dispositivo</t>
  </si>
  <si>
    <t>Seleccione una campaña</t>
  </si>
  <si>
    <t xml:space="preserve">MES </t>
  </si>
  <si>
    <t>Rendimiento mensual del ROAS</t>
  </si>
  <si>
    <t>Hallazgos</t>
  </si>
  <si>
    <t>Datos por categorías</t>
  </si>
  <si>
    <t xml:space="preserve">Porcentaje de errores </t>
  </si>
  <si>
    <t>Datos por tipo de campaña</t>
  </si>
  <si>
    <t>Seleccione un tipo de campaña</t>
  </si>
  <si>
    <t>Seleccione un responsable</t>
  </si>
  <si>
    <t>Datos por responsable</t>
  </si>
  <si>
    <t xml:space="preserve">Todos los canales mantienen su ROAS global en un rango promedio de 6 a 9 euros, sin embargo vemos algunos canales con datos superiores que conviene revisar al detalle la estrategia, estos son el canal Email en el mes de abril que tiene un ROAS  de 13,76 euros y el más alto es el canal Display el mes de noviembre con un ROAS de 14,98 euros. </t>
  </si>
  <si>
    <t xml:space="preserve">El ROAS global corresponde a  8,03 euros, en el evolutivo mensual se puede ver que el mes con mejor rendimiento es el mes de noviembre con 9,27 euros, seguido de un desplome casi al final del rango en del mes de diciembre a 7,47 euros </t>
  </si>
  <si>
    <t xml:space="preserve">España cuenta con la mayor inversión y en línea a esto también con el mayor ingreso, obteniendo el segundo ROAS más alto de 8,16 euros, superado únicamente por México que tiene un ROAS de 8,32 euros, también se tendencia que Italia que tiene la inversión más baja, que se refleja también con el ingreso más bajo, logro tener el ROAS mensual global más alto específicamente en el mes de febrero que correspondió a 13,35 euros </t>
  </si>
  <si>
    <t xml:space="preserve">La campaña Cmp-005 es la que tiene un mejor rendimiento en el ROAS siendo este de 10,30 euros, pero se puede ver que el valor máximo encontrado en el acumulado mensual corresponde a la campaña cmp-019 en el mes de agosto cuyo ROAS corresponde a 25,77 euros </t>
  </si>
  <si>
    <t xml:space="preserve">El dispositivo que aporta el ROAS más alto es Tablet con 8,75 euros, y dentro de su acumulado mensual también encontramos los valores mensuales más altos registrados en le mes de marzo de 16,18 euros y en el mes de mayo de 13,78 euros </t>
  </si>
  <si>
    <t>En cuanto al tipo de campañas, todas se mantienen en rangos mensuales de 6 a 9 euros en su ROAS, con algunos picos superiores que no superan los 10,53 euros en el caso de Reconocimiento en el mes de abril y 10,51 euros en el mes de agosto, también se puede ver que el CPA global  de las campañas de Retención y Conversión son iguales correspondientes a 14,07 euros, lo que nos indica que nos cuesta lo mismo  convertir a un cliente para que tome una acción de compra y lograr que un cliente existente vuelva a comprar, sin que estos dos factores tengan algún tipo de relación.</t>
  </si>
  <si>
    <t xml:space="preserve">Marta López es la responsable con el ROAS acumulado más alto de 8,41 euros con el CPA más bajo correspondiente a 12,70 Euros, Sin embargo el responsable que logro el ROAS más alto fue Laura Pérez en el mes de septiembre siendo este de 13,92 Euros.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</si>
</sst>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_-[$€-2]\ * #,##0.00_-;\-[$€-2]\ * #,##0.00_-;_-[$€-2]\ * &quot;-&quot;??_-;_-@_-"/>
    <numFmt numFmtId="166" formatCode="_-[$€-2]\ * #,##0.000_-;\-[$€-2]\ * #,##0.000_-;_-[$€-2]\ * &quot;-&quot;??_-;_-@_-"/>
    <numFmt numFmtId="173" formatCode="#,##0.00\ [$€-1];[Red]\-#,##0.00\ [$€-1]"/>
    <numFmt numFmtId="174" formatCode="[$€-2]\ #,##0.00;[Red]\-[$€-2]\ #,##0.00"/>
  </numFmts>
  <fonts count="11" x14ac:knownFonts="1">
    <font>
      <sz val="9"/>
      <color theme="1"/>
      <name val="Aptos Narrow"/>
      <family val="2"/>
      <scheme val="minor"/>
    </font>
    <font>
      <sz val="9"/>
      <color theme="1"/>
      <name val="Aptos Narrow"/>
      <family val="2"/>
      <scheme val="minor"/>
    </font>
    <font>
      <b/>
      <sz val="9"/>
      <color theme="1"/>
      <name val="Aptos Narrow"/>
      <family val="2"/>
      <scheme val="minor"/>
    </font>
    <font>
      <sz val="8"/>
      <name val="Aptos Narrow"/>
      <family val="2"/>
      <scheme val="minor"/>
    </font>
    <font>
      <b/>
      <sz val="10"/>
      <color theme="1"/>
      <name val="Aptos Narrow"/>
      <family val="2"/>
      <scheme val="minor"/>
    </font>
    <font>
      <b/>
      <sz val="12"/>
      <color theme="1"/>
      <name val="Aptos Narrow"/>
      <family val="2"/>
      <scheme val="minor"/>
    </font>
    <font>
      <b/>
      <sz val="14"/>
      <color theme="1"/>
      <name val="Aptos Narrow"/>
      <family val="2"/>
      <scheme val="minor"/>
    </font>
    <font>
      <sz val="10"/>
      <color theme="1"/>
      <name val="Aptos Narrow"/>
      <family val="2"/>
      <scheme val="minor"/>
    </font>
    <font>
      <sz val="12"/>
      <color theme="1"/>
      <name val="Aptos Narrow"/>
      <family val="2"/>
      <scheme val="minor"/>
    </font>
    <font>
      <b/>
      <sz val="11"/>
      <color theme="4" tint="-0.499984740745262"/>
      <name val="Aptos Narrow"/>
      <family val="2"/>
      <scheme val="minor"/>
    </font>
    <font>
      <sz val="14"/>
      <color theme="1"/>
      <name val="Aptos Narrow"/>
      <family val="2"/>
      <scheme val="minor"/>
    </font>
  </fonts>
  <fills count="13">
    <fill>
      <patternFill patternType="none"/>
    </fill>
    <fill>
      <patternFill patternType="gray125"/>
    </fill>
    <fill>
      <patternFill patternType="solid">
        <fgColor rgb="FFE2F0D9"/>
      </patternFill>
    </fill>
    <fill>
      <patternFill patternType="solid">
        <fgColor rgb="FFD9EAF7"/>
      </patternFill>
    </fill>
    <fill>
      <patternFill patternType="solid">
        <fgColor rgb="FFFCE4D6"/>
      </patternFill>
    </fill>
    <fill>
      <patternFill patternType="solid">
        <fgColor rgb="FFE4DFEC"/>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0" tint="-0.14999847407452621"/>
        <bgColor indexed="64"/>
      </patternFill>
    </fill>
  </fills>
  <borders count="12">
    <border>
      <left/>
      <right/>
      <top/>
      <bottom/>
      <diagonal/>
    </border>
    <border>
      <left/>
      <right/>
      <top/>
      <bottom style="thin">
        <color rgb="FFD9E1F2"/>
      </bottom>
      <diagonal/>
    </border>
    <border>
      <left style="thin">
        <color indexed="64"/>
      </left>
      <right/>
      <top style="thin">
        <color indexed="64"/>
      </top>
      <bottom/>
      <diagonal/>
    </border>
    <border>
      <left/>
      <right/>
      <top style="thin">
        <color indexed="64"/>
      </top>
      <bottom style="thin">
        <color rgb="FFD9E1F2"/>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7">
    <xf numFmtId="0" fontId="0" fillId="0" borderId="0" xfId="0"/>
    <xf numFmtId="14" fontId="0" fillId="0" borderId="0" xfId="0" applyNumberFormat="1"/>
    <xf numFmtId="49" fontId="0" fillId="0" borderId="0" xfId="0" applyNumberFormat="1"/>
    <xf numFmtId="1" fontId="0" fillId="0" borderId="0" xfId="0" applyNumberFormat="1"/>
    <xf numFmtId="164" fontId="0" fillId="0" borderId="0" xfId="0" applyNumberFormat="1"/>
    <xf numFmtId="0" fontId="2" fillId="0" borderId="0" xfId="0" applyFont="1" applyAlignment="1">
      <alignment horizontal="right"/>
    </xf>
    <xf numFmtId="0" fontId="0" fillId="0" borderId="0" xfId="0" applyAlignment="1">
      <alignment horizontal="right"/>
    </xf>
    <xf numFmtId="9" fontId="0" fillId="0" borderId="0" xfId="2" applyFont="1"/>
    <xf numFmtId="10" fontId="0" fillId="0" borderId="0" xfId="2" applyNumberFormat="1" applyFont="1"/>
    <xf numFmtId="10" fontId="0" fillId="0" borderId="0" xfId="2" applyNumberFormat="1" applyFont="1" applyAlignment="1"/>
    <xf numFmtId="10" fontId="0" fillId="0" borderId="0" xfId="2" applyNumberFormat="1" applyFont="1" applyAlignment="1">
      <alignment horizontal="right"/>
    </xf>
    <xf numFmtId="164" fontId="0" fillId="0" borderId="0" xfId="2" applyNumberFormat="1" applyFont="1"/>
    <xf numFmtId="164" fontId="0" fillId="0" borderId="0" xfId="1" applyNumberFormat="1" applyFont="1"/>
    <xf numFmtId="0" fontId="0" fillId="0" borderId="0" xfId="0" applyAlignment="1">
      <alignment horizontal="center"/>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2" fillId="0" borderId="0" xfId="0" applyFont="1" applyAlignment="1">
      <alignment horizontal="center"/>
    </xf>
    <xf numFmtId="166" fontId="0" fillId="0" borderId="0" xfId="0" applyNumberFormat="1"/>
    <xf numFmtId="0" fontId="0" fillId="2" borderId="0" xfId="0" applyFill="1" applyBorder="1" applyAlignment="1">
      <alignment vertical="top" wrapText="1"/>
    </xf>
    <xf numFmtId="0" fontId="0" fillId="0" borderId="2" xfId="0" applyBorder="1"/>
    <xf numFmtId="0" fontId="0" fillId="2" borderId="3" xfId="0" applyFill="1" applyBorder="1" applyAlignment="1">
      <alignment vertical="top" wrapText="1"/>
    </xf>
    <xf numFmtId="0" fontId="0" fillId="0" borderId="4" xfId="0" applyBorder="1"/>
    <xf numFmtId="0" fontId="0" fillId="0" borderId="5" xfId="0" applyBorder="1"/>
    <xf numFmtId="0" fontId="0" fillId="2" borderId="6" xfId="0" applyFill="1" applyBorder="1" applyAlignment="1">
      <alignment vertical="top" wrapText="1"/>
    </xf>
    <xf numFmtId="0" fontId="0" fillId="0" borderId="6" xfId="0" applyBorder="1"/>
    <xf numFmtId="0" fontId="0" fillId="3" borderId="3" xfId="0" applyFill="1" applyBorder="1" applyAlignment="1">
      <alignment vertical="top" wrapText="1"/>
    </xf>
    <xf numFmtId="0" fontId="0" fillId="0" borderId="7" xfId="0" applyBorder="1"/>
    <xf numFmtId="0" fontId="0" fillId="0" borderId="0" xfId="0" applyBorder="1"/>
    <xf numFmtId="0" fontId="0" fillId="3" borderId="6" xfId="0" applyFill="1" applyBorder="1" applyAlignment="1">
      <alignment vertical="top" wrapText="1"/>
    </xf>
    <xf numFmtId="164" fontId="0" fillId="0" borderId="0" xfId="1" applyNumberFormat="1" applyFont="1" applyBorder="1"/>
    <xf numFmtId="164" fontId="0" fillId="0" borderId="0" xfId="0" applyNumberFormat="1" applyBorder="1"/>
    <xf numFmtId="164" fontId="0" fillId="0" borderId="6" xfId="1" applyNumberFormat="1" applyFont="1" applyBorder="1"/>
    <xf numFmtId="164" fontId="0" fillId="0" borderId="6" xfId="0" applyNumberFormat="1" applyBorder="1"/>
    <xf numFmtId="0" fontId="2" fillId="0" borderId="4" xfId="0" applyFont="1" applyBorder="1" applyAlignment="1">
      <alignment horizontal="center"/>
    </xf>
    <xf numFmtId="164" fontId="0" fillId="0" borderId="0" xfId="0" applyNumberFormat="1" applyFill="1" applyBorder="1"/>
    <xf numFmtId="164" fontId="0" fillId="0" borderId="6" xfId="0" applyNumberFormat="1" applyFill="1" applyBorder="1"/>
    <xf numFmtId="0" fontId="0" fillId="4" borderId="6" xfId="0" applyFill="1" applyBorder="1" applyAlignment="1">
      <alignment vertical="top" wrapText="1"/>
    </xf>
    <xf numFmtId="0" fontId="0" fillId="4" borderId="3" xfId="0" applyFill="1" applyBorder="1" applyAlignment="1">
      <alignment vertical="top" wrapText="1"/>
    </xf>
    <xf numFmtId="164" fontId="0" fillId="0" borderId="4" xfId="0" applyNumberFormat="1" applyBorder="1"/>
    <xf numFmtId="0" fontId="0" fillId="4" borderId="0" xfId="0" applyFill="1" applyBorder="1" applyAlignment="1">
      <alignment vertical="top" wrapText="1"/>
    </xf>
    <xf numFmtId="0" fontId="0" fillId="0" borderId="0" xfId="0" applyFill="1" applyBorder="1"/>
    <xf numFmtId="0" fontId="0" fillId="4" borderId="4" xfId="0" applyFill="1" applyBorder="1" applyAlignment="1">
      <alignment vertical="top" wrapText="1"/>
    </xf>
    <xf numFmtId="0" fontId="0" fillId="0" borderId="4" xfId="0" applyFill="1" applyBorder="1"/>
    <xf numFmtId="0" fontId="0" fillId="0" borderId="6" xfId="0" applyFill="1" applyBorder="1"/>
    <xf numFmtId="0" fontId="2" fillId="0" borderId="4" xfId="0" applyFont="1" applyFill="1" applyBorder="1" applyAlignment="1">
      <alignment horizontal="center"/>
    </xf>
    <xf numFmtId="0" fontId="2" fillId="0" borderId="0" xfId="0" applyFont="1" applyBorder="1" applyAlignment="1">
      <alignment horizontal="center"/>
    </xf>
    <xf numFmtId="10" fontId="0" fillId="0" borderId="0" xfId="2" applyNumberFormat="1" applyFont="1" applyBorder="1"/>
    <xf numFmtId="0" fontId="2" fillId="0" borderId="6" xfId="0" applyFont="1" applyBorder="1" applyAlignment="1">
      <alignment horizontal="center"/>
    </xf>
    <xf numFmtId="164" fontId="2" fillId="0" borderId="6" xfId="0" applyNumberFormat="1" applyFont="1" applyBorder="1" applyAlignment="1">
      <alignment horizontal="center"/>
    </xf>
    <xf numFmtId="10" fontId="0" fillId="0" borderId="0" xfId="0" applyNumberFormat="1" applyBorder="1"/>
    <xf numFmtId="0" fontId="0" fillId="5" borderId="3" xfId="0" applyFill="1" applyBorder="1" applyAlignment="1">
      <alignment vertical="top" wrapText="1"/>
    </xf>
    <xf numFmtId="0" fontId="0" fillId="5" borderId="6" xfId="0" applyFill="1" applyBorder="1" applyAlignment="1">
      <alignment vertical="top" wrapText="1"/>
    </xf>
    <xf numFmtId="0" fontId="0" fillId="0" borderId="0" xfId="0" applyNumberFormat="1"/>
    <xf numFmtId="173" fontId="0" fillId="0" borderId="0" xfId="0" applyNumberFormat="1" applyBorder="1"/>
    <xf numFmtId="173" fontId="0" fillId="0" borderId="6" xfId="0" applyNumberFormat="1" applyBorder="1"/>
    <xf numFmtId="14" fontId="0" fillId="0" borderId="0" xfId="0" applyNumberFormat="1" applyBorder="1"/>
    <xf numFmtId="174" fontId="0" fillId="0" borderId="0" xfId="0" applyNumberFormat="1" applyBorder="1"/>
    <xf numFmtId="14" fontId="0" fillId="0" borderId="6" xfId="0" applyNumberFormat="1" applyBorder="1"/>
    <xf numFmtId="174" fontId="0" fillId="0" borderId="6" xfId="0" applyNumberFormat="1" applyBorder="1"/>
    <xf numFmtId="0" fontId="0" fillId="0" borderId="0" xfId="0" applyFont="1" applyBorder="1" applyAlignment="1">
      <alignment horizontal="center"/>
    </xf>
    <xf numFmtId="0" fontId="0" fillId="6" borderId="0" xfId="0" applyFill="1"/>
    <xf numFmtId="0" fontId="6" fillId="6" borderId="0" xfId="0" applyFont="1" applyFill="1" applyAlignment="1">
      <alignment horizontal="center"/>
    </xf>
    <xf numFmtId="0" fontId="4" fillId="6" borderId="9" xfId="0" applyFont="1" applyFill="1" applyBorder="1" applyAlignment="1">
      <alignment horizontal="center"/>
    </xf>
    <xf numFmtId="164" fontId="8" fillId="6" borderId="10" xfId="0" applyNumberFormat="1" applyFont="1" applyFill="1" applyBorder="1" applyAlignment="1">
      <alignment horizontal="center" vertical="center"/>
    </xf>
    <xf numFmtId="1" fontId="8" fillId="6" borderId="10" xfId="0" applyNumberFormat="1" applyFont="1" applyFill="1" applyBorder="1" applyAlignment="1">
      <alignment horizontal="center" vertical="center"/>
    </xf>
    <xf numFmtId="10" fontId="8" fillId="6" borderId="10" xfId="2" applyNumberFormat="1" applyFont="1" applyFill="1" applyBorder="1" applyAlignment="1">
      <alignment horizontal="center" vertical="center"/>
    </xf>
    <xf numFmtId="166" fontId="8" fillId="6" borderId="10" xfId="0" applyNumberFormat="1" applyFont="1" applyFill="1" applyBorder="1" applyAlignment="1">
      <alignment horizontal="center" vertical="center"/>
    </xf>
    <xf numFmtId="0" fontId="5" fillId="6" borderId="0" xfId="0" applyFont="1" applyFill="1" applyAlignment="1">
      <alignment horizontal="center"/>
    </xf>
    <xf numFmtId="0" fontId="0" fillId="7" borderId="0" xfId="0" applyFill="1"/>
    <xf numFmtId="0" fontId="4" fillId="7" borderId="9" xfId="0" applyFont="1" applyFill="1" applyBorder="1" applyAlignment="1">
      <alignment horizontal="center"/>
    </xf>
    <xf numFmtId="164" fontId="8" fillId="7" borderId="10" xfId="0" applyNumberFormat="1" applyFont="1" applyFill="1" applyBorder="1" applyAlignment="1">
      <alignment horizontal="center" vertical="center"/>
    </xf>
    <xf numFmtId="166" fontId="8" fillId="7" borderId="10" xfId="0" applyNumberFormat="1" applyFont="1" applyFill="1" applyBorder="1" applyAlignment="1">
      <alignment horizontal="center" vertical="center"/>
    </xf>
    <xf numFmtId="0" fontId="0" fillId="9" borderId="0" xfId="0" applyFill="1"/>
    <xf numFmtId="0" fontId="0" fillId="10" borderId="0" xfId="0" applyFill="1"/>
    <xf numFmtId="164" fontId="2" fillId="0" borderId="0" xfId="0" applyNumberFormat="1" applyFont="1"/>
    <xf numFmtId="0" fontId="0" fillId="11" borderId="0" xfId="0" applyFill="1"/>
    <xf numFmtId="0" fontId="0" fillId="8" borderId="0" xfId="0" applyFill="1"/>
    <xf numFmtId="164" fontId="8" fillId="7" borderId="0" xfId="0" applyNumberFormat="1" applyFont="1" applyFill="1" applyBorder="1" applyAlignment="1">
      <alignment horizontal="center" vertical="center"/>
    </xf>
    <xf numFmtId="166" fontId="8" fillId="7" borderId="0" xfId="0" applyNumberFormat="1" applyFont="1" applyFill="1" applyBorder="1" applyAlignment="1">
      <alignment horizontal="center" vertical="center"/>
    </xf>
    <xf numFmtId="0" fontId="5" fillId="11" borderId="0" xfId="0" applyFont="1" applyFill="1" applyAlignment="1">
      <alignment horizontal="center"/>
    </xf>
    <xf numFmtId="0" fontId="5" fillId="8" borderId="0" xfId="0" applyFont="1" applyFill="1" applyAlignment="1">
      <alignment horizontal="center"/>
    </xf>
    <xf numFmtId="0" fontId="6" fillId="7" borderId="0" xfId="0" applyFont="1" applyFill="1" applyAlignment="1">
      <alignment horizontal="center"/>
    </xf>
    <xf numFmtId="0" fontId="6" fillId="8" borderId="0" xfId="0" applyFont="1" applyFill="1" applyAlignment="1"/>
    <xf numFmtId="0" fontId="9" fillId="7" borderId="8" xfId="0" applyFont="1" applyFill="1" applyBorder="1" applyAlignment="1">
      <alignment horizontal="center"/>
    </xf>
    <xf numFmtId="0" fontId="9" fillId="8" borderId="11" xfId="0" applyFont="1" applyFill="1" applyBorder="1"/>
    <xf numFmtId="0" fontId="0" fillId="12" borderId="0" xfId="0" applyFill="1"/>
    <xf numFmtId="0" fontId="6" fillId="10" borderId="0" xfId="0" applyFont="1" applyFill="1" applyAlignment="1">
      <alignment horizontal="center"/>
    </xf>
    <xf numFmtId="0" fontId="8" fillId="12" borderId="0" xfId="0" applyFont="1" applyFill="1" applyAlignment="1">
      <alignment vertical="top" wrapText="1"/>
    </xf>
    <xf numFmtId="0" fontId="10" fillId="12" borderId="0" xfId="0" applyFont="1" applyFill="1" applyAlignment="1">
      <alignment horizontal="left" vertical="center" wrapText="1" indent="1"/>
    </xf>
    <xf numFmtId="0" fontId="8" fillId="10" borderId="0" xfId="0" applyFont="1" applyFill="1" applyAlignment="1">
      <alignment horizontal="left" vertical="center" wrapText="1" indent="1"/>
    </xf>
    <xf numFmtId="164" fontId="0" fillId="9" borderId="0" xfId="0" applyNumberFormat="1" applyFill="1"/>
    <xf numFmtId="0" fontId="7" fillId="7" borderId="0" xfId="0" applyFont="1" applyFill="1"/>
    <xf numFmtId="0" fontId="7" fillId="7" borderId="0" xfId="0" applyFont="1" applyFill="1" applyAlignment="1">
      <alignment horizontal="center"/>
    </xf>
    <xf numFmtId="0" fontId="7" fillId="7" borderId="0" xfId="0" applyFont="1" applyFill="1" applyAlignment="1">
      <alignment horizontal="left"/>
    </xf>
  </cellXfs>
  <cellStyles count="3">
    <cellStyle name="Moneda" xfId="1" builtinId="4"/>
    <cellStyle name="Normal" xfId="0" builtinId="0"/>
    <cellStyle name="Porcentaje" xfId="2" builtinId="5"/>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2]\ * #,##0.00_-;\-[$€-2]\ * #,##0.00_-;_-[$€-2]\ * &quot;-&quot;??_-;_-@_-"/>
    </dxf>
    <dxf>
      <numFmt numFmtId="164" formatCode="_-[$€-2]\ * #,##0.00_-;\-[$€-2]\ * #,##0.00_-;_-[$€-2]\ * &quot;-&quot;??_-;_-@_-"/>
    </dxf>
    <dxf>
      <numFmt numFmtId="164" formatCode="_-[$€-2]\ * #,##0.00_-;\-[$€-2]\ * #,##0.00_-;_-[$€-2]\ * &quot;-&quot;??_-;_-@_-"/>
    </dxf>
    <dxf>
      <numFmt numFmtId="14" formatCode="0.00%"/>
    </dxf>
    <dxf>
      <numFmt numFmtId="14" formatCode="0.00%"/>
    </dxf>
    <dxf>
      <numFmt numFmtId="30" formatCode="@"/>
    </dxf>
    <dxf>
      <numFmt numFmtId="30" formatCode="@"/>
    </dxf>
    <dxf>
      <numFmt numFmtId="1" formatCode="0"/>
    </dxf>
    <dxf>
      <numFmt numFmtId="164" formatCode="_-[$€-2]\ * #,##0.00_-;\-[$€-2]\ * #,##0.00_-;_-[$€-2]\ * &quot;-&quot;??_-;_-@_-"/>
    </dxf>
    <dxf>
      <numFmt numFmtId="164" formatCode="_-[$€-2]\ * #,##0.00_-;\-[$€-2]\ * #,##0.00_-;_-[$€-2]\ * &quot;-&quot;??_-;_-@_-"/>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9" formatCode="d/mm/yyyy"/>
    </dxf>
    <dxf>
      <numFmt numFmtId="30" formatCode="@"/>
    </dxf>
    <dxf>
      <numFmt numFmtId="30" formatCode="@"/>
    </dxf>
    <dxf>
      <numFmt numFmtId="1" formatCode="0"/>
    </dxf>
    <dxf>
      <numFmt numFmtId="164" formatCode="_-[$€-2]\ * #,##0.00_-;\-[$€-2]\ * #,##0.00_-;_-[$€-2]\ * &quot;-&quot;??_-;_-@_-"/>
    </dxf>
    <dxf>
      <numFmt numFmtId="164" formatCode="_-[$€-2]\ * #,##0.00_-;\-[$€-2]\ * #,##0.00_-;_-[$€-2]\ * &quot;-&quot;??_-;_-@_-"/>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9" formatCode="d/mm/yyyy"/>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30" formatCode="@"/>
    </dxf>
    <dxf>
      <numFmt numFmtId="30" formatCode="@"/>
    </dxf>
    <dxf>
      <numFmt numFmtId="1" formatCode="0"/>
    </dxf>
    <dxf>
      <numFmt numFmtId="164" formatCode="_-[$€-2]\ * #,##0.00_-;\-[$€-2]\ * #,##0.00_-;_-[$€-2]\ * &quot;-&quot;??_-;_-@_-"/>
    </dxf>
    <dxf>
      <numFmt numFmtId="164" formatCode="_-[$€-2]\ * #,##0.00_-;\-[$€-2]\ * #,##0.00_-;_-[$€-2]\ * &quot;-&quot;??_-;_-@_-"/>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 formatCode="0"/>
    </dxf>
    <dxf>
      <numFmt numFmtId="164" formatCode="_-[$€-2]\ * #,##0.00_-;\-[$€-2]\ * #,##0.00_-;_-[$€-2]\ * &quot;-&quot;??_-;_-@_-"/>
    </dxf>
    <dxf>
      <numFmt numFmtId="164" formatCode="_-[$€-2]\ * #,##0.00_-;\-[$€-2]\ * #,##0.00_-;_-[$€-2]\ * &quot;-&quot;??_-;_-@_-"/>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3"/>
                </a:solidFill>
                <a:effectLst>
                  <a:glow rad="127000">
                    <a:schemeClr val="accent6">
                      <a:lumMod val="20000"/>
                      <a:lumOff val="80000"/>
                    </a:schemeClr>
                  </a:glow>
                </a:effectLst>
                <a:latin typeface="+mn-lt"/>
                <a:ea typeface="+mn-ea"/>
                <a:cs typeface="+mn-cs"/>
              </a:defRPr>
            </a:pPr>
            <a:r>
              <a:rPr lang="en-US" sz="1600" b="1">
                <a:solidFill>
                  <a:schemeClr val="accent3"/>
                </a:solidFill>
                <a:effectLst>
                  <a:glow rad="127000">
                    <a:schemeClr val="accent6">
                      <a:lumMod val="20000"/>
                      <a:lumOff val="80000"/>
                    </a:schemeClr>
                  </a:glow>
                </a:effectLst>
              </a:rPr>
              <a:t>ROAS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effectLst>
                <a:glow rad="127000">
                  <a:schemeClr val="accent6">
                    <a:lumMod val="20000"/>
                    <a:lumOff val="80000"/>
                  </a:schemeClr>
                </a:glow>
              </a:effectLst>
              <a:latin typeface="+mn-lt"/>
              <a:ea typeface="+mn-ea"/>
              <a:cs typeface="+mn-cs"/>
            </a:defRPr>
          </a:pPr>
          <a:endParaRPr lang="es-CO"/>
        </a:p>
      </c:txPr>
    </c:title>
    <c:autoTitleDeleted val="0"/>
    <c:plotArea>
      <c:layout/>
      <c:lineChart>
        <c:grouping val="standard"/>
        <c:varyColors val="0"/>
        <c:ser>
          <c:idx val="0"/>
          <c:order val="0"/>
          <c:tx>
            <c:strRef>
              <c:f>UNICOS!$O$1</c:f>
              <c:strCache>
                <c:ptCount val="1"/>
                <c:pt idx="0">
                  <c:v>ROAS</c:v>
                </c:pt>
              </c:strCache>
            </c:strRef>
          </c:tx>
          <c:spPr>
            <a:ln w="28575" cap="rnd">
              <a:solidFill>
                <a:schemeClr val="accent6"/>
              </a:solidFill>
              <a:round/>
            </a:ln>
            <a:effectLst/>
          </c:spPr>
          <c:marker>
            <c:symbol val="circle"/>
            <c:size val="5"/>
            <c:spPr>
              <a:solidFill>
                <a:schemeClr val="accent3">
                  <a:lumMod val="60000"/>
                  <a:lumOff val="40000"/>
                </a:schemeClr>
              </a:solidFill>
              <a:ln w="9525">
                <a:solidFill>
                  <a:schemeClr val="accent1"/>
                </a:solidFill>
              </a:ln>
              <a:effectLst/>
            </c:spPr>
          </c:marker>
          <c:dPt>
            <c:idx val="10"/>
            <c:marker>
              <c:symbol val="circle"/>
              <c:size val="8"/>
              <c:spPr>
                <a:solidFill>
                  <a:srgbClr val="FFFF00"/>
                </a:solidFill>
                <a:ln w="22225">
                  <a:solidFill>
                    <a:schemeClr val="accent3">
                      <a:lumMod val="75000"/>
                    </a:schemeClr>
                  </a:solidFill>
                </a:ln>
                <a:effectLst/>
              </c:spPr>
            </c:marker>
            <c:bubble3D val="0"/>
            <c:extLst>
              <c:ext xmlns:c16="http://schemas.microsoft.com/office/drawing/2014/chart" uri="{C3380CC4-5D6E-409C-BE32-E72D297353CC}">
                <c16:uniqueId val="{00000002-5CB5-4800-8D47-DB22B7D5870F}"/>
              </c:ext>
            </c:extLst>
          </c:dPt>
          <c:cat>
            <c:strRef>
              <c:f>UNICOS!$N$2:$N$13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UNICOS!$O$2:$O$13</c:f>
              <c:numCache>
                <c:formatCode>_-[$€-2]\ * #,##0.00_-;\-[$€-2]\ * #,##0.00_-;_-[$€-2]\ * "-"??_-;_-@_-</c:formatCode>
                <c:ptCount val="12"/>
                <c:pt idx="0">
                  <c:v>8.1347645576140142</c:v>
                </c:pt>
                <c:pt idx="1">
                  <c:v>8.1128178300579386</c:v>
                </c:pt>
                <c:pt idx="2">
                  <c:v>7.7276694865383808</c:v>
                </c:pt>
                <c:pt idx="3">
                  <c:v>8.6371555296747573</c:v>
                </c:pt>
                <c:pt idx="4">
                  <c:v>8.53327016572063</c:v>
                </c:pt>
                <c:pt idx="5">
                  <c:v>7.4128064920179808</c:v>
                </c:pt>
                <c:pt idx="6">
                  <c:v>7.6723591860632414</c:v>
                </c:pt>
                <c:pt idx="7">
                  <c:v>8.2912461725493625</c:v>
                </c:pt>
                <c:pt idx="8">
                  <c:v>7.814452699829757</c:v>
                </c:pt>
                <c:pt idx="9">
                  <c:v>7.5988443553001277</c:v>
                </c:pt>
                <c:pt idx="10">
                  <c:v>9.2651008644946593</c:v>
                </c:pt>
                <c:pt idx="11">
                  <c:v>7.4683523702909547</c:v>
                </c:pt>
              </c:numCache>
            </c:numRef>
          </c:val>
          <c:smooth val="0"/>
          <c:extLst>
            <c:ext xmlns:c16="http://schemas.microsoft.com/office/drawing/2014/chart" uri="{C3380CC4-5D6E-409C-BE32-E72D297353CC}">
              <c16:uniqueId val="{00000000-5CB5-4800-8D47-DB22B7D5870F}"/>
            </c:ext>
          </c:extLst>
        </c:ser>
        <c:dLbls>
          <c:showLegendKey val="0"/>
          <c:showVal val="0"/>
          <c:showCatName val="0"/>
          <c:showSerName val="0"/>
          <c:showPercent val="0"/>
          <c:showBubbleSize val="0"/>
        </c:dLbls>
        <c:marker val="1"/>
        <c:smooth val="0"/>
        <c:axId val="1322342416"/>
        <c:axId val="1322344336"/>
      </c:lineChart>
      <c:catAx>
        <c:axId val="132234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322344336"/>
        <c:crosses val="autoZero"/>
        <c:auto val="1"/>
        <c:lblAlgn val="ctr"/>
        <c:lblOffset val="100"/>
        <c:noMultiLvlLbl val="0"/>
      </c:catAx>
      <c:valAx>
        <c:axId val="1322344336"/>
        <c:scaling>
          <c:orientation val="minMax"/>
          <c:max val="10"/>
          <c:min val="7"/>
        </c:scaling>
        <c:delete val="0"/>
        <c:axPos val="l"/>
        <c:majorGridlines>
          <c:spPr>
            <a:ln w="9525" cap="flat" cmpd="sng" algn="ctr">
              <a:solidFill>
                <a:schemeClr val="tx1">
                  <a:lumMod val="15000"/>
                  <a:lumOff val="85000"/>
                </a:schemeClr>
              </a:solidFill>
              <a:round/>
              <a:headEnd type="triangle" w="sm" len="me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32234241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alpha val="89000"/>
      </a:schemeClr>
    </a:solidFill>
    <a:ln w="9525" cap="flat" cmpd="sng" algn="ctr">
      <a:noFill/>
      <a:round/>
    </a:ln>
    <a:effectLst>
      <a:softEdge rad="25400"/>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UNICOS!$R$1</c:f>
              <c:strCache>
                <c:ptCount val="1"/>
                <c:pt idx="0">
                  <c:v>Display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UNICOS!$R$2:$R$13</c:f>
              <c:numCache>
                <c:formatCode>_-[$€-2]\ * #,##0.00_-;\-[$€-2]\ * #,##0.00_-;_-[$€-2]\ * "-"??_-;_-@_-</c:formatCode>
                <c:ptCount val="12"/>
                <c:pt idx="0">
                  <c:v>8.9978772300547973</c:v>
                </c:pt>
                <c:pt idx="1">
                  <c:v>6.7461818826235733</c:v>
                </c:pt>
                <c:pt idx="2">
                  <c:v>7.537945752393437</c:v>
                </c:pt>
                <c:pt idx="3">
                  <c:v>8.7096932231918807</c:v>
                </c:pt>
                <c:pt idx="4">
                  <c:v>7.4238669751967752</c:v>
                </c:pt>
                <c:pt idx="5">
                  <c:v>5.2526332227635262</c:v>
                </c:pt>
                <c:pt idx="6">
                  <c:v>5.8498452295051804</c:v>
                </c:pt>
                <c:pt idx="7">
                  <c:v>7.0095985889034456</c:v>
                </c:pt>
                <c:pt idx="8">
                  <c:v>6.0910403379867519</c:v>
                </c:pt>
                <c:pt idx="9">
                  <c:v>6.9511705544121494</c:v>
                </c:pt>
                <c:pt idx="10">
                  <c:v>14.975161573445348</c:v>
                </c:pt>
                <c:pt idx="11">
                  <c:v>7.3764269534785818</c:v>
                </c:pt>
              </c:numCache>
            </c:numRef>
          </c:val>
          <c:smooth val="0"/>
          <c:extLst>
            <c:ext xmlns:c16="http://schemas.microsoft.com/office/drawing/2014/chart" uri="{C3380CC4-5D6E-409C-BE32-E72D297353CC}">
              <c16:uniqueId val="{00000000-6B38-482A-BA2C-31407515E4FA}"/>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4"/>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UNICOS!$S$1</c:f>
              <c:strCache>
                <c:ptCount val="1"/>
                <c:pt idx="0">
                  <c:v>Italia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UNICOS!$S$2:$S$13</c:f>
              <c:numCache>
                <c:formatCode>_-[$€-2]\ * #,##0.00_-;\-[$€-2]\ * #,##0.00_-;_-[$€-2]\ * "-"??_-;_-@_-</c:formatCode>
                <c:ptCount val="12"/>
                <c:pt idx="0">
                  <c:v>10.982063388750831</c:v>
                </c:pt>
                <c:pt idx="1">
                  <c:v>13.350675623103458</c:v>
                </c:pt>
                <c:pt idx="2">
                  <c:v>8.5270047211735989</c:v>
                </c:pt>
                <c:pt idx="3">
                  <c:v>5.7529627142564115</c:v>
                </c:pt>
                <c:pt idx="4">
                  <c:v>9.5393520596104775</c:v>
                </c:pt>
                <c:pt idx="5">
                  <c:v>3.8157533246162081</c:v>
                </c:pt>
                <c:pt idx="6">
                  <c:v>7.2203888415050992</c:v>
                </c:pt>
                <c:pt idx="7">
                  <c:v>7.8376840555409393</c:v>
                </c:pt>
                <c:pt idx="8">
                  <c:v>6.1618396830046711</c:v>
                </c:pt>
                <c:pt idx="9">
                  <c:v>6.243445545690558</c:v>
                </c:pt>
                <c:pt idx="10">
                  <c:v>7.7040210253814836</c:v>
                </c:pt>
                <c:pt idx="11">
                  <c:v>8.7695950779557688</c:v>
                </c:pt>
              </c:numCache>
            </c:numRef>
          </c:val>
          <c:smooth val="0"/>
          <c:extLst>
            <c:ext xmlns:c16="http://schemas.microsoft.com/office/drawing/2014/chart" uri="{C3380CC4-5D6E-409C-BE32-E72D297353CC}">
              <c16:uniqueId val="{00000000-EC6D-4F67-BCD5-C387C50E7187}"/>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4"/>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UNICOS!$T$1</c:f>
              <c:strCache>
                <c:ptCount val="1"/>
                <c:pt idx="0">
                  <c:v>Cmp-019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UNICOS!$T$2:$T$13</c:f>
              <c:numCache>
                <c:formatCode>_-[$€-2]\ * #,##0.00_-;\-[$€-2]\ * #,##0.00_-;_-[$€-2]\ * "-"??_-;_-@_-</c:formatCode>
                <c:ptCount val="12"/>
                <c:pt idx="0">
                  <c:v>5.3004576230558387</c:v>
                </c:pt>
                <c:pt idx="1">
                  <c:v>7.9725084960506276</c:v>
                </c:pt>
                <c:pt idx="2">
                  <c:v>3.7816883692043217</c:v>
                </c:pt>
                <c:pt idx="3">
                  <c:v>3.3451843320752483</c:v>
                </c:pt>
                <c:pt idx="4">
                  <c:v>9.8584173115657645</c:v>
                </c:pt>
                <c:pt idx="5">
                  <c:v>6.6251879221878722</c:v>
                </c:pt>
                <c:pt idx="6">
                  <c:v>5.2375865443052554</c:v>
                </c:pt>
                <c:pt idx="7">
                  <c:v>25.772550425207694</c:v>
                </c:pt>
                <c:pt idx="8">
                  <c:v>9.6104245778664641</c:v>
                </c:pt>
                <c:pt idx="9">
                  <c:v>10.032939810493382</c:v>
                </c:pt>
                <c:pt idx="10">
                  <c:v>13.435091473699321</c:v>
                </c:pt>
                <c:pt idx="11">
                  <c:v>11.550352996177109</c:v>
                </c:pt>
              </c:numCache>
            </c:numRef>
          </c:val>
          <c:smooth val="0"/>
          <c:extLst>
            <c:ext xmlns:c16="http://schemas.microsoft.com/office/drawing/2014/chart" uri="{C3380CC4-5D6E-409C-BE32-E72D297353CC}">
              <c16:uniqueId val="{00000000-0FCF-4396-8DD7-2CE281F0DBEB}"/>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24"/>
          <c:min val="3"/>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6"/>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UNICOS!$U$1</c:f>
              <c:strCache>
                <c:ptCount val="1"/>
                <c:pt idx="0">
                  <c:v>Tablet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UNICOS!$U$2:$U$13</c:f>
              <c:numCache>
                <c:formatCode>_-[$€-2]\ * #,##0.00_-;\-[$€-2]\ * #,##0.00_-;_-[$€-2]\ * "-"??_-;_-@_-</c:formatCode>
                <c:ptCount val="12"/>
                <c:pt idx="0">
                  <c:v>11.57724917749638</c:v>
                </c:pt>
                <c:pt idx="1">
                  <c:v>9.7613913801907923</c:v>
                </c:pt>
                <c:pt idx="2">
                  <c:v>16.18289525373331</c:v>
                </c:pt>
                <c:pt idx="3">
                  <c:v>10.804615959240769</c:v>
                </c:pt>
                <c:pt idx="4">
                  <c:v>13.775316180565396</c:v>
                </c:pt>
                <c:pt idx="5">
                  <c:v>4.1610081550057618</c:v>
                </c:pt>
                <c:pt idx="6">
                  <c:v>6.8931121529695485</c:v>
                </c:pt>
                <c:pt idx="7">
                  <c:v>7.8680243488571575</c:v>
                </c:pt>
                <c:pt idx="8">
                  <c:v>13.039047415434569</c:v>
                </c:pt>
                <c:pt idx="9">
                  <c:v>5.5689606004081034</c:v>
                </c:pt>
                <c:pt idx="10">
                  <c:v>5.6384832944380845</c:v>
                </c:pt>
                <c:pt idx="11">
                  <c:v>9.138291686107797</c:v>
                </c:pt>
              </c:numCache>
            </c:numRef>
          </c:val>
          <c:smooth val="0"/>
          <c:extLst>
            <c:ext xmlns:c16="http://schemas.microsoft.com/office/drawing/2014/chart" uri="{C3380CC4-5D6E-409C-BE32-E72D297353CC}">
              <c16:uniqueId val="{00000000-98FA-4E16-99AE-4A0A2ECD256B}"/>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17"/>
          <c:min val="4"/>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4"/>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UNICOS!$V$1</c:f>
              <c:strCache>
                <c:ptCount val="1"/>
                <c:pt idx="0">
                  <c:v>Conversión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UNICOS!$V$2:$V$13</c:f>
              <c:numCache>
                <c:formatCode>_-[$€-2]\ * #,##0.00_-;\-[$€-2]\ * #,##0.00_-;_-[$€-2]\ * "-"??_-;_-@_-</c:formatCode>
                <c:ptCount val="12"/>
                <c:pt idx="0">
                  <c:v>7.3365150738401663</c:v>
                </c:pt>
                <c:pt idx="1">
                  <c:v>8.6258973534462307</c:v>
                </c:pt>
                <c:pt idx="2">
                  <c:v>6.7912329576858816</c:v>
                </c:pt>
                <c:pt idx="3">
                  <c:v>9.1474220540142834</c:v>
                </c:pt>
                <c:pt idx="4">
                  <c:v>7.8316951108999193</c:v>
                </c:pt>
                <c:pt idx="5">
                  <c:v>7.2692274717194199</c:v>
                </c:pt>
                <c:pt idx="6">
                  <c:v>9.890364957837944</c:v>
                </c:pt>
                <c:pt idx="7">
                  <c:v>7.0932176444411423</c:v>
                </c:pt>
                <c:pt idx="8">
                  <c:v>6.8177381480294335</c:v>
                </c:pt>
                <c:pt idx="9">
                  <c:v>6.4950721457177751</c:v>
                </c:pt>
                <c:pt idx="10">
                  <c:v>10.379843496651061</c:v>
                </c:pt>
                <c:pt idx="11">
                  <c:v>5.7899241823642331</c:v>
                </c:pt>
              </c:numCache>
            </c:numRef>
          </c:val>
          <c:smooth val="0"/>
          <c:extLst>
            <c:ext xmlns:c16="http://schemas.microsoft.com/office/drawing/2014/chart" uri="{C3380CC4-5D6E-409C-BE32-E72D297353CC}">
              <c16:uniqueId val="{00000000-1C7C-4CD9-96D1-993A9834CF8E}"/>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11"/>
          <c:min val="5"/>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2"/>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1" i="0" u="none" strike="noStrike" kern="1200" spc="0" baseline="0">
              <a:solidFill>
                <a:schemeClr val="accent1">
                  <a:lumMod val="50000"/>
                </a:schemeClr>
              </a:solidFill>
              <a:latin typeface="+mn-lt"/>
              <a:ea typeface="+mn-ea"/>
              <a:cs typeface="+mn-cs"/>
            </a:defRPr>
          </a:pPr>
          <a:endParaRPr lang="es-CO"/>
        </a:p>
      </c:txPr>
    </c:title>
    <c:autoTitleDeleted val="0"/>
    <c:plotArea>
      <c:layout/>
      <c:lineChart>
        <c:grouping val="standard"/>
        <c:varyColors val="0"/>
        <c:ser>
          <c:idx val="0"/>
          <c:order val="0"/>
          <c:tx>
            <c:strRef>
              <c:f>UNICOS!$W$1</c:f>
              <c:strCache>
                <c:ptCount val="1"/>
                <c:pt idx="0">
                  <c:v>Laura Pérez</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UNICOS!$Q$2:$Q$13</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UNICOS!$W$2:$W$13</c:f>
              <c:numCache>
                <c:formatCode>_-[$€-2]\ * #,##0.00_-;\-[$€-2]\ * #,##0.00_-;_-[$€-2]\ * "-"??_-;_-@_-</c:formatCode>
                <c:ptCount val="12"/>
                <c:pt idx="0">
                  <c:v>9.3137329910118201</c:v>
                </c:pt>
                <c:pt idx="1">
                  <c:v>7.2222546028238019</c:v>
                </c:pt>
                <c:pt idx="2">
                  <c:v>7.5020575362775102</c:v>
                </c:pt>
                <c:pt idx="3">
                  <c:v>7.8339097409089895</c:v>
                </c:pt>
                <c:pt idx="4">
                  <c:v>6.8203386066522222</c:v>
                </c:pt>
                <c:pt idx="5">
                  <c:v>5.3205334071670665</c:v>
                </c:pt>
                <c:pt idx="6">
                  <c:v>8.8789627326546707</c:v>
                </c:pt>
                <c:pt idx="7">
                  <c:v>7.2303884215236032</c:v>
                </c:pt>
                <c:pt idx="8">
                  <c:v>13.91899699107206</c:v>
                </c:pt>
                <c:pt idx="9">
                  <c:v>6.2355673099286921</c:v>
                </c:pt>
                <c:pt idx="10">
                  <c:v>8.6217082698840919</c:v>
                </c:pt>
                <c:pt idx="11">
                  <c:v>6.5093262920777262</c:v>
                </c:pt>
              </c:numCache>
            </c:numRef>
          </c:val>
          <c:smooth val="0"/>
          <c:extLst>
            <c:ext xmlns:c16="http://schemas.microsoft.com/office/drawing/2014/chart" uri="{C3380CC4-5D6E-409C-BE32-E72D297353CC}">
              <c16:uniqueId val="{00000000-E281-431E-A981-D02869538E05}"/>
            </c:ext>
          </c:extLst>
        </c:ser>
        <c:dLbls>
          <c:showLegendKey val="0"/>
          <c:showVal val="0"/>
          <c:showCatName val="0"/>
          <c:showSerName val="0"/>
          <c:showPercent val="0"/>
          <c:showBubbleSize val="0"/>
        </c:dLbls>
        <c:marker val="1"/>
        <c:smooth val="0"/>
        <c:axId val="1460413056"/>
        <c:axId val="1460413536"/>
      </c:lineChart>
      <c:catAx>
        <c:axId val="14604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lang="en-US" sz="900" b="0" i="0" u="none" strike="noStrike" kern="1200" baseline="0">
                <a:solidFill>
                  <a:sysClr val="windowText" lastClr="000000"/>
                </a:solidFill>
                <a:latin typeface="+mn-lt"/>
                <a:ea typeface="+mn-ea"/>
                <a:cs typeface="+mn-cs"/>
              </a:defRPr>
            </a:pPr>
            <a:endParaRPr lang="es-CO"/>
          </a:p>
        </c:txPr>
        <c:crossAx val="1460413536"/>
        <c:crosses val="autoZero"/>
        <c:auto val="1"/>
        <c:lblAlgn val="ctr"/>
        <c:lblOffset val="100"/>
        <c:tickLblSkip val="1"/>
        <c:noMultiLvlLbl val="0"/>
      </c:catAx>
      <c:valAx>
        <c:axId val="1460413536"/>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_-[$€-2]\ * #,##0.00_-;\-[$€-2]\ * #,##0.00_-;_-[$€-2]\ * &quot;-&quot;??_-;_-@_-"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CO"/>
          </a:p>
        </c:txPr>
        <c:crossAx val="1460413056"/>
        <c:crosses val="autoZero"/>
        <c:crossBetween val="between"/>
        <c:majorUnit val="4"/>
      </c:valAx>
      <c:spPr>
        <a:noFill/>
        <a:ln>
          <a:noFill/>
        </a:ln>
        <a:effectLst/>
      </c:spPr>
    </c:plotArea>
    <c:plotVisOnly val="1"/>
    <c:dispBlanksAs val="gap"/>
    <c:showDLblsOverMax val="0"/>
  </c:chart>
  <c:spPr>
    <a:solidFill>
      <a:schemeClr val="accent4">
        <a:lumMod val="20000"/>
        <a:lumOff val="80000"/>
      </a:schemeClr>
    </a:solidFill>
    <a:ln w="9525" cap="flat" cmpd="sng" algn="ctr">
      <a:noFill/>
      <a:round/>
    </a:ln>
    <a:effectLst>
      <a:softEdge rad="25400"/>
    </a:effectLst>
  </c:spPr>
  <c:txPr>
    <a:bodyPr/>
    <a:lstStyle/>
    <a:p>
      <a:pPr>
        <a:defRPr lang="en-US" sz="1000" b="0" i="0" u="none" strike="noStrike" kern="1200" baseline="0">
          <a:solidFill>
            <a:schemeClr val="tx1"/>
          </a:solidFill>
          <a:latin typeface="+mn-lt"/>
          <a:ea typeface="+mn-ea"/>
          <a:cs typeface="+mn-cs"/>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33868</xdr:colOff>
      <xdr:row>1</xdr:row>
      <xdr:rowOff>42334</xdr:rowOff>
    </xdr:from>
    <xdr:to>
      <xdr:col>18</xdr:col>
      <xdr:colOff>609600</xdr:colOff>
      <xdr:row>10</xdr:row>
      <xdr:rowOff>84666</xdr:rowOff>
    </xdr:to>
    <xdr:graphicFrame macro="">
      <xdr:nvGraphicFramePr>
        <xdr:cNvPr id="2" name="Gráfico 1">
          <a:extLst>
            <a:ext uri="{FF2B5EF4-FFF2-40B4-BE49-F238E27FC236}">
              <a16:creationId xmlns:a16="http://schemas.microsoft.com/office/drawing/2014/main" id="{0D2F55D5-1108-4B81-B6EC-DF1FBCF8B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127000</xdr:colOff>
      <xdr:row>12</xdr:row>
      <xdr:rowOff>228601</xdr:rowOff>
    </xdr:from>
    <xdr:to>
      <xdr:col>18</xdr:col>
      <xdr:colOff>668867</xdr:colOff>
      <xdr:row>19</xdr:row>
      <xdr:rowOff>84667</xdr:rowOff>
    </xdr:to>
    <xdr:graphicFrame macro="">
      <xdr:nvGraphicFramePr>
        <xdr:cNvPr id="3" name="Gráfico 2">
          <a:extLst>
            <a:ext uri="{FF2B5EF4-FFF2-40B4-BE49-F238E27FC236}">
              <a16:creationId xmlns:a16="http://schemas.microsoft.com/office/drawing/2014/main" id="{D15F9780-92F9-4F3D-B272-89E8E7AD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152403</xdr:colOff>
      <xdr:row>19</xdr:row>
      <xdr:rowOff>135467</xdr:rowOff>
    </xdr:from>
    <xdr:to>
      <xdr:col>18</xdr:col>
      <xdr:colOff>694270</xdr:colOff>
      <xdr:row>26</xdr:row>
      <xdr:rowOff>101601</xdr:rowOff>
    </xdr:to>
    <xdr:graphicFrame macro="">
      <xdr:nvGraphicFramePr>
        <xdr:cNvPr id="5" name="Gráfico 4">
          <a:extLst>
            <a:ext uri="{FF2B5EF4-FFF2-40B4-BE49-F238E27FC236}">
              <a16:creationId xmlns:a16="http://schemas.microsoft.com/office/drawing/2014/main" id="{D77C96C4-5B9D-42C7-8386-1FFA9D225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152402</xdr:colOff>
      <xdr:row>27</xdr:row>
      <xdr:rowOff>16933</xdr:rowOff>
    </xdr:from>
    <xdr:to>
      <xdr:col>18</xdr:col>
      <xdr:colOff>694269</xdr:colOff>
      <xdr:row>33</xdr:row>
      <xdr:rowOff>135467</xdr:rowOff>
    </xdr:to>
    <xdr:graphicFrame macro="">
      <xdr:nvGraphicFramePr>
        <xdr:cNvPr id="7" name="Gráfico 6">
          <a:extLst>
            <a:ext uri="{FF2B5EF4-FFF2-40B4-BE49-F238E27FC236}">
              <a16:creationId xmlns:a16="http://schemas.microsoft.com/office/drawing/2014/main" id="{A0081A69-DC3E-4484-A447-CC0F05416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152403</xdr:colOff>
      <xdr:row>34</xdr:row>
      <xdr:rowOff>25400</xdr:rowOff>
    </xdr:from>
    <xdr:to>
      <xdr:col>18</xdr:col>
      <xdr:colOff>694270</xdr:colOff>
      <xdr:row>40</xdr:row>
      <xdr:rowOff>93134</xdr:rowOff>
    </xdr:to>
    <xdr:graphicFrame macro="">
      <xdr:nvGraphicFramePr>
        <xdr:cNvPr id="9" name="Gráfico 8">
          <a:extLst>
            <a:ext uri="{FF2B5EF4-FFF2-40B4-BE49-F238E27FC236}">
              <a16:creationId xmlns:a16="http://schemas.microsoft.com/office/drawing/2014/main" id="{EF26190D-B337-42D7-888E-C138D67CF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152403</xdr:colOff>
      <xdr:row>40</xdr:row>
      <xdr:rowOff>152399</xdr:rowOff>
    </xdr:from>
    <xdr:to>
      <xdr:col>18</xdr:col>
      <xdr:colOff>694270</xdr:colOff>
      <xdr:row>47</xdr:row>
      <xdr:rowOff>101599</xdr:rowOff>
    </xdr:to>
    <xdr:graphicFrame macro="">
      <xdr:nvGraphicFramePr>
        <xdr:cNvPr id="10" name="Gráfico 9">
          <a:extLst>
            <a:ext uri="{FF2B5EF4-FFF2-40B4-BE49-F238E27FC236}">
              <a16:creationId xmlns:a16="http://schemas.microsoft.com/office/drawing/2014/main" id="{5E73A7F9-F79E-47D7-ACBD-71B45FB6C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152403</xdr:colOff>
      <xdr:row>47</xdr:row>
      <xdr:rowOff>152398</xdr:rowOff>
    </xdr:from>
    <xdr:to>
      <xdr:col>18</xdr:col>
      <xdr:colOff>694270</xdr:colOff>
      <xdr:row>54</xdr:row>
      <xdr:rowOff>118531</xdr:rowOff>
    </xdr:to>
    <xdr:graphicFrame macro="">
      <xdr:nvGraphicFramePr>
        <xdr:cNvPr id="11" name="Gráfico 10">
          <a:extLst>
            <a:ext uri="{FF2B5EF4-FFF2-40B4-BE49-F238E27FC236}">
              <a16:creationId xmlns:a16="http://schemas.microsoft.com/office/drawing/2014/main" id="{BB8DE0F7-1E05-44BE-8CBA-14674CB00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C2E017-C96D-4F96-B997-4BD6B398E0F2}" name="Tabla_auditoría" displayName="Tabla_auditoría" ref="A1:S2536" totalsRowShown="0">
  <autoFilter ref="A1:S2536" xr:uid="{53C2E017-C96D-4F96-B997-4BD6B398E0F2}"/>
  <tableColumns count="19">
    <tableColumn id="1" xr3:uid="{8BE3AB66-3384-4902-AED6-D4372246A3C0}" name="Fecha" dataDxfId="76"/>
    <tableColumn id="2" xr3:uid="{61F19917-79F6-4AFE-9F3D-86ECB7E4C95E}" name="ID_Campaña" dataDxfId="75"/>
    <tableColumn id="3" xr3:uid="{6D881A30-0C59-47DB-9B15-946ED8B75CF9}" name="Canal" dataDxfId="74"/>
    <tableColumn id="4" xr3:uid="{68A49ADB-8629-4E74-B1B8-23730A7C6281}" name="País" dataDxfId="73"/>
    <tableColumn id="5" xr3:uid="{B56880BA-A13F-4D44-9DD7-C78C72015371}" name="Dispositivo" dataDxfId="72"/>
    <tableColumn id="6" xr3:uid="{9B7FC5E3-E6C7-42B4-A311-30475B349B82}" name="Impresiones" dataDxfId="71"/>
    <tableColumn id="7" xr3:uid="{E867526A-F386-4711-9AEC-F68D94FCC8CE}" name="Clics" dataDxfId="70"/>
    <tableColumn id="8" xr3:uid="{96AFF06D-2CA4-4CF3-8010-7D1C8C5BCDA9}" name="Conversiones" dataDxfId="69"/>
    <tableColumn id="9" xr3:uid="{6AA9D4AD-5D39-4FB0-84FD-22D8A82CAE56}" name="Gasto_EUR" dataDxfId="68"/>
    <tableColumn id="10" xr3:uid="{8112E03C-5126-4640-B6C1-226299EB513E}" name="Ingresos_EUR" dataDxfId="67"/>
    <tableColumn id="11" xr3:uid="{36430F90-A9B0-4630-9B68-B6E953B5FB48}" name="Nuevos_Clientes" dataDxfId="66"/>
    <tableColumn id="12" xr3:uid="{FE1CB37D-8517-43FD-B521-E5A9D65E2919}" name="Tipo_Campaña" dataDxfId="65"/>
    <tableColumn id="13" xr3:uid="{E4A634F8-5D89-4642-8FDF-CABA0DA3CDCC}" name="Responsable" dataDxfId="64"/>
    <tableColumn id="14" xr3:uid="{EECBA074-50FC-49AD-ACA4-3C91C14211F2}" name="AUX_ID" dataDxfId="63">
      <calculatedColumnFormula>TRIM(PROPER(Tabla_auditoría[[#This Row],[ID_Campaña]]))</calculatedColumnFormula>
    </tableColumn>
    <tableColumn id="15" xr3:uid="{D58FB71F-52F4-49F2-90DA-CCD3A2A9395C}" name="AUX_Canal" dataDxfId="62">
      <calculatedColumnFormula>TRIM(PROPER(Tabla_auditoría[[#This Row],[Canal]]))</calculatedColumnFormula>
    </tableColumn>
    <tableColumn id="16" xr3:uid="{AAFD76C3-F853-4BC9-A063-5B365C84289B}" name="AUX_País" dataDxfId="61">
      <calculatedColumnFormula>TRIM(PROPER(Tabla_auditoría[[#This Row],[País]]))</calculatedColumnFormula>
    </tableColumn>
    <tableColumn id="17" xr3:uid="{3826FAE7-9497-4177-9542-71BB0CD7BDF1}" name="AUX_Dispositivo" dataDxfId="60">
      <calculatedColumnFormula>TRIM(PROPER(Tabla_auditoría[[#This Row],[Dispositivo]]))</calculatedColumnFormula>
    </tableColumn>
    <tableColumn id="18" xr3:uid="{71AA9E55-1EB6-481F-8EBD-48C70E744894}" name="AUX_tipo" dataDxfId="59">
      <calculatedColumnFormula>TRIM(PROPER(Tabla_auditoría[[#This Row],[Tipo_Campaña]]))</calculatedColumnFormula>
    </tableColumn>
    <tableColumn id="19" xr3:uid="{9C8DB514-F673-4299-B995-E768354C8CB5}" name="AUX_Responsable" dataDxfId="58">
      <calculatedColumnFormula>TRIM(PROPER(Tabla_auditoría[[#This Row],[Responsable]]))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AF71B6-5BDC-4D6E-8A2D-45656B0182DC}" name="Tabla_control" displayName="Tabla_control" ref="A1:R2536" totalsRowShown="0">
  <autoFilter ref="A1:R2536" xr:uid="{53C2E017-C96D-4F96-B997-4BD6B398E0F2}"/>
  <tableColumns count="18">
    <tableColumn id="1" xr3:uid="{D5E3FD4B-2278-4F03-9325-8D1E7D6294BA}" name="Fecha" dataDxfId="57"/>
    <tableColumn id="2" xr3:uid="{94793B92-E3E0-42D4-9F24-5E010F79E059}" name="ID_Campaña" dataDxfId="56"/>
    <tableColumn id="3" xr3:uid="{61C55396-7367-46DD-B934-7CF39A2F6D67}" name="Canal" dataDxfId="55"/>
    <tableColumn id="4" xr3:uid="{F1390951-38A8-4E5D-B54F-9EABCCDC5D3E}" name="País" dataDxfId="54"/>
    <tableColumn id="5" xr3:uid="{2200E7DF-4840-4E94-8398-6CB570A611DB}" name="Dispositivo" dataDxfId="53"/>
    <tableColumn id="6" xr3:uid="{920B2941-C036-407A-9C29-36B504725EB1}" name="Impresiones" dataDxfId="52"/>
    <tableColumn id="7" xr3:uid="{CDBBD7AB-892A-46DD-916C-95082B7ECF17}" name="Clics" dataDxfId="51"/>
    <tableColumn id="8" xr3:uid="{5E87D5E9-7389-4E7E-8DD9-447D42CE8EB1}" name="Conversiones" dataDxfId="50"/>
    <tableColumn id="9" xr3:uid="{795B895E-708F-45B0-BD0A-6EF01B2F891A}" name="Gasto_EUR" dataDxfId="49"/>
    <tableColumn id="10" xr3:uid="{A2D9CE5E-3B5B-4D0C-BC8B-B16A033A77CD}" name="Ingresos_EUR" dataDxfId="48"/>
    <tableColumn id="11" xr3:uid="{B54A9A9C-7BA7-4098-B2EB-9009E0E4D8B5}" name="Nuevos_Clientes" dataDxfId="47"/>
    <tableColumn id="12" xr3:uid="{50CA35E3-809F-4573-96E4-2547EF8E0899}" name="Tipo_Campaña" dataDxfId="46"/>
    <tableColumn id="13" xr3:uid="{BF0C0525-8BED-4967-9D65-43B67E18651D}" name="Responsable" dataDxfId="45"/>
    <tableColumn id="23" xr3:uid="{500DFFBD-2E22-4433-80C3-8CC53DB64FED}" name="Control_duplicados" dataDxfId="44">
      <calculatedColumnFormula>COUNTIFS($A$2:$A$2536,A2,$B$2:$B$2536,B2,$C$2:$C$2536,C2,$D$2:$D$2536,D2,$E$2:$E$2536,E2,$F$2:$F$2536,F2,$G$2:$G$2536,G2,$H$2:$H$2536,H2,$I$2:$I$2536,I2,$J$2:$J$2536,J2,$K$2:$K$2536,K2,$L$2:$L$2536,L2,$M$2:$M$2536,M2)</calculatedColumnFormula>
    </tableColumn>
    <tableColumn id="24" xr3:uid="{5CCD0AEF-7721-41FF-9563-7A9147F98CF2}" name="Duplicados" dataDxfId="43">
      <calculatedColumnFormula>IF(Tabla_control[[#This Row],[Control_duplicados]]&gt;1,"Duplicado","Unico")</calculatedColumnFormula>
    </tableColumn>
    <tableColumn id="25" xr3:uid="{78E8E869-AC3D-4005-B561-2FDDFA148354}" name="Control_gasto" dataDxfId="42">
      <calculatedColumnFormula>IF(OR(I2="",I2&lt;0),"ERROR","OK")</calculatedColumnFormula>
    </tableColumn>
    <tableColumn id="27" xr3:uid="{B4E8FA39-BACF-41F8-9385-A965EEF65F35}" name="Control_conversiones" dataDxfId="41">
      <calculatedColumnFormula>IF(H2&gt;F2,"ERROR","OK")</calculatedColumnFormula>
    </tableColumn>
    <tableColumn id="28" xr3:uid="{247C3C10-BE7C-442A-95ED-1B7C673F8BE7}" name="Control_nuevos_clientes" dataDxfId="40">
      <calculatedColumnFormula>IF(K2&gt;H2,"ERROR","OK")</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033D2A-AF0C-4819-9A37-C74F12C07794}" name="Tabla_limpios" displayName="Tabla_limpios" ref="A1:M2485" totalsRowShown="0">
  <autoFilter ref="A1:M2485" xr:uid="{53C2E017-C96D-4F96-B997-4BD6B398E0F2}"/>
  <tableColumns count="13">
    <tableColumn id="1" xr3:uid="{346E1EB6-F8DD-4AAE-BFFF-34E9F12A1A4F}" name="Fecha" dataDxfId="39"/>
    <tableColumn id="2" xr3:uid="{45D224CF-6EF4-43CA-BB7F-A0CE0B5D32E1}" name="ID_Campaña" dataDxfId="38"/>
    <tableColumn id="3" xr3:uid="{7AAAC325-BE7B-4EAF-B26D-89070D8BA93D}" name="Canal" dataDxfId="37"/>
    <tableColumn id="4" xr3:uid="{C70EBBE7-3110-4309-9565-E424FB41B16E}" name="País" dataDxfId="36"/>
    <tableColumn id="5" xr3:uid="{99731801-4560-4ACC-9373-400122D23C7A}" name="Dispositivo" dataDxfId="35"/>
    <tableColumn id="6" xr3:uid="{F631B45D-8A99-40C3-A35A-15FC9AA3C23A}" name="Impresiones" dataDxfId="34"/>
    <tableColumn id="7" xr3:uid="{83D99E5E-24E8-43EC-9F30-F8382A3D4A66}" name="Clics" dataDxfId="33"/>
    <tableColumn id="8" xr3:uid="{704AF3F8-2D2E-4EE1-BF7F-B2FE94CA09A3}" name="Conversiones" dataDxfId="32"/>
    <tableColumn id="9" xr3:uid="{3CA76438-11E9-4418-AC84-5F1A1F3CDF04}" name="Gasto_EUR" dataDxfId="31"/>
    <tableColumn id="10" xr3:uid="{0981DFBA-F120-4961-A5FA-7E5C92023C7E}" name="Ingresos_EUR" dataDxfId="30"/>
    <tableColumn id="11" xr3:uid="{107C6488-7494-4E7B-92DE-B7C0630DA4C1}" name="Nuevos_Clientes" dataDxfId="29"/>
    <tableColumn id="12" xr3:uid="{8C962CC6-76F8-48C0-9616-1EA981C0EC10}" name="Tipo_Campaña" dataDxfId="28"/>
    <tableColumn id="13" xr3:uid="{42B9C727-6514-4917-ADA6-4948921C06BD}" name="Responsable"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2DA9A1-455A-401C-8EBF-A4A7399753A4}" name="Tabla_nuevas_columnas" displayName="Tabla_nuevas_columnas" ref="A1:AB2485" totalsRowShown="0">
  <autoFilter ref="A1:AB2485" xr:uid="{53C2E017-C96D-4F96-B997-4BD6B398E0F2}"/>
  <tableColumns count="28">
    <tableColumn id="1" xr3:uid="{FEBBDB40-E3BB-41C9-9962-40111BE042D8}" name="Fecha" dataDxfId="26"/>
    <tableColumn id="2" xr3:uid="{BB371F68-CC8D-427E-B892-BDD2F0675BAE}" name="ID_Campaña" dataDxfId="25"/>
    <tableColumn id="3" xr3:uid="{8E5AB466-BAC9-4E1E-A662-825672A2BC78}" name="Canal" dataDxfId="24"/>
    <tableColumn id="4" xr3:uid="{F2593613-A965-4EE8-97C5-8F50A1AAADA1}" name="País" dataDxfId="23"/>
    <tableColumn id="5" xr3:uid="{E763FC44-64B6-43EA-81B1-C7C54C920FF0}" name="Dispositivo" dataDxfId="22"/>
    <tableColumn id="6" xr3:uid="{CFBF33D5-37B6-4C9F-9275-D2FA9863E458}" name="Impresiones" dataDxfId="21"/>
    <tableColumn id="7" xr3:uid="{386D7D9F-FA45-4EDA-A301-A5BC1F543F92}" name="Clics" dataDxfId="20"/>
    <tableColumn id="8" xr3:uid="{A02E235E-A52F-4A8F-BEEF-19722FA3F3F2}" name="Conversiones" dataDxfId="19"/>
    <tableColumn id="9" xr3:uid="{6D77CA2D-540C-4017-AAFA-3B3464D8C18E}" name="Gasto_EUR" dataDxfId="18"/>
    <tableColumn id="10" xr3:uid="{55569EEB-4089-48A0-B9AE-1D9460A46FA0}" name="Ingresos_EUR" dataDxfId="17"/>
    <tableColumn id="11" xr3:uid="{44BA24B6-F76B-4731-8828-4990FC02CCB4}" name="Nuevos_Clientes" dataDxfId="16"/>
    <tableColumn id="12" xr3:uid="{0B837141-037B-4CE3-8592-C29489656532}" name="Tipo_Campaña" dataDxfId="15"/>
    <tableColumn id="13" xr3:uid="{118C989E-92A7-4030-8FCB-7B4E095A4780}" name="Responsable" dataDxfId="14"/>
    <tableColumn id="29" xr3:uid="{9211A184-6E13-41C6-A0B1-B790EF9C050D}" name="CTR" dataDxfId="13" dataCellStyle="Porcentaje">
      <calculatedColumnFormula>IFERROR(G2/F2,0)</calculatedColumnFormula>
    </tableColumn>
    <tableColumn id="30" xr3:uid="{56D9C6F6-BED0-4D7C-A4FB-164790FFE542}" name="Tasa de conversión " dataDxfId="12" dataCellStyle="Porcentaje">
      <calculatedColumnFormula>IFERROR(H2/G2,0)</calculatedColumnFormula>
    </tableColumn>
    <tableColumn id="31" xr3:uid="{488B7D0D-C833-4584-A49B-59EB2A37B69F}" name="CPC" dataDxfId="11">
      <calculatedColumnFormula>IFERROR(I2/G2,0)</calculatedColumnFormula>
    </tableColumn>
    <tableColumn id="32" xr3:uid="{225D013A-7FB1-4BFD-AE1E-34BB353069B0}" name="CPA" dataDxfId="10">
      <calculatedColumnFormula>IFERROR(I2/H2,0)</calculatedColumnFormula>
    </tableColumn>
    <tableColumn id="33" xr3:uid="{1E371876-5EAE-4A3A-B18B-97D8F0BEEC8A}" name="ROAS" dataDxfId="9" dataCellStyle="Moneda">
      <calculatedColumnFormula>IFERROR(J2/I2,0)</calculatedColumnFormula>
    </tableColumn>
    <tableColumn id="34" xr3:uid="{9B7A3FBC-7BAF-4ADA-98C6-BB2EEB2A05CE}" name="%ROAS" dataCellStyle="Porcentaje">
      <calculatedColumnFormula>Tabla_nuevas_columnas[[#This Row],[ROAS]]</calculatedColumnFormula>
    </tableColumn>
    <tableColumn id="35" xr3:uid="{85EB3D76-E7D2-4A64-A712-96EDED6F0160}" name="Etiqueta Canal-País" dataDxfId="8">
      <calculatedColumnFormula>_xlfn.CONCAT(C2,"-",D2)</calculatedColumnFormula>
    </tableColumn>
    <tableColumn id="36" xr3:uid="{FBBC7A5B-5437-4325-BB62-A4D7A02F343B}" name="Año" dataDxfId="7">
      <calculatedColumnFormula>YEAR(A2)</calculatedColumnFormula>
    </tableColumn>
    <tableColumn id="37" xr3:uid="{6516E38A-5E71-4DDF-8F91-46B6030B5848}" name="Número mes" dataDxfId="6">
      <calculatedColumnFormula>MONTH(A2)</calculatedColumnFormula>
    </tableColumn>
    <tableColumn id="38" xr3:uid="{949F4A9B-2D06-4DD7-A7F3-03890538F412}" name="Mes" dataDxfId="5">
      <calculatedColumnFormula>PROPER(TEXT(A2,"mmmm"))</calculatedColumnFormula>
    </tableColumn>
    <tableColumn id="39" xr3:uid="{72917DFB-CDBC-40A1-8E55-B1CA6563F9C6}" name="Día de la semana" dataDxfId="4">
      <calculatedColumnFormula>PROPER(TEXT(A2,"dddd"))</calculatedColumnFormula>
    </tableColumn>
    <tableColumn id="40" xr3:uid="{448BD5AA-E619-4CDE-A300-62D7F9988D0E}" name="Rendimiento" dataDxfId="2">
      <calculatedColumnFormula array="1">_xlfn.IFS(R2&gt;10,"Excelente",R2&gt;=5,"Bueno",R2&gt;=2,"Débil",R2&lt;2,"Deficiente")</calculatedColumnFormula>
    </tableColumn>
    <tableColumn id="41" xr3:uid="{88248A08-7160-48C9-868D-1E0DB4840CEE}" name="Seguimiento" dataDxfId="3">
      <calculatedColumnFormula>IF(AND(R2&lt;2,Q2&gt;=100),"Revisar","OK")</calculatedColumnFormula>
    </tableColumn>
    <tableColumn id="14" xr3:uid="{6E5D5626-CAAD-401C-A215-4F6C68E044B4}" name="ROAS Objetivo" dataDxfId="0">
      <calculatedColumnFormula>_xlfn.XLOOKUP(C2,'Preguntas de negocio'!$C$114:$C$119,'Preguntas de negocio'!$D$114:$D$119,0)</calculatedColumnFormula>
    </tableColumn>
    <tableColumn id="15" xr3:uid="{17D5DEE8-4341-4909-99E9-0C5F5888450F}" name="CPC Objetivo" dataDxfId="1">
      <calculatedColumnFormula>VLOOKUP(C2,'Preguntas de negocio'!$C$121:$D$127,2,FALSE)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2F31-9FEC-4B83-8B98-D5A10AF53028}">
  <dimension ref="A1:A2536"/>
  <sheetViews>
    <sheetView workbookViewId="0">
      <selection activeCell="C17" sqref="C17"/>
    </sheetView>
  </sheetViews>
  <sheetFormatPr baseColWidth="10" defaultRowHeight="12"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129</v>
      </c>
    </row>
    <row r="275" spans="1:1" x14ac:dyDescent="0.3">
      <c r="A275" t="s">
        <v>273</v>
      </c>
    </row>
    <row r="276" spans="1:1" x14ac:dyDescent="0.3">
      <c r="A276" t="s">
        <v>274</v>
      </c>
    </row>
    <row r="277" spans="1:1" x14ac:dyDescent="0.3">
      <c r="A277" t="s">
        <v>275</v>
      </c>
    </row>
    <row r="278" spans="1:1" x14ac:dyDescent="0.3">
      <c r="A278" t="s">
        <v>276</v>
      </c>
    </row>
    <row r="279" spans="1:1" x14ac:dyDescent="0.3">
      <c r="A279" t="s">
        <v>277</v>
      </c>
    </row>
    <row r="280" spans="1:1" x14ac:dyDescent="0.3">
      <c r="A280" t="s">
        <v>278</v>
      </c>
    </row>
    <row r="281" spans="1:1" x14ac:dyDescent="0.3">
      <c r="A281" t="s">
        <v>279</v>
      </c>
    </row>
    <row r="282" spans="1:1" x14ac:dyDescent="0.3">
      <c r="A282" t="s">
        <v>280</v>
      </c>
    </row>
    <row r="283" spans="1:1" x14ac:dyDescent="0.3">
      <c r="A283" t="s">
        <v>281</v>
      </c>
    </row>
    <row r="284" spans="1:1" x14ac:dyDescent="0.3">
      <c r="A284" t="s">
        <v>282</v>
      </c>
    </row>
    <row r="285" spans="1:1" x14ac:dyDescent="0.3">
      <c r="A285" t="s">
        <v>283</v>
      </c>
    </row>
    <row r="286" spans="1:1" x14ac:dyDescent="0.3">
      <c r="A286" t="s">
        <v>284</v>
      </c>
    </row>
    <row r="287" spans="1:1" x14ac:dyDescent="0.3">
      <c r="A287" t="s">
        <v>285</v>
      </c>
    </row>
    <row r="288" spans="1:1" x14ac:dyDescent="0.3">
      <c r="A288" t="s">
        <v>286</v>
      </c>
    </row>
    <row r="289" spans="1:1" x14ac:dyDescent="0.3">
      <c r="A289" t="s">
        <v>287</v>
      </c>
    </row>
    <row r="290" spans="1:1" x14ac:dyDescent="0.3">
      <c r="A290" t="s">
        <v>288</v>
      </c>
    </row>
    <row r="291" spans="1:1" x14ac:dyDescent="0.3">
      <c r="A291" t="s">
        <v>289</v>
      </c>
    </row>
    <row r="292" spans="1:1" x14ac:dyDescent="0.3">
      <c r="A292" t="s">
        <v>290</v>
      </c>
    </row>
    <row r="293" spans="1:1" x14ac:dyDescent="0.3">
      <c r="A293" t="s">
        <v>291</v>
      </c>
    </row>
    <row r="294" spans="1:1" x14ac:dyDescent="0.3">
      <c r="A294" t="s">
        <v>292</v>
      </c>
    </row>
    <row r="295" spans="1:1" x14ac:dyDescent="0.3">
      <c r="A295" t="s">
        <v>293</v>
      </c>
    </row>
    <row r="296" spans="1:1" x14ac:dyDescent="0.3">
      <c r="A296" t="s">
        <v>294</v>
      </c>
    </row>
    <row r="297" spans="1:1" x14ac:dyDescent="0.3">
      <c r="A297" t="s">
        <v>295</v>
      </c>
    </row>
    <row r="298" spans="1:1" x14ac:dyDescent="0.3">
      <c r="A298" t="s">
        <v>296</v>
      </c>
    </row>
    <row r="299" spans="1:1" x14ac:dyDescent="0.3">
      <c r="A299" t="s">
        <v>297</v>
      </c>
    </row>
    <row r="300" spans="1:1" x14ac:dyDescent="0.3">
      <c r="A300" t="s">
        <v>298</v>
      </c>
    </row>
    <row r="301" spans="1:1" x14ac:dyDescent="0.3">
      <c r="A301" t="s">
        <v>299</v>
      </c>
    </row>
    <row r="302" spans="1:1" x14ac:dyDescent="0.3">
      <c r="A302" t="s">
        <v>300</v>
      </c>
    </row>
    <row r="303" spans="1:1" x14ac:dyDescent="0.3">
      <c r="A303" t="s">
        <v>301</v>
      </c>
    </row>
    <row r="304" spans="1:1" x14ac:dyDescent="0.3">
      <c r="A304" t="s">
        <v>302</v>
      </c>
    </row>
    <row r="305" spans="1:1" x14ac:dyDescent="0.3">
      <c r="A305" t="s">
        <v>303</v>
      </c>
    </row>
    <row r="306" spans="1:1" x14ac:dyDescent="0.3">
      <c r="A306" t="s">
        <v>304</v>
      </c>
    </row>
    <row r="307" spans="1:1" x14ac:dyDescent="0.3">
      <c r="A307" t="s">
        <v>305</v>
      </c>
    </row>
    <row r="308" spans="1:1" x14ac:dyDescent="0.3">
      <c r="A308" t="s">
        <v>306</v>
      </c>
    </row>
    <row r="309" spans="1:1" x14ac:dyDescent="0.3">
      <c r="A309" t="s">
        <v>307</v>
      </c>
    </row>
    <row r="310" spans="1:1" x14ac:dyDescent="0.3">
      <c r="A310" t="s">
        <v>308</v>
      </c>
    </row>
    <row r="311" spans="1:1" x14ac:dyDescent="0.3">
      <c r="A311" t="s">
        <v>309</v>
      </c>
    </row>
    <row r="312" spans="1:1" x14ac:dyDescent="0.3">
      <c r="A312" t="s">
        <v>310</v>
      </c>
    </row>
    <row r="313" spans="1:1" x14ac:dyDescent="0.3">
      <c r="A313" t="s">
        <v>311</v>
      </c>
    </row>
    <row r="314" spans="1:1" x14ac:dyDescent="0.3">
      <c r="A314" t="s">
        <v>312</v>
      </c>
    </row>
    <row r="315" spans="1:1" x14ac:dyDescent="0.3">
      <c r="A315" t="s">
        <v>313</v>
      </c>
    </row>
    <row r="316" spans="1:1" x14ac:dyDescent="0.3">
      <c r="A316" t="s">
        <v>314</v>
      </c>
    </row>
    <row r="317" spans="1:1" x14ac:dyDescent="0.3">
      <c r="A317" t="s">
        <v>315</v>
      </c>
    </row>
    <row r="318" spans="1:1" x14ac:dyDescent="0.3">
      <c r="A318" t="s">
        <v>316</v>
      </c>
    </row>
    <row r="319" spans="1:1" x14ac:dyDescent="0.3">
      <c r="A319" t="s">
        <v>317</v>
      </c>
    </row>
    <row r="320" spans="1:1" x14ac:dyDescent="0.3">
      <c r="A320" t="s">
        <v>318</v>
      </c>
    </row>
    <row r="321" spans="1:1" x14ac:dyDescent="0.3">
      <c r="A321" t="s">
        <v>319</v>
      </c>
    </row>
    <row r="322" spans="1:1" x14ac:dyDescent="0.3">
      <c r="A322" t="s">
        <v>320</v>
      </c>
    </row>
    <row r="323" spans="1:1" x14ac:dyDescent="0.3">
      <c r="A323" t="s">
        <v>321</v>
      </c>
    </row>
    <row r="324" spans="1:1" x14ac:dyDescent="0.3">
      <c r="A324" t="s">
        <v>322</v>
      </c>
    </row>
    <row r="325" spans="1:1" x14ac:dyDescent="0.3">
      <c r="A325" t="s">
        <v>323</v>
      </c>
    </row>
    <row r="326" spans="1:1" x14ac:dyDescent="0.3">
      <c r="A326" t="s">
        <v>324</v>
      </c>
    </row>
    <row r="327" spans="1:1" x14ac:dyDescent="0.3">
      <c r="A327" t="s">
        <v>325</v>
      </c>
    </row>
    <row r="328" spans="1:1" x14ac:dyDescent="0.3">
      <c r="A328" t="s">
        <v>326</v>
      </c>
    </row>
    <row r="329" spans="1:1" x14ac:dyDescent="0.3">
      <c r="A329" t="s">
        <v>327</v>
      </c>
    </row>
    <row r="330" spans="1:1" x14ac:dyDescent="0.3">
      <c r="A330" t="s">
        <v>328</v>
      </c>
    </row>
    <row r="331" spans="1:1" x14ac:dyDescent="0.3">
      <c r="A331" t="s">
        <v>329</v>
      </c>
    </row>
    <row r="332" spans="1:1" x14ac:dyDescent="0.3">
      <c r="A332" t="s">
        <v>330</v>
      </c>
    </row>
    <row r="333" spans="1:1" x14ac:dyDescent="0.3">
      <c r="A333" t="s">
        <v>331</v>
      </c>
    </row>
    <row r="334" spans="1:1" x14ac:dyDescent="0.3">
      <c r="A334" t="s">
        <v>332</v>
      </c>
    </row>
    <row r="335" spans="1:1" x14ac:dyDescent="0.3">
      <c r="A335" t="s">
        <v>333</v>
      </c>
    </row>
    <row r="336" spans="1:1" x14ac:dyDescent="0.3">
      <c r="A336" t="s">
        <v>334</v>
      </c>
    </row>
    <row r="337" spans="1:1" x14ac:dyDescent="0.3">
      <c r="A337" t="s">
        <v>335</v>
      </c>
    </row>
    <row r="338" spans="1:1" x14ac:dyDescent="0.3">
      <c r="A338" t="s">
        <v>336</v>
      </c>
    </row>
    <row r="339" spans="1:1" x14ac:dyDescent="0.3">
      <c r="A339" t="s">
        <v>337</v>
      </c>
    </row>
    <row r="340" spans="1:1" x14ac:dyDescent="0.3">
      <c r="A340" t="s">
        <v>338</v>
      </c>
    </row>
    <row r="341" spans="1:1" x14ac:dyDescent="0.3">
      <c r="A341" t="s">
        <v>339</v>
      </c>
    </row>
    <row r="342" spans="1:1" x14ac:dyDescent="0.3">
      <c r="A342" t="s">
        <v>340</v>
      </c>
    </row>
    <row r="343" spans="1:1" x14ac:dyDescent="0.3">
      <c r="A343" t="s">
        <v>341</v>
      </c>
    </row>
    <row r="344" spans="1:1" x14ac:dyDescent="0.3">
      <c r="A344" t="s">
        <v>342</v>
      </c>
    </row>
    <row r="345" spans="1:1" x14ac:dyDescent="0.3">
      <c r="A345" t="s">
        <v>343</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row r="354" spans="1:1" x14ac:dyDescent="0.3">
      <c r="A354" t="s">
        <v>352</v>
      </c>
    </row>
    <row r="355" spans="1:1" x14ac:dyDescent="0.3">
      <c r="A355" t="s">
        <v>353</v>
      </c>
    </row>
    <row r="356" spans="1:1" x14ac:dyDescent="0.3">
      <c r="A356" t="s">
        <v>354</v>
      </c>
    </row>
    <row r="357" spans="1:1" x14ac:dyDescent="0.3">
      <c r="A357" t="s">
        <v>355</v>
      </c>
    </row>
    <row r="358" spans="1:1" x14ac:dyDescent="0.3">
      <c r="A358" t="s">
        <v>356</v>
      </c>
    </row>
    <row r="359" spans="1:1" x14ac:dyDescent="0.3">
      <c r="A359" t="s">
        <v>357</v>
      </c>
    </row>
    <row r="360" spans="1:1" x14ac:dyDescent="0.3">
      <c r="A360" t="s">
        <v>358</v>
      </c>
    </row>
    <row r="361" spans="1:1" x14ac:dyDescent="0.3">
      <c r="A361" t="s">
        <v>359</v>
      </c>
    </row>
    <row r="362" spans="1:1" x14ac:dyDescent="0.3">
      <c r="A362" t="s">
        <v>360</v>
      </c>
    </row>
    <row r="363" spans="1:1" x14ac:dyDescent="0.3">
      <c r="A363" t="s">
        <v>361</v>
      </c>
    </row>
    <row r="364" spans="1:1" x14ac:dyDescent="0.3">
      <c r="A364" t="s">
        <v>362</v>
      </c>
    </row>
    <row r="365" spans="1:1" x14ac:dyDescent="0.3">
      <c r="A365" t="s">
        <v>363</v>
      </c>
    </row>
    <row r="366" spans="1:1" x14ac:dyDescent="0.3">
      <c r="A366" t="s">
        <v>364</v>
      </c>
    </row>
    <row r="367" spans="1:1" x14ac:dyDescent="0.3">
      <c r="A367" t="s">
        <v>365</v>
      </c>
    </row>
    <row r="368" spans="1:1" x14ac:dyDescent="0.3">
      <c r="A368" t="s">
        <v>366</v>
      </c>
    </row>
    <row r="369" spans="1:1" x14ac:dyDescent="0.3">
      <c r="A369" t="s">
        <v>367</v>
      </c>
    </row>
    <row r="370" spans="1:1" x14ac:dyDescent="0.3">
      <c r="A370" t="s">
        <v>368</v>
      </c>
    </row>
    <row r="371" spans="1:1" x14ac:dyDescent="0.3">
      <c r="A371" t="s">
        <v>369</v>
      </c>
    </row>
    <row r="372" spans="1:1" x14ac:dyDescent="0.3">
      <c r="A372" t="s">
        <v>370</v>
      </c>
    </row>
    <row r="373" spans="1:1" x14ac:dyDescent="0.3">
      <c r="A373" t="s">
        <v>371</v>
      </c>
    </row>
    <row r="374" spans="1:1" x14ac:dyDescent="0.3">
      <c r="A374" t="s">
        <v>372</v>
      </c>
    </row>
    <row r="375" spans="1:1" x14ac:dyDescent="0.3">
      <c r="A375" t="s">
        <v>373</v>
      </c>
    </row>
    <row r="376" spans="1:1" x14ac:dyDescent="0.3">
      <c r="A376" t="s">
        <v>374</v>
      </c>
    </row>
    <row r="377" spans="1:1" x14ac:dyDescent="0.3">
      <c r="A377" t="s">
        <v>375</v>
      </c>
    </row>
    <row r="378" spans="1:1" x14ac:dyDescent="0.3">
      <c r="A378" t="s">
        <v>376</v>
      </c>
    </row>
    <row r="379" spans="1:1" x14ac:dyDescent="0.3">
      <c r="A379" t="s">
        <v>377</v>
      </c>
    </row>
    <row r="380" spans="1:1" x14ac:dyDescent="0.3">
      <c r="A380" t="s">
        <v>378</v>
      </c>
    </row>
    <row r="381" spans="1:1" x14ac:dyDescent="0.3">
      <c r="A381" t="s">
        <v>379</v>
      </c>
    </row>
    <row r="382" spans="1:1" x14ac:dyDescent="0.3">
      <c r="A382" t="s">
        <v>380</v>
      </c>
    </row>
    <row r="383" spans="1:1" x14ac:dyDescent="0.3">
      <c r="A383" t="s">
        <v>381</v>
      </c>
    </row>
    <row r="384" spans="1:1" x14ac:dyDescent="0.3">
      <c r="A384" t="s">
        <v>382</v>
      </c>
    </row>
    <row r="385" spans="1:1" x14ac:dyDescent="0.3">
      <c r="A385" t="s">
        <v>383</v>
      </c>
    </row>
    <row r="386" spans="1:1" x14ac:dyDescent="0.3">
      <c r="A386" t="s">
        <v>384</v>
      </c>
    </row>
    <row r="387" spans="1:1" x14ac:dyDescent="0.3">
      <c r="A387" t="s">
        <v>385</v>
      </c>
    </row>
    <row r="388" spans="1:1" x14ac:dyDescent="0.3">
      <c r="A388" t="s">
        <v>386</v>
      </c>
    </row>
    <row r="389" spans="1:1" x14ac:dyDescent="0.3">
      <c r="A389" t="s">
        <v>387</v>
      </c>
    </row>
    <row r="390" spans="1:1" x14ac:dyDescent="0.3">
      <c r="A390" t="s">
        <v>388</v>
      </c>
    </row>
    <row r="391" spans="1:1" x14ac:dyDescent="0.3">
      <c r="A391" t="s">
        <v>389</v>
      </c>
    </row>
    <row r="392" spans="1:1" x14ac:dyDescent="0.3">
      <c r="A392" t="s">
        <v>390</v>
      </c>
    </row>
    <row r="393" spans="1:1" x14ac:dyDescent="0.3">
      <c r="A393" t="s">
        <v>391</v>
      </c>
    </row>
    <row r="394" spans="1:1" x14ac:dyDescent="0.3">
      <c r="A394" t="s">
        <v>392</v>
      </c>
    </row>
    <row r="395" spans="1:1" x14ac:dyDescent="0.3">
      <c r="A395" t="s">
        <v>393</v>
      </c>
    </row>
    <row r="396" spans="1:1" x14ac:dyDescent="0.3">
      <c r="A396" t="s">
        <v>394</v>
      </c>
    </row>
    <row r="397" spans="1:1" x14ac:dyDescent="0.3">
      <c r="A397" t="s">
        <v>395</v>
      </c>
    </row>
    <row r="398" spans="1:1" x14ac:dyDescent="0.3">
      <c r="A398" t="s">
        <v>396</v>
      </c>
    </row>
    <row r="399" spans="1:1" x14ac:dyDescent="0.3">
      <c r="A399" t="s">
        <v>397</v>
      </c>
    </row>
    <row r="400" spans="1:1" x14ac:dyDescent="0.3">
      <c r="A400" t="s">
        <v>398</v>
      </c>
    </row>
    <row r="401" spans="1:1" x14ac:dyDescent="0.3">
      <c r="A401" t="s">
        <v>399</v>
      </c>
    </row>
    <row r="402" spans="1:1" x14ac:dyDescent="0.3">
      <c r="A402" t="s">
        <v>400</v>
      </c>
    </row>
    <row r="403" spans="1:1" x14ac:dyDescent="0.3">
      <c r="A403" t="s">
        <v>401</v>
      </c>
    </row>
    <row r="404" spans="1:1" x14ac:dyDescent="0.3">
      <c r="A404" t="s">
        <v>402</v>
      </c>
    </row>
    <row r="405" spans="1:1" x14ac:dyDescent="0.3">
      <c r="A405" t="s">
        <v>403</v>
      </c>
    </row>
    <row r="406" spans="1:1" x14ac:dyDescent="0.3">
      <c r="A406" t="s">
        <v>404</v>
      </c>
    </row>
    <row r="407" spans="1:1" x14ac:dyDescent="0.3">
      <c r="A407" t="s">
        <v>405</v>
      </c>
    </row>
    <row r="408" spans="1:1" x14ac:dyDescent="0.3">
      <c r="A408" t="s">
        <v>406</v>
      </c>
    </row>
    <row r="409" spans="1:1" x14ac:dyDescent="0.3">
      <c r="A409" t="s">
        <v>407</v>
      </c>
    </row>
    <row r="410" spans="1:1" x14ac:dyDescent="0.3">
      <c r="A410" t="s">
        <v>408</v>
      </c>
    </row>
    <row r="411" spans="1:1" x14ac:dyDescent="0.3">
      <c r="A411" t="s">
        <v>409</v>
      </c>
    </row>
    <row r="412" spans="1:1" x14ac:dyDescent="0.3">
      <c r="A412" t="s">
        <v>410</v>
      </c>
    </row>
    <row r="413" spans="1:1" x14ac:dyDescent="0.3">
      <c r="A413" t="s">
        <v>411</v>
      </c>
    </row>
    <row r="414" spans="1:1" x14ac:dyDescent="0.3">
      <c r="A414" t="s">
        <v>412</v>
      </c>
    </row>
    <row r="415" spans="1:1" x14ac:dyDescent="0.3">
      <c r="A415" t="s">
        <v>413</v>
      </c>
    </row>
    <row r="416" spans="1:1" x14ac:dyDescent="0.3">
      <c r="A416" t="s">
        <v>414</v>
      </c>
    </row>
    <row r="417" spans="1:1" x14ac:dyDescent="0.3">
      <c r="A417" t="s">
        <v>415</v>
      </c>
    </row>
    <row r="418" spans="1:1" x14ac:dyDescent="0.3">
      <c r="A418" t="s">
        <v>416</v>
      </c>
    </row>
    <row r="419" spans="1:1" x14ac:dyDescent="0.3">
      <c r="A419" t="s">
        <v>417</v>
      </c>
    </row>
    <row r="420" spans="1:1" x14ac:dyDescent="0.3">
      <c r="A420" t="s">
        <v>418</v>
      </c>
    </row>
    <row r="421" spans="1:1" x14ac:dyDescent="0.3">
      <c r="A421" t="s">
        <v>419</v>
      </c>
    </row>
    <row r="422" spans="1:1" x14ac:dyDescent="0.3">
      <c r="A422" t="s">
        <v>420</v>
      </c>
    </row>
    <row r="423" spans="1:1" x14ac:dyDescent="0.3">
      <c r="A423" t="s">
        <v>421</v>
      </c>
    </row>
    <row r="424" spans="1:1" x14ac:dyDescent="0.3">
      <c r="A424" t="s">
        <v>422</v>
      </c>
    </row>
    <row r="425" spans="1:1" x14ac:dyDescent="0.3">
      <c r="A425" t="s">
        <v>423</v>
      </c>
    </row>
    <row r="426" spans="1:1" x14ac:dyDescent="0.3">
      <c r="A426" t="s">
        <v>424</v>
      </c>
    </row>
    <row r="427" spans="1:1" x14ac:dyDescent="0.3">
      <c r="A427" t="s">
        <v>425</v>
      </c>
    </row>
    <row r="428" spans="1:1" x14ac:dyDescent="0.3">
      <c r="A428" t="s">
        <v>426</v>
      </c>
    </row>
    <row r="429" spans="1:1" x14ac:dyDescent="0.3">
      <c r="A429" t="s">
        <v>427</v>
      </c>
    </row>
    <row r="430" spans="1:1" x14ac:dyDescent="0.3">
      <c r="A430" t="s">
        <v>428</v>
      </c>
    </row>
    <row r="431" spans="1:1" x14ac:dyDescent="0.3">
      <c r="A431" t="s">
        <v>429</v>
      </c>
    </row>
    <row r="432" spans="1:1" x14ac:dyDescent="0.3">
      <c r="A432" t="s">
        <v>430</v>
      </c>
    </row>
    <row r="433" spans="1:1" x14ac:dyDescent="0.3">
      <c r="A433" t="s">
        <v>431</v>
      </c>
    </row>
    <row r="434" spans="1:1" x14ac:dyDescent="0.3">
      <c r="A434" t="s">
        <v>432</v>
      </c>
    </row>
    <row r="435" spans="1:1" x14ac:dyDescent="0.3">
      <c r="A435" t="s">
        <v>433</v>
      </c>
    </row>
    <row r="436" spans="1:1" x14ac:dyDescent="0.3">
      <c r="A436" t="s">
        <v>434</v>
      </c>
    </row>
    <row r="437" spans="1:1" x14ac:dyDescent="0.3">
      <c r="A437" t="s">
        <v>435</v>
      </c>
    </row>
    <row r="438" spans="1:1" x14ac:dyDescent="0.3">
      <c r="A438" t="s">
        <v>436</v>
      </c>
    </row>
    <row r="439" spans="1:1" x14ac:dyDescent="0.3">
      <c r="A439" t="s">
        <v>437</v>
      </c>
    </row>
    <row r="440" spans="1:1" x14ac:dyDescent="0.3">
      <c r="A440" t="s">
        <v>438</v>
      </c>
    </row>
    <row r="441" spans="1:1" x14ac:dyDescent="0.3">
      <c r="A441" t="s">
        <v>439</v>
      </c>
    </row>
    <row r="442" spans="1:1" x14ac:dyDescent="0.3">
      <c r="A442" t="s">
        <v>440</v>
      </c>
    </row>
    <row r="443" spans="1:1" x14ac:dyDescent="0.3">
      <c r="A443" t="s">
        <v>441</v>
      </c>
    </row>
    <row r="444" spans="1:1" x14ac:dyDescent="0.3">
      <c r="A444" t="s">
        <v>442</v>
      </c>
    </row>
    <row r="445" spans="1:1" x14ac:dyDescent="0.3">
      <c r="A445" t="s">
        <v>443</v>
      </c>
    </row>
    <row r="446" spans="1:1" x14ac:dyDescent="0.3">
      <c r="A446" t="s">
        <v>444</v>
      </c>
    </row>
    <row r="447" spans="1:1" x14ac:dyDescent="0.3">
      <c r="A447" t="s">
        <v>445</v>
      </c>
    </row>
    <row r="448" spans="1:1" x14ac:dyDescent="0.3">
      <c r="A448" t="s">
        <v>446</v>
      </c>
    </row>
    <row r="449" spans="1:1" x14ac:dyDescent="0.3">
      <c r="A449" t="s">
        <v>447</v>
      </c>
    </row>
    <row r="450" spans="1:1" x14ac:dyDescent="0.3">
      <c r="A450" t="s">
        <v>448</v>
      </c>
    </row>
    <row r="451" spans="1:1" x14ac:dyDescent="0.3">
      <c r="A451" t="s">
        <v>449</v>
      </c>
    </row>
    <row r="452" spans="1:1" x14ac:dyDescent="0.3">
      <c r="A452" t="s">
        <v>450</v>
      </c>
    </row>
    <row r="453" spans="1:1" x14ac:dyDescent="0.3">
      <c r="A453" t="s">
        <v>451</v>
      </c>
    </row>
    <row r="454" spans="1:1" x14ac:dyDescent="0.3">
      <c r="A454" t="s">
        <v>452</v>
      </c>
    </row>
    <row r="455" spans="1:1" x14ac:dyDescent="0.3">
      <c r="A455" t="s">
        <v>453</v>
      </c>
    </row>
    <row r="456" spans="1:1" x14ac:dyDescent="0.3">
      <c r="A456" t="s">
        <v>454</v>
      </c>
    </row>
    <row r="457" spans="1:1" x14ac:dyDescent="0.3">
      <c r="A457" t="s">
        <v>455</v>
      </c>
    </row>
    <row r="458" spans="1:1" x14ac:dyDescent="0.3">
      <c r="A458" t="s">
        <v>456</v>
      </c>
    </row>
    <row r="459" spans="1:1" x14ac:dyDescent="0.3">
      <c r="A459" t="s">
        <v>457</v>
      </c>
    </row>
    <row r="460" spans="1:1" x14ac:dyDescent="0.3">
      <c r="A460" t="s">
        <v>458</v>
      </c>
    </row>
    <row r="461" spans="1:1" x14ac:dyDescent="0.3">
      <c r="A461" t="s">
        <v>459</v>
      </c>
    </row>
    <row r="462" spans="1:1" x14ac:dyDescent="0.3">
      <c r="A462" t="s">
        <v>460</v>
      </c>
    </row>
    <row r="463" spans="1:1" x14ac:dyDescent="0.3">
      <c r="A463" t="s">
        <v>461</v>
      </c>
    </row>
    <row r="464" spans="1:1" x14ac:dyDescent="0.3">
      <c r="A464" t="s">
        <v>462</v>
      </c>
    </row>
    <row r="465" spans="1:1" x14ac:dyDescent="0.3">
      <c r="A465" t="s">
        <v>463</v>
      </c>
    </row>
    <row r="466" spans="1:1" x14ac:dyDescent="0.3">
      <c r="A466" t="s">
        <v>464</v>
      </c>
    </row>
    <row r="467" spans="1:1" x14ac:dyDescent="0.3">
      <c r="A467" t="s">
        <v>465</v>
      </c>
    </row>
    <row r="468" spans="1:1" x14ac:dyDescent="0.3">
      <c r="A468" t="s">
        <v>466</v>
      </c>
    </row>
    <row r="469" spans="1:1" x14ac:dyDescent="0.3">
      <c r="A469" t="s">
        <v>467</v>
      </c>
    </row>
    <row r="470" spans="1:1" x14ac:dyDescent="0.3">
      <c r="A470" t="s">
        <v>468</v>
      </c>
    </row>
    <row r="471" spans="1:1" x14ac:dyDescent="0.3">
      <c r="A471" t="s">
        <v>469</v>
      </c>
    </row>
    <row r="472" spans="1:1" x14ac:dyDescent="0.3">
      <c r="A472" t="s">
        <v>470</v>
      </c>
    </row>
    <row r="473" spans="1:1" x14ac:dyDescent="0.3">
      <c r="A473" t="s">
        <v>471</v>
      </c>
    </row>
    <row r="474" spans="1:1" x14ac:dyDescent="0.3">
      <c r="A474" t="s">
        <v>472</v>
      </c>
    </row>
    <row r="475" spans="1:1" x14ac:dyDescent="0.3">
      <c r="A475" t="s">
        <v>473</v>
      </c>
    </row>
    <row r="476" spans="1:1" x14ac:dyDescent="0.3">
      <c r="A476" t="s">
        <v>474</v>
      </c>
    </row>
    <row r="477" spans="1:1" x14ac:dyDescent="0.3">
      <c r="A477" t="s">
        <v>475</v>
      </c>
    </row>
    <row r="478" spans="1:1" x14ac:dyDescent="0.3">
      <c r="A478" t="s">
        <v>476</v>
      </c>
    </row>
    <row r="479" spans="1:1" x14ac:dyDescent="0.3">
      <c r="A479" t="s">
        <v>477</v>
      </c>
    </row>
    <row r="480" spans="1:1" x14ac:dyDescent="0.3">
      <c r="A480" t="s">
        <v>478</v>
      </c>
    </row>
    <row r="481" spans="1:1" x14ac:dyDescent="0.3">
      <c r="A481" t="s">
        <v>479</v>
      </c>
    </row>
    <row r="482" spans="1:1" x14ac:dyDescent="0.3">
      <c r="A482" t="s">
        <v>480</v>
      </c>
    </row>
    <row r="483" spans="1:1" x14ac:dyDescent="0.3">
      <c r="A483" t="s">
        <v>481</v>
      </c>
    </row>
    <row r="484" spans="1:1" x14ac:dyDescent="0.3">
      <c r="A484" t="s">
        <v>482</v>
      </c>
    </row>
    <row r="485" spans="1:1" x14ac:dyDescent="0.3">
      <c r="A485" t="s">
        <v>483</v>
      </c>
    </row>
    <row r="486" spans="1:1" x14ac:dyDescent="0.3">
      <c r="A486" t="s">
        <v>484</v>
      </c>
    </row>
    <row r="487" spans="1:1" x14ac:dyDescent="0.3">
      <c r="A487" t="s">
        <v>485</v>
      </c>
    </row>
    <row r="488" spans="1:1" x14ac:dyDescent="0.3">
      <c r="A488" t="s">
        <v>486</v>
      </c>
    </row>
    <row r="489" spans="1:1" x14ac:dyDescent="0.3">
      <c r="A489" t="s">
        <v>487</v>
      </c>
    </row>
    <row r="490" spans="1:1" x14ac:dyDescent="0.3">
      <c r="A490" t="s">
        <v>488</v>
      </c>
    </row>
    <row r="491" spans="1:1" x14ac:dyDescent="0.3">
      <c r="A491" t="s">
        <v>489</v>
      </c>
    </row>
    <row r="492" spans="1:1" x14ac:dyDescent="0.3">
      <c r="A492" t="s">
        <v>490</v>
      </c>
    </row>
    <row r="493" spans="1:1" x14ac:dyDescent="0.3">
      <c r="A493" t="s">
        <v>491</v>
      </c>
    </row>
    <row r="494" spans="1:1" x14ac:dyDescent="0.3">
      <c r="A494" t="s">
        <v>492</v>
      </c>
    </row>
    <row r="495" spans="1:1" x14ac:dyDescent="0.3">
      <c r="A495" t="s">
        <v>493</v>
      </c>
    </row>
    <row r="496" spans="1:1" x14ac:dyDescent="0.3">
      <c r="A496" t="s">
        <v>494</v>
      </c>
    </row>
    <row r="497" spans="1:1" x14ac:dyDescent="0.3">
      <c r="A497" t="s">
        <v>495</v>
      </c>
    </row>
    <row r="498" spans="1:1" x14ac:dyDescent="0.3">
      <c r="A498" t="s">
        <v>496</v>
      </c>
    </row>
    <row r="499" spans="1:1" x14ac:dyDescent="0.3">
      <c r="A499" t="s">
        <v>497</v>
      </c>
    </row>
    <row r="500" spans="1:1" x14ac:dyDescent="0.3">
      <c r="A500" t="s">
        <v>498</v>
      </c>
    </row>
    <row r="501" spans="1:1" x14ac:dyDescent="0.3">
      <c r="A501" t="s">
        <v>499</v>
      </c>
    </row>
    <row r="502" spans="1:1" x14ac:dyDescent="0.3">
      <c r="A502" t="s">
        <v>500</v>
      </c>
    </row>
    <row r="503" spans="1:1" x14ac:dyDescent="0.3">
      <c r="A503" t="s">
        <v>501</v>
      </c>
    </row>
    <row r="504" spans="1:1" x14ac:dyDescent="0.3">
      <c r="A504" t="s">
        <v>502</v>
      </c>
    </row>
    <row r="505" spans="1:1" x14ac:dyDescent="0.3">
      <c r="A505" t="s">
        <v>503</v>
      </c>
    </row>
    <row r="506" spans="1:1" x14ac:dyDescent="0.3">
      <c r="A506" t="s">
        <v>504</v>
      </c>
    </row>
    <row r="507" spans="1:1" x14ac:dyDescent="0.3">
      <c r="A507" t="s">
        <v>505</v>
      </c>
    </row>
    <row r="508" spans="1:1" x14ac:dyDescent="0.3">
      <c r="A508" t="s">
        <v>506</v>
      </c>
    </row>
    <row r="509" spans="1:1" x14ac:dyDescent="0.3">
      <c r="A509" t="s">
        <v>507</v>
      </c>
    </row>
    <row r="510" spans="1:1" x14ac:dyDescent="0.3">
      <c r="A510" t="s">
        <v>508</v>
      </c>
    </row>
    <row r="511" spans="1:1" x14ac:dyDescent="0.3">
      <c r="A511" t="s">
        <v>509</v>
      </c>
    </row>
    <row r="512" spans="1:1" x14ac:dyDescent="0.3">
      <c r="A512" t="s">
        <v>510</v>
      </c>
    </row>
    <row r="513" spans="1:1" x14ac:dyDescent="0.3">
      <c r="A513" t="s">
        <v>511</v>
      </c>
    </row>
    <row r="514" spans="1:1" x14ac:dyDescent="0.3">
      <c r="A514" t="s">
        <v>512</v>
      </c>
    </row>
    <row r="515" spans="1:1" x14ac:dyDescent="0.3">
      <c r="A515" t="s">
        <v>513</v>
      </c>
    </row>
    <row r="516" spans="1:1" x14ac:dyDescent="0.3">
      <c r="A516" t="s">
        <v>514</v>
      </c>
    </row>
    <row r="517" spans="1:1" x14ac:dyDescent="0.3">
      <c r="A517" t="s">
        <v>515</v>
      </c>
    </row>
    <row r="518" spans="1:1" x14ac:dyDescent="0.3">
      <c r="A518" t="s">
        <v>516</v>
      </c>
    </row>
    <row r="519" spans="1:1" x14ac:dyDescent="0.3">
      <c r="A519" t="s">
        <v>517</v>
      </c>
    </row>
    <row r="520" spans="1:1" x14ac:dyDescent="0.3">
      <c r="A520" t="s">
        <v>518</v>
      </c>
    </row>
    <row r="521" spans="1:1" x14ac:dyDescent="0.3">
      <c r="A521" t="s">
        <v>519</v>
      </c>
    </row>
    <row r="522" spans="1:1" x14ac:dyDescent="0.3">
      <c r="A522" t="s">
        <v>520</v>
      </c>
    </row>
    <row r="523" spans="1:1" x14ac:dyDescent="0.3">
      <c r="A523" t="s">
        <v>521</v>
      </c>
    </row>
    <row r="524" spans="1:1" x14ac:dyDescent="0.3">
      <c r="A524" t="s">
        <v>522</v>
      </c>
    </row>
    <row r="525" spans="1:1" x14ac:dyDescent="0.3">
      <c r="A525" t="s">
        <v>523</v>
      </c>
    </row>
    <row r="526" spans="1:1" x14ac:dyDescent="0.3">
      <c r="A526" t="s">
        <v>524</v>
      </c>
    </row>
    <row r="527" spans="1:1" x14ac:dyDescent="0.3">
      <c r="A527" t="s">
        <v>525</v>
      </c>
    </row>
    <row r="528" spans="1:1" x14ac:dyDescent="0.3">
      <c r="A528" t="s">
        <v>526</v>
      </c>
    </row>
    <row r="529" spans="1:1" x14ac:dyDescent="0.3">
      <c r="A529" t="s">
        <v>527</v>
      </c>
    </row>
    <row r="530" spans="1:1" x14ac:dyDescent="0.3">
      <c r="A530" t="s">
        <v>528</v>
      </c>
    </row>
    <row r="531" spans="1:1" x14ac:dyDescent="0.3">
      <c r="A531" t="s">
        <v>529</v>
      </c>
    </row>
    <row r="532" spans="1:1" x14ac:dyDescent="0.3">
      <c r="A532" t="s">
        <v>530</v>
      </c>
    </row>
    <row r="533" spans="1:1" x14ac:dyDescent="0.3">
      <c r="A533" t="s">
        <v>531</v>
      </c>
    </row>
    <row r="534" spans="1:1" x14ac:dyDescent="0.3">
      <c r="A534" t="s">
        <v>532</v>
      </c>
    </row>
    <row r="535" spans="1:1" x14ac:dyDescent="0.3">
      <c r="A535" t="s">
        <v>533</v>
      </c>
    </row>
    <row r="536" spans="1:1" x14ac:dyDescent="0.3">
      <c r="A536" t="s">
        <v>534</v>
      </c>
    </row>
    <row r="537" spans="1:1" x14ac:dyDescent="0.3">
      <c r="A537" t="s">
        <v>535</v>
      </c>
    </row>
    <row r="538" spans="1:1" x14ac:dyDescent="0.3">
      <c r="A538" t="s">
        <v>536</v>
      </c>
    </row>
    <row r="539" spans="1:1" x14ac:dyDescent="0.3">
      <c r="A539" t="s">
        <v>537</v>
      </c>
    </row>
    <row r="540" spans="1:1" x14ac:dyDescent="0.3">
      <c r="A540" t="s">
        <v>538</v>
      </c>
    </row>
    <row r="541" spans="1:1" x14ac:dyDescent="0.3">
      <c r="A541" t="s">
        <v>539</v>
      </c>
    </row>
    <row r="542" spans="1:1" x14ac:dyDescent="0.3">
      <c r="A542" t="s">
        <v>540</v>
      </c>
    </row>
    <row r="543" spans="1:1" x14ac:dyDescent="0.3">
      <c r="A543" t="s">
        <v>541</v>
      </c>
    </row>
    <row r="544" spans="1:1" x14ac:dyDescent="0.3">
      <c r="A544" t="s">
        <v>542</v>
      </c>
    </row>
    <row r="545" spans="1:1" x14ac:dyDescent="0.3">
      <c r="A545" t="s">
        <v>543</v>
      </c>
    </row>
    <row r="546" spans="1:1" x14ac:dyDescent="0.3">
      <c r="A546" t="s">
        <v>544</v>
      </c>
    </row>
    <row r="547" spans="1:1" x14ac:dyDescent="0.3">
      <c r="A547" t="s">
        <v>545</v>
      </c>
    </row>
    <row r="548" spans="1:1" x14ac:dyDescent="0.3">
      <c r="A548" t="s">
        <v>546</v>
      </c>
    </row>
    <row r="549" spans="1:1" x14ac:dyDescent="0.3">
      <c r="A549" t="s">
        <v>547</v>
      </c>
    </row>
    <row r="550" spans="1:1" x14ac:dyDescent="0.3">
      <c r="A550" t="s">
        <v>548</v>
      </c>
    </row>
    <row r="551" spans="1:1" x14ac:dyDescent="0.3">
      <c r="A551" t="s">
        <v>549</v>
      </c>
    </row>
    <row r="552" spans="1:1" x14ac:dyDescent="0.3">
      <c r="A552" t="s">
        <v>550</v>
      </c>
    </row>
    <row r="553" spans="1:1" x14ac:dyDescent="0.3">
      <c r="A553" t="s">
        <v>551</v>
      </c>
    </row>
    <row r="554" spans="1:1" x14ac:dyDescent="0.3">
      <c r="A554" t="s">
        <v>552</v>
      </c>
    </row>
    <row r="555" spans="1:1" x14ac:dyDescent="0.3">
      <c r="A555" t="s">
        <v>553</v>
      </c>
    </row>
    <row r="556" spans="1:1" x14ac:dyDescent="0.3">
      <c r="A556" t="s">
        <v>554</v>
      </c>
    </row>
    <row r="557" spans="1:1" x14ac:dyDescent="0.3">
      <c r="A557" t="s">
        <v>555</v>
      </c>
    </row>
    <row r="558" spans="1:1" x14ac:dyDescent="0.3">
      <c r="A558" t="s">
        <v>556</v>
      </c>
    </row>
    <row r="559" spans="1:1" x14ac:dyDescent="0.3">
      <c r="A559" t="s">
        <v>557</v>
      </c>
    </row>
    <row r="560" spans="1:1" x14ac:dyDescent="0.3">
      <c r="A560" t="s">
        <v>558</v>
      </c>
    </row>
    <row r="561" spans="1:1" x14ac:dyDescent="0.3">
      <c r="A561" t="s">
        <v>559</v>
      </c>
    </row>
    <row r="562" spans="1:1" x14ac:dyDescent="0.3">
      <c r="A562" t="s">
        <v>560</v>
      </c>
    </row>
    <row r="563" spans="1:1" x14ac:dyDescent="0.3">
      <c r="A563" t="s">
        <v>561</v>
      </c>
    </row>
    <row r="564" spans="1:1" x14ac:dyDescent="0.3">
      <c r="A564" t="s">
        <v>562</v>
      </c>
    </row>
    <row r="565" spans="1:1" x14ac:dyDescent="0.3">
      <c r="A565" t="s">
        <v>563</v>
      </c>
    </row>
    <row r="566" spans="1:1" x14ac:dyDescent="0.3">
      <c r="A566" t="s">
        <v>564</v>
      </c>
    </row>
    <row r="567" spans="1:1" x14ac:dyDescent="0.3">
      <c r="A567" t="s">
        <v>565</v>
      </c>
    </row>
    <row r="568" spans="1:1" x14ac:dyDescent="0.3">
      <c r="A568" t="s">
        <v>566</v>
      </c>
    </row>
    <row r="569" spans="1:1" x14ac:dyDescent="0.3">
      <c r="A569" t="s">
        <v>567</v>
      </c>
    </row>
    <row r="570" spans="1:1" x14ac:dyDescent="0.3">
      <c r="A570" t="s">
        <v>568</v>
      </c>
    </row>
    <row r="571" spans="1:1" x14ac:dyDescent="0.3">
      <c r="A571" t="s">
        <v>569</v>
      </c>
    </row>
    <row r="572" spans="1:1" x14ac:dyDescent="0.3">
      <c r="A572" t="s">
        <v>570</v>
      </c>
    </row>
    <row r="573" spans="1:1" x14ac:dyDescent="0.3">
      <c r="A573" t="s">
        <v>571</v>
      </c>
    </row>
    <row r="574" spans="1:1" x14ac:dyDescent="0.3">
      <c r="A574" t="s">
        <v>572</v>
      </c>
    </row>
    <row r="575" spans="1:1" x14ac:dyDescent="0.3">
      <c r="A575" t="s">
        <v>573</v>
      </c>
    </row>
    <row r="576" spans="1:1" x14ac:dyDescent="0.3">
      <c r="A576" t="s">
        <v>574</v>
      </c>
    </row>
    <row r="577" spans="1:1" x14ac:dyDescent="0.3">
      <c r="A577" t="s">
        <v>575</v>
      </c>
    </row>
    <row r="578" spans="1:1" x14ac:dyDescent="0.3">
      <c r="A578" t="s">
        <v>576</v>
      </c>
    </row>
    <row r="579" spans="1:1" x14ac:dyDescent="0.3">
      <c r="A579" t="s">
        <v>577</v>
      </c>
    </row>
    <row r="580" spans="1:1" x14ac:dyDescent="0.3">
      <c r="A580" t="s">
        <v>578</v>
      </c>
    </row>
    <row r="581" spans="1:1" x14ac:dyDescent="0.3">
      <c r="A581" t="s">
        <v>579</v>
      </c>
    </row>
    <row r="582" spans="1:1" x14ac:dyDescent="0.3">
      <c r="A582" t="s">
        <v>580</v>
      </c>
    </row>
    <row r="583" spans="1:1" x14ac:dyDescent="0.3">
      <c r="A583" t="s">
        <v>581</v>
      </c>
    </row>
    <row r="584" spans="1:1" x14ac:dyDescent="0.3">
      <c r="A584" t="s">
        <v>582</v>
      </c>
    </row>
    <row r="585" spans="1:1" x14ac:dyDescent="0.3">
      <c r="A585" t="s">
        <v>583</v>
      </c>
    </row>
    <row r="586" spans="1:1" x14ac:dyDescent="0.3">
      <c r="A586" t="s">
        <v>584</v>
      </c>
    </row>
    <row r="587" spans="1:1" x14ac:dyDescent="0.3">
      <c r="A587" t="s">
        <v>585</v>
      </c>
    </row>
    <row r="588" spans="1:1" x14ac:dyDescent="0.3">
      <c r="A588" t="s">
        <v>586</v>
      </c>
    </row>
    <row r="589" spans="1:1" x14ac:dyDescent="0.3">
      <c r="A589" t="s">
        <v>587</v>
      </c>
    </row>
    <row r="590" spans="1:1" x14ac:dyDescent="0.3">
      <c r="A590" t="s">
        <v>588</v>
      </c>
    </row>
    <row r="591" spans="1:1" x14ac:dyDescent="0.3">
      <c r="A591" t="s">
        <v>589</v>
      </c>
    </row>
    <row r="592" spans="1:1" x14ac:dyDescent="0.3">
      <c r="A592" t="s">
        <v>590</v>
      </c>
    </row>
    <row r="593" spans="1:1" x14ac:dyDescent="0.3">
      <c r="A593" t="s">
        <v>591</v>
      </c>
    </row>
    <row r="594" spans="1:1" x14ac:dyDescent="0.3">
      <c r="A594" t="s">
        <v>592</v>
      </c>
    </row>
    <row r="595" spans="1:1" x14ac:dyDescent="0.3">
      <c r="A595" t="s">
        <v>593</v>
      </c>
    </row>
    <row r="596" spans="1:1" x14ac:dyDescent="0.3">
      <c r="A596" t="s">
        <v>594</v>
      </c>
    </row>
    <row r="597" spans="1:1" x14ac:dyDescent="0.3">
      <c r="A597" t="s">
        <v>595</v>
      </c>
    </row>
    <row r="598" spans="1:1" x14ac:dyDescent="0.3">
      <c r="A598" t="s">
        <v>596</v>
      </c>
    </row>
    <row r="599" spans="1:1" x14ac:dyDescent="0.3">
      <c r="A599" t="s">
        <v>597</v>
      </c>
    </row>
    <row r="600" spans="1:1" x14ac:dyDescent="0.3">
      <c r="A600" t="s">
        <v>598</v>
      </c>
    </row>
    <row r="601" spans="1:1" x14ac:dyDescent="0.3">
      <c r="A601" t="s">
        <v>599</v>
      </c>
    </row>
    <row r="602" spans="1:1" x14ac:dyDescent="0.3">
      <c r="A602" t="s">
        <v>600</v>
      </c>
    </row>
    <row r="603" spans="1:1" x14ac:dyDescent="0.3">
      <c r="A603" t="s">
        <v>601</v>
      </c>
    </row>
    <row r="604" spans="1:1" x14ac:dyDescent="0.3">
      <c r="A604" t="s">
        <v>602</v>
      </c>
    </row>
    <row r="605" spans="1:1" x14ac:dyDescent="0.3">
      <c r="A605" t="s">
        <v>603</v>
      </c>
    </row>
    <row r="606" spans="1:1" x14ac:dyDescent="0.3">
      <c r="A606" t="s">
        <v>604</v>
      </c>
    </row>
    <row r="607" spans="1:1" x14ac:dyDescent="0.3">
      <c r="A607" t="s">
        <v>605</v>
      </c>
    </row>
    <row r="608" spans="1:1" x14ac:dyDescent="0.3">
      <c r="A608" t="s">
        <v>606</v>
      </c>
    </row>
    <row r="609" spans="1:1" x14ac:dyDescent="0.3">
      <c r="A609" t="s">
        <v>607</v>
      </c>
    </row>
    <row r="610" spans="1:1" x14ac:dyDescent="0.3">
      <c r="A610" t="s">
        <v>608</v>
      </c>
    </row>
    <row r="611" spans="1:1" x14ac:dyDescent="0.3">
      <c r="A611" t="s">
        <v>609</v>
      </c>
    </row>
    <row r="612" spans="1:1" x14ac:dyDescent="0.3">
      <c r="A612" t="s">
        <v>610</v>
      </c>
    </row>
    <row r="613" spans="1:1" x14ac:dyDescent="0.3">
      <c r="A613" t="s">
        <v>611</v>
      </c>
    </row>
    <row r="614" spans="1:1" x14ac:dyDescent="0.3">
      <c r="A614" t="s">
        <v>612</v>
      </c>
    </row>
    <row r="615" spans="1:1" x14ac:dyDescent="0.3">
      <c r="A615" t="s">
        <v>613</v>
      </c>
    </row>
    <row r="616" spans="1:1" x14ac:dyDescent="0.3">
      <c r="A616" t="s">
        <v>614</v>
      </c>
    </row>
    <row r="617" spans="1:1" x14ac:dyDescent="0.3">
      <c r="A617" t="s">
        <v>615</v>
      </c>
    </row>
    <row r="618" spans="1:1" x14ac:dyDescent="0.3">
      <c r="A618" t="s">
        <v>616</v>
      </c>
    </row>
    <row r="619" spans="1:1" x14ac:dyDescent="0.3">
      <c r="A619" t="s">
        <v>617</v>
      </c>
    </row>
    <row r="620" spans="1:1" x14ac:dyDescent="0.3">
      <c r="A620" t="s">
        <v>618</v>
      </c>
    </row>
    <row r="621" spans="1:1" x14ac:dyDescent="0.3">
      <c r="A621" t="s">
        <v>619</v>
      </c>
    </row>
    <row r="622" spans="1:1" x14ac:dyDescent="0.3">
      <c r="A622" t="s">
        <v>620</v>
      </c>
    </row>
    <row r="623" spans="1:1" x14ac:dyDescent="0.3">
      <c r="A623" t="s">
        <v>621</v>
      </c>
    </row>
    <row r="624" spans="1:1" x14ac:dyDescent="0.3">
      <c r="A624" t="s">
        <v>622</v>
      </c>
    </row>
    <row r="625" spans="1:1" x14ac:dyDescent="0.3">
      <c r="A625" t="s">
        <v>623</v>
      </c>
    </row>
    <row r="626" spans="1:1" x14ac:dyDescent="0.3">
      <c r="A626" t="s">
        <v>624</v>
      </c>
    </row>
    <row r="627" spans="1:1" x14ac:dyDescent="0.3">
      <c r="A627" t="s">
        <v>625</v>
      </c>
    </row>
    <row r="628" spans="1:1" x14ac:dyDescent="0.3">
      <c r="A628" t="s">
        <v>626</v>
      </c>
    </row>
    <row r="629" spans="1:1" x14ac:dyDescent="0.3">
      <c r="A629" t="s">
        <v>627</v>
      </c>
    </row>
    <row r="630" spans="1:1" x14ac:dyDescent="0.3">
      <c r="A630" t="s">
        <v>628</v>
      </c>
    </row>
    <row r="631" spans="1:1" x14ac:dyDescent="0.3">
      <c r="A631" t="s">
        <v>629</v>
      </c>
    </row>
    <row r="632" spans="1:1" x14ac:dyDescent="0.3">
      <c r="A632" t="s">
        <v>630</v>
      </c>
    </row>
    <row r="633" spans="1:1" x14ac:dyDescent="0.3">
      <c r="A633" t="s">
        <v>631</v>
      </c>
    </row>
    <row r="634" spans="1:1" x14ac:dyDescent="0.3">
      <c r="A634" t="s">
        <v>632</v>
      </c>
    </row>
    <row r="635" spans="1:1" x14ac:dyDescent="0.3">
      <c r="A635" t="s">
        <v>633</v>
      </c>
    </row>
    <row r="636" spans="1:1" x14ac:dyDescent="0.3">
      <c r="A636" t="s">
        <v>634</v>
      </c>
    </row>
    <row r="637" spans="1:1" x14ac:dyDescent="0.3">
      <c r="A637" t="s">
        <v>635</v>
      </c>
    </row>
    <row r="638" spans="1:1" x14ac:dyDescent="0.3">
      <c r="A638" t="s">
        <v>636</v>
      </c>
    </row>
    <row r="639" spans="1:1" x14ac:dyDescent="0.3">
      <c r="A639" t="s">
        <v>637</v>
      </c>
    </row>
    <row r="640" spans="1:1" x14ac:dyDescent="0.3">
      <c r="A640" t="s">
        <v>638</v>
      </c>
    </row>
    <row r="641" spans="1:1" x14ac:dyDescent="0.3">
      <c r="A641" t="s">
        <v>639</v>
      </c>
    </row>
    <row r="642" spans="1:1" x14ac:dyDescent="0.3">
      <c r="A642" t="s">
        <v>640</v>
      </c>
    </row>
    <row r="643" spans="1:1" x14ac:dyDescent="0.3">
      <c r="A643" t="s">
        <v>641</v>
      </c>
    </row>
    <row r="644" spans="1:1" x14ac:dyDescent="0.3">
      <c r="A644" t="s">
        <v>642</v>
      </c>
    </row>
    <row r="645" spans="1:1" x14ac:dyDescent="0.3">
      <c r="A645" t="s">
        <v>643</v>
      </c>
    </row>
    <row r="646" spans="1:1" x14ac:dyDescent="0.3">
      <c r="A646" t="s">
        <v>644</v>
      </c>
    </row>
    <row r="647" spans="1:1" x14ac:dyDescent="0.3">
      <c r="A647" t="s">
        <v>645</v>
      </c>
    </row>
    <row r="648" spans="1:1" x14ac:dyDescent="0.3">
      <c r="A648" t="s">
        <v>646</v>
      </c>
    </row>
    <row r="649" spans="1:1" x14ac:dyDescent="0.3">
      <c r="A649" t="s">
        <v>647</v>
      </c>
    </row>
    <row r="650" spans="1:1" x14ac:dyDescent="0.3">
      <c r="A650" t="s">
        <v>648</v>
      </c>
    </row>
    <row r="651" spans="1:1" x14ac:dyDescent="0.3">
      <c r="A651" t="s">
        <v>649</v>
      </c>
    </row>
    <row r="652" spans="1:1" x14ac:dyDescent="0.3">
      <c r="A652" t="s">
        <v>650</v>
      </c>
    </row>
    <row r="653" spans="1:1" x14ac:dyDescent="0.3">
      <c r="A653" t="s">
        <v>651</v>
      </c>
    </row>
    <row r="654" spans="1:1" x14ac:dyDescent="0.3">
      <c r="A654" t="s">
        <v>652</v>
      </c>
    </row>
    <row r="655" spans="1:1" x14ac:dyDescent="0.3">
      <c r="A655" t="s">
        <v>653</v>
      </c>
    </row>
    <row r="656" spans="1:1" x14ac:dyDescent="0.3">
      <c r="A656" t="s">
        <v>654</v>
      </c>
    </row>
    <row r="657" spans="1:1" x14ac:dyDescent="0.3">
      <c r="A657" t="s">
        <v>655</v>
      </c>
    </row>
    <row r="658" spans="1:1" x14ac:dyDescent="0.3">
      <c r="A658" t="s">
        <v>656</v>
      </c>
    </row>
    <row r="659" spans="1:1" x14ac:dyDescent="0.3">
      <c r="A659" t="s">
        <v>657</v>
      </c>
    </row>
    <row r="660" spans="1:1" x14ac:dyDescent="0.3">
      <c r="A660" t="s">
        <v>658</v>
      </c>
    </row>
    <row r="661" spans="1:1" x14ac:dyDescent="0.3">
      <c r="A661" t="s">
        <v>659</v>
      </c>
    </row>
    <row r="662" spans="1:1" x14ac:dyDescent="0.3">
      <c r="A662" t="s">
        <v>660</v>
      </c>
    </row>
    <row r="663" spans="1:1" x14ac:dyDescent="0.3">
      <c r="A663" t="s">
        <v>661</v>
      </c>
    </row>
    <row r="664" spans="1:1" x14ac:dyDescent="0.3">
      <c r="A664" t="s">
        <v>662</v>
      </c>
    </row>
    <row r="665" spans="1:1" x14ac:dyDescent="0.3">
      <c r="A665" t="s">
        <v>663</v>
      </c>
    </row>
    <row r="666" spans="1:1" x14ac:dyDescent="0.3">
      <c r="A666" t="s">
        <v>664</v>
      </c>
    </row>
    <row r="667" spans="1:1" x14ac:dyDescent="0.3">
      <c r="A667" t="s">
        <v>665</v>
      </c>
    </row>
    <row r="668" spans="1:1" x14ac:dyDescent="0.3">
      <c r="A668" t="s">
        <v>666</v>
      </c>
    </row>
    <row r="669" spans="1:1" x14ac:dyDescent="0.3">
      <c r="A669" t="s">
        <v>667</v>
      </c>
    </row>
    <row r="670" spans="1:1" x14ac:dyDescent="0.3">
      <c r="A670" t="s">
        <v>668</v>
      </c>
    </row>
    <row r="671" spans="1:1" x14ac:dyDescent="0.3">
      <c r="A671" t="s">
        <v>669</v>
      </c>
    </row>
    <row r="672" spans="1:1" x14ac:dyDescent="0.3">
      <c r="A672" t="s">
        <v>670</v>
      </c>
    </row>
    <row r="673" spans="1:1" x14ac:dyDescent="0.3">
      <c r="A673" t="s">
        <v>671</v>
      </c>
    </row>
    <row r="674" spans="1:1" x14ac:dyDescent="0.3">
      <c r="A674" t="s">
        <v>672</v>
      </c>
    </row>
    <row r="675" spans="1:1" x14ac:dyDescent="0.3">
      <c r="A675" t="s">
        <v>673</v>
      </c>
    </row>
    <row r="676" spans="1:1" x14ac:dyDescent="0.3">
      <c r="A676" t="s">
        <v>674</v>
      </c>
    </row>
    <row r="677" spans="1:1" x14ac:dyDescent="0.3">
      <c r="A677" t="s">
        <v>675</v>
      </c>
    </row>
    <row r="678" spans="1:1" x14ac:dyDescent="0.3">
      <c r="A678" t="s">
        <v>676</v>
      </c>
    </row>
    <row r="679" spans="1:1" x14ac:dyDescent="0.3">
      <c r="A679" t="s">
        <v>677</v>
      </c>
    </row>
    <row r="680" spans="1:1" x14ac:dyDescent="0.3">
      <c r="A680" t="s">
        <v>678</v>
      </c>
    </row>
    <row r="681" spans="1:1" x14ac:dyDescent="0.3">
      <c r="A681" t="s">
        <v>679</v>
      </c>
    </row>
    <row r="682" spans="1:1" x14ac:dyDescent="0.3">
      <c r="A682" t="s">
        <v>680</v>
      </c>
    </row>
    <row r="683" spans="1:1" x14ac:dyDescent="0.3">
      <c r="A683" t="s">
        <v>681</v>
      </c>
    </row>
    <row r="684" spans="1:1" x14ac:dyDescent="0.3">
      <c r="A684" t="s">
        <v>682</v>
      </c>
    </row>
    <row r="685" spans="1:1" x14ac:dyDescent="0.3">
      <c r="A685" t="s">
        <v>683</v>
      </c>
    </row>
    <row r="686" spans="1:1" x14ac:dyDescent="0.3">
      <c r="A686" t="s">
        <v>684</v>
      </c>
    </row>
    <row r="687" spans="1:1" x14ac:dyDescent="0.3">
      <c r="A687" t="s">
        <v>685</v>
      </c>
    </row>
    <row r="688" spans="1:1" x14ac:dyDescent="0.3">
      <c r="A688" t="s">
        <v>686</v>
      </c>
    </row>
    <row r="689" spans="1:1" x14ac:dyDescent="0.3">
      <c r="A689" t="s">
        <v>687</v>
      </c>
    </row>
    <row r="690" spans="1:1" x14ac:dyDescent="0.3">
      <c r="A690" t="s">
        <v>688</v>
      </c>
    </row>
    <row r="691" spans="1:1" x14ac:dyDescent="0.3">
      <c r="A691" t="s">
        <v>689</v>
      </c>
    </row>
    <row r="692" spans="1:1" x14ac:dyDescent="0.3">
      <c r="A692" t="s">
        <v>690</v>
      </c>
    </row>
    <row r="693" spans="1:1" x14ac:dyDescent="0.3">
      <c r="A693" t="s">
        <v>691</v>
      </c>
    </row>
    <row r="694" spans="1:1" x14ac:dyDescent="0.3">
      <c r="A694" t="s">
        <v>692</v>
      </c>
    </row>
    <row r="695" spans="1:1" x14ac:dyDescent="0.3">
      <c r="A695" t="s">
        <v>693</v>
      </c>
    </row>
    <row r="696" spans="1:1" x14ac:dyDescent="0.3">
      <c r="A696" t="s">
        <v>694</v>
      </c>
    </row>
    <row r="697" spans="1:1" x14ac:dyDescent="0.3">
      <c r="A697" t="s">
        <v>695</v>
      </c>
    </row>
    <row r="698" spans="1:1" x14ac:dyDescent="0.3">
      <c r="A698" t="s">
        <v>696</v>
      </c>
    </row>
    <row r="699" spans="1:1" x14ac:dyDescent="0.3">
      <c r="A699" t="s">
        <v>697</v>
      </c>
    </row>
    <row r="700" spans="1:1" x14ac:dyDescent="0.3">
      <c r="A700" t="s">
        <v>698</v>
      </c>
    </row>
    <row r="701" spans="1:1" x14ac:dyDescent="0.3">
      <c r="A701" t="s">
        <v>699</v>
      </c>
    </row>
    <row r="702" spans="1:1" x14ac:dyDescent="0.3">
      <c r="A702" t="s">
        <v>700</v>
      </c>
    </row>
    <row r="703" spans="1:1" x14ac:dyDescent="0.3">
      <c r="A703" t="s">
        <v>701</v>
      </c>
    </row>
    <row r="704" spans="1:1" x14ac:dyDescent="0.3">
      <c r="A704" t="s">
        <v>702</v>
      </c>
    </row>
    <row r="705" spans="1:1" x14ac:dyDescent="0.3">
      <c r="A705" t="s">
        <v>703</v>
      </c>
    </row>
    <row r="706" spans="1:1" x14ac:dyDescent="0.3">
      <c r="A706" t="s">
        <v>704</v>
      </c>
    </row>
    <row r="707" spans="1:1" x14ac:dyDescent="0.3">
      <c r="A707" t="s">
        <v>705</v>
      </c>
    </row>
    <row r="708" spans="1:1" x14ac:dyDescent="0.3">
      <c r="A708" t="s">
        <v>706</v>
      </c>
    </row>
    <row r="709" spans="1:1" x14ac:dyDescent="0.3">
      <c r="A709" t="s">
        <v>707</v>
      </c>
    </row>
    <row r="710" spans="1:1" x14ac:dyDescent="0.3">
      <c r="A710" t="s">
        <v>708</v>
      </c>
    </row>
    <row r="711" spans="1:1" x14ac:dyDescent="0.3">
      <c r="A711" t="s">
        <v>709</v>
      </c>
    </row>
    <row r="712" spans="1:1" x14ac:dyDescent="0.3">
      <c r="A712" t="s">
        <v>710</v>
      </c>
    </row>
    <row r="713" spans="1:1" x14ac:dyDescent="0.3">
      <c r="A713" t="s">
        <v>711</v>
      </c>
    </row>
    <row r="714" spans="1:1" x14ac:dyDescent="0.3">
      <c r="A714" t="s">
        <v>712</v>
      </c>
    </row>
    <row r="715" spans="1:1" x14ac:dyDescent="0.3">
      <c r="A715" t="s">
        <v>713</v>
      </c>
    </row>
    <row r="716" spans="1:1" x14ac:dyDescent="0.3">
      <c r="A716" t="s">
        <v>714</v>
      </c>
    </row>
    <row r="717" spans="1:1" x14ac:dyDescent="0.3">
      <c r="A717" t="s">
        <v>715</v>
      </c>
    </row>
    <row r="718" spans="1:1" x14ac:dyDescent="0.3">
      <c r="A718" t="s">
        <v>151</v>
      </c>
    </row>
    <row r="719" spans="1:1" x14ac:dyDescent="0.3">
      <c r="A719" t="s">
        <v>716</v>
      </c>
    </row>
    <row r="720" spans="1:1" x14ac:dyDescent="0.3">
      <c r="A720" t="s">
        <v>717</v>
      </c>
    </row>
    <row r="721" spans="1:1" x14ac:dyDescent="0.3">
      <c r="A721" t="s">
        <v>718</v>
      </c>
    </row>
    <row r="722" spans="1:1" x14ac:dyDescent="0.3">
      <c r="A722" t="s">
        <v>719</v>
      </c>
    </row>
    <row r="723" spans="1:1" x14ac:dyDescent="0.3">
      <c r="A723" t="s">
        <v>720</v>
      </c>
    </row>
    <row r="724" spans="1:1" x14ac:dyDescent="0.3">
      <c r="A724" t="s">
        <v>721</v>
      </c>
    </row>
    <row r="725" spans="1:1" x14ac:dyDescent="0.3">
      <c r="A725" t="s">
        <v>722</v>
      </c>
    </row>
    <row r="726" spans="1:1" x14ac:dyDescent="0.3">
      <c r="A726" t="s">
        <v>723</v>
      </c>
    </row>
    <row r="727" spans="1:1" x14ac:dyDescent="0.3">
      <c r="A727" t="s">
        <v>724</v>
      </c>
    </row>
    <row r="728" spans="1:1" x14ac:dyDescent="0.3">
      <c r="A728" t="s">
        <v>725</v>
      </c>
    </row>
    <row r="729" spans="1:1" x14ac:dyDescent="0.3">
      <c r="A729" t="s">
        <v>726</v>
      </c>
    </row>
    <row r="730" spans="1:1" x14ac:dyDescent="0.3">
      <c r="A730" t="s">
        <v>727</v>
      </c>
    </row>
    <row r="731" spans="1:1" x14ac:dyDescent="0.3">
      <c r="A731" t="s">
        <v>728</v>
      </c>
    </row>
    <row r="732" spans="1:1" x14ac:dyDescent="0.3">
      <c r="A732" t="s">
        <v>729</v>
      </c>
    </row>
    <row r="733" spans="1:1" x14ac:dyDescent="0.3">
      <c r="A733" t="s">
        <v>730</v>
      </c>
    </row>
    <row r="734" spans="1:1" x14ac:dyDescent="0.3">
      <c r="A734" t="s">
        <v>731</v>
      </c>
    </row>
    <row r="735" spans="1:1" x14ac:dyDescent="0.3">
      <c r="A735" t="s">
        <v>732</v>
      </c>
    </row>
    <row r="736" spans="1:1" x14ac:dyDescent="0.3">
      <c r="A736" t="s">
        <v>733</v>
      </c>
    </row>
    <row r="737" spans="1:1" x14ac:dyDescent="0.3">
      <c r="A737" t="s">
        <v>734</v>
      </c>
    </row>
    <row r="738" spans="1:1" x14ac:dyDescent="0.3">
      <c r="A738" t="s">
        <v>735</v>
      </c>
    </row>
    <row r="739" spans="1:1" x14ac:dyDescent="0.3">
      <c r="A739" t="s">
        <v>736</v>
      </c>
    </row>
    <row r="740" spans="1:1" x14ac:dyDescent="0.3">
      <c r="A740" t="s">
        <v>737</v>
      </c>
    </row>
    <row r="741" spans="1:1" x14ac:dyDescent="0.3">
      <c r="A741" t="s">
        <v>738</v>
      </c>
    </row>
    <row r="742" spans="1:1" x14ac:dyDescent="0.3">
      <c r="A742" t="s">
        <v>739</v>
      </c>
    </row>
    <row r="743" spans="1:1" x14ac:dyDescent="0.3">
      <c r="A743" t="s">
        <v>740</v>
      </c>
    </row>
    <row r="744" spans="1:1" x14ac:dyDescent="0.3">
      <c r="A744" t="s">
        <v>741</v>
      </c>
    </row>
    <row r="745" spans="1:1" x14ac:dyDescent="0.3">
      <c r="A745" t="s">
        <v>742</v>
      </c>
    </row>
    <row r="746" spans="1:1" x14ac:dyDescent="0.3">
      <c r="A746" t="s">
        <v>743</v>
      </c>
    </row>
    <row r="747" spans="1:1" x14ac:dyDescent="0.3">
      <c r="A747" t="s">
        <v>744</v>
      </c>
    </row>
    <row r="748" spans="1:1" x14ac:dyDescent="0.3">
      <c r="A748" t="s">
        <v>745</v>
      </c>
    </row>
    <row r="749" spans="1:1" x14ac:dyDescent="0.3">
      <c r="A749" t="s">
        <v>746</v>
      </c>
    </row>
    <row r="750" spans="1:1" x14ac:dyDescent="0.3">
      <c r="A750" t="s">
        <v>747</v>
      </c>
    </row>
    <row r="751" spans="1:1" x14ac:dyDescent="0.3">
      <c r="A751" t="s">
        <v>748</v>
      </c>
    </row>
    <row r="752" spans="1:1" x14ac:dyDescent="0.3">
      <c r="A752" t="s">
        <v>749</v>
      </c>
    </row>
    <row r="753" spans="1:1" x14ac:dyDescent="0.3">
      <c r="A753" t="s">
        <v>750</v>
      </c>
    </row>
    <row r="754" spans="1:1" x14ac:dyDescent="0.3">
      <c r="A754" t="s">
        <v>751</v>
      </c>
    </row>
    <row r="755" spans="1:1" x14ac:dyDescent="0.3">
      <c r="A755" t="s">
        <v>752</v>
      </c>
    </row>
    <row r="756" spans="1:1" x14ac:dyDescent="0.3">
      <c r="A756" t="s">
        <v>753</v>
      </c>
    </row>
    <row r="757" spans="1:1" x14ac:dyDescent="0.3">
      <c r="A757" t="s">
        <v>754</v>
      </c>
    </row>
    <row r="758" spans="1:1" x14ac:dyDescent="0.3">
      <c r="A758" t="s">
        <v>755</v>
      </c>
    </row>
    <row r="759" spans="1:1" x14ac:dyDescent="0.3">
      <c r="A759" t="s">
        <v>756</v>
      </c>
    </row>
    <row r="760" spans="1:1" x14ac:dyDescent="0.3">
      <c r="A760" t="s">
        <v>757</v>
      </c>
    </row>
    <row r="761" spans="1:1" x14ac:dyDescent="0.3">
      <c r="A761" t="s">
        <v>758</v>
      </c>
    </row>
    <row r="762" spans="1:1" x14ac:dyDescent="0.3">
      <c r="A762" t="s">
        <v>759</v>
      </c>
    </row>
    <row r="763" spans="1:1" x14ac:dyDescent="0.3">
      <c r="A763" t="s">
        <v>760</v>
      </c>
    </row>
    <row r="764" spans="1:1" x14ac:dyDescent="0.3">
      <c r="A764" t="s">
        <v>761</v>
      </c>
    </row>
    <row r="765" spans="1:1" x14ac:dyDescent="0.3">
      <c r="A765" t="s">
        <v>762</v>
      </c>
    </row>
    <row r="766" spans="1:1" x14ac:dyDescent="0.3">
      <c r="A766" t="s">
        <v>763</v>
      </c>
    </row>
    <row r="767" spans="1:1" x14ac:dyDescent="0.3">
      <c r="A767" t="s">
        <v>764</v>
      </c>
    </row>
    <row r="768" spans="1:1" x14ac:dyDescent="0.3">
      <c r="A768" t="s">
        <v>765</v>
      </c>
    </row>
    <row r="769" spans="1:1" x14ac:dyDescent="0.3">
      <c r="A769" t="s">
        <v>766</v>
      </c>
    </row>
    <row r="770" spans="1:1" x14ac:dyDescent="0.3">
      <c r="A770" t="s">
        <v>767</v>
      </c>
    </row>
    <row r="771" spans="1:1" x14ac:dyDescent="0.3">
      <c r="A771" t="s">
        <v>768</v>
      </c>
    </row>
    <row r="772" spans="1:1" x14ac:dyDescent="0.3">
      <c r="A772" t="s">
        <v>769</v>
      </c>
    </row>
    <row r="773" spans="1:1" x14ac:dyDescent="0.3">
      <c r="A773" t="s">
        <v>770</v>
      </c>
    </row>
    <row r="774" spans="1:1" x14ac:dyDescent="0.3">
      <c r="A774" t="s">
        <v>771</v>
      </c>
    </row>
    <row r="775" spans="1:1" x14ac:dyDescent="0.3">
      <c r="A775" t="s">
        <v>772</v>
      </c>
    </row>
    <row r="776" spans="1:1" x14ac:dyDescent="0.3">
      <c r="A776" t="s">
        <v>773</v>
      </c>
    </row>
    <row r="777" spans="1:1" x14ac:dyDescent="0.3">
      <c r="A777" t="s">
        <v>774</v>
      </c>
    </row>
    <row r="778" spans="1:1" x14ac:dyDescent="0.3">
      <c r="A778" t="s">
        <v>775</v>
      </c>
    </row>
    <row r="779" spans="1:1" x14ac:dyDescent="0.3">
      <c r="A779" t="s">
        <v>776</v>
      </c>
    </row>
    <row r="780" spans="1:1" x14ac:dyDescent="0.3">
      <c r="A780" t="s">
        <v>777</v>
      </c>
    </row>
    <row r="781" spans="1:1" x14ac:dyDescent="0.3">
      <c r="A781" t="s">
        <v>778</v>
      </c>
    </row>
    <row r="782" spans="1:1" x14ac:dyDescent="0.3">
      <c r="A782" t="s">
        <v>779</v>
      </c>
    </row>
    <row r="783" spans="1:1" x14ac:dyDescent="0.3">
      <c r="A783" t="s">
        <v>780</v>
      </c>
    </row>
    <row r="784" spans="1:1" x14ac:dyDescent="0.3">
      <c r="A784" t="s">
        <v>781</v>
      </c>
    </row>
    <row r="785" spans="1:1" x14ac:dyDescent="0.3">
      <c r="A785" t="s">
        <v>782</v>
      </c>
    </row>
    <row r="786" spans="1:1" x14ac:dyDescent="0.3">
      <c r="A786" t="s">
        <v>783</v>
      </c>
    </row>
    <row r="787" spans="1:1" x14ac:dyDescent="0.3">
      <c r="A787" t="s">
        <v>784</v>
      </c>
    </row>
    <row r="788" spans="1:1" x14ac:dyDescent="0.3">
      <c r="A788" t="s">
        <v>785</v>
      </c>
    </row>
    <row r="789" spans="1:1" x14ac:dyDescent="0.3">
      <c r="A789" t="s">
        <v>786</v>
      </c>
    </row>
    <row r="790" spans="1:1" x14ac:dyDescent="0.3">
      <c r="A790" t="s">
        <v>787</v>
      </c>
    </row>
    <row r="791" spans="1:1" x14ac:dyDescent="0.3">
      <c r="A791" t="s">
        <v>788</v>
      </c>
    </row>
    <row r="792" spans="1:1" x14ac:dyDescent="0.3">
      <c r="A792" t="s">
        <v>789</v>
      </c>
    </row>
    <row r="793" spans="1:1" x14ac:dyDescent="0.3">
      <c r="A793" t="s">
        <v>790</v>
      </c>
    </row>
    <row r="794" spans="1:1" x14ac:dyDescent="0.3">
      <c r="A794" t="s">
        <v>791</v>
      </c>
    </row>
    <row r="795" spans="1:1" x14ac:dyDescent="0.3">
      <c r="A795" t="s">
        <v>792</v>
      </c>
    </row>
    <row r="796" spans="1:1" x14ac:dyDescent="0.3">
      <c r="A796" t="s">
        <v>793</v>
      </c>
    </row>
    <row r="797" spans="1:1" x14ac:dyDescent="0.3">
      <c r="A797" t="s">
        <v>794</v>
      </c>
    </row>
    <row r="798" spans="1:1" x14ac:dyDescent="0.3">
      <c r="A798" t="s">
        <v>795</v>
      </c>
    </row>
    <row r="799" spans="1:1" x14ac:dyDescent="0.3">
      <c r="A799" t="s">
        <v>796</v>
      </c>
    </row>
    <row r="800" spans="1:1" x14ac:dyDescent="0.3">
      <c r="A800" t="s">
        <v>797</v>
      </c>
    </row>
    <row r="801" spans="1:1" x14ac:dyDescent="0.3">
      <c r="A801" t="s">
        <v>798</v>
      </c>
    </row>
    <row r="802" spans="1:1" x14ac:dyDescent="0.3">
      <c r="A802" t="s">
        <v>799</v>
      </c>
    </row>
    <row r="803" spans="1:1" x14ac:dyDescent="0.3">
      <c r="A803" t="s">
        <v>800</v>
      </c>
    </row>
    <row r="804" spans="1:1" x14ac:dyDescent="0.3">
      <c r="A804" t="s">
        <v>801</v>
      </c>
    </row>
    <row r="805" spans="1:1" x14ac:dyDescent="0.3">
      <c r="A805" t="s">
        <v>802</v>
      </c>
    </row>
    <row r="806" spans="1:1" x14ac:dyDescent="0.3">
      <c r="A806" t="s">
        <v>803</v>
      </c>
    </row>
    <row r="807" spans="1:1" x14ac:dyDescent="0.3">
      <c r="A807" t="s">
        <v>804</v>
      </c>
    </row>
    <row r="808" spans="1:1" x14ac:dyDescent="0.3">
      <c r="A808" t="s">
        <v>805</v>
      </c>
    </row>
    <row r="809" spans="1:1" x14ac:dyDescent="0.3">
      <c r="A809" t="s">
        <v>806</v>
      </c>
    </row>
    <row r="810" spans="1:1" x14ac:dyDescent="0.3">
      <c r="A810" t="s">
        <v>807</v>
      </c>
    </row>
    <row r="811" spans="1:1" x14ac:dyDescent="0.3">
      <c r="A811" t="s">
        <v>808</v>
      </c>
    </row>
    <row r="812" spans="1:1" x14ac:dyDescent="0.3">
      <c r="A812" t="s">
        <v>809</v>
      </c>
    </row>
    <row r="813" spans="1:1" x14ac:dyDescent="0.3">
      <c r="A813" t="s">
        <v>810</v>
      </c>
    </row>
    <row r="814" spans="1:1" x14ac:dyDescent="0.3">
      <c r="A814" t="s">
        <v>811</v>
      </c>
    </row>
    <row r="815" spans="1:1" x14ac:dyDescent="0.3">
      <c r="A815" t="s">
        <v>812</v>
      </c>
    </row>
    <row r="816" spans="1:1" x14ac:dyDescent="0.3">
      <c r="A816" t="s">
        <v>813</v>
      </c>
    </row>
    <row r="817" spans="1:1" x14ac:dyDescent="0.3">
      <c r="A817" t="s">
        <v>814</v>
      </c>
    </row>
    <row r="818" spans="1:1" x14ac:dyDescent="0.3">
      <c r="A818" t="s">
        <v>815</v>
      </c>
    </row>
    <row r="819" spans="1:1" x14ac:dyDescent="0.3">
      <c r="A819" t="s">
        <v>816</v>
      </c>
    </row>
    <row r="820" spans="1:1" x14ac:dyDescent="0.3">
      <c r="A820" t="s">
        <v>817</v>
      </c>
    </row>
    <row r="821" spans="1:1" x14ac:dyDescent="0.3">
      <c r="A821" t="s">
        <v>818</v>
      </c>
    </row>
    <row r="822" spans="1:1" x14ac:dyDescent="0.3">
      <c r="A822" t="s">
        <v>819</v>
      </c>
    </row>
    <row r="823" spans="1:1" x14ac:dyDescent="0.3">
      <c r="A823" t="s">
        <v>820</v>
      </c>
    </row>
    <row r="824" spans="1:1" x14ac:dyDescent="0.3">
      <c r="A824" t="s">
        <v>821</v>
      </c>
    </row>
    <row r="825" spans="1:1" x14ac:dyDescent="0.3">
      <c r="A825" t="s">
        <v>822</v>
      </c>
    </row>
    <row r="826" spans="1:1" x14ac:dyDescent="0.3">
      <c r="A826" t="s">
        <v>823</v>
      </c>
    </row>
    <row r="827" spans="1:1" x14ac:dyDescent="0.3">
      <c r="A827" t="s">
        <v>824</v>
      </c>
    </row>
    <row r="828" spans="1:1" x14ac:dyDescent="0.3">
      <c r="A828" t="s">
        <v>825</v>
      </c>
    </row>
    <row r="829" spans="1:1" x14ac:dyDescent="0.3">
      <c r="A829" t="s">
        <v>826</v>
      </c>
    </row>
    <row r="830" spans="1:1" x14ac:dyDescent="0.3">
      <c r="A830" t="s">
        <v>827</v>
      </c>
    </row>
    <row r="831" spans="1:1" x14ac:dyDescent="0.3">
      <c r="A831" t="s">
        <v>828</v>
      </c>
    </row>
    <row r="832" spans="1:1" x14ac:dyDescent="0.3">
      <c r="A832" t="s">
        <v>829</v>
      </c>
    </row>
    <row r="833" spans="1:1" x14ac:dyDescent="0.3">
      <c r="A833" t="s">
        <v>830</v>
      </c>
    </row>
    <row r="834" spans="1:1" x14ac:dyDescent="0.3">
      <c r="A834" t="s">
        <v>831</v>
      </c>
    </row>
    <row r="835" spans="1:1" x14ac:dyDescent="0.3">
      <c r="A835" t="s">
        <v>832</v>
      </c>
    </row>
    <row r="836" spans="1:1" x14ac:dyDescent="0.3">
      <c r="A836" t="s">
        <v>833</v>
      </c>
    </row>
    <row r="837" spans="1:1" x14ac:dyDescent="0.3">
      <c r="A837" t="s">
        <v>834</v>
      </c>
    </row>
    <row r="838" spans="1:1" x14ac:dyDescent="0.3">
      <c r="A838" t="s">
        <v>835</v>
      </c>
    </row>
    <row r="839" spans="1:1" x14ac:dyDescent="0.3">
      <c r="A839" t="s">
        <v>836</v>
      </c>
    </row>
    <row r="840" spans="1:1" x14ac:dyDescent="0.3">
      <c r="A840" t="s">
        <v>837</v>
      </c>
    </row>
    <row r="841" spans="1:1" x14ac:dyDescent="0.3">
      <c r="A841" t="s">
        <v>838</v>
      </c>
    </row>
    <row r="842" spans="1:1" x14ac:dyDescent="0.3">
      <c r="A842" t="s">
        <v>839</v>
      </c>
    </row>
    <row r="843" spans="1:1" x14ac:dyDescent="0.3">
      <c r="A843" t="s">
        <v>840</v>
      </c>
    </row>
    <row r="844" spans="1:1" x14ac:dyDescent="0.3">
      <c r="A844" t="s">
        <v>841</v>
      </c>
    </row>
    <row r="845" spans="1:1" x14ac:dyDescent="0.3">
      <c r="A845" t="s">
        <v>842</v>
      </c>
    </row>
    <row r="846" spans="1:1" x14ac:dyDescent="0.3">
      <c r="A846" t="s">
        <v>843</v>
      </c>
    </row>
    <row r="847" spans="1:1" x14ac:dyDescent="0.3">
      <c r="A847" t="s">
        <v>844</v>
      </c>
    </row>
    <row r="848" spans="1:1" x14ac:dyDescent="0.3">
      <c r="A848" t="s">
        <v>845</v>
      </c>
    </row>
    <row r="849" spans="1:1" x14ac:dyDescent="0.3">
      <c r="A849" t="s">
        <v>846</v>
      </c>
    </row>
    <row r="850" spans="1:1" x14ac:dyDescent="0.3">
      <c r="A850" t="s">
        <v>847</v>
      </c>
    </row>
    <row r="851" spans="1:1" x14ac:dyDescent="0.3">
      <c r="A851" t="s">
        <v>848</v>
      </c>
    </row>
    <row r="852" spans="1:1" x14ac:dyDescent="0.3">
      <c r="A852" t="s">
        <v>849</v>
      </c>
    </row>
    <row r="853" spans="1:1" x14ac:dyDescent="0.3">
      <c r="A853" t="s">
        <v>850</v>
      </c>
    </row>
    <row r="854" spans="1:1" x14ac:dyDescent="0.3">
      <c r="A854" t="s">
        <v>851</v>
      </c>
    </row>
    <row r="855" spans="1:1" x14ac:dyDescent="0.3">
      <c r="A855" t="s">
        <v>21</v>
      </c>
    </row>
    <row r="856" spans="1:1" x14ac:dyDescent="0.3">
      <c r="A856" t="s">
        <v>852</v>
      </c>
    </row>
    <row r="857" spans="1:1" x14ac:dyDescent="0.3">
      <c r="A857" t="s">
        <v>853</v>
      </c>
    </row>
    <row r="858" spans="1:1" x14ac:dyDescent="0.3">
      <c r="A858" t="s">
        <v>854</v>
      </c>
    </row>
    <row r="859" spans="1:1" x14ac:dyDescent="0.3">
      <c r="A859" t="s">
        <v>855</v>
      </c>
    </row>
    <row r="860" spans="1:1" x14ac:dyDescent="0.3">
      <c r="A860" t="s">
        <v>856</v>
      </c>
    </row>
    <row r="861" spans="1:1" x14ac:dyDescent="0.3">
      <c r="A861" t="s">
        <v>857</v>
      </c>
    </row>
    <row r="862" spans="1:1" x14ac:dyDescent="0.3">
      <c r="A862" t="s">
        <v>858</v>
      </c>
    </row>
    <row r="863" spans="1:1" x14ac:dyDescent="0.3">
      <c r="A863" t="s">
        <v>859</v>
      </c>
    </row>
    <row r="864" spans="1:1" x14ac:dyDescent="0.3">
      <c r="A864" t="s">
        <v>860</v>
      </c>
    </row>
    <row r="865" spans="1:1" x14ac:dyDescent="0.3">
      <c r="A865" t="s">
        <v>861</v>
      </c>
    </row>
    <row r="866" spans="1:1" x14ac:dyDescent="0.3">
      <c r="A866" t="s">
        <v>862</v>
      </c>
    </row>
    <row r="867" spans="1:1" x14ac:dyDescent="0.3">
      <c r="A867" t="s">
        <v>863</v>
      </c>
    </row>
    <row r="868" spans="1:1" x14ac:dyDescent="0.3">
      <c r="A868" t="s">
        <v>864</v>
      </c>
    </row>
    <row r="869" spans="1:1" x14ac:dyDescent="0.3">
      <c r="A869" t="s">
        <v>865</v>
      </c>
    </row>
    <row r="870" spans="1:1" x14ac:dyDescent="0.3">
      <c r="A870" t="s">
        <v>866</v>
      </c>
    </row>
    <row r="871" spans="1:1" x14ac:dyDescent="0.3">
      <c r="A871" t="s">
        <v>867</v>
      </c>
    </row>
    <row r="872" spans="1:1" x14ac:dyDescent="0.3">
      <c r="A872" t="s">
        <v>868</v>
      </c>
    </row>
    <row r="873" spans="1:1" x14ac:dyDescent="0.3">
      <c r="A873" t="s">
        <v>869</v>
      </c>
    </row>
    <row r="874" spans="1:1" x14ac:dyDescent="0.3">
      <c r="A874" t="s">
        <v>870</v>
      </c>
    </row>
    <row r="875" spans="1:1" x14ac:dyDescent="0.3">
      <c r="A875" t="s">
        <v>871</v>
      </c>
    </row>
    <row r="876" spans="1:1" x14ac:dyDescent="0.3">
      <c r="A876" t="s">
        <v>872</v>
      </c>
    </row>
    <row r="877" spans="1:1" x14ac:dyDescent="0.3">
      <c r="A877" t="s">
        <v>873</v>
      </c>
    </row>
    <row r="878" spans="1:1" x14ac:dyDescent="0.3">
      <c r="A878" t="s">
        <v>874</v>
      </c>
    </row>
    <row r="879" spans="1:1" x14ac:dyDescent="0.3">
      <c r="A879" t="s">
        <v>875</v>
      </c>
    </row>
    <row r="880" spans="1:1" x14ac:dyDescent="0.3">
      <c r="A880" t="s">
        <v>876</v>
      </c>
    </row>
    <row r="881" spans="1:1" x14ac:dyDescent="0.3">
      <c r="A881" t="s">
        <v>877</v>
      </c>
    </row>
    <row r="882" spans="1:1" x14ac:dyDescent="0.3">
      <c r="A882" t="s">
        <v>878</v>
      </c>
    </row>
    <row r="883" spans="1:1" x14ac:dyDescent="0.3">
      <c r="A883" t="s">
        <v>879</v>
      </c>
    </row>
    <row r="884" spans="1:1" x14ac:dyDescent="0.3">
      <c r="A884" t="s">
        <v>880</v>
      </c>
    </row>
    <row r="885" spans="1:1" x14ac:dyDescent="0.3">
      <c r="A885" t="s">
        <v>881</v>
      </c>
    </row>
    <row r="886" spans="1:1" x14ac:dyDescent="0.3">
      <c r="A886" t="s">
        <v>882</v>
      </c>
    </row>
    <row r="887" spans="1:1" x14ac:dyDescent="0.3">
      <c r="A887" t="s">
        <v>883</v>
      </c>
    </row>
    <row r="888" spans="1:1" x14ac:dyDescent="0.3">
      <c r="A888" t="s">
        <v>884</v>
      </c>
    </row>
    <row r="889" spans="1:1" x14ac:dyDescent="0.3">
      <c r="A889" t="s">
        <v>885</v>
      </c>
    </row>
    <row r="890" spans="1:1" x14ac:dyDescent="0.3">
      <c r="A890" t="s">
        <v>886</v>
      </c>
    </row>
    <row r="891" spans="1:1" x14ac:dyDescent="0.3">
      <c r="A891" t="s">
        <v>887</v>
      </c>
    </row>
    <row r="892" spans="1:1" x14ac:dyDescent="0.3">
      <c r="A892" t="s">
        <v>888</v>
      </c>
    </row>
    <row r="893" spans="1:1" x14ac:dyDescent="0.3">
      <c r="A893" t="s">
        <v>889</v>
      </c>
    </row>
    <row r="894" spans="1:1" x14ac:dyDescent="0.3">
      <c r="A894" t="s">
        <v>890</v>
      </c>
    </row>
    <row r="895" spans="1:1" x14ac:dyDescent="0.3">
      <c r="A895" t="s">
        <v>891</v>
      </c>
    </row>
    <row r="896" spans="1:1" x14ac:dyDescent="0.3">
      <c r="A896" t="s">
        <v>892</v>
      </c>
    </row>
    <row r="897" spans="1:1" x14ac:dyDescent="0.3">
      <c r="A897" t="s">
        <v>893</v>
      </c>
    </row>
    <row r="898" spans="1:1" x14ac:dyDescent="0.3">
      <c r="A898" t="s">
        <v>894</v>
      </c>
    </row>
    <row r="899" spans="1:1" x14ac:dyDescent="0.3">
      <c r="A899" t="s">
        <v>895</v>
      </c>
    </row>
    <row r="900" spans="1:1" x14ac:dyDescent="0.3">
      <c r="A900" t="s">
        <v>896</v>
      </c>
    </row>
    <row r="901" spans="1:1" x14ac:dyDescent="0.3">
      <c r="A901" t="s">
        <v>897</v>
      </c>
    </row>
    <row r="902" spans="1:1" x14ac:dyDescent="0.3">
      <c r="A902" t="s">
        <v>674</v>
      </c>
    </row>
    <row r="903" spans="1:1" x14ac:dyDescent="0.3">
      <c r="A903" t="s">
        <v>898</v>
      </c>
    </row>
    <row r="904" spans="1:1" x14ac:dyDescent="0.3">
      <c r="A904" t="s">
        <v>899</v>
      </c>
    </row>
    <row r="905" spans="1:1" x14ac:dyDescent="0.3">
      <c r="A905" t="s">
        <v>900</v>
      </c>
    </row>
    <row r="906" spans="1:1" x14ac:dyDescent="0.3">
      <c r="A906" t="s">
        <v>901</v>
      </c>
    </row>
    <row r="907" spans="1:1" x14ac:dyDescent="0.3">
      <c r="A907" t="s">
        <v>902</v>
      </c>
    </row>
    <row r="908" spans="1:1" x14ac:dyDescent="0.3">
      <c r="A908" t="s">
        <v>903</v>
      </c>
    </row>
    <row r="909" spans="1:1" x14ac:dyDescent="0.3">
      <c r="A909" t="s">
        <v>904</v>
      </c>
    </row>
    <row r="910" spans="1:1" x14ac:dyDescent="0.3">
      <c r="A910" t="s">
        <v>905</v>
      </c>
    </row>
    <row r="911" spans="1:1" x14ac:dyDescent="0.3">
      <c r="A911" t="s">
        <v>906</v>
      </c>
    </row>
    <row r="912" spans="1:1" x14ac:dyDescent="0.3">
      <c r="A912" t="s">
        <v>907</v>
      </c>
    </row>
    <row r="913" spans="1:1" x14ac:dyDescent="0.3">
      <c r="A913" t="s">
        <v>908</v>
      </c>
    </row>
    <row r="914" spans="1:1" x14ac:dyDescent="0.3">
      <c r="A914" t="s">
        <v>909</v>
      </c>
    </row>
    <row r="915" spans="1:1" x14ac:dyDescent="0.3">
      <c r="A915" t="s">
        <v>910</v>
      </c>
    </row>
    <row r="916" spans="1:1" x14ac:dyDescent="0.3">
      <c r="A916" t="s">
        <v>911</v>
      </c>
    </row>
    <row r="917" spans="1:1" x14ac:dyDescent="0.3">
      <c r="A917" t="s">
        <v>912</v>
      </c>
    </row>
    <row r="918" spans="1:1" x14ac:dyDescent="0.3">
      <c r="A918" t="s">
        <v>913</v>
      </c>
    </row>
    <row r="919" spans="1:1" x14ac:dyDescent="0.3">
      <c r="A919" t="s">
        <v>914</v>
      </c>
    </row>
    <row r="920" spans="1:1" x14ac:dyDescent="0.3">
      <c r="A920" t="s">
        <v>915</v>
      </c>
    </row>
    <row r="921" spans="1:1" x14ac:dyDescent="0.3">
      <c r="A921" t="s">
        <v>916</v>
      </c>
    </row>
    <row r="922" spans="1:1" x14ac:dyDescent="0.3">
      <c r="A922" t="s">
        <v>917</v>
      </c>
    </row>
    <row r="923" spans="1:1" x14ac:dyDescent="0.3">
      <c r="A923" t="s">
        <v>918</v>
      </c>
    </row>
    <row r="924" spans="1:1" x14ac:dyDescent="0.3">
      <c r="A924" t="s">
        <v>919</v>
      </c>
    </row>
    <row r="925" spans="1:1" x14ac:dyDescent="0.3">
      <c r="A925" t="s">
        <v>920</v>
      </c>
    </row>
    <row r="926" spans="1:1" x14ac:dyDescent="0.3">
      <c r="A926" t="s">
        <v>921</v>
      </c>
    </row>
    <row r="927" spans="1:1" x14ac:dyDescent="0.3">
      <c r="A927" t="s">
        <v>922</v>
      </c>
    </row>
    <row r="928" spans="1:1" x14ac:dyDescent="0.3">
      <c r="A928" t="s">
        <v>923</v>
      </c>
    </row>
    <row r="929" spans="1:1" x14ac:dyDescent="0.3">
      <c r="A929" t="s">
        <v>924</v>
      </c>
    </row>
    <row r="930" spans="1:1" x14ac:dyDescent="0.3">
      <c r="A930" t="s">
        <v>925</v>
      </c>
    </row>
    <row r="931" spans="1:1" x14ac:dyDescent="0.3">
      <c r="A931" t="s">
        <v>926</v>
      </c>
    </row>
    <row r="932" spans="1:1" x14ac:dyDescent="0.3">
      <c r="A932" t="s">
        <v>927</v>
      </c>
    </row>
    <row r="933" spans="1:1" x14ac:dyDescent="0.3">
      <c r="A933" t="s">
        <v>928</v>
      </c>
    </row>
    <row r="934" spans="1:1" x14ac:dyDescent="0.3">
      <c r="A934" t="s">
        <v>929</v>
      </c>
    </row>
    <row r="935" spans="1:1" x14ac:dyDescent="0.3">
      <c r="A935" t="s">
        <v>930</v>
      </c>
    </row>
    <row r="936" spans="1:1" x14ac:dyDescent="0.3">
      <c r="A936" t="s">
        <v>931</v>
      </c>
    </row>
    <row r="937" spans="1:1" x14ac:dyDescent="0.3">
      <c r="A937" t="s">
        <v>932</v>
      </c>
    </row>
    <row r="938" spans="1:1" x14ac:dyDescent="0.3">
      <c r="A938" t="s">
        <v>933</v>
      </c>
    </row>
    <row r="939" spans="1:1" x14ac:dyDescent="0.3">
      <c r="A939" t="s">
        <v>2</v>
      </c>
    </row>
    <row r="940" spans="1:1" x14ac:dyDescent="0.3">
      <c r="A940" t="s">
        <v>934</v>
      </c>
    </row>
    <row r="941" spans="1:1" x14ac:dyDescent="0.3">
      <c r="A941" t="s">
        <v>935</v>
      </c>
    </row>
    <row r="942" spans="1:1" x14ac:dyDescent="0.3">
      <c r="A942" t="s">
        <v>936</v>
      </c>
    </row>
    <row r="943" spans="1:1" x14ac:dyDescent="0.3">
      <c r="A943" t="s">
        <v>937</v>
      </c>
    </row>
    <row r="944" spans="1:1" x14ac:dyDescent="0.3">
      <c r="A944" t="s">
        <v>938</v>
      </c>
    </row>
    <row r="945" spans="1:1" x14ac:dyDescent="0.3">
      <c r="A945" t="s">
        <v>939</v>
      </c>
    </row>
    <row r="946" spans="1:1" x14ac:dyDescent="0.3">
      <c r="A946" t="s">
        <v>169</v>
      </c>
    </row>
    <row r="947" spans="1:1" x14ac:dyDescent="0.3">
      <c r="A947" t="s">
        <v>940</v>
      </c>
    </row>
    <row r="948" spans="1:1" x14ac:dyDescent="0.3">
      <c r="A948" t="s">
        <v>941</v>
      </c>
    </row>
    <row r="949" spans="1:1" x14ac:dyDescent="0.3">
      <c r="A949" t="s">
        <v>942</v>
      </c>
    </row>
    <row r="950" spans="1:1" x14ac:dyDescent="0.3">
      <c r="A950" t="s">
        <v>943</v>
      </c>
    </row>
    <row r="951" spans="1:1" x14ac:dyDescent="0.3">
      <c r="A951" t="s">
        <v>944</v>
      </c>
    </row>
    <row r="952" spans="1:1" x14ac:dyDescent="0.3">
      <c r="A952" t="s">
        <v>945</v>
      </c>
    </row>
    <row r="953" spans="1:1" x14ac:dyDescent="0.3">
      <c r="A953" t="s">
        <v>946</v>
      </c>
    </row>
    <row r="954" spans="1:1" x14ac:dyDescent="0.3">
      <c r="A954" t="s">
        <v>947</v>
      </c>
    </row>
    <row r="955" spans="1:1" x14ac:dyDescent="0.3">
      <c r="A955" t="s">
        <v>948</v>
      </c>
    </row>
    <row r="956" spans="1:1" x14ac:dyDescent="0.3">
      <c r="A956" t="s">
        <v>949</v>
      </c>
    </row>
    <row r="957" spans="1:1" x14ac:dyDescent="0.3">
      <c r="A957" t="s">
        <v>950</v>
      </c>
    </row>
    <row r="958" spans="1:1" x14ac:dyDescent="0.3">
      <c r="A958" t="s">
        <v>951</v>
      </c>
    </row>
    <row r="959" spans="1:1" x14ac:dyDescent="0.3">
      <c r="A959" t="s">
        <v>952</v>
      </c>
    </row>
    <row r="960" spans="1:1" x14ac:dyDescent="0.3">
      <c r="A960" t="s">
        <v>953</v>
      </c>
    </row>
    <row r="961" spans="1:1" x14ac:dyDescent="0.3">
      <c r="A961" t="s">
        <v>954</v>
      </c>
    </row>
    <row r="962" spans="1:1" x14ac:dyDescent="0.3">
      <c r="A962" t="s">
        <v>955</v>
      </c>
    </row>
    <row r="963" spans="1:1" x14ac:dyDescent="0.3">
      <c r="A963" t="s">
        <v>956</v>
      </c>
    </row>
    <row r="964" spans="1:1" x14ac:dyDescent="0.3">
      <c r="A964" t="s">
        <v>957</v>
      </c>
    </row>
    <row r="965" spans="1:1" x14ac:dyDescent="0.3">
      <c r="A965" t="s">
        <v>958</v>
      </c>
    </row>
    <row r="966" spans="1:1" x14ac:dyDescent="0.3">
      <c r="A966" t="s">
        <v>959</v>
      </c>
    </row>
    <row r="967" spans="1:1" x14ac:dyDescent="0.3">
      <c r="A967" t="s">
        <v>960</v>
      </c>
    </row>
    <row r="968" spans="1:1" x14ac:dyDescent="0.3">
      <c r="A968" t="s">
        <v>961</v>
      </c>
    </row>
    <row r="969" spans="1:1" x14ac:dyDescent="0.3">
      <c r="A969" t="s">
        <v>962</v>
      </c>
    </row>
    <row r="970" spans="1:1" x14ac:dyDescent="0.3">
      <c r="A970" t="s">
        <v>963</v>
      </c>
    </row>
    <row r="971" spans="1:1" x14ac:dyDescent="0.3">
      <c r="A971" t="s">
        <v>964</v>
      </c>
    </row>
    <row r="972" spans="1:1" x14ac:dyDescent="0.3">
      <c r="A972" t="s">
        <v>965</v>
      </c>
    </row>
    <row r="973" spans="1:1" x14ac:dyDescent="0.3">
      <c r="A973" t="s">
        <v>966</v>
      </c>
    </row>
    <row r="974" spans="1:1" x14ac:dyDescent="0.3">
      <c r="A974" t="s">
        <v>967</v>
      </c>
    </row>
    <row r="975" spans="1:1" x14ac:dyDescent="0.3">
      <c r="A975" t="s">
        <v>968</v>
      </c>
    </row>
    <row r="976" spans="1:1" x14ac:dyDescent="0.3">
      <c r="A976" t="s">
        <v>969</v>
      </c>
    </row>
    <row r="977" spans="1:1" x14ac:dyDescent="0.3">
      <c r="A977" t="s">
        <v>970</v>
      </c>
    </row>
    <row r="978" spans="1:1" x14ac:dyDescent="0.3">
      <c r="A978" t="s">
        <v>971</v>
      </c>
    </row>
    <row r="979" spans="1:1" x14ac:dyDescent="0.3">
      <c r="A979" t="s">
        <v>972</v>
      </c>
    </row>
    <row r="980" spans="1:1" x14ac:dyDescent="0.3">
      <c r="A980" t="s">
        <v>973</v>
      </c>
    </row>
    <row r="981" spans="1:1" x14ac:dyDescent="0.3">
      <c r="A981" t="s">
        <v>974</v>
      </c>
    </row>
    <row r="982" spans="1:1" x14ac:dyDescent="0.3">
      <c r="A982" t="s">
        <v>975</v>
      </c>
    </row>
    <row r="983" spans="1:1" x14ac:dyDescent="0.3">
      <c r="A983" t="s">
        <v>976</v>
      </c>
    </row>
    <row r="984" spans="1:1" x14ac:dyDescent="0.3">
      <c r="A984" t="s">
        <v>977</v>
      </c>
    </row>
    <row r="985" spans="1:1" x14ac:dyDescent="0.3">
      <c r="A985" t="s">
        <v>978</v>
      </c>
    </row>
    <row r="986" spans="1:1" x14ac:dyDescent="0.3">
      <c r="A986" t="s">
        <v>979</v>
      </c>
    </row>
    <row r="987" spans="1:1" x14ac:dyDescent="0.3">
      <c r="A987" t="s">
        <v>980</v>
      </c>
    </row>
    <row r="988" spans="1:1" x14ac:dyDescent="0.3">
      <c r="A988" t="s">
        <v>981</v>
      </c>
    </row>
    <row r="989" spans="1:1" x14ac:dyDescent="0.3">
      <c r="A989" t="s">
        <v>982</v>
      </c>
    </row>
    <row r="990" spans="1:1" x14ac:dyDescent="0.3">
      <c r="A990" t="s">
        <v>983</v>
      </c>
    </row>
    <row r="991" spans="1:1" x14ac:dyDescent="0.3">
      <c r="A991" t="s">
        <v>984</v>
      </c>
    </row>
    <row r="992" spans="1:1" x14ac:dyDescent="0.3">
      <c r="A992" t="s">
        <v>985</v>
      </c>
    </row>
    <row r="993" spans="1:1" x14ac:dyDescent="0.3">
      <c r="A993" t="s">
        <v>986</v>
      </c>
    </row>
    <row r="994" spans="1:1" x14ac:dyDescent="0.3">
      <c r="A994" t="s">
        <v>987</v>
      </c>
    </row>
    <row r="995" spans="1:1" x14ac:dyDescent="0.3">
      <c r="A995" t="s">
        <v>988</v>
      </c>
    </row>
    <row r="996" spans="1:1" x14ac:dyDescent="0.3">
      <c r="A996" t="s">
        <v>989</v>
      </c>
    </row>
    <row r="997" spans="1:1" x14ac:dyDescent="0.3">
      <c r="A997" t="s">
        <v>990</v>
      </c>
    </row>
    <row r="998" spans="1:1" x14ac:dyDescent="0.3">
      <c r="A998" t="s">
        <v>991</v>
      </c>
    </row>
    <row r="999" spans="1:1" x14ac:dyDescent="0.3">
      <c r="A999" t="s">
        <v>992</v>
      </c>
    </row>
    <row r="1000" spans="1:1" x14ac:dyDescent="0.3">
      <c r="A1000" t="s">
        <v>993</v>
      </c>
    </row>
    <row r="1001" spans="1:1" x14ac:dyDescent="0.3">
      <c r="A1001" t="s">
        <v>994</v>
      </c>
    </row>
    <row r="1002" spans="1:1" x14ac:dyDescent="0.3">
      <c r="A1002" t="s">
        <v>995</v>
      </c>
    </row>
    <row r="1003" spans="1:1" x14ac:dyDescent="0.3">
      <c r="A1003" t="s">
        <v>996</v>
      </c>
    </row>
    <row r="1004" spans="1:1" x14ac:dyDescent="0.3">
      <c r="A1004" t="s">
        <v>352</v>
      </c>
    </row>
    <row r="1005" spans="1:1" x14ac:dyDescent="0.3">
      <c r="A1005" t="s">
        <v>997</v>
      </c>
    </row>
    <row r="1006" spans="1:1" x14ac:dyDescent="0.3">
      <c r="A1006" t="s">
        <v>998</v>
      </c>
    </row>
    <row r="1007" spans="1:1" x14ac:dyDescent="0.3">
      <c r="A1007" t="s">
        <v>999</v>
      </c>
    </row>
    <row r="1008" spans="1:1" x14ac:dyDescent="0.3">
      <c r="A1008" t="s">
        <v>1000</v>
      </c>
    </row>
    <row r="1009" spans="1:1" x14ac:dyDescent="0.3">
      <c r="A1009" t="s">
        <v>1001</v>
      </c>
    </row>
    <row r="1010" spans="1:1" x14ac:dyDescent="0.3">
      <c r="A1010" t="s">
        <v>1002</v>
      </c>
    </row>
    <row r="1011" spans="1:1" x14ac:dyDescent="0.3">
      <c r="A1011" t="s">
        <v>1003</v>
      </c>
    </row>
    <row r="1012" spans="1:1" x14ac:dyDescent="0.3">
      <c r="A1012" t="s">
        <v>1004</v>
      </c>
    </row>
    <row r="1013" spans="1:1" x14ac:dyDescent="0.3">
      <c r="A1013" t="s">
        <v>1005</v>
      </c>
    </row>
    <row r="1014" spans="1:1" x14ac:dyDescent="0.3">
      <c r="A1014" t="s">
        <v>1006</v>
      </c>
    </row>
    <row r="1015" spans="1:1" x14ac:dyDescent="0.3">
      <c r="A1015" t="s">
        <v>1007</v>
      </c>
    </row>
    <row r="1016" spans="1:1" x14ac:dyDescent="0.3">
      <c r="A1016" t="s">
        <v>1008</v>
      </c>
    </row>
    <row r="1017" spans="1:1" x14ac:dyDescent="0.3">
      <c r="A1017" t="s">
        <v>1009</v>
      </c>
    </row>
    <row r="1018" spans="1:1" x14ac:dyDescent="0.3">
      <c r="A1018" t="s">
        <v>1010</v>
      </c>
    </row>
    <row r="1019" spans="1:1" x14ac:dyDescent="0.3">
      <c r="A1019" t="s">
        <v>1011</v>
      </c>
    </row>
    <row r="1020" spans="1:1" x14ac:dyDescent="0.3">
      <c r="A1020" t="s">
        <v>1012</v>
      </c>
    </row>
    <row r="1021" spans="1:1" x14ac:dyDescent="0.3">
      <c r="A1021" t="s">
        <v>1013</v>
      </c>
    </row>
    <row r="1022" spans="1:1" x14ac:dyDescent="0.3">
      <c r="A1022" t="s">
        <v>1014</v>
      </c>
    </row>
    <row r="1023" spans="1:1" x14ac:dyDescent="0.3">
      <c r="A1023" t="s">
        <v>1015</v>
      </c>
    </row>
    <row r="1024" spans="1:1" x14ac:dyDescent="0.3">
      <c r="A1024" t="s">
        <v>1016</v>
      </c>
    </row>
    <row r="1025" spans="1:1" x14ac:dyDescent="0.3">
      <c r="A1025" t="s">
        <v>1017</v>
      </c>
    </row>
    <row r="1026" spans="1:1" x14ac:dyDescent="0.3">
      <c r="A1026" t="s">
        <v>1018</v>
      </c>
    </row>
    <row r="1027" spans="1:1" x14ac:dyDescent="0.3">
      <c r="A1027" t="s">
        <v>1019</v>
      </c>
    </row>
    <row r="1028" spans="1:1" x14ac:dyDescent="0.3">
      <c r="A1028" t="s">
        <v>1020</v>
      </c>
    </row>
    <row r="1029" spans="1:1" x14ac:dyDescent="0.3">
      <c r="A1029" t="s">
        <v>1021</v>
      </c>
    </row>
    <row r="1030" spans="1:1" x14ac:dyDescent="0.3">
      <c r="A1030" t="s">
        <v>1022</v>
      </c>
    </row>
    <row r="1031" spans="1:1" x14ac:dyDescent="0.3">
      <c r="A1031" t="s">
        <v>1023</v>
      </c>
    </row>
    <row r="1032" spans="1:1" x14ac:dyDescent="0.3">
      <c r="A1032" t="s">
        <v>1024</v>
      </c>
    </row>
    <row r="1033" spans="1:1" x14ac:dyDescent="0.3">
      <c r="A1033" t="s">
        <v>1025</v>
      </c>
    </row>
    <row r="1034" spans="1:1" x14ac:dyDescent="0.3">
      <c r="A1034" t="s">
        <v>1026</v>
      </c>
    </row>
    <row r="1035" spans="1:1" x14ac:dyDescent="0.3">
      <c r="A1035" t="s">
        <v>1027</v>
      </c>
    </row>
    <row r="1036" spans="1:1" x14ac:dyDescent="0.3">
      <c r="A1036" t="s">
        <v>1028</v>
      </c>
    </row>
    <row r="1037" spans="1:1" x14ac:dyDescent="0.3">
      <c r="A1037" t="s">
        <v>1029</v>
      </c>
    </row>
    <row r="1038" spans="1:1" x14ac:dyDescent="0.3">
      <c r="A1038" t="s">
        <v>1030</v>
      </c>
    </row>
    <row r="1039" spans="1:1" x14ac:dyDescent="0.3">
      <c r="A1039" t="s">
        <v>1031</v>
      </c>
    </row>
    <row r="1040" spans="1:1" x14ac:dyDescent="0.3">
      <c r="A1040" t="s">
        <v>1032</v>
      </c>
    </row>
    <row r="1041" spans="1:1" x14ac:dyDescent="0.3">
      <c r="A1041" t="s">
        <v>1033</v>
      </c>
    </row>
    <row r="1042" spans="1:1" x14ac:dyDescent="0.3">
      <c r="A1042" t="s">
        <v>1034</v>
      </c>
    </row>
    <row r="1043" spans="1:1" x14ac:dyDescent="0.3">
      <c r="A1043" t="s">
        <v>1035</v>
      </c>
    </row>
    <row r="1044" spans="1:1" x14ac:dyDescent="0.3">
      <c r="A1044" t="s">
        <v>1036</v>
      </c>
    </row>
    <row r="1045" spans="1:1" x14ac:dyDescent="0.3">
      <c r="A1045" t="s">
        <v>1037</v>
      </c>
    </row>
    <row r="1046" spans="1:1" x14ac:dyDescent="0.3">
      <c r="A1046" t="s">
        <v>1038</v>
      </c>
    </row>
    <row r="1047" spans="1:1" x14ac:dyDescent="0.3">
      <c r="A1047" t="s">
        <v>1039</v>
      </c>
    </row>
    <row r="1048" spans="1:1" x14ac:dyDescent="0.3">
      <c r="A1048" t="s">
        <v>1040</v>
      </c>
    </row>
    <row r="1049" spans="1:1" x14ac:dyDescent="0.3">
      <c r="A1049" t="s">
        <v>1041</v>
      </c>
    </row>
    <row r="1050" spans="1:1" x14ac:dyDescent="0.3">
      <c r="A1050" t="s">
        <v>1042</v>
      </c>
    </row>
    <row r="1051" spans="1:1" x14ac:dyDescent="0.3">
      <c r="A1051" t="s">
        <v>1043</v>
      </c>
    </row>
    <row r="1052" spans="1:1" x14ac:dyDescent="0.3">
      <c r="A1052" t="s">
        <v>1044</v>
      </c>
    </row>
    <row r="1053" spans="1:1" x14ac:dyDescent="0.3">
      <c r="A1053" t="s">
        <v>1045</v>
      </c>
    </row>
    <row r="1054" spans="1:1" x14ac:dyDescent="0.3">
      <c r="A1054" t="s">
        <v>1046</v>
      </c>
    </row>
    <row r="1055" spans="1:1" x14ac:dyDescent="0.3">
      <c r="A1055" t="s">
        <v>1047</v>
      </c>
    </row>
    <row r="1056" spans="1:1" x14ac:dyDescent="0.3">
      <c r="A1056" t="s">
        <v>1048</v>
      </c>
    </row>
    <row r="1057" spans="1:1" x14ac:dyDescent="0.3">
      <c r="A1057" t="s">
        <v>1049</v>
      </c>
    </row>
    <row r="1058" spans="1:1" x14ac:dyDescent="0.3">
      <c r="A1058" t="s">
        <v>1050</v>
      </c>
    </row>
    <row r="1059" spans="1:1" x14ac:dyDescent="0.3">
      <c r="A1059" t="s">
        <v>1051</v>
      </c>
    </row>
    <row r="1060" spans="1:1" x14ac:dyDescent="0.3">
      <c r="A1060" t="s">
        <v>1052</v>
      </c>
    </row>
    <row r="1061" spans="1:1" x14ac:dyDescent="0.3">
      <c r="A1061" t="s">
        <v>1053</v>
      </c>
    </row>
    <row r="1062" spans="1:1" x14ac:dyDescent="0.3">
      <c r="A1062" t="s">
        <v>1054</v>
      </c>
    </row>
    <row r="1063" spans="1:1" x14ac:dyDescent="0.3">
      <c r="A1063" t="s">
        <v>1055</v>
      </c>
    </row>
    <row r="1064" spans="1:1" x14ac:dyDescent="0.3">
      <c r="A1064" t="s">
        <v>1056</v>
      </c>
    </row>
    <row r="1065" spans="1:1" x14ac:dyDescent="0.3">
      <c r="A1065" t="s">
        <v>1057</v>
      </c>
    </row>
    <row r="1066" spans="1:1" x14ac:dyDescent="0.3">
      <c r="A1066" t="s">
        <v>1058</v>
      </c>
    </row>
    <row r="1067" spans="1:1" x14ac:dyDescent="0.3">
      <c r="A1067" t="s">
        <v>1059</v>
      </c>
    </row>
    <row r="1068" spans="1:1" x14ac:dyDescent="0.3">
      <c r="A1068" t="s">
        <v>1060</v>
      </c>
    </row>
    <row r="1069" spans="1:1" x14ac:dyDescent="0.3">
      <c r="A1069" t="s">
        <v>1061</v>
      </c>
    </row>
    <row r="1070" spans="1:1" x14ac:dyDescent="0.3">
      <c r="A1070" t="s">
        <v>1062</v>
      </c>
    </row>
    <row r="1071" spans="1:1" x14ac:dyDescent="0.3">
      <c r="A1071" t="s">
        <v>1063</v>
      </c>
    </row>
    <row r="1072" spans="1:1" x14ac:dyDescent="0.3">
      <c r="A1072" t="s">
        <v>1064</v>
      </c>
    </row>
    <row r="1073" spans="1:1" x14ac:dyDescent="0.3">
      <c r="A1073" t="s">
        <v>1065</v>
      </c>
    </row>
    <row r="1074" spans="1:1" x14ac:dyDescent="0.3">
      <c r="A1074" t="s">
        <v>1066</v>
      </c>
    </row>
    <row r="1075" spans="1:1" x14ac:dyDescent="0.3">
      <c r="A1075" t="s">
        <v>1067</v>
      </c>
    </row>
    <row r="1076" spans="1:1" x14ac:dyDescent="0.3">
      <c r="A1076" t="s">
        <v>1068</v>
      </c>
    </row>
    <row r="1077" spans="1:1" x14ac:dyDescent="0.3">
      <c r="A1077" t="s">
        <v>1069</v>
      </c>
    </row>
    <row r="1078" spans="1:1" x14ac:dyDescent="0.3">
      <c r="A1078" t="s">
        <v>1070</v>
      </c>
    </row>
    <row r="1079" spans="1:1" x14ac:dyDescent="0.3">
      <c r="A1079" t="s">
        <v>1071</v>
      </c>
    </row>
    <row r="1080" spans="1:1" x14ac:dyDescent="0.3">
      <c r="A1080" t="s">
        <v>1072</v>
      </c>
    </row>
    <row r="1081" spans="1:1" x14ac:dyDescent="0.3">
      <c r="A1081" t="s">
        <v>1073</v>
      </c>
    </row>
    <row r="1082" spans="1:1" x14ac:dyDescent="0.3">
      <c r="A1082" t="s">
        <v>884</v>
      </c>
    </row>
    <row r="1083" spans="1:1" x14ac:dyDescent="0.3">
      <c r="A1083" t="s">
        <v>1074</v>
      </c>
    </row>
    <row r="1084" spans="1:1" x14ac:dyDescent="0.3">
      <c r="A1084" t="s">
        <v>1075</v>
      </c>
    </row>
    <row r="1085" spans="1:1" x14ac:dyDescent="0.3">
      <c r="A1085" t="s">
        <v>1076</v>
      </c>
    </row>
    <row r="1086" spans="1:1" x14ac:dyDescent="0.3">
      <c r="A1086" t="s">
        <v>1077</v>
      </c>
    </row>
    <row r="1087" spans="1:1" x14ac:dyDescent="0.3">
      <c r="A1087" t="s">
        <v>1078</v>
      </c>
    </row>
    <row r="1088" spans="1:1" x14ac:dyDescent="0.3">
      <c r="A1088" t="s">
        <v>1079</v>
      </c>
    </row>
    <row r="1089" spans="1:1" x14ac:dyDescent="0.3">
      <c r="A1089" t="s">
        <v>1080</v>
      </c>
    </row>
    <row r="1090" spans="1:1" x14ac:dyDescent="0.3">
      <c r="A1090" t="s">
        <v>1081</v>
      </c>
    </row>
    <row r="1091" spans="1:1" x14ac:dyDescent="0.3">
      <c r="A1091" t="s">
        <v>1082</v>
      </c>
    </row>
    <row r="1092" spans="1:1" x14ac:dyDescent="0.3">
      <c r="A1092" t="s">
        <v>1083</v>
      </c>
    </row>
    <row r="1093" spans="1:1" x14ac:dyDescent="0.3">
      <c r="A1093" t="s">
        <v>1084</v>
      </c>
    </row>
    <row r="1094" spans="1:1" x14ac:dyDescent="0.3">
      <c r="A1094" t="s">
        <v>1085</v>
      </c>
    </row>
    <row r="1095" spans="1:1" x14ac:dyDescent="0.3">
      <c r="A1095" t="s">
        <v>1086</v>
      </c>
    </row>
    <row r="1096" spans="1:1" x14ac:dyDescent="0.3">
      <c r="A1096" t="s">
        <v>1087</v>
      </c>
    </row>
    <row r="1097" spans="1:1" x14ac:dyDescent="0.3">
      <c r="A1097" t="s">
        <v>1088</v>
      </c>
    </row>
    <row r="1098" spans="1:1" x14ac:dyDescent="0.3">
      <c r="A1098" t="s">
        <v>1089</v>
      </c>
    </row>
    <row r="1099" spans="1:1" x14ac:dyDescent="0.3">
      <c r="A1099" t="s">
        <v>1090</v>
      </c>
    </row>
    <row r="1100" spans="1:1" x14ac:dyDescent="0.3">
      <c r="A1100" t="s">
        <v>1091</v>
      </c>
    </row>
    <row r="1101" spans="1:1" x14ac:dyDescent="0.3">
      <c r="A1101" t="s">
        <v>1092</v>
      </c>
    </row>
    <row r="1102" spans="1:1" x14ac:dyDescent="0.3">
      <c r="A1102" t="s">
        <v>1093</v>
      </c>
    </row>
    <row r="1103" spans="1:1" x14ac:dyDescent="0.3">
      <c r="A1103" t="s">
        <v>1094</v>
      </c>
    </row>
    <row r="1104" spans="1:1" x14ac:dyDescent="0.3">
      <c r="A1104" t="s">
        <v>1095</v>
      </c>
    </row>
    <row r="1105" spans="1:1" x14ac:dyDescent="0.3">
      <c r="A1105" t="s">
        <v>1096</v>
      </c>
    </row>
    <row r="1106" spans="1:1" x14ac:dyDescent="0.3">
      <c r="A1106" t="s">
        <v>1097</v>
      </c>
    </row>
    <row r="1107" spans="1:1" x14ac:dyDescent="0.3">
      <c r="A1107" t="s">
        <v>1098</v>
      </c>
    </row>
    <row r="1108" spans="1:1" x14ac:dyDescent="0.3">
      <c r="A1108" t="s">
        <v>1099</v>
      </c>
    </row>
    <row r="1109" spans="1:1" x14ac:dyDescent="0.3">
      <c r="A1109" t="s">
        <v>1100</v>
      </c>
    </row>
    <row r="1110" spans="1:1" x14ac:dyDescent="0.3">
      <c r="A1110" t="s">
        <v>1101</v>
      </c>
    </row>
    <row r="1111" spans="1:1" x14ac:dyDescent="0.3">
      <c r="A1111" t="s">
        <v>1102</v>
      </c>
    </row>
    <row r="1112" spans="1:1" x14ac:dyDescent="0.3">
      <c r="A1112" t="s">
        <v>1103</v>
      </c>
    </row>
    <row r="1113" spans="1:1" x14ac:dyDescent="0.3">
      <c r="A1113" t="s">
        <v>1104</v>
      </c>
    </row>
    <row r="1114" spans="1:1" x14ac:dyDescent="0.3">
      <c r="A1114" t="s">
        <v>1105</v>
      </c>
    </row>
    <row r="1115" spans="1:1" x14ac:dyDescent="0.3">
      <c r="A1115" t="s">
        <v>1106</v>
      </c>
    </row>
    <row r="1116" spans="1:1" x14ac:dyDescent="0.3">
      <c r="A1116" t="s">
        <v>1107</v>
      </c>
    </row>
    <row r="1117" spans="1:1" x14ac:dyDescent="0.3">
      <c r="A1117" t="s">
        <v>1108</v>
      </c>
    </row>
    <row r="1118" spans="1:1" x14ac:dyDescent="0.3">
      <c r="A1118" t="s">
        <v>1071</v>
      </c>
    </row>
    <row r="1119" spans="1:1" x14ac:dyDescent="0.3">
      <c r="A1119" t="s">
        <v>1109</v>
      </c>
    </row>
    <row r="1120" spans="1:1" x14ac:dyDescent="0.3">
      <c r="A1120" t="s">
        <v>1110</v>
      </c>
    </row>
    <row r="1121" spans="1:1" x14ac:dyDescent="0.3">
      <c r="A1121" t="s">
        <v>1111</v>
      </c>
    </row>
    <row r="1122" spans="1:1" x14ac:dyDescent="0.3">
      <c r="A1122" t="s">
        <v>1112</v>
      </c>
    </row>
    <row r="1123" spans="1:1" x14ac:dyDescent="0.3">
      <c r="A1123" t="s">
        <v>1113</v>
      </c>
    </row>
    <row r="1124" spans="1:1" x14ac:dyDescent="0.3">
      <c r="A1124" t="s">
        <v>1114</v>
      </c>
    </row>
    <row r="1125" spans="1:1" x14ac:dyDescent="0.3">
      <c r="A1125" t="s">
        <v>1115</v>
      </c>
    </row>
    <row r="1126" spans="1:1" x14ac:dyDescent="0.3">
      <c r="A1126" t="s">
        <v>1116</v>
      </c>
    </row>
    <row r="1127" spans="1:1" x14ac:dyDescent="0.3">
      <c r="A1127" t="s">
        <v>1117</v>
      </c>
    </row>
    <row r="1128" spans="1:1" x14ac:dyDescent="0.3">
      <c r="A1128" t="s">
        <v>1118</v>
      </c>
    </row>
    <row r="1129" spans="1:1" x14ac:dyDescent="0.3">
      <c r="A1129" t="s">
        <v>1119</v>
      </c>
    </row>
    <row r="1130" spans="1:1" x14ac:dyDescent="0.3">
      <c r="A1130" t="s">
        <v>1120</v>
      </c>
    </row>
    <row r="1131" spans="1:1" x14ac:dyDescent="0.3">
      <c r="A1131" t="s">
        <v>1121</v>
      </c>
    </row>
    <row r="1132" spans="1:1" x14ac:dyDescent="0.3">
      <c r="A1132" t="s">
        <v>1122</v>
      </c>
    </row>
    <row r="1133" spans="1:1" x14ac:dyDescent="0.3">
      <c r="A1133" t="s">
        <v>1123</v>
      </c>
    </row>
    <row r="1134" spans="1:1" x14ac:dyDescent="0.3">
      <c r="A1134" t="s">
        <v>1124</v>
      </c>
    </row>
    <row r="1135" spans="1:1" x14ac:dyDescent="0.3">
      <c r="A1135" t="s">
        <v>1125</v>
      </c>
    </row>
    <row r="1136" spans="1:1" x14ac:dyDescent="0.3">
      <c r="A1136" t="s">
        <v>1126</v>
      </c>
    </row>
    <row r="1137" spans="1:1" x14ac:dyDescent="0.3">
      <c r="A1137" t="s">
        <v>1127</v>
      </c>
    </row>
    <row r="1138" spans="1:1" x14ac:dyDescent="0.3">
      <c r="A1138" t="s">
        <v>1128</v>
      </c>
    </row>
    <row r="1139" spans="1:1" x14ac:dyDescent="0.3">
      <c r="A1139" t="s">
        <v>1129</v>
      </c>
    </row>
    <row r="1140" spans="1:1" x14ac:dyDescent="0.3">
      <c r="A1140" t="s">
        <v>1130</v>
      </c>
    </row>
    <row r="1141" spans="1:1" x14ac:dyDescent="0.3">
      <c r="A1141" t="s">
        <v>1131</v>
      </c>
    </row>
    <row r="1142" spans="1:1" x14ac:dyDescent="0.3">
      <c r="A1142" t="s">
        <v>1132</v>
      </c>
    </row>
    <row r="1143" spans="1:1" x14ac:dyDescent="0.3">
      <c r="A1143" t="s">
        <v>1133</v>
      </c>
    </row>
    <row r="1144" spans="1:1" x14ac:dyDescent="0.3">
      <c r="A1144" t="s">
        <v>1134</v>
      </c>
    </row>
    <row r="1145" spans="1:1" x14ac:dyDescent="0.3">
      <c r="A1145" t="s">
        <v>1135</v>
      </c>
    </row>
    <row r="1146" spans="1:1" x14ac:dyDescent="0.3">
      <c r="A1146" t="s">
        <v>1136</v>
      </c>
    </row>
    <row r="1147" spans="1:1" x14ac:dyDescent="0.3">
      <c r="A1147" t="s">
        <v>1137</v>
      </c>
    </row>
    <row r="1148" spans="1:1" x14ac:dyDescent="0.3">
      <c r="A1148" t="s">
        <v>1138</v>
      </c>
    </row>
    <row r="1149" spans="1:1" x14ac:dyDescent="0.3">
      <c r="A1149" t="s">
        <v>1139</v>
      </c>
    </row>
    <row r="1150" spans="1:1" x14ac:dyDescent="0.3">
      <c r="A1150" t="s">
        <v>1140</v>
      </c>
    </row>
    <row r="1151" spans="1:1" x14ac:dyDescent="0.3">
      <c r="A1151" t="s">
        <v>1141</v>
      </c>
    </row>
    <row r="1152" spans="1:1" x14ac:dyDescent="0.3">
      <c r="A1152" t="s">
        <v>1142</v>
      </c>
    </row>
    <row r="1153" spans="1:1" x14ac:dyDescent="0.3">
      <c r="A1153" t="s">
        <v>1143</v>
      </c>
    </row>
    <row r="1154" spans="1:1" x14ac:dyDescent="0.3">
      <c r="A1154" t="s">
        <v>1144</v>
      </c>
    </row>
    <row r="1155" spans="1:1" x14ac:dyDescent="0.3">
      <c r="A1155" t="s">
        <v>1145</v>
      </c>
    </row>
    <row r="1156" spans="1:1" x14ac:dyDescent="0.3">
      <c r="A1156" t="s">
        <v>1146</v>
      </c>
    </row>
    <row r="1157" spans="1:1" x14ac:dyDescent="0.3">
      <c r="A1157" t="s">
        <v>1147</v>
      </c>
    </row>
    <row r="1158" spans="1:1" x14ac:dyDescent="0.3">
      <c r="A1158" t="s">
        <v>1148</v>
      </c>
    </row>
    <row r="1159" spans="1:1" x14ac:dyDescent="0.3">
      <c r="A1159" t="s">
        <v>1149</v>
      </c>
    </row>
    <row r="1160" spans="1:1" x14ac:dyDescent="0.3">
      <c r="A1160" t="s">
        <v>1150</v>
      </c>
    </row>
    <row r="1161" spans="1:1" x14ac:dyDescent="0.3">
      <c r="A1161" t="s">
        <v>1151</v>
      </c>
    </row>
    <row r="1162" spans="1:1" x14ac:dyDescent="0.3">
      <c r="A1162" t="s">
        <v>1152</v>
      </c>
    </row>
    <row r="1163" spans="1:1" x14ac:dyDescent="0.3">
      <c r="A1163" t="s">
        <v>1153</v>
      </c>
    </row>
    <row r="1164" spans="1:1" x14ac:dyDescent="0.3">
      <c r="A1164" t="s">
        <v>1154</v>
      </c>
    </row>
    <row r="1165" spans="1:1" x14ac:dyDescent="0.3">
      <c r="A1165" t="s">
        <v>1155</v>
      </c>
    </row>
    <row r="1166" spans="1:1" x14ac:dyDescent="0.3">
      <c r="A1166" t="s">
        <v>1156</v>
      </c>
    </row>
    <row r="1167" spans="1:1" x14ac:dyDescent="0.3">
      <c r="A1167" t="s">
        <v>1157</v>
      </c>
    </row>
    <row r="1168" spans="1:1" x14ac:dyDescent="0.3">
      <c r="A1168" t="s">
        <v>1158</v>
      </c>
    </row>
    <row r="1169" spans="1:1" x14ac:dyDescent="0.3">
      <c r="A1169" t="s">
        <v>1159</v>
      </c>
    </row>
    <row r="1170" spans="1:1" x14ac:dyDescent="0.3">
      <c r="A1170" t="s">
        <v>1160</v>
      </c>
    </row>
    <row r="1171" spans="1:1" x14ac:dyDescent="0.3">
      <c r="A1171" t="s">
        <v>1161</v>
      </c>
    </row>
    <row r="1172" spans="1:1" x14ac:dyDescent="0.3">
      <c r="A1172" t="s">
        <v>1162</v>
      </c>
    </row>
    <row r="1173" spans="1:1" x14ac:dyDescent="0.3">
      <c r="A1173" t="s">
        <v>1163</v>
      </c>
    </row>
    <row r="1174" spans="1:1" x14ac:dyDescent="0.3">
      <c r="A1174" t="s">
        <v>1164</v>
      </c>
    </row>
    <row r="1175" spans="1:1" x14ac:dyDescent="0.3">
      <c r="A1175" t="s">
        <v>1165</v>
      </c>
    </row>
    <row r="1176" spans="1:1" x14ac:dyDescent="0.3">
      <c r="A1176" t="s">
        <v>1166</v>
      </c>
    </row>
    <row r="1177" spans="1:1" x14ac:dyDescent="0.3">
      <c r="A1177" t="s">
        <v>1167</v>
      </c>
    </row>
    <row r="1178" spans="1:1" x14ac:dyDescent="0.3">
      <c r="A1178" t="s">
        <v>1168</v>
      </c>
    </row>
    <row r="1179" spans="1:1" x14ac:dyDescent="0.3">
      <c r="A1179" t="s">
        <v>1169</v>
      </c>
    </row>
    <row r="1180" spans="1:1" x14ac:dyDescent="0.3">
      <c r="A1180" t="s">
        <v>1170</v>
      </c>
    </row>
    <row r="1181" spans="1:1" x14ac:dyDescent="0.3">
      <c r="A1181" t="s">
        <v>1171</v>
      </c>
    </row>
    <row r="1182" spans="1:1" x14ac:dyDescent="0.3">
      <c r="A1182" t="s">
        <v>1172</v>
      </c>
    </row>
    <row r="1183" spans="1:1" x14ac:dyDescent="0.3">
      <c r="A1183" t="s">
        <v>1173</v>
      </c>
    </row>
    <row r="1184" spans="1:1" x14ac:dyDescent="0.3">
      <c r="A1184" t="s">
        <v>1174</v>
      </c>
    </row>
    <row r="1185" spans="1:1" x14ac:dyDescent="0.3">
      <c r="A1185" t="s">
        <v>1175</v>
      </c>
    </row>
    <row r="1186" spans="1:1" x14ac:dyDescent="0.3">
      <c r="A1186" t="s">
        <v>1176</v>
      </c>
    </row>
    <row r="1187" spans="1:1" x14ac:dyDescent="0.3">
      <c r="A1187" t="s">
        <v>1177</v>
      </c>
    </row>
    <row r="1188" spans="1:1" x14ac:dyDescent="0.3">
      <c r="A1188" t="s">
        <v>1178</v>
      </c>
    </row>
    <row r="1189" spans="1:1" x14ac:dyDescent="0.3">
      <c r="A1189" t="s">
        <v>1179</v>
      </c>
    </row>
    <row r="1190" spans="1:1" x14ac:dyDescent="0.3">
      <c r="A1190" t="s">
        <v>1180</v>
      </c>
    </row>
    <row r="1191" spans="1:1" x14ac:dyDescent="0.3">
      <c r="A1191" t="s">
        <v>1181</v>
      </c>
    </row>
    <row r="1192" spans="1:1" x14ac:dyDescent="0.3">
      <c r="A1192" t="s">
        <v>1182</v>
      </c>
    </row>
    <row r="1193" spans="1:1" x14ac:dyDescent="0.3">
      <c r="A1193" t="s">
        <v>1183</v>
      </c>
    </row>
    <row r="1194" spans="1:1" x14ac:dyDescent="0.3">
      <c r="A1194" t="s">
        <v>1184</v>
      </c>
    </row>
    <row r="1195" spans="1:1" x14ac:dyDescent="0.3">
      <c r="A1195" t="s">
        <v>1185</v>
      </c>
    </row>
    <row r="1196" spans="1:1" x14ac:dyDescent="0.3">
      <c r="A1196" t="s">
        <v>1186</v>
      </c>
    </row>
    <row r="1197" spans="1:1" x14ac:dyDescent="0.3">
      <c r="A1197" t="s">
        <v>1187</v>
      </c>
    </row>
    <row r="1198" spans="1:1" x14ac:dyDescent="0.3">
      <c r="A1198" t="s">
        <v>1188</v>
      </c>
    </row>
    <row r="1199" spans="1:1" x14ac:dyDescent="0.3">
      <c r="A1199" t="s">
        <v>1189</v>
      </c>
    </row>
    <row r="1200" spans="1:1" x14ac:dyDescent="0.3">
      <c r="A1200" t="s">
        <v>1190</v>
      </c>
    </row>
    <row r="1201" spans="1:1" x14ac:dyDescent="0.3">
      <c r="A1201" t="s">
        <v>1191</v>
      </c>
    </row>
    <row r="1202" spans="1:1" x14ac:dyDescent="0.3">
      <c r="A1202" t="s">
        <v>1192</v>
      </c>
    </row>
    <row r="1203" spans="1:1" x14ac:dyDescent="0.3">
      <c r="A1203" t="s">
        <v>1193</v>
      </c>
    </row>
    <row r="1204" spans="1:1" x14ac:dyDescent="0.3">
      <c r="A1204" t="s">
        <v>1194</v>
      </c>
    </row>
    <row r="1205" spans="1:1" x14ac:dyDescent="0.3">
      <c r="A1205" t="s">
        <v>1195</v>
      </c>
    </row>
    <row r="1206" spans="1:1" x14ac:dyDescent="0.3">
      <c r="A1206" t="s">
        <v>1196</v>
      </c>
    </row>
    <row r="1207" spans="1:1" x14ac:dyDescent="0.3">
      <c r="A1207" t="s">
        <v>1197</v>
      </c>
    </row>
    <row r="1208" spans="1:1" x14ac:dyDescent="0.3">
      <c r="A1208" t="s">
        <v>1198</v>
      </c>
    </row>
    <row r="1209" spans="1:1" x14ac:dyDescent="0.3">
      <c r="A1209" t="s">
        <v>1199</v>
      </c>
    </row>
    <row r="1210" spans="1:1" x14ac:dyDescent="0.3">
      <c r="A1210" t="s">
        <v>1200</v>
      </c>
    </row>
    <row r="1211" spans="1:1" x14ac:dyDescent="0.3">
      <c r="A1211" t="s">
        <v>1201</v>
      </c>
    </row>
    <row r="1212" spans="1:1" x14ac:dyDescent="0.3">
      <c r="A1212" t="s">
        <v>1202</v>
      </c>
    </row>
    <row r="1213" spans="1:1" x14ac:dyDescent="0.3">
      <c r="A1213" t="s">
        <v>1203</v>
      </c>
    </row>
    <row r="1214" spans="1:1" x14ac:dyDescent="0.3">
      <c r="A1214" t="s">
        <v>1204</v>
      </c>
    </row>
    <row r="1215" spans="1:1" x14ac:dyDescent="0.3">
      <c r="A1215" t="s">
        <v>1205</v>
      </c>
    </row>
    <row r="1216" spans="1:1" x14ac:dyDescent="0.3">
      <c r="A1216" t="s">
        <v>1206</v>
      </c>
    </row>
    <row r="1217" spans="1:1" x14ac:dyDescent="0.3">
      <c r="A1217" t="s">
        <v>1207</v>
      </c>
    </row>
    <row r="1218" spans="1:1" x14ac:dyDescent="0.3">
      <c r="A1218" t="s">
        <v>1208</v>
      </c>
    </row>
    <row r="1219" spans="1:1" x14ac:dyDescent="0.3">
      <c r="A1219" t="s">
        <v>1209</v>
      </c>
    </row>
    <row r="1220" spans="1:1" x14ac:dyDescent="0.3">
      <c r="A1220" t="s">
        <v>1210</v>
      </c>
    </row>
    <row r="1221" spans="1:1" x14ac:dyDescent="0.3">
      <c r="A1221" t="s">
        <v>1211</v>
      </c>
    </row>
    <row r="1222" spans="1:1" x14ac:dyDescent="0.3">
      <c r="A1222" t="s">
        <v>1212</v>
      </c>
    </row>
    <row r="1223" spans="1:1" x14ac:dyDescent="0.3">
      <c r="A1223" t="s">
        <v>1213</v>
      </c>
    </row>
    <row r="1224" spans="1:1" x14ac:dyDescent="0.3">
      <c r="A1224" t="s">
        <v>1214</v>
      </c>
    </row>
    <row r="1225" spans="1:1" x14ac:dyDescent="0.3">
      <c r="A1225" t="s">
        <v>1215</v>
      </c>
    </row>
    <row r="1226" spans="1:1" x14ac:dyDescent="0.3">
      <c r="A1226" t="s">
        <v>1216</v>
      </c>
    </row>
    <row r="1227" spans="1:1" x14ac:dyDescent="0.3">
      <c r="A1227" t="s">
        <v>1217</v>
      </c>
    </row>
    <row r="1228" spans="1:1" x14ac:dyDescent="0.3">
      <c r="A1228" t="s">
        <v>1218</v>
      </c>
    </row>
    <row r="1229" spans="1:1" x14ac:dyDescent="0.3">
      <c r="A1229" t="s">
        <v>1219</v>
      </c>
    </row>
    <row r="1230" spans="1:1" x14ac:dyDescent="0.3">
      <c r="A1230" t="s">
        <v>1220</v>
      </c>
    </row>
    <row r="1231" spans="1:1" x14ac:dyDescent="0.3">
      <c r="A1231" t="s">
        <v>1221</v>
      </c>
    </row>
    <row r="1232" spans="1:1" x14ac:dyDescent="0.3">
      <c r="A1232" t="s">
        <v>1222</v>
      </c>
    </row>
    <row r="1233" spans="1:1" x14ac:dyDescent="0.3">
      <c r="A1233" t="s">
        <v>1223</v>
      </c>
    </row>
    <row r="1234" spans="1:1" x14ac:dyDescent="0.3">
      <c r="A1234" t="s">
        <v>1224</v>
      </c>
    </row>
    <row r="1235" spans="1:1" x14ac:dyDescent="0.3">
      <c r="A1235" t="s">
        <v>1225</v>
      </c>
    </row>
    <row r="1236" spans="1:1" x14ac:dyDescent="0.3">
      <c r="A1236" t="s">
        <v>1226</v>
      </c>
    </row>
    <row r="1237" spans="1:1" x14ac:dyDescent="0.3">
      <c r="A1237" t="s">
        <v>1227</v>
      </c>
    </row>
    <row r="1238" spans="1:1" x14ac:dyDescent="0.3">
      <c r="A1238" t="s">
        <v>1228</v>
      </c>
    </row>
    <row r="1239" spans="1:1" x14ac:dyDescent="0.3">
      <c r="A1239" t="s">
        <v>1229</v>
      </c>
    </row>
    <row r="1240" spans="1:1" x14ac:dyDescent="0.3">
      <c r="A1240" t="s">
        <v>1230</v>
      </c>
    </row>
    <row r="1241" spans="1:1" x14ac:dyDescent="0.3">
      <c r="A1241" t="s">
        <v>1231</v>
      </c>
    </row>
    <row r="1242" spans="1:1" x14ac:dyDescent="0.3">
      <c r="A1242" t="s">
        <v>1232</v>
      </c>
    </row>
    <row r="1243" spans="1:1" x14ac:dyDescent="0.3">
      <c r="A1243" t="s">
        <v>1233</v>
      </c>
    </row>
    <row r="1244" spans="1:1" x14ac:dyDescent="0.3">
      <c r="A1244" t="s">
        <v>1234</v>
      </c>
    </row>
    <row r="1245" spans="1:1" x14ac:dyDescent="0.3">
      <c r="A1245" t="s">
        <v>1235</v>
      </c>
    </row>
    <row r="1246" spans="1:1" x14ac:dyDescent="0.3">
      <c r="A1246" t="s">
        <v>1236</v>
      </c>
    </row>
    <row r="1247" spans="1:1" x14ac:dyDescent="0.3">
      <c r="A1247" t="s">
        <v>1237</v>
      </c>
    </row>
    <row r="1248" spans="1:1" x14ac:dyDescent="0.3">
      <c r="A1248" t="s">
        <v>1238</v>
      </c>
    </row>
    <row r="1249" spans="1:1" x14ac:dyDescent="0.3">
      <c r="A1249" t="s">
        <v>1239</v>
      </c>
    </row>
    <row r="1250" spans="1:1" x14ac:dyDescent="0.3">
      <c r="A1250" t="s">
        <v>1240</v>
      </c>
    </row>
    <row r="1251" spans="1:1" x14ac:dyDescent="0.3">
      <c r="A1251" t="s">
        <v>1241</v>
      </c>
    </row>
    <row r="1252" spans="1:1" x14ac:dyDescent="0.3">
      <c r="A1252" t="s">
        <v>1242</v>
      </c>
    </row>
    <row r="1253" spans="1:1" x14ac:dyDescent="0.3">
      <c r="A1253" t="s">
        <v>1243</v>
      </c>
    </row>
    <row r="1254" spans="1:1" x14ac:dyDescent="0.3">
      <c r="A1254" t="s">
        <v>1244</v>
      </c>
    </row>
    <row r="1255" spans="1:1" x14ac:dyDescent="0.3">
      <c r="A1255" t="s">
        <v>1245</v>
      </c>
    </row>
    <row r="1256" spans="1:1" x14ac:dyDescent="0.3">
      <c r="A1256" t="s">
        <v>1246</v>
      </c>
    </row>
    <row r="1257" spans="1:1" x14ac:dyDescent="0.3">
      <c r="A1257" t="s">
        <v>1247</v>
      </c>
    </row>
    <row r="1258" spans="1:1" x14ac:dyDescent="0.3">
      <c r="A1258" t="s">
        <v>1248</v>
      </c>
    </row>
    <row r="1259" spans="1:1" x14ac:dyDescent="0.3">
      <c r="A1259" t="s">
        <v>1249</v>
      </c>
    </row>
    <row r="1260" spans="1:1" x14ac:dyDescent="0.3">
      <c r="A1260" t="s">
        <v>1250</v>
      </c>
    </row>
    <row r="1261" spans="1:1" x14ac:dyDescent="0.3">
      <c r="A1261" t="s">
        <v>1251</v>
      </c>
    </row>
    <row r="1262" spans="1:1" x14ac:dyDescent="0.3">
      <c r="A1262" t="s">
        <v>1252</v>
      </c>
    </row>
    <row r="1263" spans="1:1" x14ac:dyDescent="0.3">
      <c r="A1263" t="s">
        <v>1253</v>
      </c>
    </row>
    <row r="1264" spans="1:1" x14ac:dyDescent="0.3">
      <c r="A1264" t="s">
        <v>1254</v>
      </c>
    </row>
    <row r="1265" spans="1:1" x14ac:dyDescent="0.3">
      <c r="A1265" t="s">
        <v>1255</v>
      </c>
    </row>
    <row r="1266" spans="1:1" x14ac:dyDescent="0.3">
      <c r="A1266" t="s">
        <v>1256</v>
      </c>
    </row>
    <row r="1267" spans="1:1" x14ac:dyDescent="0.3">
      <c r="A1267" t="s">
        <v>1257</v>
      </c>
    </row>
    <row r="1268" spans="1:1" x14ac:dyDescent="0.3">
      <c r="A1268" t="s">
        <v>1258</v>
      </c>
    </row>
    <row r="1269" spans="1:1" x14ac:dyDescent="0.3">
      <c r="A1269" t="s">
        <v>1259</v>
      </c>
    </row>
    <row r="1270" spans="1:1" x14ac:dyDescent="0.3">
      <c r="A1270" t="s">
        <v>1260</v>
      </c>
    </row>
    <row r="1271" spans="1:1" x14ac:dyDescent="0.3">
      <c r="A1271" t="s">
        <v>1261</v>
      </c>
    </row>
    <row r="1272" spans="1:1" x14ac:dyDescent="0.3">
      <c r="A1272" t="s">
        <v>1262</v>
      </c>
    </row>
    <row r="1273" spans="1:1" x14ac:dyDescent="0.3">
      <c r="A1273" t="s">
        <v>1263</v>
      </c>
    </row>
    <row r="1274" spans="1:1" x14ac:dyDescent="0.3">
      <c r="A1274" t="s">
        <v>1264</v>
      </c>
    </row>
    <row r="1275" spans="1:1" x14ac:dyDescent="0.3">
      <c r="A1275" t="s">
        <v>1265</v>
      </c>
    </row>
    <row r="1276" spans="1:1" x14ac:dyDescent="0.3">
      <c r="A1276" t="s">
        <v>1266</v>
      </c>
    </row>
    <row r="1277" spans="1:1" x14ac:dyDescent="0.3">
      <c r="A1277" t="s">
        <v>1267</v>
      </c>
    </row>
    <row r="1278" spans="1:1" x14ac:dyDescent="0.3">
      <c r="A1278" t="s">
        <v>1268</v>
      </c>
    </row>
    <row r="1279" spans="1:1" x14ac:dyDescent="0.3">
      <c r="A1279" t="s">
        <v>1269</v>
      </c>
    </row>
    <row r="1280" spans="1:1" x14ac:dyDescent="0.3">
      <c r="A1280" t="s">
        <v>1270</v>
      </c>
    </row>
    <row r="1281" spans="1:1" x14ac:dyDescent="0.3">
      <c r="A1281" t="s">
        <v>1271</v>
      </c>
    </row>
    <row r="1282" spans="1:1" x14ac:dyDescent="0.3">
      <c r="A1282" t="s">
        <v>1272</v>
      </c>
    </row>
    <row r="1283" spans="1:1" x14ac:dyDescent="0.3">
      <c r="A1283" t="s">
        <v>1273</v>
      </c>
    </row>
    <row r="1284" spans="1:1" x14ac:dyDescent="0.3">
      <c r="A1284" t="s">
        <v>1274</v>
      </c>
    </row>
    <row r="1285" spans="1:1" x14ac:dyDescent="0.3">
      <c r="A1285" t="s">
        <v>1275</v>
      </c>
    </row>
    <row r="1286" spans="1:1" x14ac:dyDescent="0.3">
      <c r="A1286" t="s">
        <v>1276</v>
      </c>
    </row>
    <row r="1287" spans="1:1" x14ac:dyDescent="0.3">
      <c r="A1287" t="s">
        <v>1277</v>
      </c>
    </row>
    <row r="1288" spans="1:1" x14ac:dyDescent="0.3">
      <c r="A1288" t="s">
        <v>1278</v>
      </c>
    </row>
    <row r="1289" spans="1:1" x14ac:dyDescent="0.3">
      <c r="A1289" t="s">
        <v>1279</v>
      </c>
    </row>
    <row r="1290" spans="1:1" x14ac:dyDescent="0.3">
      <c r="A1290" t="s">
        <v>1280</v>
      </c>
    </row>
    <row r="1291" spans="1:1" x14ac:dyDescent="0.3">
      <c r="A1291" t="s">
        <v>1281</v>
      </c>
    </row>
    <row r="1292" spans="1:1" x14ac:dyDescent="0.3">
      <c r="A1292" t="s">
        <v>1282</v>
      </c>
    </row>
    <row r="1293" spans="1:1" x14ac:dyDescent="0.3">
      <c r="A1293" t="s">
        <v>1283</v>
      </c>
    </row>
    <row r="1294" spans="1:1" x14ac:dyDescent="0.3">
      <c r="A1294" t="s">
        <v>1284</v>
      </c>
    </row>
    <row r="1295" spans="1:1" x14ac:dyDescent="0.3">
      <c r="A1295" t="s">
        <v>1285</v>
      </c>
    </row>
    <row r="1296" spans="1:1" x14ac:dyDescent="0.3">
      <c r="A1296" t="s">
        <v>1286</v>
      </c>
    </row>
    <row r="1297" spans="1:1" x14ac:dyDescent="0.3">
      <c r="A1297" t="s">
        <v>1287</v>
      </c>
    </row>
    <row r="1298" spans="1:1" x14ac:dyDescent="0.3">
      <c r="A1298" t="s">
        <v>1288</v>
      </c>
    </row>
    <row r="1299" spans="1:1" x14ac:dyDescent="0.3">
      <c r="A1299" t="s">
        <v>1289</v>
      </c>
    </row>
    <row r="1300" spans="1:1" x14ac:dyDescent="0.3">
      <c r="A1300" t="s">
        <v>1290</v>
      </c>
    </row>
    <row r="1301" spans="1:1" x14ac:dyDescent="0.3">
      <c r="A1301" t="s">
        <v>1291</v>
      </c>
    </row>
    <row r="1302" spans="1:1" x14ac:dyDescent="0.3">
      <c r="A1302" t="s">
        <v>1292</v>
      </c>
    </row>
    <row r="1303" spans="1:1" x14ac:dyDescent="0.3">
      <c r="A1303" t="s">
        <v>1293</v>
      </c>
    </row>
    <row r="1304" spans="1:1" x14ac:dyDescent="0.3">
      <c r="A1304" t="s">
        <v>1294</v>
      </c>
    </row>
    <row r="1305" spans="1:1" x14ac:dyDescent="0.3">
      <c r="A1305" t="s">
        <v>1295</v>
      </c>
    </row>
    <row r="1306" spans="1:1" x14ac:dyDescent="0.3">
      <c r="A1306" t="s">
        <v>1296</v>
      </c>
    </row>
    <row r="1307" spans="1:1" x14ac:dyDescent="0.3">
      <c r="A1307" t="s">
        <v>1297</v>
      </c>
    </row>
    <row r="1308" spans="1:1" x14ac:dyDescent="0.3">
      <c r="A1308" t="s">
        <v>1298</v>
      </c>
    </row>
    <row r="1309" spans="1:1" x14ac:dyDescent="0.3">
      <c r="A1309" t="s">
        <v>1299</v>
      </c>
    </row>
    <row r="1310" spans="1:1" x14ac:dyDescent="0.3">
      <c r="A1310" t="s">
        <v>1300</v>
      </c>
    </row>
    <row r="1311" spans="1:1" x14ac:dyDescent="0.3">
      <c r="A1311" t="s">
        <v>1301</v>
      </c>
    </row>
    <row r="1312" spans="1:1" x14ac:dyDescent="0.3">
      <c r="A1312" t="s">
        <v>1302</v>
      </c>
    </row>
    <row r="1313" spans="1:1" x14ac:dyDescent="0.3">
      <c r="A1313" t="s">
        <v>1303</v>
      </c>
    </row>
    <row r="1314" spans="1:1" x14ac:dyDescent="0.3">
      <c r="A1314" t="s">
        <v>1304</v>
      </c>
    </row>
    <row r="1315" spans="1:1" x14ac:dyDescent="0.3">
      <c r="A1315" t="s">
        <v>648</v>
      </c>
    </row>
    <row r="1316" spans="1:1" x14ac:dyDescent="0.3">
      <c r="A1316" t="s">
        <v>1305</v>
      </c>
    </row>
    <row r="1317" spans="1:1" x14ac:dyDescent="0.3">
      <c r="A1317" t="s">
        <v>1306</v>
      </c>
    </row>
    <row r="1318" spans="1:1" x14ac:dyDescent="0.3">
      <c r="A1318" t="s">
        <v>1307</v>
      </c>
    </row>
    <row r="1319" spans="1:1" x14ac:dyDescent="0.3">
      <c r="A1319" t="s">
        <v>1308</v>
      </c>
    </row>
    <row r="1320" spans="1:1" x14ac:dyDescent="0.3">
      <c r="A1320" t="s">
        <v>1309</v>
      </c>
    </row>
    <row r="1321" spans="1:1" x14ac:dyDescent="0.3">
      <c r="A1321" t="s">
        <v>1310</v>
      </c>
    </row>
    <row r="1322" spans="1:1" x14ac:dyDescent="0.3">
      <c r="A1322" t="s">
        <v>1311</v>
      </c>
    </row>
    <row r="1323" spans="1:1" x14ac:dyDescent="0.3">
      <c r="A1323" t="s">
        <v>1312</v>
      </c>
    </row>
    <row r="1324" spans="1:1" x14ac:dyDescent="0.3">
      <c r="A1324" t="s">
        <v>1313</v>
      </c>
    </row>
    <row r="1325" spans="1:1" x14ac:dyDescent="0.3">
      <c r="A1325" t="s">
        <v>1314</v>
      </c>
    </row>
    <row r="1326" spans="1:1" x14ac:dyDescent="0.3">
      <c r="A1326" t="s">
        <v>1315</v>
      </c>
    </row>
    <row r="1327" spans="1:1" x14ac:dyDescent="0.3">
      <c r="A1327" t="s">
        <v>1316</v>
      </c>
    </row>
    <row r="1328" spans="1:1" x14ac:dyDescent="0.3">
      <c r="A1328" t="s">
        <v>1317</v>
      </c>
    </row>
    <row r="1329" spans="1:1" x14ac:dyDescent="0.3">
      <c r="A1329" t="s">
        <v>1318</v>
      </c>
    </row>
    <row r="1330" spans="1:1" x14ac:dyDescent="0.3">
      <c r="A1330" t="s">
        <v>1319</v>
      </c>
    </row>
    <row r="1331" spans="1:1" x14ac:dyDescent="0.3">
      <c r="A1331" t="s">
        <v>1320</v>
      </c>
    </row>
    <row r="1332" spans="1:1" x14ac:dyDescent="0.3">
      <c r="A1332" t="s">
        <v>1321</v>
      </c>
    </row>
    <row r="1333" spans="1:1" x14ac:dyDescent="0.3">
      <c r="A1333" t="s">
        <v>1322</v>
      </c>
    </row>
    <row r="1334" spans="1:1" x14ac:dyDescent="0.3">
      <c r="A1334" t="s">
        <v>1323</v>
      </c>
    </row>
    <row r="1335" spans="1:1" x14ac:dyDescent="0.3">
      <c r="A1335" t="s">
        <v>1324</v>
      </c>
    </row>
    <row r="1336" spans="1:1" x14ac:dyDescent="0.3">
      <c r="A1336" t="s">
        <v>1325</v>
      </c>
    </row>
    <row r="1337" spans="1:1" x14ac:dyDescent="0.3">
      <c r="A1337" t="s">
        <v>1326</v>
      </c>
    </row>
    <row r="1338" spans="1:1" x14ac:dyDescent="0.3">
      <c r="A1338" t="s">
        <v>1327</v>
      </c>
    </row>
    <row r="1339" spans="1:1" x14ac:dyDescent="0.3">
      <c r="A1339" t="s">
        <v>360</v>
      </c>
    </row>
    <row r="1340" spans="1:1" x14ac:dyDescent="0.3">
      <c r="A1340" t="s">
        <v>1328</v>
      </c>
    </row>
    <row r="1341" spans="1:1" x14ac:dyDescent="0.3">
      <c r="A1341" t="s">
        <v>1329</v>
      </c>
    </row>
    <row r="1342" spans="1:1" x14ac:dyDescent="0.3">
      <c r="A1342" t="s">
        <v>1330</v>
      </c>
    </row>
    <row r="1343" spans="1:1" x14ac:dyDescent="0.3">
      <c r="A1343" t="s">
        <v>1331</v>
      </c>
    </row>
    <row r="1344" spans="1:1" x14ac:dyDescent="0.3">
      <c r="A1344" t="s">
        <v>1332</v>
      </c>
    </row>
    <row r="1345" spans="1:1" x14ac:dyDescent="0.3">
      <c r="A1345" t="s">
        <v>1333</v>
      </c>
    </row>
    <row r="1346" spans="1:1" x14ac:dyDescent="0.3">
      <c r="A1346" t="s">
        <v>1334</v>
      </c>
    </row>
    <row r="1347" spans="1:1" x14ac:dyDescent="0.3">
      <c r="A1347" t="s">
        <v>1335</v>
      </c>
    </row>
    <row r="1348" spans="1:1" x14ac:dyDescent="0.3">
      <c r="A1348" t="s">
        <v>1336</v>
      </c>
    </row>
    <row r="1349" spans="1:1" x14ac:dyDescent="0.3">
      <c r="A1349" t="s">
        <v>1337</v>
      </c>
    </row>
    <row r="1350" spans="1:1" x14ac:dyDescent="0.3">
      <c r="A1350" t="s">
        <v>1338</v>
      </c>
    </row>
    <row r="1351" spans="1:1" x14ac:dyDescent="0.3">
      <c r="A1351" t="s">
        <v>1339</v>
      </c>
    </row>
    <row r="1352" spans="1:1" x14ac:dyDescent="0.3">
      <c r="A1352" t="s">
        <v>1340</v>
      </c>
    </row>
    <row r="1353" spans="1:1" x14ac:dyDescent="0.3">
      <c r="A1353" t="s">
        <v>1341</v>
      </c>
    </row>
    <row r="1354" spans="1:1" x14ac:dyDescent="0.3">
      <c r="A1354" t="s">
        <v>1342</v>
      </c>
    </row>
    <row r="1355" spans="1:1" x14ac:dyDescent="0.3">
      <c r="A1355" t="s">
        <v>1343</v>
      </c>
    </row>
    <row r="1356" spans="1:1" x14ac:dyDescent="0.3">
      <c r="A1356" t="s">
        <v>1344</v>
      </c>
    </row>
    <row r="1357" spans="1:1" x14ac:dyDescent="0.3">
      <c r="A1357" t="s">
        <v>1345</v>
      </c>
    </row>
    <row r="1358" spans="1:1" x14ac:dyDescent="0.3">
      <c r="A1358" t="s">
        <v>1346</v>
      </c>
    </row>
    <row r="1359" spans="1:1" x14ac:dyDescent="0.3">
      <c r="A1359" t="s">
        <v>1347</v>
      </c>
    </row>
    <row r="1360" spans="1:1" x14ac:dyDescent="0.3">
      <c r="A1360" t="s">
        <v>1348</v>
      </c>
    </row>
    <row r="1361" spans="1:1" x14ac:dyDescent="0.3">
      <c r="A1361" t="s">
        <v>1349</v>
      </c>
    </row>
    <row r="1362" spans="1:1" x14ac:dyDescent="0.3">
      <c r="A1362" t="s">
        <v>1350</v>
      </c>
    </row>
    <row r="1363" spans="1:1" x14ac:dyDescent="0.3">
      <c r="A1363" t="s">
        <v>1351</v>
      </c>
    </row>
    <row r="1364" spans="1:1" x14ac:dyDescent="0.3">
      <c r="A1364" t="s">
        <v>1352</v>
      </c>
    </row>
    <row r="1365" spans="1:1" x14ac:dyDescent="0.3">
      <c r="A1365" t="s">
        <v>1353</v>
      </c>
    </row>
    <row r="1366" spans="1:1" x14ac:dyDescent="0.3">
      <c r="A1366" t="s">
        <v>1354</v>
      </c>
    </row>
    <row r="1367" spans="1:1" x14ac:dyDescent="0.3">
      <c r="A1367" t="s">
        <v>1355</v>
      </c>
    </row>
    <row r="1368" spans="1:1" x14ac:dyDescent="0.3">
      <c r="A1368" t="s">
        <v>1356</v>
      </c>
    </row>
    <row r="1369" spans="1:1" x14ac:dyDescent="0.3">
      <c r="A1369" t="s">
        <v>1357</v>
      </c>
    </row>
    <row r="1370" spans="1:1" x14ac:dyDescent="0.3">
      <c r="A1370" t="s">
        <v>1358</v>
      </c>
    </row>
    <row r="1371" spans="1:1" x14ac:dyDescent="0.3">
      <c r="A1371" t="s">
        <v>1359</v>
      </c>
    </row>
    <row r="1372" spans="1:1" x14ac:dyDescent="0.3">
      <c r="A1372" t="s">
        <v>1360</v>
      </c>
    </row>
    <row r="1373" spans="1:1" x14ac:dyDescent="0.3">
      <c r="A1373" t="s">
        <v>1361</v>
      </c>
    </row>
    <row r="1374" spans="1:1" x14ac:dyDescent="0.3">
      <c r="A1374" t="s">
        <v>1362</v>
      </c>
    </row>
    <row r="1375" spans="1:1" x14ac:dyDescent="0.3">
      <c r="A1375" t="s">
        <v>1363</v>
      </c>
    </row>
    <row r="1376" spans="1:1" x14ac:dyDescent="0.3">
      <c r="A1376" t="s">
        <v>1364</v>
      </c>
    </row>
    <row r="1377" spans="1:1" x14ac:dyDescent="0.3">
      <c r="A1377" t="s">
        <v>1365</v>
      </c>
    </row>
    <row r="1378" spans="1:1" x14ac:dyDescent="0.3">
      <c r="A1378" t="s">
        <v>1366</v>
      </c>
    </row>
    <row r="1379" spans="1:1" x14ac:dyDescent="0.3">
      <c r="A1379" t="s">
        <v>1367</v>
      </c>
    </row>
    <row r="1380" spans="1:1" x14ac:dyDescent="0.3">
      <c r="A1380" t="s">
        <v>1368</v>
      </c>
    </row>
    <row r="1381" spans="1:1" x14ac:dyDescent="0.3">
      <c r="A1381" t="s">
        <v>1369</v>
      </c>
    </row>
    <row r="1382" spans="1:1" x14ac:dyDescent="0.3">
      <c r="A1382" t="s">
        <v>1370</v>
      </c>
    </row>
    <row r="1383" spans="1:1" x14ac:dyDescent="0.3">
      <c r="A1383" t="s">
        <v>1371</v>
      </c>
    </row>
    <row r="1384" spans="1:1" x14ac:dyDescent="0.3">
      <c r="A1384" t="s">
        <v>1372</v>
      </c>
    </row>
    <row r="1385" spans="1:1" x14ac:dyDescent="0.3">
      <c r="A1385" t="s">
        <v>1373</v>
      </c>
    </row>
    <row r="1386" spans="1:1" x14ac:dyDescent="0.3">
      <c r="A1386" t="s">
        <v>1374</v>
      </c>
    </row>
    <row r="1387" spans="1:1" x14ac:dyDescent="0.3">
      <c r="A1387" t="s">
        <v>1375</v>
      </c>
    </row>
    <row r="1388" spans="1:1" x14ac:dyDescent="0.3">
      <c r="A1388" t="s">
        <v>1376</v>
      </c>
    </row>
    <row r="1389" spans="1:1" x14ac:dyDescent="0.3">
      <c r="A1389" t="s">
        <v>1377</v>
      </c>
    </row>
    <row r="1390" spans="1:1" x14ac:dyDescent="0.3">
      <c r="A1390" t="s">
        <v>1378</v>
      </c>
    </row>
    <row r="1391" spans="1:1" x14ac:dyDescent="0.3">
      <c r="A1391" t="s">
        <v>1379</v>
      </c>
    </row>
    <row r="1392" spans="1:1" x14ac:dyDescent="0.3">
      <c r="A1392" t="s">
        <v>1380</v>
      </c>
    </row>
    <row r="1393" spans="1:1" x14ac:dyDescent="0.3">
      <c r="A1393" t="s">
        <v>1381</v>
      </c>
    </row>
    <row r="1394" spans="1:1" x14ac:dyDescent="0.3">
      <c r="A1394" t="s">
        <v>1382</v>
      </c>
    </row>
    <row r="1395" spans="1:1" x14ac:dyDescent="0.3">
      <c r="A1395" t="s">
        <v>1383</v>
      </c>
    </row>
    <row r="1396" spans="1:1" x14ac:dyDescent="0.3">
      <c r="A1396" t="s">
        <v>1384</v>
      </c>
    </row>
    <row r="1397" spans="1:1" x14ac:dyDescent="0.3">
      <c r="A1397" t="s">
        <v>1385</v>
      </c>
    </row>
    <row r="1398" spans="1:1" x14ac:dyDescent="0.3">
      <c r="A1398" t="s">
        <v>1386</v>
      </c>
    </row>
    <row r="1399" spans="1:1" x14ac:dyDescent="0.3">
      <c r="A1399" t="s">
        <v>1387</v>
      </c>
    </row>
    <row r="1400" spans="1:1" x14ac:dyDescent="0.3">
      <c r="A1400" t="s">
        <v>1388</v>
      </c>
    </row>
    <row r="1401" spans="1:1" x14ac:dyDescent="0.3">
      <c r="A1401" t="s">
        <v>1389</v>
      </c>
    </row>
    <row r="1402" spans="1:1" x14ac:dyDescent="0.3">
      <c r="A1402" t="s">
        <v>1390</v>
      </c>
    </row>
    <row r="1403" spans="1:1" x14ac:dyDescent="0.3">
      <c r="A1403" t="s">
        <v>1391</v>
      </c>
    </row>
    <row r="1404" spans="1:1" x14ac:dyDescent="0.3">
      <c r="A1404" t="s">
        <v>1392</v>
      </c>
    </row>
    <row r="1405" spans="1:1" x14ac:dyDescent="0.3">
      <c r="A1405" t="s">
        <v>1393</v>
      </c>
    </row>
    <row r="1406" spans="1:1" x14ac:dyDescent="0.3">
      <c r="A1406" t="s">
        <v>1394</v>
      </c>
    </row>
    <row r="1407" spans="1:1" x14ac:dyDescent="0.3">
      <c r="A1407" t="s">
        <v>1395</v>
      </c>
    </row>
    <row r="1408" spans="1:1" x14ac:dyDescent="0.3">
      <c r="A1408" t="s">
        <v>1396</v>
      </c>
    </row>
    <row r="1409" spans="1:1" x14ac:dyDescent="0.3">
      <c r="A1409" t="s">
        <v>1397</v>
      </c>
    </row>
    <row r="1410" spans="1:1" x14ac:dyDescent="0.3">
      <c r="A1410" t="s">
        <v>1398</v>
      </c>
    </row>
    <row r="1411" spans="1:1" x14ac:dyDescent="0.3">
      <c r="A1411" t="s">
        <v>1399</v>
      </c>
    </row>
    <row r="1412" spans="1:1" x14ac:dyDescent="0.3">
      <c r="A1412" t="s">
        <v>1400</v>
      </c>
    </row>
    <row r="1413" spans="1:1" x14ac:dyDescent="0.3">
      <c r="A1413" t="s">
        <v>1401</v>
      </c>
    </row>
    <row r="1414" spans="1:1" x14ac:dyDescent="0.3">
      <c r="A1414" t="s">
        <v>1402</v>
      </c>
    </row>
    <row r="1415" spans="1:1" x14ac:dyDescent="0.3">
      <c r="A1415" t="s">
        <v>1403</v>
      </c>
    </row>
    <row r="1416" spans="1:1" x14ac:dyDescent="0.3">
      <c r="A1416" t="s">
        <v>1404</v>
      </c>
    </row>
    <row r="1417" spans="1:1" x14ac:dyDescent="0.3">
      <c r="A1417" t="s">
        <v>1405</v>
      </c>
    </row>
    <row r="1418" spans="1:1" x14ac:dyDescent="0.3">
      <c r="A1418" t="s">
        <v>1406</v>
      </c>
    </row>
    <row r="1419" spans="1:1" x14ac:dyDescent="0.3">
      <c r="A1419" t="s">
        <v>1407</v>
      </c>
    </row>
    <row r="1420" spans="1:1" x14ac:dyDescent="0.3">
      <c r="A1420" t="s">
        <v>1408</v>
      </c>
    </row>
    <row r="1421" spans="1:1" x14ac:dyDescent="0.3">
      <c r="A1421" t="s">
        <v>1409</v>
      </c>
    </row>
    <row r="1422" spans="1:1" x14ac:dyDescent="0.3">
      <c r="A1422" t="s">
        <v>68</v>
      </c>
    </row>
    <row r="1423" spans="1:1" x14ac:dyDescent="0.3">
      <c r="A1423" t="s">
        <v>1410</v>
      </c>
    </row>
    <row r="1424" spans="1:1" x14ac:dyDescent="0.3">
      <c r="A1424" t="s">
        <v>1411</v>
      </c>
    </row>
    <row r="1425" spans="1:1" x14ac:dyDescent="0.3">
      <c r="A1425" t="s">
        <v>1412</v>
      </c>
    </row>
    <row r="1426" spans="1:1" x14ac:dyDescent="0.3">
      <c r="A1426" t="s">
        <v>1413</v>
      </c>
    </row>
    <row r="1427" spans="1:1" x14ac:dyDescent="0.3">
      <c r="A1427" t="s">
        <v>1414</v>
      </c>
    </row>
    <row r="1428" spans="1:1" x14ac:dyDescent="0.3">
      <c r="A1428" t="s">
        <v>1415</v>
      </c>
    </row>
    <row r="1429" spans="1:1" x14ac:dyDescent="0.3">
      <c r="A1429" t="s">
        <v>1416</v>
      </c>
    </row>
    <row r="1430" spans="1:1" x14ac:dyDescent="0.3">
      <c r="A1430" t="s">
        <v>1417</v>
      </c>
    </row>
    <row r="1431" spans="1:1" x14ac:dyDescent="0.3">
      <c r="A1431" t="s">
        <v>1418</v>
      </c>
    </row>
    <row r="1432" spans="1:1" x14ac:dyDescent="0.3">
      <c r="A1432" t="s">
        <v>1419</v>
      </c>
    </row>
    <row r="1433" spans="1:1" x14ac:dyDescent="0.3">
      <c r="A1433" t="s">
        <v>1420</v>
      </c>
    </row>
    <row r="1434" spans="1:1" x14ac:dyDescent="0.3">
      <c r="A1434" t="s">
        <v>1421</v>
      </c>
    </row>
    <row r="1435" spans="1:1" x14ac:dyDescent="0.3">
      <c r="A1435" t="s">
        <v>1422</v>
      </c>
    </row>
    <row r="1436" spans="1:1" x14ac:dyDescent="0.3">
      <c r="A1436" t="s">
        <v>1423</v>
      </c>
    </row>
    <row r="1437" spans="1:1" x14ac:dyDescent="0.3">
      <c r="A1437" t="s">
        <v>1424</v>
      </c>
    </row>
    <row r="1438" spans="1:1" x14ac:dyDescent="0.3">
      <c r="A1438" t="s">
        <v>1425</v>
      </c>
    </row>
    <row r="1439" spans="1:1" x14ac:dyDescent="0.3">
      <c r="A1439" t="s">
        <v>1426</v>
      </c>
    </row>
    <row r="1440" spans="1:1" x14ac:dyDescent="0.3">
      <c r="A1440" t="s">
        <v>1427</v>
      </c>
    </row>
    <row r="1441" spans="1:1" x14ac:dyDescent="0.3">
      <c r="A1441" t="s">
        <v>1428</v>
      </c>
    </row>
    <row r="1442" spans="1:1" x14ac:dyDescent="0.3">
      <c r="A1442" t="s">
        <v>1429</v>
      </c>
    </row>
    <row r="1443" spans="1:1" x14ac:dyDescent="0.3">
      <c r="A1443" t="s">
        <v>1430</v>
      </c>
    </row>
    <row r="1444" spans="1:1" x14ac:dyDescent="0.3">
      <c r="A1444" t="s">
        <v>1431</v>
      </c>
    </row>
    <row r="1445" spans="1:1" x14ac:dyDescent="0.3">
      <c r="A1445" t="s">
        <v>1432</v>
      </c>
    </row>
    <row r="1446" spans="1:1" x14ac:dyDescent="0.3">
      <c r="A1446" t="s">
        <v>1433</v>
      </c>
    </row>
    <row r="1447" spans="1:1" x14ac:dyDescent="0.3">
      <c r="A1447" t="s">
        <v>1434</v>
      </c>
    </row>
    <row r="1448" spans="1:1" x14ac:dyDescent="0.3">
      <c r="A1448" t="s">
        <v>1435</v>
      </c>
    </row>
    <row r="1449" spans="1:1" x14ac:dyDescent="0.3">
      <c r="A1449" t="s">
        <v>1436</v>
      </c>
    </row>
    <row r="1450" spans="1:1" x14ac:dyDescent="0.3">
      <c r="A1450" t="s">
        <v>1437</v>
      </c>
    </row>
    <row r="1451" spans="1:1" x14ac:dyDescent="0.3">
      <c r="A1451" t="s">
        <v>1438</v>
      </c>
    </row>
    <row r="1452" spans="1:1" x14ac:dyDescent="0.3">
      <c r="A1452" t="s">
        <v>1439</v>
      </c>
    </row>
    <row r="1453" spans="1:1" x14ac:dyDescent="0.3">
      <c r="A1453" t="s">
        <v>1440</v>
      </c>
    </row>
    <row r="1454" spans="1:1" x14ac:dyDescent="0.3">
      <c r="A1454" t="s">
        <v>1441</v>
      </c>
    </row>
    <row r="1455" spans="1:1" x14ac:dyDescent="0.3">
      <c r="A1455" t="s">
        <v>1442</v>
      </c>
    </row>
    <row r="1456" spans="1:1" x14ac:dyDescent="0.3">
      <c r="A1456" t="s">
        <v>1443</v>
      </c>
    </row>
    <row r="1457" spans="1:1" x14ac:dyDescent="0.3">
      <c r="A1457" t="s">
        <v>1444</v>
      </c>
    </row>
    <row r="1458" spans="1:1" x14ac:dyDescent="0.3">
      <c r="A1458" t="s">
        <v>1445</v>
      </c>
    </row>
    <row r="1459" spans="1:1" x14ac:dyDescent="0.3">
      <c r="A1459" t="s">
        <v>1446</v>
      </c>
    </row>
    <row r="1460" spans="1:1" x14ac:dyDescent="0.3">
      <c r="A1460" t="s">
        <v>1447</v>
      </c>
    </row>
    <row r="1461" spans="1:1" x14ac:dyDescent="0.3">
      <c r="A1461" t="s">
        <v>1448</v>
      </c>
    </row>
    <row r="1462" spans="1:1" x14ac:dyDescent="0.3">
      <c r="A1462" t="s">
        <v>1449</v>
      </c>
    </row>
    <row r="1463" spans="1:1" x14ac:dyDescent="0.3">
      <c r="A1463" t="s">
        <v>1450</v>
      </c>
    </row>
    <row r="1464" spans="1:1" x14ac:dyDescent="0.3">
      <c r="A1464" t="s">
        <v>1451</v>
      </c>
    </row>
    <row r="1465" spans="1:1" x14ac:dyDescent="0.3">
      <c r="A1465" t="s">
        <v>1452</v>
      </c>
    </row>
    <row r="1466" spans="1:1" x14ac:dyDescent="0.3">
      <c r="A1466" t="s">
        <v>1453</v>
      </c>
    </row>
    <row r="1467" spans="1:1" x14ac:dyDescent="0.3">
      <c r="A1467" t="s">
        <v>1454</v>
      </c>
    </row>
    <row r="1468" spans="1:1" x14ac:dyDescent="0.3">
      <c r="A1468" t="s">
        <v>1455</v>
      </c>
    </row>
    <row r="1469" spans="1:1" x14ac:dyDescent="0.3">
      <c r="A1469" t="s">
        <v>1456</v>
      </c>
    </row>
    <row r="1470" spans="1:1" x14ac:dyDescent="0.3">
      <c r="A1470" t="s">
        <v>1457</v>
      </c>
    </row>
    <row r="1471" spans="1:1" x14ac:dyDescent="0.3">
      <c r="A1471" t="s">
        <v>1458</v>
      </c>
    </row>
    <row r="1472" spans="1:1" x14ac:dyDescent="0.3">
      <c r="A1472" t="s">
        <v>1459</v>
      </c>
    </row>
    <row r="1473" spans="1:1" x14ac:dyDescent="0.3">
      <c r="A1473" t="s">
        <v>1460</v>
      </c>
    </row>
    <row r="1474" spans="1:1" x14ac:dyDescent="0.3">
      <c r="A1474" t="s">
        <v>1461</v>
      </c>
    </row>
    <row r="1475" spans="1:1" x14ac:dyDescent="0.3">
      <c r="A1475" t="s">
        <v>1462</v>
      </c>
    </row>
    <row r="1476" spans="1:1" x14ac:dyDescent="0.3">
      <c r="A1476" t="s">
        <v>1463</v>
      </c>
    </row>
    <row r="1477" spans="1:1" x14ac:dyDescent="0.3">
      <c r="A1477" t="s">
        <v>1464</v>
      </c>
    </row>
    <row r="1478" spans="1:1" x14ac:dyDescent="0.3">
      <c r="A1478" t="s">
        <v>1465</v>
      </c>
    </row>
    <row r="1479" spans="1:1" x14ac:dyDescent="0.3">
      <c r="A1479" t="s">
        <v>1466</v>
      </c>
    </row>
    <row r="1480" spans="1:1" x14ac:dyDescent="0.3">
      <c r="A1480" t="s">
        <v>1467</v>
      </c>
    </row>
    <row r="1481" spans="1:1" x14ac:dyDescent="0.3">
      <c r="A1481" t="s">
        <v>1468</v>
      </c>
    </row>
    <row r="1482" spans="1:1" x14ac:dyDescent="0.3">
      <c r="A1482" t="s">
        <v>1469</v>
      </c>
    </row>
    <row r="1483" spans="1:1" x14ac:dyDescent="0.3">
      <c r="A1483" t="s">
        <v>1470</v>
      </c>
    </row>
    <row r="1484" spans="1:1" x14ac:dyDescent="0.3">
      <c r="A1484" t="s">
        <v>1471</v>
      </c>
    </row>
    <row r="1485" spans="1:1" x14ac:dyDescent="0.3">
      <c r="A1485" t="s">
        <v>1472</v>
      </c>
    </row>
    <row r="1486" spans="1:1" x14ac:dyDescent="0.3">
      <c r="A1486" t="s">
        <v>1473</v>
      </c>
    </row>
    <row r="1487" spans="1:1" x14ac:dyDescent="0.3">
      <c r="A1487" t="s">
        <v>1474</v>
      </c>
    </row>
    <row r="1488" spans="1:1" x14ac:dyDescent="0.3">
      <c r="A1488" t="s">
        <v>1475</v>
      </c>
    </row>
    <row r="1489" spans="1:1" x14ac:dyDescent="0.3">
      <c r="A1489" t="s">
        <v>1476</v>
      </c>
    </row>
    <row r="1490" spans="1:1" x14ac:dyDescent="0.3">
      <c r="A1490" t="s">
        <v>1477</v>
      </c>
    </row>
    <row r="1491" spans="1:1" x14ac:dyDescent="0.3">
      <c r="A1491" t="s">
        <v>1478</v>
      </c>
    </row>
    <row r="1492" spans="1:1" x14ac:dyDescent="0.3">
      <c r="A1492" t="s">
        <v>1479</v>
      </c>
    </row>
    <row r="1493" spans="1:1" x14ac:dyDescent="0.3">
      <c r="A1493" t="s">
        <v>1480</v>
      </c>
    </row>
    <row r="1494" spans="1:1" x14ac:dyDescent="0.3">
      <c r="A1494" t="s">
        <v>1481</v>
      </c>
    </row>
    <row r="1495" spans="1:1" x14ac:dyDescent="0.3">
      <c r="A1495" t="s">
        <v>1482</v>
      </c>
    </row>
    <row r="1496" spans="1:1" x14ac:dyDescent="0.3">
      <c r="A1496" t="s">
        <v>1483</v>
      </c>
    </row>
    <row r="1497" spans="1:1" x14ac:dyDescent="0.3">
      <c r="A1497" t="s">
        <v>1484</v>
      </c>
    </row>
    <row r="1498" spans="1:1" x14ac:dyDescent="0.3">
      <c r="A1498" t="s">
        <v>1485</v>
      </c>
    </row>
    <row r="1499" spans="1:1" x14ac:dyDescent="0.3">
      <c r="A1499" t="s">
        <v>1486</v>
      </c>
    </row>
    <row r="1500" spans="1:1" x14ac:dyDescent="0.3">
      <c r="A1500" t="s">
        <v>1487</v>
      </c>
    </row>
    <row r="1501" spans="1:1" x14ac:dyDescent="0.3">
      <c r="A1501" t="s">
        <v>1488</v>
      </c>
    </row>
    <row r="1502" spans="1:1" x14ac:dyDescent="0.3">
      <c r="A1502" t="s">
        <v>1489</v>
      </c>
    </row>
    <row r="1503" spans="1:1" x14ac:dyDescent="0.3">
      <c r="A1503" t="s">
        <v>1490</v>
      </c>
    </row>
    <row r="1504" spans="1:1" x14ac:dyDescent="0.3">
      <c r="A1504" t="s">
        <v>1491</v>
      </c>
    </row>
    <row r="1505" spans="1:1" x14ac:dyDescent="0.3">
      <c r="A1505" t="s">
        <v>1492</v>
      </c>
    </row>
    <row r="1506" spans="1:1" x14ac:dyDescent="0.3">
      <c r="A1506" t="s">
        <v>1493</v>
      </c>
    </row>
    <row r="1507" spans="1:1" x14ac:dyDescent="0.3">
      <c r="A1507" t="s">
        <v>1494</v>
      </c>
    </row>
    <row r="1508" spans="1:1" x14ac:dyDescent="0.3">
      <c r="A1508" t="s">
        <v>1495</v>
      </c>
    </row>
    <row r="1509" spans="1:1" x14ac:dyDescent="0.3">
      <c r="A1509" t="s">
        <v>1496</v>
      </c>
    </row>
    <row r="1510" spans="1:1" x14ac:dyDescent="0.3">
      <c r="A1510" t="s">
        <v>1497</v>
      </c>
    </row>
    <row r="1511" spans="1:1" x14ac:dyDescent="0.3">
      <c r="A1511" t="s">
        <v>1498</v>
      </c>
    </row>
    <row r="1512" spans="1:1" x14ac:dyDescent="0.3">
      <c r="A1512" t="s">
        <v>1499</v>
      </c>
    </row>
    <row r="1513" spans="1:1" x14ac:dyDescent="0.3">
      <c r="A1513" t="s">
        <v>1500</v>
      </c>
    </row>
    <row r="1514" spans="1:1" x14ac:dyDescent="0.3">
      <c r="A1514" t="s">
        <v>1501</v>
      </c>
    </row>
    <row r="1515" spans="1:1" x14ac:dyDescent="0.3">
      <c r="A1515" t="s">
        <v>1502</v>
      </c>
    </row>
    <row r="1516" spans="1:1" x14ac:dyDescent="0.3">
      <c r="A1516" t="s">
        <v>1503</v>
      </c>
    </row>
    <row r="1517" spans="1:1" x14ac:dyDescent="0.3">
      <c r="A1517" t="s">
        <v>1504</v>
      </c>
    </row>
    <row r="1518" spans="1:1" x14ac:dyDescent="0.3">
      <c r="A1518" t="s">
        <v>1505</v>
      </c>
    </row>
    <row r="1519" spans="1:1" x14ac:dyDescent="0.3">
      <c r="A1519" t="s">
        <v>1506</v>
      </c>
    </row>
    <row r="1520" spans="1:1" x14ac:dyDescent="0.3">
      <c r="A1520" t="s">
        <v>1507</v>
      </c>
    </row>
    <row r="1521" spans="1:1" x14ac:dyDescent="0.3">
      <c r="A1521" t="s">
        <v>1508</v>
      </c>
    </row>
    <row r="1522" spans="1:1" x14ac:dyDescent="0.3">
      <c r="A1522" t="s">
        <v>1509</v>
      </c>
    </row>
    <row r="1523" spans="1:1" x14ac:dyDescent="0.3">
      <c r="A1523" t="s">
        <v>1510</v>
      </c>
    </row>
    <row r="1524" spans="1:1" x14ac:dyDescent="0.3">
      <c r="A1524" t="s">
        <v>1511</v>
      </c>
    </row>
    <row r="1525" spans="1:1" x14ac:dyDescent="0.3">
      <c r="A1525" t="s">
        <v>1512</v>
      </c>
    </row>
    <row r="1526" spans="1:1" x14ac:dyDescent="0.3">
      <c r="A1526" t="s">
        <v>1513</v>
      </c>
    </row>
    <row r="1527" spans="1:1" x14ac:dyDescent="0.3">
      <c r="A1527" t="s">
        <v>1514</v>
      </c>
    </row>
    <row r="1528" spans="1:1" x14ac:dyDescent="0.3">
      <c r="A1528" t="s">
        <v>1515</v>
      </c>
    </row>
    <row r="1529" spans="1:1" x14ac:dyDescent="0.3">
      <c r="A1529" t="s">
        <v>1516</v>
      </c>
    </row>
    <row r="1530" spans="1:1" x14ac:dyDescent="0.3">
      <c r="A1530" t="s">
        <v>1517</v>
      </c>
    </row>
    <row r="1531" spans="1:1" x14ac:dyDescent="0.3">
      <c r="A1531" t="s">
        <v>1518</v>
      </c>
    </row>
    <row r="1532" spans="1:1" x14ac:dyDescent="0.3">
      <c r="A1532" t="s">
        <v>1519</v>
      </c>
    </row>
    <row r="1533" spans="1:1" x14ac:dyDescent="0.3">
      <c r="A1533" t="s">
        <v>1520</v>
      </c>
    </row>
    <row r="1534" spans="1:1" x14ac:dyDescent="0.3">
      <c r="A1534" t="s">
        <v>1483</v>
      </c>
    </row>
    <row r="1535" spans="1:1" x14ac:dyDescent="0.3">
      <c r="A1535" t="s">
        <v>1521</v>
      </c>
    </row>
    <row r="1536" spans="1:1" x14ac:dyDescent="0.3">
      <c r="A1536" t="s">
        <v>1522</v>
      </c>
    </row>
    <row r="1537" spans="1:1" x14ac:dyDescent="0.3">
      <c r="A1537" t="s">
        <v>1523</v>
      </c>
    </row>
    <row r="1538" spans="1:1" x14ac:dyDescent="0.3">
      <c r="A1538" t="s">
        <v>1524</v>
      </c>
    </row>
    <row r="1539" spans="1:1" x14ac:dyDescent="0.3">
      <c r="A1539" t="s">
        <v>1525</v>
      </c>
    </row>
    <row r="1540" spans="1:1" x14ac:dyDescent="0.3">
      <c r="A1540" t="s">
        <v>1526</v>
      </c>
    </row>
    <row r="1541" spans="1:1" x14ac:dyDescent="0.3">
      <c r="A1541" t="s">
        <v>1527</v>
      </c>
    </row>
    <row r="1542" spans="1:1" x14ac:dyDescent="0.3">
      <c r="A1542" t="s">
        <v>1528</v>
      </c>
    </row>
    <row r="1543" spans="1:1" x14ac:dyDescent="0.3">
      <c r="A1543" t="s">
        <v>175</v>
      </c>
    </row>
    <row r="1544" spans="1:1" x14ac:dyDescent="0.3">
      <c r="A1544" t="s">
        <v>1529</v>
      </c>
    </row>
    <row r="1545" spans="1:1" x14ac:dyDescent="0.3">
      <c r="A1545" t="s">
        <v>1530</v>
      </c>
    </row>
    <row r="1546" spans="1:1" x14ac:dyDescent="0.3">
      <c r="A1546" t="s">
        <v>1531</v>
      </c>
    </row>
    <row r="1547" spans="1:1" x14ac:dyDescent="0.3">
      <c r="A1547" t="s">
        <v>1532</v>
      </c>
    </row>
    <row r="1548" spans="1:1" x14ac:dyDescent="0.3">
      <c r="A1548" t="s">
        <v>1533</v>
      </c>
    </row>
    <row r="1549" spans="1:1" x14ac:dyDescent="0.3">
      <c r="A1549" t="s">
        <v>1534</v>
      </c>
    </row>
    <row r="1550" spans="1:1" x14ac:dyDescent="0.3">
      <c r="A1550" t="s">
        <v>1535</v>
      </c>
    </row>
    <row r="1551" spans="1:1" x14ac:dyDescent="0.3">
      <c r="A1551" t="s">
        <v>1536</v>
      </c>
    </row>
    <row r="1552" spans="1:1" x14ac:dyDescent="0.3">
      <c r="A1552" t="s">
        <v>1537</v>
      </c>
    </row>
    <row r="1553" spans="1:1" x14ac:dyDescent="0.3">
      <c r="A1553" t="s">
        <v>1538</v>
      </c>
    </row>
    <row r="1554" spans="1:1" x14ac:dyDescent="0.3">
      <c r="A1554" t="s">
        <v>1539</v>
      </c>
    </row>
    <row r="1555" spans="1:1" x14ac:dyDescent="0.3">
      <c r="A1555" t="s">
        <v>1540</v>
      </c>
    </row>
    <row r="1556" spans="1:1" x14ac:dyDescent="0.3">
      <c r="A1556" t="s">
        <v>1541</v>
      </c>
    </row>
    <row r="1557" spans="1:1" x14ac:dyDescent="0.3">
      <c r="A1557" t="s">
        <v>1542</v>
      </c>
    </row>
    <row r="1558" spans="1:1" x14ac:dyDescent="0.3">
      <c r="A1558" t="s">
        <v>1543</v>
      </c>
    </row>
    <row r="1559" spans="1:1" x14ac:dyDescent="0.3">
      <c r="A1559" t="s">
        <v>1544</v>
      </c>
    </row>
    <row r="1560" spans="1:1" x14ac:dyDescent="0.3">
      <c r="A1560" t="s">
        <v>1545</v>
      </c>
    </row>
    <row r="1561" spans="1:1" x14ac:dyDescent="0.3">
      <c r="A1561" t="s">
        <v>1546</v>
      </c>
    </row>
    <row r="1562" spans="1:1" x14ac:dyDescent="0.3">
      <c r="A1562" t="s">
        <v>1547</v>
      </c>
    </row>
    <row r="1563" spans="1:1" x14ac:dyDescent="0.3">
      <c r="A1563" t="s">
        <v>1548</v>
      </c>
    </row>
    <row r="1564" spans="1:1" x14ac:dyDescent="0.3">
      <c r="A1564" t="s">
        <v>1549</v>
      </c>
    </row>
    <row r="1565" spans="1:1" x14ac:dyDescent="0.3">
      <c r="A1565" t="s">
        <v>1550</v>
      </c>
    </row>
    <row r="1566" spans="1:1" x14ac:dyDescent="0.3">
      <c r="A1566" t="s">
        <v>1551</v>
      </c>
    </row>
    <row r="1567" spans="1:1" x14ac:dyDescent="0.3">
      <c r="A1567" t="s">
        <v>1552</v>
      </c>
    </row>
    <row r="1568" spans="1:1" x14ac:dyDescent="0.3">
      <c r="A1568" t="s">
        <v>1553</v>
      </c>
    </row>
    <row r="1569" spans="1:1" x14ac:dyDescent="0.3">
      <c r="A1569" t="s">
        <v>1554</v>
      </c>
    </row>
    <row r="1570" spans="1:1" x14ac:dyDescent="0.3">
      <c r="A1570" t="s">
        <v>1555</v>
      </c>
    </row>
    <row r="1571" spans="1:1" x14ac:dyDescent="0.3">
      <c r="A1571" t="s">
        <v>1556</v>
      </c>
    </row>
    <row r="1572" spans="1:1" x14ac:dyDescent="0.3">
      <c r="A1572" t="s">
        <v>1557</v>
      </c>
    </row>
    <row r="1573" spans="1:1" x14ac:dyDescent="0.3">
      <c r="A1573" t="s">
        <v>1558</v>
      </c>
    </row>
    <row r="1574" spans="1:1" x14ac:dyDescent="0.3">
      <c r="A1574" t="s">
        <v>1559</v>
      </c>
    </row>
    <row r="1575" spans="1:1" x14ac:dyDescent="0.3">
      <c r="A1575" t="s">
        <v>1560</v>
      </c>
    </row>
    <row r="1576" spans="1:1" x14ac:dyDescent="0.3">
      <c r="A1576" t="s">
        <v>1561</v>
      </c>
    </row>
    <row r="1577" spans="1:1" x14ac:dyDescent="0.3">
      <c r="A1577" t="s">
        <v>1562</v>
      </c>
    </row>
    <row r="1578" spans="1:1" x14ac:dyDescent="0.3">
      <c r="A1578" t="s">
        <v>1563</v>
      </c>
    </row>
    <row r="1579" spans="1:1" x14ac:dyDescent="0.3">
      <c r="A1579" t="s">
        <v>1564</v>
      </c>
    </row>
    <row r="1580" spans="1:1" x14ac:dyDescent="0.3">
      <c r="A1580" t="s">
        <v>1565</v>
      </c>
    </row>
    <row r="1581" spans="1:1" x14ac:dyDescent="0.3">
      <c r="A1581" t="s">
        <v>1566</v>
      </c>
    </row>
    <row r="1582" spans="1:1" x14ac:dyDescent="0.3">
      <c r="A1582" t="s">
        <v>1567</v>
      </c>
    </row>
    <row r="1583" spans="1:1" x14ac:dyDescent="0.3">
      <c r="A1583" t="s">
        <v>1568</v>
      </c>
    </row>
    <row r="1584" spans="1:1" x14ac:dyDescent="0.3">
      <c r="A1584" t="s">
        <v>1569</v>
      </c>
    </row>
    <row r="1585" spans="1:1" x14ac:dyDescent="0.3">
      <c r="A1585" t="s">
        <v>1570</v>
      </c>
    </row>
    <row r="1586" spans="1:1" x14ac:dyDescent="0.3">
      <c r="A1586" t="s">
        <v>1571</v>
      </c>
    </row>
    <row r="1587" spans="1:1" x14ac:dyDescent="0.3">
      <c r="A1587" t="s">
        <v>1572</v>
      </c>
    </row>
    <row r="1588" spans="1:1" x14ac:dyDescent="0.3">
      <c r="A1588" t="s">
        <v>1573</v>
      </c>
    </row>
    <row r="1589" spans="1:1" x14ac:dyDescent="0.3">
      <c r="A1589" t="s">
        <v>1574</v>
      </c>
    </row>
    <row r="1590" spans="1:1" x14ac:dyDescent="0.3">
      <c r="A1590" t="s">
        <v>1575</v>
      </c>
    </row>
    <row r="1591" spans="1:1" x14ac:dyDescent="0.3">
      <c r="A1591" t="s">
        <v>1576</v>
      </c>
    </row>
    <row r="1592" spans="1:1" x14ac:dyDescent="0.3">
      <c r="A1592" t="s">
        <v>1577</v>
      </c>
    </row>
    <row r="1593" spans="1:1" x14ac:dyDescent="0.3">
      <c r="A1593" t="s">
        <v>1578</v>
      </c>
    </row>
    <row r="1594" spans="1:1" x14ac:dyDescent="0.3">
      <c r="A1594" t="s">
        <v>1579</v>
      </c>
    </row>
    <row r="1595" spans="1:1" x14ac:dyDescent="0.3">
      <c r="A1595" t="s">
        <v>1580</v>
      </c>
    </row>
    <row r="1596" spans="1:1" x14ac:dyDescent="0.3">
      <c r="A1596" t="s">
        <v>1581</v>
      </c>
    </row>
    <row r="1597" spans="1:1" x14ac:dyDescent="0.3">
      <c r="A1597" t="s">
        <v>1582</v>
      </c>
    </row>
    <row r="1598" spans="1:1" x14ac:dyDescent="0.3">
      <c r="A1598" t="s">
        <v>1583</v>
      </c>
    </row>
    <row r="1599" spans="1:1" x14ac:dyDescent="0.3">
      <c r="A1599" t="s">
        <v>1584</v>
      </c>
    </row>
    <row r="1600" spans="1:1" x14ac:dyDescent="0.3">
      <c r="A1600" t="s">
        <v>1585</v>
      </c>
    </row>
    <row r="1601" spans="1:1" x14ac:dyDescent="0.3">
      <c r="A1601" t="s">
        <v>1586</v>
      </c>
    </row>
    <row r="1602" spans="1:1" x14ac:dyDescent="0.3">
      <c r="A1602" t="s">
        <v>1587</v>
      </c>
    </row>
    <row r="1603" spans="1:1" x14ac:dyDescent="0.3">
      <c r="A1603" t="s">
        <v>1588</v>
      </c>
    </row>
    <row r="1604" spans="1:1" x14ac:dyDescent="0.3">
      <c r="A1604" t="s">
        <v>1589</v>
      </c>
    </row>
    <row r="1605" spans="1:1" x14ac:dyDescent="0.3">
      <c r="A1605" t="s">
        <v>1590</v>
      </c>
    </row>
    <row r="1606" spans="1:1" x14ac:dyDescent="0.3">
      <c r="A1606" t="s">
        <v>1591</v>
      </c>
    </row>
    <row r="1607" spans="1:1" x14ac:dyDescent="0.3">
      <c r="A1607" t="s">
        <v>1592</v>
      </c>
    </row>
    <row r="1608" spans="1:1" x14ac:dyDescent="0.3">
      <c r="A1608" t="s">
        <v>1593</v>
      </c>
    </row>
    <row r="1609" spans="1:1" x14ac:dyDescent="0.3">
      <c r="A1609" t="s">
        <v>1594</v>
      </c>
    </row>
    <row r="1610" spans="1:1" x14ac:dyDescent="0.3">
      <c r="A1610" t="s">
        <v>1595</v>
      </c>
    </row>
    <row r="1611" spans="1:1" x14ac:dyDescent="0.3">
      <c r="A1611" t="s">
        <v>1596</v>
      </c>
    </row>
    <row r="1612" spans="1:1" x14ac:dyDescent="0.3">
      <c r="A1612" t="s">
        <v>1597</v>
      </c>
    </row>
    <row r="1613" spans="1:1" x14ac:dyDescent="0.3">
      <c r="A1613" t="s">
        <v>1598</v>
      </c>
    </row>
    <row r="1614" spans="1:1" x14ac:dyDescent="0.3">
      <c r="A1614" t="s">
        <v>1599</v>
      </c>
    </row>
    <row r="1615" spans="1:1" x14ac:dyDescent="0.3">
      <c r="A1615" t="s">
        <v>1600</v>
      </c>
    </row>
    <row r="1616" spans="1:1" x14ac:dyDescent="0.3">
      <c r="A1616" t="s">
        <v>1601</v>
      </c>
    </row>
    <row r="1617" spans="1:1" x14ac:dyDescent="0.3">
      <c r="A1617" t="s">
        <v>1602</v>
      </c>
    </row>
    <row r="1618" spans="1:1" x14ac:dyDescent="0.3">
      <c r="A1618" t="s">
        <v>1603</v>
      </c>
    </row>
    <row r="1619" spans="1:1" x14ac:dyDescent="0.3">
      <c r="A1619" t="s">
        <v>1604</v>
      </c>
    </row>
    <row r="1620" spans="1:1" x14ac:dyDescent="0.3">
      <c r="A1620" t="s">
        <v>1605</v>
      </c>
    </row>
    <row r="1621" spans="1:1" x14ac:dyDescent="0.3">
      <c r="A1621" t="s">
        <v>1606</v>
      </c>
    </row>
    <row r="1622" spans="1:1" x14ac:dyDescent="0.3">
      <c r="A1622" t="s">
        <v>1607</v>
      </c>
    </row>
    <row r="1623" spans="1:1" x14ac:dyDescent="0.3">
      <c r="A1623" t="s">
        <v>1608</v>
      </c>
    </row>
    <row r="1624" spans="1:1" x14ac:dyDescent="0.3">
      <c r="A1624" t="s">
        <v>1609</v>
      </c>
    </row>
    <row r="1625" spans="1:1" x14ac:dyDescent="0.3">
      <c r="A1625" t="s">
        <v>1610</v>
      </c>
    </row>
    <row r="1626" spans="1:1" x14ac:dyDescent="0.3">
      <c r="A1626" t="s">
        <v>1611</v>
      </c>
    </row>
    <row r="1627" spans="1:1" x14ac:dyDescent="0.3">
      <c r="A1627" t="s">
        <v>1612</v>
      </c>
    </row>
    <row r="1628" spans="1:1" x14ac:dyDescent="0.3">
      <c r="A1628" t="s">
        <v>1613</v>
      </c>
    </row>
    <row r="1629" spans="1:1" x14ac:dyDescent="0.3">
      <c r="A1629" t="s">
        <v>1614</v>
      </c>
    </row>
    <row r="1630" spans="1:1" x14ac:dyDescent="0.3">
      <c r="A1630" t="s">
        <v>1615</v>
      </c>
    </row>
    <row r="1631" spans="1:1" x14ac:dyDescent="0.3">
      <c r="A1631" t="s">
        <v>1616</v>
      </c>
    </row>
    <row r="1632" spans="1:1" x14ac:dyDescent="0.3">
      <c r="A1632" t="s">
        <v>1617</v>
      </c>
    </row>
    <row r="1633" spans="1:1" x14ac:dyDescent="0.3">
      <c r="A1633" t="s">
        <v>1618</v>
      </c>
    </row>
    <row r="1634" spans="1:1" x14ac:dyDescent="0.3">
      <c r="A1634" t="s">
        <v>1619</v>
      </c>
    </row>
    <row r="1635" spans="1:1" x14ac:dyDescent="0.3">
      <c r="A1635" t="s">
        <v>1620</v>
      </c>
    </row>
    <row r="1636" spans="1:1" x14ac:dyDescent="0.3">
      <c r="A1636" t="s">
        <v>1621</v>
      </c>
    </row>
    <row r="1637" spans="1:1" x14ac:dyDescent="0.3">
      <c r="A1637" t="s">
        <v>1622</v>
      </c>
    </row>
    <row r="1638" spans="1:1" x14ac:dyDescent="0.3">
      <c r="A1638" t="s">
        <v>1623</v>
      </c>
    </row>
    <row r="1639" spans="1:1" x14ac:dyDescent="0.3">
      <c r="A1639" t="s">
        <v>1624</v>
      </c>
    </row>
    <row r="1640" spans="1:1" x14ac:dyDescent="0.3">
      <c r="A1640" t="s">
        <v>1625</v>
      </c>
    </row>
    <row r="1641" spans="1:1" x14ac:dyDescent="0.3">
      <c r="A1641" t="s">
        <v>1626</v>
      </c>
    </row>
    <row r="1642" spans="1:1" x14ac:dyDescent="0.3">
      <c r="A1642" t="s">
        <v>1627</v>
      </c>
    </row>
    <row r="1643" spans="1:1" x14ac:dyDescent="0.3">
      <c r="A1643" t="s">
        <v>1628</v>
      </c>
    </row>
    <row r="1644" spans="1:1" x14ac:dyDescent="0.3">
      <c r="A1644" t="s">
        <v>1629</v>
      </c>
    </row>
    <row r="1645" spans="1:1" x14ac:dyDescent="0.3">
      <c r="A1645" t="s">
        <v>1630</v>
      </c>
    </row>
    <row r="1646" spans="1:1" x14ac:dyDescent="0.3">
      <c r="A1646" t="s">
        <v>1631</v>
      </c>
    </row>
    <row r="1647" spans="1:1" x14ac:dyDescent="0.3">
      <c r="A1647" t="s">
        <v>1632</v>
      </c>
    </row>
    <row r="1648" spans="1:1" x14ac:dyDescent="0.3">
      <c r="A1648" t="s">
        <v>1633</v>
      </c>
    </row>
    <row r="1649" spans="1:1" x14ac:dyDescent="0.3">
      <c r="A1649" t="s">
        <v>1634</v>
      </c>
    </row>
    <row r="1650" spans="1:1" x14ac:dyDescent="0.3">
      <c r="A1650" t="s">
        <v>1635</v>
      </c>
    </row>
    <row r="1651" spans="1:1" x14ac:dyDescent="0.3">
      <c r="A1651" t="s">
        <v>1636</v>
      </c>
    </row>
    <row r="1652" spans="1:1" x14ac:dyDescent="0.3">
      <c r="A1652" t="s">
        <v>1637</v>
      </c>
    </row>
    <row r="1653" spans="1:1" x14ac:dyDescent="0.3">
      <c r="A1653" t="s">
        <v>1638</v>
      </c>
    </row>
    <row r="1654" spans="1:1" x14ac:dyDescent="0.3">
      <c r="A1654" t="s">
        <v>1639</v>
      </c>
    </row>
    <row r="1655" spans="1:1" x14ac:dyDescent="0.3">
      <c r="A1655" t="s">
        <v>1640</v>
      </c>
    </row>
    <row r="1656" spans="1:1" x14ac:dyDescent="0.3">
      <c r="A1656" t="s">
        <v>1641</v>
      </c>
    </row>
    <row r="1657" spans="1:1" x14ac:dyDescent="0.3">
      <c r="A1657" t="s">
        <v>1642</v>
      </c>
    </row>
    <row r="1658" spans="1:1" x14ac:dyDescent="0.3">
      <c r="A1658" t="s">
        <v>1643</v>
      </c>
    </row>
    <row r="1659" spans="1:1" x14ac:dyDescent="0.3">
      <c r="A1659" t="s">
        <v>1644</v>
      </c>
    </row>
    <row r="1660" spans="1:1" x14ac:dyDescent="0.3">
      <c r="A1660" t="s">
        <v>1645</v>
      </c>
    </row>
    <row r="1661" spans="1:1" x14ac:dyDescent="0.3">
      <c r="A1661" t="s">
        <v>1646</v>
      </c>
    </row>
    <row r="1662" spans="1:1" x14ac:dyDescent="0.3">
      <c r="A1662" t="s">
        <v>1647</v>
      </c>
    </row>
    <row r="1663" spans="1:1" x14ac:dyDescent="0.3">
      <c r="A1663" t="s">
        <v>1648</v>
      </c>
    </row>
    <row r="1664" spans="1:1" x14ac:dyDescent="0.3">
      <c r="A1664" t="s">
        <v>1649</v>
      </c>
    </row>
    <row r="1665" spans="1:1" x14ac:dyDescent="0.3">
      <c r="A1665" t="s">
        <v>1650</v>
      </c>
    </row>
    <row r="1666" spans="1:1" x14ac:dyDescent="0.3">
      <c r="A1666" t="s">
        <v>1651</v>
      </c>
    </row>
    <row r="1667" spans="1:1" x14ac:dyDescent="0.3">
      <c r="A1667" t="s">
        <v>1652</v>
      </c>
    </row>
    <row r="1668" spans="1:1" x14ac:dyDescent="0.3">
      <c r="A1668" t="s">
        <v>1653</v>
      </c>
    </row>
    <row r="1669" spans="1:1" x14ac:dyDescent="0.3">
      <c r="A1669" t="s">
        <v>1654</v>
      </c>
    </row>
    <row r="1670" spans="1:1" x14ac:dyDescent="0.3">
      <c r="A1670" t="s">
        <v>1655</v>
      </c>
    </row>
    <row r="1671" spans="1:1" x14ac:dyDescent="0.3">
      <c r="A1671" t="s">
        <v>1656</v>
      </c>
    </row>
    <row r="1672" spans="1:1" x14ac:dyDescent="0.3">
      <c r="A1672" t="s">
        <v>1657</v>
      </c>
    </row>
    <row r="1673" spans="1:1" x14ac:dyDescent="0.3">
      <c r="A1673" t="s">
        <v>1658</v>
      </c>
    </row>
    <row r="1674" spans="1:1" x14ac:dyDescent="0.3">
      <c r="A1674" t="s">
        <v>1659</v>
      </c>
    </row>
    <row r="1675" spans="1:1" x14ac:dyDescent="0.3">
      <c r="A1675" t="s">
        <v>1660</v>
      </c>
    </row>
    <row r="1676" spans="1:1" x14ac:dyDescent="0.3">
      <c r="A1676" t="s">
        <v>1661</v>
      </c>
    </row>
    <row r="1677" spans="1:1" x14ac:dyDescent="0.3">
      <c r="A1677" t="s">
        <v>1662</v>
      </c>
    </row>
    <row r="1678" spans="1:1" x14ac:dyDescent="0.3">
      <c r="A1678" t="s">
        <v>1663</v>
      </c>
    </row>
    <row r="1679" spans="1:1" x14ac:dyDescent="0.3">
      <c r="A1679" t="s">
        <v>1664</v>
      </c>
    </row>
    <row r="1680" spans="1:1" x14ac:dyDescent="0.3">
      <c r="A1680" t="s">
        <v>1665</v>
      </c>
    </row>
    <row r="1681" spans="1:1" x14ac:dyDescent="0.3">
      <c r="A1681" t="s">
        <v>1666</v>
      </c>
    </row>
    <row r="1682" spans="1:1" x14ac:dyDescent="0.3">
      <c r="A1682" t="s">
        <v>1667</v>
      </c>
    </row>
    <row r="1683" spans="1:1" x14ac:dyDescent="0.3">
      <c r="A1683" t="s">
        <v>1668</v>
      </c>
    </row>
    <row r="1684" spans="1:1" x14ac:dyDescent="0.3">
      <c r="A1684" t="s">
        <v>1669</v>
      </c>
    </row>
    <row r="1685" spans="1:1" x14ac:dyDescent="0.3">
      <c r="A1685" t="s">
        <v>1670</v>
      </c>
    </row>
    <row r="1686" spans="1:1" x14ac:dyDescent="0.3">
      <c r="A1686" t="s">
        <v>1671</v>
      </c>
    </row>
    <row r="1687" spans="1:1" x14ac:dyDescent="0.3">
      <c r="A1687" t="s">
        <v>1672</v>
      </c>
    </row>
    <row r="1688" spans="1:1" x14ac:dyDescent="0.3">
      <c r="A1688" t="s">
        <v>1673</v>
      </c>
    </row>
    <row r="1689" spans="1:1" x14ac:dyDescent="0.3">
      <c r="A1689" t="s">
        <v>1674</v>
      </c>
    </row>
    <row r="1690" spans="1:1" x14ac:dyDescent="0.3">
      <c r="A1690" t="s">
        <v>1675</v>
      </c>
    </row>
    <row r="1691" spans="1:1" x14ac:dyDescent="0.3">
      <c r="A1691" t="s">
        <v>1676</v>
      </c>
    </row>
    <row r="1692" spans="1:1" x14ac:dyDescent="0.3">
      <c r="A1692" t="s">
        <v>1677</v>
      </c>
    </row>
    <row r="1693" spans="1:1" x14ac:dyDescent="0.3">
      <c r="A1693" t="s">
        <v>1678</v>
      </c>
    </row>
    <row r="1694" spans="1:1" x14ac:dyDescent="0.3">
      <c r="A1694" t="s">
        <v>1679</v>
      </c>
    </row>
    <row r="1695" spans="1:1" x14ac:dyDescent="0.3">
      <c r="A1695" t="s">
        <v>1680</v>
      </c>
    </row>
    <row r="1696" spans="1:1" x14ac:dyDescent="0.3">
      <c r="A1696" t="s">
        <v>1681</v>
      </c>
    </row>
    <row r="1697" spans="1:1" x14ac:dyDescent="0.3">
      <c r="A1697" t="s">
        <v>1682</v>
      </c>
    </row>
    <row r="1698" spans="1:1" x14ac:dyDescent="0.3">
      <c r="A1698" t="s">
        <v>1683</v>
      </c>
    </row>
    <row r="1699" spans="1:1" x14ac:dyDescent="0.3">
      <c r="A1699" t="s">
        <v>1684</v>
      </c>
    </row>
    <row r="1700" spans="1:1" x14ac:dyDescent="0.3">
      <c r="A1700" t="s">
        <v>1685</v>
      </c>
    </row>
    <row r="1701" spans="1:1" x14ac:dyDescent="0.3">
      <c r="A1701" t="s">
        <v>1686</v>
      </c>
    </row>
    <row r="1702" spans="1:1" x14ac:dyDescent="0.3">
      <c r="A1702" t="s">
        <v>1687</v>
      </c>
    </row>
    <row r="1703" spans="1:1" x14ac:dyDescent="0.3">
      <c r="A1703" t="s">
        <v>1688</v>
      </c>
    </row>
    <row r="1704" spans="1:1" x14ac:dyDescent="0.3">
      <c r="A1704" t="s">
        <v>1689</v>
      </c>
    </row>
    <row r="1705" spans="1:1" x14ac:dyDescent="0.3">
      <c r="A1705" t="s">
        <v>1690</v>
      </c>
    </row>
    <row r="1706" spans="1:1" x14ac:dyDescent="0.3">
      <c r="A1706" t="s">
        <v>1691</v>
      </c>
    </row>
    <row r="1707" spans="1:1" x14ac:dyDescent="0.3">
      <c r="A1707" t="s">
        <v>1692</v>
      </c>
    </row>
    <row r="1708" spans="1:1" x14ac:dyDescent="0.3">
      <c r="A1708" t="s">
        <v>1693</v>
      </c>
    </row>
    <row r="1709" spans="1:1" x14ac:dyDescent="0.3">
      <c r="A1709" t="s">
        <v>1694</v>
      </c>
    </row>
    <row r="1710" spans="1:1" x14ac:dyDescent="0.3">
      <c r="A1710" t="s">
        <v>1695</v>
      </c>
    </row>
    <row r="1711" spans="1:1" x14ac:dyDescent="0.3">
      <c r="A1711" t="s">
        <v>1696</v>
      </c>
    </row>
    <row r="1712" spans="1:1" x14ac:dyDescent="0.3">
      <c r="A1712" t="s">
        <v>1697</v>
      </c>
    </row>
    <row r="1713" spans="1:1" x14ac:dyDescent="0.3">
      <c r="A1713" t="s">
        <v>1698</v>
      </c>
    </row>
    <row r="1714" spans="1:1" x14ac:dyDescent="0.3">
      <c r="A1714" t="s">
        <v>1699</v>
      </c>
    </row>
    <row r="1715" spans="1:1" x14ac:dyDescent="0.3">
      <c r="A1715" t="s">
        <v>1700</v>
      </c>
    </row>
    <row r="1716" spans="1:1" x14ac:dyDescent="0.3">
      <c r="A1716" t="s">
        <v>1701</v>
      </c>
    </row>
    <row r="1717" spans="1:1" x14ac:dyDescent="0.3">
      <c r="A1717" t="s">
        <v>1702</v>
      </c>
    </row>
    <row r="1718" spans="1:1" x14ac:dyDescent="0.3">
      <c r="A1718" t="s">
        <v>1703</v>
      </c>
    </row>
    <row r="1719" spans="1:1" x14ac:dyDescent="0.3">
      <c r="A1719" t="s">
        <v>1704</v>
      </c>
    </row>
    <row r="1720" spans="1:1" x14ac:dyDescent="0.3">
      <c r="A1720" t="s">
        <v>1705</v>
      </c>
    </row>
    <row r="1721" spans="1:1" x14ac:dyDescent="0.3">
      <c r="A1721" t="s">
        <v>1706</v>
      </c>
    </row>
    <row r="1722" spans="1:1" x14ac:dyDescent="0.3">
      <c r="A1722" t="s">
        <v>1707</v>
      </c>
    </row>
    <row r="1723" spans="1:1" x14ac:dyDescent="0.3">
      <c r="A1723" t="s">
        <v>1708</v>
      </c>
    </row>
    <row r="1724" spans="1:1" x14ac:dyDescent="0.3">
      <c r="A1724" t="s">
        <v>1709</v>
      </c>
    </row>
    <row r="1725" spans="1:1" x14ac:dyDescent="0.3">
      <c r="A1725" t="s">
        <v>1710</v>
      </c>
    </row>
    <row r="1726" spans="1:1" x14ac:dyDescent="0.3">
      <c r="A1726" t="s">
        <v>1711</v>
      </c>
    </row>
    <row r="1727" spans="1:1" x14ac:dyDescent="0.3">
      <c r="A1727" t="s">
        <v>1712</v>
      </c>
    </row>
    <row r="1728" spans="1:1" x14ac:dyDescent="0.3">
      <c r="A1728" t="s">
        <v>1713</v>
      </c>
    </row>
    <row r="1729" spans="1:1" x14ac:dyDescent="0.3">
      <c r="A1729" t="s">
        <v>1714</v>
      </c>
    </row>
    <row r="1730" spans="1:1" x14ac:dyDescent="0.3">
      <c r="A1730" t="s">
        <v>1715</v>
      </c>
    </row>
    <row r="1731" spans="1:1" x14ac:dyDescent="0.3">
      <c r="A1731" t="s">
        <v>1716</v>
      </c>
    </row>
    <row r="1732" spans="1:1" x14ac:dyDescent="0.3">
      <c r="A1732" t="s">
        <v>1717</v>
      </c>
    </row>
    <row r="1733" spans="1:1" x14ac:dyDescent="0.3">
      <c r="A1733" t="s">
        <v>1718</v>
      </c>
    </row>
    <row r="1734" spans="1:1" x14ac:dyDescent="0.3">
      <c r="A1734" t="s">
        <v>1719</v>
      </c>
    </row>
    <row r="1735" spans="1:1" x14ac:dyDescent="0.3">
      <c r="A1735" t="s">
        <v>1720</v>
      </c>
    </row>
    <row r="1736" spans="1:1" x14ac:dyDescent="0.3">
      <c r="A1736" t="s">
        <v>1721</v>
      </c>
    </row>
    <row r="1737" spans="1:1" x14ac:dyDescent="0.3">
      <c r="A1737" t="s">
        <v>1722</v>
      </c>
    </row>
    <row r="1738" spans="1:1" x14ac:dyDescent="0.3">
      <c r="A1738" t="s">
        <v>1723</v>
      </c>
    </row>
    <row r="1739" spans="1:1" x14ac:dyDescent="0.3">
      <c r="A1739" t="s">
        <v>1724</v>
      </c>
    </row>
    <row r="1740" spans="1:1" x14ac:dyDescent="0.3">
      <c r="A1740" t="s">
        <v>1725</v>
      </c>
    </row>
    <row r="1741" spans="1:1" x14ac:dyDescent="0.3">
      <c r="A1741" t="s">
        <v>1726</v>
      </c>
    </row>
    <row r="1742" spans="1:1" x14ac:dyDescent="0.3">
      <c r="A1742" t="s">
        <v>1727</v>
      </c>
    </row>
    <row r="1743" spans="1:1" x14ac:dyDescent="0.3">
      <c r="A1743" t="s">
        <v>1728</v>
      </c>
    </row>
    <row r="1744" spans="1:1" x14ac:dyDescent="0.3">
      <c r="A1744" t="s">
        <v>1729</v>
      </c>
    </row>
    <row r="1745" spans="1:1" x14ac:dyDescent="0.3">
      <c r="A1745" t="s">
        <v>1730</v>
      </c>
    </row>
    <row r="1746" spans="1:1" x14ac:dyDescent="0.3">
      <c r="A1746" t="s">
        <v>1731</v>
      </c>
    </row>
    <row r="1747" spans="1:1" x14ac:dyDescent="0.3">
      <c r="A1747" t="s">
        <v>1732</v>
      </c>
    </row>
    <row r="1748" spans="1:1" x14ac:dyDescent="0.3">
      <c r="A1748" t="s">
        <v>1733</v>
      </c>
    </row>
    <row r="1749" spans="1:1" x14ac:dyDescent="0.3">
      <c r="A1749" t="s">
        <v>1734</v>
      </c>
    </row>
    <row r="1750" spans="1:1" x14ac:dyDescent="0.3">
      <c r="A1750" t="s">
        <v>1735</v>
      </c>
    </row>
    <row r="1751" spans="1:1" x14ac:dyDescent="0.3">
      <c r="A1751" t="s">
        <v>1736</v>
      </c>
    </row>
    <row r="1752" spans="1:1" x14ac:dyDescent="0.3">
      <c r="A1752" t="s">
        <v>1737</v>
      </c>
    </row>
    <row r="1753" spans="1:1" x14ac:dyDescent="0.3">
      <c r="A1753" t="s">
        <v>1738</v>
      </c>
    </row>
    <row r="1754" spans="1:1" x14ac:dyDescent="0.3">
      <c r="A1754" t="s">
        <v>1739</v>
      </c>
    </row>
    <row r="1755" spans="1:1" x14ac:dyDescent="0.3">
      <c r="A1755" t="s">
        <v>1740</v>
      </c>
    </row>
    <row r="1756" spans="1:1" x14ac:dyDescent="0.3">
      <c r="A1756" t="s">
        <v>1741</v>
      </c>
    </row>
    <row r="1757" spans="1:1" x14ac:dyDescent="0.3">
      <c r="A1757" t="s">
        <v>1742</v>
      </c>
    </row>
    <row r="1758" spans="1:1" x14ac:dyDescent="0.3">
      <c r="A1758" t="s">
        <v>1743</v>
      </c>
    </row>
    <row r="1759" spans="1:1" x14ac:dyDescent="0.3">
      <c r="A1759" t="s">
        <v>1744</v>
      </c>
    </row>
    <row r="1760" spans="1:1" x14ac:dyDescent="0.3">
      <c r="A1760" t="s">
        <v>1745</v>
      </c>
    </row>
    <row r="1761" spans="1:1" x14ac:dyDescent="0.3">
      <c r="A1761" t="s">
        <v>1746</v>
      </c>
    </row>
    <row r="1762" spans="1:1" x14ac:dyDescent="0.3">
      <c r="A1762" t="s">
        <v>1747</v>
      </c>
    </row>
    <row r="1763" spans="1:1" x14ac:dyDescent="0.3">
      <c r="A1763" t="s">
        <v>1748</v>
      </c>
    </row>
    <row r="1764" spans="1:1" x14ac:dyDescent="0.3">
      <c r="A1764" t="s">
        <v>1749</v>
      </c>
    </row>
    <row r="1765" spans="1:1" x14ac:dyDescent="0.3">
      <c r="A1765" t="s">
        <v>1750</v>
      </c>
    </row>
    <row r="1766" spans="1:1" x14ac:dyDescent="0.3">
      <c r="A1766" t="s">
        <v>1751</v>
      </c>
    </row>
    <row r="1767" spans="1:1" x14ac:dyDescent="0.3">
      <c r="A1767" t="s">
        <v>1752</v>
      </c>
    </row>
    <row r="1768" spans="1:1" x14ac:dyDescent="0.3">
      <c r="A1768" t="s">
        <v>1753</v>
      </c>
    </row>
    <row r="1769" spans="1:1" x14ac:dyDescent="0.3">
      <c r="A1769" t="s">
        <v>1754</v>
      </c>
    </row>
    <row r="1770" spans="1:1" x14ac:dyDescent="0.3">
      <c r="A1770" t="s">
        <v>1755</v>
      </c>
    </row>
    <row r="1771" spans="1:1" x14ac:dyDescent="0.3">
      <c r="A1771" t="s">
        <v>1756</v>
      </c>
    </row>
    <row r="1772" spans="1:1" x14ac:dyDescent="0.3">
      <c r="A1772" t="s">
        <v>1757</v>
      </c>
    </row>
    <row r="1773" spans="1:1" x14ac:dyDescent="0.3">
      <c r="A1773" t="s">
        <v>1758</v>
      </c>
    </row>
    <row r="1774" spans="1:1" x14ac:dyDescent="0.3">
      <c r="A1774" t="s">
        <v>1759</v>
      </c>
    </row>
    <row r="1775" spans="1:1" x14ac:dyDescent="0.3">
      <c r="A1775" t="s">
        <v>1760</v>
      </c>
    </row>
    <row r="1776" spans="1:1" x14ac:dyDescent="0.3">
      <c r="A1776" t="s">
        <v>1761</v>
      </c>
    </row>
    <row r="1777" spans="1:1" x14ac:dyDescent="0.3">
      <c r="A1777" t="s">
        <v>1762</v>
      </c>
    </row>
    <row r="1778" spans="1:1" x14ac:dyDescent="0.3">
      <c r="A1778" t="s">
        <v>1763</v>
      </c>
    </row>
    <row r="1779" spans="1:1" x14ac:dyDescent="0.3">
      <c r="A1779" t="s">
        <v>1764</v>
      </c>
    </row>
    <row r="1780" spans="1:1" x14ac:dyDescent="0.3">
      <c r="A1780" t="s">
        <v>394</v>
      </c>
    </row>
    <row r="1781" spans="1:1" x14ac:dyDescent="0.3">
      <c r="A1781" t="s">
        <v>1765</v>
      </c>
    </row>
    <row r="1782" spans="1:1" x14ac:dyDescent="0.3">
      <c r="A1782" t="s">
        <v>1766</v>
      </c>
    </row>
    <row r="1783" spans="1:1" x14ac:dyDescent="0.3">
      <c r="A1783" t="s">
        <v>1767</v>
      </c>
    </row>
    <row r="1784" spans="1:1" x14ac:dyDescent="0.3">
      <c r="A1784" t="s">
        <v>1768</v>
      </c>
    </row>
    <row r="1785" spans="1:1" x14ac:dyDescent="0.3">
      <c r="A1785" t="s">
        <v>1769</v>
      </c>
    </row>
    <row r="1786" spans="1:1" x14ac:dyDescent="0.3">
      <c r="A1786" t="s">
        <v>1770</v>
      </c>
    </row>
    <row r="1787" spans="1:1" x14ac:dyDescent="0.3">
      <c r="A1787" t="s">
        <v>1771</v>
      </c>
    </row>
    <row r="1788" spans="1:1" x14ac:dyDescent="0.3">
      <c r="A1788" t="s">
        <v>1772</v>
      </c>
    </row>
    <row r="1789" spans="1:1" x14ac:dyDescent="0.3">
      <c r="A1789" t="s">
        <v>1773</v>
      </c>
    </row>
    <row r="1790" spans="1:1" x14ac:dyDescent="0.3">
      <c r="A1790" t="s">
        <v>1774</v>
      </c>
    </row>
    <row r="1791" spans="1:1" x14ac:dyDescent="0.3">
      <c r="A1791" t="s">
        <v>1775</v>
      </c>
    </row>
    <row r="1792" spans="1:1" x14ac:dyDescent="0.3">
      <c r="A1792" t="s">
        <v>1776</v>
      </c>
    </row>
    <row r="1793" spans="1:1" x14ac:dyDescent="0.3">
      <c r="A1793" t="s">
        <v>1777</v>
      </c>
    </row>
    <row r="1794" spans="1:1" x14ac:dyDescent="0.3">
      <c r="A1794" t="s">
        <v>1778</v>
      </c>
    </row>
    <row r="1795" spans="1:1" x14ac:dyDescent="0.3">
      <c r="A1795" t="s">
        <v>1779</v>
      </c>
    </row>
    <row r="1796" spans="1:1" x14ac:dyDescent="0.3">
      <c r="A1796" t="s">
        <v>1780</v>
      </c>
    </row>
    <row r="1797" spans="1:1" x14ac:dyDescent="0.3">
      <c r="A1797" t="s">
        <v>1781</v>
      </c>
    </row>
    <row r="1798" spans="1:1" x14ac:dyDescent="0.3">
      <c r="A1798" t="s">
        <v>1782</v>
      </c>
    </row>
    <row r="1799" spans="1:1" x14ac:dyDescent="0.3">
      <c r="A1799" t="s">
        <v>1783</v>
      </c>
    </row>
    <row r="1800" spans="1:1" x14ac:dyDescent="0.3">
      <c r="A1800" t="s">
        <v>1784</v>
      </c>
    </row>
    <row r="1801" spans="1:1" x14ac:dyDescent="0.3">
      <c r="A1801" t="s">
        <v>1785</v>
      </c>
    </row>
    <row r="1802" spans="1:1" x14ac:dyDescent="0.3">
      <c r="A1802" t="s">
        <v>1786</v>
      </c>
    </row>
    <row r="1803" spans="1:1" x14ac:dyDescent="0.3">
      <c r="A1803" t="s">
        <v>1787</v>
      </c>
    </row>
    <row r="1804" spans="1:1" x14ac:dyDescent="0.3">
      <c r="A1804" t="s">
        <v>1788</v>
      </c>
    </row>
    <row r="1805" spans="1:1" x14ac:dyDescent="0.3">
      <c r="A1805" t="s">
        <v>1789</v>
      </c>
    </row>
    <row r="1806" spans="1:1" x14ac:dyDescent="0.3">
      <c r="A1806" t="s">
        <v>1790</v>
      </c>
    </row>
    <row r="1807" spans="1:1" x14ac:dyDescent="0.3">
      <c r="A1807" t="s">
        <v>1791</v>
      </c>
    </row>
    <row r="1808" spans="1:1" x14ac:dyDescent="0.3">
      <c r="A1808" t="s">
        <v>1792</v>
      </c>
    </row>
    <row r="1809" spans="1:1" x14ac:dyDescent="0.3">
      <c r="A1809" t="s">
        <v>1793</v>
      </c>
    </row>
    <row r="1810" spans="1:1" x14ac:dyDescent="0.3">
      <c r="A1810" t="s">
        <v>1794</v>
      </c>
    </row>
    <row r="1811" spans="1:1" x14ac:dyDescent="0.3">
      <c r="A1811" t="s">
        <v>1795</v>
      </c>
    </row>
    <row r="1812" spans="1:1" x14ac:dyDescent="0.3">
      <c r="A1812" t="s">
        <v>1796</v>
      </c>
    </row>
    <row r="1813" spans="1:1" x14ac:dyDescent="0.3">
      <c r="A1813" t="s">
        <v>1797</v>
      </c>
    </row>
    <row r="1814" spans="1:1" x14ac:dyDescent="0.3">
      <c r="A1814" t="s">
        <v>1798</v>
      </c>
    </row>
    <row r="1815" spans="1:1" x14ac:dyDescent="0.3">
      <c r="A1815" t="s">
        <v>1799</v>
      </c>
    </row>
    <row r="1816" spans="1:1" x14ac:dyDescent="0.3">
      <c r="A1816" t="s">
        <v>1800</v>
      </c>
    </row>
    <row r="1817" spans="1:1" x14ac:dyDescent="0.3">
      <c r="A1817" t="s">
        <v>1801</v>
      </c>
    </row>
    <row r="1818" spans="1:1" x14ac:dyDescent="0.3">
      <c r="A1818" t="s">
        <v>1802</v>
      </c>
    </row>
    <row r="1819" spans="1:1" x14ac:dyDescent="0.3">
      <c r="A1819" t="s">
        <v>1803</v>
      </c>
    </row>
    <row r="1820" spans="1:1" x14ac:dyDescent="0.3">
      <c r="A1820" t="s">
        <v>1804</v>
      </c>
    </row>
    <row r="1821" spans="1:1" x14ac:dyDescent="0.3">
      <c r="A1821" t="s">
        <v>1805</v>
      </c>
    </row>
    <row r="1822" spans="1:1" x14ac:dyDescent="0.3">
      <c r="A1822" t="s">
        <v>1806</v>
      </c>
    </row>
    <row r="1823" spans="1:1" x14ac:dyDescent="0.3">
      <c r="A1823" t="s">
        <v>1807</v>
      </c>
    </row>
    <row r="1824" spans="1:1" x14ac:dyDescent="0.3">
      <c r="A1824" t="s">
        <v>1808</v>
      </c>
    </row>
    <row r="1825" spans="1:1" x14ac:dyDescent="0.3">
      <c r="A1825" t="s">
        <v>1809</v>
      </c>
    </row>
    <row r="1826" spans="1:1" x14ac:dyDescent="0.3">
      <c r="A1826" t="s">
        <v>1810</v>
      </c>
    </row>
    <row r="1827" spans="1:1" x14ac:dyDescent="0.3">
      <c r="A1827" t="s">
        <v>1811</v>
      </c>
    </row>
    <row r="1828" spans="1:1" x14ac:dyDescent="0.3">
      <c r="A1828" t="s">
        <v>1812</v>
      </c>
    </row>
    <row r="1829" spans="1:1" x14ac:dyDescent="0.3">
      <c r="A1829" t="s">
        <v>1813</v>
      </c>
    </row>
    <row r="1830" spans="1:1" x14ac:dyDescent="0.3">
      <c r="A1830" t="s">
        <v>1814</v>
      </c>
    </row>
    <row r="1831" spans="1:1" x14ac:dyDescent="0.3">
      <c r="A1831" t="s">
        <v>1815</v>
      </c>
    </row>
    <row r="1832" spans="1:1" x14ac:dyDescent="0.3">
      <c r="A1832" t="s">
        <v>1816</v>
      </c>
    </row>
    <row r="1833" spans="1:1" x14ac:dyDescent="0.3">
      <c r="A1833" t="s">
        <v>1817</v>
      </c>
    </row>
    <row r="1834" spans="1:1" x14ac:dyDescent="0.3">
      <c r="A1834" t="s">
        <v>1818</v>
      </c>
    </row>
    <row r="1835" spans="1:1" x14ac:dyDescent="0.3">
      <c r="A1835" t="s">
        <v>1819</v>
      </c>
    </row>
    <row r="1836" spans="1:1" x14ac:dyDescent="0.3">
      <c r="A1836" t="s">
        <v>1820</v>
      </c>
    </row>
    <row r="1837" spans="1:1" x14ac:dyDescent="0.3">
      <c r="A1837" t="s">
        <v>1821</v>
      </c>
    </row>
    <row r="1838" spans="1:1" x14ac:dyDescent="0.3">
      <c r="A1838" t="s">
        <v>1822</v>
      </c>
    </row>
    <row r="1839" spans="1:1" x14ac:dyDescent="0.3">
      <c r="A1839" t="s">
        <v>1823</v>
      </c>
    </row>
    <row r="1840" spans="1:1" x14ac:dyDescent="0.3">
      <c r="A1840" t="s">
        <v>1824</v>
      </c>
    </row>
    <row r="1841" spans="1:1" x14ac:dyDescent="0.3">
      <c r="A1841" t="s">
        <v>1825</v>
      </c>
    </row>
    <row r="1842" spans="1:1" x14ac:dyDescent="0.3">
      <c r="A1842" t="s">
        <v>1826</v>
      </c>
    </row>
    <row r="1843" spans="1:1" x14ac:dyDescent="0.3">
      <c r="A1843" t="s">
        <v>1827</v>
      </c>
    </row>
    <row r="1844" spans="1:1" x14ac:dyDescent="0.3">
      <c r="A1844" t="s">
        <v>1828</v>
      </c>
    </row>
    <row r="1845" spans="1:1" x14ac:dyDescent="0.3">
      <c r="A1845" t="s">
        <v>1829</v>
      </c>
    </row>
    <row r="1846" spans="1:1" x14ac:dyDescent="0.3">
      <c r="A1846" t="s">
        <v>1830</v>
      </c>
    </row>
    <row r="1847" spans="1:1" x14ac:dyDescent="0.3">
      <c r="A1847" t="s">
        <v>1831</v>
      </c>
    </row>
    <row r="1848" spans="1:1" x14ac:dyDescent="0.3">
      <c r="A1848" t="s">
        <v>1832</v>
      </c>
    </row>
    <row r="1849" spans="1:1" x14ac:dyDescent="0.3">
      <c r="A1849" t="s">
        <v>1833</v>
      </c>
    </row>
    <row r="1850" spans="1:1" x14ac:dyDescent="0.3">
      <c r="A1850" t="s">
        <v>1834</v>
      </c>
    </row>
    <row r="1851" spans="1:1" x14ac:dyDescent="0.3">
      <c r="A1851" t="s">
        <v>1835</v>
      </c>
    </row>
    <row r="1852" spans="1:1" x14ac:dyDescent="0.3">
      <c r="A1852" t="s">
        <v>1836</v>
      </c>
    </row>
    <row r="1853" spans="1:1" x14ac:dyDescent="0.3">
      <c r="A1853" t="s">
        <v>1837</v>
      </c>
    </row>
    <row r="1854" spans="1:1" x14ac:dyDescent="0.3">
      <c r="A1854" t="s">
        <v>1838</v>
      </c>
    </row>
    <row r="1855" spans="1:1" x14ac:dyDescent="0.3">
      <c r="A1855" t="s">
        <v>1839</v>
      </c>
    </row>
    <row r="1856" spans="1:1" x14ac:dyDescent="0.3">
      <c r="A1856" t="s">
        <v>1840</v>
      </c>
    </row>
    <row r="1857" spans="1:1" x14ac:dyDescent="0.3">
      <c r="A1857" t="s">
        <v>1841</v>
      </c>
    </row>
    <row r="1858" spans="1:1" x14ac:dyDescent="0.3">
      <c r="A1858" t="s">
        <v>1842</v>
      </c>
    </row>
    <row r="1859" spans="1:1" x14ac:dyDescent="0.3">
      <c r="A1859" t="s">
        <v>1843</v>
      </c>
    </row>
    <row r="1860" spans="1:1" x14ac:dyDescent="0.3">
      <c r="A1860" t="s">
        <v>1844</v>
      </c>
    </row>
    <row r="1861" spans="1:1" x14ac:dyDescent="0.3">
      <c r="A1861" t="s">
        <v>1845</v>
      </c>
    </row>
    <row r="1862" spans="1:1" x14ac:dyDescent="0.3">
      <c r="A1862" t="s">
        <v>1846</v>
      </c>
    </row>
    <row r="1863" spans="1:1" x14ac:dyDescent="0.3">
      <c r="A1863" t="s">
        <v>1847</v>
      </c>
    </row>
    <row r="1864" spans="1:1" x14ac:dyDescent="0.3">
      <c r="A1864" t="s">
        <v>1848</v>
      </c>
    </row>
    <row r="1865" spans="1:1" x14ac:dyDescent="0.3">
      <c r="A1865" t="s">
        <v>1849</v>
      </c>
    </row>
    <row r="1866" spans="1:1" x14ac:dyDescent="0.3">
      <c r="A1866" t="s">
        <v>1850</v>
      </c>
    </row>
    <row r="1867" spans="1:1" x14ac:dyDescent="0.3">
      <c r="A1867" t="s">
        <v>1851</v>
      </c>
    </row>
    <row r="1868" spans="1:1" x14ac:dyDescent="0.3">
      <c r="A1868" t="s">
        <v>1852</v>
      </c>
    </row>
    <row r="1869" spans="1:1" x14ac:dyDescent="0.3">
      <c r="A1869" t="s">
        <v>1853</v>
      </c>
    </row>
    <row r="1870" spans="1:1" x14ac:dyDescent="0.3">
      <c r="A1870" t="s">
        <v>1854</v>
      </c>
    </row>
    <row r="1871" spans="1:1" x14ac:dyDescent="0.3">
      <c r="A1871" t="s">
        <v>1855</v>
      </c>
    </row>
    <row r="1872" spans="1:1" x14ac:dyDescent="0.3">
      <c r="A1872" t="s">
        <v>1856</v>
      </c>
    </row>
    <row r="1873" spans="1:1" x14ac:dyDescent="0.3">
      <c r="A1873" t="s">
        <v>1857</v>
      </c>
    </row>
    <row r="1874" spans="1:1" x14ac:dyDescent="0.3">
      <c r="A1874" t="s">
        <v>1858</v>
      </c>
    </row>
    <row r="1875" spans="1:1" x14ac:dyDescent="0.3">
      <c r="A1875" t="s">
        <v>1859</v>
      </c>
    </row>
    <row r="1876" spans="1:1" x14ac:dyDescent="0.3">
      <c r="A1876" t="s">
        <v>1860</v>
      </c>
    </row>
    <row r="1877" spans="1:1" x14ac:dyDescent="0.3">
      <c r="A1877" t="s">
        <v>1861</v>
      </c>
    </row>
    <row r="1878" spans="1:1" x14ac:dyDescent="0.3">
      <c r="A1878" t="s">
        <v>1862</v>
      </c>
    </row>
    <row r="1879" spans="1:1" x14ac:dyDescent="0.3">
      <c r="A1879" t="s">
        <v>1863</v>
      </c>
    </row>
    <row r="1880" spans="1:1" x14ac:dyDescent="0.3">
      <c r="A1880" t="s">
        <v>1864</v>
      </c>
    </row>
    <row r="1881" spans="1:1" x14ac:dyDescent="0.3">
      <c r="A1881" t="s">
        <v>1865</v>
      </c>
    </row>
    <row r="1882" spans="1:1" x14ac:dyDescent="0.3">
      <c r="A1882" t="s">
        <v>1866</v>
      </c>
    </row>
    <row r="1883" spans="1:1" x14ac:dyDescent="0.3">
      <c r="A1883" t="s">
        <v>1867</v>
      </c>
    </row>
    <row r="1884" spans="1:1" x14ac:dyDescent="0.3">
      <c r="A1884" t="s">
        <v>1868</v>
      </c>
    </row>
    <row r="1885" spans="1:1" x14ac:dyDescent="0.3">
      <c r="A1885" t="s">
        <v>1869</v>
      </c>
    </row>
    <row r="1886" spans="1:1" x14ac:dyDescent="0.3">
      <c r="A1886" t="s">
        <v>1870</v>
      </c>
    </row>
    <row r="1887" spans="1:1" x14ac:dyDescent="0.3">
      <c r="A1887" t="s">
        <v>1871</v>
      </c>
    </row>
    <row r="1888" spans="1:1" x14ac:dyDescent="0.3">
      <c r="A1888" t="s">
        <v>1872</v>
      </c>
    </row>
    <row r="1889" spans="1:1" x14ac:dyDescent="0.3">
      <c r="A1889" t="s">
        <v>1873</v>
      </c>
    </row>
    <row r="1890" spans="1:1" x14ac:dyDescent="0.3">
      <c r="A1890" t="s">
        <v>1874</v>
      </c>
    </row>
    <row r="1891" spans="1:1" x14ac:dyDescent="0.3">
      <c r="A1891" t="s">
        <v>1875</v>
      </c>
    </row>
    <row r="1892" spans="1:1" x14ac:dyDescent="0.3">
      <c r="A1892" t="s">
        <v>1876</v>
      </c>
    </row>
    <row r="1893" spans="1:1" x14ac:dyDescent="0.3">
      <c r="A1893" t="s">
        <v>1877</v>
      </c>
    </row>
    <row r="1894" spans="1:1" x14ac:dyDescent="0.3">
      <c r="A1894" t="s">
        <v>1878</v>
      </c>
    </row>
    <row r="1895" spans="1:1" x14ac:dyDescent="0.3">
      <c r="A1895" t="s">
        <v>1879</v>
      </c>
    </row>
    <row r="1896" spans="1:1" x14ac:dyDescent="0.3">
      <c r="A1896" t="s">
        <v>1880</v>
      </c>
    </row>
    <row r="1897" spans="1:1" x14ac:dyDescent="0.3">
      <c r="A1897" t="s">
        <v>1881</v>
      </c>
    </row>
    <row r="1898" spans="1:1" x14ac:dyDescent="0.3">
      <c r="A1898" t="s">
        <v>1882</v>
      </c>
    </row>
    <row r="1899" spans="1:1" x14ac:dyDescent="0.3">
      <c r="A1899" t="s">
        <v>443</v>
      </c>
    </row>
    <row r="1900" spans="1:1" x14ac:dyDescent="0.3">
      <c r="A1900" t="s">
        <v>1883</v>
      </c>
    </row>
    <row r="1901" spans="1:1" x14ac:dyDescent="0.3">
      <c r="A1901" t="s">
        <v>1884</v>
      </c>
    </row>
    <row r="1902" spans="1:1" x14ac:dyDescent="0.3">
      <c r="A1902" t="s">
        <v>1885</v>
      </c>
    </row>
    <row r="1903" spans="1:1" x14ac:dyDescent="0.3">
      <c r="A1903" t="s">
        <v>1721</v>
      </c>
    </row>
    <row r="1904" spans="1:1" x14ac:dyDescent="0.3">
      <c r="A1904" t="s">
        <v>1886</v>
      </c>
    </row>
    <row r="1905" spans="1:1" x14ac:dyDescent="0.3">
      <c r="A1905" t="s">
        <v>1887</v>
      </c>
    </row>
    <row r="1906" spans="1:1" x14ac:dyDescent="0.3">
      <c r="A1906" t="s">
        <v>1888</v>
      </c>
    </row>
    <row r="1907" spans="1:1" x14ac:dyDescent="0.3">
      <c r="A1907" t="s">
        <v>1889</v>
      </c>
    </row>
    <row r="1908" spans="1:1" x14ac:dyDescent="0.3">
      <c r="A1908" t="s">
        <v>1890</v>
      </c>
    </row>
    <row r="1909" spans="1:1" x14ac:dyDescent="0.3">
      <c r="A1909" t="s">
        <v>1891</v>
      </c>
    </row>
    <row r="1910" spans="1:1" x14ac:dyDescent="0.3">
      <c r="A1910" t="s">
        <v>1892</v>
      </c>
    </row>
    <row r="1911" spans="1:1" x14ac:dyDescent="0.3">
      <c r="A1911" t="s">
        <v>1893</v>
      </c>
    </row>
    <row r="1912" spans="1:1" x14ac:dyDescent="0.3">
      <c r="A1912" t="s">
        <v>1894</v>
      </c>
    </row>
    <row r="1913" spans="1:1" x14ac:dyDescent="0.3">
      <c r="A1913" t="s">
        <v>1895</v>
      </c>
    </row>
    <row r="1914" spans="1:1" x14ac:dyDescent="0.3">
      <c r="A1914" t="s">
        <v>1896</v>
      </c>
    </row>
    <row r="1915" spans="1:1" x14ac:dyDescent="0.3">
      <c r="A1915" t="s">
        <v>1897</v>
      </c>
    </row>
    <row r="1916" spans="1:1" x14ac:dyDescent="0.3">
      <c r="A1916" t="s">
        <v>1898</v>
      </c>
    </row>
    <row r="1917" spans="1:1" x14ac:dyDescent="0.3">
      <c r="A1917" t="s">
        <v>1899</v>
      </c>
    </row>
    <row r="1918" spans="1:1" x14ac:dyDescent="0.3">
      <c r="A1918" t="s">
        <v>1900</v>
      </c>
    </row>
    <row r="1919" spans="1:1" x14ac:dyDescent="0.3">
      <c r="A1919" t="s">
        <v>1901</v>
      </c>
    </row>
    <row r="1920" spans="1:1" x14ac:dyDescent="0.3">
      <c r="A1920" t="s">
        <v>1902</v>
      </c>
    </row>
    <row r="1921" spans="1:1" x14ac:dyDescent="0.3">
      <c r="A1921" t="s">
        <v>1903</v>
      </c>
    </row>
    <row r="1922" spans="1:1" x14ac:dyDescent="0.3">
      <c r="A1922" t="s">
        <v>1904</v>
      </c>
    </row>
    <row r="1923" spans="1:1" x14ac:dyDescent="0.3">
      <c r="A1923" t="s">
        <v>1905</v>
      </c>
    </row>
    <row r="1924" spans="1:1" x14ac:dyDescent="0.3">
      <c r="A1924" t="s">
        <v>1906</v>
      </c>
    </row>
    <row r="1925" spans="1:1" x14ac:dyDescent="0.3">
      <c r="A1925" t="s">
        <v>1907</v>
      </c>
    </row>
    <row r="1926" spans="1:1" x14ac:dyDescent="0.3">
      <c r="A1926" t="s">
        <v>1908</v>
      </c>
    </row>
    <row r="1927" spans="1:1" x14ac:dyDescent="0.3">
      <c r="A1927" t="s">
        <v>1909</v>
      </c>
    </row>
    <row r="1928" spans="1:1" x14ac:dyDescent="0.3">
      <c r="A1928" t="s">
        <v>1910</v>
      </c>
    </row>
    <row r="1929" spans="1:1" x14ac:dyDescent="0.3">
      <c r="A1929" t="s">
        <v>1911</v>
      </c>
    </row>
    <row r="1930" spans="1:1" x14ac:dyDescent="0.3">
      <c r="A1930" t="s">
        <v>1912</v>
      </c>
    </row>
    <row r="1931" spans="1:1" x14ac:dyDescent="0.3">
      <c r="A1931" t="s">
        <v>1913</v>
      </c>
    </row>
    <row r="1932" spans="1:1" x14ac:dyDescent="0.3">
      <c r="A1932" t="s">
        <v>1914</v>
      </c>
    </row>
    <row r="1933" spans="1:1" x14ac:dyDescent="0.3">
      <c r="A1933" t="s">
        <v>1915</v>
      </c>
    </row>
    <row r="1934" spans="1:1" x14ac:dyDescent="0.3">
      <c r="A1934" t="s">
        <v>1916</v>
      </c>
    </row>
    <row r="1935" spans="1:1" x14ac:dyDescent="0.3">
      <c r="A1935" t="s">
        <v>1917</v>
      </c>
    </row>
    <row r="1936" spans="1:1" x14ac:dyDescent="0.3">
      <c r="A1936" t="s">
        <v>1918</v>
      </c>
    </row>
    <row r="1937" spans="1:1" x14ac:dyDescent="0.3">
      <c r="A1937" t="s">
        <v>1919</v>
      </c>
    </row>
    <row r="1938" spans="1:1" x14ac:dyDescent="0.3">
      <c r="A1938" t="s">
        <v>1920</v>
      </c>
    </row>
    <row r="1939" spans="1:1" x14ac:dyDescent="0.3">
      <c r="A1939" t="s">
        <v>1921</v>
      </c>
    </row>
    <row r="1940" spans="1:1" x14ac:dyDescent="0.3">
      <c r="A1940" t="s">
        <v>1922</v>
      </c>
    </row>
    <row r="1941" spans="1:1" x14ac:dyDescent="0.3">
      <c r="A1941" t="s">
        <v>1923</v>
      </c>
    </row>
    <row r="1942" spans="1:1" x14ac:dyDescent="0.3">
      <c r="A1942" t="s">
        <v>1924</v>
      </c>
    </row>
    <row r="1943" spans="1:1" x14ac:dyDescent="0.3">
      <c r="A1943" t="s">
        <v>1925</v>
      </c>
    </row>
    <row r="1944" spans="1:1" x14ac:dyDescent="0.3">
      <c r="A1944" t="s">
        <v>1926</v>
      </c>
    </row>
    <row r="1945" spans="1:1" x14ac:dyDescent="0.3">
      <c r="A1945" t="s">
        <v>1927</v>
      </c>
    </row>
    <row r="1946" spans="1:1" x14ac:dyDescent="0.3">
      <c r="A1946" t="s">
        <v>1928</v>
      </c>
    </row>
    <row r="1947" spans="1:1" x14ac:dyDescent="0.3">
      <c r="A1947" t="s">
        <v>1929</v>
      </c>
    </row>
    <row r="1948" spans="1:1" x14ac:dyDescent="0.3">
      <c r="A1948" t="s">
        <v>1930</v>
      </c>
    </row>
    <row r="1949" spans="1:1" x14ac:dyDescent="0.3">
      <c r="A1949" t="s">
        <v>1931</v>
      </c>
    </row>
    <row r="1950" spans="1:1" x14ac:dyDescent="0.3">
      <c r="A1950" t="s">
        <v>1932</v>
      </c>
    </row>
    <row r="1951" spans="1:1" x14ac:dyDescent="0.3">
      <c r="A1951" t="s">
        <v>1933</v>
      </c>
    </row>
    <row r="1952" spans="1:1" x14ac:dyDescent="0.3">
      <c r="A1952" t="s">
        <v>1934</v>
      </c>
    </row>
    <row r="1953" spans="1:1" x14ac:dyDescent="0.3">
      <c r="A1953" t="s">
        <v>1935</v>
      </c>
    </row>
    <row r="1954" spans="1:1" x14ac:dyDescent="0.3">
      <c r="A1954" t="s">
        <v>478</v>
      </c>
    </row>
    <row r="1955" spans="1:1" x14ac:dyDescent="0.3">
      <c r="A1955" t="s">
        <v>1936</v>
      </c>
    </row>
    <row r="1956" spans="1:1" x14ac:dyDescent="0.3">
      <c r="A1956" t="s">
        <v>1937</v>
      </c>
    </row>
    <row r="1957" spans="1:1" x14ac:dyDescent="0.3">
      <c r="A1957" t="s">
        <v>1938</v>
      </c>
    </row>
    <row r="1958" spans="1:1" x14ac:dyDescent="0.3">
      <c r="A1958" t="s">
        <v>1939</v>
      </c>
    </row>
    <row r="1959" spans="1:1" x14ac:dyDescent="0.3">
      <c r="A1959" t="s">
        <v>1940</v>
      </c>
    </row>
    <row r="1960" spans="1:1" x14ac:dyDescent="0.3">
      <c r="A1960" t="s">
        <v>1941</v>
      </c>
    </row>
    <row r="1961" spans="1:1" x14ac:dyDescent="0.3">
      <c r="A1961" t="s">
        <v>1942</v>
      </c>
    </row>
    <row r="1962" spans="1:1" x14ac:dyDescent="0.3">
      <c r="A1962" t="s">
        <v>1943</v>
      </c>
    </row>
    <row r="1963" spans="1:1" x14ac:dyDescent="0.3">
      <c r="A1963" t="s">
        <v>1944</v>
      </c>
    </row>
    <row r="1964" spans="1:1" x14ac:dyDescent="0.3">
      <c r="A1964" t="s">
        <v>1945</v>
      </c>
    </row>
    <row r="1965" spans="1:1" x14ac:dyDescent="0.3">
      <c r="A1965" t="s">
        <v>1946</v>
      </c>
    </row>
    <row r="1966" spans="1:1" x14ac:dyDescent="0.3">
      <c r="A1966" t="s">
        <v>1947</v>
      </c>
    </row>
    <row r="1967" spans="1:1" x14ac:dyDescent="0.3">
      <c r="A1967" t="s">
        <v>1948</v>
      </c>
    </row>
    <row r="1968" spans="1:1" x14ac:dyDescent="0.3">
      <c r="A1968" t="s">
        <v>1949</v>
      </c>
    </row>
    <row r="1969" spans="1:1" x14ac:dyDescent="0.3">
      <c r="A1969" t="s">
        <v>1950</v>
      </c>
    </row>
    <row r="1970" spans="1:1" x14ac:dyDescent="0.3">
      <c r="A1970" t="s">
        <v>1951</v>
      </c>
    </row>
    <row r="1971" spans="1:1" x14ac:dyDescent="0.3">
      <c r="A1971" t="s">
        <v>1952</v>
      </c>
    </row>
    <row r="1972" spans="1:1" x14ac:dyDescent="0.3">
      <c r="A1972" t="s">
        <v>1953</v>
      </c>
    </row>
    <row r="1973" spans="1:1" x14ac:dyDescent="0.3">
      <c r="A1973" t="s">
        <v>1954</v>
      </c>
    </row>
    <row r="1974" spans="1:1" x14ac:dyDescent="0.3">
      <c r="A1974" t="s">
        <v>1955</v>
      </c>
    </row>
    <row r="1975" spans="1:1" x14ac:dyDescent="0.3">
      <c r="A1975" t="s">
        <v>1956</v>
      </c>
    </row>
    <row r="1976" spans="1:1" x14ac:dyDescent="0.3">
      <c r="A1976" t="s">
        <v>1957</v>
      </c>
    </row>
    <row r="1977" spans="1:1" x14ac:dyDescent="0.3">
      <c r="A1977" t="s">
        <v>1958</v>
      </c>
    </row>
    <row r="1978" spans="1:1" x14ac:dyDescent="0.3">
      <c r="A1978" t="s">
        <v>1959</v>
      </c>
    </row>
    <row r="1979" spans="1:1" x14ac:dyDescent="0.3">
      <c r="A1979" t="s">
        <v>1960</v>
      </c>
    </row>
    <row r="1980" spans="1:1" x14ac:dyDescent="0.3">
      <c r="A1980" t="s">
        <v>1961</v>
      </c>
    </row>
    <row r="1981" spans="1:1" x14ac:dyDescent="0.3">
      <c r="A1981" t="s">
        <v>1962</v>
      </c>
    </row>
    <row r="1982" spans="1:1" x14ac:dyDescent="0.3">
      <c r="A1982" t="s">
        <v>1963</v>
      </c>
    </row>
    <row r="1983" spans="1:1" x14ac:dyDescent="0.3">
      <c r="A1983" t="s">
        <v>1964</v>
      </c>
    </row>
    <row r="1984" spans="1:1" x14ac:dyDescent="0.3">
      <c r="A1984" t="s">
        <v>1965</v>
      </c>
    </row>
    <row r="1985" spans="1:1" x14ac:dyDescent="0.3">
      <c r="A1985" t="s">
        <v>1966</v>
      </c>
    </row>
    <row r="1986" spans="1:1" x14ac:dyDescent="0.3">
      <c r="A1986" t="s">
        <v>1967</v>
      </c>
    </row>
    <row r="1987" spans="1:1" x14ac:dyDescent="0.3">
      <c r="A1987" t="s">
        <v>1968</v>
      </c>
    </row>
    <row r="1988" spans="1:1" x14ac:dyDescent="0.3">
      <c r="A1988" t="s">
        <v>1969</v>
      </c>
    </row>
    <row r="1989" spans="1:1" x14ac:dyDescent="0.3">
      <c r="A1989" t="s">
        <v>1970</v>
      </c>
    </row>
    <row r="1990" spans="1:1" x14ac:dyDescent="0.3">
      <c r="A1990" t="s">
        <v>1971</v>
      </c>
    </row>
    <row r="1991" spans="1:1" x14ac:dyDescent="0.3">
      <c r="A1991" t="s">
        <v>1972</v>
      </c>
    </row>
    <row r="1992" spans="1:1" x14ac:dyDescent="0.3">
      <c r="A1992" t="s">
        <v>1973</v>
      </c>
    </row>
    <row r="1993" spans="1:1" x14ac:dyDescent="0.3">
      <c r="A1993" t="s">
        <v>1974</v>
      </c>
    </row>
    <row r="1994" spans="1:1" x14ac:dyDescent="0.3">
      <c r="A1994" t="s">
        <v>1975</v>
      </c>
    </row>
    <row r="1995" spans="1:1" x14ac:dyDescent="0.3">
      <c r="A1995" t="s">
        <v>1976</v>
      </c>
    </row>
    <row r="1996" spans="1:1" x14ac:dyDescent="0.3">
      <c r="A1996" t="s">
        <v>1977</v>
      </c>
    </row>
    <row r="1997" spans="1:1" x14ac:dyDescent="0.3">
      <c r="A1997" t="s">
        <v>1978</v>
      </c>
    </row>
    <row r="1998" spans="1:1" x14ac:dyDescent="0.3">
      <c r="A1998" t="s">
        <v>1979</v>
      </c>
    </row>
    <row r="1999" spans="1:1" x14ac:dyDescent="0.3">
      <c r="A1999" t="s">
        <v>1980</v>
      </c>
    </row>
    <row r="2000" spans="1:1" x14ac:dyDescent="0.3">
      <c r="A2000" t="s">
        <v>1981</v>
      </c>
    </row>
    <row r="2001" spans="1:1" x14ac:dyDescent="0.3">
      <c r="A2001" t="s">
        <v>1982</v>
      </c>
    </row>
    <row r="2002" spans="1:1" x14ac:dyDescent="0.3">
      <c r="A2002" t="s">
        <v>1983</v>
      </c>
    </row>
    <row r="2003" spans="1:1" x14ac:dyDescent="0.3">
      <c r="A2003" t="s">
        <v>1984</v>
      </c>
    </row>
    <row r="2004" spans="1:1" x14ac:dyDescent="0.3">
      <c r="A2004" t="s">
        <v>1985</v>
      </c>
    </row>
    <row r="2005" spans="1:1" x14ac:dyDescent="0.3">
      <c r="A2005" t="s">
        <v>1986</v>
      </c>
    </row>
    <row r="2006" spans="1:1" x14ac:dyDescent="0.3">
      <c r="A2006" t="s">
        <v>1987</v>
      </c>
    </row>
    <row r="2007" spans="1:1" x14ac:dyDescent="0.3">
      <c r="A2007" t="s">
        <v>1988</v>
      </c>
    </row>
    <row r="2008" spans="1:1" x14ac:dyDescent="0.3">
      <c r="A2008" t="s">
        <v>1989</v>
      </c>
    </row>
    <row r="2009" spans="1:1" x14ac:dyDescent="0.3">
      <c r="A2009" t="s">
        <v>1990</v>
      </c>
    </row>
    <row r="2010" spans="1:1" x14ac:dyDescent="0.3">
      <c r="A2010" t="s">
        <v>1991</v>
      </c>
    </row>
    <row r="2011" spans="1:1" x14ac:dyDescent="0.3">
      <c r="A2011" t="s">
        <v>1992</v>
      </c>
    </row>
    <row r="2012" spans="1:1" x14ac:dyDescent="0.3">
      <c r="A2012" t="s">
        <v>1993</v>
      </c>
    </row>
    <row r="2013" spans="1:1" x14ac:dyDescent="0.3">
      <c r="A2013" t="s">
        <v>300</v>
      </c>
    </row>
    <row r="2014" spans="1:1" x14ac:dyDescent="0.3">
      <c r="A2014" t="s">
        <v>1994</v>
      </c>
    </row>
    <row r="2015" spans="1:1" x14ac:dyDescent="0.3">
      <c r="A2015" t="s">
        <v>1995</v>
      </c>
    </row>
    <row r="2016" spans="1:1" x14ac:dyDescent="0.3">
      <c r="A2016" t="s">
        <v>1996</v>
      </c>
    </row>
    <row r="2017" spans="1:1" x14ac:dyDescent="0.3">
      <c r="A2017" t="s">
        <v>1997</v>
      </c>
    </row>
    <row r="2018" spans="1:1" x14ac:dyDescent="0.3">
      <c r="A2018" t="s">
        <v>1998</v>
      </c>
    </row>
    <row r="2019" spans="1:1" x14ac:dyDescent="0.3">
      <c r="A2019" t="s">
        <v>1999</v>
      </c>
    </row>
    <row r="2020" spans="1:1" x14ac:dyDescent="0.3">
      <c r="A2020" t="s">
        <v>2000</v>
      </c>
    </row>
    <row r="2021" spans="1:1" x14ac:dyDescent="0.3">
      <c r="A2021" t="s">
        <v>2001</v>
      </c>
    </row>
    <row r="2022" spans="1:1" x14ac:dyDescent="0.3">
      <c r="A2022" t="s">
        <v>2002</v>
      </c>
    </row>
    <row r="2023" spans="1:1" x14ac:dyDescent="0.3">
      <c r="A2023" t="s">
        <v>2003</v>
      </c>
    </row>
    <row r="2024" spans="1:1" x14ac:dyDescent="0.3">
      <c r="A2024" t="s">
        <v>2004</v>
      </c>
    </row>
    <row r="2025" spans="1:1" x14ac:dyDescent="0.3">
      <c r="A2025" t="s">
        <v>2005</v>
      </c>
    </row>
    <row r="2026" spans="1:1" x14ac:dyDescent="0.3">
      <c r="A2026" t="s">
        <v>2006</v>
      </c>
    </row>
    <row r="2027" spans="1:1" x14ac:dyDescent="0.3">
      <c r="A2027" t="s">
        <v>2007</v>
      </c>
    </row>
    <row r="2028" spans="1:1" x14ac:dyDescent="0.3">
      <c r="A2028" t="s">
        <v>2008</v>
      </c>
    </row>
    <row r="2029" spans="1:1" x14ac:dyDescent="0.3">
      <c r="A2029" t="s">
        <v>2009</v>
      </c>
    </row>
    <row r="2030" spans="1:1" x14ac:dyDescent="0.3">
      <c r="A2030" t="s">
        <v>2010</v>
      </c>
    </row>
    <row r="2031" spans="1:1" x14ac:dyDescent="0.3">
      <c r="A2031" t="s">
        <v>2011</v>
      </c>
    </row>
    <row r="2032" spans="1:1" x14ac:dyDescent="0.3">
      <c r="A2032" t="s">
        <v>2012</v>
      </c>
    </row>
    <row r="2033" spans="1:1" x14ac:dyDescent="0.3">
      <c r="A2033" t="s">
        <v>2013</v>
      </c>
    </row>
    <row r="2034" spans="1:1" x14ac:dyDescent="0.3">
      <c r="A2034" t="s">
        <v>2014</v>
      </c>
    </row>
    <row r="2035" spans="1:1" x14ac:dyDescent="0.3">
      <c r="A2035" t="s">
        <v>2015</v>
      </c>
    </row>
    <row r="2036" spans="1:1" x14ac:dyDescent="0.3">
      <c r="A2036" t="s">
        <v>2016</v>
      </c>
    </row>
    <row r="2037" spans="1:1" x14ac:dyDescent="0.3">
      <c r="A2037" t="s">
        <v>2017</v>
      </c>
    </row>
    <row r="2038" spans="1:1" x14ac:dyDescent="0.3">
      <c r="A2038" t="s">
        <v>2018</v>
      </c>
    </row>
    <row r="2039" spans="1:1" x14ac:dyDescent="0.3">
      <c r="A2039" t="s">
        <v>2019</v>
      </c>
    </row>
    <row r="2040" spans="1:1" x14ac:dyDescent="0.3">
      <c r="A2040" t="s">
        <v>2020</v>
      </c>
    </row>
    <row r="2041" spans="1:1" x14ac:dyDescent="0.3">
      <c r="A2041" t="s">
        <v>2021</v>
      </c>
    </row>
    <row r="2042" spans="1:1" x14ac:dyDescent="0.3">
      <c r="A2042" t="s">
        <v>2022</v>
      </c>
    </row>
    <row r="2043" spans="1:1" x14ac:dyDescent="0.3">
      <c r="A2043" t="s">
        <v>2023</v>
      </c>
    </row>
    <row r="2044" spans="1:1" x14ac:dyDescent="0.3">
      <c r="A2044" t="s">
        <v>2024</v>
      </c>
    </row>
    <row r="2045" spans="1:1" x14ac:dyDescent="0.3">
      <c r="A2045" t="s">
        <v>2025</v>
      </c>
    </row>
    <row r="2046" spans="1:1" x14ac:dyDescent="0.3">
      <c r="A2046" t="s">
        <v>2026</v>
      </c>
    </row>
    <row r="2047" spans="1:1" x14ac:dyDescent="0.3">
      <c r="A2047" t="s">
        <v>2027</v>
      </c>
    </row>
    <row r="2048" spans="1:1" x14ac:dyDescent="0.3">
      <c r="A2048" t="s">
        <v>2028</v>
      </c>
    </row>
    <row r="2049" spans="1:1" x14ac:dyDescent="0.3">
      <c r="A2049" t="s">
        <v>2029</v>
      </c>
    </row>
    <row r="2050" spans="1:1" x14ac:dyDescent="0.3">
      <c r="A2050" t="s">
        <v>2030</v>
      </c>
    </row>
    <row r="2051" spans="1:1" x14ac:dyDescent="0.3">
      <c r="A2051" t="s">
        <v>2031</v>
      </c>
    </row>
    <row r="2052" spans="1:1" x14ac:dyDescent="0.3">
      <c r="A2052" t="s">
        <v>2032</v>
      </c>
    </row>
    <row r="2053" spans="1:1" x14ac:dyDescent="0.3">
      <c r="A2053" t="s">
        <v>2033</v>
      </c>
    </row>
    <row r="2054" spans="1:1" x14ac:dyDescent="0.3">
      <c r="A2054" t="s">
        <v>2034</v>
      </c>
    </row>
    <row r="2055" spans="1:1" x14ac:dyDescent="0.3">
      <c r="A2055" t="s">
        <v>2035</v>
      </c>
    </row>
    <row r="2056" spans="1:1" x14ac:dyDescent="0.3">
      <c r="A2056" t="s">
        <v>2036</v>
      </c>
    </row>
    <row r="2057" spans="1:1" x14ac:dyDescent="0.3">
      <c r="A2057" t="s">
        <v>2037</v>
      </c>
    </row>
    <row r="2058" spans="1:1" x14ac:dyDescent="0.3">
      <c r="A2058" t="s">
        <v>2038</v>
      </c>
    </row>
    <row r="2059" spans="1:1" x14ac:dyDescent="0.3">
      <c r="A2059" t="s">
        <v>2039</v>
      </c>
    </row>
    <row r="2060" spans="1:1" x14ac:dyDescent="0.3">
      <c r="A2060" t="s">
        <v>2040</v>
      </c>
    </row>
    <row r="2061" spans="1:1" x14ac:dyDescent="0.3">
      <c r="A2061" t="s">
        <v>2041</v>
      </c>
    </row>
    <row r="2062" spans="1:1" x14ac:dyDescent="0.3">
      <c r="A2062" t="s">
        <v>827</v>
      </c>
    </row>
    <row r="2063" spans="1:1" x14ac:dyDescent="0.3">
      <c r="A2063" t="s">
        <v>2042</v>
      </c>
    </row>
    <row r="2064" spans="1:1" x14ac:dyDescent="0.3">
      <c r="A2064" t="s">
        <v>2043</v>
      </c>
    </row>
    <row r="2065" spans="1:1" x14ac:dyDescent="0.3">
      <c r="A2065" t="s">
        <v>2044</v>
      </c>
    </row>
    <row r="2066" spans="1:1" x14ac:dyDescent="0.3">
      <c r="A2066" t="s">
        <v>2045</v>
      </c>
    </row>
    <row r="2067" spans="1:1" x14ac:dyDescent="0.3">
      <c r="A2067" t="s">
        <v>2046</v>
      </c>
    </row>
    <row r="2068" spans="1:1" x14ac:dyDescent="0.3">
      <c r="A2068" t="s">
        <v>2047</v>
      </c>
    </row>
    <row r="2069" spans="1:1" x14ac:dyDescent="0.3">
      <c r="A2069" t="s">
        <v>2048</v>
      </c>
    </row>
    <row r="2070" spans="1:1" x14ac:dyDescent="0.3">
      <c r="A2070" t="s">
        <v>2049</v>
      </c>
    </row>
    <row r="2071" spans="1:1" x14ac:dyDescent="0.3">
      <c r="A2071" t="s">
        <v>2050</v>
      </c>
    </row>
    <row r="2072" spans="1:1" x14ac:dyDescent="0.3">
      <c r="A2072" t="s">
        <v>2051</v>
      </c>
    </row>
    <row r="2073" spans="1:1" x14ac:dyDescent="0.3">
      <c r="A2073" t="s">
        <v>2052</v>
      </c>
    </row>
    <row r="2074" spans="1:1" x14ac:dyDescent="0.3">
      <c r="A2074" t="s">
        <v>2053</v>
      </c>
    </row>
    <row r="2075" spans="1:1" x14ac:dyDescent="0.3">
      <c r="A2075" t="s">
        <v>2054</v>
      </c>
    </row>
    <row r="2076" spans="1:1" x14ac:dyDescent="0.3">
      <c r="A2076" t="s">
        <v>2055</v>
      </c>
    </row>
    <row r="2077" spans="1:1" x14ac:dyDescent="0.3">
      <c r="A2077" t="s">
        <v>2056</v>
      </c>
    </row>
    <row r="2078" spans="1:1" x14ac:dyDescent="0.3">
      <c r="A2078" t="s">
        <v>2057</v>
      </c>
    </row>
    <row r="2079" spans="1:1" x14ac:dyDescent="0.3">
      <c r="A2079" t="s">
        <v>1070</v>
      </c>
    </row>
    <row r="2080" spans="1:1" x14ac:dyDescent="0.3">
      <c r="A2080" t="s">
        <v>2058</v>
      </c>
    </row>
    <row r="2081" spans="1:1" x14ac:dyDescent="0.3">
      <c r="A2081" t="s">
        <v>2059</v>
      </c>
    </row>
    <row r="2082" spans="1:1" x14ac:dyDescent="0.3">
      <c r="A2082" t="s">
        <v>2060</v>
      </c>
    </row>
    <row r="2083" spans="1:1" x14ac:dyDescent="0.3">
      <c r="A2083" t="s">
        <v>2061</v>
      </c>
    </row>
    <row r="2084" spans="1:1" x14ac:dyDescent="0.3">
      <c r="A2084" t="s">
        <v>2062</v>
      </c>
    </row>
    <row r="2085" spans="1:1" x14ac:dyDescent="0.3">
      <c r="A2085" t="s">
        <v>2063</v>
      </c>
    </row>
    <row r="2086" spans="1:1" x14ac:dyDescent="0.3">
      <c r="A2086" t="s">
        <v>2064</v>
      </c>
    </row>
    <row r="2087" spans="1:1" x14ac:dyDescent="0.3">
      <c r="A2087" t="s">
        <v>2065</v>
      </c>
    </row>
    <row r="2088" spans="1:1" x14ac:dyDescent="0.3">
      <c r="A2088" t="s">
        <v>2066</v>
      </c>
    </row>
    <row r="2089" spans="1:1" x14ac:dyDescent="0.3">
      <c r="A2089" t="s">
        <v>2067</v>
      </c>
    </row>
    <row r="2090" spans="1:1" x14ac:dyDescent="0.3">
      <c r="A2090" t="s">
        <v>2068</v>
      </c>
    </row>
    <row r="2091" spans="1:1" x14ac:dyDescent="0.3">
      <c r="A2091" t="s">
        <v>2069</v>
      </c>
    </row>
    <row r="2092" spans="1:1" x14ac:dyDescent="0.3">
      <c r="A2092" t="s">
        <v>2070</v>
      </c>
    </row>
    <row r="2093" spans="1:1" x14ac:dyDescent="0.3">
      <c r="A2093" t="s">
        <v>2071</v>
      </c>
    </row>
    <row r="2094" spans="1:1" x14ac:dyDescent="0.3">
      <c r="A2094" t="s">
        <v>2072</v>
      </c>
    </row>
    <row r="2095" spans="1:1" x14ac:dyDescent="0.3">
      <c r="A2095" t="s">
        <v>2073</v>
      </c>
    </row>
    <row r="2096" spans="1:1" x14ac:dyDescent="0.3">
      <c r="A2096" t="s">
        <v>1646</v>
      </c>
    </row>
    <row r="2097" spans="1:1" x14ac:dyDescent="0.3">
      <c r="A2097" t="s">
        <v>2074</v>
      </c>
    </row>
    <row r="2098" spans="1:1" x14ac:dyDescent="0.3">
      <c r="A2098" t="s">
        <v>2075</v>
      </c>
    </row>
    <row r="2099" spans="1:1" x14ac:dyDescent="0.3">
      <c r="A2099" t="s">
        <v>2076</v>
      </c>
    </row>
    <row r="2100" spans="1:1" x14ac:dyDescent="0.3">
      <c r="A2100" t="s">
        <v>2077</v>
      </c>
    </row>
    <row r="2101" spans="1:1" x14ac:dyDescent="0.3">
      <c r="A2101" t="s">
        <v>2078</v>
      </c>
    </row>
    <row r="2102" spans="1:1" x14ac:dyDescent="0.3">
      <c r="A2102" t="s">
        <v>2079</v>
      </c>
    </row>
    <row r="2103" spans="1:1" x14ac:dyDescent="0.3">
      <c r="A2103" t="s">
        <v>2080</v>
      </c>
    </row>
    <row r="2104" spans="1:1" x14ac:dyDescent="0.3">
      <c r="A2104" t="s">
        <v>2081</v>
      </c>
    </row>
    <row r="2105" spans="1:1" x14ac:dyDescent="0.3">
      <c r="A2105" t="s">
        <v>2082</v>
      </c>
    </row>
    <row r="2106" spans="1:1" x14ac:dyDescent="0.3">
      <c r="A2106" t="s">
        <v>2083</v>
      </c>
    </row>
    <row r="2107" spans="1:1" x14ac:dyDescent="0.3">
      <c r="A2107" t="s">
        <v>2084</v>
      </c>
    </row>
    <row r="2108" spans="1:1" x14ac:dyDescent="0.3">
      <c r="A2108" t="s">
        <v>1372</v>
      </c>
    </row>
    <row r="2109" spans="1:1" x14ac:dyDescent="0.3">
      <c r="A2109" t="s">
        <v>2085</v>
      </c>
    </row>
    <row r="2110" spans="1:1" x14ac:dyDescent="0.3">
      <c r="A2110" t="s">
        <v>2086</v>
      </c>
    </row>
    <row r="2111" spans="1:1" x14ac:dyDescent="0.3">
      <c r="A2111" t="s">
        <v>2087</v>
      </c>
    </row>
    <row r="2112" spans="1:1" x14ac:dyDescent="0.3">
      <c r="A2112" t="s">
        <v>2088</v>
      </c>
    </row>
    <row r="2113" spans="1:1" x14ac:dyDescent="0.3">
      <c r="A2113" t="s">
        <v>2089</v>
      </c>
    </row>
    <row r="2114" spans="1:1" x14ac:dyDescent="0.3">
      <c r="A2114" t="s">
        <v>2090</v>
      </c>
    </row>
    <row r="2115" spans="1:1" x14ac:dyDescent="0.3">
      <c r="A2115" t="s">
        <v>2091</v>
      </c>
    </row>
    <row r="2116" spans="1:1" x14ac:dyDescent="0.3">
      <c r="A2116" t="s">
        <v>2092</v>
      </c>
    </row>
    <row r="2117" spans="1:1" x14ac:dyDescent="0.3">
      <c r="A2117" t="s">
        <v>2093</v>
      </c>
    </row>
    <row r="2118" spans="1:1" x14ac:dyDescent="0.3">
      <c r="A2118" t="s">
        <v>2094</v>
      </c>
    </row>
    <row r="2119" spans="1:1" x14ac:dyDescent="0.3">
      <c r="A2119" t="s">
        <v>2095</v>
      </c>
    </row>
    <row r="2120" spans="1:1" x14ac:dyDescent="0.3">
      <c r="A2120" t="s">
        <v>2096</v>
      </c>
    </row>
    <row r="2121" spans="1:1" x14ac:dyDescent="0.3">
      <c r="A2121" t="s">
        <v>2097</v>
      </c>
    </row>
    <row r="2122" spans="1:1" x14ac:dyDescent="0.3">
      <c r="A2122" t="s">
        <v>2098</v>
      </c>
    </row>
    <row r="2123" spans="1:1" x14ac:dyDescent="0.3">
      <c r="A2123" t="s">
        <v>2099</v>
      </c>
    </row>
    <row r="2124" spans="1:1" x14ac:dyDescent="0.3">
      <c r="A2124" t="s">
        <v>2100</v>
      </c>
    </row>
    <row r="2125" spans="1:1" x14ac:dyDescent="0.3">
      <c r="A2125" t="s">
        <v>2101</v>
      </c>
    </row>
    <row r="2126" spans="1:1" x14ac:dyDescent="0.3">
      <c r="A2126" t="s">
        <v>864</v>
      </c>
    </row>
    <row r="2127" spans="1:1" x14ac:dyDescent="0.3">
      <c r="A2127" t="s">
        <v>2102</v>
      </c>
    </row>
    <row r="2128" spans="1:1" x14ac:dyDescent="0.3">
      <c r="A2128" t="s">
        <v>2103</v>
      </c>
    </row>
    <row r="2129" spans="1:1" x14ac:dyDescent="0.3">
      <c r="A2129" t="s">
        <v>2104</v>
      </c>
    </row>
    <row r="2130" spans="1:1" x14ac:dyDescent="0.3">
      <c r="A2130" t="s">
        <v>2105</v>
      </c>
    </row>
    <row r="2131" spans="1:1" x14ac:dyDescent="0.3">
      <c r="A2131" t="s">
        <v>2106</v>
      </c>
    </row>
    <row r="2132" spans="1:1" x14ac:dyDescent="0.3">
      <c r="A2132" t="s">
        <v>2107</v>
      </c>
    </row>
    <row r="2133" spans="1:1" x14ac:dyDescent="0.3">
      <c r="A2133" t="s">
        <v>2108</v>
      </c>
    </row>
    <row r="2134" spans="1:1" x14ac:dyDescent="0.3">
      <c r="A2134" t="s">
        <v>2109</v>
      </c>
    </row>
    <row r="2135" spans="1:1" x14ac:dyDescent="0.3">
      <c r="A2135" t="s">
        <v>2110</v>
      </c>
    </row>
    <row r="2136" spans="1:1" x14ac:dyDescent="0.3">
      <c r="A2136" t="s">
        <v>2111</v>
      </c>
    </row>
    <row r="2137" spans="1:1" x14ac:dyDescent="0.3">
      <c r="A2137" t="s">
        <v>2112</v>
      </c>
    </row>
    <row r="2138" spans="1:1" x14ac:dyDescent="0.3">
      <c r="A2138" t="s">
        <v>2113</v>
      </c>
    </row>
    <row r="2139" spans="1:1" x14ac:dyDescent="0.3">
      <c r="A2139" t="s">
        <v>2114</v>
      </c>
    </row>
    <row r="2140" spans="1:1" x14ac:dyDescent="0.3">
      <c r="A2140" t="s">
        <v>2115</v>
      </c>
    </row>
    <row r="2141" spans="1:1" x14ac:dyDescent="0.3">
      <c r="A2141" t="s">
        <v>2116</v>
      </c>
    </row>
    <row r="2142" spans="1:1" x14ac:dyDescent="0.3">
      <c r="A2142" t="s">
        <v>2117</v>
      </c>
    </row>
    <row r="2143" spans="1:1" x14ac:dyDescent="0.3">
      <c r="A2143" t="s">
        <v>2118</v>
      </c>
    </row>
    <row r="2144" spans="1:1" x14ac:dyDescent="0.3">
      <c r="A2144" t="s">
        <v>2119</v>
      </c>
    </row>
    <row r="2145" spans="1:1" x14ac:dyDescent="0.3">
      <c r="A2145" t="s">
        <v>2120</v>
      </c>
    </row>
    <row r="2146" spans="1:1" x14ac:dyDescent="0.3">
      <c r="A2146" t="s">
        <v>2121</v>
      </c>
    </row>
    <row r="2147" spans="1:1" x14ac:dyDescent="0.3">
      <c r="A2147" t="s">
        <v>2122</v>
      </c>
    </row>
    <row r="2148" spans="1:1" x14ac:dyDescent="0.3">
      <c r="A2148" t="s">
        <v>2123</v>
      </c>
    </row>
    <row r="2149" spans="1:1" x14ac:dyDescent="0.3">
      <c r="A2149" t="s">
        <v>2124</v>
      </c>
    </row>
    <row r="2150" spans="1:1" x14ac:dyDescent="0.3">
      <c r="A2150" t="s">
        <v>2125</v>
      </c>
    </row>
    <row r="2151" spans="1:1" x14ac:dyDescent="0.3">
      <c r="A2151" t="s">
        <v>2126</v>
      </c>
    </row>
    <row r="2152" spans="1:1" x14ac:dyDescent="0.3">
      <c r="A2152" t="s">
        <v>2127</v>
      </c>
    </row>
    <row r="2153" spans="1:1" x14ac:dyDescent="0.3">
      <c r="A2153" t="s">
        <v>2128</v>
      </c>
    </row>
    <row r="2154" spans="1:1" x14ac:dyDescent="0.3">
      <c r="A2154" t="s">
        <v>1895</v>
      </c>
    </row>
    <row r="2155" spans="1:1" x14ac:dyDescent="0.3">
      <c r="A2155" t="s">
        <v>2129</v>
      </c>
    </row>
    <row r="2156" spans="1:1" x14ac:dyDescent="0.3">
      <c r="A2156" t="s">
        <v>2130</v>
      </c>
    </row>
    <row r="2157" spans="1:1" x14ac:dyDescent="0.3">
      <c r="A2157" t="s">
        <v>2131</v>
      </c>
    </row>
    <row r="2158" spans="1:1" x14ac:dyDescent="0.3">
      <c r="A2158" t="s">
        <v>2132</v>
      </c>
    </row>
    <row r="2159" spans="1:1" x14ac:dyDescent="0.3">
      <c r="A2159" t="s">
        <v>1074</v>
      </c>
    </row>
    <row r="2160" spans="1:1" x14ac:dyDescent="0.3">
      <c r="A2160" t="s">
        <v>2133</v>
      </c>
    </row>
    <row r="2161" spans="1:1" x14ac:dyDescent="0.3">
      <c r="A2161" t="s">
        <v>2134</v>
      </c>
    </row>
    <row r="2162" spans="1:1" x14ac:dyDescent="0.3">
      <c r="A2162" t="s">
        <v>2135</v>
      </c>
    </row>
    <row r="2163" spans="1:1" x14ac:dyDescent="0.3">
      <c r="A2163" t="s">
        <v>2136</v>
      </c>
    </row>
    <row r="2164" spans="1:1" x14ac:dyDescent="0.3">
      <c r="A2164" t="s">
        <v>2137</v>
      </c>
    </row>
    <row r="2165" spans="1:1" x14ac:dyDescent="0.3">
      <c r="A2165" t="s">
        <v>2138</v>
      </c>
    </row>
    <row r="2166" spans="1:1" x14ac:dyDescent="0.3">
      <c r="A2166" t="s">
        <v>2139</v>
      </c>
    </row>
    <row r="2167" spans="1:1" x14ac:dyDescent="0.3">
      <c r="A2167" t="s">
        <v>2140</v>
      </c>
    </row>
    <row r="2168" spans="1:1" x14ac:dyDescent="0.3">
      <c r="A2168" t="s">
        <v>2141</v>
      </c>
    </row>
    <row r="2169" spans="1:1" x14ac:dyDescent="0.3">
      <c r="A2169" t="s">
        <v>2142</v>
      </c>
    </row>
    <row r="2170" spans="1:1" x14ac:dyDescent="0.3">
      <c r="A2170" t="s">
        <v>2143</v>
      </c>
    </row>
    <row r="2171" spans="1:1" x14ac:dyDescent="0.3">
      <c r="A2171" t="s">
        <v>2144</v>
      </c>
    </row>
    <row r="2172" spans="1:1" x14ac:dyDescent="0.3">
      <c r="A2172" t="s">
        <v>2145</v>
      </c>
    </row>
    <row r="2173" spans="1:1" x14ac:dyDescent="0.3">
      <c r="A2173" t="s">
        <v>2146</v>
      </c>
    </row>
    <row r="2174" spans="1:1" x14ac:dyDescent="0.3">
      <c r="A2174" t="s">
        <v>2147</v>
      </c>
    </row>
    <row r="2175" spans="1:1" x14ac:dyDescent="0.3">
      <c r="A2175" t="s">
        <v>2148</v>
      </c>
    </row>
    <row r="2176" spans="1:1" x14ac:dyDescent="0.3">
      <c r="A2176" t="s">
        <v>2149</v>
      </c>
    </row>
    <row r="2177" spans="1:1" x14ac:dyDescent="0.3">
      <c r="A2177" t="s">
        <v>2150</v>
      </c>
    </row>
    <row r="2178" spans="1:1" x14ac:dyDescent="0.3">
      <c r="A2178" t="s">
        <v>2151</v>
      </c>
    </row>
    <row r="2179" spans="1:1" x14ac:dyDescent="0.3">
      <c r="A2179" t="s">
        <v>2152</v>
      </c>
    </row>
    <row r="2180" spans="1:1" x14ac:dyDescent="0.3">
      <c r="A2180" t="s">
        <v>2153</v>
      </c>
    </row>
    <row r="2181" spans="1:1" x14ac:dyDescent="0.3">
      <c r="A2181" t="s">
        <v>2154</v>
      </c>
    </row>
    <row r="2182" spans="1:1" x14ac:dyDescent="0.3">
      <c r="A2182" t="s">
        <v>2155</v>
      </c>
    </row>
    <row r="2183" spans="1:1" x14ac:dyDescent="0.3">
      <c r="A2183" t="s">
        <v>2156</v>
      </c>
    </row>
    <row r="2184" spans="1:1" x14ac:dyDescent="0.3">
      <c r="A2184" t="s">
        <v>2157</v>
      </c>
    </row>
    <row r="2185" spans="1:1" x14ac:dyDescent="0.3">
      <c r="A2185" t="s">
        <v>2158</v>
      </c>
    </row>
    <row r="2186" spans="1:1" x14ac:dyDescent="0.3">
      <c r="A2186" t="s">
        <v>2159</v>
      </c>
    </row>
    <row r="2187" spans="1:1" x14ac:dyDescent="0.3">
      <c r="A2187" t="s">
        <v>2160</v>
      </c>
    </row>
    <row r="2188" spans="1:1" x14ac:dyDescent="0.3">
      <c r="A2188" t="s">
        <v>2161</v>
      </c>
    </row>
    <row r="2189" spans="1:1" x14ac:dyDescent="0.3">
      <c r="A2189" t="s">
        <v>2162</v>
      </c>
    </row>
    <row r="2190" spans="1:1" x14ac:dyDescent="0.3">
      <c r="A2190" t="s">
        <v>2163</v>
      </c>
    </row>
    <row r="2191" spans="1:1" x14ac:dyDescent="0.3">
      <c r="A2191" t="s">
        <v>2164</v>
      </c>
    </row>
    <row r="2192" spans="1:1" x14ac:dyDescent="0.3">
      <c r="A2192" t="s">
        <v>2165</v>
      </c>
    </row>
    <row r="2193" spans="1:1" x14ac:dyDescent="0.3">
      <c r="A2193" t="s">
        <v>2166</v>
      </c>
    </row>
    <row r="2194" spans="1:1" x14ac:dyDescent="0.3">
      <c r="A2194" t="s">
        <v>2167</v>
      </c>
    </row>
    <row r="2195" spans="1:1" x14ac:dyDescent="0.3">
      <c r="A2195" t="s">
        <v>2168</v>
      </c>
    </row>
    <row r="2196" spans="1:1" x14ac:dyDescent="0.3">
      <c r="A2196" t="s">
        <v>2169</v>
      </c>
    </row>
    <row r="2197" spans="1:1" x14ac:dyDescent="0.3">
      <c r="A2197" t="s">
        <v>2170</v>
      </c>
    </row>
    <row r="2198" spans="1:1" x14ac:dyDescent="0.3">
      <c r="A2198" t="s">
        <v>2171</v>
      </c>
    </row>
    <row r="2199" spans="1:1" x14ac:dyDescent="0.3">
      <c r="A2199" t="s">
        <v>2172</v>
      </c>
    </row>
    <row r="2200" spans="1:1" x14ac:dyDescent="0.3">
      <c r="A2200" t="s">
        <v>2173</v>
      </c>
    </row>
    <row r="2201" spans="1:1" x14ac:dyDescent="0.3">
      <c r="A2201" t="s">
        <v>2174</v>
      </c>
    </row>
    <row r="2202" spans="1:1" x14ac:dyDescent="0.3">
      <c r="A2202" t="s">
        <v>2175</v>
      </c>
    </row>
    <row r="2203" spans="1:1" x14ac:dyDescent="0.3">
      <c r="A2203" t="s">
        <v>627</v>
      </c>
    </row>
    <row r="2204" spans="1:1" x14ac:dyDescent="0.3">
      <c r="A2204" t="s">
        <v>2176</v>
      </c>
    </row>
    <row r="2205" spans="1:1" x14ac:dyDescent="0.3">
      <c r="A2205" t="s">
        <v>2177</v>
      </c>
    </row>
    <row r="2206" spans="1:1" x14ac:dyDescent="0.3">
      <c r="A2206" t="s">
        <v>2178</v>
      </c>
    </row>
    <row r="2207" spans="1:1" x14ac:dyDescent="0.3">
      <c r="A2207" t="s">
        <v>2179</v>
      </c>
    </row>
    <row r="2208" spans="1:1" x14ac:dyDescent="0.3">
      <c r="A2208" t="s">
        <v>2180</v>
      </c>
    </row>
    <row r="2209" spans="1:1" x14ac:dyDescent="0.3">
      <c r="A2209" t="s">
        <v>2181</v>
      </c>
    </row>
    <row r="2210" spans="1:1" x14ac:dyDescent="0.3">
      <c r="A2210" t="s">
        <v>2182</v>
      </c>
    </row>
    <row r="2211" spans="1:1" x14ac:dyDescent="0.3">
      <c r="A2211" t="s">
        <v>1278</v>
      </c>
    </row>
    <row r="2212" spans="1:1" x14ac:dyDescent="0.3">
      <c r="A2212" t="s">
        <v>2183</v>
      </c>
    </row>
    <row r="2213" spans="1:1" x14ac:dyDescent="0.3">
      <c r="A2213" t="s">
        <v>2184</v>
      </c>
    </row>
    <row r="2214" spans="1:1" x14ac:dyDescent="0.3">
      <c r="A2214" t="s">
        <v>2185</v>
      </c>
    </row>
    <row r="2215" spans="1:1" x14ac:dyDescent="0.3">
      <c r="A2215" t="s">
        <v>2186</v>
      </c>
    </row>
    <row r="2216" spans="1:1" x14ac:dyDescent="0.3">
      <c r="A2216" t="s">
        <v>2187</v>
      </c>
    </row>
    <row r="2217" spans="1:1" x14ac:dyDescent="0.3">
      <c r="A2217" t="s">
        <v>2188</v>
      </c>
    </row>
    <row r="2218" spans="1:1" x14ac:dyDescent="0.3">
      <c r="A2218" t="s">
        <v>2189</v>
      </c>
    </row>
    <row r="2219" spans="1:1" x14ac:dyDescent="0.3">
      <c r="A2219" t="s">
        <v>2190</v>
      </c>
    </row>
    <row r="2220" spans="1:1" x14ac:dyDescent="0.3">
      <c r="A2220" t="s">
        <v>2191</v>
      </c>
    </row>
    <row r="2221" spans="1:1" x14ac:dyDescent="0.3">
      <c r="A2221" t="s">
        <v>2192</v>
      </c>
    </row>
    <row r="2222" spans="1:1" x14ac:dyDescent="0.3">
      <c r="A2222" t="s">
        <v>2193</v>
      </c>
    </row>
    <row r="2223" spans="1:1" x14ac:dyDescent="0.3">
      <c r="A2223" t="s">
        <v>2194</v>
      </c>
    </row>
    <row r="2224" spans="1:1" x14ac:dyDescent="0.3">
      <c r="A2224" t="s">
        <v>2195</v>
      </c>
    </row>
    <row r="2225" spans="1:1" x14ac:dyDescent="0.3">
      <c r="A2225" t="s">
        <v>2196</v>
      </c>
    </row>
    <row r="2226" spans="1:1" x14ac:dyDescent="0.3">
      <c r="A2226" t="s">
        <v>2197</v>
      </c>
    </row>
    <row r="2227" spans="1:1" x14ac:dyDescent="0.3">
      <c r="A2227" t="s">
        <v>2198</v>
      </c>
    </row>
    <row r="2228" spans="1:1" x14ac:dyDescent="0.3">
      <c r="A2228" t="s">
        <v>2199</v>
      </c>
    </row>
    <row r="2229" spans="1:1" x14ac:dyDescent="0.3">
      <c r="A2229" t="s">
        <v>2200</v>
      </c>
    </row>
    <row r="2230" spans="1:1" x14ac:dyDescent="0.3">
      <c r="A2230" t="s">
        <v>2201</v>
      </c>
    </row>
    <row r="2231" spans="1:1" x14ac:dyDescent="0.3">
      <c r="A2231" t="s">
        <v>2202</v>
      </c>
    </row>
    <row r="2232" spans="1:1" x14ac:dyDescent="0.3">
      <c r="A2232" t="s">
        <v>2203</v>
      </c>
    </row>
    <row r="2233" spans="1:1" x14ac:dyDescent="0.3">
      <c r="A2233" t="s">
        <v>2204</v>
      </c>
    </row>
    <row r="2234" spans="1:1" x14ac:dyDescent="0.3">
      <c r="A2234" t="s">
        <v>2205</v>
      </c>
    </row>
    <row r="2235" spans="1:1" x14ac:dyDescent="0.3">
      <c r="A2235" t="s">
        <v>2206</v>
      </c>
    </row>
    <row r="2236" spans="1:1" x14ac:dyDescent="0.3">
      <c r="A2236" t="s">
        <v>2207</v>
      </c>
    </row>
    <row r="2237" spans="1:1" x14ac:dyDescent="0.3">
      <c r="A2237" t="s">
        <v>2208</v>
      </c>
    </row>
    <row r="2238" spans="1:1" x14ac:dyDescent="0.3">
      <c r="A2238" t="s">
        <v>2209</v>
      </c>
    </row>
    <row r="2239" spans="1:1" x14ac:dyDescent="0.3">
      <c r="A2239" t="s">
        <v>2210</v>
      </c>
    </row>
    <row r="2240" spans="1:1" x14ac:dyDescent="0.3">
      <c r="A2240" t="s">
        <v>2211</v>
      </c>
    </row>
    <row r="2241" spans="1:1" x14ac:dyDescent="0.3">
      <c r="A2241" t="s">
        <v>2212</v>
      </c>
    </row>
    <row r="2242" spans="1:1" x14ac:dyDescent="0.3">
      <c r="A2242" t="s">
        <v>2213</v>
      </c>
    </row>
    <row r="2243" spans="1:1" x14ac:dyDescent="0.3">
      <c r="A2243" t="s">
        <v>2214</v>
      </c>
    </row>
    <row r="2244" spans="1:1" x14ac:dyDescent="0.3">
      <c r="A2244" t="s">
        <v>2215</v>
      </c>
    </row>
    <row r="2245" spans="1:1" x14ac:dyDescent="0.3">
      <c r="A2245" t="s">
        <v>2216</v>
      </c>
    </row>
    <row r="2246" spans="1:1" x14ac:dyDescent="0.3">
      <c r="A2246" t="s">
        <v>2217</v>
      </c>
    </row>
    <row r="2247" spans="1:1" x14ac:dyDescent="0.3">
      <c r="A2247" t="s">
        <v>2218</v>
      </c>
    </row>
    <row r="2248" spans="1:1" x14ac:dyDescent="0.3">
      <c r="A2248" t="s">
        <v>2219</v>
      </c>
    </row>
    <row r="2249" spans="1:1" x14ac:dyDescent="0.3">
      <c r="A2249" t="s">
        <v>2220</v>
      </c>
    </row>
    <row r="2250" spans="1:1" x14ac:dyDescent="0.3">
      <c r="A2250" t="s">
        <v>2221</v>
      </c>
    </row>
    <row r="2251" spans="1:1" x14ac:dyDescent="0.3">
      <c r="A2251" t="s">
        <v>2222</v>
      </c>
    </row>
    <row r="2252" spans="1:1" x14ac:dyDescent="0.3">
      <c r="A2252" t="s">
        <v>2223</v>
      </c>
    </row>
    <row r="2253" spans="1:1" x14ac:dyDescent="0.3">
      <c r="A2253" t="s">
        <v>2224</v>
      </c>
    </row>
    <row r="2254" spans="1:1" x14ac:dyDescent="0.3">
      <c r="A2254" t="s">
        <v>2225</v>
      </c>
    </row>
    <row r="2255" spans="1:1" x14ac:dyDescent="0.3">
      <c r="A2255" t="s">
        <v>2226</v>
      </c>
    </row>
    <row r="2256" spans="1:1" x14ac:dyDescent="0.3">
      <c r="A2256" t="s">
        <v>2227</v>
      </c>
    </row>
    <row r="2257" spans="1:1" x14ac:dyDescent="0.3">
      <c r="A2257" t="s">
        <v>2228</v>
      </c>
    </row>
    <row r="2258" spans="1:1" x14ac:dyDescent="0.3">
      <c r="A2258" t="s">
        <v>2229</v>
      </c>
    </row>
    <row r="2259" spans="1:1" x14ac:dyDescent="0.3">
      <c r="A2259" t="s">
        <v>2230</v>
      </c>
    </row>
    <row r="2260" spans="1:1" x14ac:dyDescent="0.3">
      <c r="A2260" t="s">
        <v>2231</v>
      </c>
    </row>
    <row r="2261" spans="1:1" x14ac:dyDescent="0.3">
      <c r="A2261" t="s">
        <v>2232</v>
      </c>
    </row>
    <row r="2262" spans="1:1" x14ac:dyDescent="0.3">
      <c r="A2262" t="s">
        <v>2233</v>
      </c>
    </row>
    <row r="2263" spans="1:1" x14ac:dyDescent="0.3">
      <c r="A2263" t="s">
        <v>2234</v>
      </c>
    </row>
    <row r="2264" spans="1:1" x14ac:dyDescent="0.3">
      <c r="A2264" t="s">
        <v>2235</v>
      </c>
    </row>
    <row r="2265" spans="1:1" x14ac:dyDescent="0.3">
      <c r="A2265" t="s">
        <v>2236</v>
      </c>
    </row>
    <row r="2266" spans="1:1" x14ac:dyDescent="0.3">
      <c r="A2266" t="s">
        <v>2237</v>
      </c>
    </row>
    <row r="2267" spans="1:1" x14ac:dyDescent="0.3">
      <c r="A2267" t="s">
        <v>2238</v>
      </c>
    </row>
    <row r="2268" spans="1:1" x14ac:dyDescent="0.3">
      <c r="A2268" t="s">
        <v>2239</v>
      </c>
    </row>
    <row r="2269" spans="1:1" x14ac:dyDescent="0.3">
      <c r="A2269" t="s">
        <v>2240</v>
      </c>
    </row>
    <row r="2270" spans="1:1" x14ac:dyDescent="0.3">
      <c r="A2270" t="s">
        <v>2241</v>
      </c>
    </row>
    <row r="2271" spans="1:1" x14ac:dyDescent="0.3">
      <c r="A2271" t="s">
        <v>2242</v>
      </c>
    </row>
    <row r="2272" spans="1:1" x14ac:dyDescent="0.3">
      <c r="A2272" t="s">
        <v>2243</v>
      </c>
    </row>
    <row r="2273" spans="1:1" x14ac:dyDescent="0.3">
      <c r="A2273" t="s">
        <v>2244</v>
      </c>
    </row>
    <row r="2274" spans="1:1" x14ac:dyDescent="0.3">
      <c r="A2274" t="s">
        <v>2245</v>
      </c>
    </row>
    <row r="2275" spans="1:1" x14ac:dyDescent="0.3">
      <c r="A2275" t="s">
        <v>2246</v>
      </c>
    </row>
    <row r="2276" spans="1:1" x14ac:dyDescent="0.3">
      <c r="A2276" t="s">
        <v>2247</v>
      </c>
    </row>
    <row r="2277" spans="1:1" x14ac:dyDescent="0.3">
      <c r="A2277" t="s">
        <v>2248</v>
      </c>
    </row>
    <row r="2278" spans="1:1" x14ac:dyDescent="0.3">
      <c r="A2278" t="s">
        <v>2249</v>
      </c>
    </row>
    <row r="2279" spans="1:1" x14ac:dyDescent="0.3">
      <c r="A2279" t="s">
        <v>2250</v>
      </c>
    </row>
    <row r="2280" spans="1:1" x14ac:dyDescent="0.3">
      <c r="A2280" t="s">
        <v>2251</v>
      </c>
    </row>
    <row r="2281" spans="1:1" x14ac:dyDescent="0.3">
      <c r="A2281" t="s">
        <v>2252</v>
      </c>
    </row>
    <row r="2282" spans="1:1" x14ac:dyDescent="0.3">
      <c r="A2282" t="s">
        <v>2253</v>
      </c>
    </row>
    <row r="2283" spans="1:1" x14ac:dyDescent="0.3">
      <c r="A2283" t="s">
        <v>2254</v>
      </c>
    </row>
    <row r="2284" spans="1:1" x14ac:dyDescent="0.3">
      <c r="A2284" t="s">
        <v>2255</v>
      </c>
    </row>
    <row r="2285" spans="1:1" x14ac:dyDescent="0.3">
      <c r="A2285" t="s">
        <v>2256</v>
      </c>
    </row>
    <row r="2286" spans="1:1" x14ac:dyDescent="0.3">
      <c r="A2286" t="s">
        <v>2257</v>
      </c>
    </row>
    <row r="2287" spans="1:1" x14ac:dyDescent="0.3">
      <c r="A2287" t="s">
        <v>2258</v>
      </c>
    </row>
    <row r="2288" spans="1:1" x14ac:dyDescent="0.3">
      <c r="A2288" t="s">
        <v>2259</v>
      </c>
    </row>
    <row r="2289" spans="1:1" x14ac:dyDescent="0.3">
      <c r="A2289" t="s">
        <v>2260</v>
      </c>
    </row>
    <row r="2290" spans="1:1" x14ac:dyDescent="0.3">
      <c r="A2290" t="s">
        <v>2261</v>
      </c>
    </row>
    <row r="2291" spans="1:1" x14ac:dyDescent="0.3">
      <c r="A2291" t="s">
        <v>2262</v>
      </c>
    </row>
    <row r="2292" spans="1:1" x14ac:dyDescent="0.3">
      <c r="A2292" t="s">
        <v>2263</v>
      </c>
    </row>
    <row r="2293" spans="1:1" x14ac:dyDescent="0.3">
      <c r="A2293" t="s">
        <v>2264</v>
      </c>
    </row>
    <row r="2294" spans="1:1" x14ac:dyDescent="0.3">
      <c r="A2294" t="s">
        <v>2265</v>
      </c>
    </row>
    <row r="2295" spans="1:1" x14ac:dyDescent="0.3">
      <c r="A2295" t="s">
        <v>2266</v>
      </c>
    </row>
    <row r="2296" spans="1:1" x14ac:dyDescent="0.3">
      <c r="A2296" t="s">
        <v>2267</v>
      </c>
    </row>
    <row r="2297" spans="1:1" x14ac:dyDescent="0.3">
      <c r="A2297" t="s">
        <v>2268</v>
      </c>
    </row>
    <row r="2298" spans="1:1" x14ac:dyDescent="0.3">
      <c r="A2298" t="s">
        <v>2269</v>
      </c>
    </row>
    <row r="2299" spans="1:1" x14ac:dyDescent="0.3">
      <c r="A2299" t="s">
        <v>2270</v>
      </c>
    </row>
    <row r="2300" spans="1:1" x14ac:dyDescent="0.3">
      <c r="A2300" t="s">
        <v>2271</v>
      </c>
    </row>
    <row r="2301" spans="1:1" x14ac:dyDescent="0.3">
      <c r="A2301" t="s">
        <v>2272</v>
      </c>
    </row>
    <row r="2302" spans="1:1" x14ac:dyDescent="0.3">
      <c r="A2302" t="s">
        <v>2273</v>
      </c>
    </row>
    <row r="2303" spans="1:1" x14ac:dyDescent="0.3">
      <c r="A2303" t="s">
        <v>2274</v>
      </c>
    </row>
    <row r="2304" spans="1:1" x14ac:dyDescent="0.3">
      <c r="A2304" t="s">
        <v>1846</v>
      </c>
    </row>
    <row r="2305" spans="1:1" x14ac:dyDescent="0.3">
      <c r="A2305" t="s">
        <v>2275</v>
      </c>
    </row>
    <row r="2306" spans="1:1" x14ac:dyDescent="0.3">
      <c r="A2306" t="s">
        <v>2276</v>
      </c>
    </row>
    <row r="2307" spans="1:1" x14ac:dyDescent="0.3">
      <c r="A2307" t="s">
        <v>2277</v>
      </c>
    </row>
    <row r="2308" spans="1:1" x14ac:dyDescent="0.3">
      <c r="A2308" t="s">
        <v>2278</v>
      </c>
    </row>
    <row r="2309" spans="1:1" x14ac:dyDescent="0.3">
      <c r="A2309" t="s">
        <v>2279</v>
      </c>
    </row>
    <row r="2310" spans="1:1" x14ac:dyDescent="0.3">
      <c r="A2310" t="s">
        <v>2009</v>
      </c>
    </row>
    <row r="2311" spans="1:1" x14ac:dyDescent="0.3">
      <c r="A2311" t="s">
        <v>2280</v>
      </c>
    </row>
    <row r="2312" spans="1:1" x14ac:dyDescent="0.3">
      <c r="A2312" t="s">
        <v>2281</v>
      </c>
    </row>
    <row r="2313" spans="1:1" x14ac:dyDescent="0.3">
      <c r="A2313" t="s">
        <v>2282</v>
      </c>
    </row>
    <row r="2314" spans="1:1" x14ac:dyDescent="0.3">
      <c r="A2314" t="s">
        <v>2283</v>
      </c>
    </row>
    <row r="2315" spans="1:1" x14ac:dyDescent="0.3">
      <c r="A2315" t="s">
        <v>2284</v>
      </c>
    </row>
    <row r="2316" spans="1:1" x14ac:dyDescent="0.3">
      <c r="A2316" t="s">
        <v>2285</v>
      </c>
    </row>
    <row r="2317" spans="1:1" x14ac:dyDescent="0.3">
      <c r="A2317" t="s">
        <v>2286</v>
      </c>
    </row>
    <row r="2318" spans="1:1" x14ac:dyDescent="0.3">
      <c r="A2318" t="s">
        <v>2287</v>
      </c>
    </row>
    <row r="2319" spans="1:1" x14ac:dyDescent="0.3">
      <c r="A2319" t="s">
        <v>2288</v>
      </c>
    </row>
    <row r="2320" spans="1:1" x14ac:dyDescent="0.3">
      <c r="A2320" t="s">
        <v>2289</v>
      </c>
    </row>
    <row r="2321" spans="1:1" x14ac:dyDescent="0.3">
      <c r="A2321" t="s">
        <v>2290</v>
      </c>
    </row>
    <row r="2322" spans="1:1" x14ac:dyDescent="0.3">
      <c r="A2322" t="s">
        <v>2291</v>
      </c>
    </row>
    <row r="2323" spans="1:1" x14ac:dyDescent="0.3">
      <c r="A2323" t="s">
        <v>2292</v>
      </c>
    </row>
    <row r="2324" spans="1:1" x14ac:dyDescent="0.3">
      <c r="A2324" t="s">
        <v>2293</v>
      </c>
    </row>
    <row r="2325" spans="1:1" x14ac:dyDescent="0.3">
      <c r="A2325" t="s">
        <v>2294</v>
      </c>
    </row>
    <row r="2326" spans="1:1" x14ac:dyDescent="0.3">
      <c r="A2326" t="s">
        <v>2295</v>
      </c>
    </row>
    <row r="2327" spans="1:1" x14ac:dyDescent="0.3">
      <c r="A2327" t="s">
        <v>2296</v>
      </c>
    </row>
    <row r="2328" spans="1:1" x14ac:dyDescent="0.3">
      <c r="A2328" t="s">
        <v>2297</v>
      </c>
    </row>
    <row r="2329" spans="1:1" x14ac:dyDescent="0.3">
      <c r="A2329" t="s">
        <v>2298</v>
      </c>
    </row>
    <row r="2330" spans="1:1" x14ac:dyDescent="0.3">
      <c r="A2330" t="s">
        <v>2299</v>
      </c>
    </row>
    <row r="2331" spans="1:1" x14ac:dyDescent="0.3">
      <c r="A2331" t="s">
        <v>2300</v>
      </c>
    </row>
    <row r="2332" spans="1:1" x14ac:dyDescent="0.3">
      <c r="A2332" t="s">
        <v>2301</v>
      </c>
    </row>
    <row r="2333" spans="1:1" x14ac:dyDescent="0.3">
      <c r="A2333" t="s">
        <v>2302</v>
      </c>
    </row>
    <row r="2334" spans="1:1" x14ac:dyDescent="0.3">
      <c r="A2334" t="s">
        <v>2303</v>
      </c>
    </row>
    <row r="2335" spans="1:1" x14ac:dyDescent="0.3">
      <c r="A2335" t="s">
        <v>2304</v>
      </c>
    </row>
    <row r="2336" spans="1:1" x14ac:dyDescent="0.3">
      <c r="A2336" t="s">
        <v>2305</v>
      </c>
    </row>
    <row r="2337" spans="1:1" x14ac:dyDescent="0.3">
      <c r="A2337" t="s">
        <v>2306</v>
      </c>
    </row>
    <row r="2338" spans="1:1" x14ac:dyDescent="0.3">
      <c r="A2338" t="s">
        <v>2307</v>
      </c>
    </row>
    <row r="2339" spans="1:1" x14ac:dyDescent="0.3">
      <c r="A2339" t="s">
        <v>2308</v>
      </c>
    </row>
    <row r="2340" spans="1:1" x14ac:dyDescent="0.3">
      <c r="A2340" t="s">
        <v>2309</v>
      </c>
    </row>
    <row r="2341" spans="1:1" x14ac:dyDescent="0.3">
      <c r="A2341" t="s">
        <v>2310</v>
      </c>
    </row>
    <row r="2342" spans="1:1" x14ac:dyDescent="0.3">
      <c r="A2342" t="s">
        <v>2311</v>
      </c>
    </row>
    <row r="2343" spans="1:1" x14ac:dyDescent="0.3">
      <c r="A2343" t="s">
        <v>2312</v>
      </c>
    </row>
    <row r="2344" spans="1:1" x14ac:dyDescent="0.3">
      <c r="A2344" t="s">
        <v>2313</v>
      </c>
    </row>
    <row r="2345" spans="1:1" x14ac:dyDescent="0.3">
      <c r="A2345" t="s">
        <v>2314</v>
      </c>
    </row>
    <row r="2346" spans="1:1" x14ac:dyDescent="0.3">
      <c r="A2346" t="s">
        <v>2315</v>
      </c>
    </row>
    <row r="2347" spans="1:1" x14ac:dyDescent="0.3">
      <c r="A2347" t="s">
        <v>2316</v>
      </c>
    </row>
    <row r="2348" spans="1:1" x14ac:dyDescent="0.3">
      <c r="A2348" t="s">
        <v>2317</v>
      </c>
    </row>
    <row r="2349" spans="1:1" x14ac:dyDescent="0.3">
      <c r="A2349" t="s">
        <v>94</v>
      </c>
    </row>
    <row r="2350" spans="1:1" x14ac:dyDescent="0.3">
      <c r="A2350" t="s">
        <v>2318</v>
      </c>
    </row>
    <row r="2351" spans="1:1" x14ac:dyDescent="0.3">
      <c r="A2351" t="s">
        <v>2319</v>
      </c>
    </row>
    <row r="2352" spans="1:1" x14ac:dyDescent="0.3">
      <c r="A2352" t="s">
        <v>2320</v>
      </c>
    </row>
    <row r="2353" spans="1:1" x14ac:dyDescent="0.3">
      <c r="A2353" t="s">
        <v>2321</v>
      </c>
    </row>
    <row r="2354" spans="1:1" x14ac:dyDescent="0.3">
      <c r="A2354" t="s">
        <v>2322</v>
      </c>
    </row>
    <row r="2355" spans="1:1" x14ac:dyDescent="0.3">
      <c r="A2355" t="s">
        <v>2323</v>
      </c>
    </row>
    <row r="2356" spans="1:1" x14ac:dyDescent="0.3">
      <c r="A2356" t="s">
        <v>2324</v>
      </c>
    </row>
    <row r="2357" spans="1:1" x14ac:dyDescent="0.3">
      <c r="A2357" t="s">
        <v>2325</v>
      </c>
    </row>
    <row r="2358" spans="1:1" x14ac:dyDescent="0.3">
      <c r="A2358" t="s">
        <v>2326</v>
      </c>
    </row>
    <row r="2359" spans="1:1" x14ac:dyDescent="0.3">
      <c r="A2359" t="s">
        <v>2327</v>
      </c>
    </row>
    <row r="2360" spans="1:1" x14ac:dyDescent="0.3">
      <c r="A2360" t="s">
        <v>2328</v>
      </c>
    </row>
    <row r="2361" spans="1:1" x14ac:dyDescent="0.3">
      <c r="A2361" t="s">
        <v>2329</v>
      </c>
    </row>
    <row r="2362" spans="1:1" x14ac:dyDescent="0.3">
      <c r="A2362" t="s">
        <v>2330</v>
      </c>
    </row>
    <row r="2363" spans="1:1" x14ac:dyDescent="0.3">
      <c r="A2363" t="s">
        <v>2331</v>
      </c>
    </row>
    <row r="2364" spans="1:1" x14ac:dyDescent="0.3">
      <c r="A2364" t="s">
        <v>2332</v>
      </c>
    </row>
    <row r="2365" spans="1:1" x14ac:dyDescent="0.3">
      <c r="A2365" t="s">
        <v>2333</v>
      </c>
    </row>
    <row r="2366" spans="1:1" x14ac:dyDescent="0.3">
      <c r="A2366" t="s">
        <v>2334</v>
      </c>
    </row>
    <row r="2367" spans="1:1" x14ac:dyDescent="0.3">
      <c r="A2367" t="s">
        <v>2335</v>
      </c>
    </row>
    <row r="2368" spans="1:1" x14ac:dyDescent="0.3">
      <c r="A2368" t="s">
        <v>2336</v>
      </c>
    </row>
    <row r="2369" spans="1:1" x14ac:dyDescent="0.3">
      <c r="A2369" t="s">
        <v>2337</v>
      </c>
    </row>
    <row r="2370" spans="1:1" x14ac:dyDescent="0.3">
      <c r="A2370" t="s">
        <v>2338</v>
      </c>
    </row>
    <row r="2371" spans="1:1" x14ac:dyDescent="0.3">
      <c r="A2371" t="s">
        <v>2339</v>
      </c>
    </row>
    <row r="2372" spans="1:1" x14ac:dyDescent="0.3">
      <c r="A2372" t="s">
        <v>2340</v>
      </c>
    </row>
    <row r="2373" spans="1:1" x14ac:dyDescent="0.3">
      <c r="A2373" t="s">
        <v>2341</v>
      </c>
    </row>
    <row r="2374" spans="1:1" x14ac:dyDescent="0.3">
      <c r="A2374" t="s">
        <v>2342</v>
      </c>
    </row>
    <row r="2375" spans="1:1" x14ac:dyDescent="0.3">
      <c r="A2375" t="s">
        <v>2343</v>
      </c>
    </row>
    <row r="2376" spans="1:1" x14ac:dyDescent="0.3">
      <c r="A2376" t="s">
        <v>2344</v>
      </c>
    </row>
    <row r="2377" spans="1:1" x14ac:dyDescent="0.3">
      <c r="A2377" t="s">
        <v>2345</v>
      </c>
    </row>
    <row r="2378" spans="1:1" x14ac:dyDescent="0.3">
      <c r="A2378" t="s">
        <v>2346</v>
      </c>
    </row>
    <row r="2379" spans="1:1" x14ac:dyDescent="0.3">
      <c r="A2379" t="s">
        <v>2347</v>
      </c>
    </row>
    <row r="2380" spans="1:1" x14ac:dyDescent="0.3">
      <c r="A2380" t="s">
        <v>2348</v>
      </c>
    </row>
    <row r="2381" spans="1:1" x14ac:dyDescent="0.3">
      <c r="A2381" t="s">
        <v>2349</v>
      </c>
    </row>
    <row r="2382" spans="1:1" x14ac:dyDescent="0.3">
      <c r="A2382" t="s">
        <v>2350</v>
      </c>
    </row>
    <row r="2383" spans="1:1" x14ac:dyDescent="0.3">
      <c r="A2383" t="s">
        <v>2351</v>
      </c>
    </row>
    <row r="2384" spans="1:1" x14ac:dyDescent="0.3">
      <c r="A2384" t="s">
        <v>2352</v>
      </c>
    </row>
    <row r="2385" spans="1:1" x14ac:dyDescent="0.3">
      <c r="A2385" t="s">
        <v>2353</v>
      </c>
    </row>
    <row r="2386" spans="1:1" x14ac:dyDescent="0.3">
      <c r="A2386" t="s">
        <v>2354</v>
      </c>
    </row>
    <row r="2387" spans="1:1" x14ac:dyDescent="0.3">
      <c r="A2387" t="s">
        <v>2355</v>
      </c>
    </row>
    <row r="2388" spans="1:1" x14ac:dyDescent="0.3">
      <c r="A2388" t="s">
        <v>2356</v>
      </c>
    </row>
    <row r="2389" spans="1:1" x14ac:dyDescent="0.3">
      <c r="A2389" t="s">
        <v>2357</v>
      </c>
    </row>
    <row r="2390" spans="1:1" x14ac:dyDescent="0.3">
      <c r="A2390" t="s">
        <v>2358</v>
      </c>
    </row>
    <row r="2391" spans="1:1" x14ac:dyDescent="0.3">
      <c r="A2391" t="s">
        <v>2359</v>
      </c>
    </row>
    <row r="2392" spans="1:1" x14ac:dyDescent="0.3">
      <c r="A2392" t="s">
        <v>2360</v>
      </c>
    </row>
    <row r="2393" spans="1:1" x14ac:dyDescent="0.3">
      <c r="A2393" t="s">
        <v>2361</v>
      </c>
    </row>
    <row r="2394" spans="1:1" x14ac:dyDescent="0.3">
      <c r="A2394" t="s">
        <v>2362</v>
      </c>
    </row>
    <row r="2395" spans="1:1" x14ac:dyDescent="0.3">
      <c r="A2395" t="s">
        <v>2363</v>
      </c>
    </row>
    <row r="2396" spans="1:1" x14ac:dyDescent="0.3">
      <c r="A2396" t="s">
        <v>2364</v>
      </c>
    </row>
    <row r="2397" spans="1:1" x14ac:dyDescent="0.3">
      <c r="A2397" t="s">
        <v>2365</v>
      </c>
    </row>
    <row r="2398" spans="1:1" x14ac:dyDescent="0.3">
      <c r="A2398" t="s">
        <v>2366</v>
      </c>
    </row>
    <row r="2399" spans="1:1" x14ac:dyDescent="0.3">
      <c r="A2399" t="s">
        <v>2225</v>
      </c>
    </row>
    <row r="2400" spans="1:1" x14ac:dyDescent="0.3">
      <c r="A2400" t="s">
        <v>2367</v>
      </c>
    </row>
    <row r="2401" spans="1:1" x14ac:dyDescent="0.3">
      <c r="A2401" t="s">
        <v>2368</v>
      </c>
    </row>
    <row r="2402" spans="1:1" x14ac:dyDescent="0.3">
      <c r="A2402" t="s">
        <v>2369</v>
      </c>
    </row>
    <row r="2403" spans="1:1" x14ac:dyDescent="0.3">
      <c r="A2403" t="s">
        <v>2370</v>
      </c>
    </row>
    <row r="2404" spans="1:1" x14ac:dyDescent="0.3">
      <c r="A2404" t="s">
        <v>2371</v>
      </c>
    </row>
    <row r="2405" spans="1:1" x14ac:dyDescent="0.3">
      <c r="A2405" t="s">
        <v>2372</v>
      </c>
    </row>
    <row r="2406" spans="1:1" x14ac:dyDescent="0.3">
      <c r="A2406" t="s">
        <v>2373</v>
      </c>
    </row>
    <row r="2407" spans="1:1" x14ac:dyDescent="0.3">
      <c r="A2407" t="s">
        <v>2374</v>
      </c>
    </row>
    <row r="2408" spans="1:1" x14ac:dyDescent="0.3">
      <c r="A2408" t="s">
        <v>2375</v>
      </c>
    </row>
    <row r="2409" spans="1:1" x14ac:dyDescent="0.3">
      <c r="A2409" t="s">
        <v>2376</v>
      </c>
    </row>
    <row r="2410" spans="1:1" x14ac:dyDescent="0.3">
      <c r="A2410" t="s">
        <v>2377</v>
      </c>
    </row>
    <row r="2411" spans="1:1" x14ac:dyDescent="0.3">
      <c r="A2411" t="s">
        <v>1659</v>
      </c>
    </row>
    <row r="2412" spans="1:1" x14ac:dyDescent="0.3">
      <c r="A2412" t="s">
        <v>2378</v>
      </c>
    </row>
    <row r="2413" spans="1:1" x14ac:dyDescent="0.3">
      <c r="A2413" t="s">
        <v>2379</v>
      </c>
    </row>
    <row r="2414" spans="1:1" x14ac:dyDescent="0.3">
      <c r="A2414" t="s">
        <v>2380</v>
      </c>
    </row>
    <row r="2415" spans="1:1" x14ac:dyDescent="0.3">
      <c r="A2415" t="s">
        <v>2381</v>
      </c>
    </row>
    <row r="2416" spans="1:1" x14ac:dyDescent="0.3">
      <c r="A2416" t="s">
        <v>2382</v>
      </c>
    </row>
    <row r="2417" spans="1:1" x14ac:dyDescent="0.3">
      <c r="A2417" t="s">
        <v>2383</v>
      </c>
    </row>
    <row r="2418" spans="1:1" x14ac:dyDescent="0.3">
      <c r="A2418" t="s">
        <v>2384</v>
      </c>
    </row>
    <row r="2419" spans="1:1" x14ac:dyDescent="0.3">
      <c r="A2419" t="s">
        <v>2385</v>
      </c>
    </row>
    <row r="2420" spans="1:1" x14ac:dyDescent="0.3">
      <c r="A2420" t="s">
        <v>2386</v>
      </c>
    </row>
    <row r="2421" spans="1:1" x14ac:dyDescent="0.3">
      <c r="A2421" t="s">
        <v>2387</v>
      </c>
    </row>
    <row r="2422" spans="1:1" x14ac:dyDescent="0.3">
      <c r="A2422" t="s">
        <v>2388</v>
      </c>
    </row>
    <row r="2423" spans="1:1" x14ac:dyDescent="0.3">
      <c r="A2423" t="s">
        <v>2389</v>
      </c>
    </row>
    <row r="2424" spans="1:1" x14ac:dyDescent="0.3">
      <c r="A2424" t="s">
        <v>2390</v>
      </c>
    </row>
    <row r="2425" spans="1:1" x14ac:dyDescent="0.3">
      <c r="A2425" t="s">
        <v>2391</v>
      </c>
    </row>
    <row r="2426" spans="1:1" x14ac:dyDescent="0.3">
      <c r="A2426" t="s">
        <v>2392</v>
      </c>
    </row>
    <row r="2427" spans="1:1" x14ac:dyDescent="0.3">
      <c r="A2427" t="s">
        <v>2393</v>
      </c>
    </row>
    <row r="2428" spans="1:1" x14ac:dyDescent="0.3">
      <c r="A2428" t="s">
        <v>2394</v>
      </c>
    </row>
    <row r="2429" spans="1:1" x14ac:dyDescent="0.3">
      <c r="A2429" t="s">
        <v>2395</v>
      </c>
    </row>
    <row r="2430" spans="1:1" x14ac:dyDescent="0.3">
      <c r="A2430" t="s">
        <v>2396</v>
      </c>
    </row>
    <row r="2431" spans="1:1" x14ac:dyDescent="0.3">
      <c r="A2431" t="s">
        <v>2196</v>
      </c>
    </row>
    <row r="2432" spans="1:1" x14ac:dyDescent="0.3">
      <c r="A2432" t="s">
        <v>2397</v>
      </c>
    </row>
    <row r="2433" spans="1:1" x14ac:dyDescent="0.3">
      <c r="A2433" t="s">
        <v>2398</v>
      </c>
    </row>
    <row r="2434" spans="1:1" x14ac:dyDescent="0.3">
      <c r="A2434" t="s">
        <v>2399</v>
      </c>
    </row>
    <row r="2435" spans="1:1" x14ac:dyDescent="0.3">
      <c r="A2435" t="s">
        <v>2400</v>
      </c>
    </row>
    <row r="2436" spans="1:1" x14ac:dyDescent="0.3">
      <c r="A2436" t="s">
        <v>2401</v>
      </c>
    </row>
    <row r="2437" spans="1:1" x14ac:dyDescent="0.3">
      <c r="A2437" t="s">
        <v>2402</v>
      </c>
    </row>
    <row r="2438" spans="1:1" x14ac:dyDescent="0.3">
      <c r="A2438" t="s">
        <v>2403</v>
      </c>
    </row>
    <row r="2439" spans="1:1" x14ac:dyDescent="0.3">
      <c r="A2439" t="s">
        <v>2404</v>
      </c>
    </row>
    <row r="2440" spans="1:1" x14ac:dyDescent="0.3">
      <c r="A2440" t="s">
        <v>2405</v>
      </c>
    </row>
    <row r="2441" spans="1:1" x14ac:dyDescent="0.3">
      <c r="A2441" t="s">
        <v>2406</v>
      </c>
    </row>
    <row r="2442" spans="1:1" x14ac:dyDescent="0.3">
      <c r="A2442" t="s">
        <v>2407</v>
      </c>
    </row>
    <row r="2443" spans="1:1" x14ac:dyDescent="0.3">
      <c r="A2443" t="s">
        <v>2408</v>
      </c>
    </row>
    <row r="2444" spans="1:1" x14ac:dyDescent="0.3">
      <c r="A2444" t="s">
        <v>2409</v>
      </c>
    </row>
    <row r="2445" spans="1:1" x14ac:dyDescent="0.3">
      <c r="A2445" t="s">
        <v>2410</v>
      </c>
    </row>
    <row r="2446" spans="1:1" x14ac:dyDescent="0.3">
      <c r="A2446" t="s">
        <v>2411</v>
      </c>
    </row>
    <row r="2447" spans="1:1" x14ac:dyDescent="0.3">
      <c r="A2447" t="s">
        <v>2412</v>
      </c>
    </row>
    <row r="2448" spans="1:1" x14ac:dyDescent="0.3">
      <c r="A2448" t="s">
        <v>2413</v>
      </c>
    </row>
    <row r="2449" spans="1:1" x14ac:dyDescent="0.3">
      <c r="A2449" t="s">
        <v>2414</v>
      </c>
    </row>
    <row r="2450" spans="1:1" x14ac:dyDescent="0.3">
      <c r="A2450" t="s">
        <v>2415</v>
      </c>
    </row>
    <row r="2451" spans="1:1" x14ac:dyDescent="0.3">
      <c r="A2451" t="s">
        <v>2416</v>
      </c>
    </row>
    <row r="2452" spans="1:1" x14ac:dyDescent="0.3">
      <c r="A2452" t="s">
        <v>2417</v>
      </c>
    </row>
    <row r="2453" spans="1:1" x14ac:dyDescent="0.3">
      <c r="A2453" t="s">
        <v>2418</v>
      </c>
    </row>
    <row r="2454" spans="1:1" x14ac:dyDescent="0.3">
      <c r="A2454" t="s">
        <v>2419</v>
      </c>
    </row>
    <row r="2455" spans="1:1" x14ac:dyDescent="0.3">
      <c r="A2455" t="s">
        <v>2420</v>
      </c>
    </row>
    <row r="2456" spans="1:1" x14ac:dyDescent="0.3">
      <c r="A2456" t="s">
        <v>2421</v>
      </c>
    </row>
    <row r="2457" spans="1:1" x14ac:dyDescent="0.3">
      <c r="A2457" t="s">
        <v>2422</v>
      </c>
    </row>
    <row r="2458" spans="1:1" x14ac:dyDescent="0.3">
      <c r="A2458" t="s">
        <v>2423</v>
      </c>
    </row>
    <row r="2459" spans="1:1" x14ac:dyDescent="0.3">
      <c r="A2459" t="s">
        <v>2424</v>
      </c>
    </row>
    <row r="2460" spans="1:1" x14ac:dyDescent="0.3">
      <c r="A2460" t="s">
        <v>2425</v>
      </c>
    </row>
    <row r="2461" spans="1:1" x14ac:dyDescent="0.3">
      <c r="A2461" t="s">
        <v>2426</v>
      </c>
    </row>
    <row r="2462" spans="1:1" x14ac:dyDescent="0.3">
      <c r="A2462" t="s">
        <v>2427</v>
      </c>
    </row>
    <row r="2463" spans="1:1" x14ac:dyDescent="0.3">
      <c r="A2463" t="s">
        <v>2428</v>
      </c>
    </row>
    <row r="2464" spans="1:1" x14ac:dyDescent="0.3">
      <c r="A2464" t="s">
        <v>2429</v>
      </c>
    </row>
    <row r="2465" spans="1:1" x14ac:dyDescent="0.3">
      <c r="A2465" t="s">
        <v>2006</v>
      </c>
    </row>
    <row r="2466" spans="1:1" x14ac:dyDescent="0.3">
      <c r="A2466" t="s">
        <v>2430</v>
      </c>
    </row>
    <row r="2467" spans="1:1" x14ac:dyDescent="0.3">
      <c r="A2467" t="s">
        <v>2431</v>
      </c>
    </row>
    <row r="2468" spans="1:1" x14ac:dyDescent="0.3">
      <c r="A2468" t="s">
        <v>2432</v>
      </c>
    </row>
    <row r="2469" spans="1:1" x14ac:dyDescent="0.3">
      <c r="A2469" t="s">
        <v>2433</v>
      </c>
    </row>
    <row r="2470" spans="1:1" x14ac:dyDescent="0.3">
      <c r="A2470" t="s">
        <v>2434</v>
      </c>
    </row>
    <row r="2471" spans="1:1" x14ac:dyDescent="0.3">
      <c r="A2471" t="s">
        <v>2435</v>
      </c>
    </row>
    <row r="2472" spans="1:1" x14ac:dyDescent="0.3">
      <c r="A2472" t="s">
        <v>2436</v>
      </c>
    </row>
    <row r="2473" spans="1:1" x14ac:dyDescent="0.3">
      <c r="A2473" t="s">
        <v>2437</v>
      </c>
    </row>
    <row r="2474" spans="1:1" x14ac:dyDescent="0.3">
      <c r="A2474" t="s">
        <v>2438</v>
      </c>
    </row>
    <row r="2475" spans="1:1" x14ac:dyDescent="0.3">
      <c r="A2475" t="s">
        <v>2439</v>
      </c>
    </row>
    <row r="2476" spans="1:1" x14ac:dyDescent="0.3">
      <c r="A2476" t="s">
        <v>2440</v>
      </c>
    </row>
    <row r="2477" spans="1:1" x14ac:dyDescent="0.3">
      <c r="A2477" t="s">
        <v>2441</v>
      </c>
    </row>
    <row r="2478" spans="1:1" x14ac:dyDescent="0.3">
      <c r="A2478" t="s">
        <v>2442</v>
      </c>
    </row>
    <row r="2479" spans="1:1" x14ac:dyDescent="0.3">
      <c r="A2479" t="s">
        <v>2443</v>
      </c>
    </row>
    <row r="2480" spans="1:1" x14ac:dyDescent="0.3">
      <c r="A2480" t="s">
        <v>2444</v>
      </c>
    </row>
    <row r="2481" spans="1:1" x14ac:dyDescent="0.3">
      <c r="A2481" t="s">
        <v>2445</v>
      </c>
    </row>
    <row r="2482" spans="1:1" x14ac:dyDescent="0.3">
      <c r="A2482" t="s">
        <v>2446</v>
      </c>
    </row>
    <row r="2483" spans="1:1" x14ac:dyDescent="0.3">
      <c r="A2483" t="s">
        <v>2447</v>
      </c>
    </row>
    <row r="2484" spans="1:1" x14ac:dyDescent="0.3">
      <c r="A2484" t="s">
        <v>2448</v>
      </c>
    </row>
    <row r="2485" spans="1:1" x14ac:dyDescent="0.3">
      <c r="A2485" t="s">
        <v>2449</v>
      </c>
    </row>
    <row r="2486" spans="1:1" x14ac:dyDescent="0.3">
      <c r="A2486" t="s">
        <v>2450</v>
      </c>
    </row>
    <row r="2487" spans="1:1" x14ac:dyDescent="0.3">
      <c r="A2487" t="s">
        <v>2451</v>
      </c>
    </row>
    <row r="2488" spans="1:1" x14ac:dyDescent="0.3">
      <c r="A2488" t="s">
        <v>2452</v>
      </c>
    </row>
    <row r="2489" spans="1:1" x14ac:dyDescent="0.3">
      <c r="A2489" t="s">
        <v>2453</v>
      </c>
    </row>
    <row r="2490" spans="1:1" x14ac:dyDescent="0.3">
      <c r="A2490" t="s">
        <v>2454</v>
      </c>
    </row>
    <row r="2491" spans="1:1" x14ac:dyDescent="0.3">
      <c r="A2491" t="s">
        <v>2455</v>
      </c>
    </row>
    <row r="2492" spans="1:1" x14ac:dyDescent="0.3">
      <c r="A2492" t="s">
        <v>2456</v>
      </c>
    </row>
    <row r="2493" spans="1:1" x14ac:dyDescent="0.3">
      <c r="A2493" t="s">
        <v>2457</v>
      </c>
    </row>
    <row r="2494" spans="1:1" x14ac:dyDescent="0.3">
      <c r="A2494" t="s">
        <v>2458</v>
      </c>
    </row>
    <row r="2495" spans="1:1" x14ac:dyDescent="0.3">
      <c r="A2495" t="s">
        <v>2459</v>
      </c>
    </row>
    <row r="2496" spans="1:1" x14ac:dyDescent="0.3">
      <c r="A2496" t="s">
        <v>2460</v>
      </c>
    </row>
    <row r="2497" spans="1:1" x14ac:dyDescent="0.3">
      <c r="A2497" t="s">
        <v>2461</v>
      </c>
    </row>
    <row r="2498" spans="1:1" x14ac:dyDescent="0.3">
      <c r="A2498" t="s">
        <v>2462</v>
      </c>
    </row>
    <row r="2499" spans="1:1" x14ac:dyDescent="0.3">
      <c r="A2499" t="s">
        <v>2463</v>
      </c>
    </row>
    <row r="2500" spans="1:1" x14ac:dyDescent="0.3">
      <c r="A2500" t="s">
        <v>2464</v>
      </c>
    </row>
    <row r="2501" spans="1:1" x14ac:dyDescent="0.3">
      <c r="A2501" t="s">
        <v>2465</v>
      </c>
    </row>
    <row r="2502" spans="1:1" x14ac:dyDescent="0.3">
      <c r="A2502" t="s">
        <v>2466</v>
      </c>
    </row>
    <row r="2503" spans="1:1" x14ac:dyDescent="0.3">
      <c r="A2503" t="s">
        <v>2467</v>
      </c>
    </row>
    <row r="2504" spans="1:1" x14ac:dyDescent="0.3">
      <c r="A2504" t="s">
        <v>2468</v>
      </c>
    </row>
    <row r="2505" spans="1:1" x14ac:dyDescent="0.3">
      <c r="A2505" t="s">
        <v>2469</v>
      </c>
    </row>
    <row r="2506" spans="1:1" x14ac:dyDescent="0.3">
      <c r="A2506" t="s">
        <v>2470</v>
      </c>
    </row>
    <row r="2507" spans="1:1" x14ac:dyDescent="0.3">
      <c r="A2507" t="s">
        <v>2471</v>
      </c>
    </row>
    <row r="2508" spans="1:1" x14ac:dyDescent="0.3">
      <c r="A2508" t="s">
        <v>2472</v>
      </c>
    </row>
    <row r="2509" spans="1:1" x14ac:dyDescent="0.3">
      <c r="A2509" t="s">
        <v>2473</v>
      </c>
    </row>
    <row r="2510" spans="1:1" x14ac:dyDescent="0.3">
      <c r="A2510" t="s">
        <v>2474</v>
      </c>
    </row>
    <row r="2511" spans="1:1" x14ac:dyDescent="0.3">
      <c r="A2511" t="s">
        <v>2475</v>
      </c>
    </row>
    <row r="2512" spans="1:1" x14ac:dyDescent="0.3">
      <c r="A2512" t="s">
        <v>2476</v>
      </c>
    </row>
    <row r="2513" spans="1:1" x14ac:dyDescent="0.3">
      <c r="A2513" t="s">
        <v>2477</v>
      </c>
    </row>
    <row r="2514" spans="1:1" x14ac:dyDescent="0.3">
      <c r="A2514" t="s">
        <v>2478</v>
      </c>
    </row>
    <row r="2515" spans="1:1" x14ac:dyDescent="0.3">
      <c r="A2515" t="s">
        <v>2479</v>
      </c>
    </row>
    <row r="2516" spans="1:1" x14ac:dyDescent="0.3">
      <c r="A2516" t="s">
        <v>2480</v>
      </c>
    </row>
    <row r="2517" spans="1:1" x14ac:dyDescent="0.3">
      <c r="A2517" t="s">
        <v>2481</v>
      </c>
    </row>
    <row r="2518" spans="1:1" x14ac:dyDescent="0.3">
      <c r="A2518" t="s">
        <v>2482</v>
      </c>
    </row>
    <row r="2519" spans="1:1" x14ac:dyDescent="0.3">
      <c r="A2519" t="s">
        <v>2483</v>
      </c>
    </row>
    <row r="2520" spans="1:1" x14ac:dyDescent="0.3">
      <c r="A2520" t="s">
        <v>2484</v>
      </c>
    </row>
    <row r="2521" spans="1:1" x14ac:dyDescent="0.3">
      <c r="A2521" t="s">
        <v>2485</v>
      </c>
    </row>
    <row r="2522" spans="1:1" x14ac:dyDescent="0.3">
      <c r="A2522" t="s">
        <v>2486</v>
      </c>
    </row>
    <row r="2523" spans="1:1" x14ac:dyDescent="0.3">
      <c r="A2523" t="s">
        <v>2487</v>
      </c>
    </row>
    <row r="2524" spans="1:1" x14ac:dyDescent="0.3">
      <c r="A2524" t="s">
        <v>2488</v>
      </c>
    </row>
    <row r="2525" spans="1:1" x14ac:dyDescent="0.3">
      <c r="A2525" t="s">
        <v>2489</v>
      </c>
    </row>
    <row r="2526" spans="1:1" x14ac:dyDescent="0.3">
      <c r="A2526" t="s">
        <v>2490</v>
      </c>
    </row>
    <row r="2527" spans="1:1" x14ac:dyDescent="0.3">
      <c r="A2527" t="s">
        <v>2491</v>
      </c>
    </row>
    <row r="2528" spans="1:1" x14ac:dyDescent="0.3">
      <c r="A2528" t="s">
        <v>2492</v>
      </c>
    </row>
    <row r="2529" spans="1:1" x14ac:dyDescent="0.3">
      <c r="A2529" t="s">
        <v>2493</v>
      </c>
    </row>
    <row r="2530" spans="1:1" x14ac:dyDescent="0.3">
      <c r="A2530" t="s">
        <v>2494</v>
      </c>
    </row>
    <row r="2531" spans="1:1" x14ac:dyDescent="0.3">
      <c r="A2531" t="s">
        <v>2495</v>
      </c>
    </row>
    <row r="2532" spans="1:1" x14ac:dyDescent="0.3">
      <c r="A2532" t="s">
        <v>2496</v>
      </c>
    </row>
    <row r="2533" spans="1:1" x14ac:dyDescent="0.3">
      <c r="A2533" t="s">
        <v>2497</v>
      </c>
    </row>
    <row r="2534" spans="1:1" x14ac:dyDescent="0.3">
      <c r="A2534" t="s">
        <v>2498</v>
      </c>
    </row>
    <row r="2535" spans="1:1" x14ac:dyDescent="0.3">
      <c r="A2535" t="s">
        <v>2499</v>
      </c>
    </row>
    <row r="2536" spans="1:1" x14ac:dyDescent="0.3">
      <c r="A2536" t="s">
        <v>2500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96FF-A865-4B3D-80D6-EBF384642FA4}">
  <dimension ref="A1:V2536"/>
  <sheetViews>
    <sheetView topLeftCell="J1" workbookViewId="0">
      <selection activeCell="U14" sqref="U14"/>
    </sheetView>
  </sheetViews>
  <sheetFormatPr baseColWidth="10" defaultRowHeight="12" x14ac:dyDescent="0.3"/>
  <cols>
    <col min="1" max="1" width="11.5546875" style="1"/>
    <col min="2" max="2" width="13.77734375" style="2" customWidth="1"/>
    <col min="3" max="4" width="11.5546875" style="2"/>
    <col min="5" max="5" width="12.5546875" style="2" customWidth="1"/>
    <col min="6" max="6" width="13.5546875" style="3" customWidth="1"/>
    <col min="7" max="7" width="11.5546875" style="3"/>
    <col min="8" max="8" width="14.33203125" style="3" customWidth="1"/>
    <col min="9" max="9" width="12.21875" style="4" customWidth="1"/>
    <col min="10" max="10" width="14.21875" style="4" customWidth="1"/>
    <col min="11" max="11" width="17" style="3" customWidth="1"/>
    <col min="12" max="12" width="15.5546875" style="2" customWidth="1"/>
    <col min="13" max="13" width="13.88671875" style="2" customWidth="1"/>
    <col min="15" max="15" width="17.33203125" bestFit="1" customWidth="1"/>
    <col min="18" max="18" width="14.109375" bestFit="1" customWidth="1"/>
    <col min="21" max="21" width="17.33203125" bestFit="1" customWidth="1"/>
  </cols>
  <sheetData>
    <row r="1" spans="1:22" x14ac:dyDescent="0.3">
      <c r="A1" s="1" t="s">
        <v>2501</v>
      </c>
      <c r="B1" s="2" t="s">
        <v>2502</v>
      </c>
      <c r="C1" s="2" t="s">
        <v>2503</v>
      </c>
      <c r="D1" s="2" t="s">
        <v>2504</v>
      </c>
      <c r="E1" s="2" t="s">
        <v>2505</v>
      </c>
      <c r="F1" s="3" t="s">
        <v>2506</v>
      </c>
      <c r="G1" s="3" t="s">
        <v>2507</v>
      </c>
      <c r="H1" s="3" t="s">
        <v>2508</v>
      </c>
      <c r="I1" s="4" t="s">
        <v>2509</v>
      </c>
      <c r="J1" s="4" t="s">
        <v>2510</v>
      </c>
      <c r="K1" s="3" t="s">
        <v>2511</v>
      </c>
      <c r="L1" s="2" t="s">
        <v>2512</v>
      </c>
      <c r="M1" s="2" t="s">
        <v>2513</v>
      </c>
      <c r="N1" t="s">
        <v>2609</v>
      </c>
      <c r="O1" t="s">
        <v>2608</v>
      </c>
      <c r="P1" t="s">
        <v>2610</v>
      </c>
      <c r="Q1" t="s">
        <v>2611</v>
      </c>
      <c r="R1" t="s">
        <v>2612</v>
      </c>
      <c r="S1" t="s">
        <v>2613</v>
      </c>
    </row>
    <row r="2" spans="1:22" x14ac:dyDescent="0.3">
      <c r="A2" s="1">
        <v>45868</v>
      </c>
      <c r="B2" s="2" t="s">
        <v>2514</v>
      </c>
      <c r="C2" s="2" t="s">
        <v>2515</v>
      </c>
      <c r="D2" s="2" t="s">
        <v>2516</v>
      </c>
      <c r="E2" s="2" t="s">
        <v>2517</v>
      </c>
      <c r="F2" s="3">
        <v>129041</v>
      </c>
      <c r="G2" s="3">
        <v>9255</v>
      </c>
      <c r="H2" s="3">
        <v>1081</v>
      </c>
      <c r="I2" s="4">
        <v>4728.1400000000003</v>
      </c>
      <c r="J2" s="4">
        <v>195401.22</v>
      </c>
      <c r="K2" s="3">
        <v>926</v>
      </c>
      <c r="L2" s="2" t="s">
        <v>2518</v>
      </c>
      <c r="M2" s="2" t="s">
        <v>2519</v>
      </c>
      <c r="N2" t="str">
        <f>TRIM(PROPER(Tabla_auditoría[[#This Row],[ID_Campaña]]))</f>
        <v>Cmp-002</v>
      </c>
      <c r="O2" t="str">
        <f>TRIM(PROPER(Tabla_auditoría[[#This Row],[Canal]]))</f>
        <v>Email</v>
      </c>
      <c r="P2" t="str">
        <f>TRIM(PROPER(Tabla_auditoría[[#This Row],[País]]))</f>
        <v>México</v>
      </c>
      <c r="Q2" t="str">
        <f>TRIM(PROPER(Tabla_auditoría[[#This Row],[Dispositivo]]))</f>
        <v>Desktop</v>
      </c>
      <c r="R2" t="str">
        <f>TRIM(PROPER(Tabla_auditoría[[#This Row],[Tipo_Campaña]]))</f>
        <v>Adquisición</v>
      </c>
      <c r="S2" t="str">
        <f>TRIM(PROPER(Tabla_auditoría[[#This Row],[Responsable]]))</f>
        <v>Carlos Ruiz</v>
      </c>
    </row>
    <row r="3" spans="1:22" x14ac:dyDescent="0.3">
      <c r="A3" s="1">
        <v>45779</v>
      </c>
      <c r="B3" s="2" t="s">
        <v>2520</v>
      </c>
      <c r="C3" s="2" t="s">
        <v>2521</v>
      </c>
      <c r="D3" s="2" t="s">
        <v>2522</v>
      </c>
      <c r="E3" s="2" t="s">
        <v>2517</v>
      </c>
      <c r="F3" s="3">
        <v>50677</v>
      </c>
      <c r="G3" s="3">
        <v>4047</v>
      </c>
      <c r="H3" s="3">
        <v>409</v>
      </c>
      <c r="I3" s="4">
        <v>6481.73</v>
      </c>
      <c r="J3" s="4">
        <v>65100.85</v>
      </c>
      <c r="K3" s="3">
        <v>249</v>
      </c>
      <c r="L3" s="2" t="s">
        <v>2523</v>
      </c>
      <c r="M3" s="2" t="s">
        <v>2524</v>
      </c>
      <c r="N3" t="str">
        <f>TRIM(PROPER(Tabla_auditoría[[#This Row],[ID_Campaña]]))</f>
        <v>Cmp-009</v>
      </c>
      <c r="O3" t="str">
        <f>TRIM(PROPER(Tabla_auditoría[[#This Row],[Canal]]))</f>
        <v>Paid Search</v>
      </c>
      <c r="P3" t="str">
        <f>TRIM(PROPER(Tabla_auditoría[[#This Row],[País]]))</f>
        <v>Italia</v>
      </c>
      <c r="Q3" t="str">
        <f>TRIM(PROPER(Tabla_auditoría[[#This Row],[Dispositivo]]))</f>
        <v>Desktop</v>
      </c>
      <c r="R3" t="str">
        <f>TRIM(PROPER(Tabla_auditoría[[#This Row],[Tipo_Campaña]]))</f>
        <v>Retención</v>
      </c>
      <c r="S3" t="str">
        <f>TRIM(PROPER(Tabla_auditoría[[#This Row],[Responsable]]))</f>
        <v>Luis Martín</v>
      </c>
    </row>
    <row r="4" spans="1:22" x14ac:dyDescent="0.3">
      <c r="A4" s="1">
        <v>45662</v>
      </c>
      <c r="B4" s="2" t="s">
        <v>2520</v>
      </c>
      <c r="C4" s="2" t="s">
        <v>2515</v>
      </c>
      <c r="D4" s="2" t="s">
        <v>2525</v>
      </c>
      <c r="E4" s="2" t="s">
        <v>2517</v>
      </c>
      <c r="F4" s="3">
        <v>12070</v>
      </c>
      <c r="G4" s="3">
        <v>959</v>
      </c>
      <c r="H4" s="3">
        <v>57</v>
      </c>
      <c r="I4" s="4">
        <v>1465.19</v>
      </c>
      <c r="J4" s="4">
        <v>7772.79</v>
      </c>
      <c r="K4" s="3">
        <v>31</v>
      </c>
      <c r="L4" s="2" t="s">
        <v>2523</v>
      </c>
      <c r="M4" s="2" t="s">
        <v>2526</v>
      </c>
      <c r="N4" t="str">
        <f>TRIM(PROPER(Tabla_auditoría[[#This Row],[ID_Campaña]]))</f>
        <v>Cmp-009</v>
      </c>
      <c r="O4" t="str">
        <f>TRIM(PROPER(Tabla_auditoría[[#This Row],[Canal]]))</f>
        <v>Email</v>
      </c>
      <c r="P4" t="str">
        <f>TRIM(PROPER(Tabla_auditoría[[#This Row],[País]]))</f>
        <v>Francia</v>
      </c>
      <c r="Q4" t="str">
        <f>TRIM(PROPER(Tabla_auditoría[[#This Row],[Dispositivo]]))</f>
        <v>Desktop</v>
      </c>
      <c r="R4" t="str">
        <f>TRIM(PROPER(Tabla_auditoría[[#This Row],[Tipo_Campaña]]))</f>
        <v>Retención</v>
      </c>
      <c r="S4" t="str">
        <f>TRIM(PROPER(Tabla_auditoría[[#This Row],[Responsable]]))</f>
        <v>Laura Pérez</v>
      </c>
      <c r="U4" t="s">
        <v>2605</v>
      </c>
      <c r="V4">
        <f>COUNTA(Tabla_auditoría[Fecha])</f>
        <v>2535</v>
      </c>
    </row>
    <row r="5" spans="1:22" x14ac:dyDescent="0.3">
      <c r="A5" s="1">
        <v>45815</v>
      </c>
      <c r="B5" s="2" t="s">
        <v>2514</v>
      </c>
      <c r="C5" s="2" t="s">
        <v>2527</v>
      </c>
      <c r="D5" s="2" t="s">
        <v>2528</v>
      </c>
      <c r="E5" s="2" t="s">
        <v>2529</v>
      </c>
      <c r="F5" s="3">
        <v>114121</v>
      </c>
      <c r="G5" s="3">
        <v>890</v>
      </c>
      <c r="H5" s="3">
        <v>114</v>
      </c>
      <c r="I5" s="4">
        <v>1196.8</v>
      </c>
      <c r="J5" s="4">
        <v>24221.439999999999</v>
      </c>
      <c r="K5" s="3">
        <v>52</v>
      </c>
      <c r="L5" s="2" t="s">
        <v>2518</v>
      </c>
      <c r="M5" s="2" t="s">
        <v>2524</v>
      </c>
      <c r="N5" t="str">
        <f>TRIM(PROPER(Tabla_auditoría[[#This Row],[ID_Campaña]]))</f>
        <v>Cmp-002</v>
      </c>
      <c r="O5" t="str">
        <f>TRIM(PROPER(Tabla_auditoría[[#This Row],[Canal]]))</f>
        <v>Affiliate</v>
      </c>
      <c r="P5" t="str">
        <f>TRIM(PROPER(Tabla_auditoría[[#This Row],[País]]))</f>
        <v>España</v>
      </c>
      <c r="Q5" t="str">
        <f>TRIM(PROPER(Tabla_auditoría[[#This Row],[Dispositivo]]))</f>
        <v>Mobile</v>
      </c>
      <c r="R5" t="str">
        <f>TRIM(PROPER(Tabla_auditoría[[#This Row],[Tipo_Campaña]]))</f>
        <v>Adquisición</v>
      </c>
      <c r="S5" t="str">
        <f>TRIM(PROPER(Tabla_auditoría[[#This Row],[Responsable]]))</f>
        <v>Luis Martín</v>
      </c>
    </row>
    <row r="6" spans="1:22" x14ac:dyDescent="0.3">
      <c r="A6" s="1">
        <v>45916</v>
      </c>
      <c r="B6" s="2" t="s">
        <v>2530</v>
      </c>
      <c r="C6" s="2" t="s">
        <v>2521</v>
      </c>
      <c r="D6" s="2" t="s">
        <v>2531</v>
      </c>
      <c r="E6" s="2" t="s">
        <v>2517</v>
      </c>
      <c r="F6" s="3">
        <v>123994</v>
      </c>
      <c r="G6" s="3">
        <v>5563</v>
      </c>
      <c r="H6" s="3">
        <v>308</v>
      </c>
      <c r="I6" s="4">
        <v>1315.48</v>
      </c>
      <c r="J6" s="4">
        <v>47341.08</v>
      </c>
      <c r="K6" s="3">
        <v>254</v>
      </c>
      <c r="L6" s="2" t="s">
        <v>2518</v>
      </c>
      <c r="M6" s="2" t="s">
        <v>2524</v>
      </c>
      <c r="N6" t="str">
        <f>TRIM(PROPER(Tabla_auditoría[[#This Row],[ID_Campaña]]))</f>
        <v>Cmp-026</v>
      </c>
      <c r="O6" t="str">
        <f>TRIM(PROPER(Tabla_auditoría[[#This Row],[Canal]]))</f>
        <v>Paid Search</v>
      </c>
      <c r="P6" t="str">
        <f>TRIM(PROPER(Tabla_auditoría[[#This Row],[País]]))</f>
        <v>Portugal</v>
      </c>
      <c r="Q6" t="str">
        <f>TRIM(PROPER(Tabla_auditoría[[#This Row],[Dispositivo]]))</f>
        <v>Desktop</v>
      </c>
      <c r="R6" t="str">
        <f>TRIM(PROPER(Tabla_auditoría[[#This Row],[Tipo_Campaña]]))</f>
        <v>Adquisición</v>
      </c>
      <c r="S6" t="str">
        <f>TRIM(PROPER(Tabla_auditoría[[#This Row],[Responsable]]))</f>
        <v>Luis Martín</v>
      </c>
      <c r="U6" s="13" t="s">
        <v>2607</v>
      </c>
      <c r="V6" s="13"/>
    </row>
    <row r="7" spans="1:22" x14ac:dyDescent="0.3">
      <c r="A7" s="1">
        <v>45934</v>
      </c>
      <c r="B7" s="2" t="s">
        <v>2532</v>
      </c>
      <c r="C7" s="2" t="s">
        <v>2533</v>
      </c>
      <c r="D7" s="2" t="s">
        <v>2531</v>
      </c>
      <c r="E7" s="2" t="s">
        <v>2534</v>
      </c>
      <c r="F7" s="3">
        <v>170534</v>
      </c>
      <c r="G7" s="3">
        <v>7543</v>
      </c>
      <c r="H7" s="3">
        <v>96</v>
      </c>
      <c r="I7" s="4">
        <v>10662.79</v>
      </c>
      <c r="J7" s="4">
        <v>15691.35</v>
      </c>
      <c r="K7" s="3">
        <v>51</v>
      </c>
      <c r="L7" s="2" t="s">
        <v>2518</v>
      </c>
      <c r="M7" s="2" t="s">
        <v>2519</v>
      </c>
      <c r="N7" t="str">
        <f>TRIM(PROPER(Tabla_auditoría[[#This Row],[ID_Campaña]]))</f>
        <v>Cmp-022</v>
      </c>
      <c r="O7" t="str">
        <f>TRIM(PROPER(Tabla_auditoría[[#This Row],[Canal]]))</f>
        <v>Paid Social</v>
      </c>
      <c r="P7" t="str">
        <f>TRIM(PROPER(Tabla_auditoría[[#This Row],[País]]))</f>
        <v>Portugal</v>
      </c>
      <c r="Q7" t="str">
        <f>TRIM(PROPER(Tabla_auditoría[[#This Row],[Dispositivo]]))</f>
        <v>Tablet</v>
      </c>
      <c r="R7" t="str">
        <f>TRIM(PROPER(Tabla_auditoría[[#This Row],[Tipo_Campaña]]))</f>
        <v>Adquisición</v>
      </c>
      <c r="S7" t="str">
        <f>TRIM(PROPER(Tabla_auditoría[[#This Row],[Responsable]]))</f>
        <v>Carlos Ruiz</v>
      </c>
      <c r="U7" t="s">
        <v>2503</v>
      </c>
      <c r="V7">
        <f>COUNTBLANK(Tabla_auditoría[Canal])</f>
        <v>20</v>
      </c>
    </row>
    <row r="8" spans="1:22" x14ac:dyDescent="0.3">
      <c r="A8" s="1">
        <v>45828</v>
      </c>
      <c r="B8" s="2" t="s">
        <v>2535</v>
      </c>
      <c r="C8" s="2" t="s">
        <v>2515</v>
      </c>
      <c r="D8" s="2" t="s">
        <v>2525</v>
      </c>
      <c r="E8" s="2" t="s">
        <v>2534</v>
      </c>
      <c r="F8" s="3">
        <v>84579</v>
      </c>
      <c r="G8" s="3">
        <v>3855</v>
      </c>
      <c r="H8" s="3">
        <v>121</v>
      </c>
      <c r="I8" s="4">
        <v>7967.14</v>
      </c>
      <c r="J8" s="4">
        <v>12733.03</v>
      </c>
      <c r="K8" s="3">
        <v>58</v>
      </c>
      <c r="L8" s="2" t="s">
        <v>2536</v>
      </c>
      <c r="M8" s="2" t="s">
        <v>2537</v>
      </c>
      <c r="N8" t="str">
        <f>TRIM(PROPER(Tabla_auditoría[[#This Row],[ID_Campaña]]))</f>
        <v>Cmp-015</v>
      </c>
      <c r="O8" t="str">
        <f>TRIM(PROPER(Tabla_auditoría[[#This Row],[Canal]]))</f>
        <v>Email</v>
      </c>
      <c r="P8" t="str">
        <f>TRIM(PROPER(Tabla_auditoría[[#This Row],[País]]))</f>
        <v>Francia</v>
      </c>
      <c r="Q8" t="str">
        <f>TRIM(PROPER(Tabla_auditoría[[#This Row],[Dispositivo]]))</f>
        <v>Tablet</v>
      </c>
      <c r="R8" t="str">
        <f>TRIM(PROPER(Tabla_auditoría[[#This Row],[Tipo_Campaña]]))</f>
        <v>Reconocimiento</v>
      </c>
      <c r="S8" t="str">
        <f>TRIM(PROPER(Tabla_auditoría[[#This Row],[Responsable]]))</f>
        <v>Marta López</v>
      </c>
      <c r="U8" t="s">
        <v>2504</v>
      </c>
      <c r="V8">
        <f>COUNTBLANK(Tabla_auditoría[País])</f>
        <v>16</v>
      </c>
    </row>
    <row r="9" spans="1:22" x14ac:dyDescent="0.3">
      <c r="A9" s="1">
        <v>45941</v>
      </c>
      <c r="B9" s="2" t="s">
        <v>2538</v>
      </c>
      <c r="C9" s="2" t="s">
        <v>2527</v>
      </c>
      <c r="D9" s="2" t="s">
        <v>2531</v>
      </c>
      <c r="E9" s="2" t="s">
        <v>2529</v>
      </c>
      <c r="F9" s="3">
        <v>125454</v>
      </c>
      <c r="G9" s="3">
        <v>7459</v>
      </c>
      <c r="H9" s="3">
        <v>507</v>
      </c>
      <c r="I9" s="4">
        <v>14866.14</v>
      </c>
      <c r="J9" s="4">
        <v>74384.02</v>
      </c>
      <c r="K9" s="3">
        <v>356</v>
      </c>
      <c r="L9" s="2" t="s">
        <v>2539</v>
      </c>
      <c r="M9" s="2" t="s">
        <v>2526</v>
      </c>
      <c r="N9" t="str">
        <f>TRIM(PROPER(Tabla_auditoría[[#This Row],[ID_Campaña]]))</f>
        <v>Cmp-004</v>
      </c>
      <c r="O9" t="str">
        <f>TRIM(PROPER(Tabla_auditoría[[#This Row],[Canal]]))</f>
        <v>Affiliate</v>
      </c>
      <c r="P9" t="str">
        <f>TRIM(PROPER(Tabla_auditoría[[#This Row],[País]]))</f>
        <v>Portugal</v>
      </c>
      <c r="Q9" t="str">
        <f>TRIM(PROPER(Tabla_auditoría[[#This Row],[Dispositivo]]))</f>
        <v>Mobile</v>
      </c>
      <c r="R9" t="str">
        <f>TRIM(PROPER(Tabla_auditoría[[#This Row],[Tipo_Campaña]]))</f>
        <v>Conversión</v>
      </c>
      <c r="S9" t="str">
        <f>TRIM(PROPER(Tabla_auditoría[[#This Row],[Responsable]]))</f>
        <v>Laura Pérez</v>
      </c>
      <c r="U9" t="s">
        <v>2606</v>
      </c>
      <c r="V9">
        <f>COUNTBLANK(Tabla_auditoría[Gasto_EUR])</f>
        <v>8</v>
      </c>
    </row>
    <row r="10" spans="1:22" x14ac:dyDescent="0.3">
      <c r="A10" s="1">
        <v>45908</v>
      </c>
      <c r="B10" s="2" t="s">
        <v>2540</v>
      </c>
      <c r="C10" s="2" t="s">
        <v>2521</v>
      </c>
      <c r="D10" s="2" t="s">
        <v>2531</v>
      </c>
      <c r="E10" s="2" t="s">
        <v>2517</v>
      </c>
      <c r="F10" s="3">
        <v>147026</v>
      </c>
      <c r="G10" s="3">
        <v>2076</v>
      </c>
      <c r="H10" s="3">
        <v>174</v>
      </c>
      <c r="I10" s="4">
        <v>574.54999999999995</v>
      </c>
      <c r="J10" s="4">
        <v>13381.79</v>
      </c>
      <c r="K10" s="3">
        <v>125</v>
      </c>
      <c r="L10" s="2" t="s">
        <v>2539</v>
      </c>
      <c r="M10" s="2" t="s">
        <v>2524</v>
      </c>
      <c r="N10" t="str">
        <f>TRIM(PROPER(Tabla_auditoría[[#This Row],[ID_Campaña]]))</f>
        <v>Cmp-017</v>
      </c>
      <c r="O10" t="str">
        <f>TRIM(PROPER(Tabla_auditoría[[#This Row],[Canal]]))</f>
        <v>Paid Search</v>
      </c>
      <c r="P10" t="str">
        <f>TRIM(PROPER(Tabla_auditoría[[#This Row],[País]]))</f>
        <v>Portugal</v>
      </c>
      <c r="Q10" t="str">
        <f>TRIM(PROPER(Tabla_auditoría[[#This Row],[Dispositivo]]))</f>
        <v>Desktop</v>
      </c>
      <c r="R10" t="str">
        <f>TRIM(PROPER(Tabla_auditoría[[#This Row],[Tipo_Campaña]]))</f>
        <v>Conversión</v>
      </c>
      <c r="S10" t="str">
        <f>TRIM(PROPER(Tabla_auditoría[[#This Row],[Responsable]]))</f>
        <v>Luis Martín</v>
      </c>
      <c r="U10" t="s">
        <v>2513</v>
      </c>
      <c r="V10">
        <f>COUNTBLANK(Tabla_auditoría[Responsable])</f>
        <v>18</v>
      </c>
    </row>
    <row r="11" spans="1:22" x14ac:dyDescent="0.3">
      <c r="A11" s="1">
        <v>45974</v>
      </c>
      <c r="B11" s="2" t="s">
        <v>2514</v>
      </c>
      <c r="C11" s="2" t="s">
        <v>2541</v>
      </c>
      <c r="D11" s="2" t="s">
        <v>2525</v>
      </c>
      <c r="E11" s="2" t="s">
        <v>2529</v>
      </c>
      <c r="F11" s="3">
        <v>8375</v>
      </c>
      <c r="G11" s="3">
        <v>469</v>
      </c>
      <c r="H11" s="3">
        <v>33</v>
      </c>
      <c r="I11" s="4">
        <v>672.99</v>
      </c>
      <c r="J11" s="4">
        <v>5104.2299999999996</v>
      </c>
      <c r="K11" s="3">
        <v>18</v>
      </c>
      <c r="L11" s="2" t="s">
        <v>2539</v>
      </c>
      <c r="M11" s="2" t="s">
        <v>2537</v>
      </c>
      <c r="N11" t="str">
        <f>TRIM(PROPER(Tabla_auditoría[[#This Row],[ID_Campaña]]))</f>
        <v>Cmp-002</v>
      </c>
      <c r="O11" t="str">
        <f>TRIM(PROPER(Tabla_auditoría[[#This Row],[Canal]]))</f>
        <v>Display</v>
      </c>
      <c r="P11" t="str">
        <f>TRIM(PROPER(Tabla_auditoría[[#This Row],[País]]))</f>
        <v>Francia</v>
      </c>
      <c r="Q11" t="str">
        <f>TRIM(PROPER(Tabla_auditoría[[#This Row],[Dispositivo]]))</f>
        <v>Mobile</v>
      </c>
      <c r="R11" t="str">
        <f>TRIM(PROPER(Tabla_auditoría[[#This Row],[Tipo_Campaña]]))</f>
        <v>Conversión</v>
      </c>
      <c r="S11" t="str">
        <f>TRIM(PROPER(Tabla_auditoría[[#This Row],[Responsable]]))</f>
        <v>Marta López</v>
      </c>
      <c r="U11" s="5" t="s">
        <v>2614</v>
      </c>
      <c r="V11">
        <f>SUM(V7:V10)</f>
        <v>62</v>
      </c>
    </row>
    <row r="12" spans="1:22" x14ac:dyDescent="0.3">
      <c r="A12" s="1">
        <v>45838</v>
      </c>
      <c r="B12" s="2" t="s">
        <v>2542</v>
      </c>
      <c r="C12" s="2" t="s">
        <v>2543</v>
      </c>
      <c r="D12" s="2" t="s">
        <v>2528</v>
      </c>
      <c r="E12" s="2" t="s">
        <v>2517</v>
      </c>
      <c r="F12" s="3">
        <v>169640</v>
      </c>
      <c r="G12" s="3">
        <v>13188</v>
      </c>
      <c r="H12" s="3">
        <v>1573</v>
      </c>
      <c r="I12" s="4">
        <v>3188.1</v>
      </c>
      <c r="J12" s="4">
        <v>158029.53</v>
      </c>
      <c r="K12" s="3">
        <v>1309</v>
      </c>
      <c r="L12" s="2" t="s">
        <v>2523</v>
      </c>
      <c r="M12" s="2" t="s">
        <v>2524</v>
      </c>
      <c r="N12" t="str">
        <f>TRIM(PROPER(Tabla_auditoría[[#This Row],[ID_Campaña]]))</f>
        <v>Cmp-025</v>
      </c>
      <c r="O12" t="str">
        <f>TRIM(PROPER(Tabla_auditoría[[#This Row],[Canal]]))</f>
        <v>Organic Social</v>
      </c>
      <c r="P12" t="str">
        <f>TRIM(PROPER(Tabla_auditoría[[#This Row],[País]]))</f>
        <v>España</v>
      </c>
      <c r="Q12" t="str">
        <f>TRIM(PROPER(Tabla_auditoría[[#This Row],[Dispositivo]]))</f>
        <v>Desktop</v>
      </c>
      <c r="R12" t="str">
        <f>TRIM(PROPER(Tabla_auditoría[[#This Row],[Tipo_Campaña]]))</f>
        <v>Retención</v>
      </c>
      <c r="S12" t="str">
        <f>TRIM(PROPER(Tabla_auditoría[[#This Row],[Responsable]]))</f>
        <v>Luis Martín</v>
      </c>
    </row>
    <row r="13" spans="1:22" x14ac:dyDescent="0.3">
      <c r="A13" s="1">
        <v>45697</v>
      </c>
      <c r="B13" s="2" t="s">
        <v>2544</v>
      </c>
      <c r="C13" s="2" t="s">
        <v>2515</v>
      </c>
      <c r="D13" s="2" t="s">
        <v>2528</v>
      </c>
      <c r="E13" s="2" t="s">
        <v>2517</v>
      </c>
      <c r="F13" s="3">
        <v>1815</v>
      </c>
      <c r="G13" s="3">
        <v>46</v>
      </c>
      <c r="H13" s="3">
        <v>1</v>
      </c>
      <c r="I13" s="4">
        <v>54.04</v>
      </c>
      <c r="J13" s="4">
        <v>192.07</v>
      </c>
      <c r="K13" s="3">
        <v>0</v>
      </c>
      <c r="L13" s="2" t="s">
        <v>2539</v>
      </c>
      <c r="M13" s="2" t="s">
        <v>2537</v>
      </c>
      <c r="N13" t="str">
        <f>TRIM(PROPER(Tabla_auditoría[[#This Row],[ID_Campaña]]))</f>
        <v>Cmp-006</v>
      </c>
      <c r="O13" t="str">
        <f>TRIM(PROPER(Tabla_auditoría[[#This Row],[Canal]]))</f>
        <v>Email</v>
      </c>
      <c r="P13" t="str">
        <f>TRIM(PROPER(Tabla_auditoría[[#This Row],[País]]))</f>
        <v>España</v>
      </c>
      <c r="Q13" t="str">
        <f>TRIM(PROPER(Tabla_auditoría[[#This Row],[Dispositivo]]))</f>
        <v>Desktop</v>
      </c>
      <c r="R13" t="str">
        <f>TRIM(PROPER(Tabla_auditoría[[#This Row],[Tipo_Campaña]]))</f>
        <v>Conversión</v>
      </c>
      <c r="S13" t="str">
        <f>TRIM(PROPER(Tabla_auditoría[[#This Row],[Responsable]]))</f>
        <v>Marta López</v>
      </c>
    </row>
    <row r="14" spans="1:22" x14ac:dyDescent="0.3">
      <c r="A14" s="1">
        <v>45992</v>
      </c>
      <c r="B14" s="2" t="s">
        <v>2545</v>
      </c>
      <c r="C14" s="2" t="s">
        <v>2533</v>
      </c>
      <c r="D14" s="2" t="s">
        <v>2528</v>
      </c>
      <c r="E14" s="2" t="s">
        <v>2529</v>
      </c>
      <c r="F14" s="3">
        <v>58400</v>
      </c>
      <c r="G14" s="3">
        <v>2796</v>
      </c>
      <c r="H14" s="3">
        <v>80</v>
      </c>
      <c r="I14" s="4">
        <v>361.39</v>
      </c>
      <c r="J14" s="4">
        <v>8867.74</v>
      </c>
      <c r="K14" s="3">
        <v>71</v>
      </c>
      <c r="L14" s="2" t="s">
        <v>2536</v>
      </c>
      <c r="M14" s="2" t="s">
        <v>2546</v>
      </c>
      <c r="N14" t="str">
        <f>TRIM(PROPER(Tabla_auditoría[[#This Row],[ID_Campaña]]))</f>
        <v>Cmp-011</v>
      </c>
      <c r="O14" t="str">
        <f>TRIM(PROPER(Tabla_auditoría[[#This Row],[Canal]]))</f>
        <v>Paid Social</v>
      </c>
      <c r="P14" t="str">
        <f>TRIM(PROPER(Tabla_auditoría[[#This Row],[País]]))</f>
        <v>España</v>
      </c>
      <c r="Q14" t="str">
        <f>TRIM(PROPER(Tabla_auditoría[[#This Row],[Dispositivo]]))</f>
        <v>Mobile</v>
      </c>
      <c r="R14" t="str">
        <f>TRIM(PROPER(Tabla_auditoría[[#This Row],[Tipo_Campaña]]))</f>
        <v>Reconocimiento</v>
      </c>
      <c r="S14" t="str">
        <f>TRIM(PROPER(Tabla_auditoría[[#This Row],[Responsable]]))</f>
        <v>Ana García</v>
      </c>
    </row>
    <row r="15" spans="1:22" x14ac:dyDescent="0.3">
      <c r="A15" s="1">
        <v>45688</v>
      </c>
      <c r="B15" s="2" t="s">
        <v>2547</v>
      </c>
      <c r="C15" s="2" t="s">
        <v>2548</v>
      </c>
      <c r="D15" s="2" t="s">
        <v>2516</v>
      </c>
      <c r="E15" s="2" t="s">
        <v>2517</v>
      </c>
      <c r="F15" s="3">
        <v>95164</v>
      </c>
      <c r="G15" s="3">
        <v>467</v>
      </c>
      <c r="H15" s="3">
        <v>54</v>
      </c>
      <c r="I15" s="4">
        <v>899.8</v>
      </c>
      <c r="J15" s="4">
        <v>8314.82</v>
      </c>
      <c r="K15" s="3">
        <v>33</v>
      </c>
      <c r="L15" s="2" t="s">
        <v>2523</v>
      </c>
      <c r="M15" s="2" t="s">
        <v>2519</v>
      </c>
      <c r="N15" t="str">
        <f>TRIM(PROPER(Tabla_auditoría[[#This Row],[ID_Campaña]]))</f>
        <v>Cmp-018</v>
      </c>
      <c r="O15" t="str">
        <f>TRIM(PROPER(Tabla_auditoría[[#This Row],[Canal]]))</f>
        <v>Display</v>
      </c>
      <c r="P15" t="str">
        <f>TRIM(PROPER(Tabla_auditoría[[#This Row],[País]]))</f>
        <v>México</v>
      </c>
      <c r="Q15" t="str">
        <f>TRIM(PROPER(Tabla_auditoría[[#This Row],[Dispositivo]]))</f>
        <v>Desktop</v>
      </c>
      <c r="R15" t="str">
        <f>TRIM(PROPER(Tabla_auditoría[[#This Row],[Tipo_Campaña]]))</f>
        <v>Retención</v>
      </c>
      <c r="S15" t="str">
        <f>TRIM(PROPER(Tabla_auditoría[[#This Row],[Responsable]]))</f>
        <v>Carlos Ruiz</v>
      </c>
    </row>
    <row r="16" spans="1:22" x14ac:dyDescent="0.3">
      <c r="A16" s="1">
        <v>45938</v>
      </c>
      <c r="B16" s="2" t="s">
        <v>2538</v>
      </c>
      <c r="C16" s="2" t="s">
        <v>2515</v>
      </c>
      <c r="D16" s="2" t="s">
        <v>2528</v>
      </c>
      <c r="E16" s="2" t="s">
        <v>2517</v>
      </c>
      <c r="F16" s="3">
        <v>163224</v>
      </c>
      <c r="G16" s="3">
        <v>892</v>
      </c>
      <c r="H16" s="3">
        <v>116</v>
      </c>
      <c r="I16" s="4">
        <v>645.97</v>
      </c>
      <c r="J16" s="4">
        <v>13245.61</v>
      </c>
      <c r="K16" s="3">
        <v>70</v>
      </c>
      <c r="L16" s="2" t="s">
        <v>2536</v>
      </c>
      <c r="M16" s="2" t="s">
        <v>2546</v>
      </c>
      <c r="N16" t="str">
        <f>TRIM(PROPER(Tabla_auditoría[[#This Row],[ID_Campaña]]))</f>
        <v>Cmp-004</v>
      </c>
      <c r="O16" t="str">
        <f>TRIM(PROPER(Tabla_auditoría[[#This Row],[Canal]]))</f>
        <v>Email</v>
      </c>
      <c r="P16" t="str">
        <f>TRIM(PROPER(Tabla_auditoría[[#This Row],[País]]))</f>
        <v>España</v>
      </c>
      <c r="Q16" t="str">
        <f>TRIM(PROPER(Tabla_auditoría[[#This Row],[Dispositivo]]))</f>
        <v>Desktop</v>
      </c>
      <c r="R16" t="str">
        <f>TRIM(PROPER(Tabla_auditoría[[#This Row],[Tipo_Campaña]]))</f>
        <v>Reconocimiento</v>
      </c>
      <c r="S16" t="str">
        <f>TRIM(PROPER(Tabla_auditoría[[#This Row],[Responsable]]))</f>
        <v>Ana García</v>
      </c>
    </row>
    <row r="17" spans="1:19" x14ac:dyDescent="0.3">
      <c r="A17" s="1">
        <v>45780</v>
      </c>
      <c r="B17" s="2" t="s">
        <v>2549</v>
      </c>
      <c r="C17" s="2" t="s">
        <v>2527</v>
      </c>
      <c r="D17" s="2" t="s">
        <v>2525</v>
      </c>
      <c r="E17" s="2" t="s">
        <v>2534</v>
      </c>
      <c r="F17" s="3">
        <v>44509</v>
      </c>
      <c r="G17" s="3">
        <v>1756</v>
      </c>
      <c r="H17" s="3">
        <v>45</v>
      </c>
      <c r="I17" s="4">
        <v>2433.77</v>
      </c>
      <c r="J17" s="4">
        <v>1487.74</v>
      </c>
      <c r="K17" s="3">
        <v>24</v>
      </c>
      <c r="L17" s="2" t="s">
        <v>2539</v>
      </c>
      <c r="M17" s="2" t="s">
        <v>2546</v>
      </c>
      <c r="N17" t="str">
        <f>TRIM(PROPER(Tabla_auditoría[[#This Row],[ID_Campaña]]))</f>
        <v>Cmp-007</v>
      </c>
      <c r="O17" t="str">
        <f>TRIM(PROPER(Tabla_auditoría[[#This Row],[Canal]]))</f>
        <v>Affiliate</v>
      </c>
      <c r="P17" t="str">
        <f>TRIM(PROPER(Tabla_auditoría[[#This Row],[País]]))</f>
        <v>Francia</v>
      </c>
      <c r="Q17" t="str">
        <f>TRIM(PROPER(Tabla_auditoría[[#This Row],[Dispositivo]]))</f>
        <v>Tablet</v>
      </c>
      <c r="R17" t="str">
        <f>TRIM(PROPER(Tabla_auditoría[[#This Row],[Tipo_Campaña]]))</f>
        <v>Conversión</v>
      </c>
      <c r="S17" t="str">
        <f>TRIM(PROPER(Tabla_auditoría[[#This Row],[Responsable]]))</f>
        <v>Ana García</v>
      </c>
    </row>
    <row r="18" spans="1:19" x14ac:dyDescent="0.3">
      <c r="A18" s="1">
        <v>45799</v>
      </c>
      <c r="B18" s="2" t="s">
        <v>2547</v>
      </c>
      <c r="C18" s="2" t="s">
        <v>2515</v>
      </c>
      <c r="D18" s="2" t="s">
        <v>2528</v>
      </c>
      <c r="E18" s="2" t="s">
        <v>2534</v>
      </c>
      <c r="F18" s="3">
        <v>49699</v>
      </c>
      <c r="G18" s="3">
        <v>549</v>
      </c>
      <c r="H18" s="3">
        <v>14</v>
      </c>
      <c r="I18" s="4">
        <v>407.19</v>
      </c>
      <c r="J18" s="4">
        <v>2598.86</v>
      </c>
      <c r="K18" s="3">
        <v>12</v>
      </c>
      <c r="L18" s="2" t="s">
        <v>2539</v>
      </c>
      <c r="M18" s="2" t="s">
        <v>2537</v>
      </c>
      <c r="N18" t="str">
        <f>TRIM(PROPER(Tabla_auditoría[[#This Row],[ID_Campaña]]))</f>
        <v>Cmp-018</v>
      </c>
      <c r="O18" t="str">
        <f>TRIM(PROPER(Tabla_auditoría[[#This Row],[Canal]]))</f>
        <v>Email</v>
      </c>
      <c r="P18" t="str">
        <f>TRIM(PROPER(Tabla_auditoría[[#This Row],[País]]))</f>
        <v>España</v>
      </c>
      <c r="Q18" t="str">
        <f>TRIM(PROPER(Tabla_auditoría[[#This Row],[Dispositivo]]))</f>
        <v>Tablet</v>
      </c>
      <c r="R18" t="str">
        <f>TRIM(PROPER(Tabla_auditoría[[#This Row],[Tipo_Campaña]]))</f>
        <v>Conversión</v>
      </c>
      <c r="S18" t="str">
        <f>TRIM(PROPER(Tabla_auditoría[[#This Row],[Responsable]]))</f>
        <v>Marta López</v>
      </c>
    </row>
    <row r="19" spans="1:19" x14ac:dyDescent="0.3">
      <c r="A19" s="1">
        <v>45738</v>
      </c>
      <c r="B19" s="2" t="s">
        <v>2545</v>
      </c>
      <c r="C19" s="2" t="s">
        <v>2527</v>
      </c>
      <c r="D19" s="2" t="s">
        <v>2528</v>
      </c>
      <c r="E19" s="2" t="s">
        <v>2529</v>
      </c>
      <c r="F19" s="3">
        <v>79946</v>
      </c>
      <c r="G19" s="3">
        <v>6644</v>
      </c>
      <c r="H19" s="3">
        <v>165</v>
      </c>
      <c r="I19" s="4">
        <v>12172.18</v>
      </c>
      <c r="J19" s="4">
        <v>3700.53</v>
      </c>
      <c r="K19" s="3">
        <v>97</v>
      </c>
      <c r="L19" s="2" t="s">
        <v>2523</v>
      </c>
      <c r="M19" s="2" t="s">
        <v>2524</v>
      </c>
      <c r="N19" t="str">
        <f>TRIM(PROPER(Tabla_auditoría[[#This Row],[ID_Campaña]]))</f>
        <v>Cmp-011</v>
      </c>
      <c r="O19" t="str">
        <f>TRIM(PROPER(Tabla_auditoría[[#This Row],[Canal]]))</f>
        <v>Affiliate</v>
      </c>
      <c r="P19" t="str">
        <f>TRIM(PROPER(Tabla_auditoría[[#This Row],[País]]))</f>
        <v>España</v>
      </c>
      <c r="Q19" t="str">
        <f>TRIM(PROPER(Tabla_auditoría[[#This Row],[Dispositivo]]))</f>
        <v>Mobile</v>
      </c>
      <c r="R19" t="str">
        <f>TRIM(PROPER(Tabla_auditoría[[#This Row],[Tipo_Campaña]]))</f>
        <v>Retención</v>
      </c>
      <c r="S19" t="str">
        <f>TRIM(PROPER(Tabla_auditoría[[#This Row],[Responsable]]))</f>
        <v>Luis Martín</v>
      </c>
    </row>
    <row r="20" spans="1:19" x14ac:dyDescent="0.3">
      <c r="A20" s="1">
        <v>45765</v>
      </c>
      <c r="B20" s="2" t="s">
        <v>2532</v>
      </c>
      <c r="C20" s="2" t="s">
        <v>2541</v>
      </c>
      <c r="D20" s="2" t="s">
        <v>2516</v>
      </c>
      <c r="E20" s="2" t="s">
        <v>2529</v>
      </c>
      <c r="F20" s="3">
        <v>90643</v>
      </c>
      <c r="G20" s="3">
        <v>6251</v>
      </c>
      <c r="H20" s="3">
        <v>607</v>
      </c>
      <c r="I20" s="4">
        <v>1069.28</v>
      </c>
      <c r="J20" s="4">
        <v>85223.12</v>
      </c>
      <c r="K20" s="3">
        <v>473</v>
      </c>
      <c r="L20" s="2" t="s">
        <v>2518</v>
      </c>
      <c r="M20" s="2" t="s">
        <v>2546</v>
      </c>
      <c r="N20" t="str">
        <f>TRIM(PROPER(Tabla_auditoría[[#This Row],[ID_Campaña]]))</f>
        <v>Cmp-022</v>
      </c>
      <c r="O20" t="str">
        <f>TRIM(PROPER(Tabla_auditoría[[#This Row],[Canal]]))</f>
        <v>Display</v>
      </c>
      <c r="P20" t="str">
        <f>TRIM(PROPER(Tabla_auditoría[[#This Row],[País]]))</f>
        <v>México</v>
      </c>
      <c r="Q20" t="str">
        <f>TRIM(PROPER(Tabla_auditoría[[#This Row],[Dispositivo]]))</f>
        <v>Mobile</v>
      </c>
      <c r="R20" t="str">
        <f>TRIM(PROPER(Tabla_auditoría[[#This Row],[Tipo_Campaña]]))</f>
        <v>Adquisición</v>
      </c>
      <c r="S20" t="str">
        <f>TRIM(PROPER(Tabla_auditoría[[#This Row],[Responsable]]))</f>
        <v>Ana García</v>
      </c>
    </row>
    <row r="21" spans="1:19" x14ac:dyDescent="0.3">
      <c r="A21" s="1">
        <v>45973</v>
      </c>
      <c r="B21" s="2" t="s">
        <v>2550</v>
      </c>
      <c r="C21" s="2" t="s">
        <v>2541</v>
      </c>
      <c r="D21" s="2" t="s">
        <v>2528</v>
      </c>
      <c r="E21" s="2" t="s">
        <v>2529</v>
      </c>
      <c r="F21" s="3">
        <v>78294</v>
      </c>
      <c r="G21" s="3">
        <v>5439</v>
      </c>
      <c r="H21" s="3">
        <v>617</v>
      </c>
      <c r="I21" s="4">
        <v>1504.93</v>
      </c>
      <c r="J21" s="4">
        <v>130219.67</v>
      </c>
      <c r="K21" s="3">
        <v>538</v>
      </c>
      <c r="L21" s="2" t="s">
        <v>2539</v>
      </c>
      <c r="M21" s="2" t="s">
        <v>2526</v>
      </c>
      <c r="N21" t="str">
        <f>TRIM(PROPER(Tabla_auditoría[[#This Row],[ID_Campaña]]))</f>
        <v>Cmp-008</v>
      </c>
      <c r="O21" t="str">
        <f>TRIM(PROPER(Tabla_auditoría[[#This Row],[Canal]]))</f>
        <v>Display</v>
      </c>
      <c r="P21" t="str">
        <f>TRIM(PROPER(Tabla_auditoría[[#This Row],[País]]))</f>
        <v>España</v>
      </c>
      <c r="Q21" t="str">
        <f>TRIM(PROPER(Tabla_auditoría[[#This Row],[Dispositivo]]))</f>
        <v>Mobile</v>
      </c>
      <c r="R21" t="str">
        <f>TRIM(PROPER(Tabla_auditoría[[#This Row],[Tipo_Campaña]]))</f>
        <v>Conversión</v>
      </c>
      <c r="S21" t="str">
        <f>TRIM(PROPER(Tabla_auditoría[[#This Row],[Responsable]]))</f>
        <v>Laura Pérez</v>
      </c>
    </row>
    <row r="22" spans="1:19" x14ac:dyDescent="0.3">
      <c r="A22" s="1">
        <v>46009</v>
      </c>
      <c r="B22" s="2" t="s">
        <v>2551</v>
      </c>
      <c r="C22" s="2" t="s">
        <v>2521</v>
      </c>
      <c r="D22" s="2" t="s">
        <v>2525</v>
      </c>
      <c r="E22" s="2" t="s">
        <v>2517</v>
      </c>
      <c r="F22" s="3">
        <v>4759</v>
      </c>
      <c r="G22" s="3">
        <v>234</v>
      </c>
      <c r="H22" s="3">
        <v>22</v>
      </c>
      <c r="I22" s="4">
        <v>333.25</v>
      </c>
      <c r="J22" s="4">
        <v>2425.61</v>
      </c>
      <c r="K22" s="3">
        <v>13</v>
      </c>
      <c r="L22" s="2" t="s">
        <v>2523</v>
      </c>
      <c r="M22" s="2" t="s">
        <v>2546</v>
      </c>
      <c r="N22" t="str">
        <f>TRIM(PROPER(Tabla_auditoría[[#This Row],[ID_Campaña]]))</f>
        <v>Cmp-028</v>
      </c>
      <c r="O22" t="str">
        <f>TRIM(PROPER(Tabla_auditoría[[#This Row],[Canal]]))</f>
        <v>Paid Search</v>
      </c>
      <c r="P22" t="str">
        <f>TRIM(PROPER(Tabla_auditoría[[#This Row],[País]]))</f>
        <v>Francia</v>
      </c>
      <c r="Q22" t="str">
        <f>TRIM(PROPER(Tabla_auditoría[[#This Row],[Dispositivo]]))</f>
        <v>Desktop</v>
      </c>
      <c r="R22" t="str">
        <f>TRIM(PROPER(Tabla_auditoría[[#This Row],[Tipo_Campaña]]))</f>
        <v>Retención</v>
      </c>
      <c r="S22" t="str">
        <f>TRIM(PROPER(Tabla_auditoría[[#This Row],[Responsable]]))</f>
        <v>Ana García</v>
      </c>
    </row>
    <row r="23" spans="1:19" x14ac:dyDescent="0.3">
      <c r="A23" s="1">
        <v>45791</v>
      </c>
      <c r="B23" s="2" t="s">
        <v>2552</v>
      </c>
      <c r="C23" s="2" t="s">
        <v>2543</v>
      </c>
      <c r="D23" s="2" t="s">
        <v>2525</v>
      </c>
      <c r="E23" s="2" t="s">
        <v>2529</v>
      </c>
      <c r="F23" s="3">
        <v>7310</v>
      </c>
      <c r="G23" s="3">
        <v>569</v>
      </c>
      <c r="H23" s="3">
        <v>77</v>
      </c>
      <c r="I23" s="4">
        <v>65.92</v>
      </c>
      <c r="J23" s="4">
        <v>3364.24</v>
      </c>
      <c r="K23" s="3">
        <v>59</v>
      </c>
      <c r="L23" s="2" t="s">
        <v>2536</v>
      </c>
      <c r="M23" s="2" t="s">
        <v>2524</v>
      </c>
      <c r="N23" t="str">
        <f>TRIM(PROPER(Tabla_auditoría[[#This Row],[ID_Campaña]]))</f>
        <v>Cmp-012</v>
      </c>
      <c r="O23" t="str">
        <f>TRIM(PROPER(Tabla_auditoría[[#This Row],[Canal]]))</f>
        <v>Organic Social</v>
      </c>
      <c r="P23" t="str">
        <f>TRIM(PROPER(Tabla_auditoría[[#This Row],[País]]))</f>
        <v>Francia</v>
      </c>
      <c r="Q23" t="str">
        <f>TRIM(PROPER(Tabla_auditoría[[#This Row],[Dispositivo]]))</f>
        <v>Mobile</v>
      </c>
      <c r="R23" t="str">
        <f>TRIM(PROPER(Tabla_auditoría[[#This Row],[Tipo_Campaña]]))</f>
        <v>Reconocimiento</v>
      </c>
      <c r="S23" t="str">
        <f>TRIM(PROPER(Tabla_auditoría[[#This Row],[Responsable]]))</f>
        <v>Luis Martín</v>
      </c>
    </row>
    <row r="24" spans="1:19" x14ac:dyDescent="0.3">
      <c r="A24" s="1">
        <v>45989</v>
      </c>
      <c r="B24" s="2" t="s">
        <v>2542</v>
      </c>
      <c r="C24" s="2" t="s">
        <v>2553</v>
      </c>
      <c r="D24" s="2" t="s">
        <v>2531</v>
      </c>
      <c r="E24" s="2" t="s">
        <v>2529</v>
      </c>
      <c r="F24" s="3">
        <v>42237</v>
      </c>
      <c r="G24" s="3">
        <v>591</v>
      </c>
      <c r="H24" s="3">
        <v>35</v>
      </c>
      <c r="I24" s="4">
        <v>506.92</v>
      </c>
      <c r="J24" s="4">
        <v>7159.42</v>
      </c>
      <c r="K24" s="3">
        <v>17</v>
      </c>
      <c r="L24" s="2" t="s">
        <v>2536</v>
      </c>
      <c r="M24" s="2" t="s">
        <v>2546</v>
      </c>
      <c r="N24" t="str">
        <f>TRIM(PROPER(Tabla_auditoría[[#This Row],[ID_Campaña]]))</f>
        <v>Cmp-025</v>
      </c>
      <c r="O24" t="str">
        <f>TRIM(PROPER(Tabla_auditoría[[#This Row],[Canal]]))</f>
        <v>Email</v>
      </c>
      <c r="P24" t="str">
        <f>TRIM(PROPER(Tabla_auditoría[[#This Row],[País]]))</f>
        <v>Portugal</v>
      </c>
      <c r="Q24" t="str">
        <f>TRIM(PROPER(Tabla_auditoría[[#This Row],[Dispositivo]]))</f>
        <v>Mobile</v>
      </c>
      <c r="R24" t="str">
        <f>TRIM(PROPER(Tabla_auditoría[[#This Row],[Tipo_Campaña]]))</f>
        <v>Reconocimiento</v>
      </c>
      <c r="S24" t="str">
        <f>TRIM(PROPER(Tabla_auditoría[[#This Row],[Responsable]]))</f>
        <v>Ana García</v>
      </c>
    </row>
    <row r="25" spans="1:19" x14ac:dyDescent="0.3">
      <c r="A25" s="1">
        <v>45829</v>
      </c>
      <c r="B25" s="2" t="s">
        <v>2514</v>
      </c>
      <c r="C25" s="2" t="s">
        <v>2541</v>
      </c>
      <c r="D25" s="2" t="s">
        <v>2531</v>
      </c>
      <c r="E25" s="2" t="s">
        <v>2529</v>
      </c>
      <c r="F25" s="3">
        <v>7568</v>
      </c>
      <c r="G25" s="3">
        <v>600</v>
      </c>
      <c r="H25" s="3">
        <v>21</v>
      </c>
      <c r="I25" s="4">
        <v>703.66</v>
      </c>
      <c r="J25" s="4">
        <v>3621.93</v>
      </c>
      <c r="K25" s="3">
        <v>15</v>
      </c>
      <c r="L25" s="2" t="s">
        <v>2518</v>
      </c>
      <c r="M25" s="2" t="s">
        <v>2546</v>
      </c>
      <c r="N25" t="str">
        <f>TRIM(PROPER(Tabla_auditoría[[#This Row],[ID_Campaña]]))</f>
        <v>Cmp-002</v>
      </c>
      <c r="O25" t="str">
        <f>TRIM(PROPER(Tabla_auditoría[[#This Row],[Canal]]))</f>
        <v>Display</v>
      </c>
      <c r="P25" t="str">
        <f>TRIM(PROPER(Tabla_auditoría[[#This Row],[País]]))</f>
        <v>Portugal</v>
      </c>
      <c r="Q25" t="str">
        <f>TRIM(PROPER(Tabla_auditoría[[#This Row],[Dispositivo]]))</f>
        <v>Mobile</v>
      </c>
      <c r="R25" t="str">
        <f>TRIM(PROPER(Tabla_auditoría[[#This Row],[Tipo_Campaña]]))</f>
        <v>Adquisición</v>
      </c>
      <c r="S25" t="str">
        <f>TRIM(PROPER(Tabla_auditoría[[#This Row],[Responsable]]))</f>
        <v>Ana García</v>
      </c>
    </row>
    <row r="26" spans="1:19" x14ac:dyDescent="0.3">
      <c r="A26" s="1">
        <v>45860</v>
      </c>
      <c r="B26" s="2" t="s">
        <v>2551</v>
      </c>
      <c r="C26" s="2" t="s">
        <v>2541</v>
      </c>
      <c r="D26" s="2" t="s">
        <v>2528</v>
      </c>
      <c r="E26" s="2" t="s">
        <v>2529</v>
      </c>
      <c r="F26" s="3">
        <v>105858</v>
      </c>
      <c r="G26" s="3">
        <v>9130</v>
      </c>
      <c r="H26" s="3">
        <v>579</v>
      </c>
      <c r="I26" s="4">
        <v>8905.2099999999991</v>
      </c>
      <c r="J26" s="4">
        <v>70771.17</v>
      </c>
      <c r="K26" s="3">
        <v>511</v>
      </c>
      <c r="L26" s="2" t="s">
        <v>2518</v>
      </c>
      <c r="M26" s="2" t="s">
        <v>2519</v>
      </c>
      <c r="N26" t="str">
        <f>TRIM(PROPER(Tabla_auditoría[[#This Row],[ID_Campaña]]))</f>
        <v>Cmp-028</v>
      </c>
      <c r="O26" t="str">
        <f>TRIM(PROPER(Tabla_auditoría[[#This Row],[Canal]]))</f>
        <v>Display</v>
      </c>
      <c r="P26" t="str">
        <f>TRIM(PROPER(Tabla_auditoría[[#This Row],[País]]))</f>
        <v>España</v>
      </c>
      <c r="Q26" t="str">
        <f>TRIM(PROPER(Tabla_auditoría[[#This Row],[Dispositivo]]))</f>
        <v>Mobile</v>
      </c>
      <c r="R26" t="str">
        <f>TRIM(PROPER(Tabla_auditoría[[#This Row],[Tipo_Campaña]]))</f>
        <v>Adquisición</v>
      </c>
      <c r="S26" t="str">
        <f>TRIM(PROPER(Tabla_auditoría[[#This Row],[Responsable]]))</f>
        <v>Carlos Ruiz</v>
      </c>
    </row>
    <row r="27" spans="1:19" x14ac:dyDescent="0.3">
      <c r="A27" s="1">
        <v>45844</v>
      </c>
      <c r="B27" s="2" t="s">
        <v>2554</v>
      </c>
      <c r="C27" s="2" t="s">
        <v>2541</v>
      </c>
      <c r="D27" s="2" t="s">
        <v>2528</v>
      </c>
      <c r="E27" s="2" t="s">
        <v>2529</v>
      </c>
      <c r="F27" s="3">
        <v>103769</v>
      </c>
      <c r="G27" s="3">
        <v>4146</v>
      </c>
      <c r="H27" s="3">
        <v>299</v>
      </c>
      <c r="I27" s="4">
        <v>1850.07</v>
      </c>
      <c r="J27" s="4">
        <v>12653.93</v>
      </c>
      <c r="K27" s="3">
        <v>235</v>
      </c>
      <c r="L27" s="2" t="s">
        <v>2523</v>
      </c>
      <c r="M27" s="2" t="s">
        <v>2524</v>
      </c>
      <c r="N27" t="str">
        <f>TRIM(PROPER(Tabla_auditoría[[#This Row],[ID_Campaña]]))</f>
        <v>Cmp-019</v>
      </c>
      <c r="O27" t="str">
        <f>TRIM(PROPER(Tabla_auditoría[[#This Row],[Canal]]))</f>
        <v>Display</v>
      </c>
      <c r="P27" t="str">
        <f>TRIM(PROPER(Tabla_auditoría[[#This Row],[País]]))</f>
        <v>España</v>
      </c>
      <c r="Q27" t="str">
        <f>TRIM(PROPER(Tabla_auditoría[[#This Row],[Dispositivo]]))</f>
        <v>Mobile</v>
      </c>
      <c r="R27" t="str">
        <f>TRIM(PROPER(Tabla_auditoría[[#This Row],[Tipo_Campaña]]))</f>
        <v>Retención</v>
      </c>
      <c r="S27" t="str">
        <f>TRIM(PROPER(Tabla_auditoría[[#This Row],[Responsable]]))</f>
        <v>Luis Martín</v>
      </c>
    </row>
    <row r="28" spans="1:19" x14ac:dyDescent="0.3">
      <c r="A28" s="1">
        <v>45862</v>
      </c>
      <c r="B28" s="2" t="s">
        <v>2555</v>
      </c>
      <c r="C28" s="2" t="s">
        <v>2541</v>
      </c>
      <c r="D28" s="2" t="s">
        <v>2528</v>
      </c>
      <c r="E28" s="2" t="s">
        <v>2534</v>
      </c>
      <c r="F28" s="3">
        <v>82374</v>
      </c>
      <c r="G28" s="3">
        <v>1820</v>
      </c>
      <c r="H28" s="3">
        <v>101</v>
      </c>
      <c r="I28" s="4">
        <v>1012.99</v>
      </c>
      <c r="J28" s="4">
        <v>3526.15</v>
      </c>
      <c r="K28" s="3">
        <v>88</v>
      </c>
      <c r="L28" s="2" t="s">
        <v>2539</v>
      </c>
      <c r="M28" s="2" t="s">
        <v>2537</v>
      </c>
      <c r="N28" t="str">
        <f>TRIM(PROPER(Tabla_auditoría[[#This Row],[ID_Campaña]]))</f>
        <v>Cmp-010</v>
      </c>
      <c r="O28" t="str">
        <f>TRIM(PROPER(Tabla_auditoría[[#This Row],[Canal]]))</f>
        <v>Display</v>
      </c>
      <c r="P28" t="str">
        <f>TRIM(PROPER(Tabla_auditoría[[#This Row],[País]]))</f>
        <v>España</v>
      </c>
      <c r="Q28" t="str">
        <f>TRIM(PROPER(Tabla_auditoría[[#This Row],[Dispositivo]]))</f>
        <v>Tablet</v>
      </c>
      <c r="R28" t="str">
        <f>TRIM(PROPER(Tabla_auditoría[[#This Row],[Tipo_Campaña]]))</f>
        <v>Conversión</v>
      </c>
      <c r="S28" t="str">
        <f>TRIM(PROPER(Tabla_auditoría[[#This Row],[Responsable]]))</f>
        <v>Marta López</v>
      </c>
    </row>
    <row r="29" spans="1:19" x14ac:dyDescent="0.3">
      <c r="A29" s="1">
        <v>45878</v>
      </c>
      <c r="B29" s="2" t="s">
        <v>2551</v>
      </c>
      <c r="C29" s="2" t="s">
        <v>2515</v>
      </c>
      <c r="D29" s="2" t="s">
        <v>2531</v>
      </c>
      <c r="E29" s="2" t="s">
        <v>2529</v>
      </c>
      <c r="F29" s="3">
        <v>176221</v>
      </c>
      <c r="G29" s="3">
        <v>5694</v>
      </c>
      <c r="H29" s="3">
        <v>645</v>
      </c>
      <c r="I29" s="4">
        <v>9157.59</v>
      </c>
      <c r="J29" s="4">
        <v>126731.53</v>
      </c>
      <c r="K29" s="3">
        <v>313</v>
      </c>
      <c r="L29" s="2" t="s">
        <v>2518</v>
      </c>
      <c r="M29" s="2" t="s">
        <v>2526</v>
      </c>
      <c r="N29" t="str">
        <f>TRIM(PROPER(Tabla_auditoría[[#This Row],[ID_Campaña]]))</f>
        <v>Cmp-028</v>
      </c>
      <c r="O29" t="str">
        <f>TRIM(PROPER(Tabla_auditoría[[#This Row],[Canal]]))</f>
        <v>Email</v>
      </c>
      <c r="P29" t="str">
        <f>TRIM(PROPER(Tabla_auditoría[[#This Row],[País]]))</f>
        <v>Portugal</v>
      </c>
      <c r="Q29" t="str">
        <f>TRIM(PROPER(Tabla_auditoría[[#This Row],[Dispositivo]]))</f>
        <v>Mobile</v>
      </c>
      <c r="R29" t="str">
        <f>TRIM(PROPER(Tabla_auditoría[[#This Row],[Tipo_Campaña]]))</f>
        <v>Adquisición</v>
      </c>
      <c r="S29" t="str">
        <f>TRIM(PROPER(Tabla_auditoría[[#This Row],[Responsable]]))</f>
        <v>Laura Pérez</v>
      </c>
    </row>
    <row r="30" spans="1:19" x14ac:dyDescent="0.3">
      <c r="A30" s="1">
        <v>45892</v>
      </c>
      <c r="B30" s="2" t="s">
        <v>2540</v>
      </c>
      <c r="C30" s="2" t="s">
        <v>2527</v>
      </c>
      <c r="D30" s="2" t="s">
        <v>2522</v>
      </c>
      <c r="E30" s="2" t="s">
        <v>2529</v>
      </c>
      <c r="F30" s="3">
        <v>69153</v>
      </c>
      <c r="G30" s="3">
        <v>3943</v>
      </c>
      <c r="H30" s="3">
        <v>89</v>
      </c>
      <c r="I30" s="4">
        <v>7263.43</v>
      </c>
      <c r="J30" s="4">
        <v>12869.36</v>
      </c>
      <c r="K30" s="3">
        <v>53</v>
      </c>
      <c r="L30" s="2" t="s">
        <v>2536</v>
      </c>
      <c r="M30" s="2" t="s">
        <v>2519</v>
      </c>
      <c r="N30" t="str">
        <f>TRIM(PROPER(Tabla_auditoría[[#This Row],[ID_Campaña]]))</f>
        <v>Cmp-017</v>
      </c>
      <c r="O30" t="str">
        <f>TRIM(PROPER(Tabla_auditoría[[#This Row],[Canal]]))</f>
        <v>Affiliate</v>
      </c>
      <c r="P30" t="str">
        <f>TRIM(PROPER(Tabla_auditoría[[#This Row],[País]]))</f>
        <v>Italia</v>
      </c>
      <c r="Q30" t="str">
        <f>TRIM(PROPER(Tabla_auditoría[[#This Row],[Dispositivo]]))</f>
        <v>Mobile</v>
      </c>
      <c r="R30" t="str">
        <f>TRIM(PROPER(Tabla_auditoría[[#This Row],[Tipo_Campaña]]))</f>
        <v>Reconocimiento</v>
      </c>
      <c r="S30" t="str">
        <f>TRIM(PROPER(Tabla_auditoría[[#This Row],[Responsable]]))</f>
        <v>Carlos Ruiz</v>
      </c>
    </row>
    <row r="31" spans="1:19" x14ac:dyDescent="0.3">
      <c r="A31" s="1">
        <v>45660</v>
      </c>
      <c r="B31" s="2" t="s">
        <v>2556</v>
      </c>
      <c r="C31" s="2" t="s">
        <v>2533</v>
      </c>
      <c r="D31" s="2" t="s">
        <v>2525</v>
      </c>
      <c r="E31" s="2" t="s">
        <v>2529</v>
      </c>
      <c r="F31" s="3">
        <v>78114</v>
      </c>
      <c r="G31" s="3">
        <v>1158</v>
      </c>
      <c r="H31" s="3">
        <v>156</v>
      </c>
      <c r="I31" s="4">
        <v>738.9</v>
      </c>
      <c r="J31" s="4">
        <v>18166.68</v>
      </c>
      <c r="K31" s="3">
        <v>94</v>
      </c>
      <c r="L31" s="2" t="s">
        <v>2518</v>
      </c>
      <c r="M31" s="2" t="s">
        <v>2526</v>
      </c>
      <c r="N31" t="str">
        <f>TRIM(PROPER(Tabla_auditoría[[#This Row],[ID_Campaña]]))</f>
        <v>Cmp-014</v>
      </c>
      <c r="O31" t="str">
        <f>TRIM(PROPER(Tabla_auditoría[[#This Row],[Canal]]))</f>
        <v>Paid Social</v>
      </c>
      <c r="P31" t="str">
        <f>TRIM(PROPER(Tabla_auditoría[[#This Row],[País]]))</f>
        <v>Francia</v>
      </c>
      <c r="Q31" t="str">
        <f>TRIM(PROPER(Tabla_auditoría[[#This Row],[Dispositivo]]))</f>
        <v>Mobile</v>
      </c>
      <c r="R31" t="str">
        <f>TRIM(PROPER(Tabla_auditoría[[#This Row],[Tipo_Campaña]]))</f>
        <v>Adquisición</v>
      </c>
      <c r="S31" t="str">
        <f>TRIM(PROPER(Tabla_auditoría[[#This Row],[Responsable]]))</f>
        <v>Laura Pérez</v>
      </c>
    </row>
    <row r="32" spans="1:19" x14ac:dyDescent="0.3">
      <c r="A32" s="1">
        <v>46006</v>
      </c>
      <c r="B32" s="2" t="s">
        <v>2530</v>
      </c>
      <c r="C32" s="2" t="s">
        <v>2541</v>
      </c>
      <c r="D32" s="2" t="s">
        <v>2528</v>
      </c>
      <c r="E32" s="2" t="s">
        <v>2517</v>
      </c>
      <c r="F32" s="3">
        <v>33428</v>
      </c>
      <c r="G32" s="3">
        <v>180</v>
      </c>
      <c r="H32" s="3">
        <v>5</v>
      </c>
      <c r="I32" s="4">
        <v>320.20999999999998</v>
      </c>
      <c r="J32" s="4">
        <v>175.56</v>
      </c>
      <c r="K32" s="3">
        <v>4</v>
      </c>
      <c r="L32" s="2" t="s">
        <v>2539</v>
      </c>
      <c r="M32" s="2" t="s">
        <v>2524</v>
      </c>
      <c r="N32" t="str">
        <f>TRIM(PROPER(Tabla_auditoría[[#This Row],[ID_Campaña]]))</f>
        <v>Cmp-026</v>
      </c>
      <c r="O32" t="str">
        <f>TRIM(PROPER(Tabla_auditoría[[#This Row],[Canal]]))</f>
        <v>Display</v>
      </c>
      <c r="P32" t="str">
        <f>TRIM(PROPER(Tabla_auditoría[[#This Row],[País]]))</f>
        <v>España</v>
      </c>
      <c r="Q32" t="str">
        <f>TRIM(PROPER(Tabla_auditoría[[#This Row],[Dispositivo]]))</f>
        <v>Desktop</v>
      </c>
      <c r="R32" t="str">
        <f>TRIM(PROPER(Tabla_auditoría[[#This Row],[Tipo_Campaña]]))</f>
        <v>Conversión</v>
      </c>
      <c r="S32" t="str">
        <f>TRIM(PROPER(Tabla_auditoría[[#This Row],[Responsable]]))</f>
        <v>Luis Martín</v>
      </c>
    </row>
    <row r="33" spans="1:19" x14ac:dyDescent="0.3">
      <c r="A33" s="1">
        <v>45917</v>
      </c>
      <c r="B33" s="2" t="s">
        <v>2557</v>
      </c>
      <c r="C33" s="2" t="s">
        <v>2527</v>
      </c>
      <c r="D33" s="2" t="s">
        <v>2528</v>
      </c>
      <c r="E33" s="2" t="s">
        <v>2517</v>
      </c>
      <c r="F33" s="3">
        <v>4187</v>
      </c>
      <c r="G33" s="3">
        <v>41</v>
      </c>
      <c r="H33" s="3">
        <v>0</v>
      </c>
      <c r="I33" s="4">
        <v>38.14</v>
      </c>
      <c r="J33" s="4">
        <v>0</v>
      </c>
      <c r="K33" s="3">
        <v>0</v>
      </c>
      <c r="L33" s="2" t="s">
        <v>2539</v>
      </c>
      <c r="M33" s="2" t="s">
        <v>2546</v>
      </c>
      <c r="N33" t="str">
        <f>TRIM(PROPER(Tabla_auditoría[[#This Row],[ID_Campaña]]))</f>
        <v>Cmp-030</v>
      </c>
      <c r="O33" t="str">
        <f>TRIM(PROPER(Tabla_auditoría[[#This Row],[Canal]]))</f>
        <v>Affiliate</v>
      </c>
      <c r="P33" t="str">
        <f>TRIM(PROPER(Tabla_auditoría[[#This Row],[País]]))</f>
        <v>España</v>
      </c>
      <c r="Q33" t="str">
        <f>TRIM(PROPER(Tabla_auditoría[[#This Row],[Dispositivo]]))</f>
        <v>Desktop</v>
      </c>
      <c r="R33" t="str">
        <f>TRIM(PROPER(Tabla_auditoría[[#This Row],[Tipo_Campaña]]))</f>
        <v>Conversión</v>
      </c>
      <c r="S33" t="str">
        <f>TRIM(PROPER(Tabla_auditoría[[#This Row],[Responsable]]))</f>
        <v>Ana García</v>
      </c>
    </row>
    <row r="34" spans="1:19" x14ac:dyDescent="0.3">
      <c r="A34" s="1">
        <v>45751</v>
      </c>
      <c r="B34" s="2" t="s">
        <v>2535</v>
      </c>
      <c r="C34" s="2" t="s">
        <v>2543</v>
      </c>
      <c r="D34" s="2" t="s">
        <v>2528</v>
      </c>
      <c r="E34" s="2" t="s">
        <v>2534</v>
      </c>
      <c r="F34" s="3">
        <v>156964</v>
      </c>
      <c r="G34" s="3">
        <v>9714</v>
      </c>
      <c r="H34" s="3">
        <v>820</v>
      </c>
      <c r="I34" s="4">
        <v>16423.11</v>
      </c>
      <c r="J34" s="4">
        <v>39511.26</v>
      </c>
      <c r="K34" s="3">
        <v>557</v>
      </c>
      <c r="L34" s="2" t="s">
        <v>2518</v>
      </c>
      <c r="M34" s="2" t="s">
        <v>2546</v>
      </c>
      <c r="N34" t="str">
        <f>TRIM(PROPER(Tabla_auditoría[[#This Row],[ID_Campaña]]))</f>
        <v>Cmp-015</v>
      </c>
      <c r="O34" t="str">
        <f>TRIM(PROPER(Tabla_auditoría[[#This Row],[Canal]]))</f>
        <v>Organic Social</v>
      </c>
      <c r="P34" t="str">
        <f>TRIM(PROPER(Tabla_auditoría[[#This Row],[País]]))</f>
        <v>España</v>
      </c>
      <c r="Q34" t="str">
        <f>TRIM(PROPER(Tabla_auditoría[[#This Row],[Dispositivo]]))</f>
        <v>Tablet</v>
      </c>
      <c r="R34" t="str">
        <f>TRIM(PROPER(Tabla_auditoría[[#This Row],[Tipo_Campaña]]))</f>
        <v>Adquisición</v>
      </c>
      <c r="S34" t="str">
        <f>TRIM(PROPER(Tabla_auditoría[[#This Row],[Responsable]]))</f>
        <v>Ana García</v>
      </c>
    </row>
    <row r="35" spans="1:19" x14ac:dyDescent="0.3">
      <c r="A35" s="1">
        <v>45921</v>
      </c>
      <c r="B35" s="2" t="s">
        <v>2555</v>
      </c>
      <c r="C35" s="2" t="s">
        <v>2558</v>
      </c>
      <c r="D35" s="2" t="s">
        <v>2525</v>
      </c>
      <c r="E35" s="2" t="s">
        <v>2529</v>
      </c>
      <c r="F35" s="3">
        <v>78190</v>
      </c>
      <c r="G35" s="3">
        <v>387</v>
      </c>
      <c r="H35" s="3">
        <v>31</v>
      </c>
      <c r="I35" s="4">
        <v>203.63</v>
      </c>
      <c r="J35" s="4">
        <v>6507.47</v>
      </c>
      <c r="K35" s="3">
        <v>16</v>
      </c>
      <c r="L35" s="2" t="s">
        <v>2523</v>
      </c>
      <c r="M35" s="2" t="s">
        <v>2537</v>
      </c>
      <c r="N35" t="str">
        <f>TRIM(PROPER(Tabla_auditoría[[#This Row],[ID_Campaña]]))</f>
        <v>Cmp-010</v>
      </c>
      <c r="O35" t="str">
        <f>TRIM(PROPER(Tabla_auditoría[[#This Row],[Canal]]))</f>
        <v>Paid Social</v>
      </c>
      <c r="P35" t="str">
        <f>TRIM(PROPER(Tabla_auditoría[[#This Row],[País]]))</f>
        <v>Francia</v>
      </c>
      <c r="Q35" t="str">
        <f>TRIM(PROPER(Tabla_auditoría[[#This Row],[Dispositivo]]))</f>
        <v>Mobile</v>
      </c>
      <c r="R35" t="str">
        <f>TRIM(PROPER(Tabla_auditoría[[#This Row],[Tipo_Campaña]]))</f>
        <v>Retención</v>
      </c>
      <c r="S35" t="str">
        <f>TRIM(PROPER(Tabla_auditoría[[#This Row],[Responsable]]))</f>
        <v>Marta López</v>
      </c>
    </row>
    <row r="36" spans="1:19" x14ac:dyDescent="0.3">
      <c r="A36" s="1">
        <v>45755</v>
      </c>
      <c r="B36" s="2" t="s">
        <v>2555</v>
      </c>
      <c r="D36" s="2" t="s">
        <v>2516</v>
      </c>
      <c r="E36" s="2" t="s">
        <v>2559</v>
      </c>
      <c r="F36" s="3">
        <v>63702</v>
      </c>
      <c r="G36" s="3">
        <v>5675</v>
      </c>
      <c r="H36" s="3">
        <v>708</v>
      </c>
      <c r="I36" s="4">
        <v>4115.09</v>
      </c>
      <c r="J36" s="4">
        <v>107477.07</v>
      </c>
      <c r="K36" s="3">
        <v>459</v>
      </c>
      <c r="L36" s="2" t="s">
        <v>2536</v>
      </c>
      <c r="M36" s="2" t="s">
        <v>2546</v>
      </c>
      <c r="N36" t="str">
        <f>TRIM(PROPER(Tabla_auditoría[[#This Row],[ID_Campaña]]))</f>
        <v>Cmp-010</v>
      </c>
      <c r="O36" t="str">
        <f>TRIM(PROPER(Tabla_auditoría[[#This Row],[Canal]]))</f>
        <v/>
      </c>
      <c r="P36" t="str">
        <f>TRIM(PROPER(Tabla_auditoría[[#This Row],[País]]))</f>
        <v>México</v>
      </c>
      <c r="Q36" t="str">
        <f>TRIM(PROPER(Tabla_auditoría[[#This Row],[Dispositivo]]))</f>
        <v>Desktop</v>
      </c>
      <c r="R36" t="str">
        <f>TRIM(PROPER(Tabla_auditoría[[#This Row],[Tipo_Campaña]]))</f>
        <v>Reconocimiento</v>
      </c>
      <c r="S36" t="str">
        <f>TRIM(PROPER(Tabla_auditoría[[#This Row],[Responsable]]))</f>
        <v>Ana García</v>
      </c>
    </row>
    <row r="37" spans="1:19" x14ac:dyDescent="0.3">
      <c r="A37" s="1">
        <v>45781</v>
      </c>
      <c r="B37" s="2" t="s">
        <v>2560</v>
      </c>
      <c r="C37" s="2" t="s">
        <v>2541</v>
      </c>
      <c r="D37" s="2" t="s">
        <v>2525</v>
      </c>
      <c r="E37" s="2" t="s">
        <v>2529</v>
      </c>
      <c r="F37" s="3">
        <v>62593</v>
      </c>
      <c r="G37" s="3">
        <v>3168</v>
      </c>
      <c r="H37" s="3">
        <v>202</v>
      </c>
      <c r="I37" s="4">
        <v>1472.4</v>
      </c>
      <c r="J37" s="4">
        <v>11607.45</v>
      </c>
      <c r="K37" s="3">
        <v>102</v>
      </c>
      <c r="L37" s="2" t="s">
        <v>2518</v>
      </c>
      <c r="M37" s="2" t="s">
        <v>2519</v>
      </c>
      <c r="N37" t="str">
        <f>TRIM(PROPER(Tabla_auditoría[[#This Row],[ID_Campaña]]))</f>
        <v>Cmp-027</v>
      </c>
      <c r="O37" t="str">
        <f>TRIM(PROPER(Tabla_auditoría[[#This Row],[Canal]]))</f>
        <v>Display</v>
      </c>
      <c r="P37" t="str">
        <f>TRIM(PROPER(Tabla_auditoría[[#This Row],[País]]))</f>
        <v>Francia</v>
      </c>
      <c r="Q37" t="str">
        <f>TRIM(PROPER(Tabla_auditoría[[#This Row],[Dispositivo]]))</f>
        <v>Mobile</v>
      </c>
      <c r="R37" t="str">
        <f>TRIM(PROPER(Tabla_auditoría[[#This Row],[Tipo_Campaña]]))</f>
        <v>Adquisición</v>
      </c>
      <c r="S37" t="str">
        <f>TRIM(PROPER(Tabla_auditoría[[#This Row],[Responsable]]))</f>
        <v>Carlos Ruiz</v>
      </c>
    </row>
    <row r="38" spans="1:19" x14ac:dyDescent="0.3">
      <c r="A38" s="1">
        <v>45680</v>
      </c>
      <c r="B38" s="2" t="s">
        <v>2514</v>
      </c>
      <c r="C38" s="2" t="s">
        <v>2515</v>
      </c>
      <c r="D38" s="2" t="s">
        <v>2516</v>
      </c>
      <c r="E38" s="2" t="s">
        <v>2517</v>
      </c>
      <c r="F38" s="3">
        <v>91161</v>
      </c>
      <c r="G38" s="3">
        <v>4430</v>
      </c>
      <c r="H38" s="3">
        <v>265</v>
      </c>
      <c r="I38" s="4">
        <v>5935.04</v>
      </c>
      <c r="J38" s="4">
        <v>35663.11</v>
      </c>
      <c r="K38" s="3">
        <v>186</v>
      </c>
      <c r="L38" s="2" t="s">
        <v>2539</v>
      </c>
      <c r="M38" s="2" t="s">
        <v>2519</v>
      </c>
      <c r="N38" t="str">
        <f>TRIM(PROPER(Tabla_auditoría[[#This Row],[ID_Campaña]]))</f>
        <v>Cmp-002</v>
      </c>
      <c r="O38" t="str">
        <f>TRIM(PROPER(Tabla_auditoría[[#This Row],[Canal]]))</f>
        <v>Email</v>
      </c>
      <c r="P38" t="str">
        <f>TRIM(PROPER(Tabla_auditoría[[#This Row],[País]]))</f>
        <v>México</v>
      </c>
      <c r="Q38" t="str">
        <f>TRIM(PROPER(Tabla_auditoría[[#This Row],[Dispositivo]]))</f>
        <v>Desktop</v>
      </c>
      <c r="R38" t="str">
        <f>TRIM(PROPER(Tabla_auditoría[[#This Row],[Tipo_Campaña]]))</f>
        <v>Conversión</v>
      </c>
      <c r="S38" t="str">
        <f>TRIM(PROPER(Tabla_auditoría[[#This Row],[Responsable]]))</f>
        <v>Carlos Ruiz</v>
      </c>
    </row>
    <row r="39" spans="1:19" x14ac:dyDescent="0.3">
      <c r="A39" s="1">
        <v>45720</v>
      </c>
      <c r="B39" s="2" t="s">
        <v>2552</v>
      </c>
      <c r="C39" s="2" t="s">
        <v>2541</v>
      </c>
      <c r="D39" s="2" t="s">
        <v>2528</v>
      </c>
      <c r="E39" s="2" t="s">
        <v>2561</v>
      </c>
      <c r="F39" s="3">
        <v>16564</v>
      </c>
      <c r="G39" s="3">
        <v>169</v>
      </c>
      <c r="H39" s="3">
        <v>4</v>
      </c>
      <c r="I39" s="4">
        <v>152.83000000000001</v>
      </c>
      <c r="J39" s="4">
        <v>769.28</v>
      </c>
      <c r="K39" s="3">
        <v>2</v>
      </c>
      <c r="L39" s="2" t="s">
        <v>2539</v>
      </c>
      <c r="M39" s="2" t="s">
        <v>2546</v>
      </c>
      <c r="N39" t="str">
        <f>TRIM(PROPER(Tabla_auditoría[[#This Row],[ID_Campaña]]))</f>
        <v>Cmp-012</v>
      </c>
      <c r="O39" t="str">
        <f>TRIM(PROPER(Tabla_auditoría[[#This Row],[Canal]]))</f>
        <v>Display</v>
      </c>
      <c r="P39" t="str">
        <f>TRIM(PROPER(Tabla_auditoría[[#This Row],[País]]))</f>
        <v>España</v>
      </c>
      <c r="Q39" t="str">
        <f>TRIM(PROPER(Tabla_auditoría[[#This Row],[Dispositivo]]))</f>
        <v>Mobile</v>
      </c>
      <c r="R39" t="str">
        <f>TRIM(PROPER(Tabla_auditoría[[#This Row],[Tipo_Campaña]]))</f>
        <v>Conversión</v>
      </c>
      <c r="S39" t="str">
        <f>TRIM(PROPER(Tabla_auditoría[[#This Row],[Responsable]]))</f>
        <v>Ana García</v>
      </c>
    </row>
    <row r="40" spans="1:19" x14ac:dyDescent="0.3">
      <c r="A40" s="1">
        <v>45722</v>
      </c>
      <c r="B40" s="2" t="s">
        <v>2554</v>
      </c>
      <c r="C40" s="2" t="s">
        <v>2521</v>
      </c>
      <c r="D40" s="2" t="s">
        <v>2525</v>
      </c>
      <c r="E40" s="2" t="s">
        <v>2517</v>
      </c>
      <c r="F40" s="3">
        <v>65604</v>
      </c>
      <c r="G40" s="3">
        <v>2826</v>
      </c>
      <c r="H40" s="3">
        <v>147</v>
      </c>
      <c r="I40" s="4">
        <v>370.78</v>
      </c>
      <c r="J40" s="4">
        <v>8547.51</v>
      </c>
      <c r="K40" s="3">
        <v>112</v>
      </c>
      <c r="L40" s="2" t="s">
        <v>2523</v>
      </c>
      <c r="M40" s="2" t="s">
        <v>2546</v>
      </c>
      <c r="N40" t="str">
        <f>TRIM(PROPER(Tabla_auditoría[[#This Row],[ID_Campaña]]))</f>
        <v>Cmp-019</v>
      </c>
      <c r="O40" t="str">
        <f>TRIM(PROPER(Tabla_auditoría[[#This Row],[Canal]]))</f>
        <v>Paid Search</v>
      </c>
      <c r="P40" t="str">
        <f>TRIM(PROPER(Tabla_auditoría[[#This Row],[País]]))</f>
        <v>Francia</v>
      </c>
      <c r="Q40" t="str">
        <f>TRIM(PROPER(Tabla_auditoría[[#This Row],[Dispositivo]]))</f>
        <v>Desktop</v>
      </c>
      <c r="R40" t="str">
        <f>TRIM(PROPER(Tabla_auditoría[[#This Row],[Tipo_Campaña]]))</f>
        <v>Retención</v>
      </c>
      <c r="S40" t="str">
        <f>TRIM(PROPER(Tabla_auditoría[[#This Row],[Responsable]]))</f>
        <v>Ana García</v>
      </c>
    </row>
    <row r="41" spans="1:19" x14ac:dyDescent="0.3">
      <c r="A41" s="1">
        <v>45775</v>
      </c>
      <c r="B41" s="2" t="s">
        <v>2514</v>
      </c>
      <c r="C41" s="2" t="s">
        <v>2527</v>
      </c>
      <c r="D41" s="2" t="s">
        <v>2522</v>
      </c>
      <c r="E41" s="2" t="s">
        <v>2529</v>
      </c>
      <c r="F41" s="3">
        <v>84707</v>
      </c>
      <c r="G41" s="3">
        <v>512</v>
      </c>
      <c r="H41" s="3">
        <v>33</v>
      </c>
      <c r="I41" s="4">
        <v>940.78</v>
      </c>
      <c r="J41" s="4">
        <v>6912.23</v>
      </c>
      <c r="K41" s="3">
        <v>17</v>
      </c>
      <c r="L41" s="2" t="s">
        <v>2523</v>
      </c>
      <c r="M41" s="2" t="s">
        <v>2524</v>
      </c>
      <c r="N41" t="str">
        <f>TRIM(PROPER(Tabla_auditoría[[#This Row],[ID_Campaña]]))</f>
        <v>Cmp-002</v>
      </c>
      <c r="O41" t="str">
        <f>TRIM(PROPER(Tabla_auditoría[[#This Row],[Canal]]))</f>
        <v>Affiliate</v>
      </c>
      <c r="P41" t="str">
        <f>TRIM(PROPER(Tabla_auditoría[[#This Row],[País]]))</f>
        <v>Italia</v>
      </c>
      <c r="Q41" t="str">
        <f>TRIM(PROPER(Tabla_auditoría[[#This Row],[Dispositivo]]))</f>
        <v>Mobile</v>
      </c>
      <c r="R41" t="str">
        <f>TRIM(PROPER(Tabla_auditoría[[#This Row],[Tipo_Campaña]]))</f>
        <v>Retención</v>
      </c>
      <c r="S41" t="str">
        <f>TRIM(PROPER(Tabla_auditoría[[#This Row],[Responsable]]))</f>
        <v>Luis Martín</v>
      </c>
    </row>
    <row r="42" spans="1:19" x14ac:dyDescent="0.3">
      <c r="A42" s="1">
        <v>45748</v>
      </c>
      <c r="B42" s="2" t="s">
        <v>2550</v>
      </c>
      <c r="C42" s="2" t="s">
        <v>2562</v>
      </c>
      <c r="D42" s="2" t="s">
        <v>2516</v>
      </c>
      <c r="E42" s="2" t="s">
        <v>2517</v>
      </c>
      <c r="F42" s="3">
        <v>125379</v>
      </c>
      <c r="G42" s="3">
        <v>2816</v>
      </c>
      <c r="H42" s="3">
        <v>211</v>
      </c>
      <c r="I42" s="4">
        <v>2108.8000000000002</v>
      </c>
      <c r="J42" s="4">
        <v>14718.61</v>
      </c>
      <c r="K42" s="3">
        <v>168</v>
      </c>
      <c r="L42" s="2" t="s">
        <v>2539</v>
      </c>
      <c r="M42" s="2" t="s">
        <v>2519</v>
      </c>
      <c r="N42" t="str">
        <f>TRIM(PROPER(Tabla_auditoría[[#This Row],[ID_Campaña]]))</f>
        <v>Cmp-008</v>
      </c>
      <c r="O42" t="str">
        <f>TRIM(PROPER(Tabla_auditoría[[#This Row],[Canal]]))</f>
        <v>Organic Social</v>
      </c>
      <c r="P42" t="str">
        <f>TRIM(PROPER(Tabla_auditoría[[#This Row],[País]]))</f>
        <v>México</v>
      </c>
      <c r="Q42" t="str">
        <f>TRIM(PROPER(Tabla_auditoría[[#This Row],[Dispositivo]]))</f>
        <v>Desktop</v>
      </c>
      <c r="R42" t="str">
        <f>TRIM(PROPER(Tabla_auditoría[[#This Row],[Tipo_Campaña]]))</f>
        <v>Conversión</v>
      </c>
      <c r="S42" t="str">
        <f>TRIM(PROPER(Tabla_auditoría[[#This Row],[Responsable]]))</f>
        <v>Carlos Ruiz</v>
      </c>
    </row>
    <row r="43" spans="1:19" x14ac:dyDescent="0.3">
      <c r="A43" s="1">
        <v>45788</v>
      </c>
      <c r="B43" s="2" t="s">
        <v>2557</v>
      </c>
      <c r="C43" s="2" t="s">
        <v>2527</v>
      </c>
      <c r="D43" s="2" t="s">
        <v>2522</v>
      </c>
      <c r="E43" s="2" t="s">
        <v>2529</v>
      </c>
      <c r="F43" s="3">
        <v>75503</v>
      </c>
      <c r="G43" s="3">
        <v>3617</v>
      </c>
      <c r="H43" s="3">
        <v>24</v>
      </c>
      <c r="I43" s="4">
        <v>3324.61</v>
      </c>
      <c r="J43" s="4">
        <v>462.18</v>
      </c>
      <c r="K43" s="3">
        <v>13</v>
      </c>
      <c r="L43" s="2" t="s">
        <v>2539</v>
      </c>
      <c r="M43" s="2" t="s">
        <v>2546</v>
      </c>
      <c r="N43" t="str">
        <f>TRIM(PROPER(Tabla_auditoría[[#This Row],[ID_Campaña]]))</f>
        <v>Cmp-030</v>
      </c>
      <c r="O43" t="str">
        <f>TRIM(PROPER(Tabla_auditoría[[#This Row],[Canal]]))</f>
        <v>Affiliate</v>
      </c>
      <c r="P43" t="str">
        <f>TRIM(PROPER(Tabla_auditoría[[#This Row],[País]]))</f>
        <v>Italia</v>
      </c>
      <c r="Q43" t="str">
        <f>TRIM(PROPER(Tabla_auditoría[[#This Row],[Dispositivo]]))</f>
        <v>Mobile</v>
      </c>
      <c r="R43" t="str">
        <f>TRIM(PROPER(Tabla_auditoría[[#This Row],[Tipo_Campaña]]))</f>
        <v>Conversión</v>
      </c>
      <c r="S43" t="str">
        <f>TRIM(PROPER(Tabla_auditoría[[#This Row],[Responsable]]))</f>
        <v>Ana García</v>
      </c>
    </row>
    <row r="44" spans="1:19" x14ac:dyDescent="0.3">
      <c r="A44" s="1">
        <v>45911</v>
      </c>
      <c r="B44" s="2" t="s">
        <v>2556</v>
      </c>
      <c r="C44" s="2" t="s">
        <v>2521</v>
      </c>
      <c r="D44" s="2" t="s">
        <v>2525</v>
      </c>
      <c r="E44" s="2" t="s">
        <v>2517</v>
      </c>
      <c r="F44" s="3">
        <v>177363</v>
      </c>
      <c r="G44" s="3">
        <v>7732</v>
      </c>
      <c r="H44" s="3">
        <v>999</v>
      </c>
      <c r="I44" s="4">
        <v>9531.17</v>
      </c>
      <c r="J44" s="4">
        <v>71611.149999999994</v>
      </c>
      <c r="K44" s="3">
        <v>470</v>
      </c>
      <c r="L44" s="2" t="s">
        <v>2539</v>
      </c>
      <c r="M44" s="2" t="s">
        <v>2537</v>
      </c>
      <c r="N44" t="str">
        <f>TRIM(PROPER(Tabla_auditoría[[#This Row],[ID_Campaña]]))</f>
        <v>Cmp-014</v>
      </c>
      <c r="O44" t="str">
        <f>TRIM(PROPER(Tabla_auditoría[[#This Row],[Canal]]))</f>
        <v>Paid Search</v>
      </c>
      <c r="P44" t="str">
        <f>TRIM(PROPER(Tabla_auditoría[[#This Row],[País]]))</f>
        <v>Francia</v>
      </c>
      <c r="Q44" t="str">
        <f>TRIM(PROPER(Tabla_auditoría[[#This Row],[Dispositivo]]))</f>
        <v>Desktop</v>
      </c>
      <c r="R44" t="str">
        <f>TRIM(PROPER(Tabla_auditoría[[#This Row],[Tipo_Campaña]]))</f>
        <v>Conversión</v>
      </c>
      <c r="S44" t="str">
        <f>TRIM(PROPER(Tabla_auditoría[[#This Row],[Responsable]]))</f>
        <v>Marta López</v>
      </c>
    </row>
    <row r="45" spans="1:19" x14ac:dyDescent="0.3">
      <c r="A45" s="1">
        <v>45784</v>
      </c>
      <c r="B45" s="2" t="s">
        <v>2530</v>
      </c>
      <c r="C45" s="2" t="s">
        <v>2515</v>
      </c>
      <c r="D45" s="2" t="s">
        <v>2528</v>
      </c>
      <c r="E45" s="2" t="s">
        <v>2529</v>
      </c>
      <c r="F45" s="3">
        <v>160559</v>
      </c>
      <c r="G45" s="3">
        <v>8096</v>
      </c>
      <c r="H45" s="3">
        <v>866</v>
      </c>
      <c r="I45" s="4">
        <v>14024.15</v>
      </c>
      <c r="J45" s="4">
        <v>165614.97</v>
      </c>
      <c r="K45" s="3">
        <v>406</v>
      </c>
      <c r="L45" s="2" t="s">
        <v>2523</v>
      </c>
      <c r="M45" s="2" t="s">
        <v>2524</v>
      </c>
      <c r="N45" t="str">
        <f>TRIM(PROPER(Tabla_auditoría[[#This Row],[ID_Campaña]]))</f>
        <v>Cmp-026</v>
      </c>
      <c r="O45" t="str">
        <f>TRIM(PROPER(Tabla_auditoría[[#This Row],[Canal]]))</f>
        <v>Email</v>
      </c>
      <c r="P45" t="str">
        <f>TRIM(PROPER(Tabla_auditoría[[#This Row],[País]]))</f>
        <v>España</v>
      </c>
      <c r="Q45" t="str">
        <f>TRIM(PROPER(Tabla_auditoría[[#This Row],[Dispositivo]]))</f>
        <v>Mobile</v>
      </c>
      <c r="R45" t="str">
        <f>TRIM(PROPER(Tabla_auditoría[[#This Row],[Tipo_Campaña]]))</f>
        <v>Retención</v>
      </c>
      <c r="S45" t="str">
        <f>TRIM(PROPER(Tabla_auditoría[[#This Row],[Responsable]]))</f>
        <v>Luis Martín</v>
      </c>
    </row>
    <row r="46" spans="1:19" x14ac:dyDescent="0.3">
      <c r="A46" s="1">
        <v>46010</v>
      </c>
      <c r="B46" s="2" t="s">
        <v>2545</v>
      </c>
      <c r="C46" s="2" t="s">
        <v>2543</v>
      </c>
      <c r="D46" s="2" t="s">
        <v>2522</v>
      </c>
      <c r="E46" s="2" t="s">
        <v>2534</v>
      </c>
      <c r="F46" s="3">
        <v>134062</v>
      </c>
      <c r="G46" s="3">
        <v>11816</v>
      </c>
      <c r="H46" s="3">
        <v>1010</v>
      </c>
      <c r="I46" s="4">
        <v>23456.15</v>
      </c>
      <c r="J46" s="4">
        <v>139056.15</v>
      </c>
      <c r="K46" s="3">
        <v>867</v>
      </c>
      <c r="L46" s="2" t="s">
        <v>2523</v>
      </c>
      <c r="M46" s="2" t="s">
        <v>2519</v>
      </c>
      <c r="N46" t="str">
        <f>TRIM(PROPER(Tabla_auditoría[[#This Row],[ID_Campaña]]))</f>
        <v>Cmp-011</v>
      </c>
      <c r="O46" t="str">
        <f>TRIM(PROPER(Tabla_auditoría[[#This Row],[Canal]]))</f>
        <v>Organic Social</v>
      </c>
      <c r="P46" t="str">
        <f>TRIM(PROPER(Tabla_auditoría[[#This Row],[País]]))</f>
        <v>Italia</v>
      </c>
      <c r="Q46" t="str">
        <f>TRIM(PROPER(Tabla_auditoría[[#This Row],[Dispositivo]]))</f>
        <v>Tablet</v>
      </c>
      <c r="R46" t="str">
        <f>TRIM(PROPER(Tabla_auditoría[[#This Row],[Tipo_Campaña]]))</f>
        <v>Retención</v>
      </c>
      <c r="S46" t="str">
        <f>TRIM(PROPER(Tabla_auditoría[[#This Row],[Responsable]]))</f>
        <v>Carlos Ruiz</v>
      </c>
    </row>
    <row r="47" spans="1:19" x14ac:dyDescent="0.3">
      <c r="A47" s="1">
        <v>45662</v>
      </c>
      <c r="B47" s="2" t="s">
        <v>2556</v>
      </c>
      <c r="C47" s="2" t="s">
        <v>2533</v>
      </c>
      <c r="D47" s="2" t="s">
        <v>2531</v>
      </c>
      <c r="E47" s="2" t="s">
        <v>2529</v>
      </c>
      <c r="F47" s="3">
        <v>80985</v>
      </c>
      <c r="G47" s="3">
        <v>3516</v>
      </c>
      <c r="H47" s="3">
        <v>69</v>
      </c>
      <c r="I47" s="4">
        <v>1147.83</v>
      </c>
      <c r="J47" s="4">
        <v>7612.07</v>
      </c>
      <c r="K47" s="3">
        <v>57</v>
      </c>
      <c r="L47" s="2" t="s">
        <v>2536</v>
      </c>
      <c r="M47" s="2" t="s">
        <v>2519</v>
      </c>
      <c r="N47" t="str">
        <f>TRIM(PROPER(Tabla_auditoría[[#This Row],[ID_Campaña]]))</f>
        <v>Cmp-014</v>
      </c>
      <c r="O47" t="str">
        <f>TRIM(PROPER(Tabla_auditoría[[#This Row],[Canal]]))</f>
        <v>Paid Social</v>
      </c>
      <c r="P47" t="str">
        <f>TRIM(PROPER(Tabla_auditoría[[#This Row],[País]]))</f>
        <v>Portugal</v>
      </c>
      <c r="Q47" t="str">
        <f>TRIM(PROPER(Tabla_auditoría[[#This Row],[Dispositivo]]))</f>
        <v>Mobile</v>
      </c>
      <c r="R47" t="str">
        <f>TRIM(PROPER(Tabla_auditoría[[#This Row],[Tipo_Campaña]]))</f>
        <v>Reconocimiento</v>
      </c>
      <c r="S47" t="str">
        <f>TRIM(PROPER(Tabla_auditoría[[#This Row],[Responsable]]))</f>
        <v>Carlos Ruiz</v>
      </c>
    </row>
    <row r="48" spans="1:19" x14ac:dyDescent="0.3">
      <c r="A48" s="1">
        <v>45860</v>
      </c>
      <c r="B48" s="2" t="s">
        <v>2563</v>
      </c>
      <c r="C48" s="2" t="s">
        <v>2521</v>
      </c>
      <c r="D48" s="2" t="s">
        <v>2516</v>
      </c>
      <c r="E48" s="2" t="s">
        <v>2534</v>
      </c>
      <c r="F48" s="3">
        <v>172110</v>
      </c>
      <c r="G48" s="3">
        <v>4863</v>
      </c>
      <c r="H48" s="3">
        <v>151</v>
      </c>
      <c r="I48" s="4">
        <v>4544.82</v>
      </c>
      <c r="J48" s="4">
        <v>12852.56</v>
      </c>
      <c r="K48" s="3">
        <v>78</v>
      </c>
      <c r="L48" s="2" t="s">
        <v>2539</v>
      </c>
      <c r="M48" s="2" t="s">
        <v>2537</v>
      </c>
      <c r="N48" t="str">
        <f>TRIM(PROPER(Tabla_auditoría[[#This Row],[ID_Campaña]]))</f>
        <v>Cmp-023</v>
      </c>
      <c r="O48" t="str">
        <f>TRIM(PROPER(Tabla_auditoría[[#This Row],[Canal]]))</f>
        <v>Paid Search</v>
      </c>
      <c r="P48" t="str">
        <f>TRIM(PROPER(Tabla_auditoría[[#This Row],[País]]))</f>
        <v>México</v>
      </c>
      <c r="Q48" t="str">
        <f>TRIM(PROPER(Tabla_auditoría[[#This Row],[Dispositivo]]))</f>
        <v>Tablet</v>
      </c>
      <c r="R48" t="str">
        <f>TRIM(PROPER(Tabla_auditoría[[#This Row],[Tipo_Campaña]]))</f>
        <v>Conversión</v>
      </c>
      <c r="S48" t="str">
        <f>TRIM(PROPER(Tabla_auditoría[[#This Row],[Responsable]]))</f>
        <v>Marta López</v>
      </c>
    </row>
    <row r="49" spans="1:19" x14ac:dyDescent="0.3">
      <c r="A49" s="1">
        <v>45840</v>
      </c>
      <c r="B49" s="2" t="s">
        <v>2556</v>
      </c>
      <c r="C49" s="2" t="s">
        <v>2533</v>
      </c>
      <c r="D49" s="2" t="s">
        <v>2528</v>
      </c>
      <c r="E49" s="2" t="s">
        <v>2559</v>
      </c>
      <c r="F49" s="3">
        <v>52772</v>
      </c>
      <c r="G49" s="3">
        <v>2897</v>
      </c>
      <c r="H49" s="3">
        <v>134</v>
      </c>
      <c r="I49" s="4">
        <v>5137.29</v>
      </c>
      <c r="J49" s="4">
        <v>11255.29</v>
      </c>
      <c r="K49" s="3">
        <v>68</v>
      </c>
      <c r="L49" s="2" t="s">
        <v>2523</v>
      </c>
      <c r="M49" s="2" t="s">
        <v>2519</v>
      </c>
      <c r="N49" t="str">
        <f>TRIM(PROPER(Tabla_auditoría[[#This Row],[ID_Campaña]]))</f>
        <v>Cmp-014</v>
      </c>
      <c r="O49" t="str">
        <f>TRIM(PROPER(Tabla_auditoría[[#This Row],[Canal]]))</f>
        <v>Paid Social</v>
      </c>
      <c r="P49" t="str">
        <f>TRIM(PROPER(Tabla_auditoría[[#This Row],[País]]))</f>
        <v>España</v>
      </c>
      <c r="Q49" t="str">
        <f>TRIM(PROPER(Tabla_auditoría[[#This Row],[Dispositivo]]))</f>
        <v>Desktop</v>
      </c>
      <c r="R49" t="str">
        <f>TRIM(PROPER(Tabla_auditoría[[#This Row],[Tipo_Campaña]]))</f>
        <v>Retención</v>
      </c>
      <c r="S49" t="str">
        <f>TRIM(PROPER(Tabla_auditoría[[#This Row],[Responsable]]))</f>
        <v>Carlos Ruiz</v>
      </c>
    </row>
    <row r="50" spans="1:19" x14ac:dyDescent="0.3">
      <c r="A50" s="1">
        <v>45919</v>
      </c>
      <c r="B50" s="2" t="s">
        <v>2564</v>
      </c>
      <c r="C50" s="2" t="s">
        <v>2515</v>
      </c>
      <c r="D50" s="2" t="s">
        <v>2528</v>
      </c>
      <c r="E50" s="2" t="s">
        <v>2517</v>
      </c>
      <c r="F50" s="3">
        <v>96520</v>
      </c>
      <c r="G50" s="3">
        <v>6563</v>
      </c>
      <c r="H50" s="3">
        <v>575</v>
      </c>
      <c r="I50" s="4">
        <v>2726.57</v>
      </c>
      <c r="J50" s="4">
        <v>11899.29</v>
      </c>
      <c r="K50" s="3">
        <v>387</v>
      </c>
      <c r="L50" s="2" t="s">
        <v>2536</v>
      </c>
      <c r="M50" s="2" t="s">
        <v>2519</v>
      </c>
      <c r="N50" t="str">
        <f>TRIM(PROPER(Tabla_auditoría[[#This Row],[ID_Campaña]]))</f>
        <v>Cmp-024</v>
      </c>
      <c r="O50" t="str">
        <f>TRIM(PROPER(Tabla_auditoría[[#This Row],[Canal]]))</f>
        <v>Email</v>
      </c>
      <c r="P50" t="str">
        <f>TRIM(PROPER(Tabla_auditoría[[#This Row],[País]]))</f>
        <v>España</v>
      </c>
      <c r="Q50" t="str">
        <f>TRIM(PROPER(Tabla_auditoría[[#This Row],[Dispositivo]]))</f>
        <v>Desktop</v>
      </c>
      <c r="R50" t="str">
        <f>TRIM(PROPER(Tabla_auditoría[[#This Row],[Tipo_Campaña]]))</f>
        <v>Reconocimiento</v>
      </c>
      <c r="S50" t="str">
        <f>TRIM(PROPER(Tabla_auditoría[[#This Row],[Responsable]]))</f>
        <v>Carlos Ruiz</v>
      </c>
    </row>
    <row r="51" spans="1:19" x14ac:dyDescent="0.3">
      <c r="A51" s="1">
        <v>45906</v>
      </c>
      <c r="B51" s="2" t="s">
        <v>2544</v>
      </c>
      <c r="C51" s="2" t="s">
        <v>2521</v>
      </c>
      <c r="D51" s="2" t="s">
        <v>2525</v>
      </c>
      <c r="E51" s="2" t="s">
        <v>2529</v>
      </c>
      <c r="F51" s="3">
        <v>12544</v>
      </c>
      <c r="G51" s="3">
        <v>523</v>
      </c>
      <c r="H51" s="3">
        <v>43</v>
      </c>
      <c r="I51" s="4">
        <v>424.74</v>
      </c>
      <c r="J51" s="4">
        <v>763.12</v>
      </c>
      <c r="K51" s="3">
        <v>20</v>
      </c>
      <c r="L51" s="2" t="s">
        <v>2539</v>
      </c>
      <c r="M51" s="2" t="s">
        <v>2519</v>
      </c>
      <c r="N51" t="str">
        <f>TRIM(PROPER(Tabla_auditoría[[#This Row],[ID_Campaña]]))</f>
        <v>Cmp-006</v>
      </c>
      <c r="O51" t="str">
        <f>TRIM(PROPER(Tabla_auditoría[[#This Row],[Canal]]))</f>
        <v>Paid Search</v>
      </c>
      <c r="P51" t="str">
        <f>TRIM(PROPER(Tabla_auditoría[[#This Row],[País]]))</f>
        <v>Francia</v>
      </c>
      <c r="Q51" t="str">
        <f>TRIM(PROPER(Tabla_auditoría[[#This Row],[Dispositivo]]))</f>
        <v>Mobile</v>
      </c>
      <c r="R51" t="str">
        <f>TRIM(PROPER(Tabla_auditoría[[#This Row],[Tipo_Campaña]]))</f>
        <v>Conversión</v>
      </c>
      <c r="S51" t="str">
        <f>TRIM(PROPER(Tabla_auditoría[[#This Row],[Responsable]]))</f>
        <v>Carlos Ruiz</v>
      </c>
    </row>
    <row r="52" spans="1:19" x14ac:dyDescent="0.3">
      <c r="A52" s="1">
        <v>45941</v>
      </c>
      <c r="B52" s="2" t="s">
        <v>2556</v>
      </c>
      <c r="C52" s="2" t="s">
        <v>2533</v>
      </c>
      <c r="D52" s="2" t="s">
        <v>2516</v>
      </c>
      <c r="E52" s="2" t="s">
        <v>2517</v>
      </c>
      <c r="F52" s="3">
        <v>47739</v>
      </c>
      <c r="G52" s="3">
        <v>1011</v>
      </c>
      <c r="H52" s="3">
        <v>134</v>
      </c>
      <c r="I52" s="4">
        <v>1917.9</v>
      </c>
      <c r="J52" s="4">
        <v>24435.95</v>
      </c>
      <c r="K52" s="3">
        <v>73</v>
      </c>
      <c r="L52" s="2" t="s">
        <v>2539</v>
      </c>
      <c r="M52" s="2" t="s">
        <v>2537</v>
      </c>
      <c r="N52" t="str">
        <f>TRIM(PROPER(Tabla_auditoría[[#This Row],[ID_Campaña]]))</f>
        <v>Cmp-014</v>
      </c>
      <c r="O52" t="str">
        <f>TRIM(PROPER(Tabla_auditoría[[#This Row],[Canal]]))</f>
        <v>Paid Social</v>
      </c>
      <c r="P52" t="str">
        <f>TRIM(PROPER(Tabla_auditoría[[#This Row],[País]]))</f>
        <v>México</v>
      </c>
      <c r="Q52" t="str">
        <f>TRIM(PROPER(Tabla_auditoría[[#This Row],[Dispositivo]]))</f>
        <v>Desktop</v>
      </c>
      <c r="R52" t="str">
        <f>TRIM(PROPER(Tabla_auditoría[[#This Row],[Tipo_Campaña]]))</f>
        <v>Conversión</v>
      </c>
      <c r="S52" t="str">
        <f>TRIM(PROPER(Tabla_auditoría[[#This Row],[Responsable]]))</f>
        <v>Marta López</v>
      </c>
    </row>
    <row r="53" spans="1:19" x14ac:dyDescent="0.3">
      <c r="A53" s="1">
        <v>45800</v>
      </c>
      <c r="B53" s="2" t="s">
        <v>2542</v>
      </c>
      <c r="C53" s="2" t="s">
        <v>2543</v>
      </c>
      <c r="D53" s="2" t="s">
        <v>2528</v>
      </c>
      <c r="E53" s="2" t="s">
        <v>2534</v>
      </c>
      <c r="F53" s="3">
        <v>163458</v>
      </c>
      <c r="G53" s="3">
        <v>4544</v>
      </c>
      <c r="H53" s="3">
        <v>304</v>
      </c>
      <c r="I53" s="4">
        <v>4643.72</v>
      </c>
      <c r="J53" s="4">
        <v>48587.57</v>
      </c>
      <c r="K53" s="3">
        <v>203</v>
      </c>
      <c r="L53" s="2" t="s">
        <v>2523</v>
      </c>
      <c r="M53" s="2" t="s">
        <v>2519</v>
      </c>
      <c r="N53" t="str">
        <f>TRIM(PROPER(Tabla_auditoría[[#This Row],[ID_Campaña]]))</f>
        <v>Cmp-025</v>
      </c>
      <c r="O53" t="str">
        <f>TRIM(PROPER(Tabla_auditoría[[#This Row],[Canal]]))</f>
        <v>Organic Social</v>
      </c>
      <c r="P53" t="str">
        <f>TRIM(PROPER(Tabla_auditoría[[#This Row],[País]]))</f>
        <v>España</v>
      </c>
      <c r="Q53" t="str">
        <f>TRIM(PROPER(Tabla_auditoría[[#This Row],[Dispositivo]]))</f>
        <v>Tablet</v>
      </c>
      <c r="R53" t="str">
        <f>TRIM(PROPER(Tabla_auditoría[[#This Row],[Tipo_Campaña]]))</f>
        <v>Retención</v>
      </c>
      <c r="S53" t="str">
        <f>TRIM(PROPER(Tabla_auditoría[[#This Row],[Responsable]]))</f>
        <v>Carlos Ruiz</v>
      </c>
    </row>
    <row r="54" spans="1:19" x14ac:dyDescent="0.3">
      <c r="A54" s="1">
        <v>45741</v>
      </c>
      <c r="B54" s="2" t="s">
        <v>2565</v>
      </c>
      <c r="C54" s="2" t="s">
        <v>2541</v>
      </c>
      <c r="D54" s="2" t="s">
        <v>2516</v>
      </c>
      <c r="E54" s="2" t="s">
        <v>2517</v>
      </c>
      <c r="F54" s="3">
        <v>87998</v>
      </c>
      <c r="G54" s="3">
        <v>400</v>
      </c>
      <c r="H54" s="3">
        <v>16</v>
      </c>
      <c r="I54" s="4">
        <v>369.77</v>
      </c>
      <c r="J54" s="4">
        <v>2155.19</v>
      </c>
      <c r="K54" s="3">
        <v>11</v>
      </c>
      <c r="L54" s="2" t="s">
        <v>2536</v>
      </c>
      <c r="M54" s="2" t="s">
        <v>2526</v>
      </c>
      <c r="N54" t="str">
        <f>TRIM(PROPER(Tabla_auditoría[[#This Row],[ID_Campaña]]))</f>
        <v>Cmp-005</v>
      </c>
      <c r="O54" t="str">
        <f>TRIM(PROPER(Tabla_auditoría[[#This Row],[Canal]]))</f>
        <v>Display</v>
      </c>
      <c r="P54" t="str">
        <f>TRIM(PROPER(Tabla_auditoría[[#This Row],[País]]))</f>
        <v>México</v>
      </c>
      <c r="Q54" t="str">
        <f>TRIM(PROPER(Tabla_auditoría[[#This Row],[Dispositivo]]))</f>
        <v>Desktop</v>
      </c>
      <c r="R54" t="str">
        <f>TRIM(PROPER(Tabla_auditoría[[#This Row],[Tipo_Campaña]]))</f>
        <v>Reconocimiento</v>
      </c>
      <c r="S54" t="str">
        <f>TRIM(PROPER(Tabla_auditoría[[#This Row],[Responsable]]))</f>
        <v>Laura Pérez</v>
      </c>
    </row>
    <row r="55" spans="1:19" x14ac:dyDescent="0.3">
      <c r="A55" s="1">
        <v>45850</v>
      </c>
      <c r="B55" s="2" t="s">
        <v>2566</v>
      </c>
      <c r="C55" s="2" t="s">
        <v>2521</v>
      </c>
      <c r="D55" s="2" t="s">
        <v>2516</v>
      </c>
      <c r="E55" s="2" t="s">
        <v>2517</v>
      </c>
      <c r="F55" s="3">
        <v>22982</v>
      </c>
      <c r="G55" s="3">
        <v>488</v>
      </c>
      <c r="H55" s="3">
        <v>52</v>
      </c>
      <c r="I55" s="4">
        <v>723.46</v>
      </c>
      <c r="J55" s="4">
        <v>10282.51</v>
      </c>
      <c r="K55" s="3">
        <v>32</v>
      </c>
      <c r="L55" s="2" t="s">
        <v>2539</v>
      </c>
      <c r="M55" s="2" t="s">
        <v>2526</v>
      </c>
      <c r="N55" t="str">
        <f>TRIM(PROPER(Tabla_auditoría[[#This Row],[ID_Campaña]]))</f>
        <v>Cmp-001</v>
      </c>
      <c r="O55" t="str">
        <f>TRIM(PROPER(Tabla_auditoría[[#This Row],[Canal]]))</f>
        <v>Paid Search</v>
      </c>
      <c r="P55" t="str">
        <f>TRIM(PROPER(Tabla_auditoría[[#This Row],[País]]))</f>
        <v>México</v>
      </c>
      <c r="Q55" t="str">
        <f>TRIM(PROPER(Tabla_auditoría[[#This Row],[Dispositivo]]))</f>
        <v>Desktop</v>
      </c>
      <c r="R55" t="str">
        <f>TRIM(PROPER(Tabla_auditoría[[#This Row],[Tipo_Campaña]]))</f>
        <v>Conversión</v>
      </c>
      <c r="S55" t="str">
        <f>TRIM(PROPER(Tabla_auditoría[[#This Row],[Responsable]]))</f>
        <v>Laura Pérez</v>
      </c>
    </row>
    <row r="56" spans="1:19" x14ac:dyDescent="0.3">
      <c r="A56" s="1">
        <v>45941</v>
      </c>
      <c r="B56" s="2" t="s">
        <v>2567</v>
      </c>
      <c r="C56" s="2" t="s">
        <v>2527</v>
      </c>
      <c r="D56" s="2" t="s">
        <v>2528</v>
      </c>
      <c r="E56" s="2" t="s">
        <v>2529</v>
      </c>
      <c r="F56" s="3">
        <v>36400</v>
      </c>
      <c r="G56" s="3">
        <v>698</v>
      </c>
      <c r="H56" s="3">
        <v>13</v>
      </c>
      <c r="I56" s="4">
        <v>619.54</v>
      </c>
      <c r="J56" s="4">
        <v>1889.23</v>
      </c>
      <c r="K56" s="3">
        <v>6</v>
      </c>
      <c r="L56" s="2" t="s">
        <v>2539</v>
      </c>
      <c r="M56" s="2" t="s">
        <v>2519</v>
      </c>
      <c r="N56" t="str">
        <f>TRIM(PROPER(Tabla_auditoría[[#This Row],[ID_Campaña]]))</f>
        <v>Cmp-021</v>
      </c>
      <c r="O56" t="str">
        <f>TRIM(PROPER(Tabla_auditoría[[#This Row],[Canal]]))</f>
        <v>Affiliate</v>
      </c>
      <c r="P56" t="str">
        <f>TRIM(PROPER(Tabla_auditoría[[#This Row],[País]]))</f>
        <v>España</v>
      </c>
      <c r="Q56" t="str">
        <f>TRIM(PROPER(Tabla_auditoría[[#This Row],[Dispositivo]]))</f>
        <v>Mobile</v>
      </c>
      <c r="R56" t="str">
        <f>TRIM(PROPER(Tabla_auditoría[[#This Row],[Tipo_Campaña]]))</f>
        <v>Conversión</v>
      </c>
      <c r="S56" t="str">
        <f>TRIM(PROPER(Tabla_auditoría[[#This Row],[Responsable]]))</f>
        <v>Carlos Ruiz</v>
      </c>
    </row>
    <row r="57" spans="1:19" x14ac:dyDescent="0.3">
      <c r="A57" s="1">
        <v>45707</v>
      </c>
      <c r="B57" s="2" t="s">
        <v>2568</v>
      </c>
      <c r="C57" s="2" t="s">
        <v>2533</v>
      </c>
      <c r="D57" s="2" t="s">
        <v>2525</v>
      </c>
      <c r="E57" s="2" t="s">
        <v>2517</v>
      </c>
      <c r="F57" s="3">
        <v>39432</v>
      </c>
      <c r="G57" s="3">
        <v>195</v>
      </c>
      <c r="H57" s="3">
        <v>2</v>
      </c>
      <c r="I57" s="4">
        <v>359.51</v>
      </c>
      <c r="J57" s="4">
        <v>360.95</v>
      </c>
      <c r="K57" s="3">
        <v>1</v>
      </c>
      <c r="L57" s="2" t="s">
        <v>2523</v>
      </c>
      <c r="M57" s="2" t="s">
        <v>2519</v>
      </c>
      <c r="N57" t="str">
        <f>TRIM(PROPER(Tabla_auditoría[[#This Row],[ID_Campaña]]))</f>
        <v>Cmp-020</v>
      </c>
      <c r="O57" t="str">
        <f>TRIM(PROPER(Tabla_auditoría[[#This Row],[Canal]]))</f>
        <v>Paid Social</v>
      </c>
      <c r="P57" t="str">
        <f>TRIM(PROPER(Tabla_auditoría[[#This Row],[País]]))</f>
        <v>Francia</v>
      </c>
      <c r="Q57" t="str">
        <f>TRIM(PROPER(Tabla_auditoría[[#This Row],[Dispositivo]]))</f>
        <v>Desktop</v>
      </c>
      <c r="R57" t="str">
        <f>TRIM(PROPER(Tabla_auditoría[[#This Row],[Tipo_Campaña]]))</f>
        <v>Retención</v>
      </c>
      <c r="S57" t="str">
        <f>TRIM(PROPER(Tabla_auditoría[[#This Row],[Responsable]]))</f>
        <v>Carlos Ruiz</v>
      </c>
    </row>
    <row r="58" spans="1:19" x14ac:dyDescent="0.3">
      <c r="A58" s="1">
        <v>45914</v>
      </c>
      <c r="B58" s="2" t="s">
        <v>2568</v>
      </c>
      <c r="C58" s="2" t="s">
        <v>2533</v>
      </c>
      <c r="D58" s="2" t="s">
        <v>2528</v>
      </c>
      <c r="E58" s="2" t="s">
        <v>2517</v>
      </c>
      <c r="F58" s="3">
        <v>142452</v>
      </c>
      <c r="G58" s="3">
        <v>8914</v>
      </c>
      <c r="H58" s="3">
        <v>761</v>
      </c>
      <c r="I58" s="4">
        <v>17944.189999999999</v>
      </c>
      <c r="J58" s="4">
        <v>61323.71</v>
      </c>
      <c r="K58" s="3">
        <v>450</v>
      </c>
      <c r="L58" s="2" t="s">
        <v>2536</v>
      </c>
      <c r="M58" s="2" t="s">
        <v>2519</v>
      </c>
      <c r="N58" t="str">
        <f>TRIM(PROPER(Tabla_auditoría[[#This Row],[ID_Campaña]]))</f>
        <v>Cmp-020</v>
      </c>
      <c r="O58" t="str">
        <f>TRIM(PROPER(Tabla_auditoría[[#This Row],[Canal]]))</f>
        <v>Paid Social</v>
      </c>
      <c r="P58" t="str">
        <f>TRIM(PROPER(Tabla_auditoría[[#This Row],[País]]))</f>
        <v>España</v>
      </c>
      <c r="Q58" t="str">
        <f>TRIM(PROPER(Tabla_auditoría[[#This Row],[Dispositivo]]))</f>
        <v>Desktop</v>
      </c>
      <c r="R58" t="str">
        <f>TRIM(PROPER(Tabla_auditoría[[#This Row],[Tipo_Campaña]]))</f>
        <v>Reconocimiento</v>
      </c>
      <c r="S58" t="str">
        <f>TRIM(PROPER(Tabla_auditoría[[#This Row],[Responsable]]))</f>
        <v>Carlos Ruiz</v>
      </c>
    </row>
    <row r="59" spans="1:19" x14ac:dyDescent="0.3">
      <c r="A59" s="1">
        <v>45976</v>
      </c>
      <c r="B59" s="2" t="s">
        <v>2556</v>
      </c>
      <c r="C59" s="2" t="s">
        <v>2527</v>
      </c>
      <c r="D59" s="2" t="s">
        <v>2528</v>
      </c>
      <c r="E59" s="2" t="s">
        <v>2529</v>
      </c>
      <c r="F59" s="3">
        <v>102729</v>
      </c>
      <c r="G59" s="3">
        <v>8680</v>
      </c>
      <c r="H59" s="3">
        <v>476</v>
      </c>
      <c r="I59" s="4">
        <v>13309.01</v>
      </c>
      <c r="J59" s="4">
        <v>89911.75</v>
      </c>
      <c r="K59" s="3">
        <v>357</v>
      </c>
      <c r="L59" s="2" t="s">
        <v>2523</v>
      </c>
      <c r="M59" s="2" t="s">
        <v>2546</v>
      </c>
      <c r="N59" t="str">
        <f>TRIM(PROPER(Tabla_auditoría[[#This Row],[ID_Campaña]]))</f>
        <v>Cmp-014</v>
      </c>
      <c r="O59" t="str">
        <f>TRIM(PROPER(Tabla_auditoría[[#This Row],[Canal]]))</f>
        <v>Affiliate</v>
      </c>
      <c r="P59" t="str">
        <f>TRIM(PROPER(Tabla_auditoría[[#This Row],[País]]))</f>
        <v>España</v>
      </c>
      <c r="Q59" t="str">
        <f>TRIM(PROPER(Tabla_auditoría[[#This Row],[Dispositivo]]))</f>
        <v>Mobile</v>
      </c>
      <c r="R59" t="str">
        <f>TRIM(PROPER(Tabla_auditoría[[#This Row],[Tipo_Campaña]]))</f>
        <v>Retención</v>
      </c>
      <c r="S59" t="str">
        <f>TRIM(PROPER(Tabla_auditoría[[#This Row],[Responsable]]))</f>
        <v>Ana García</v>
      </c>
    </row>
    <row r="60" spans="1:19" x14ac:dyDescent="0.3">
      <c r="A60" s="1">
        <v>46018</v>
      </c>
      <c r="B60" s="2" t="s">
        <v>2569</v>
      </c>
      <c r="C60" s="2" t="s">
        <v>2533</v>
      </c>
      <c r="D60" s="2" t="s">
        <v>2522</v>
      </c>
      <c r="E60" s="2" t="s">
        <v>2529</v>
      </c>
      <c r="F60" s="3">
        <v>7852</v>
      </c>
      <c r="G60" s="3">
        <v>278</v>
      </c>
      <c r="H60" s="3">
        <v>36</v>
      </c>
      <c r="I60" s="4">
        <v>151.88999999999999</v>
      </c>
      <c r="J60" s="4">
        <v>5039.9799999999996</v>
      </c>
      <c r="K60" s="3">
        <v>20</v>
      </c>
      <c r="L60" s="2" t="s">
        <v>2539</v>
      </c>
      <c r="M60" s="2" t="s">
        <v>2524</v>
      </c>
      <c r="N60" t="str">
        <f>TRIM(PROPER(Tabla_auditoría[[#This Row],[ID_Campaña]]))</f>
        <v>Cmp-013</v>
      </c>
      <c r="O60" t="str">
        <f>TRIM(PROPER(Tabla_auditoría[[#This Row],[Canal]]))</f>
        <v>Paid Social</v>
      </c>
      <c r="P60" t="str">
        <f>TRIM(PROPER(Tabla_auditoría[[#This Row],[País]]))</f>
        <v>Italia</v>
      </c>
      <c r="Q60" t="str">
        <f>TRIM(PROPER(Tabla_auditoría[[#This Row],[Dispositivo]]))</f>
        <v>Mobile</v>
      </c>
      <c r="R60" t="str">
        <f>TRIM(PROPER(Tabla_auditoría[[#This Row],[Tipo_Campaña]]))</f>
        <v>Conversión</v>
      </c>
      <c r="S60" t="str">
        <f>TRIM(PROPER(Tabla_auditoría[[#This Row],[Responsable]]))</f>
        <v>Luis Martín</v>
      </c>
    </row>
    <row r="61" spans="1:19" x14ac:dyDescent="0.3">
      <c r="A61" s="1">
        <v>45809</v>
      </c>
      <c r="B61" s="2" t="s">
        <v>2552</v>
      </c>
      <c r="C61" s="2" t="s">
        <v>2515</v>
      </c>
      <c r="D61" s="2" t="s">
        <v>2531</v>
      </c>
      <c r="E61" s="2" t="s">
        <v>2517</v>
      </c>
      <c r="F61" s="3">
        <v>143687</v>
      </c>
      <c r="G61" s="3">
        <v>8758</v>
      </c>
      <c r="H61" s="3">
        <v>590</v>
      </c>
      <c r="I61" s="4">
        <v>3260.05</v>
      </c>
      <c r="J61" s="4">
        <v>78308.19</v>
      </c>
      <c r="K61" s="3">
        <v>323</v>
      </c>
      <c r="L61" s="2" t="s">
        <v>2539</v>
      </c>
      <c r="M61" s="2" t="s">
        <v>2537</v>
      </c>
      <c r="N61" t="str">
        <f>TRIM(PROPER(Tabla_auditoría[[#This Row],[ID_Campaña]]))</f>
        <v>Cmp-012</v>
      </c>
      <c r="O61" t="str">
        <f>TRIM(PROPER(Tabla_auditoría[[#This Row],[Canal]]))</f>
        <v>Email</v>
      </c>
      <c r="P61" t="str">
        <f>TRIM(PROPER(Tabla_auditoría[[#This Row],[País]]))</f>
        <v>Portugal</v>
      </c>
      <c r="Q61" t="str">
        <f>TRIM(PROPER(Tabla_auditoría[[#This Row],[Dispositivo]]))</f>
        <v>Desktop</v>
      </c>
      <c r="R61" t="str">
        <f>TRIM(PROPER(Tabla_auditoría[[#This Row],[Tipo_Campaña]]))</f>
        <v>Conversión</v>
      </c>
      <c r="S61" t="str">
        <f>TRIM(PROPER(Tabla_auditoría[[#This Row],[Responsable]]))</f>
        <v>Marta López</v>
      </c>
    </row>
    <row r="62" spans="1:19" x14ac:dyDescent="0.3">
      <c r="A62" s="1">
        <v>45882</v>
      </c>
      <c r="B62" s="2" t="s">
        <v>2570</v>
      </c>
      <c r="C62" s="2" t="s">
        <v>2541</v>
      </c>
      <c r="D62" s="2" t="s">
        <v>2528</v>
      </c>
      <c r="E62" s="2" t="s">
        <v>2517</v>
      </c>
      <c r="F62" s="3">
        <v>78011</v>
      </c>
      <c r="G62" s="3">
        <v>3428</v>
      </c>
      <c r="H62" s="3">
        <v>452</v>
      </c>
      <c r="I62" s="4">
        <v>7029.6</v>
      </c>
      <c r="J62" s="4">
        <v>14793.01</v>
      </c>
      <c r="K62" s="3">
        <v>343</v>
      </c>
      <c r="L62" s="2" t="s">
        <v>2523</v>
      </c>
      <c r="M62" s="2" t="s">
        <v>2526</v>
      </c>
      <c r="N62" t="str">
        <f>TRIM(PROPER(Tabla_auditoría[[#This Row],[ID_Campaña]]))</f>
        <v>Cmp-016</v>
      </c>
      <c r="O62" t="str">
        <f>TRIM(PROPER(Tabla_auditoría[[#This Row],[Canal]]))</f>
        <v>Display</v>
      </c>
      <c r="P62" t="str">
        <f>TRIM(PROPER(Tabla_auditoría[[#This Row],[País]]))</f>
        <v>España</v>
      </c>
      <c r="Q62" t="str">
        <f>TRIM(PROPER(Tabla_auditoría[[#This Row],[Dispositivo]]))</f>
        <v>Desktop</v>
      </c>
      <c r="R62" t="str">
        <f>TRIM(PROPER(Tabla_auditoría[[#This Row],[Tipo_Campaña]]))</f>
        <v>Retención</v>
      </c>
      <c r="S62" t="str">
        <f>TRIM(PROPER(Tabla_auditoría[[#This Row],[Responsable]]))</f>
        <v>Laura Pérez</v>
      </c>
    </row>
    <row r="63" spans="1:19" x14ac:dyDescent="0.3">
      <c r="A63" s="1">
        <v>45702</v>
      </c>
      <c r="B63" s="2" t="s">
        <v>2565</v>
      </c>
      <c r="C63" s="2" t="s">
        <v>2543</v>
      </c>
      <c r="D63" s="2" t="s">
        <v>2525</v>
      </c>
      <c r="E63" s="2" t="s">
        <v>2529</v>
      </c>
      <c r="F63" s="3">
        <v>101430</v>
      </c>
      <c r="G63" s="3">
        <v>3059</v>
      </c>
      <c r="H63" s="3">
        <v>396</v>
      </c>
      <c r="I63" s="4">
        <v>6195.71</v>
      </c>
      <c r="J63" s="4">
        <v>57060.46</v>
      </c>
      <c r="K63" s="3">
        <v>334</v>
      </c>
      <c r="L63" s="2" t="s">
        <v>2539</v>
      </c>
      <c r="M63" s="2" t="s">
        <v>2537</v>
      </c>
      <c r="N63" t="str">
        <f>TRIM(PROPER(Tabla_auditoría[[#This Row],[ID_Campaña]]))</f>
        <v>Cmp-005</v>
      </c>
      <c r="O63" t="str">
        <f>TRIM(PROPER(Tabla_auditoría[[#This Row],[Canal]]))</f>
        <v>Organic Social</v>
      </c>
      <c r="P63" t="str">
        <f>TRIM(PROPER(Tabla_auditoría[[#This Row],[País]]))</f>
        <v>Francia</v>
      </c>
      <c r="Q63" t="str">
        <f>TRIM(PROPER(Tabla_auditoría[[#This Row],[Dispositivo]]))</f>
        <v>Mobile</v>
      </c>
      <c r="R63" t="str">
        <f>TRIM(PROPER(Tabla_auditoría[[#This Row],[Tipo_Campaña]]))</f>
        <v>Conversión</v>
      </c>
      <c r="S63" t="str">
        <f>TRIM(PROPER(Tabla_auditoría[[#This Row],[Responsable]]))</f>
        <v>Marta López</v>
      </c>
    </row>
    <row r="64" spans="1:19" x14ac:dyDescent="0.3">
      <c r="A64" s="1">
        <v>45869</v>
      </c>
      <c r="B64" s="2" t="s">
        <v>2514</v>
      </c>
      <c r="C64" s="2" t="s">
        <v>2541</v>
      </c>
      <c r="D64" s="2" t="s">
        <v>2525</v>
      </c>
      <c r="E64" s="2" t="s">
        <v>2529</v>
      </c>
      <c r="F64" s="3">
        <v>131405</v>
      </c>
      <c r="G64" s="3">
        <v>8184</v>
      </c>
      <c r="H64" s="3">
        <v>574</v>
      </c>
      <c r="I64" s="4">
        <v>10376.290000000001</v>
      </c>
      <c r="J64" s="4">
        <v>58970.85</v>
      </c>
      <c r="K64" s="3">
        <v>338</v>
      </c>
      <c r="L64" s="2" t="s">
        <v>2523</v>
      </c>
      <c r="M64" s="2" t="s">
        <v>2537</v>
      </c>
      <c r="N64" t="str">
        <f>TRIM(PROPER(Tabla_auditoría[[#This Row],[ID_Campaña]]))</f>
        <v>Cmp-002</v>
      </c>
      <c r="O64" t="str">
        <f>TRIM(PROPER(Tabla_auditoría[[#This Row],[Canal]]))</f>
        <v>Display</v>
      </c>
      <c r="P64" t="str">
        <f>TRIM(PROPER(Tabla_auditoría[[#This Row],[País]]))</f>
        <v>Francia</v>
      </c>
      <c r="Q64" t="str">
        <f>TRIM(PROPER(Tabla_auditoría[[#This Row],[Dispositivo]]))</f>
        <v>Mobile</v>
      </c>
      <c r="R64" t="str">
        <f>TRIM(PROPER(Tabla_auditoría[[#This Row],[Tipo_Campaña]]))</f>
        <v>Retención</v>
      </c>
      <c r="S64" t="str">
        <f>TRIM(PROPER(Tabla_auditoría[[#This Row],[Responsable]]))</f>
        <v>Marta López</v>
      </c>
    </row>
    <row r="65" spans="1:19" x14ac:dyDescent="0.3">
      <c r="A65" s="1">
        <v>45884</v>
      </c>
      <c r="B65" s="2" t="s">
        <v>2569</v>
      </c>
      <c r="C65" s="2" t="s">
        <v>2521</v>
      </c>
      <c r="D65" s="2" t="s">
        <v>2528</v>
      </c>
      <c r="E65" s="2" t="s">
        <v>2529</v>
      </c>
      <c r="F65" s="3">
        <v>130442</v>
      </c>
      <c r="G65" s="3">
        <v>8546</v>
      </c>
      <c r="H65" s="3">
        <v>578</v>
      </c>
      <c r="I65" s="4">
        <v>13234.62</v>
      </c>
      <c r="J65" s="4">
        <v>74181.06</v>
      </c>
      <c r="K65" s="3">
        <v>477</v>
      </c>
      <c r="L65" s="2" t="s">
        <v>2536</v>
      </c>
      <c r="M65" s="2" t="s">
        <v>2526</v>
      </c>
      <c r="N65" t="str">
        <f>TRIM(PROPER(Tabla_auditoría[[#This Row],[ID_Campaña]]))</f>
        <v>Cmp-013</v>
      </c>
      <c r="O65" t="str">
        <f>TRIM(PROPER(Tabla_auditoría[[#This Row],[Canal]]))</f>
        <v>Paid Search</v>
      </c>
      <c r="P65" t="str">
        <f>TRIM(PROPER(Tabla_auditoría[[#This Row],[País]]))</f>
        <v>España</v>
      </c>
      <c r="Q65" t="str">
        <f>TRIM(PROPER(Tabla_auditoría[[#This Row],[Dispositivo]]))</f>
        <v>Mobile</v>
      </c>
      <c r="R65" t="str">
        <f>TRIM(PROPER(Tabla_auditoría[[#This Row],[Tipo_Campaña]]))</f>
        <v>Reconocimiento</v>
      </c>
      <c r="S65" t="str">
        <f>TRIM(PROPER(Tabla_auditoría[[#This Row],[Responsable]]))</f>
        <v>Laura Pérez</v>
      </c>
    </row>
    <row r="66" spans="1:19" x14ac:dyDescent="0.3">
      <c r="A66" s="1">
        <v>45798</v>
      </c>
      <c r="B66" s="2" t="s">
        <v>2568</v>
      </c>
      <c r="C66" s="2" t="s">
        <v>2533</v>
      </c>
      <c r="D66" s="2" t="s">
        <v>2528</v>
      </c>
      <c r="E66" s="2" t="s">
        <v>2517</v>
      </c>
      <c r="F66" s="3">
        <v>106661</v>
      </c>
      <c r="G66" s="3">
        <v>2841</v>
      </c>
      <c r="H66" s="3">
        <v>357</v>
      </c>
      <c r="I66" s="4">
        <v>1574.27</v>
      </c>
      <c r="J66" s="4">
        <v>69957.06</v>
      </c>
      <c r="K66" s="3">
        <v>212</v>
      </c>
      <c r="L66" s="2" t="s">
        <v>2539</v>
      </c>
      <c r="M66" s="2" t="s">
        <v>2519</v>
      </c>
      <c r="N66" t="str">
        <f>TRIM(PROPER(Tabla_auditoría[[#This Row],[ID_Campaña]]))</f>
        <v>Cmp-020</v>
      </c>
      <c r="O66" t="str">
        <f>TRIM(PROPER(Tabla_auditoría[[#This Row],[Canal]]))</f>
        <v>Paid Social</v>
      </c>
      <c r="P66" t="str">
        <f>TRIM(PROPER(Tabla_auditoría[[#This Row],[País]]))</f>
        <v>España</v>
      </c>
      <c r="Q66" t="str">
        <f>TRIM(PROPER(Tabla_auditoría[[#This Row],[Dispositivo]]))</f>
        <v>Desktop</v>
      </c>
      <c r="R66" t="str">
        <f>TRIM(PROPER(Tabla_auditoría[[#This Row],[Tipo_Campaña]]))</f>
        <v>Conversión</v>
      </c>
      <c r="S66" t="str">
        <f>TRIM(PROPER(Tabla_auditoría[[#This Row],[Responsable]]))</f>
        <v>Carlos Ruiz</v>
      </c>
    </row>
    <row r="67" spans="1:19" x14ac:dyDescent="0.3">
      <c r="A67" s="1">
        <v>45678</v>
      </c>
      <c r="B67" s="2" t="s">
        <v>2570</v>
      </c>
      <c r="C67" s="2" t="s">
        <v>2527</v>
      </c>
      <c r="D67" s="2" t="s">
        <v>2528</v>
      </c>
      <c r="E67" s="2" t="s">
        <v>2529</v>
      </c>
      <c r="F67" s="3">
        <v>97055</v>
      </c>
      <c r="G67" s="3">
        <v>1101</v>
      </c>
      <c r="H67" s="3">
        <v>105</v>
      </c>
      <c r="I67" s="4">
        <v>1653.64</v>
      </c>
      <c r="J67" s="4">
        <v>9527.19</v>
      </c>
      <c r="K67" s="3">
        <v>72</v>
      </c>
      <c r="L67" s="2" t="s">
        <v>2518</v>
      </c>
      <c r="M67" s="2" t="s">
        <v>2526</v>
      </c>
      <c r="N67" t="str">
        <f>TRIM(PROPER(Tabla_auditoría[[#This Row],[ID_Campaña]]))</f>
        <v>Cmp-016</v>
      </c>
      <c r="O67" t="str">
        <f>TRIM(PROPER(Tabla_auditoría[[#This Row],[Canal]]))</f>
        <v>Affiliate</v>
      </c>
      <c r="P67" t="str">
        <f>TRIM(PROPER(Tabla_auditoría[[#This Row],[País]]))</f>
        <v>España</v>
      </c>
      <c r="Q67" t="str">
        <f>TRIM(PROPER(Tabla_auditoría[[#This Row],[Dispositivo]]))</f>
        <v>Mobile</v>
      </c>
      <c r="R67" t="str">
        <f>TRIM(PROPER(Tabla_auditoría[[#This Row],[Tipo_Campaña]]))</f>
        <v>Adquisición</v>
      </c>
      <c r="S67" t="str">
        <f>TRIM(PROPER(Tabla_auditoría[[#This Row],[Responsable]]))</f>
        <v>Laura Pérez</v>
      </c>
    </row>
    <row r="68" spans="1:19" x14ac:dyDescent="0.3">
      <c r="A68" s="1">
        <v>45886</v>
      </c>
      <c r="B68" s="2" t="s">
        <v>2552</v>
      </c>
      <c r="C68" s="2" t="s">
        <v>2543</v>
      </c>
      <c r="D68" s="2" t="s">
        <v>2516</v>
      </c>
      <c r="E68" s="2" t="s">
        <v>2529</v>
      </c>
      <c r="F68" s="3">
        <v>143820</v>
      </c>
      <c r="G68" s="3">
        <v>12456</v>
      </c>
      <c r="H68" s="3">
        <v>1679</v>
      </c>
      <c r="I68" s="4">
        <v>13393.63</v>
      </c>
      <c r="J68" s="4">
        <v>46663.92</v>
      </c>
      <c r="K68" s="3">
        <v>1062</v>
      </c>
      <c r="L68" s="2" t="s">
        <v>2523</v>
      </c>
      <c r="M68" s="2" t="s">
        <v>2519</v>
      </c>
      <c r="N68" t="str">
        <f>TRIM(PROPER(Tabla_auditoría[[#This Row],[ID_Campaña]]))</f>
        <v>Cmp-012</v>
      </c>
      <c r="O68" t="str">
        <f>TRIM(PROPER(Tabla_auditoría[[#This Row],[Canal]]))</f>
        <v>Organic Social</v>
      </c>
      <c r="P68" t="str">
        <f>TRIM(PROPER(Tabla_auditoría[[#This Row],[País]]))</f>
        <v>México</v>
      </c>
      <c r="Q68" t="str">
        <f>TRIM(PROPER(Tabla_auditoría[[#This Row],[Dispositivo]]))</f>
        <v>Mobile</v>
      </c>
      <c r="R68" t="str">
        <f>TRIM(PROPER(Tabla_auditoría[[#This Row],[Tipo_Campaña]]))</f>
        <v>Retención</v>
      </c>
      <c r="S68" t="str">
        <f>TRIM(PROPER(Tabla_auditoría[[#This Row],[Responsable]]))</f>
        <v>Carlos Ruiz</v>
      </c>
    </row>
    <row r="69" spans="1:19" x14ac:dyDescent="0.3">
      <c r="A69" s="1">
        <v>45948</v>
      </c>
      <c r="B69" s="2" t="s">
        <v>2535</v>
      </c>
      <c r="C69" s="2" t="s">
        <v>2541</v>
      </c>
      <c r="D69" s="2" t="s">
        <v>2522</v>
      </c>
      <c r="E69" s="2" t="s">
        <v>2517</v>
      </c>
      <c r="F69" s="3">
        <v>156599</v>
      </c>
      <c r="G69" s="3">
        <v>4886</v>
      </c>
      <c r="H69" s="3">
        <v>403</v>
      </c>
      <c r="I69" s="4">
        <v>5879.31</v>
      </c>
      <c r="J69" s="4">
        <v>53974.45</v>
      </c>
      <c r="K69" s="3">
        <v>261</v>
      </c>
      <c r="L69" s="2" t="s">
        <v>2536</v>
      </c>
      <c r="M69" s="2" t="s">
        <v>2526</v>
      </c>
      <c r="N69" t="str">
        <f>TRIM(PROPER(Tabla_auditoría[[#This Row],[ID_Campaña]]))</f>
        <v>Cmp-015</v>
      </c>
      <c r="O69" t="str">
        <f>TRIM(PROPER(Tabla_auditoría[[#This Row],[Canal]]))</f>
        <v>Display</v>
      </c>
      <c r="P69" t="str">
        <f>TRIM(PROPER(Tabla_auditoría[[#This Row],[País]]))</f>
        <v>Italia</v>
      </c>
      <c r="Q69" t="str">
        <f>TRIM(PROPER(Tabla_auditoría[[#This Row],[Dispositivo]]))</f>
        <v>Desktop</v>
      </c>
      <c r="R69" t="str">
        <f>TRIM(PROPER(Tabla_auditoría[[#This Row],[Tipo_Campaña]]))</f>
        <v>Reconocimiento</v>
      </c>
      <c r="S69" t="str">
        <f>TRIM(PROPER(Tabla_auditoría[[#This Row],[Responsable]]))</f>
        <v>Laura Pérez</v>
      </c>
    </row>
    <row r="70" spans="1:19" x14ac:dyDescent="0.3">
      <c r="A70" s="1">
        <v>45771</v>
      </c>
      <c r="B70" s="2" t="s">
        <v>2555</v>
      </c>
      <c r="C70" s="2" t="s">
        <v>2543</v>
      </c>
      <c r="D70" s="2" t="s">
        <v>2525</v>
      </c>
      <c r="E70" s="2" t="s">
        <v>2517</v>
      </c>
      <c r="F70" s="3">
        <v>146138</v>
      </c>
      <c r="G70" s="3">
        <v>7737</v>
      </c>
      <c r="H70" s="3">
        <v>949</v>
      </c>
      <c r="I70" s="4">
        <v>6548.8</v>
      </c>
      <c r="J70" s="4">
        <v>123026.44</v>
      </c>
      <c r="K70" s="3">
        <v>625</v>
      </c>
      <c r="L70" s="2" t="s">
        <v>2523</v>
      </c>
      <c r="M70" s="2" t="s">
        <v>2546</v>
      </c>
      <c r="N70" t="str">
        <f>TRIM(PROPER(Tabla_auditoría[[#This Row],[ID_Campaña]]))</f>
        <v>Cmp-010</v>
      </c>
      <c r="O70" t="str">
        <f>TRIM(PROPER(Tabla_auditoría[[#This Row],[Canal]]))</f>
        <v>Organic Social</v>
      </c>
      <c r="P70" t="str">
        <f>TRIM(PROPER(Tabla_auditoría[[#This Row],[País]]))</f>
        <v>Francia</v>
      </c>
      <c r="Q70" t="str">
        <f>TRIM(PROPER(Tabla_auditoría[[#This Row],[Dispositivo]]))</f>
        <v>Desktop</v>
      </c>
      <c r="R70" t="str">
        <f>TRIM(PROPER(Tabla_auditoría[[#This Row],[Tipo_Campaña]]))</f>
        <v>Retención</v>
      </c>
      <c r="S70" t="str">
        <f>TRIM(PROPER(Tabla_auditoría[[#This Row],[Responsable]]))</f>
        <v>Ana García</v>
      </c>
    </row>
    <row r="71" spans="1:19" x14ac:dyDescent="0.3">
      <c r="A71" s="1">
        <v>45998</v>
      </c>
      <c r="B71" s="2" t="s">
        <v>2571</v>
      </c>
      <c r="C71" s="2" t="s">
        <v>2543</v>
      </c>
      <c r="D71" s="2" t="s">
        <v>2528</v>
      </c>
      <c r="E71" s="2" t="s">
        <v>2529</v>
      </c>
      <c r="F71" s="3">
        <v>95481</v>
      </c>
      <c r="G71" s="3">
        <v>1518</v>
      </c>
      <c r="H71" s="3">
        <v>95</v>
      </c>
      <c r="I71" s="4">
        <v>1000.65</v>
      </c>
      <c r="J71" s="4">
        <v>2508.0500000000002</v>
      </c>
      <c r="K71" s="3">
        <v>48</v>
      </c>
      <c r="L71" s="2" t="s">
        <v>2518</v>
      </c>
      <c r="M71" s="2" t="s">
        <v>2537</v>
      </c>
      <c r="N71" t="str">
        <f>TRIM(PROPER(Tabla_auditoría[[#This Row],[ID_Campaña]]))</f>
        <v>Cmp-029</v>
      </c>
      <c r="O71" t="str">
        <f>TRIM(PROPER(Tabla_auditoría[[#This Row],[Canal]]))</f>
        <v>Organic Social</v>
      </c>
      <c r="P71" t="str">
        <f>TRIM(PROPER(Tabla_auditoría[[#This Row],[País]]))</f>
        <v>España</v>
      </c>
      <c r="Q71" t="str">
        <f>TRIM(PROPER(Tabla_auditoría[[#This Row],[Dispositivo]]))</f>
        <v>Mobile</v>
      </c>
      <c r="R71" t="str">
        <f>TRIM(PROPER(Tabla_auditoría[[#This Row],[Tipo_Campaña]]))</f>
        <v>Adquisición</v>
      </c>
      <c r="S71" t="str">
        <f>TRIM(PROPER(Tabla_auditoría[[#This Row],[Responsable]]))</f>
        <v>Marta López</v>
      </c>
    </row>
    <row r="72" spans="1:19" x14ac:dyDescent="0.3">
      <c r="A72" s="1">
        <v>45934</v>
      </c>
      <c r="B72" s="2" t="s">
        <v>2563</v>
      </c>
      <c r="C72" s="2" t="s">
        <v>2527</v>
      </c>
      <c r="D72" s="2" t="s">
        <v>2528</v>
      </c>
      <c r="E72" s="2" t="s">
        <v>2517</v>
      </c>
      <c r="F72" s="3">
        <v>83550</v>
      </c>
      <c r="G72" s="3">
        <v>7172</v>
      </c>
      <c r="H72" s="3">
        <v>217</v>
      </c>
      <c r="I72" s="4">
        <v>3758.29</v>
      </c>
      <c r="J72" s="4">
        <v>34404</v>
      </c>
      <c r="K72" s="3">
        <v>121</v>
      </c>
      <c r="L72" s="2" t="s">
        <v>2539</v>
      </c>
      <c r="M72" s="2" t="s">
        <v>2526</v>
      </c>
      <c r="N72" t="str">
        <f>TRIM(PROPER(Tabla_auditoría[[#This Row],[ID_Campaña]]))</f>
        <v>Cmp-023</v>
      </c>
      <c r="O72" t="str">
        <f>TRIM(PROPER(Tabla_auditoría[[#This Row],[Canal]]))</f>
        <v>Affiliate</v>
      </c>
      <c r="P72" t="str">
        <f>TRIM(PROPER(Tabla_auditoría[[#This Row],[País]]))</f>
        <v>España</v>
      </c>
      <c r="Q72" t="str">
        <f>TRIM(PROPER(Tabla_auditoría[[#This Row],[Dispositivo]]))</f>
        <v>Desktop</v>
      </c>
      <c r="R72" t="str">
        <f>TRIM(PROPER(Tabla_auditoría[[#This Row],[Tipo_Campaña]]))</f>
        <v>Conversión</v>
      </c>
      <c r="S72" t="str">
        <f>TRIM(PROPER(Tabla_auditoría[[#This Row],[Responsable]]))</f>
        <v>Laura Pérez</v>
      </c>
    </row>
    <row r="73" spans="1:19" x14ac:dyDescent="0.3">
      <c r="A73" s="1">
        <v>45829</v>
      </c>
      <c r="B73" s="2" t="s">
        <v>2550</v>
      </c>
      <c r="C73" s="2" t="s">
        <v>2515</v>
      </c>
      <c r="D73" s="2" t="s">
        <v>2522</v>
      </c>
      <c r="E73" s="2" t="s">
        <v>2534</v>
      </c>
      <c r="F73" s="3">
        <v>137916</v>
      </c>
      <c r="G73" s="3">
        <v>6514</v>
      </c>
      <c r="H73" s="3">
        <v>592</v>
      </c>
      <c r="I73" s="4">
        <v>4804.74</v>
      </c>
      <c r="J73" s="4">
        <v>20376.89</v>
      </c>
      <c r="K73" s="3">
        <v>450</v>
      </c>
      <c r="L73" s="2" t="s">
        <v>2518</v>
      </c>
      <c r="M73" s="2" t="s">
        <v>2524</v>
      </c>
      <c r="N73" t="str">
        <f>TRIM(PROPER(Tabla_auditoría[[#This Row],[ID_Campaña]]))</f>
        <v>Cmp-008</v>
      </c>
      <c r="O73" t="str">
        <f>TRIM(PROPER(Tabla_auditoría[[#This Row],[Canal]]))</f>
        <v>Email</v>
      </c>
      <c r="P73" t="str">
        <f>TRIM(PROPER(Tabla_auditoría[[#This Row],[País]]))</f>
        <v>Italia</v>
      </c>
      <c r="Q73" t="str">
        <f>TRIM(PROPER(Tabla_auditoría[[#This Row],[Dispositivo]]))</f>
        <v>Tablet</v>
      </c>
      <c r="R73" t="str">
        <f>TRIM(PROPER(Tabla_auditoría[[#This Row],[Tipo_Campaña]]))</f>
        <v>Adquisición</v>
      </c>
      <c r="S73" t="str">
        <f>TRIM(PROPER(Tabla_auditoría[[#This Row],[Responsable]]))</f>
        <v>Luis Martín</v>
      </c>
    </row>
    <row r="74" spans="1:19" x14ac:dyDescent="0.3">
      <c r="A74" s="1">
        <v>45949</v>
      </c>
      <c r="B74" s="2" t="s">
        <v>2532</v>
      </c>
      <c r="C74" s="2" t="s">
        <v>2515</v>
      </c>
      <c r="D74" s="2" t="s">
        <v>2525</v>
      </c>
      <c r="E74" s="2" t="s">
        <v>2529</v>
      </c>
      <c r="F74" s="3">
        <v>164370</v>
      </c>
      <c r="G74" s="3">
        <v>9643</v>
      </c>
      <c r="H74" s="3">
        <v>1013</v>
      </c>
      <c r="I74" s="4">
        <v>7211.11</v>
      </c>
      <c r="J74" s="4">
        <v>123210.79</v>
      </c>
      <c r="K74" s="3">
        <v>702</v>
      </c>
      <c r="L74" s="2" t="s">
        <v>2523</v>
      </c>
      <c r="M74" s="2" t="s">
        <v>2524</v>
      </c>
      <c r="N74" t="str">
        <f>TRIM(PROPER(Tabla_auditoría[[#This Row],[ID_Campaña]]))</f>
        <v>Cmp-022</v>
      </c>
      <c r="O74" t="str">
        <f>TRIM(PROPER(Tabla_auditoría[[#This Row],[Canal]]))</f>
        <v>Email</v>
      </c>
      <c r="P74" t="str">
        <f>TRIM(PROPER(Tabla_auditoría[[#This Row],[País]]))</f>
        <v>Francia</v>
      </c>
      <c r="Q74" t="str">
        <f>TRIM(PROPER(Tabla_auditoría[[#This Row],[Dispositivo]]))</f>
        <v>Mobile</v>
      </c>
      <c r="R74" t="str">
        <f>TRIM(PROPER(Tabla_auditoría[[#This Row],[Tipo_Campaña]]))</f>
        <v>Retención</v>
      </c>
      <c r="S74" t="str">
        <f>TRIM(PROPER(Tabla_auditoría[[#This Row],[Responsable]]))</f>
        <v>Luis Martín</v>
      </c>
    </row>
    <row r="75" spans="1:19" x14ac:dyDescent="0.3">
      <c r="A75" s="1">
        <v>45855</v>
      </c>
      <c r="B75" s="2" t="s">
        <v>2563</v>
      </c>
      <c r="C75" s="2" t="s">
        <v>2533</v>
      </c>
      <c r="D75" s="2" t="s">
        <v>2528</v>
      </c>
      <c r="E75" s="2" t="s">
        <v>2517</v>
      </c>
      <c r="F75" s="3">
        <v>17033</v>
      </c>
      <c r="G75" s="3">
        <v>407</v>
      </c>
      <c r="H75" s="3">
        <v>36</v>
      </c>
      <c r="I75" s="4">
        <v>423.88</v>
      </c>
      <c r="J75" s="4">
        <v>1569.98</v>
      </c>
      <c r="K75" s="3">
        <v>19</v>
      </c>
      <c r="L75" s="2" t="s">
        <v>2536</v>
      </c>
      <c r="M75" s="2" t="s">
        <v>2537</v>
      </c>
      <c r="N75" t="str">
        <f>TRIM(PROPER(Tabla_auditoría[[#This Row],[ID_Campaña]]))</f>
        <v>Cmp-023</v>
      </c>
      <c r="O75" t="str">
        <f>TRIM(PROPER(Tabla_auditoría[[#This Row],[Canal]]))</f>
        <v>Paid Social</v>
      </c>
      <c r="P75" t="str">
        <f>TRIM(PROPER(Tabla_auditoría[[#This Row],[País]]))</f>
        <v>España</v>
      </c>
      <c r="Q75" t="str">
        <f>TRIM(PROPER(Tabla_auditoría[[#This Row],[Dispositivo]]))</f>
        <v>Desktop</v>
      </c>
      <c r="R75" t="str">
        <f>TRIM(PROPER(Tabla_auditoría[[#This Row],[Tipo_Campaña]]))</f>
        <v>Reconocimiento</v>
      </c>
      <c r="S75" t="str">
        <f>TRIM(PROPER(Tabla_auditoría[[#This Row],[Responsable]]))</f>
        <v>Marta López</v>
      </c>
    </row>
    <row r="76" spans="1:19" x14ac:dyDescent="0.3">
      <c r="A76" s="1">
        <v>45808</v>
      </c>
      <c r="B76" s="2" t="s">
        <v>2551</v>
      </c>
      <c r="C76" s="2" t="s">
        <v>2541</v>
      </c>
      <c r="D76" s="2" t="s">
        <v>2528</v>
      </c>
      <c r="E76" s="2" t="s">
        <v>2529</v>
      </c>
      <c r="F76" s="3">
        <v>165163</v>
      </c>
      <c r="G76" s="3">
        <v>6066</v>
      </c>
      <c r="H76" s="3">
        <v>257</v>
      </c>
      <c r="I76" s="4">
        <v>1640.69</v>
      </c>
      <c r="J76" s="4">
        <v>7248.36</v>
      </c>
      <c r="K76" s="3">
        <v>132</v>
      </c>
      <c r="L76" s="2" t="s">
        <v>2523</v>
      </c>
      <c r="M76" s="2" t="s">
        <v>2526</v>
      </c>
      <c r="N76" t="str">
        <f>TRIM(PROPER(Tabla_auditoría[[#This Row],[ID_Campaña]]))</f>
        <v>Cmp-028</v>
      </c>
      <c r="O76" t="str">
        <f>TRIM(PROPER(Tabla_auditoría[[#This Row],[Canal]]))</f>
        <v>Display</v>
      </c>
      <c r="P76" t="str">
        <f>TRIM(PROPER(Tabla_auditoría[[#This Row],[País]]))</f>
        <v>España</v>
      </c>
      <c r="Q76" t="str">
        <f>TRIM(PROPER(Tabla_auditoría[[#This Row],[Dispositivo]]))</f>
        <v>Mobile</v>
      </c>
      <c r="R76" t="str">
        <f>TRIM(PROPER(Tabla_auditoría[[#This Row],[Tipo_Campaña]]))</f>
        <v>Retención</v>
      </c>
      <c r="S76" t="str">
        <f>TRIM(PROPER(Tabla_auditoría[[#This Row],[Responsable]]))</f>
        <v>Laura Pérez</v>
      </c>
    </row>
    <row r="77" spans="1:19" x14ac:dyDescent="0.3">
      <c r="A77" s="1">
        <v>45956</v>
      </c>
      <c r="B77" s="2" t="s">
        <v>2530</v>
      </c>
      <c r="C77" s="2" t="s">
        <v>2533</v>
      </c>
      <c r="D77" s="2" t="s">
        <v>2528</v>
      </c>
      <c r="E77" s="2" t="s">
        <v>2529</v>
      </c>
      <c r="F77" s="3">
        <v>164400</v>
      </c>
      <c r="G77" s="3">
        <v>8064</v>
      </c>
      <c r="H77" s="3">
        <v>247</v>
      </c>
      <c r="I77" s="4">
        <v>13717.53</v>
      </c>
      <c r="J77" s="4">
        <v>49833.79</v>
      </c>
      <c r="K77" s="3">
        <v>124</v>
      </c>
      <c r="L77" s="2" t="s">
        <v>2536</v>
      </c>
      <c r="M77" s="2" t="s">
        <v>2537</v>
      </c>
      <c r="N77" t="str">
        <f>TRIM(PROPER(Tabla_auditoría[[#This Row],[ID_Campaña]]))</f>
        <v>Cmp-026</v>
      </c>
      <c r="O77" t="str">
        <f>TRIM(PROPER(Tabla_auditoría[[#This Row],[Canal]]))</f>
        <v>Paid Social</v>
      </c>
      <c r="P77" t="str">
        <f>TRIM(PROPER(Tabla_auditoría[[#This Row],[País]]))</f>
        <v>España</v>
      </c>
      <c r="Q77" t="str">
        <f>TRIM(PROPER(Tabla_auditoría[[#This Row],[Dispositivo]]))</f>
        <v>Mobile</v>
      </c>
      <c r="R77" t="str">
        <f>TRIM(PROPER(Tabla_auditoría[[#This Row],[Tipo_Campaña]]))</f>
        <v>Reconocimiento</v>
      </c>
      <c r="S77" t="str">
        <f>TRIM(PROPER(Tabla_auditoría[[#This Row],[Responsable]]))</f>
        <v>Marta López</v>
      </c>
    </row>
    <row r="78" spans="1:19" x14ac:dyDescent="0.3">
      <c r="A78" s="1">
        <v>46005</v>
      </c>
      <c r="B78" s="2" t="s">
        <v>2570</v>
      </c>
      <c r="C78" s="2" t="s">
        <v>2527</v>
      </c>
      <c r="D78" s="2" t="s">
        <v>2525</v>
      </c>
      <c r="E78" s="2" t="s">
        <v>2517</v>
      </c>
      <c r="F78" s="3">
        <v>5929</v>
      </c>
      <c r="G78" s="3">
        <v>440</v>
      </c>
      <c r="H78" s="3">
        <v>31</v>
      </c>
      <c r="I78" s="4">
        <v>184.05</v>
      </c>
      <c r="J78" s="4">
        <v>5250.9</v>
      </c>
      <c r="K78" s="3">
        <v>26</v>
      </c>
      <c r="L78" s="2" t="s">
        <v>2539</v>
      </c>
      <c r="M78" s="2" t="s">
        <v>2537</v>
      </c>
      <c r="N78" t="str">
        <f>TRIM(PROPER(Tabla_auditoría[[#This Row],[ID_Campaña]]))</f>
        <v>Cmp-016</v>
      </c>
      <c r="O78" t="str">
        <f>TRIM(PROPER(Tabla_auditoría[[#This Row],[Canal]]))</f>
        <v>Affiliate</v>
      </c>
      <c r="P78" t="str">
        <f>TRIM(PROPER(Tabla_auditoría[[#This Row],[País]]))</f>
        <v>Francia</v>
      </c>
      <c r="Q78" t="str">
        <f>TRIM(PROPER(Tabla_auditoría[[#This Row],[Dispositivo]]))</f>
        <v>Desktop</v>
      </c>
      <c r="R78" t="str">
        <f>TRIM(PROPER(Tabla_auditoría[[#This Row],[Tipo_Campaña]]))</f>
        <v>Conversión</v>
      </c>
      <c r="S78" t="str">
        <f>TRIM(PROPER(Tabla_auditoría[[#This Row],[Responsable]]))</f>
        <v>Marta López</v>
      </c>
    </row>
    <row r="79" spans="1:19" x14ac:dyDescent="0.3">
      <c r="A79" s="1">
        <v>45659</v>
      </c>
      <c r="B79" s="2" t="s">
        <v>2520</v>
      </c>
      <c r="C79" s="2" t="s">
        <v>2521</v>
      </c>
      <c r="D79" s="2" t="s">
        <v>2516</v>
      </c>
      <c r="E79" s="2" t="s">
        <v>2529</v>
      </c>
      <c r="F79" s="3">
        <v>120263</v>
      </c>
      <c r="G79" s="3">
        <v>727</v>
      </c>
      <c r="H79" s="3">
        <v>68</v>
      </c>
      <c r="I79" s="4">
        <v>600.79</v>
      </c>
      <c r="J79" s="4">
        <v>8622.59</v>
      </c>
      <c r="K79" s="3">
        <v>46</v>
      </c>
      <c r="L79" s="2" t="s">
        <v>2539</v>
      </c>
      <c r="M79" s="2" t="s">
        <v>2546</v>
      </c>
      <c r="N79" t="str">
        <f>TRIM(PROPER(Tabla_auditoría[[#This Row],[ID_Campaña]]))</f>
        <v>Cmp-009</v>
      </c>
      <c r="O79" t="str">
        <f>TRIM(PROPER(Tabla_auditoría[[#This Row],[Canal]]))</f>
        <v>Paid Search</v>
      </c>
      <c r="P79" t="str">
        <f>TRIM(PROPER(Tabla_auditoría[[#This Row],[País]]))</f>
        <v>México</v>
      </c>
      <c r="Q79" t="str">
        <f>TRIM(PROPER(Tabla_auditoría[[#This Row],[Dispositivo]]))</f>
        <v>Mobile</v>
      </c>
      <c r="R79" t="str">
        <f>TRIM(PROPER(Tabla_auditoría[[#This Row],[Tipo_Campaña]]))</f>
        <v>Conversión</v>
      </c>
      <c r="S79" t="str">
        <f>TRIM(PROPER(Tabla_auditoría[[#This Row],[Responsable]]))</f>
        <v>Ana García</v>
      </c>
    </row>
    <row r="80" spans="1:19" x14ac:dyDescent="0.3">
      <c r="A80" s="1">
        <v>45690</v>
      </c>
      <c r="B80" s="2" t="s">
        <v>2572</v>
      </c>
      <c r="C80" s="2" t="s">
        <v>2541</v>
      </c>
      <c r="D80" s="2" t="s">
        <v>2516</v>
      </c>
      <c r="E80" s="2" t="s">
        <v>2517</v>
      </c>
      <c r="F80" s="3">
        <v>14379</v>
      </c>
      <c r="G80" s="3">
        <v>1204</v>
      </c>
      <c r="H80" s="3">
        <v>117</v>
      </c>
      <c r="I80" s="4">
        <v>2429.36</v>
      </c>
      <c r="J80" s="4">
        <v>6917.04</v>
      </c>
      <c r="K80" s="3">
        <v>54</v>
      </c>
      <c r="L80" s="2" t="s">
        <v>2536</v>
      </c>
      <c r="M80" s="2" t="s">
        <v>2524</v>
      </c>
      <c r="N80" t="str">
        <f>TRIM(PROPER(Tabla_auditoría[[#This Row],[ID_Campaña]]))</f>
        <v>Cmp-006</v>
      </c>
      <c r="O80" t="str">
        <f>TRIM(PROPER(Tabla_auditoría[[#This Row],[Canal]]))</f>
        <v>Display</v>
      </c>
      <c r="P80" t="str">
        <f>TRIM(PROPER(Tabla_auditoría[[#This Row],[País]]))</f>
        <v>México</v>
      </c>
      <c r="Q80" t="str">
        <f>TRIM(PROPER(Tabla_auditoría[[#This Row],[Dispositivo]]))</f>
        <v>Desktop</v>
      </c>
      <c r="R80" t="str">
        <f>TRIM(PROPER(Tabla_auditoría[[#This Row],[Tipo_Campaña]]))</f>
        <v>Reconocimiento</v>
      </c>
      <c r="S80" t="str">
        <f>TRIM(PROPER(Tabla_auditoría[[#This Row],[Responsable]]))</f>
        <v>Luis Martín</v>
      </c>
    </row>
    <row r="81" spans="1:19" x14ac:dyDescent="0.3">
      <c r="A81" s="1">
        <v>45838</v>
      </c>
      <c r="B81" s="2" t="s">
        <v>2520</v>
      </c>
      <c r="C81" s="2" t="s">
        <v>2515</v>
      </c>
      <c r="D81" s="2" t="s">
        <v>2528</v>
      </c>
      <c r="E81" s="2" t="s">
        <v>2529</v>
      </c>
      <c r="F81" s="3">
        <v>139435</v>
      </c>
      <c r="G81" s="3">
        <v>7423</v>
      </c>
      <c r="H81" s="3">
        <v>294</v>
      </c>
      <c r="I81" s="4">
        <v>2712.89</v>
      </c>
      <c r="J81" s="4">
        <v>49981.84</v>
      </c>
      <c r="K81" s="3">
        <v>183</v>
      </c>
      <c r="L81" s="2" t="s">
        <v>2539</v>
      </c>
      <c r="M81" s="2" t="s">
        <v>2519</v>
      </c>
      <c r="N81" t="str">
        <f>TRIM(PROPER(Tabla_auditoría[[#This Row],[ID_Campaña]]))</f>
        <v>Cmp-009</v>
      </c>
      <c r="O81" t="str">
        <f>TRIM(PROPER(Tabla_auditoría[[#This Row],[Canal]]))</f>
        <v>Email</v>
      </c>
      <c r="P81" t="str">
        <f>TRIM(PROPER(Tabla_auditoría[[#This Row],[País]]))</f>
        <v>España</v>
      </c>
      <c r="Q81" t="str">
        <f>TRIM(PROPER(Tabla_auditoría[[#This Row],[Dispositivo]]))</f>
        <v>Mobile</v>
      </c>
      <c r="R81" t="str">
        <f>TRIM(PROPER(Tabla_auditoría[[#This Row],[Tipo_Campaña]]))</f>
        <v>Conversión</v>
      </c>
      <c r="S81" t="str">
        <f>TRIM(PROPER(Tabla_auditoría[[#This Row],[Responsable]]))</f>
        <v>Carlos Ruiz</v>
      </c>
    </row>
    <row r="82" spans="1:19" x14ac:dyDescent="0.3">
      <c r="A82" s="1">
        <v>45941</v>
      </c>
      <c r="B82" s="2" t="s">
        <v>2540</v>
      </c>
      <c r="C82" s="2" t="s">
        <v>2515</v>
      </c>
      <c r="D82" s="2" t="s">
        <v>2528</v>
      </c>
      <c r="E82" s="2" t="s">
        <v>2517</v>
      </c>
      <c r="F82" s="3">
        <v>82478</v>
      </c>
      <c r="G82" s="3">
        <v>5286</v>
      </c>
      <c r="H82" s="3">
        <v>368</v>
      </c>
      <c r="I82" s="4">
        <v>1588.16</v>
      </c>
      <c r="J82" s="4">
        <v>33465.74</v>
      </c>
      <c r="K82" s="3">
        <v>267</v>
      </c>
      <c r="L82" s="2" t="s">
        <v>2523</v>
      </c>
      <c r="M82" s="2" t="s">
        <v>2524</v>
      </c>
      <c r="N82" t="str">
        <f>TRIM(PROPER(Tabla_auditoría[[#This Row],[ID_Campaña]]))</f>
        <v>Cmp-017</v>
      </c>
      <c r="O82" t="str">
        <f>TRIM(PROPER(Tabla_auditoría[[#This Row],[Canal]]))</f>
        <v>Email</v>
      </c>
      <c r="P82" t="str">
        <f>TRIM(PROPER(Tabla_auditoría[[#This Row],[País]]))</f>
        <v>España</v>
      </c>
      <c r="Q82" t="str">
        <f>TRIM(PROPER(Tabla_auditoría[[#This Row],[Dispositivo]]))</f>
        <v>Desktop</v>
      </c>
      <c r="R82" t="str">
        <f>TRIM(PROPER(Tabla_auditoría[[#This Row],[Tipo_Campaña]]))</f>
        <v>Retención</v>
      </c>
      <c r="S82" t="str">
        <f>TRIM(PROPER(Tabla_auditoría[[#This Row],[Responsable]]))</f>
        <v>Luis Martín</v>
      </c>
    </row>
    <row r="83" spans="1:19" x14ac:dyDescent="0.3">
      <c r="A83" s="1">
        <v>45988</v>
      </c>
      <c r="B83" s="2" t="s">
        <v>2557</v>
      </c>
      <c r="C83" s="2" t="s">
        <v>2541</v>
      </c>
      <c r="D83" s="2" t="s">
        <v>2522</v>
      </c>
      <c r="E83" s="2" t="s">
        <v>2529</v>
      </c>
      <c r="F83" s="3">
        <v>7947</v>
      </c>
      <c r="G83" s="3">
        <v>546</v>
      </c>
      <c r="H83" s="3">
        <v>11</v>
      </c>
      <c r="I83" s="4">
        <v>681.04</v>
      </c>
      <c r="J83" s="4">
        <v>1400.69</v>
      </c>
      <c r="K83" s="3">
        <v>5</v>
      </c>
      <c r="L83" s="2" t="s">
        <v>2518</v>
      </c>
      <c r="M83" s="2" t="s">
        <v>2519</v>
      </c>
      <c r="N83" t="str">
        <f>TRIM(PROPER(Tabla_auditoría[[#This Row],[ID_Campaña]]))</f>
        <v>Cmp-030</v>
      </c>
      <c r="O83" t="str">
        <f>TRIM(PROPER(Tabla_auditoría[[#This Row],[Canal]]))</f>
        <v>Display</v>
      </c>
      <c r="P83" t="str">
        <f>TRIM(PROPER(Tabla_auditoría[[#This Row],[País]]))</f>
        <v>Italia</v>
      </c>
      <c r="Q83" t="str">
        <f>TRIM(PROPER(Tabla_auditoría[[#This Row],[Dispositivo]]))</f>
        <v>Mobile</v>
      </c>
      <c r="R83" t="str">
        <f>TRIM(PROPER(Tabla_auditoría[[#This Row],[Tipo_Campaña]]))</f>
        <v>Adquisición</v>
      </c>
      <c r="S83" t="str">
        <f>TRIM(PROPER(Tabla_auditoría[[#This Row],[Responsable]]))</f>
        <v>Carlos Ruiz</v>
      </c>
    </row>
    <row r="84" spans="1:19" x14ac:dyDescent="0.3">
      <c r="A84" s="1">
        <v>45678</v>
      </c>
      <c r="B84" s="2" t="s">
        <v>2520</v>
      </c>
      <c r="C84" s="2" t="s">
        <v>2543</v>
      </c>
      <c r="D84" s="2" t="s">
        <v>2525</v>
      </c>
      <c r="E84" s="2" t="s">
        <v>2529</v>
      </c>
      <c r="F84" s="3">
        <v>40689</v>
      </c>
      <c r="G84" s="3">
        <v>834</v>
      </c>
      <c r="H84" s="3">
        <v>91</v>
      </c>
      <c r="I84" s="4">
        <v>594.19000000000005</v>
      </c>
      <c r="J84" s="4">
        <v>8098.42</v>
      </c>
      <c r="K84" s="3">
        <v>48</v>
      </c>
      <c r="L84" s="2" t="s">
        <v>2518</v>
      </c>
      <c r="M84" s="2" t="s">
        <v>2524</v>
      </c>
      <c r="N84" t="str">
        <f>TRIM(PROPER(Tabla_auditoría[[#This Row],[ID_Campaña]]))</f>
        <v>Cmp-009</v>
      </c>
      <c r="O84" t="str">
        <f>TRIM(PROPER(Tabla_auditoría[[#This Row],[Canal]]))</f>
        <v>Organic Social</v>
      </c>
      <c r="P84" t="str">
        <f>TRIM(PROPER(Tabla_auditoría[[#This Row],[País]]))</f>
        <v>Francia</v>
      </c>
      <c r="Q84" t="str">
        <f>TRIM(PROPER(Tabla_auditoría[[#This Row],[Dispositivo]]))</f>
        <v>Mobile</v>
      </c>
      <c r="R84" t="str">
        <f>TRIM(PROPER(Tabla_auditoría[[#This Row],[Tipo_Campaña]]))</f>
        <v>Adquisición</v>
      </c>
      <c r="S84" t="str">
        <f>TRIM(PROPER(Tabla_auditoría[[#This Row],[Responsable]]))</f>
        <v>Luis Martín</v>
      </c>
    </row>
    <row r="85" spans="1:19" x14ac:dyDescent="0.3">
      <c r="A85" s="1">
        <v>45728</v>
      </c>
      <c r="B85" s="2" t="s">
        <v>2545</v>
      </c>
      <c r="C85" s="2" t="s">
        <v>2541</v>
      </c>
      <c r="D85" s="2" t="s">
        <v>2531</v>
      </c>
      <c r="E85" s="2" t="s">
        <v>2529</v>
      </c>
      <c r="F85" s="3">
        <v>19998</v>
      </c>
      <c r="G85" s="3">
        <v>92</v>
      </c>
      <c r="H85" s="3">
        <v>5</v>
      </c>
      <c r="I85" s="4">
        <v>190.04</v>
      </c>
      <c r="J85" s="4">
        <v>861.71</v>
      </c>
      <c r="K85" s="3">
        <v>2</v>
      </c>
      <c r="L85" s="2" t="s">
        <v>2523</v>
      </c>
      <c r="M85" s="2" t="s">
        <v>2537</v>
      </c>
      <c r="N85" t="str">
        <f>TRIM(PROPER(Tabla_auditoría[[#This Row],[ID_Campaña]]))</f>
        <v>Cmp-011</v>
      </c>
      <c r="O85" t="str">
        <f>TRIM(PROPER(Tabla_auditoría[[#This Row],[Canal]]))</f>
        <v>Display</v>
      </c>
      <c r="P85" t="str">
        <f>TRIM(PROPER(Tabla_auditoría[[#This Row],[País]]))</f>
        <v>Portugal</v>
      </c>
      <c r="Q85" t="str">
        <f>TRIM(PROPER(Tabla_auditoría[[#This Row],[Dispositivo]]))</f>
        <v>Mobile</v>
      </c>
      <c r="R85" t="str">
        <f>TRIM(PROPER(Tabla_auditoría[[#This Row],[Tipo_Campaña]]))</f>
        <v>Retención</v>
      </c>
      <c r="S85" t="str">
        <f>TRIM(PROPER(Tabla_auditoría[[#This Row],[Responsable]]))</f>
        <v>Marta López</v>
      </c>
    </row>
    <row r="86" spans="1:19" x14ac:dyDescent="0.3">
      <c r="A86" s="1">
        <v>46019</v>
      </c>
      <c r="B86" s="2" t="s">
        <v>2547</v>
      </c>
      <c r="C86" s="2" t="s">
        <v>2541</v>
      </c>
      <c r="D86" s="2" t="s">
        <v>2522</v>
      </c>
      <c r="E86" s="2" t="s">
        <v>2534</v>
      </c>
      <c r="F86" s="3">
        <v>41090</v>
      </c>
      <c r="G86" s="3">
        <v>886</v>
      </c>
      <c r="H86" s="3">
        <v>74</v>
      </c>
      <c r="I86" s="4">
        <v>378.97</v>
      </c>
      <c r="J86" s="4">
        <v>3753.55</v>
      </c>
      <c r="K86" s="3">
        <v>64</v>
      </c>
      <c r="L86" s="2" t="s">
        <v>2523</v>
      </c>
      <c r="M86" s="2" t="s">
        <v>2519</v>
      </c>
      <c r="N86" t="str">
        <f>TRIM(PROPER(Tabla_auditoría[[#This Row],[ID_Campaña]]))</f>
        <v>Cmp-018</v>
      </c>
      <c r="O86" t="str">
        <f>TRIM(PROPER(Tabla_auditoría[[#This Row],[Canal]]))</f>
        <v>Display</v>
      </c>
      <c r="P86" t="str">
        <f>TRIM(PROPER(Tabla_auditoría[[#This Row],[País]]))</f>
        <v>Italia</v>
      </c>
      <c r="Q86" t="str">
        <f>TRIM(PROPER(Tabla_auditoría[[#This Row],[Dispositivo]]))</f>
        <v>Tablet</v>
      </c>
      <c r="R86" t="str">
        <f>TRIM(PROPER(Tabla_auditoría[[#This Row],[Tipo_Campaña]]))</f>
        <v>Retención</v>
      </c>
      <c r="S86" t="str">
        <f>TRIM(PROPER(Tabla_auditoría[[#This Row],[Responsable]]))</f>
        <v>Carlos Ruiz</v>
      </c>
    </row>
    <row r="87" spans="1:19" x14ac:dyDescent="0.3">
      <c r="A87" s="1">
        <v>45685</v>
      </c>
      <c r="B87" s="2" t="s">
        <v>2564</v>
      </c>
      <c r="C87" s="2" t="s">
        <v>2515</v>
      </c>
      <c r="D87" s="2" t="s">
        <v>2525</v>
      </c>
      <c r="E87" s="2" t="s">
        <v>2534</v>
      </c>
      <c r="F87" s="3">
        <v>93340</v>
      </c>
      <c r="G87" s="3">
        <v>3758</v>
      </c>
      <c r="H87" s="3">
        <v>325</v>
      </c>
      <c r="I87" s="4">
        <v>7207.83</v>
      </c>
      <c r="J87" s="4">
        <v>50159.42</v>
      </c>
      <c r="K87" s="3">
        <v>205</v>
      </c>
      <c r="L87" s="2" t="s">
        <v>2523</v>
      </c>
      <c r="M87" s="2" t="s">
        <v>2526</v>
      </c>
      <c r="N87" t="str">
        <f>TRIM(PROPER(Tabla_auditoría[[#This Row],[ID_Campaña]]))</f>
        <v>Cmp-024</v>
      </c>
      <c r="O87" t="str">
        <f>TRIM(PROPER(Tabla_auditoría[[#This Row],[Canal]]))</f>
        <v>Email</v>
      </c>
      <c r="P87" t="str">
        <f>TRIM(PROPER(Tabla_auditoría[[#This Row],[País]]))</f>
        <v>Francia</v>
      </c>
      <c r="Q87" t="str">
        <f>TRIM(PROPER(Tabla_auditoría[[#This Row],[Dispositivo]]))</f>
        <v>Tablet</v>
      </c>
      <c r="R87" t="str">
        <f>TRIM(PROPER(Tabla_auditoría[[#This Row],[Tipo_Campaña]]))</f>
        <v>Retención</v>
      </c>
      <c r="S87" t="str">
        <f>TRIM(PROPER(Tabla_auditoría[[#This Row],[Responsable]]))</f>
        <v>Laura Pérez</v>
      </c>
    </row>
    <row r="88" spans="1:19" x14ac:dyDescent="0.3">
      <c r="A88" s="1">
        <v>45970</v>
      </c>
      <c r="B88" s="2" t="s">
        <v>2566</v>
      </c>
      <c r="C88" s="2" t="s">
        <v>2515</v>
      </c>
      <c r="D88" s="2" t="s">
        <v>2522</v>
      </c>
      <c r="E88" s="2" t="s">
        <v>2561</v>
      </c>
      <c r="F88" s="3">
        <v>168209</v>
      </c>
      <c r="G88" s="3">
        <v>4760</v>
      </c>
      <c r="H88" s="3">
        <v>445</v>
      </c>
      <c r="I88" s="4">
        <v>9212.81</v>
      </c>
      <c r="J88" s="4">
        <v>49516.92</v>
      </c>
      <c r="K88" s="3">
        <v>299</v>
      </c>
      <c r="L88" s="2" t="s">
        <v>2518</v>
      </c>
      <c r="M88" s="2" t="s">
        <v>2519</v>
      </c>
      <c r="N88" t="str">
        <f>TRIM(PROPER(Tabla_auditoría[[#This Row],[ID_Campaña]]))</f>
        <v>Cmp-001</v>
      </c>
      <c r="O88" t="str">
        <f>TRIM(PROPER(Tabla_auditoría[[#This Row],[Canal]]))</f>
        <v>Email</v>
      </c>
      <c r="P88" t="str">
        <f>TRIM(PROPER(Tabla_auditoría[[#This Row],[País]]))</f>
        <v>Italia</v>
      </c>
      <c r="Q88" t="str">
        <f>TRIM(PROPER(Tabla_auditoría[[#This Row],[Dispositivo]]))</f>
        <v>Mobile</v>
      </c>
      <c r="R88" t="str">
        <f>TRIM(PROPER(Tabla_auditoría[[#This Row],[Tipo_Campaña]]))</f>
        <v>Adquisición</v>
      </c>
      <c r="S88" t="str">
        <f>TRIM(PROPER(Tabla_auditoría[[#This Row],[Responsable]]))</f>
        <v>Carlos Ruiz</v>
      </c>
    </row>
    <row r="89" spans="1:19" x14ac:dyDescent="0.3">
      <c r="A89" s="1">
        <v>45952</v>
      </c>
      <c r="B89" s="2" t="s">
        <v>2570</v>
      </c>
      <c r="C89" s="2" t="s">
        <v>2515</v>
      </c>
      <c r="D89" s="2" t="s">
        <v>2528</v>
      </c>
      <c r="E89" s="2" t="s">
        <v>2529</v>
      </c>
      <c r="F89" s="3">
        <v>167113</v>
      </c>
      <c r="G89" s="3">
        <v>6183</v>
      </c>
      <c r="H89" s="3">
        <v>317</v>
      </c>
      <c r="I89" s="4">
        <v>8053.02</v>
      </c>
      <c r="J89" s="4">
        <v>17412.28</v>
      </c>
      <c r="K89" s="3">
        <v>239</v>
      </c>
      <c r="L89" s="2" t="s">
        <v>2536</v>
      </c>
      <c r="M89" s="2" t="s">
        <v>2526</v>
      </c>
      <c r="N89" t="str">
        <f>TRIM(PROPER(Tabla_auditoría[[#This Row],[ID_Campaña]]))</f>
        <v>Cmp-016</v>
      </c>
      <c r="O89" t="str">
        <f>TRIM(PROPER(Tabla_auditoría[[#This Row],[Canal]]))</f>
        <v>Email</v>
      </c>
      <c r="P89" t="str">
        <f>TRIM(PROPER(Tabla_auditoría[[#This Row],[País]]))</f>
        <v>España</v>
      </c>
      <c r="Q89" t="str">
        <f>TRIM(PROPER(Tabla_auditoría[[#This Row],[Dispositivo]]))</f>
        <v>Mobile</v>
      </c>
      <c r="R89" t="str">
        <f>TRIM(PROPER(Tabla_auditoría[[#This Row],[Tipo_Campaña]]))</f>
        <v>Reconocimiento</v>
      </c>
      <c r="S89" t="str">
        <f>TRIM(PROPER(Tabla_auditoría[[#This Row],[Responsable]]))</f>
        <v>Laura Pérez</v>
      </c>
    </row>
    <row r="90" spans="1:19" x14ac:dyDescent="0.3">
      <c r="A90" s="1">
        <v>45662</v>
      </c>
      <c r="B90" s="2" t="s">
        <v>2549</v>
      </c>
      <c r="C90" s="2" t="s">
        <v>2527</v>
      </c>
      <c r="D90" s="2" t="s">
        <v>2528</v>
      </c>
      <c r="E90" s="2" t="s">
        <v>2529</v>
      </c>
      <c r="F90" s="3">
        <v>97811</v>
      </c>
      <c r="G90" s="3">
        <v>501</v>
      </c>
      <c r="H90" s="3">
        <v>33</v>
      </c>
      <c r="I90" s="4">
        <v>968.45</v>
      </c>
      <c r="J90" s="4">
        <v>3617.76</v>
      </c>
      <c r="K90" s="3">
        <v>26</v>
      </c>
      <c r="L90" s="2" t="s">
        <v>2539</v>
      </c>
      <c r="M90" s="2" t="s">
        <v>2524</v>
      </c>
      <c r="N90" t="str">
        <f>TRIM(PROPER(Tabla_auditoría[[#This Row],[ID_Campaña]]))</f>
        <v>Cmp-007</v>
      </c>
      <c r="O90" t="str">
        <f>TRIM(PROPER(Tabla_auditoría[[#This Row],[Canal]]))</f>
        <v>Affiliate</v>
      </c>
      <c r="P90" t="str">
        <f>TRIM(PROPER(Tabla_auditoría[[#This Row],[País]]))</f>
        <v>España</v>
      </c>
      <c r="Q90" t="str">
        <f>TRIM(PROPER(Tabla_auditoría[[#This Row],[Dispositivo]]))</f>
        <v>Mobile</v>
      </c>
      <c r="R90" t="str">
        <f>TRIM(PROPER(Tabla_auditoría[[#This Row],[Tipo_Campaña]]))</f>
        <v>Conversión</v>
      </c>
      <c r="S90" t="str">
        <f>TRIM(PROPER(Tabla_auditoría[[#This Row],[Responsable]]))</f>
        <v>Luis Martín</v>
      </c>
    </row>
    <row r="91" spans="1:19" x14ac:dyDescent="0.3">
      <c r="A91" s="1">
        <v>45745</v>
      </c>
      <c r="B91" s="2" t="s">
        <v>2570</v>
      </c>
      <c r="C91" s="2" t="s">
        <v>2527</v>
      </c>
      <c r="D91" s="2" t="s">
        <v>2528</v>
      </c>
      <c r="E91" s="2" t="s">
        <v>2517</v>
      </c>
      <c r="F91" s="3">
        <v>56013</v>
      </c>
      <c r="G91" s="3">
        <v>824</v>
      </c>
      <c r="H91" s="3">
        <v>113</v>
      </c>
      <c r="I91" s="4">
        <v>864.84</v>
      </c>
      <c r="J91" s="4">
        <v>8343.14</v>
      </c>
      <c r="K91" s="3">
        <v>65</v>
      </c>
      <c r="L91" s="2" t="s">
        <v>2523</v>
      </c>
      <c r="M91" s="2" t="s">
        <v>2546</v>
      </c>
      <c r="N91" t="str">
        <f>TRIM(PROPER(Tabla_auditoría[[#This Row],[ID_Campaña]]))</f>
        <v>Cmp-016</v>
      </c>
      <c r="O91" t="str">
        <f>TRIM(PROPER(Tabla_auditoría[[#This Row],[Canal]]))</f>
        <v>Affiliate</v>
      </c>
      <c r="P91" t="str">
        <f>TRIM(PROPER(Tabla_auditoría[[#This Row],[País]]))</f>
        <v>España</v>
      </c>
      <c r="Q91" t="str">
        <f>TRIM(PROPER(Tabla_auditoría[[#This Row],[Dispositivo]]))</f>
        <v>Desktop</v>
      </c>
      <c r="R91" t="str">
        <f>TRIM(PROPER(Tabla_auditoría[[#This Row],[Tipo_Campaña]]))</f>
        <v>Retención</v>
      </c>
      <c r="S91" t="str">
        <f>TRIM(PROPER(Tabla_auditoría[[#This Row],[Responsable]]))</f>
        <v>Ana García</v>
      </c>
    </row>
    <row r="92" spans="1:19" x14ac:dyDescent="0.3">
      <c r="A92" s="1">
        <v>45834</v>
      </c>
      <c r="B92" s="2" t="s">
        <v>2568</v>
      </c>
      <c r="C92" s="2" t="s">
        <v>2533</v>
      </c>
      <c r="D92" s="2" t="s">
        <v>2522</v>
      </c>
      <c r="E92" s="2" t="s">
        <v>2529</v>
      </c>
      <c r="F92" s="3">
        <v>168186</v>
      </c>
      <c r="G92" s="3">
        <v>12846</v>
      </c>
      <c r="H92" s="3">
        <v>248</v>
      </c>
      <c r="I92" s="4">
        <v>11843.19</v>
      </c>
      <c r="J92" s="4">
        <v>16511.03</v>
      </c>
      <c r="K92" s="3">
        <v>193</v>
      </c>
      <c r="L92" s="2" t="s">
        <v>2539</v>
      </c>
      <c r="M92" s="2" t="s">
        <v>2526</v>
      </c>
      <c r="N92" t="str">
        <f>TRIM(PROPER(Tabla_auditoría[[#This Row],[ID_Campaña]]))</f>
        <v>Cmp-020</v>
      </c>
      <c r="O92" t="str">
        <f>TRIM(PROPER(Tabla_auditoría[[#This Row],[Canal]]))</f>
        <v>Paid Social</v>
      </c>
      <c r="P92" t="str">
        <f>TRIM(PROPER(Tabla_auditoría[[#This Row],[País]]))</f>
        <v>Italia</v>
      </c>
      <c r="Q92" t="str">
        <f>TRIM(PROPER(Tabla_auditoría[[#This Row],[Dispositivo]]))</f>
        <v>Mobile</v>
      </c>
      <c r="R92" t="str">
        <f>TRIM(PROPER(Tabla_auditoría[[#This Row],[Tipo_Campaña]]))</f>
        <v>Conversión</v>
      </c>
      <c r="S92" t="str">
        <f>TRIM(PROPER(Tabla_auditoría[[#This Row],[Responsable]]))</f>
        <v>Laura Pérez</v>
      </c>
    </row>
    <row r="93" spans="1:19" x14ac:dyDescent="0.3">
      <c r="A93" s="1">
        <v>45719</v>
      </c>
      <c r="B93" s="2" t="s">
        <v>2564</v>
      </c>
      <c r="C93" s="2" t="s">
        <v>2543</v>
      </c>
      <c r="D93" s="2" t="s">
        <v>2525</v>
      </c>
      <c r="E93" s="2" t="s">
        <v>2517</v>
      </c>
      <c r="F93" s="3">
        <v>125337</v>
      </c>
      <c r="G93" s="3">
        <v>4913</v>
      </c>
      <c r="H93" s="3">
        <v>247</v>
      </c>
      <c r="J93" s="4">
        <v>19111.59</v>
      </c>
      <c r="K93" s="3">
        <v>173</v>
      </c>
      <c r="L93" s="2" t="s">
        <v>2523</v>
      </c>
      <c r="M93" s="2" t="s">
        <v>2546</v>
      </c>
      <c r="N93" t="str">
        <f>TRIM(PROPER(Tabla_auditoría[[#This Row],[ID_Campaña]]))</f>
        <v>Cmp-024</v>
      </c>
      <c r="O93" t="str">
        <f>TRIM(PROPER(Tabla_auditoría[[#This Row],[Canal]]))</f>
        <v>Organic Social</v>
      </c>
      <c r="P93" t="str">
        <f>TRIM(PROPER(Tabla_auditoría[[#This Row],[País]]))</f>
        <v>Francia</v>
      </c>
      <c r="Q93" t="str">
        <f>TRIM(PROPER(Tabla_auditoría[[#This Row],[Dispositivo]]))</f>
        <v>Desktop</v>
      </c>
      <c r="R93" t="str">
        <f>TRIM(PROPER(Tabla_auditoría[[#This Row],[Tipo_Campaña]]))</f>
        <v>Retención</v>
      </c>
      <c r="S93" t="str">
        <f>TRIM(PROPER(Tabla_auditoría[[#This Row],[Responsable]]))</f>
        <v>Ana García</v>
      </c>
    </row>
    <row r="94" spans="1:19" x14ac:dyDescent="0.3">
      <c r="A94" s="1">
        <v>45770</v>
      </c>
      <c r="B94" s="2" t="s">
        <v>2550</v>
      </c>
      <c r="C94" s="2" t="s">
        <v>2527</v>
      </c>
      <c r="D94" s="2" t="s">
        <v>2531</v>
      </c>
      <c r="E94" s="2" t="s">
        <v>2529</v>
      </c>
      <c r="F94" s="3">
        <v>156107</v>
      </c>
      <c r="G94" s="3">
        <v>10929</v>
      </c>
      <c r="H94" s="3">
        <v>151</v>
      </c>
      <c r="I94" s="4">
        <v>14137.01</v>
      </c>
      <c r="J94" s="4">
        <v>25165.32</v>
      </c>
      <c r="K94" s="3">
        <v>106</v>
      </c>
      <c r="L94" s="2" t="s">
        <v>2523</v>
      </c>
      <c r="M94" s="2" t="s">
        <v>2519</v>
      </c>
      <c r="N94" t="str">
        <f>TRIM(PROPER(Tabla_auditoría[[#This Row],[ID_Campaña]]))</f>
        <v>Cmp-008</v>
      </c>
      <c r="O94" t="str">
        <f>TRIM(PROPER(Tabla_auditoría[[#This Row],[Canal]]))</f>
        <v>Affiliate</v>
      </c>
      <c r="P94" t="str">
        <f>TRIM(PROPER(Tabla_auditoría[[#This Row],[País]]))</f>
        <v>Portugal</v>
      </c>
      <c r="Q94" t="str">
        <f>TRIM(PROPER(Tabla_auditoría[[#This Row],[Dispositivo]]))</f>
        <v>Mobile</v>
      </c>
      <c r="R94" t="str">
        <f>TRIM(PROPER(Tabla_auditoría[[#This Row],[Tipo_Campaña]]))</f>
        <v>Retención</v>
      </c>
      <c r="S94" t="str">
        <f>TRIM(PROPER(Tabla_auditoría[[#This Row],[Responsable]]))</f>
        <v>Carlos Ruiz</v>
      </c>
    </row>
    <row r="95" spans="1:19" x14ac:dyDescent="0.3">
      <c r="A95" s="1">
        <v>45963</v>
      </c>
      <c r="B95" s="2" t="s">
        <v>2530</v>
      </c>
      <c r="C95" s="2" t="s">
        <v>2533</v>
      </c>
      <c r="D95" s="2" t="s">
        <v>2525</v>
      </c>
      <c r="E95" s="2" t="s">
        <v>2529</v>
      </c>
      <c r="F95" s="3">
        <v>107920</v>
      </c>
      <c r="G95" s="3">
        <v>2646</v>
      </c>
      <c r="H95" s="3">
        <v>80</v>
      </c>
      <c r="I95" s="4">
        <v>313.33999999999997</v>
      </c>
      <c r="J95" s="4">
        <v>16240.95</v>
      </c>
      <c r="K95" s="3">
        <v>70</v>
      </c>
      <c r="L95" s="2" t="s">
        <v>2536</v>
      </c>
      <c r="M95" s="2" t="s">
        <v>2526</v>
      </c>
      <c r="N95" t="str">
        <f>TRIM(PROPER(Tabla_auditoría[[#This Row],[ID_Campaña]]))</f>
        <v>Cmp-026</v>
      </c>
      <c r="O95" t="str">
        <f>TRIM(PROPER(Tabla_auditoría[[#This Row],[Canal]]))</f>
        <v>Paid Social</v>
      </c>
      <c r="P95" t="str">
        <f>TRIM(PROPER(Tabla_auditoría[[#This Row],[País]]))</f>
        <v>Francia</v>
      </c>
      <c r="Q95" t="str">
        <f>TRIM(PROPER(Tabla_auditoría[[#This Row],[Dispositivo]]))</f>
        <v>Mobile</v>
      </c>
      <c r="R95" t="str">
        <f>TRIM(PROPER(Tabla_auditoría[[#This Row],[Tipo_Campaña]]))</f>
        <v>Reconocimiento</v>
      </c>
      <c r="S95" t="str">
        <f>TRIM(PROPER(Tabla_auditoría[[#This Row],[Responsable]]))</f>
        <v>Laura Pérez</v>
      </c>
    </row>
    <row r="96" spans="1:19" x14ac:dyDescent="0.3">
      <c r="A96" s="1">
        <v>45830</v>
      </c>
      <c r="B96" s="2" t="s">
        <v>2554</v>
      </c>
      <c r="C96" s="2" t="s">
        <v>2521</v>
      </c>
      <c r="D96" s="2" t="s">
        <v>2528</v>
      </c>
      <c r="E96" s="2" t="s">
        <v>2534</v>
      </c>
      <c r="F96" s="3">
        <v>149923</v>
      </c>
      <c r="G96" s="3">
        <v>13315</v>
      </c>
      <c r="H96" s="3">
        <v>1463</v>
      </c>
      <c r="I96" s="4">
        <v>10768.8</v>
      </c>
      <c r="J96" s="4">
        <v>89544.3</v>
      </c>
      <c r="K96" s="3">
        <v>1298</v>
      </c>
      <c r="L96" s="2" t="s">
        <v>2539</v>
      </c>
      <c r="M96" s="2" t="s">
        <v>2524</v>
      </c>
      <c r="N96" t="str">
        <f>TRIM(PROPER(Tabla_auditoría[[#This Row],[ID_Campaña]]))</f>
        <v>Cmp-019</v>
      </c>
      <c r="O96" t="str">
        <f>TRIM(PROPER(Tabla_auditoría[[#This Row],[Canal]]))</f>
        <v>Paid Search</v>
      </c>
      <c r="P96" t="str">
        <f>TRIM(PROPER(Tabla_auditoría[[#This Row],[País]]))</f>
        <v>España</v>
      </c>
      <c r="Q96" t="str">
        <f>TRIM(PROPER(Tabla_auditoría[[#This Row],[Dispositivo]]))</f>
        <v>Tablet</v>
      </c>
      <c r="R96" t="str">
        <f>TRIM(PROPER(Tabla_auditoría[[#This Row],[Tipo_Campaña]]))</f>
        <v>Conversión</v>
      </c>
      <c r="S96" t="str">
        <f>TRIM(PROPER(Tabla_auditoría[[#This Row],[Responsable]]))</f>
        <v>Luis Martín</v>
      </c>
    </row>
    <row r="97" spans="1:19" x14ac:dyDescent="0.3">
      <c r="A97" s="1">
        <v>45888</v>
      </c>
      <c r="B97" s="2" t="s">
        <v>2532</v>
      </c>
      <c r="C97" s="2" t="s">
        <v>2521</v>
      </c>
      <c r="D97" s="2" t="s">
        <v>2531</v>
      </c>
      <c r="E97" s="2" t="s">
        <v>2517</v>
      </c>
      <c r="F97" s="3">
        <v>153656</v>
      </c>
      <c r="G97" s="3">
        <v>6271</v>
      </c>
      <c r="H97" s="3">
        <v>500</v>
      </c>
      <c r="I97" s="4">
        <v>12777.65</v>
      </c>
      <c r="J97" s="4">
        <v>13674.92</v>
      </c>
      <c r="K97" s="3">
        <v>260</v>
      </c>
      <c r="L97" s="2" t="s">
        <v>2536</v>
      </c>
      <c r="M97" s="2" t="s">
        <v>2526</v>
      </c>
      <c r="N97" t="str">
        <f>TRIM(PROPER(Tabla_auditoría[[#This Row],[ID_Campaña]]))</f>
        <v>Cmp-022</v>
      </c>
      <c r="O97" t="str">
        <f>TRIM(PROPER(Tabla_auditoría[[#This Row],[Canal]]))</f>
        <v>Paid Search</v>
      </c>
      <c r="P97" t="str">
        <f>TRIM(PROPER(Tabla_auditoría[[#This Row],[País]]))</f>
        <v>Portugal</v>
      </c>
      <c r="Q97" t="str">
        <f>TRIM(PROPER(Tabla_auditoría[[#This Row],[Dispositivo]]))</f>
        <v>Desktop</v>
      </c>
      <c r="R97" t="str">
        <f>TRIM(PROPER(Tabla_auditoría[[#This Row],[Tipo_Campaña]]))</f>
        <v>Reconocimiento</v>
      </c>
      <c r="S97" t="str">
        <f>TRIM(PROPER(Tabla_auditoría[[#This Row],[Responsable]]))</f>
        <v>Laura Pérez</v>
      </c>
    </row>
    <row r="98" spans="1:19" x14ac:dyDescent="0.3">
      <c r="A98" s="1">
        <v>45826</v>
      </c>
      <c r="B98" s="2" t="s">
        <v>2549</v>
      </c>
      <c r="C98" s="2" t="s">
        <v>2527</v>
      </c>
      <c r="D98" s="2" t="s">
        <v>2528</v>
      </c>
      <c r="E98" s="2" t="s">
        <v>2517</v>
      </c>
      <c r="F98" s="3">
        <v>50750</v>
      </c>
      <c r="G98" s="3">
        <v>742</v>
      </c>
      <c r="H98" s="3">
        <v>33</v>
      </c>
      <c r="I98" s="4">
        <v>121.99</v>
      </c>
      <c r="J98" s="4">
        <v>1482.78</v>
      </c>
      <c r="K98" s="3">
        <v>22</v>
      </c>
      <c r="L98" s="2" t="s">
        <v>2539</v>
      </c>
      <c r="M98" s="2" t="s">
        <v>2546</v>
      </c>
      <c r="N98" t="str">
        <f>TRIM(PROPER(Tabla_auditoría[[#This Row],[ID_Campaña]]))</f>
        <v>Cmp-007</v>
      </c>
      <c r="O98" t="str">
        <f>TRIM(PROPER(Tabla_auditoría[[#This Row],[Canal]]))</f>
        <v>Affiliate</v>
      </c>
      <c r="P98" t="str">
        <f>TRIM(PROPER(Tabla_auditoría[[#This Row],[País]]))</f>
        <v>España</v>
      </c>
      <c r="Q98" t="str">
        <f>TRIM(PROPER(Tabla_auditoría[[#This Row],[Dispositivo]]))</f>
        <v>Desktop</v>
      </c>
      <c r="R98" t="str">
        <f>TRIM(PROPER(Tabla_auditoría[[#This Row],[Tipo_Campaña]]))</f>
        <v>Conversión</v>
      </c>
      <c r="S98" t="str">
        <f>TRIM(PROPER(Tabla_auditoría[[#This Row],[Responsable]]))</f>
        <v>Ana García</v>
      </c>
    </row>
    <row r="99" spans="1:19" x14ac:dyDescent="0.3">
      <c r="A99" s="1">
        <v>45854</v>
      </c>
      <c r="B99" s="2" t="s">
        <v>2532</v>
      </c>
      <c r="C99" s="2" t="s">
        <v>2521</v>
      </c>
      <c r="D99" s="2" t="s">
        <v>2531</v>
      </c>
      <c r="E99" s="2" t="s">
        <v>2529</v>
      </c>
      <c r="F99" s="3">
        <v>14125</v>
      </c>
      <c r="G99" s="3">
        <v>603</v>
      </c>
      <c r="H99" s="3">
        <v>7</v>
      </c>
      <c r="I99" s="4">
        <v>544.15</v>
      </c>
      <c r="J99" s="4">
        <v>785.17</v>
      </c>
      <c r="K99" s="3">
        <v>5</v>
      </c>
      <c r="L99" s="2" t="s">
        <v>2518</v>
      </c>
      <c r="M99" s="2" t="s">
        <v>2526</v>
      </c>
      <c r="N99" t="str">
        <f>TRIM(PROPER(Tabla_auditoría[[#This Row],[ID_Campaña]]))</f>
        <v>Cmp-022</v>
      </c>
      <c r="O99" t="str">
        <f>TRIM(PROPER(Tabla_auditoría[[#This Row],[Canal]]))</f>
        <v>Paid Search</v>
      </c>
      <c r="P99" t="str">
        <f>TRIM(PROPER(Tabla_auditoría[[#This Row],[País]]))</f>
        <v>Portugal</v>
      </c>
      <c r="Q99" t="str">
        <f>TRIM(PROPER(Tabla_auditoría[[#This Row],[Dispositivo]]))</f>
        <v>Mobile</v>
      </c>
      <c r="R99" t="str">
        <f>TRIM(PROPER(Tabla_auditoría[[#This Row],[Tipo_Campaña]]))</f>
        <v>Adquisición</v>
      </c>
      <c r="S99" t="str">
        <f>TRIM(PROPER(Tabla_auditoría[[#This Row],[Responsable]]))</f>
        <v>Laura Pérez</v>
      </c>
    </row>
    <row r="100" spans="1:19" x14ac:dyDescent="0.3">
      <c r="A100" s="1">
        <v>45930</v>
      </c>
      <c r="B100" s="2" t="s">
        <v>2547</v>
      </c>
      <c r="C100" s="2" t="s">
        <v>2533</v>
      </c>
      <c r="D100" s="2" t="s">
        <v>2528</v>
      </c>
      <c r="E100" s="2" t="s">
        <v>2517</v>
      </c>
      <c r="F100" s="3">
        <v>4605</v>
      </c>
      <c r="G100" s="3">
        <v>133</v>
      </c>
      <c r="H100" s="3">
        <v>16</v>
      </c>
      <c r="I100" s="4">
        <v>71.819999999999993</v>
      </c>
      <c r="J100" s="4">
        <v>2255.3200000000002</v>
      </c>
      <c r="K100" s="3">
        <v>10</v>
      </c>
      <c r="L100" s="2" t="s">
        <v>2539</v>
      </c>
      <c r="M100" s="2" t="s">
        <v>2524</v>
      </c>
      <c r="N100" t="str">
        <f>TRIM(PROPER(Tabla_auditoría[[#This Row],[ID_Campaña]]))</f>
        <v>Cmp-018</v>
      </c>
      <c r="O100" t="str">
        <f>TRIM(PROPER(Tabla_auditoría[[#This Row],[Canal]]))</f>
        <v>Paid Social</v>
      </c>
      <c r="P100" t="str">
        <f>TRIM(PROPER(Tabla_auditoría[[#This Row],[País]]))</f>
        <v>España</v>
      </c>
      <c r="Q100" t="str">
        <f>TRIM(PROPER(Tabla_auditoría[[#This Row],[Dispositivo]]))</f>
        <v>Desktop</v>
      </c>
      <c r="R100" t="str">
        <f>TRIM(PROPER(Tabla_auditoría[[#This Row],[Tipo_Campaña]]))</f>
        <v>Conversión</v>
      </c>
      <c r="S100" t="str">
        <f>TRIM(PROPER(Tabla_auditoría[[#This Row],[Responsable]]))</f>
        <v>Luis Martín</v>
      </c>
    </row>
    <row r="101" spans="1:19" x14ac:dyDescent="0.3">
      <c r="A101" s="1">
        <v>45922</v>
      </c>
      <c r="B101" s="2" t="s">
        <v>2569</v>
      </c>
      <c r="C101" s="2" t="s">
        <v>2527</v>
      </c>
      <c r="D101" s="2" t="s">
        <v>2573</v>
      </c>
      <c r="E101" s="2" t="s">
        <v>2529</v>
      </c>
      <c r="F101" s="3">
        <v>110457</v>
      </c>
      <c r="G101" s="3">
        <v>2756</v>
      </c>
      <c r="H101" s="3">
        <v>71</v>
      </c>
      <c r="I101" s="4">
        <v>3572.7</v>
      </c>
      <c r="J101" s="4">
        <v>10415.200000000001</v>
      </c>
      <c r="K101" s="3">
        <v>38</v>
      </c>
      <c r="L101" s="2" t="s">
        <v>2536</v>
      </c>
      <c r="M101" s="2" t="s">
        <v>2537</v>
      </c>
      <c r="N101" t="str">
        <f>TRIM(PROPER(Tabla_auditoría[[#This Row],[ID_Campaña]]))</f>
        <v>Cmp-013</v>
      </c>
      <c r="O101" t="str">
        <f>TRIM(PROPER(Tabla_auditoría[[#This Row],[Canal]]))</f>
        <v>Affiliate</v>
      </c>
      <c r="P101" t="str">
        <f>TRIM(PROPER(Tabla_auditoría[[#This Row],[País]]))</f>
        <v>España</v>
      </c>
      <c r="Q101" t="str">
        <f>TRIM(PROPER(Tabla_auditoría[[#This Row],[Dispositivo]]))</f>
        <v>Mobile</v>
      </c>
      <c r="R101" t="str">
        <f>TRIM(PROPER(Tabla_auditoría[[#This Row],[Tipo_Campaña]]))</f>
        <v>Reconocimiento</v>
      </c>
      <c r="S101" t="str">
        <f>TRIM(PROPER(Tabla_auditoría[[#This Row],[Responsable]]))</f>
        <v>Marta López</v>
      </c>
    </row>
    <row r="102" spans="1:19" x14ac:dyDescent="0.3">
      <c r="A102" s="1">
        <v>46012</v>
      </c>
      <c r="B102" s="2" t="s">
        <v>2520</v>
      </c>
      <c r="C102" s="2" t="s">
        <v>2515</v>
      </c>
      <c r="D102" s="2" t="s">
        <v>2522</v>
      </c>
      <c r="E102" s="2" t="s">
        <v>2517</v>
      </c>
      <c r="F102" s="3">
        <v>9726</v>
      </c>
      <c r="G102" s="3">
        <v>296</v>
      </c>
      <c r="H102" s="3">
        <v>26</v>
      </c>
      <c r="I102" s="4">
        <v>102.51</v>
      </c>
      <c r="J102" s="4">
        <v>2620.52</v>
      </c>
      <c r="K102" s="3">
        <v>22</v>
      </c>
      <c r="L102" s="2" t="s">
        <v>2536</v>
      </c>
      <c r="M102" s="2" t="s">
        <v>2526</v>
      </c>
      <c r="N102" t="str">
        <f>TRIM(PROPER(Tabla_auditoría[[#This Row],[ID_Campaña]]))</f>
        <v>Cmp-009</v>
      </c>
      <c r="O102" t="str">
        <f>TRIM(PROPER(Tabla_auditoría[[#This Row],[Canal]]))</f>
        <v>Email</v>
      </c>
      <c r="P102" t="str">
        <f>TRIM(PROPER(Tabla_auditoría[[#This Row],[País]]))</f>
        <v>Italia</v>
      </c>
      <c r="Q102" t="str">
        <f>TRIM(PROPER(Tabla_auditoría[[#This Row],[Dispositivo]]))</f>
        <v>Desktop</v>
      </c>
      <c r="R102" t="str">
        <f>TRIM(PROPER(Tabla_auditoría[[#This Row],[Tipo_Campaña]]))</f>
        <v>Reconocimiento</v>
      </c>
      <c r="S102" t="str">
        <f>TRIM(PROPER(Tabla_auditoría[[#This Row],[Responsable]]))</f>
        <v>Laura Pérez</v>
      </c>
    </row>
    <row r="103" spans="1:19" x14ac:dyDescent="0.3">
      <c r="A103" s="1">
        <v>45672</v>
      </c>
      <c r="B103" s="2" t="s">
        <v>2560</v>
      </c>
      <c r="C103" s="2" t="s">
        <v>2541</v>
      </c>
      <c r="D103" s="2" t="s">
        <v>2528</v>
      </c>
      <c r="E103" s="2" t="s">
        <v>2517</v>
      </c>
      <c r="F103" s="3">
        <v>164689</v>
      </c>
      <c r="G103" s="3">
        <v>8202</v>
      </c>
      <c r="H103" s="3">
        <v>215</v>
      </c>
      <c r="I103" s="4">
        <v>17165.28</v>
      </c>
      <c r="J103" s="4">
        <v>9987.1</v>
      </c>
      <c r="K103" s="3">
        <v>156</v>
      </c>
      <c r="L103" s="2" t="s">
        <v>2539</v>
      </c>
      <c r="M103" s="2" t="s">
        <v>2524</v>
      </c>
      <c r="N103" t="str">
        <f>TRIM(PROPER(Tabla_auditoría[[#This Row],[ID_Campaña]]))</f>
        <v>Cmp-027</v>
      </c>
      <c r="O103" t="str">
        <f>TRIM(PROPER(Tabla_auditoría[[#This Row],[Canal]]))</f>
        <v>Display</v>
      </c>
      <c r="P103" t="str">
        <f>TRIM(PROPER(Tabla_auditoría[[#This Row],[País]]))</f>
        <v>España</v>
      </c>
      <c r="Q103" t="str">
        <f>TRIM(PROPER(Tabla_auditoría[[#This Row],[Dispositivo]]))</f>
        <v>Desktop</v>
      </c>
      <c r="R103" t="str">
        <f>TRIM(PROPER(Tabla_auditoría[[#This Row],[Tipo_Campaña]]))</f>
        <v>Conversión</v>
      </c>
      <c r="S103" t="str">
        <f>TRIM(PROPER(Tabla_auditoría[[#This Row],[Responsable]]))</f>
        <v>Luis Martín</v>
      </c>
    </row>
    <row r="104" spans="1:19" x14ac:dyDescent="0.3">
      <c r="A104" s="1">
        <v>45969</v>
      </c>
      <c r="B104" s="2" t="s">
        <v>2545</v>
      </c>
      <c r="C104" s="2" t="s">
        <v>2515</v>
      </c>
      <c r="D104" s="2" t="s">
        <v>2525</v>
      </c>
      <c r="E104" s="2" t="s">
        <v>2517</v>
      </c>
      <c r="F104" s="3">
        <v>24391</v>
      </c>
      <c r="G104" s="3">
        <v>1360</v>
      </c>
      <c r="H104" s="3">
        <v>179</v>
      </c>
      <c r="I104" s="4">
        <v>2162.02</v>
      </c>
      <c r="J104" s="4">
        <v>9403.73</v>
      </c>
      <c r="K104" s="3">
        <v>102</v>
      </c>
      <c r="L104" s="2" t="s">
        <v>2539</v>
      </c>
      <c r="M104" s="2" t="s">
        <v>2519</v>
      </c>
      <c r="N104" t="str">
        <f>TRIM(PROPER(Tabla_auditoría[[#This Row],[ID_Campaña]]))</f>
        <v>Cmp-011</v>
      </c>
      <c r="O104" t="str">
        <f>TRIM(PROPER(Tabla_auditoría[[#This Row],[Canal]]))</f>
        <v>Email</v>
      </c>
      <c r="P104" t="str">
        <f>TRIM(PROPER(Tabla_auditoría[[#This Row],[País]]))</f>
        <v>Francia</v>
      </c>
      <c r="Q104" t="str">
        <f>TRIM(PROPER(Tabla_auditoría[[#This Row],[Dispositivo]]))</f>
        <v>Desktop</v>
      </c>
      <c r="R104" t="str">
        <f>TRIM(PROPER(Tabla_auditoría[[#This Row],[Tipo_Campaña]]))</f>
        <v>Conversión</v>
      </c>
      <c r="S104" t="str">
        <f>TRIM(PROPER(Tabla_auditoría[[#This Row],[Responsable]]))</f>
        <v>Carlos Ruiz</v>
      </c>
    </row>
    <row r="105" spans="1:19" x14ac:dyDescent="0.3">
      <c r="A105" s="1">
        <v>46008</v>
      </c>
      <c r="B105" s="2" t="s">
        <v>2520</v>
      </c>
      <c r="C105" s="2" t="s">
        <v>2527</v>
      </c>
      <c r="D105" s="2" t="s">
        <v>2516</v>
      </c>
      <c r="E105" s="2" t="s">
        <v>2517</v>
      </c>
      <c r="F105" s="3">
        <v>150402</v>
      </c>
      <c r="G105" s="3">
        <v>7857</v>
      </c>
      <c r="H105" s="3">
        <v>646</v>
      </c>
      <c r="I105" s="4">
        <v>8959.44</v>
      </c>
      <c r="J105" s="4">
        <v>13290.32</v>
      </c>
      <c r="K105" s="3">
        <v>314</v>
      </c>
      <c r="L105" s="2" t="s">
        <v>2523</v>
      </c>
      <c r="M105" s="2" t="s">
        <v>2524</v>
      </c>
      <c r="N105" t="str">
        <f>TRIM(PROPER(Tabla_auditoría[[#This Row],[ID_Campaña]]))</f>
        <v>Cmp-009</v>
      </c>
      <c r="O105" t="str">
        <f>TRIM(PROPER(Tabla_auditoría[[#This Row],[Canal]]))</f>
        <v>Affiliate</v>
      </c>
      <c r="P105" t="str">
        <f>TRIM(PROPER(Tabla_auditoría[[#This Row],[País]]))</f>
        <v>México</v>
      </c>
      <c r="Q105" t="str">
        <f>TRIM(PROPER(Tabla_auditoría[[#This Row],[Dispositivo]]))</f>
        <v>Desktop</v>
      </c>
      <c r="R105" t="str">
        <f>TRIM(PROPER(Tabla_auditoría[[#This Row],[Tipo_Campaña]]))</f>
        <v>Retención</v>
      </c>
      <c r="S105" t="str">
        <f>TRIM(PROPER(Tabla_auditoría[[#This Row],[Responsable]]))</f>
        <v>Luis Martín</v>
      </c>
    </row>
    <row r="106" spans="1:19" x14ac:dyDescent="0.3">
      <c r="A106" s="1">
        <v>45801</v>
      </c>
      <c r="B106" s="2" t="s">
        <v>2570</v>
      </c>
      <c r="C106" s="2" t="s">
        <v>2527</v>
      </c>
      <c r="D106" s="2" t="s">
        <v>2528</v>
      </c>
      <c r="E106" s="2" t="s">
        <v>2517</v>
      </c>
      <c r="F106" s="3">
        <v>58465</v>
      </c>
      <c r="G106" s="3">
        <v>354</v>
      </c>
      <c r="H106" s="3">
        <v>14</v>
      </c>
      <c r="I106" s="4">
        <v>204.68</v>
      </c>
      <c r="J106" s="4">
        <v>2616.19</v>
      </c>
      <c r="K106" s="3">
        <v>8</v>
      </c>
      <c r="L106" s="2" t="s">
        <v>2539</v>
      </c>
      <c r="M106" s="2" t="s">
        <v>2519</v>
      </c>
      <c r="N106" t="str">
        <f>TRIM(PROPER(Tabla_auditoría[[#This Row],[ID_Campaña]]))</f>
        <v>Cmp-016</v>
      </c>
      <c r="O106" t="str">
        <f>TRIM(PROPER(Tabla_auditoría[[#This Row],[Canal]]))</f>
        <v>Affiliate</v>
      </c>
      <c r="P106" t="str">
        <f>TRIM(PROPER(Tabla_auditoría[[#This Row],[País]]))</f>
        <v>España</v>
      </c>
      <c r="Q106" t="str">
        <f>TRIM(PROPER(Tabla_auditoría[[#This Row],[Dispositivo]]))</f>
        <v>Desktop</v>
      </c>
      <c r="R106" t="str">
        <f>TRIM(PROPER(Tabla_auditoría[[#This Row],[Tipo_Campaña]]))</f>
        <v>Conversión</v>
      </c>
      <c r="S106" t="str">
        <f>TRIM(PROPER(Tabla_auditoría[[#This Row],[Responsable]]))</f>
        <v>Carlos Ruiz</v>
      </c>
    </row>
    <row r="107" spans="1:19" x14ac:dyDescent="0.3">
      <c r="A107" s="1">
        <v>45705</v>
      </c>
      <c r="B107" s="2" t="s">
        <v>2532</v>
      </c>
      <c r="C107" s="2" t="s">
        <v>2533</v>
      </c>
      <c r="D107" s="2" t="s">
        <v>2525</v>
      </c>
      <c r="E107" s="2" t="s">
        <v>2534</v>
      </c>
      <c r="F107" s="3">
        <v>71713</v>
      </c>
      <c r="G107" s="3">
        <v>1171</v>
      </c>
      <c r="H107" s="3">
        <v>163</v>
      </c>
      <c r="I107" s="4">
        <v>946.06</v>
      </c>
      <c r="J107" s="4">
        <v>24678.32</v>
      </c>
      <c r="K107" s="3">
        <v>138</v>
      </c>
      <c r="L107" s="2" t="s">
        <v>2539</v>
      </c>
      <c r="M107" s="2" t="s">
        <v>2546</v>
      </c>
      <c r="N107" t="str">
        <f>TRIM(PROPER(Tabla_auditoría[[#This Row],[ID_Campaña]]))</f>
        <v>Cmp-022</v>
      </c>
      <c r="O107" t="str">
        <f>TRIM(PROPER(Tabla_auditoría[[#This Row],[Canal]]))</f>
        <v>Paid Social</v>
      </c>
      <c r="P107" t="str">
        <f>TRIM(PROPER(Tabla_auditoría[[#This Row],[País]]))</f>
        <v>Francia</v>
      </c>
      <c r="Q107" t="str">
        <f>TRIM(PROPER(Tabla_auditoría[[#This Row],[Dispositivo]]))</f>
        <v>Tablet</v>
      </c>
      <c r="R107" t="str">
        <f>TRIM(PROPER(Tabla_auditoría[[#This Row],[Tipo_Campaña]]))</f>
        <v>Conversión</v>
      </c>
      <c r="S107" t="str">
        <f>TRIM(PROPER(Tabla_auditoría[[#This Row],[Responsable]]))</f>
        <v>Ana García</v>
      </c>
    </row>
    <row r="108" spans="1:19" x14ac:dyDescent="0.3">
      <c r="A108" s="1">
        <v>45823</v>
      </c>
      <c r="B108" s="2" t="s">
        <v>2514</v>
      </c>
      <c r="C108" s="2" t="s">
        <v>2543</v>
      </c>
      <c r="D108" s="2" t="s">
        <v>2522</v>
      </c>
      <c r="E108" s="2" t="s">
        <v>2534</v>
      </c>
      <c r="F108" s="3">
        <v>163297</v>
      </c>
      <c r="G108" s="3">
        <v>9413</v>
      </c>
      <c r="H108" s="3">
        <v>744</v>
      </c>
      <c r="I108" s="4">
        <v>8149.36</v>
      </c>
      <c r="J108" s="4">
        <v>37371.14</v>
      </c>
      <c r="K108" s="3">
        <v>559</v>
      </c>
      <c r="L108" s="2" t="s">
        <v>2523</v>
      </c>
      <c r="M108" s="2" t="s">
        <v>2524</v>
      </c>
      <c r="N108" t="str">
        <f>TRIM(PROPER(Tabla_auditoría[[#This Row],[ID_Campaña]]))</f>
        <v>Cmp-002</v>
      </c>
      <c r="O108" t="str">
        <f>TRIM(PROPER(Tabla_auditoría[[#This Row],[Canal]]))</f>
        <v>Organic Social</v>
      </c>
      <c r="P108" t="str">
        <f>TRIM(PROPER(Tabla_auditoría[[#This Row],[País]]))</f>
        <v>Italia</v>
      </c>
      <c r="Q108" t="str">
        <f>TRIM(PROPER(Tabla_auditoría[[#This Row],[Dispositivo]]))</f>
        <v>Tablet</v>
      </c>
      <c r="R108" t="str">
        <f>TRIM(PROPER(Tabla_auditoría[[#This Row],[Tipo_Campaña]]))</f>
        <v>Retención</v>
      </c>
      <c r="S108" t="str">
        <f>TRIM(PROPER(Tabla_auditoría[[#This Row],[Responsable]]))</f>
        <v>Luis Martín</v>
      </c>
    </row>
    <row r="109" spans="1:19" x14ac:dyDescent="0.3">
      <c r="A109" s="1">
        <v>45916</v>
      </c>
      <c r="B109" s="2" t="s">
        <v>2530</v>
      </c>
      <c r="C109" s="2" t="s">
        <v>2521</v>
      </c>
      <c r="D109" s="2" t="s">
        <v>2516</v>
      </c>
      <c r="E109" s="2" t="s">
        <v>2529</v>
      </c>
      <c r="F109" s="3">
        <v>126504</v>
      </c>
      <c r="G109" s="3">
        <v>7015</v>
      </c>
      <c r="H109" s="3">
        <v>797</v>
      </c>
      <c r="I109" s="4">
        <v>8333.2900000000009</v>
      </c>
      <c r="J109" s="4">
        <v>17445.59</v>
      </c>
      <c r="K109" s="3">
        <v>397</v>
      </c>
      <c r="L109" s="2" t="s">
        <v>2539</v>
      </c>
      <c r="M109" s="2" t="s">
        <v>2537</v>
      </c>
      <c r="N109" t="str">
        <f>TRIM(PROPER(Tabla_auditoría[[#This Row],[ID_Campaña]]))</f>
        <v>Cmp-026</v>
      </c>
      <c r="O109" t="str">
        <f>TRIM(PROPER(Tabla_auditoría[[#This Row],[Canal]]))</f>
        <v>Paid Search</v>
      </c>
      <c r="P109" t="str">
        <f>TRIM(PROPER(Tabla_auditoría[[#This Row],[País]]))</f>
        <v>México</v>
      </c>
      <c r="Q109" t="str">
        <f>TRIM(PROPER(Tabla_auditoría[[#This Row],[Dispositivo]]))</f>
        <v>Mobile</v>
      </c>
      <c r="R109" t="str">
        <f>TRIM(PROPER(Tabla_auditoría[[#This Row],[Tipo_Campaña]]))</f>
        <v>Conversión</v>
      </c>
      <c r="S109" t="str">
        <f>TRIM(PROPER(Tabla_auditoría[[#This Row],[Responsable]]))</f>
        <v>Marta López</v>
      </c>
    </row>
    <row r="110" spans="1:19" x14ac:dyDescent="0.3">
      <c r="A110" s="1">
        <v>45940</v>
      </c>
      <c r="B110" s="2" t="s">
        <v>2555</v>
      </c>
      <c r="C110" s="2" t="s">
        <v>2533</v>
      </c>
      <c r="D110" s="2" t="s">
        <v>2516</v>
      </c>
      <c r="E110" s="2" t="s">
        <v>2517</v>
      </c>
      <c r="F110" s="3">
        <v>31074</v>
      </c>
      <c r="G110" s="3">
        <v>2691</v>
      </c>
      <c r="H110" s="3">
        <v>22</v>
      </c>
      <c r="I110" s="4">
        <v>598.20000000000005</v>
      </c>
      <c r="J110" s="4">
        <v>2082.5</v>
      </c>
      <c r="K110" s="3">
        <v>11</v>
      </c>
      <c r="L110" s="2" t="s">
        <v>2523</v>
      </c>
      <c r="M110" s="2" t="s">
        <v>2546</v>
      </c>
      <c r="N110" t="str">
        <f>TRIM(PROPER(Tabla_auditoría[[#This Row],[ID_Campaña]]))</f>
        <v>Cmp-010</v>
      </c>
      <c r="O110" t="str">
        <f>TRIM(PROPER(Tabla_auditoría[[#This Row],[Canal]]))</f>
        <v>Paid Social</v>
      </c>
      <c r="P110" t="str">
        <f>TRIM(PROPER(Tabla_auditoría[[#This Row],[País]]))</f>
        <v>México</v>
      </c>
      <c r="Q110" t="str">
        <f>TRIM(PROPER(Tabla_auditoría[[#This Row],[Dispositivo]]))</f>
        <v>Desktop</v>
      </c>
      <c r="R110" t="str">
        <f>TRIM(PROPER(Tabla_auditoría[[#This Row],[Tipo_Campaña]]))</f>
        <v>Retención</v>
      </c>
      <c r="S110" t="str">
        <f>TRIM(PROPER(Tabla_auditoría[[#This Row],[Responsable]]))</f>
        <v>Ana García</v>
      </c>
    </row>
    <row r="111" spans="1:19" x14ac:dyDescent="0.3">
      <c r="A111" s="1">
        <v>45769</v>
      </c>
      <c r="B111" s="2" t="s">
        <v>2542</v>
      </c>
      <c r="C111" s="2" t="s">
        <v>2515</v>
      </c>
      <c r="D111" s="2" t="s">
        <v>2528</v>
      </c>
      <c r="E111" s="2" t="s">
        <v>2534</v>
      </c>
      <c r="F111" s="3">
        <v>5691</v>
      </c>
      <c r="G111" s="3">
        <v>424</v>
      </c>
      <c r="H111" s="3">
        <v>56</v>
      </c>
      <c r="I111" s="4">
        <v>640.21</v>
      </c>
      <c r="J111" s="4">
        <v>9464.19</v>
      </c>
      <c r="K111" s="3">
        <v>30</v>
      </c>
      <c r="L111" s="2" t="s">
        <v>2523</v>
      </c>
      <c r="M111" s="2" t="s">
        <v>2537</v>
      </c>
      <c r="N111" t="str">
        <f>TRIM(PROPER(Tabla_auditoría[[#This Row],[ID_Campaña]]))</f>
        <v>Cmp-025</v>
      </c>
      <c r="O111" t="str">
        <f>TRIM(PROPER(Tabla_auditoría[[#This Row],[Canal]]))</f>
        <v>Email</v>
      </c>
      <c r="P111" t="str">
        <f>TRIM(PROPER(Tabla_auditoría[[#This Row],[País]]))</f>
        <v>España</v>
      </c>
      <c r="Q111" t="str">
        <f>TRIM(PROPER(Tabla_auditoría[[#This Row],[Dispositivo]]))</f>
        <v>Tablet</v>
      </c>
      <c r="R111" t="str">
        <f>TRIM(PROPER(Tabla_auditoría[[#This Row],[Tipo_Campaña]]))</f>
        <v>Retención</v>
      </c>
      <c r="S111" t="str">
        <f>TRIM(PROPER(Tabla_auditoría[[#This Row],[Responsable]]))</f>
        <v>Marta López</v>
      </c>
    </row>
    <row r="112" spans="1:19" x14ac:dyDescent="0.3">
      <c r="A112" s="1">
        <v>45956</v>
      </c>
      <c r="B112" s="2" t="s">
        <v>2542</v>
      </c>
      <c r="C112" s="2" t="s">
        <v>2543</v>
      </c>
      <c r="D112" s="2" t="s">
        <v>2531</v>
      </c>
      <c r="E112" s="2" t="s">
        <v>2517</v>
      </c>
      <c r="F112" s="3">
        <v>102137</v>
      </c>
      <c r="G112" s="3">
        <v>5209</v>
      </c>
      <c r="H112" s="3">
        <v>416</v>
      </c>
      <c r="I112" s="4">
        <v>3330.71</v>
      </c>
      <c r="J112" s="4">
        <v>80667.89</v>
      </c>
      <c r="K112" s="3">
        <v>320</v>
      </c>
      <c r="L112" s="2" t="s">
        <v>2518</v>
      </c>
      <c r="M112" s="2" t="s">
        <v>2546</v>
      </c>
      <c r="N112" t="str">
        <f>TRIM(PROPER(Tabla_auditoría[[#This Row],[ID_Campaña]]))</f>
        <v>Cmp-025</v>
      </c>
      <c r="O112" t="str">
        <f>TRIM(PROPER(Tabla_auditoría[[#This Row],[Canal]]))</f>
        <v>Organic Social</v>
      </c>
      <c r="P112" t="str">
        <f>TRIM(PROPER(Tabla_auditoría[[#This Row],[País]]))</f>
        <v>Portugal</v>
      </c>
      <c r="Q112" t="str">
        <f>TRIM(PROPER(Tabla_auditoría[[#This Row],[Dispositivo]]))</f>
        <v>Desktop</v>
      </c>
      <c r="R112" t="str">
        <f>TRIM(PROPER(Tabla_auditoría[[#This Row],[Tipo_Campaña]]))</f>
        <v>Adquisición</v>
      </c>
      <c r="S112" t="str">
        <f>TRIM(PROPER(Tabla_auditoría[[#This Row],[Responsable]]))</f>
        <v>Ana García</v>
      </c>
    </row>
    <row r="113" spans="1:19" x14ac:dyDescent="0.3">
      <c r="A113" s="1">
        <v>45998</v>
      </c>
      <c r="B113" s="2" t="s">
        <v>2542</v>
      </c>
      <c r="C113" s="2" t="s">
        <v>2515</v>
      </c>
      <c r="D113" s="2" t="s">
        <v>2522</v>
      </c>
      <c r="E113" s="2" t="s">
        <v>2529</v>
      </c>
      <c r="F113" s="3">
        <v>132147</v>
      </c>
      <c r="G113" s="3">
        <v>3443</v>
      </c>
      <c r="H113" s="3">
        <v>468</v>
      </c>
      <c r="I113" s="4">
        <v>3993.42</v>
      </c>
      <c r="J113" s="4">
        <v>84664.15</v>
      </c>
      <c r="K113" s="3">
        <v>312</v>
      </c>
      <c r="L113" s="2" t="s">
        <v>2536</v>
      </c>
      <c r="M113" s="2" t="s">
        <v>2537</v>
      </c>
      <c r="N113" t="str">
        <f>TRIM(PROPER(Tabla_auditoría[[#This Row],[ID_Campaña]]))</f>
        <v>Cmp-025</v>
      </c>
      <c r="O113" t="str">
        <f>TRIM(PROPER(Tabla_auditoría[[#This Row],[Canal]]))</f>
        <v>Email</v>
      </c>
      <c r="P113" t="str">
        <f>TRIM(PROPER(Tabla_auditoría[[#This Row],[País]]))</f>
        <v>Italia</v>
      </c>
      <c r="Q113" t="str">
        <f>TRIM(PROPER(Tabla_auditoría[[#This Row],[Dispositivo]]))</f>
        <v>Mobile</v>
      </c>
      <c r="R113" t="str">
        <f>TRIM(PROPER(Tabla_auditoría[[#This Row],[Tipo_Campaña]]))</f>
        <v>Reconocimiento</v>
      </c>
      <c r="S113" t="str">
        <f>TRIM(PROPER(Tabla_auditoría[[#This Row],[Responsable]]))</f>
        <v>Marta López</v>
      </c>
    </row>
    <row r="114" spans="1:19" x14ac:dyDescent="0.3">
      <c r="A114" s="1">
        <v>45861</v>
      </c>
      <c r="B114" s="2" t="s">
        <v>2545</v>
      </c>
      <c r="C114" s="2" t="s">
        <v>2521</v>
      </c>
      <c r="D114" s="2" t="s">
        <v>2528</v>
      </c>
      <c r="E114" s="2" t="s">
        <v>2529</v>
      </c>
      <c r="F114" s="3">
        <v>133955</v>
      </c>
      <c r="G114" s="3">
        <v>3696</v>
      </c>
      <c r="H114" s="3">
        <v>153</v>
      </c>
      <c r="I114" s="4">
        <v>3680.78</v>
      </c>
      <c r="J114" s="4">
        <v>3128.82</v>
      </c>
      <c r="K114" s="3">
        <v>79</v>
      </c>
      <c r="L114" s="2" t="s">
        <v>2536</v>
      </c>
      <c r="M114" s="2" t="s">
        <v>2524</v>
      </c>
      <c r="N114" t="str">
        <f>TRIM(PROPER(Tabla_auditoría[[#This Row],[ID_Campaña]]))</f>
        <v>Cmp-011</v>
      </c>
      <c r="O114" t="str">
        <f>TRIM(PROPER(Tabla_auditoría[[#This Row],[Canal]]))</f>
        <v>Paid Search</v>
      </c>
      <c r="P114" t="str">
        <f>TRIM(PROPER(Tabla_auditoría[[#This Row],[País]]))</f>
        <v>España</v>
      </c>
      <c r="Q114" t="str">
        <f>TRIM(PROPER(Tabla_auditoría[[#This Row],[Dispositivo]]))</f>
        <v>Mobile</v>
      </c>
      <c r="R114" t="str">
        <f>TRIM(PROPER(Tabla_auditoría[[#This Row],[Tipo_Campaña]]))</f>
        <v>Reconocimiento</v>
      </c>
      <c r="S114" t="str">
        <f>TRIM(PROPER(Tabla_auditoría[[#This Row],[Responsable]]))</f>
        <v>Luis Martín</v>
      </c>
    </row>
    <row r="115" spans="1:19" x14ac:dyDescent="0.3">
      <c r="A115" s="1">
        <v>46018</v>
      </c>
      <c r="B115" s="2" t="s">
        <v>2520</v>
      </c>
      <c r="C115" s="2" t="s">
        <v>2533</v>
      </c>
      <c r="D115" s="2" t="s">
        <v>2528</v>
      </c>
      <c r="E115" s="2" t="s">
        <v>2517</v>
      </c>
      <c r="F115" s="3">
        <v>64939</v>
      </c>
      <c r="G115" s="3">
        <v>1976</v>
      </c>
      <c r="H115" s="3">
        <v>196</v>
      </c>
      <c r="I115" s="4">
        <v>3152.73</v>
      </c>
      <c r="J115" s="4">
        <v>26300.52</v>
      </c>
      <c r="K115" s="3">
        <v>151</v>
      </c>
      <c r="L115" s="2" t="s">
        <v>2518</v>
      </c>
      <c r="M115" s="2" t="s">
        <v>2524</v>
      </c>
      <c r="N115" t="str">
        <f>TRIM(PROPER(Tabla_auditoría[[#This Row],[ID_Campaña]]))</f>
        <v>Cmp-009</v>
      </c>
      <c r="O115" t="str">
        <f>TRIM(PROPER(Tabla_auditoría[[#This Row],[Canal]]))</f>
        <v>Paid Social</v>
      </c>
      <c r="P115" t="str">
        <f>TRIM(PROPER(Tabla_auditoría[[#This Row],[País]]))</f>
        <v>España</v>
      </c>
      <c r="Q115" t="str">
        <f>TRIM(PROPER(Tabla_auditoría[[#This Row],[Dispositivo]]))</f>
        <v>Desktop</v>
      </c>
      <c r="R115" t="str">
        <f>TRIM(PROPER(Tabla_auditoría[[#This Row],[Tipo_Campaña]]))</f>
        <v>Adquisición</v>
      </c>
      <c r="S115" t="str">
        <f>TRIM(PROPER(Tabla_auditoría[[#This Row],[Responsable]]))</f>
        <v>Luis Martín</v>
      </c>
    </row>
    <row r="116" spans="1:19" x14ac:dyDescent="0.3">
      <c r="A116" s="1">
        <v>45864</v>
      </c>
      <c r="B116" s="2" t="s">
        <v>2574</v>
      </c>
      <c r="C116" s="2" t="s">
        <v>2543</v>
      </c>
      <c r="D116" s="2" t="s">
        <v>2516</v>
      </c>
      <c r="E116" s="2" t="s">
        <v>2529</v>
      </c>
      <c r="F116" s="3">
        <v>114954</v>
      </c>
      <c r="G116" s="3">
        <v>5234</v>
      </c>
      <c r="H116" s="3">
        <v>528</v>
      </c>
      <c r="I116" s="4">
        <v>10691.29</v>
      </c>
      <c r="J116" s="4">
        <v>19430.849999999999</v>
      </c>
      <c r="K116" s="3">
        <v>406</v>
      </c>
      <c r="L116" s="2" t="s">
        <v>2536</v>
      </c>
      <c r="M116" s="2" t="s">
        <v>2546</v>
      </c>
      <c r="N116" t="str">
        <f>TRIM(PROPER(Tabla_auditoría[[#This Row],[ID_Campaña]]))</f>
        <v>Cmp-003</v>
      </c>
      <c r="O116" t="str">
        <f>TRIM(PROPER(Tabla_auditoría[[#This Row],[Canal]]))</f>
        <v>Organic Social</v>
      </c>
      <c r="P116" t="str">
        <f>TRIM(PROPER(Tabla_auditoría[[#This Row],[País]]))</f>
        <v>México</v>
      </c>
      <c r="Q116" t="str">
        <f>TRIM(PROPER(Tabla_auditoría[[#This Row],[Dispositivo]]))</f>
        <v>Mobile</v>
      </c>
      <c r="R116" t="str">
        <f>TRIM(PROPER(Tabla_auditoría[[#This Row],[Tipo_Campaña]]))</f>
        <v>Reconocimiento</v>
      </c>
      <c r="S116" t="str">
        <f>TRIM(PROPER(Tabla_auditoría[[#This Row],[Responsable]]))</f>
        <v>Ana García</v>
      </c>
    </row>
    <row r="117" spans="1:19" x14ac:dyDescent="0.3">
      <c r="A117" s="1">
        <v>45857</v>
      </c>
      <c r="B117" s="2" t="s">
        <v>2563</v>
      </c>
      <c r="C117" s="2" t="s">
        <v>2521</v>
      </c>
      <c r="D117" s="2" t="s">
        <v>2528</v>
      </c>
      <c r="E117" s="2" t="s">
        <v>2529</v>
      </c>
      <c r="F117" s="3">
        <v>87216</v>
      </c>
      <c r="G117" s="3">
        <v>2108</v>
      </c>
      <c r="H117" s="3">
        <v>210</v>
      </c>
      <c r="I117" s="4">
        <v>2454.09</v>
      </c>
      <c r="J117" s="4">
        <v>45379.1</v>
      </c>
      <c r="K117" s="3">
        <v>115</v>
      </c>
      <c r="L117" s="2" t="s">
        <v>2536</v>
      </c>
      <c r="M117" s="2" t="s">
        <v>2526</v>
      </c>
      <c r="N117" t="str">
        <f>TRIM(PROPER(Tabla_auditoría[[#This Row],[ID_Campaña]]))</f>
        <v>Cmp-023</v>
      </c>
      <c r="O117" t="str">
        <f>TRIM(PROPER(Tabla_auditoría[[#This Row],[Canal]]))</f>
        <v>Paid Search</v>
      </c>
      <c r="P117" t="str">
        <f>TRIM(PROPER(Tabla_auditoría[[#This Row],[País]]))</f>
        <v>España</v>
      </c>
      <c r="Q117" t="str">
        <f>TRIM(PROPER(Tabla_auditoría[[#This Row],[Dispositivo]]))</f>
        <v>Mobile</v>
      </c>
      <c r="R117" t="str">
        <f>TRIM(PROPER(Tabla_auditoría[[#This Row],[Tipo_Campaña]]))</f>
        <v>Reconocimiento</v>
      </c>
      <c r="S117" t="str">
        <f>TRIM(PROPER(Tabla_auditoría[[#This Row],[Responsable]]))</f>
        <v>Laura Pérez</v>
      </c>
    </row>
    <row r="118" spans="1:19" x14ac:dyDescent="0.3">
      <c r="A118" s="1">
        <v>45960</v>
      </c>
      <c r="B118" s="2" t="s">
        <v>2556</v>
      </c>
      <c r="C118" s="2" t="s">
        <v>2515</v>
      </c>
      <c r="D118" s="2" t="s">
        <v>2528</v>
      </c>
      <c r="E118" s="2" t="s">
        <v>2517</v>
      </c>
      <c r="F118" s="3">
        <v>110960</v>
      </c>
      <c r="G118" s="3">
        <v>5601</v>
      </c>
      <c r="H118" s="3">
        <v>36</v>
      </c>
      <c r="I118" s="4">
        <v>1946.95</v>
      </c>
      <c r="J118" s="4">
        <v>1679.45</v>
      </c>
      <c r="K118" s="3">
        <v>21</v>
      </c>
      <c r="L118" s="2" t="s">
        <v>2539</v>
      </c>
      <c r="M118" s="2" t="s">
        <v>2546</v>
      </c>
      <c r="N118" t="str">
        <f>TRIM(PROPER(Tabla_auditoría[[#This Row],[ID_Campaña]]))</f>
        <v>Cmp-014</v>
      </c>
      <c r="O118" t="str">
        <f>TRIM(PROPER(Tabla_auditoría[[#This Row],[Canal]]))</f>
        <v>Email</v>
      </c>
      <c r="P118" t="str">
        <f>TRIM(PROPER(Tabla_auditoría[[#This Row],[País]]))</f>
        <v>España</v>
      </c>
      <c r="Q118" t="str">
        <f>TRIM(PROPER(Tabla_auditoría[[#This Row],[Dispositivo]]))</f>
        <v>Desktop</v>
      </c>
      <c r="R118" t="str">
        <f>TRIM(PROPER(Tabla_auditoría[[#This Row],[Tipo_Campaña]]))</f>
        <v>Conversión</v>
      </c>
      <c r="S118" t="str">
        <f>TRIM(PROPER(Tabla_auditoría[[#This Row],[Responsable]]))</f>
        <v>Ana García</v>
      </c>
    </row>
    <row r="119" spans="1:19" x14ac:dyDescent="0.3">
      <c r="A119" s="1">
        <v>45959</v>
      </c>
      <c r="B119" s="2" t="s">
        <v>2555</v>
      </c>
      <c r="C119" s="2" t="s">
        <v>2541</v>
      </c>
      <c r="D119" s="2" t="s">
        <v>2531</v>
      </c>
      <c r="E119" s="2" t="s">
        <v>2517</v>
      </c>
      <c r="F119" s="3">
        <v>116461</v>
      </c>
      <c r="G119" s="3">
        <v>2968</v>
      </c>
      <c r="H119" s="3">
        <v>241</v>
      </c>
      <c r="I119" s="4">
        <v>4277.7700000000004</v>
      </c>
      <c r="J119" s="4">
        <v>39297.040000000001</v>
      </c>
      <c r="K119" s="3">
        <v>188</v>
      </c>
      <c r="L119" s="2" t="s">
        <v>2518</v>
      </c>
      <c r="M119" s="2" t="s">
        <v>2519</v>
      </c>
      <c r="N119" t="str">
        <f>TRIM(PROPER(Tabla_auditoría[[#This Row],[ID_Campaña]]))</f>
        <v>Cmp-010</v>
      </c>
      <c r="O119" t="str">
        <f>TRIM(PROPER(Tabla_auditoría[[#This Row],[Canal]]))</f>
        <v>Display</v>
      </c>
      <c r="P119" t="str">
        <f>TRIM(PROPER(Tabla_auditoría[[#This Row],[País]]))</f>
        <v>Portugal</v>
      </c>
      <c r="Q119" t="str">
        <f>TRIM(PROPER(Tabla_auditoría[[#This Row],[Dispositivo]]))</f>
        <v>Desktop</v>
      </c>
      <c r="R119" t="str">
        <f>TRIM(PROPER(Tabla_auditoría[[#This Row],[Tipo_Campaña]]))</f>
        <v>Adquisición</v>
      </c>
      <c r="S119" t="str">
        <f>TRIM(PROPER(Tabla_auditoría[[#This Row],[Responsable]]))</f>
        <v>Carlos Ruiz</v>
      </c>
    </row>
    <row r="120" spans="1:19" x14ac:dyDescent="0.3">
      <c r="A120" s="1">
        <v>45868</v>
      </c>
      <c r="B120" s="2" t="s">
        <v>2566</v>
      </c>
      <c r="C120" s="2" t="s">
        <v>2553</v>
      </c>
      <c r="D120" s="2" t="s">
        <v>2531</v>
      </c>
      <c r="E120" s="2" t="s">
        <v>2517</v>
      </c>
      <c r="F120" s="3">
        <v>135208</v>
      </c>
      <c r="G120" s="3">
        <v>1566</v>
      </c>
      <c r="H120" s="3">
        <v>197</v>
      </c>
      <c r="I120" s="4">
        <v>488.54</v>
      </c>
      <c r="J120" s="4">
        <v>28752.400000000001</v>
      </c>
      <c r="K120" s="3">
        <v>136</v>
      </c>
      <c r="L120" s="2" t="s">
        <v>2536</v>
      </c>
      <c r="M120" s="2" t="s">
        <v>2519</v>
      </c>
      <c r="N120" t="str">
        <f>TRIM(PROPER(Tabla_auditoría[[#This Row],[ID_Campaña]]))</f>
        <v>Cmp-001</v>
      </c>
      <c r="O120" t="str">
        <f>TRIM(PROPER(Tabla_auditoría[[#This Row],[Canal]]))</f>
        <v>Email</v>
      </c>
      <c r="P120" t="str">
        <f>TRIM(PROPER(Tabla_auditoría[[#This Row],[País]]))</f>
        <v>Portugal</v>
      </c>
      <c r="Q120" t="str">
        <f>TRIM(PROPER(Tabla_auditoría[[#This Row],[Dispositivo]]))</f>
        <v>Desktop</v>
      </c>
      <c r="R120" t="str">
        <f>TRIM(PROPER(Tabla_auditoría[[#This Row],[Tipo_Campaña]]))</f>
        <v>Reconocimiento</v>
      </c>
      <c r="S120" t="str">
        <f>TRIM(PROPER(Tabla_auditoría[[#This Row],[Responsable]]))</f>
        <v>Carlos Ruiz</v>
      </c>
    </row>
    <row r="121" spans="1:19" x14ac:dyDescent="0.3">
      <c r="A121" s="1">
        <v>45982</v>
      </c>
      <c r="B121" s="2" t="s">
        <v>2555</v>
      </c>
      <c r="C121" s="2" t="s">
        <v>2533</v>
      </c>
      <c r="D121" s="2" t="s">
        <v>2528</v>
      </c>
      <c r="E121" s="2" t="s">
        <v>2529</v>
      </c>
      <c r="F121" s="3">
        <v>73777</v>
      </c>
      <c r="G121" s="3">
        <v>4368</v>
      </c>
      <c r="H121" s="3">
        <v>392</v>
      </c>
      <c r="I121" s="4">
        <v>2832.11</v>
      </c>
      <c r="J121" s="4">
        <v>44982.77</v>
      </c>
      <c r="K121" s="3">
        <v>352</v>
      </c>
      <c r="L121" s="2" t="s">
        <v>2523</v>
      </c>
      <c r="M121" s="2" t="s">
        <v>2546</v>
      </c>
      <c r="N121" t="str">
        <f>TRIM(PROPER(Tabla_auditoría[[#This Row],[ID_Campaña]]))</f>
        <v>Cmp-010</v>
      </c>
      <c r="O121" t="str">
        <f>TRIM(PROPER(Tabla_auditoría[[#This Row],[Canal]]))</f>
        <v>Paid Social</v>
      </c>
      <c r="P121" t="str">
        <f>TRIM(PROPER(Tabla_auditoría[[#This Row],[País]]))</f>
        <v>España</v>
      </c>
      <c r="Q121" t="str">
        <f>TRIM(PROPER(Tabla_auditoría[[#This Row],[Dispositivo]]))</f>
        <v>Mobile</v>
      </c>
      <c r="R121" t="str">
        <f>TRIM(PROPER(Tabla_auditoría[[#This Row],[Tipo_Campaña]]))</f>
        <v>Retención</v>
      </c>
      <c r="S121" t="str">
        <f>TRIM(PROPER(Tabla_auditoría[[#This Row],[Responsable]]))</f>
        <v>Ana García</v>
      </c>
    </row>
    <row r="122" spans="1:19" x14ac:dyDescent="0.3">
      <c r="A122" s="1">
        <v>45783</v>
      </c>
      <c r="B122" s="2" t="s">
        <v>2570</v>
      </c>
      <c r="C122" s="2" t="s">
        <v>2521</v>
      </c>
      <c r="D122" s="2" t="s">
        <v>2528</v>
      </c>
      <c r="E122" s="2" t="s">
        <v>2529</v>
      </c>
      <c r="F122" s="3">
        <v>4291</v>
      </c>
      <c r="G122" s="3">
        <v>45</v>
      </c>
      <c r="H122" s="3">
        <v>62</v>
      </c>
      <c r="I122" s="4">
        <v>24.22</v>
      </c>
      <c r="J122" s="4">
        <v>345.27</v>
      </c>
      <c r="K122" s="3">
        <v>3</v>
      </c>
      <c r="L122" s="2" t="s">
        <v>2536</v>
      </c>
      <c r="M122" s="2" t="s">
        <v>2537</v>
      </c>
      <c r="N122" t="str">
        <f>TRIM(PROPER(Tabla_auditoría[[#This Row],[ID_Campaña]]))</f>
        <v>Cmp-016</v>
      </c>
      <c r="O122" t="str">
        <f>TRIM(PROPER(Tabla_auditoría[[#This Row],[Canal]]))</f>
        <v>Paid Search</v>
      </c>
      <c r="P122" t="str">
        <f>TRIM(PROPER(Tabla_auditoría[[#This Row],[País]]))</f>
        <v>España</v>
      </c>
      <c r="Q122" t="str">
        <f>TRIM(PROPER(Tabla_auditoría[[#This Row],[Dispositivo]]))</f>
        <v>Mobile</v>
      </c>
      <c r="R122" t="str">
        <f>TRIM(PROPER(Tabla_auditoría[[#This Row],[Tipo_Campaña]]))</f>
        <v>Reconocimiento</v>
      </c>
      <c r="S122" t="str">
        <f>TRIM(PROPER(Tabla_auditoría[[#This Row],[Responsable]]))</f>
        <v>Marta López</v>
      </c>
    </row>
    <row r="123" spans="1:19" x14ac:dyDescent="0.3">
      <c r="A123" s="1">
        <v>45806</v>
      </c>
      <c r="B123" s="2" t="s">
        <v>2542</v>
      </c>
      <c r="C123" s="2" t="s">
        <v>2541</v>
      </c>
      <c r="D123" s="2" t="s">
        <v>2531</v>
      </c>
      <c r="E123" s="2" t="s">
        <v>2529</v>
      </c>
      <c r="F123" s="3">
        <v>113389</v>
      </c>
      <c r="G123" s="3">
        <v>8082</v>
      </c>
      <c r="H123" s="3">
        <v>55</v>
      </c>
      <c r="I123" s="4">
        <v>8745.5499999999993</v>
      </c>
      <c r="J123" s="4">
        <v>6590.93</v>
      </c>
      <c r="K123" s="3">
        <v>32</v>
      </c>
      <c r="L123" s="2" t="s">
        <v>2523</v>
      </c>
      <c r="M123" s="2" t="s">
        <v>2546</v>
      </c>
      <c r="N123" t="str">
        <f>TRIM(PROPER(Tabla_auditoría[[#This Row],[ID_Campaña]]))</f>
        <v>Cmp-025</v>
      </c>
      <c r="O123" t="str">
        <f>TRIM(PROPER(Tabla_auditoría[[#This Row],[Canal]]))</f>
        <v>Display</v>
      </c>
      <c r="P123" t="str">
        <f>TRIM(PROPER(Tabla_auditoría[[#This Row],[País]]))</f>
        <v>Portugal</v>
      </c>
      <c r="Q123" t="str">
        <f>TRIM(PROPER(Tabla_auditoría[[#This Row],[Dispositivo]]))</f>
        <v>Mobile</v>
      </c>
      <c r="R123" t="str">
        <f>TRIM(PROPER(Tabla_auditoría[[#This Row],[Tipo_Campaña]]))</f>
        <v>Retención</v>
      </c>
      <c r="S123" t="str">
        <f>TRIM(PROPER(Tabla_auditoría[[#This Row],[Responsable]]))</f>
        <v>Ana García</v>
      </c>
    </row>
    <row r="124" spans="1:19" x14ac:dyDescent="0.3">
      <c r="A124" s="1">
        <v>45781</v>
      </c>
      <c r="B124" s="2" t="s">
        <v>2574</v>
      </c>
      <c r="C124" s="2" t="s">
        <v>2543</v>
      </c>
      <c r="D124" s="2" t="s">
        <v>2522</v>
      </c>
      <c r="E124" s="2" t="s">
        <v>2529</v>
      </c>
      <c r="F124" s="3">
        <v>111620</v>
      </c>
      <c r="G124" s="3">
        <v>690</v>
      </c>
      <c r="H124" s="3">
        <v>41</v>
      </c>
      <c r="I124" s="4">
        <v>603.36</v>
      </c>
      <c r="J124" s="4">
        <v>6363.86</v>
      </c>
      <c r="K124" s="3">
        <v>23</v>
      </c>
      <c r="L124" s="2" t="s">
        <v>2536</v>
      </c>
      <c r="M124" s="2" t="s">
        <v>2524</v>
      </c>
      <c r="N124" t="str">
        <f>TRIM(PROPER(Tabla_auditoría[[#This Row],[ID_Campaña]]))</f>
        <v>Cmp-003</v>
      </c>
      <c r="O124" t="str">
        <f>TRIM(PROPER(Tabla_auditoría[[#This Row],[Canal]]))</f>
        <v>Organic Social</v>
      </c>
      <c r="P124" t="str">
        <f>TRIM(PROPER(Tabla_auditoría[[#This Row],[País]]))</f>
        <v>Italia</v>
      </c>
      <c r="Q124" t="str">
        <f>TRIM(PROPER(Tabla_auditoría[[#This Row],[Dispositivo]]))</f>
        <v>Mobile</v>
      </c>
      <c r="R124" t="str">
        <f>TRIM(PROPER(Tabla_auditoría[[#This Row],[Tipo_Campaña]]))</f>
        <v>Reconocimiento</v>
      </c>
      <c r="S124" t="str">
        <f>TRIM(PROPER(Tabla_auditoría[[#This Row],[Responsable]]))</f>
        <v>Luis Martín</v>
      </c>
    </row>
    <row r="125" spans="1:19" x14ac:dyDescent="0.3">
      <c r="A125" s="1">
        <v>45775</v>
      </c>
      <c r="B125" s="2" t="s">
        <v>2545</v>
      </c>
      <c r="C125" s="2" t="s">
        <v>2515</v>
      </c>
      <c r="D125" s="2" t="s">
        <v>2531</v>
      </c>
      <c r="E125" s="2" t="s">
        <v>2529</v>
      </c>
      <c r="F125" s="3">
        <v>152550</v>
      </c>
      <c r="G125" s="3">
        <v>9882</v>
      </c>
      <c r="H125" s="3">
        <v>276</v>
      </c>
      <c r="I125" s="4">
        <v>1384.37</v>
      </c>
      <c r="J125" s="4">
        <v>21403.25</v>
      </c>
      <c r="K125" s="3">
        <v>242</v>
      </c>
      <c r="L125" s="2" t="s">
        <v>2518</v>
      </c>
      <c r="M125" s="2" t="s">
        <v>2537</v>
      </c>
      <c r="N125" t="str">
        <f>TRIM(PROPER(Tabla_auditoría[[#This Row],[ID_Campaña]]))</f>
        <v>Cmp-011</v>
      </c>
      <c r="O125" t="str">
        <f>TRIM(PROPER(Tabla_auditoría[[#This Row],[Canal]]))</f>
        <v>Email</v>
      </c>
      <c r="P125" t="str">
        <f>TRIM(PROPER(Tabla_auditoría[[#This Row],[País]]))</f>
        <v>Portugal</v>
      </c>
      <c r="Q125" t="str">
        <f>TRIM(PROPER(Tabla_auditoría[[#This Row],[Dispositivo]]))</f>
        <v>Mobile</v>
      </c>
      <c r="R125" t="str">
        <f>TRIM(PROPER(Tabla_auditoría[[#This Row],[Tipo_Campaña]]))</f>
        <v>Adquisición</v>
      </c>
      <c r="S125" t="str">
        <f>TRIM(PROPER(Tabla_auditoría[[#This Row],[Responsable]]))</f>
        <v>Marta López</v>
      </c>
    </row>
    <row r="126" spans="1:19" x14ac:dyDescent="0.3">
      <c r="A126" s="1">
        <v>45698</v>
      </c>
      <c r="B126" s="2" t="s">
        <v>2535</v>
      </c>
      <c r="C126" s="2" t="s">
        <v>2515</v>
      </c>
      <c r="D126" s="2" t="s">
        <v>2525</v>
      </c>
      <c r="E126" s="2" t="s">
        <v>2534</v>
      </c>
      <c r="F126" s="3">
        <v>112119</v>
      </c>
      <c r="G126" s="3">
        <v>6380</v>
      </c>
      <c r="H126" s="3">
        <v>601</v>
      </c>
      <c r="I126" s="4">
        <v>1706.79</v>
      </c>
      <c r="J126" s="4">
        <v>54102.23</v>
      </c>
      <c r="K126" s="3">
        <v>475</v>
      </c>
      <c r="L126" s="2" t="s">
        <v>2518</v>
      </c>
      <c r="M126" s="2" t="s">
        <v>2526</v>
      </c>
      <c r="N126" t="str">
        <f>TRIM(PROPER(Tabla_auditoría[[#This Row],[ID_Campaña]]))</f>
        <v>Cmp-015</v>
      </c>
      <c r="O126" t="str">
        <f>TRIM(PROPER(Tabla_auditoría[[#This Row],[Canal]]))</f>
        <v>Email</v>
      </c>
      <c r="P126" t="str">
        <f>TRIM(PROPER(Tabla_auditoría[[#This Row],[País]]))</f>
        <v>Francia</v>
      </c>
      <c r="Q126" t="str">
        <f>TRIM(PROPER(Tabla_auditoría[[#This Row],[Dispositivo]]))</f>
        <v>Tablet</v>
      </c>
      <c r="R126" t="str">
        <f>TRIM(PROPER(Tabla_auditoría[[#This Row],[Tipo_Campaña]]))</f>
        <v>Adquisición</v>
      </c>
      <c r="S126" t="str">
        <f>TRIM(PROPER(Tabla_auditoría[[#This Row],[Responsable]]))</f>
        <v>Laura Pérez</v>
      </c>
    </row>
    <row r="127" spans="1:19" x14ac:dyDescent="0.3">
      <c r="A127" s="1">
        <v>45803</v>
      </c>
      <c r="B127" s="2" t="s">
        <v>2547</v>
      </c>
      <c r="C127" s="2" t="s">
        <v>2543</v>
      </c>
      <c r="D127" s="2" t="s">
        <v>2528</v>
      </c>
      <c r="E127" s="2" t="s">
        <v>2517</v>
      </c>
      <c r="F127" s="3">
        <v>63469</v>
      </c>
      <c r="G127" s="3">
        <v>4281</v>
      </c>
      <c r="H127" s="3">
        <v>215</v>
      </c>
      <c r="I127" s="4">
        <v>5713.43</v>
      </c>
      <c r="J127" s="4">
        <v>27455.77</v>
      </c>
      <c r="K127" s="3">
        <v>160</v>
      </c>
      <c r="L127" s="2" t="s">
        <v>2539</v>
      </c>
      <c r="M127" s="2" t="s">
        <v>2519</v>
      </c>
      <c r="N127" t="str">
        <f>TRIM(PROPER(Tabla_auditoría[[#This Row],[ID_Campaña]]))</f>
        <v>Cmp-018</v>
      </c>
      <c r="O127" t="str">
        <f>TRIM(PROPER(Tabla_auditoría[[#This Row],[Canal]]))</f>
        <v>Organic Social</v>
      </c>
      <c r="P127" t="str">
        <f>TRIM(PROPER(Tabla_auditoría[[#This Row],[País]]))</f>
        <v>España</v>
      </c>
      <c r="Q127" t="str">
        <f>TRIM(PROPER(Tabla_auditoría[[#This Row],[Dispositivo]]))</f>
        <v>Desktop</v>
      </c>
      <c r="R127" t="str">
        <f>TRIM(PROPER(Tabla_auditoría[[#This Row],[Tipo_Campaña]]))</f>
        <v>Conversión</v>
      </c>
      <c r="S127" t="str">
        <f>TRIM(PROPER(Tabla_auditoría[[#This Row],[Responsable]]))</f>
        <v>Carlos Ruiz</v>
      </c>
    </row>
    <row r="128" spans="1:19" x14ac:dyDescent="0.3">
      <c r="A128" s="1">
        <v>45710</v>
      </c>
      <c r="B128" s="2" t="s">
        <v>2568</v>
      </c>
      <c r="C128" s="2" t="s">
        <v>2521</v>
      </c>
      <c r="D128" s="2" t="s">
        <v>2528</v>
      </c>
      <c r="E128" s="2" t="s">
        <v>2517</v>
      </c>
      <c r="F128" s="3">
        <v>147884</v>
      </c>
      <c r="G128" s="3">
        <v>3787</v>
      </c>
      <c r="H128" s="3">
        <v>390</v>
      </c>
      <c r="I128" s="4">
        <v>6465.2</v>
      </c>
      <c r="J128" s="4">
        <v>66488.03</v>
      </c>
      <c r="K128" s="3">
        <v>176</v>
      </c>
      <c r="L128" s="2" t="s">
        <v>2518</v>
      </c>
      <c r="M128" s="2" t="s">
        <v>2524</v>
      </c>
      <c r="N128" t="str">
        <f>TRIM(PROPER(Tabla_auditoría[[#This Row],[ID_Campaña]]))</f>
        <v>Cmp-020</v>
      </c>
      <c r="O128" t="str">
        <f>TRIM(PROPER(Tabla_auditoría[[#This Row],[Canal]]))</f>
        <v>Paid Search</v>
      </c>
      <c r="P128" t="str">
        <f>TRIM(PROPER(Tabla_auditoría[[#This Row],[País]]))</f>
        <v>España</v>
      </c>
      <c r="Q128" t="str">
        <f>TRIM(PROPER(Tabla_auditoría[[#This Row],[Dispositivo]]))</f>
        <v>Desktop</v>
      </c>
      <c r="R128" t="str">
        <f>TRIM(PROPER(Tabla_auditoría[[#This Row],[Tipo_Campaña]]))</f>
        <v>Adquisición</v>
      </c>
      <c r="S128" t="str">
        <f>TRIM(PROPER(Tabla_auditoría[[#This Row],[Responsable]]))</f>
        <v>Luis Martín</v>
      </c>
    </row>
    <row r="129" spans="1:19" x14ac:dyDescent="0.3">
      <c r="A129" s="1">
        <v>46008</v>
      </c>
      <c r="B129" s="2" t="s">
        <v>2540</v>
      </c>
      <c r="C129" s="2" t="s">
        <v>2527</v>
      </c>
      <c r="D129" s="2" t="s">
        <v>2522</v>
      </c>
      <c r="E129" s="2" t="s">
        <v>2517</v>
      </c>
      <c r="F129" s="3">
        <v>133022</v>
      </c>
      <c r="G129" s="3">
        <v>10526</v>
      </c>
      <c r="H129" s="3">
        <v>1091</v>
      </c>
      <c r="I129" s="4">
        <v>1592.72</v>
      </c>
      <c r="J129" s="4">
        <v>21694.43</v>
      </c>
      <c r="K129" s="3">
        <v>846</v>
      </c>
      <c r="L129" s="2" t="s">
        <v>2539</v>
      </c>
      <c r="M129" s="2" t="s">
        <v>2546</v>
      </c>
      <c r="N129" t="str">
        <f>TRIM(PROPER(Tabla_auditoría[[#This Row],[ID_Campaña]]))</f>
        <v>Cmp-017</v>
      </c>
      <c r="O129" t="str">
        <f>TRIM(PROPER(Tabla_auditoría[[#This Row],[Canal]]))</f>
        <v>Affiliate</v>
      </c>
      <c r="P129" t="str">
        <f>TRIM(PROPER(Tabla_auditoría[[#This Row],[País]]))</f>
        <v>Italia</v>
      </c>
      <c r="Q129" t="str">
        <f>TRIM(PROPER(Tabla_auditoría[[#This Row],[Dispositivo]]))</f>
        <v>Desktop</v>
      </c>
      <c r="R129" t="str">
        <f>TRIM(PROPER(Tabla_auditoría[[#This Row],[Tipo_Campaña]]))</f>
        <v>Conversión</v>
      </c>
      <c r="S129" t="str">
        <f>TRIM(PROPER(Tabla_auditoría[[#This Row],[Responsable]]))</f>
        <v>Ana García</v>
      </c>
    </row>
    <row r="130" spans="1:19" x14ac:dyDescent="0.3">
      <c r="A130" s="1">
        <v>46019</v>
      </c>
      <c r="B130" s="2" t="s">
        <v>2547</v>
      </c>
      <c r="C130" s="2" t="s">
        <v>2533</v>
      </c>
      <c r="D130" s="2" t="s">
        <v>2516</v>
      </c>
      <c r="E130" s="2" t="s">
        <v>2517</v>
      </c>
      <c r="F130" s="3">
        <v>100094</v>
      </c>
      <c r="G130" s="3">
        <v>1969</v>
      </c>
      <c r="H130" s="3">
        <v>134</v>
      </c>
      <c r="I130" s="4">
        <v>2790.29</v>
      </c>
      <c r="J130" s="4">
        <v>23430.25</v>
      </c>
      <c r="K130" s="3">
        <v>106</v>
      </c>
      <c r="L130" s="2" t="s">
        <v>2518</v>
      </c>
      <c r="M130" s="2" t="s">
        <v>2524</v>
      </c>
      <c r="N130" t="str">
        <f>TRIM(PROPER(Tabla_auditoría[[#This Row],[ID_Campaña]]))</f>
        <v>Cmp-018</v>
      </c>
      <c r="O130" t="str">
        <f>TRIM(PROPER(Tabla_auditoría[[#This Row],[Canal]]))</f>
        <v>Paid Social</v>
      </c>
      <c r="P130" t="str">
        <f>TRIM(PROPER(Tabla_auditoría[[#This Row],[País]]))</f>
        <v>México</v>
      </c>
      <c r="Q130" t="str">
        <f>TRIM(PROPER(Tabla_auditoría[[#This Row],[Dispositivo]]))</f>
        <v>Desktop</v>
      </c>
      <c r="R130" t="str">
        <f>TRIM(PROPER(Tabla_auditoría[[#This Row],[Tipo_Campaña]]))</f>
        <v>Adquisición</v>
      </c>
      <c r="S130" t="str">
        <f>TRIM(PROPER(Tabla_auditoría[[#This Row],[Responsable]]))</f>
        <v>Luis Martín</v>
      </c>
    </row>
    <row r="131" spans="1:19" x14ac:dyDescent="0.3">
      <c r="A131" s="1">
        <v>45935</v>
      </c>
      <c r="B131" s="2" t="s">
        <v>2551</v>
      </c>
      <c r="D131" s="2" t="s">
        <v>2522</v>
      </c>
      <c r="E131" s="2" t="s">
        <v>2529</v>
      </c>
      <c r="F131" s="3">
        <v>103365</v>
      </c>
      <c r="G131" s="3">
        <v>6169</v>
      </c>
      <c r="H131" s="3">
        <v>521</v>
      </c>
      <c r="I131" s="4">
        <v>12257.09</v>
      </c>
      <c r="J131" s="4">
        <v>70918.399999999994</v>
      </c>
      <c r="K131" s="3">
        <v>364</v>
      </c>
      <c r="L131" s="2" t="s">
        <v>2536</v>
      </c>
      <c r="M131" s="2" t="s">
        <v>2526</v>
      </c>
      <c r="N131" t="str">
        <f>TRIM(PROPER(Tabla_auditoría[[#This Row],[ID_Campaña]]))</f>
        <v>Cmp-028</v>
      </c>
      <c r="O131" t="str">
        <f>TRIM(PROPER(Tabla_auditoría[[#This Row],[Canal]]))</f>
        <v/>
      </c>
      <c r="P131" t="str">
        <f>TRIM(PROPER(Tabla_auditoría[[#This Row],[País]]))</f>
        <v>Italia</v>
      </c>
      <c r="Q131" t="str">
        <f>TRIM(PROPER(Tabla_auditoría[[#This Row],[Dispositivo]]))</f>
        <v>Mobile</v>
      </c>
      <c r="R131" t="str">
        <f>TRIM(PROPER(Tabla_auditoría[[#This Row],[Tipo_Campaña]]))</f>
        <v>Reconocimiento</v>
      </c>
      <c r="S131" t="str">
        <f>TRIM(PROPER(Tabla_auditoría[[#This Row],[Responsable]]))</f>
        <v>Laura Pérez</v>
      </c>
    </row>
    <row r="132" spans="1:19" x14ac:dyDescent="0.3">
      <c r="A132" s="1">
        <v>45766</v>
      </c>
      <c r="B132" s="2" t="s">
        <v>2566</v>
      </c>
      <c r="C132" s="2" t="s">
        <v>2533</v>
      </c>
      <c r="D132" s="2" t="s">
        <v>2522</v>
      </c>
      <c r="E132" s="2" t="s">
        <v>2534</v>
      </c>
      <c r="F132" s="3">
        <v>31914</v>
      </c>
      <c r="G132" s="3">
        <v>856</v>
      </c>
      <c r="H132" s="3">
        <v>66</v>
      </c>
      <c r="I132" s="4">
        <v>892.79</v>
      </c>
      <c r="J132" s="4">
        <v>4847.6400000000003</v>
      </c>
      <c r="K132" s="3">
        <v>36</v>
      </c>
      <c r="L132" s="2" t="s">
        <v>2523</v>
      </c>
      <c r="M132" s="2" t="s">
        <v>2537</v>
      </c>
      <c r="N132" t="str">
        <f>TRIM(PROPER(Tabla_auditoría[[#This Row],[ID_Campaña]]))</f>
        <v>Cmp-001</v>
      </c>
      <c r="O132" t="str">
        <f>TRIM(PROPER(Tabla_auditoría[[#This Row],[Canal]]))</f>
        <v>Paid Social</v>
      </c>
      <c r="P132" t="str">
        <f>TRIM(PROPER(Tabla_auditoría[[#This Row],[País]]))</f>
        <v>Italia</v>
      </c>
      <c r="Q132" t="str">
        <f>TRIM(PROPER(Tabla_auditoría[[#This Row],[Dispositivo]]))</f>
        <v>Tablet</v>
      </c>
      <c r="R132" t="str">
        <f>TRIM(PROPER(Tabla_auditoría[[#This Row],[Tipo_Campaña]]))</f>
        <v>Retención</v>
      </c>
      <c r="S132" t="str">
        <f>TRIM(PROPER(Tabla_auditoría[[#This Row],[Responsable]]))</f>
        <v>Marta López</v>
      </c>
    </row>
    <row r="133" spans="1:19" x14ac:dyDescent="0.3">
      <c r="A133" s="1">
        <v>45665</v>
      </c>
      <c r="B133" s="2" t="s">
        <v>2540</v>
      </c>
      <c r="C133" s="2" t="s">
        <v>2533</v>
      </c>
      <c r="D133" s="2" t="s">
        <v>2525</v>
      </c>
      <c r="E133" s="2" t="s">
        <v>2529</v>
      </c>
      <c r="F133" s="3">
        <v>138819</v>
      </c>
      <c r="G133" s="3">
        <v>2950</v>
      </c>
      <c r="H133" s="3">
        <v>187</v>
      </c>
      <c r="I133" s="4">
        <v>4263.57</v>
      </c>
      <c r="J133" s="4">
        <v>24624.94</v>
      </c>
      <c r="K133" s="3">
        <v>89</v>
      </c>
      <c r="L133" s="2" t="s">
        <v>2539</v>
      </c>
      <c r="M133" s="2" t="s">
        <v>2524</v>
      </c>
      <c r="N133" t="str">
        <f>TRIM(PROPER(Tabla_auditoría[[#This Row],[ID_Campaña]]))</f>
        <v>Cmp-017</v>
      </c>
      <c r="O133" t="str">
        <f>TRIM(PROPER(Tabla_auditoría[[#This Row],[Canal]]))</f>
        <v>Paid Social</v>
      </c>
      <c r="P133" t="str">
        <f>TRIM(PROPER(Tabla_auditoría[[#This Row],[País]]))</f>
        <v>Francia</v>
      </c>
      <c r="Q133" t="str">
        <f>TRIM(PROPER(Tabla_auditoría[[#This Row],[Dispositivo]]))</f>
        <v>Mobile</v>
      </c>
      <c r="R133" t="str">
        <f>TRIM(PROPER(Tabla_auditoría[[#This Row],[Tipo_Campaña]]))</f>
        <v>Conversión</v>
      </c>
      <c r="S133" t="str">
        <f>TRIM(PROPER(Tabla_auditoría[[#This Row],[Responsable]]))</f>
        <v>Luis Martín</v>
      </c>
    </row>
    <row r="134" spans="1:19" x14ac:dyDescent="0.3">
      <c r="A134" s="1">
        <v>45916</v>
      </c>
      <c r="B134" s="2" t="s">
        <v>2514</v>
      </c>
      <c r="C134" s="2" t="s">
        <v>2533</v>
      </c>
      <c r="D134" s="2" t="s">
        <v>2531</v>
      </c>
      <c r="E134" s="2" t="s">
        <v>2529</v>
      </c>
      <c r="F134" s="3">
        <v>36595</v>
      </c>
      <c r="G134" s="3">
        <v>1891</v>
      </c>
      <c r="H134" s="3">
        <v>109</v>
      </c>
      <c r="I134" s="4">
        <v>2139.31</v>
      </c>
      <c r="J134" s="4">
        <v>19247.150000000001</v>
      </c>
      <c r="K134" s="3">
        <v>79</v>
      </c>
      <c r="L134" s="2" t="s">
        <v>2536</v>
      </c>
      <c r="M134" s="2" t="s">
        <v>2546</v>
      </c>
      <c r="N134" t="str">
        <f>TRIM(PROPER(Tabla_auditoría[[#This Row],[ID_Campaña]]))</f>
        <v>Cmp-002</v>
      </c>
      <c r="O134" t="str">
        <f>TRIM(PROPER(Tabla_auditoría[[#This Row],[Canal]]))</f>
        <v>Paid Social</v>
      </c>
      <c r="P134" t="str">
        <f>TRIM(PROPER(Tabla_auditoría[[#This Row],[País]]))</f>
        <v>Portugal</v>
      </c>
      <c r="Q134" t="str">
        <f>TRIM(PROPER(Tabla_auditoría[[#This Row],[Dispositivo]]))</f>
        <v>Mobile</v>
      </c>
      <c r="R134" t="str">
        <f>TRIM(PROPER(Tabla_auditoría[[#This Row],[Tipo_Campaña]]))</f>
        <v>Reconocimiento</v>
      </c>
      <c r="S134" t="str">
        <f>TRIM(PROPER(Tabla_auditoría[[#This Row],[Responsable]]))</f>
        <v>Ana García</v>
      </c>
    </row>
    <row r="135" spans="1:19" x14ac:dyDescent="0.3">
      <c r="A135" s="1">
        <v>45836</v>
      </c>
      <c r="B135" s="2" t="s">
        <v>2535</v>
      </c>
      <c r="C135" s="2" t="s">
        <v>2562</v>
      </c>
      <c r="D135" s="2" t="s">
        <v>2528</v>
      </c>
      <c r="E135" s="2" t="s">
        <v>2517</v>
      </c>
      <c r="F135" s="3">
        <v>164535</v>
      </c>
      <c r="G135" s="3">
        <v>3912</v>
      </c>
      <c r="H135" s="3">
        <v>539</v>
      </c>
      <c r="I135" s="4">
        <v>4300.55</v>
      </c>
      <c r="J135" s="4">
        <v>58327.65</v>
      </c>
      <c r="K135" s="3">
        <v>249</v>
      </c>
      <c r="L135" s="2" t="s">
        <v>2536</v>
      </c>
      <c r="M135" s="2" t="s">
        <v>2546</v>
      </c>
      <c r="N135" t="str">
        <f>TRIM(PROPER(Tabla_auditoría[[#This Row],[ID_Campaña]]))</f>
        <v>Cmp-015</v>
      </c>
      <c r="O135" t="str">
        <f>TRIM(PROPER(Tabla_auditoría[[#This Row],[Canal]]))</f>
        <v>Organic Social</v>
      </c>
      <c r="P135" t="str">
        <f>TRIM(PROPER(Tabla_auditoría[[#This Row],[País]]))</f>
        <v>España</v>
      </c>
      <c r="Q135" t="str">
        <f>TRIM(PROPER(Tabla_auditoría[[#This Row],[Dispositivo]]))</f>
        <v>Desktop</v>
      </c>
      <c r="R135" t="str">
        <f>TRIM(PROPER(Tabla_auditoría[[#This Row],[Tipo_Campaña]]))</f>
        <v>Reconocimiento</v>
      </c>
      <c r="S135" t="str">
        <f>TRIM(PROPER(Tabla_auditoría[[#This Row],[Responsable]]))</f>
        <v>Ana García</v>
      </c>
    </row>
    <row r="136" spans="1:19" x14ac:dyDescent="0.3">
      <c r="A136" s="1">
        <v>45870</v>
      </c>
      <c r="B136" s="2" t="s">
        <v>2564</v>
      </c>
      <c r="C136" s="2" t="s">
        <v>2521</v>
      </c>
      <c r="D136" s="2" t="s">
        <v>2528</v>
      </c>
      <c r="E136" s="2" t="s">
        <v>2517</v>
      </c>
      <c r="F136" s="3">
        <v>27241</v>
      </c>
      <c r="G136" s="3">
        <v>1316</v>
      </c>
      <c r="H136" s="3">
        <v>88</v>
      </c>
      <c r="I136" s="4">
        <v>664.57</v>
      </c>
      <c r="J136" s="4">
        <v>4930.3900000000003</v>
      </c>
      <c r="K136" s="3">
        <v>46</v>
      </c>
      <c r="L136" s="2" t="s">
        <v>2518</v>
      </c>
      <c r="M136" s="2" t="s">
        <v>2526</v>
      </c>
      <c r="N136" t="str">
        <f>TRIM(PROPER(Tabla_auditoría[[#This Row],[ID_Campaña]]))</f>
        <v>Cmp-024</v>
      </c>
      <c r="O136" t="str">
        <f>TRIM(PROPER(Tabla_auditoría[[#This Row],[Canal]]))</f>
        <v>Paid Search</v>
      </c>
      <c r="P136" t="str">
        <f>TRIM(PROPER(Tabla_auditoría[[#This Row],[País]]))</f>
        <v>España</v>
      </c>
      <c r="Q136" t="str">
        <f>TRIM(PROPER(Tabla_auditoría[[#This Row],[Dispositivo]]))</f>
        <v>Desktop</v>
      </c>
      <c r="R136" t="str">
        <f>TRIM(PROPER(Tabla_auditoría[[#This Row],[Tipo_Campaña]]))</f>
        <v>Adquisición</v>
      </c>
      <c r="S136" t="str">
        <f>TRIM(PROPER(Tabla_auditoría[[#This Row],[Responsable]]))</f>
        <v>Laura Pérez</v>
      </c>
    </row>
    <row r="137" spans="1:19" x14ac:dyDescent="0.3">
      <c r="A137" s="1">
        <v>45805</v>
      </c>
      <c r="B137" s="2" t="s">
        <v>2566</v>
      </c>
      <c r="C137" s="2" t="s">
        <v>2575</v>
      </c>
      <c r="D137" s="2" t="s">
        <v>2528</v>
      </c>
      <c r="E137" s="2" t="s">
        <v>2517</v>
      </c>
      <c r="F137" s="3">
        <v>68241</v>
      </c>
      <c r="G137" s="3">
        <v>5400</v>
      </c>
      <c r="H137" s="3">
        <v>76</v>
      </c>
      <c r="I137" s="4">
        <v>5656.65</v>
      </c>
      <c r="J137" s="4">
        <v>7573.44</v>
      </c>
      <c r="K137" s="3">
        <v>55</v>
      </c>
      <c r="L137" s="2" t="s">
        <v>2523</v>
      </c>
      <c r="M137" s="2" t="s">
        <v>2537</v>
      </c>
      <c r="N137" t="str">
        <f>TRIM(PROPER(Tabla_auditoría[[#This Row],[ID_Campaña]]))</f>
        <v>Cmp-001</v>
      </c>
      <c r="O137" t="str">
        <f>TRIM(PROPER(Tabla_auditoría[[#This Row],[Canal]]))</f>
        <v>Paid Search</v>
      </c>
      <c r="P137" t="str">
        <f>TRIM(PROPER(Tabla_auditoría[[#This Row],[País]]))</f>
        <v>España</v>
      </c>
      <c r="Q137" t="str">
        <f>TRIM(PROPER(Tabla_auditoría[[#This Row],[Dispositivo]]))</f>
        <v>Desktop</v>
      </c>
      <c r="R137" t="str">
        <f>TRIM(PROPER(Tabla_auditoría[[#This Row],[Tipo_Campaña]]))</f>
        <v>Retención</v>
      </c>
      <c r="S137" t="str">
        <f>TRIM(PROPER(Tabla_auditoría[[#This Row],[Responsable]]))</f>
        <v>Marta López</v>
      </c>
    </row>
    <row r="138" spans="1:19" x14ac:dyDescent="0.3">
      <c r="A138" s="1">
        <v>45728</v>
      </c>
      <c r="B138" s="2" t="s">
        <v>2567</v>
      </c>
      <c r="C138" s="2" t="s">
        <v>2543</v>
      </c>
      <c r="D138" s="2" t="s">
        <v>2531</v>
      </c>
      <c r="E138" s="2" t="s">
        <v>2517</v>
      </c>
      <c r="F138" s="3">
        <v>116273</v>
      </c>
      <c r="G138" s="3">
        <v>7385</v>
      </c>
      <c r="H138" s="3">
        <v>510</v>
      </c>
      <c r="I138" s="4">
        <v>13188.13</v>
      </c>
      <c r="J138" s="4">
        <v>90766.58</v>
      </c>
      <c r="K138" s="3">
        <v>315</v>
      </c>
      <c r="L138" s="2" t="s">
        <v>2536</v>
      </c>
      <c r="M138" s="2" t="s">
        <v>2519</v>
      </c>
      <c r="N138" t="str">
        <f>TRIM(PROPER(Tabla_auditoría[[#This Row],[ID_Campaña]]))</f>
        <v>Cmp-021</v>
      </c>
      <c r="O138" t="str">
        <f>TRIM(PROPER(Tabla_auditoría[[#This Row],[Canal]]))</f>
        <v>Organic Social</v>
      </c>
      <c r="P138" t="str">
        <f>TRIM(PROPER(Tabla_auditoría[[#This Row],[País]]))</f>
        <v>Portugal</v>
      </c>
      <c r="Q138" t="str">
        <f>TRIM(PROPER(Tabla_auditoría[[#This Row],[Dispositivo]]))</f>
        <v>Desktop</v>
      </c>
      <c r="R138" t="str">
        <f>TRIM(PROPER(Tabla_auditoría[[#This Row],[Tipo_Campaña]]))</f>
        <v>Reconocimiento</v>
      </c>
      <c r="S138" t="str">
        <f>TRIM(PROPER(Tabla_auditoría[[#This Row],[Responsable]]))</f>
        <v>Carlos Ruiz</v>
      </c>
    </row>
    <row r="139" spans="1:19" x14ac:dyDescent="0.3">
      <c r="A139" s="1">
        <v>46005</v>
      </c>
      <c r="B139" s="2" t="s">
        <v>2563</v>
      </c>
      <c r="C139" s="2" t="s">
        <v>2527</v>
      </c>
      <c r="D139" s="2" t="s">
        <v>2516</v>
      </c>
      <c r="E139" s="2" t="s">
        <v>2517</v>
      </c>
      <c r="F139" s="3">
        <v>50511</v>
      </c>
      <c r="G139" s="3">
        <v>290</v>
      </c>
      <c r="H139" s="3">
        <v>34</v>
      </c>
      <c r="I139" s="4">
        <v>552.38</v>
      </c>
      <c r="J139" s="4">
        <v>3612.1</v>
      </c>
      <c r="K139" s="3">
        <v>30</v>
      </c>
      <c r="L139" s="2" t="s">
        <v>2523</v>
      </c>
      <c r="M139" s="2" t="s">
        <v>2537</v>
      </c>
      <c r="N139" t="str">
        <f>TRIM(PROPER(Tabla_auditoría[[#This Row],[ID_Campaña]]))</f>
        <v>Cmp-023</v>
      </c>
      <c r="O139" t="str">
        <f>TRIM(PROPER(Tabla_auditoría[[#This Row],[Canal]]))</f>
        <v>Affiliate</v>
      </c>
      <c r="P139" t="str">
        <f>TRIM(PROPER(Tabla_auditoría[[#This Row],[País]]))</f>
        <v>México</v>
      </c>
      <c r="Q139" t="str">
        <f>TRIM(PROPER(Tabla_auditoría[[#This Row],[Dispositivo]]))</f>
        <v>Desktop</v>
      </c>
      <c r="R139" t="str">
        <f>TRIM(PROPER(Tabla_auditoría[[#This Row],[Tipo_Campaña]]))</f>
        <v>Retención</v>
      </c>
      <c r="S139" t="str">
        <f>TRIM(PROPER(Tabla_auditoría[[#This Row],[Responsable]]))</f>
        <v>Marta López</v>
      </c>
    </row>
    <row r="140" spans="1:19" x14ac:dyDescent="0.3">
      <c r="A140" s="1">
        <v>45917</v>
      </c>
      <c r="B140" s="2" t="s">
        <v>2560</v>
      </c>
      <c r="C140" s="2" t="s">
        <v>2515</v>
      </c>
      <c r="D140" s="2" t="s">
        <v>2531</v>
      </c>
      <c r="E140" s="2" t="s">
        <v>2517</v>
      </c>
      <c r="F140" s="3">
        <v>82692</v>
      </c>
      <c r="G140" s="3">
        <v>6137</v>
      </c>
      <c r="H140" s="3">
        <v>337</v>
      </c>
      <c r="I140" s="4">
        <v>2284.7199999999998</v>
      </c>
      <c r="J140" s="4">
        <v>73323.360000000001</v>
      </c>
      <c r="K140" s="3">
        <v>266</v>
      </c>
      <c r="L140" s="2" t="s">
        <v>2518</v>
      </c>
      <c r="M140" s="2" t="s">
        <v>2526</v>
      </c>
      <c r="N140" t="str">
        <f>TRIM(PROPER(Tabla_auditoría[[#This Row],[ID_Campaña]]))</f>
        <v>Cmp-027</v>
      </c>
      <c r="O140" t="str">
        <f>TRIM(PROPER(Tabla_auditoría[[#This Row],[Canal]]))</f>
        <v>Email</v>
      </c>
      <c r="P140" t="str">
        <f>TRIM(PROPER(Tabla_auditoría[[#This Row],[País]]))</f>
        <v>Portugal</v>
      </c>
      <c r="Q140" t="str">
        <f>TRIM(PROPER(Tabla_auditoría[[#This Row],[Dispositivo]]))</f>
        <v>Desktop</v>
      </c>
      <c r="R140" t="str">
        <f>TRIM(PROPER(Tabla_auditoría[[#This Row],[Tipo_Campaña]]))</f>
        <v>Adquisición</v>
      </c>
      <c r="S140" t="str">
        <f>TRIM(PROPER(Tabla_auditoría[[#This Row],[Responsable]]))</f>
        <v>Laura Pérez</v>
      </c>
    </row>
    <row r="141" spans="1:19" x14ac:dyDescent="0.3">
      <c r="A141" s="1">
        <v>45729</v>
      </c>
      <c r="B141" s="2" t="s">
        <v>2571</v>
      </c>
      <c r="C141" s="2" t="s">
        <v>2515</v>
      </c>
      <c r="D141" s="2" t="s">
        <v>2528</v>
      </c>
      <c r="E141" s="2" t="s">
        <v>2517</v>
      </c>
      <c r="F141" s="3">
        <v>24708</v>
      </c>
      <c r="G141" s="3">
        <v>1803</v>
      </c>
      <c r="H141" s="3">
        <v>151</v>
      </c>
      <c r="I141" s="4">
        <v>947.2</v>
      </c>
      <c r="J141" s="4">
        <v>30738.35</v>
      </c>
      <c r="K141" s="3">
        <v>127</v>
      </c>
      <c r="L141" s="2" t="s">
        <v>2523</v>
      </c>
      <c r="M141" s="2" t="s">
        <v>2526</v>
      </c>
      <c r="N141" t="str">
        <f>TRIM(PROPER(Tabla_auditoría[[#This Row],[ID_Campaña]]))</f>
        <v>Cmp-029</v>
      </c>
      <c r="O141" t="str">
        <f>TRIM(PROPER(Tabla_auditoría[[#This Row],[Canal]]))</f>
        <v>Email</v>
      </c>
      <c r="P141" t="str">
        <f>TRIM(PROPER(Tabla_auditoría[[#This Row],[País]]))</f>
        <v>España</v>
      </c>
      <c r="Q141" t="str">
        <f>TRIM(PROPER(Tabla_auditoría[[#This Row],[Dispositivo]]))</f>
        <v>Desktop</v>
      </c>
      <c r="R141" t="str">
        <f>TRIM(PROPER(Tabla_auditoría[[#This Row],[Tipo_Campaña]]))</f>
        <v>Retención</v>
      </c>
      <c r="S141" t="str">
        <f>TRIM(PROPER(Tabla_auditoría[[#This Row],[Responsable]]))</f>
        <v>Laura Pérez</v>
      </c>
    </row>
    <row r="142" spans="1:19" x14ac:dyDescent="0.3">
      <c r="A142" s="1">
        <v>45701</v>
      </c>
      <c r="B142" s="2" t="s">
        <v>2557</v>
      </c>
      <c r="C142" s="2" t="s">
        <v>2515</v>
      </c>
      <c r="D142" s="2" t="s">
        <v>2528</v>
      </c>
      <c r="E142" s="2" t="s">
        <v>2529</v>
      </c>
      <c r="F142" s="3">
        <v>109330</v>
      </c>
      <c r="G142" s="3">
        <v>9561</v>
      </c>
      <c r="H142" s="3">
        <v>959</v>
      </c>
      <c r="I142" s="4">
        <v>11031.29</v>
      </c>
      <c r="J142" s="4">
        <v>171417.69</v>
      </c>
      <c r="K142" s="3">
        <v>634</v>
      </c>
      <c r="L142" s="2" t="s">
        <v>2536</v>
      </c>
      <c r="M142" s="2" t="s">
        <v>2537</v>
      </c>
      <c r="N142" t="str">
        <f>TRIM(PROPER(Tabla_auditoría[[#This Row],[ID_Campaña]]))</f>
        <v>Cmp-030</v>
      </c>
      <c r="O142" t="str">
        <f>TRIM(PROPER(Tabla_auditoría[[#This Row],[Canal]]))</f>
        <v>Email</v>
      </c>
      <c r="P142" t="str">
        <f>TRIM(PROPER(Tabla_auditoría[[#This Row],[País]]))</f>
        <v>España</v>
      </c>
      <c r="Q142" t="str">
        <f>TRIM(PROPER(Tabla_auditoría[[#This Row],[Dispositivo]]))</f>
        <v>Mobile</v>
      </c>
      <c r="R142" t="str">
        <f>TRIM(PROPER(Tabla_auditoría[[#This Row],[Tipo_Campaña]]))</f>
        <v>Reconocimiento</v>
      </c>
      <c r="S142" t="str">
        <f>TRIM(PROPER(Tabla_auditoría[[#This Row],[Responsable]]))</f>
        <v>Marta López</v>
      </c>
    </row>
    <row r="143" spans="1:19" x14ac:dyDescent="0.3">
      <c r="A143" s="1">
        <v>45664</v>
      </c>
      <c r="B143" s="2" t="s">
        <v>2547</v>
      </c>
      <c r="C143" s="2" t="s">
        <v>2543</v>
      </c>
      <c r="D143" s="2" t="s">
        <v>2528</v>
      </c>
      <c r="E143" s="2" t="s">
        <v>2529</v>
      </c>
      <c r="F143" s="3">
        <v>127287</v>
      </c>
      <c r="G143" s="3">
        <v>2984</v>
      </c>
      <c r="H143" s="3">
        <v>355</v>
      </c>
      <c r="I143" s="4">
        <v>5481.3</v>
      </c>
      <c r="J143" s="4">
        <v>36120.639999999999</v>
      </c>
      <c r="K143" s="3">
        <v>300</v>
      </c>
      <c r="L143" s="2" t="s">
        <v>2518</v>
      </c>
      <c r="M143" s="2" t="s">
        <v>2526</v>
      </c>
      <c r="N143" t="str">
        <f>TRIM(PROPER(Tabla_auditoría[[#This Row],[ID_Campaña]]))</f>
        <v>Cmp-018</v>
      </c>
      <c r="O143" t="str">
        <f>TRIM(PROPER(Tabla_auditoría[[#This Row],[Canal]]))</f>
        <v>Organic Social</v>
      </c>
      <c r="P143" t="str">
        <f>TRIM(PROPER(Tabla_auditoría[[#This Row],[País]]))</f>
        <v>España</v>
      </c>
      <c r="Q143" t="str">
        <f>TRIM(PROPER(Tabla_auditoría[[#This Row],[Dispositivo]]))</f>
        <v>Mobile</v>
      </c>
      <c r="R143" t="str">
        <f>TRIM(PROPER(Tabla_auditoría[[#This Row],[Tipo_Campaña]]))</f>
        <v>Adquisición</v>
      </c>
      <c r="S143" t="str">
        <f>TRIM(PROPER(Tabla_auditoría[[#This Row],[Responsable]]))</f>
        <v>Laura Pérez</v>
      </c>
    </row>
    <row r="144" spans="1:19" x14ac:dyDescent="0.3">
      <c r="A144" s="1">
        <v>45727</v>
      </c>
      <c r="B144" s="2" t="s">
        <v>2560</v>
      </c>
      <c r="C144" s="2" t="s">
        <v>2533</v>
      </c>
      <c r="D144" s="2" t="s">
        <v>2528</v>
      </c>
      <c r="E144" s="2" t="s">
        <v>2517</v>
      </c>
      <c r="F144" s="3">
        <v>3205</v>
      </c>
      <c r="G144" s="3">
        <v>93</v>
      </c>
      <c r="H144" s="3">
        <v>5</v>
      </c>
      <c r="I144" s="4">
        <v>104.64</v>
      </c>
      <c r="J144" s="4">
        <v>308.27</v>
      </c>
      <c r="K144" s="3">
        <v>3</v>
      </c>
      <c r="L144" s="2" t="s">
        <v>2523</v>
      </c>
      <c r="N144" t="str">
        <f>TRIM(PROPER(Tabla_auditoría[[#This Row],[ID_Campaña]]))</f>
        <v>Cmp-027</v>
      </c>
      <c r="O144" t="str">
        <f>TRIM(PROPER(Tabla_auditoría[[#This Row],[Canal]]))</f>
        <v>Paid Social</v>
      </c>
      <c r="P144" t="str">
        <f>TRIM(PROPER(Tabla_auditoría[[#This Row],[País]]))</f>
        <v>España</v>
      </c>
      <c r="Q144" t="str">
        <f>TRIM(PROPER(Tabla_auditoría[[#This Row],[Dispositivo]]))</f>
        <v>Desktop</v>
      </c>
      <c r="R144" t="str">
        <f>TRIM(PROPER(Tabla_auditoría[[#This Row],[Tipo_Campaña]]))</f>
        <v>Retención</v>
      </c>
      <c r="S144" t="str">
        <f>TRIM(PROPER(Tabla_auditoría[[#This Row],[Responsable]]))</f>
        <v/>
      </c>
    </row>
    <row r="145" spans="1:19" x14ac:dyDescent="0.3">
      <c r="A145" s="1">
        <v>45747</v>
      </c>
      <c r="B145" s="2" t="s">
        <v>2532</v>
      </c>
      <c r="C145" s="2" t="s">
        <v>2541</v>
      </c>
      <c r="D145" s="2" t="s">
        <v>2516</v>
      </c>
      <c r="E145" s="2" t="s">
        <v>2529</v>
      </c>
      <c r="F145" s="3">
        <v>143186</v>
      </c>
      <c r="G145" s="3">
        <v>4151</v>
      </c>
      <c r="H145" s="3">
        <v>383</v>
      </c>
      <c r="I145" s="4">
        <v>5318.8</v>
      </c>
      <c r="J145" s="4">
        <v>26849.63</v>
      </c>
      <c r="K145" s="3">
        <v>300</v>
      </c>
      <c r="L145" s="2" t="s">
        <v>2536</v>
      </c>
      <c r="M145" s="2" t="s">
        <v>2537</v>
      </c>
      <c r="N145" t="str">
        <f>TRIM(PROPER(Tabla_auditoría[[#This Row],[ID_Campaña]]))</f>
        <v>Cmp-022</v>
      </c>
      <c r="O145" t="str">
        <f>TRIM(PROPER(Tabla_auditoría[[#This Row],[Canal]]))</f>
        <v>Display</v>
      </c>
      <c r="P145" t="str">
        <f>TRIM(PROPER(Tabla_auditoría[[#This Row],[País]]))</f>
        <v>México</v>
      </c>
      <c r="Q145" t="str">
        <f>TRIM(PROPER(Tabla_auditoría[[#This Row],[Dispositivo]]))</f>
        <v>Mobile</v>
      </c>
      <c r="R145" t="str">
        <f>TRIM(PROPER(Tabla_auditoría[[#This Row],[Tipo_Campaña]]))</f>
        <v>Reconocimiento</v>
      </c>
      <c r="S145" t="str">
        <f>TRIM(PROPER(Tabla_auditoría[[#This Row],[Responsable]]))</f>
        <v>Marta López</v>
      </c>
    </row>
    <row r="146" spans="1:19" x14ac:dyDescent="0.3">
      <c r="A146" s="1">
        <v>45939</v>
      </c>
      <c r="B146" s="2" t="s">
        <v>2551</v>
      </c>
      <c r="C146" s="2" t="s">
        <v>2541</v>
      </c>
      <c r="D146" s="2" t="s">
        <v>2528</v>
      </c>
      <c r="E146" s="2" t="s">
        <v>2517</v>
      </c>
      <c r="F146" s="3">
        <v>159308</v>
      </c>
      <c r="G146" s="3">
        <v>10535</v>
      </c>
      <c r="H146" s="3">
        <v>140</v>
      </c>
      <c r="I146" s="4">
        <v>8913.76</v>
      </c>
      <c r="J146" s="4">
        <v>18838.45</v>
      </c>
      <c r="K146" s="3">
        <v>96</v>
      </c>
      <c r="L146" s="2" t="s">
        <v>2539</v>
      </c>
      <c r="M146" s="2" t="s">
        <v>2519</v>
      </c>
      <c r="N146" t="str">
        <f>TRIM(PROPER(Tabla_auditoría[[#This Row],[ID_Campaña]]))</f>
        <v>Cmp-028</v>
      </c>
      <c r="O146" t="str">
        <f>TRIM(PROPER(Tabla_auditoría[[#This Row],[Canal]]))</f>
        <v>Display</v>
      </c>
      <c r="P146" t="str">
        <f>TRIM(PROPER(Tabla_auditoría[[#This Row],[País]]))</f>
        <v>España</v>
      </c>
      <c r="Q146" t="str">
        <f>TRIM(PROPER(Tabla_auditoría[[#This Row],[Dispositivo]]))</f>
        <v>Desktop</v>
      </c>
      <c r="R146" t="str">
        <f>TRIM(PROPER(Tabla_auditoría[[#This Row],[Tipo_Campaña]]))</f>
        <v>Conversión</v>
      </c>
      <c r="S146" t="str">
        <f>TRIM(PROPER(Tabla_auditoría[[#This Row],[Responsable]]))</f>
        <v>Carlos Ruiz</v>
      </c>
    </row>
    <row r="147" spans="1:19" x14ac:dyDescent="0.3">
      <c r="A147" s="1">
        <v>45725</v>
      </c>
      <c r="B147" s="2" t="s">
        <v>2549</v>
      </c>
      <c r="C147" s="2" t="s">
        <v>2527</v>
      </c>
      <c r="D147" s="2" t="s">
        <v>2525</v>
      </c>
      <c r="E147" s="2" t="s">
        <v>2529</v>
      </c>
      <c r="F147" s="3">
        <v>171401</v>
      </c>
      <c r="G147" s="3">
        <v>8378</v>
      </c>
      <c r="H147" s="3">
        <v>241</v>
      </c>
      <c r="I147" s="4">
        <v>17294.599999999999</v>
      </c>
      <c r="J147" s="4">
        <v>30380.080000000002</v>
      </c>
      <c r="K147" s="3">
        <v>180</v>
      </c>
      <c r="L147" s="2" t="s">
        <v>2539</v>
      </c>
      <c r="M147" s="2" t="s">
        <v>2526</v>
      </c>
      <c r="N147" t="str">
        <f>TRIM(PROPER(Tabla_auditoría[[#This Row],[ID_Campaña]]))</f>
        <v>Cmp-007</v>
      </c>
      <c r="O147" t="str">
        <f>TRIM(PROPER(Tabla_auditoría[[#This Row],[Canal]]))</f>
        <v>Affiliate</v>
      </c>
      <c r="P147" t="str">
        <f>TRIM(PROPER(Tabla_auditoría[[#This Row],[País]]))</f>
        <v>Francia</v>
      </c>
      <c r="Q147" t="str">
        <f>TRIM(PROPER(Tabla_auditoría[[#This Row],[Dispositivo]]))</f>
        <v>Mobile</v>
      </c>
      <c r="R147" t="str">
        <f>TRIM(PROPER(Tabla_auditoría[[#This Row],[Tipo_Campaña]]))</f>
        <v>Conversión</v>
      </c>
      <c r="S147" t="str">
        <f>TRIM(PROPER(Tabla_auditoría[[#This Row],[Responsable]]))</f>
        <v>Laura Pérez</v>
      </c>
    </row>
    <row r="148" spans="1:19" x14ac:dyDescent="0.3">
      <c r="A148" s="1">
        <v>45988</v>
      </c>
      <c r="B148" s="2" t="s">
        <v>2565</v>
      </c>
      <c r="D148" s="2" t="s">
        <v>2528</v>
      </c>
      <c r="E148" s="2" t="s">
        <v>2529</v>
      </c>
      <c r="F148" s="3">
        <v>56296</v>
      </c>
      <c r="G148" s="3">
        <v>2915</v>
      </c>
      <c r="H148" s="3">
        <v>404</v>
      </c>
      <c r="I148" s="4">
        <v>5926.51</v>
      </c>
      <c r="J148" s="4">
        <v>75911.75</v>
      </c>
      <c r="K148" s="3">
        <v>296</v>
      </c>
      <c r="L148" s="2" t="s">
        <v>2518</v>
      </c>
      <c r="M148" s="2" t="s">
        <v>2546</v>
      </c>
      <c r="N148" t="str">
        <f>TRIM(PROPER(Tabla_auditoría[[#This Row],[ID_Campaña]]))</f>
        <v>Cmp-005</v>
      </c>
      <c r="O148" t="str">
        <f>TRIM(PROPER(Tabla_auditoría[[#This Row],[Canal]]))</f>
        <v/>
      </c>
      <c r="P148" t="str">
        <f>TRIM(PROPER(Tabla_auditoría[[#This Row],[País]]))</f>
        <v>España</v>
      </c>
      <c r="Q148" t="str">
        <f>TRIM(PROPER(Tabla_auditoría[[#This Row],[Dispositivo]]))</f>
        <v>Mobile</v>
      </c>
      <c r="R148" t="str">
        <f>TRIM(PROPER(Tabla_auditoría[[#This Row],[Tipo_Campaña]]))</f>
        <v>Adquisición</v>
      </c>
      <c r="S148" t="str">
        <f>TRIM(PROPER(Tabla_auditoría[[#This Row],[Responsable]]))</f>
        <v>Ana García</v>
      </c>
    </row>
    <row r="149" spans="1:19" x14ac:dyDescent="0.3">
      <c r="A149" s="1">
        <v>45832</v>
      </c>
      <c r="B149" s="2" t="s">
        <v>2570</v>
      </c>
      <c r="C149" s="2" t="s">
        <v>2515</v>
      </c>
      <c r="D149" s="2" t="s">
        <v>2528</v>
      </c>
      <c r="E149" s="2" t="s">
        <v>2517</v>
      </c>
      <c r="F149" s="3">
        <v>65635</v>
      </c>
      <c r="G149" s="3">
        <v>1596</v>
      </c>
      <c r="H149" s="3">
        <v>219</v>
      </c>
      <c r="I149" s="4">
        <v>1057.81</v>
      </c>
      <c r="J149" s="4">
        <v>17550.599999999999</v>
      </c>
      <c r="K149" s="3">
        <v>136</v>
      </c>
      <c r="L149" s="2" t="s">
        <v>2539</v>
      </c>
      <c r="M149" s="2" t="s">
        <v>2524</v>
      </c>
      <c r="N149" t="str">
        <f>TRIM(PROPER(Tabla_auditoría[[#This Row],[ID_Campaña]]))</f>
        <v>Cmp-016</v>
      </c>
      <c r="O149" t="str">
        <f>TRIM(PROPER(Tabla_auditoría[[#This Row],[Canal]]))</f>
        <v>Email</v>
      </c>
      <c r="P149" t="str">
        <f>TRIM(PROPER(Tabla_auditoría[[#This Row],[País]]))</f>
        <v>España</v>
      </c>
      <c r="Q149" t="str">
        <f>TRIM(PROPER(Tabla_auditoría[[#This Row],[Dispositivo]]))</f>
        <v>Desktop</v>
      </c>
      <c r="R149" t="str">
        <f>TRIM(PROPER(Tabla_auditoría[[#This Row],[Tipo_Campaña]]))</f>
        <v>Conversión</v>
      </c>
      <c r="S149" t="str">
        <f>TRIM(PROPER(Tabla_auditoría[[#This Row],[Responsable]]))</f>
        <v>Luis Martín</v>
      </c>
    </row>
    <row r="150" spans="1:19" x14ac:dyDescent="0.3">
      <c r="A150" s="1">
        <v>45812</v>
      </c>
      <c r="B150" s="2" t="s">
        <v>2532</v>
      </c>
      <c r="C150" s="2" t="s">
        <v>2541</v>
      </c>
      <c r="D150" s="2" t="s">
        <v>2516</v>
      </c>
      <c r="E150" s="2" t="s">
        <v>2529</v>
      </c>
      <c r="F150" s="3">
        <v>126856</v>
      </c>
      <c r="G150" s="3">
        <v>551</v>
      </c>
      <c r="H150" s="3">
        <v>48</v>
      </c>
      <c r="I150" s="4">
        <v>226.62</v>
      </c>
      <c r="J150" s="4">
        <v>1452.3</v>
      </c>
      <c r="K150" s="3">
        <v>28</v>
      </c>
      <c r="L150" s="2" t="s">
        <v>2523</v>
      </c>
      <c r="M150" s="2" t="s">
        <v>2526</v>
      </c>
      <c r="N150" t="str">
        <f>TRIM(PROPER(Tabla_auditoría[[#This Row],[ID_Campaña]]))</f>
        <v>Cmp-022</v>
      </c>
      <c r="O150" t="str">
        <f>TRIM(PROPER(Tabla_auditoría[[#This Row],[Canal]]))</f>
        <v>Display</v>
      </c>
      <c r="P150" t="str">
        <f>TRIM(PROPER(Tabla_auditoría[[#This Row],[País]]))</f>
        <v>México</v>
      </c>
      <c r="Q150" t="str">
        <f>TRIM(PROPER(Tabla_auditoría[[#This Row],[Dispositivo]]))</f>
        <v>Mobile</v>
      </c>
      <c r="R150" t="str">
        <f>TRIM(PROPER(Tabla_auditoría[[#This Row],[Tipo_Campaña]]))</f>
        <v>Retención</v>
      </c>
      <c r="S150" t="str">
        <f>TRIM(PROPER(Tabla_auditoría[[#This Row],[Responsable]]))</f>
        <v>Laura Pérez</v>
      </c>
    </row>
    <row r="151" spans="1:19" x14ac:dyDescent="0.3">
      <c r="A151" s="1">
        <v>45901</v>
      </c>
      <c r="B151" s="2" t="s">
        <v>2542</v>
      </c>
      <c r="C151" s="2" t="s">
        <v>2541</v>
      </c>
      <c r="D151" s="2" t="s">
        <v>2528</v>
      </c>
      <c r="E151" s="2" t="s">
        <v>2517</v>
      </c>
      <c r="F151" s="3">
        <v>151546</v>
      </c>
      <c r="G151" s="3">
        <v>706</v>
      </c>
      <c r="H151" s="3">
        <v>14</v>
      </c>
      <c r="I151" s="4">
        <v>852.88</v>
      </c>
      <c r="J151" s="4">
        <v>1939.33</v>
      </c>
      <c r="K151" s="3">
        <v>7</v>
      </c>
      <c r="L151" s="2" t="s">
        <v>2523</v>
      </c>
      <c r="M151" s="2" t="s">
        <v>2524</v>
      </c>
      <c r="N151" t="str">
        <f>TRIM(PROPER(Tabla_auditoría[[#This Row],[ID_Campaña]]))</f>
        <v>Cmp-025</v>
      </c>
      <c r="O151" t="str">
        <f>TRIM(PROPER(Tabla_auditoría[[#This Row],[Canal]]))</f>
        <v>Display</v>
      </c>
      <c r="P151" t="str">
        <f>TRIM(PROPER(Tabla_auditoría[[#This Row],[País]]))</f>
        <v>España</v>
      </c>
      <c r="Q151" t="str">
        <f>TRIM(PROPER(Tabla_auditoría[[#This Row],[Dispositivo]]))</f>
        <v>Desktop</v>
      </c>
      <c r="R151" t="str">
        <f>TRIM(PROPER(Tabla_auditoría[[#This Row],[Tipo_Campaña]]))</f>
        <v>Retención</v>
      </c>
      <c r="S151" t="str">
        <f>TRIM(PROPER(Tabla_auditoría[[#This Row],[Responsable]]))</f>
        <v>Luis Martín</v>
      </c>
    </row>
    <row r="152" spans="1:19" x14ac:dyDescent="0.3">
      <c r="A152" s="1">
        <v>45880</v>
      </c>
      <c r="B152" s="2" t="s">
        <v>2557</v>
      </c>
      <c r="C152" s="2" t="s">
        <v>2533</v>
      </c>
      <c r="D152" s="2" t="s">
        <v>2528</v>
      </c>
      <c r="E152" s="2" t="s">
        <v>2529</v>
      </c>
      <c r="F152" s="3">
        <v>150117</v>
      </c>
      <c r="G152" s="3">
        <v>8309</v>
      </c>
      <c r="H152" s="3">
        <v>450</v>
      </c>
      <c r="I152" s="4">
        <v>7578.69</v>
      </c>
      <c r="J152" s="4">
        <v>81946.09</v>
      </c>
      <c r="K152" s="3">
        <v>226</v>
      </c>
      <c r="L152" s="2" t="s">
        <v>2539</v>
      </c>
      <c r="M152" s="2" t="s">
        <v>2519</v>
      </c>
      <c r="N152" t="str">
        <f>TRIM(PROPER(Tabla_auditoría[[#This Row],[ID_Campaña]]))</f>
        <v>Cmp-030</v>
      </c>
      <c r="O152" t="str">
        <f>TRIM(PROPER(Tabla_auditoría[[#This Row],[Canal]]))</f>
        <v>Paid Social</v>
      </c>
      <c r="P152" t="str">
        <f>TRIM(PROPER(Tabla_auditoría[[#This Row],[País]]))</f>
        <v>España</v>
      </c>
      <c r="Q152" t="str">
        <f>TRIM(PROPER(Tabla_auditoría[[#This Row],[Dispositivo]]))</f>
        <v>Mobile</v>
      </c>
      <c r="R152" t="str">
        <f>TRIM(PROPER(Tabla_auditoría[[#This Row],[Tipo_Campaña]]))</f>
        <v>Conversión</v>
      </c>
      <c r="S152" t="str">
        <f>TRIM(PROPER(Tabla_auditoría[[#This Row],[Responsable]]))</f>
        <v>Carlos Ruiz</v>
      </c>
    </row>
    <row r="153" spans="1:19" x14ac:dyDescent="0.3">
      <c r="A153" s="1">
        <v>45666</v>
      </c>
      <c r="B153" s="2" t="s">
        <v>2544</v>
      </c>
      <c r="C153" s="2" t="s">
        <v>2543</v>
      </c>
      <c r="D153" s="2" t="s">
        <v>2522</v>
      </c>
      <c r="E153" s="2" t="s">
        <v>2529</v>
      </c>
      <c r="F153" s="3">
        <v>78280</v>
      </c>
      <c r="G153" s="3">
        <v>3635</v>
      </c>
      <c r="H153" s="3">
        <v>303</v>
      </c>
      <c r="I153" s="4">
        <v>7526.87</v>
      </c>
      <c r="J153" s="4">
        <v>66167.11</v>
      </c>
      <c r="K153" s="3">
        <v>228</v>
      </c>
      <c r="L153" s="2" t="s">
        <v>2536</v>
      </c>
      <c r="M153" s="2" t="s">
        <v>2519</v>
      </c>
      <c r="N153" t="str">
        <f>TRIM(PROPER(Tabla_auditoría[[#This Row],[ID_Campaña]]))</f>
        <v>Cmp-006</v>
      </c>
      <c r="O153" t="str">
        <f>TRIM(PROPER(Tabla_auditoría[[#This Row],[Canal]]))</f>
        <v>Organic Social</v>
      </c>
      <c r="P153" t="str">
        <f>TRIM(PROPER(Tabla_auditoría[[#This Row],[País]]))</f>
        <v>Italia</v>
      </c>
      <c r="Q153" t="str">
        <f>TRIM(PROPER(Tabla_auditoría[[#This Row],[Dispositivo]]))</f>
        <v>Mobile</v>
      </c>
      <c r="R153" t="str">
        <f>TRIM(PROPER(Tabla_auditoría[[#This Row],[Tipo_Campaña]]))</f>
        <v>Reconocimiento</v>
      </c>
      <c r="S153" t="str">
        <f>TRIM(PROPER(Tabla_auditoría[[#This Row],[Responsable]]))</f>
        <v>Carlos Ruiz</v>
      </c>
    </row>
    <row r="154" spans="1:19" x14ac:dyDescent="0.3">
      <c r="A154" s="1">
        <v>45939</v>
      </c>
      <c r="B154" s="2" t="s">
        <v>2538</v>
      </c>
      <c r="C154" s="2" t="s">
        <v>2527</v>
      </c>
      <c r="D154" s="2" t="s">
        <v>2516</v>
      </c>
      <c r="E154" s="2" t="s">
        <v>2517</v>
      </c>
      <c r="F154" s="3">
        <v>62151</v>
      </c>
      <c r="G154" s="3">
        <v>3252</v>
      </c>
      <c r="H154" s="3">
        <v>101</v>
      </c>
      <c r="I154" s="4">
        <v>5983.42</v>
      </c>
      <c r="J154" s="4">
        <v>20425.59</v>
      </c>
      <c r="K154" s="3">
        <v>81</v>
      </c>
      <c r="L154" s="2" t="s">
        <v>2523</v>
      </c>
      <c r="M154" s="2" t="s">
        <v>2537</v>
      </c>
      <c r="N154" t="str">
        <f>TRIM(PROPER(Tabla_auditoría[[#This Row],[ID_Campaña]]))</f>
        <v>Cmp-004</v>
      </c>
      <c r="O154" t="str">
        <f>TRIM(PROPER(Tabla_auditoría[[#This Row],[Canal]]))</f>
        <v>Affiliate</v>
      </c>
      <c r="P154" t="str">
        <f>TRIM(PROPER(Tabla_auditoría[[#This Row],[País]]))</f>
        <v>México</v>
      </c>
      <c r="Q154" t="str">
        <f>TRIM(PROPER(Tabla_auditoría[[#This Row],[Dispositivo]]))</f>
        <v>Desktop</v>
      </c>
      <c r="R154" t="str">
        <f>TRIM(PROPER(Tabla_auditoría[[#This Row],[Tipo_Campaña]]))</f>
        <v>Retención</v>
      </c>
      <c r="S154" t="str">
        <f>TRIM(PROPER(Tabla_auditoría[[#This Row],[Responsable]]))</f>
        <v>Marta López</v>
      </c>
    </row>
    <row r="155" spans="1:19" x14ac:dyDescent="0.3">
      <c r="A155" s="1">
        <v>45984</v>
      </c>
      <c r="B155" s="2" t="s">
        <v>2576</v>
      </c>
      <c r="C155" s="2" t="s">
        <v>2515</v>
      </c>
      <c r="D155" s="2" t="s">
        <v>2528</v>
      </c>
      <c r="E155" s="2" t="s">
        <v>2517</v>
      </c>
      <c r="F155" s="3">
        <v>84202</v>
      </c>
      <c r="G155" s="3">
        <v>5175</v>
      </c>
      <c r="H155" s="3">
        <v>523</v>
      </c>
      <c r="I155" s="4">
        <v>8691.2900000000009</v>
      </c>
      <c r="J155" s="4">
        <v>70646.539999999994</v>
      </c>
      <c r="K155" s="3">
        <v>315</v>
      </c>
      <c r="L155" s="2" t="s">
        <v>2523</v>
      </c>
      <c r="M155" s="2" t="s">
        <v>2526</v>
      </c>
      <c r="N155" t="str">
        <f>TRIM(PROPER(Tabla_auditoría[[#This Row],[ID_Campaña]]))</f>
        <v>Cmp-010</v>
      </c>
      <c r="O155" t="str">
        <f>TRIM(PROPER(Tabla_auditoría[[#This Row],[Canal]]))</f>
        <v>Email</v>
      </c>
      <c r="P155" t="str">
        <f>TRIM(PROPER(Tabla_auditoría[[#This Row],[País]]))</f>
        <v>España</v>
      </c>
      <c r="Q155" t="str">
        <f>TRIM(PROPER(Tabla_auditoría[[#This Row],[Dispositivo]]))</f>
        <v>Desktop</v>
      </c>
      <c r="R155" t="str">
        <f>TRIM(PROPER(Tabla_auditoría[[#This Row],[Tipo_Campaña]]))</f>
        <v>Retención</v>
      </c>
      <c r="S155" t="str">
        <f>TRIM(PROPER(Tabla_auditoría[[#This Row],[Responsable]]))</f>
        <v>Laura Pérez</v>
      </c>
    </row>
    <row r="156" spans="1:19" x14ac:dyDescent="0.3">
      <c r="A156" s="1">
        <v>45873</v>
      </c>
      <c r="B156" s="2" t="s">
        <v>2535</v>
      </c>
      <c r="C156" s="2" t="s">
        <v>2527</v>
      </c>
      <c r="E156" s="2" t="s">
        <v>2529</v>
      </c>
      <c r="F156" s="3">
        <v>70993</v>
      </c>
      <c r="G156" s="3">
        <v>5324</v>
      </c>
      <c r="H156" s="3">
        <v>363</v>
      </c>
      <c r="I156" s="4">
        <v>6370.38</v>
      </c>
      <c r="J156" s="4">
        <v>10725.48</v>
      </c>
      <c r="K156" s="3">
        <v>322</v>
      </c>
      <c r="L156" s="2" t="s">
        <v>2523</v>
      </c>
      <c r="M156" s="2" t="s">
        <v>2524</v>
      </c>
      <c r="N156" t="str">
        <f>TRIM(PROPER(Tabla_auditoría[[#This Row],[ID_Campaña]]))</f>
        <v>Cmp-015</v>
      </c>
      <c r="O156" t="str">
        <f>TRIM(PROPER(Tabla_auditoría[[#This Row],[Canal]]))</f>
        <v>Affiliate</v>
      </c>
      <c r="P156" t="str">
        <f>TRIM(PROPER(Tabla_auditoría[[#This Row],[País]]))</f>
        <v/>
      </c>
      <c r="Q156" t="str">
        <f>TRIM(PROPER(Tabla_auditoría[[#This Row],[Dispositivo]]))</f>
        <v>Mobile</v>
      </c>
      <c r="R156" t="str">
        <f>TRIM(PROPER(Tabla_auditoría[[#This Row],[Tipo_Campaña]]))</f>
        <v>Retención</v>
      </c>
      <c r="S156" t="str">
        <f>TRIM(PROPER(Tabla_auditoría[[#This Row],[Responsable]]))</f>
        <v>Luis Martín</v>
      </c>
    </row>
    <row r="157" spans="1:19" x14ac:dyDescent="0.3">
      <c r="A157" s="1">
        <v>45943</v>
      </c>
      <c r="B157" s="2" t="s">
        <v>2571</v>
      </c>
      <c r="C157" s="2" t="s">
        <v>2543</v>
      </c>
      <c r="D157" s="2" t="s">
        <v>2525</v>
      </c>
      <c r="E157" s="2" t="s">
        <v>2529</v>
      </c>
      <c r="F157" s="3">
        <v>5365</v>
      </c>
      <c r="G157" s="3">
        <v>283</v>
      </c>
      <c r="H157" s="3">
        <v>20</v>
      </c>
      <c r="I157" s="4">
        <v>429.12</v>
      </c>
      <c r="J157" s="4">
        <v>1588.92</v>
      </c>
      <c r="K157" s="3">
        <v>9</v>
      </c>
      <c r="L157" s="2" t="s">
        <v>2518</v>
      </c>
      <c r="M157" s="2" t="s">
        <v>2524</v>
      </c>
      <c r="N157" t="str">
        <f>TRIM(PROPER(Tabla_auditoría[[#This Row],[ID_Campaña]]))</f>
        <v>Cmp-029</v>
      </c>
      <c r="O157" t="str">
        <f>TRIM(PROPER(Tabla_auditoría[[#This Row],[Canal]]))</f>
        <v>Organic Social</v>
      </c>
      <c r="P157" t="str">
        <f>TRIM(PROPER(Tabla_auditoría[[#This Row],[País]]))</f>
        <v>Francia</v>
      </c>
      <c r="Q157" t="str">
        <f>TRIM(PROPER(Tabla_auditoría[[#This Row],[Dispositivo]]))</f>
        <v>Mobile</v>
      </c>
      <c r="R157" t="str">
        <f>TRIM(PROPER(Tabla_auditoría[[#This Row],[Tipo_Campaña]]))</f>
        <v>Adquisición</v>
      </c>
      <c r="S157" t="str">
        <f>TRIM(PROPER(Tabla_auditoría[[#This Row],[Responsable]]))</f>
        <v>Luis Martín</v>
      </c>
    </row>
    <row r="158" spans="1:19" x14ac:dyDescent="0.3">
      <c r="A158" s="1">
        <v>45766</v>
      </c>
      <c r="B158" s="2" t="s">
        <v>2560</v>
      </c>
      <c r="C158" s="2" t="s">
        <v>2515</v>
      </c>
      <c r="D158" s="2" t="s">
        <v>2528</v>
      </c>
      <c r="E158" s="2" t="s">
        <v>2529</v>
      </c>
      <c r="F158" s="3">
        <v>76473</v>
      </c>
      <c r="G158" s="3">
        <v>1429</v>
      </c>
      <c r="H158" s="3">
        <v>67</v>
      </c>
      <c r="I158" s="4">
        <v>837.55</v>
      </c>
      <c r="J158" s="4">
        <v>10003.66</v>
      </c>
      <c r="K158" s="3">
        <v>37</v>
      </c>
      <c r="L158" s="2" t="s">
        <v>2539</v>
      </c>
      <c r="M158" s="2" t="s">
        <v>2519</v>
      </c>
      <c r="N158" t="str">
        <f>TRIM(PROPER(Tabla_auditoría[[#This Row],[ID_Campaña]]))</f>
        <v>Cmp-027</v>
      </c>
      <c r="O158" t="str">
        <f>TRIM(PROPER(Tabla_auditoría[[#This Row],[Canal]]))</f>
        <v>Email</v>
      </c>
      <c r="P158" t="str">
        <f>TRIM(PROPER(Tabla_auditoría[[#This Row],[País]]))</f>
        <v>España</v>
      </c>
      <c r="Q158" t="str">
        <f>TRIM(PROPER(Tabla_auditoría[[#This Row],[Dispositivo]]))</f>
        <v>Mobile</v>
      </c>
      <c r="R158" t="str">
        <f>TRIM(PROPER(Tabla_auditoría[[#This Row],[Tipo_Campaña]]))</f>
        <v>Conversión</v>
      </c>
      <c r="S158" t="str">
        <f>TRIM(PROPER(Tabla_auditoría[[#This Row],[Responsable]]))</f>
        <v>Carlos Ruiz</v>
      </c>
    </row>
    <row r="159" spans="1:19" x14ac:dyDescent="0.3">
      <c r="A159" s="1">
        <v>45682</v>
      </c>
      <c r="B159" s="2" t="s">
        <v>2552</v>
      </c>
      <c r="C159" s="2" t="s">
        <v>2515</v>
      </c>
      <c r="D159" s="2" t="s">
        <v>2525</v>
      </c>
      <c r="E159" s="2" t="s">
        <v>2529</v>
      </c>
      <c r="F159" s="3">
        <v>89336</v>
      </c>
      <c r="G159" s="3">
        <v>2284</v>
      </c>
      <c r="H159" s="3">
        <v>258</v>
      </c>
      <c r="I159" s="4">
        <v>1750.33</v>
      </c>
      <c r="J159" s="4">
        <v>51761.79</v>
      </c>
      <c r="K159" s="3">
        <v>131</v>
      </c>
      <c r="L159" s="2" t="s">
        <v>2518</v>
      </c>
      <c r="M159" s="2" t="s">
        <v>2546</v>
      </c>
      <c r="N159" t="str">
        <f>TRIM(PROPER(Tabla_auditoría[[#This Row],[ID_Campaña]]))</f>
        <v>Cmp-012</v>
      </c>
      <c r="O159" t="str">
        <f>TRIM(PROPER(Tabla_auditoría[[#This Row],[Canal]]))</f>
        <v>Email</v>
      </c>
      <c r="P159" t="str">
        <f>TRIM(PROPER(Tabla_auditoría[[#This Row],[País]]))</f>
        <v>Francia</v>
      </c>
      <c r="Q159" t="str">
        <f>TRIM(PROPER(Tabla_auditoría[[#This Row],[Dispositivo]]))</f>
        <v>Mobile</v>
      </c>
      <c r="R159" t="str">
        <f>TRIM(PROPER(Tabla_auditoría[[#This Row],[Tipo_Campaña]]))</f>
        <v>Adquisición</v>
      </c>
      <c r="S159" t="str">
        <f>TRIM(PROPER(Tabla_auditoría[[#This Row],[Responsable]]))</f>
        <v>Ana García</v>
      </c>
    </row>
    <row r="160" spans="1:19" x14ac:dyDescent="0.3">
      <c r="A160" s="1">
        <v>45672</v>
      </c>
      <c r="B160" s="2" t="s">
        <v>2551</v>
      </c>
      <c r="C160" s="2" t="s">
        <v>2541</v>
      </c>
      <c r="D160" s="2" t="s">
        <v>2528</v>
      </c>
      <c r="E160" s="2" t="s">
        <v>2517</v>
      </c>
      <c r="F160" s="3">
        <v>45075</v>
      </c>
      <c r="G160" s="3">
        <v>3575</v>
      </c>
      <c r="H160" s="3">
        <v>175</v>
      </c>
      <c r="I160" s="4">
        <v>5975.28</v>
      </c>
      <c r="J160" s="4">
        <v>36336.83</v>
      </c>
      <c r="K160" s="3">
        <v>128</v>
      </c>
      <c r="L160" s="2" t="s">
        <v>2523</v>
      </c>
      <c r="M160" s="2" t="s">
        <v>2526</v>
      </c>
      <c r="N160" t="str">
        <f>TRIM(PROPER(Tabla_auditoría[[#This Row],[ID_Campaña]]))</f>
        <v>Cmp-028</v>
      </c>
      <c r="O160" t="str">
        <f>TRIM(PROPER(Tabla_auditoría[[#This Row],[Canal]]))</f>
        <v>Display</v>
      </c>
      <c r="P160" t="str">
        <f>TRIM(PROPER(Tabla_auditoría[[#This Row],[País]]))</f>
        <v>España</v>
      </c>
      <c r="Q160" t="str">
        <f>TRIM(PROPER(Tabla_auditoría[[#This Row],[Dispositivo]]))</f>
        <v>Desktop</v>
      </c>
      <c r="R160" t="str">
        <f>TRIM(PROPER(Tabla_auditoría[[#This Row],[Tipo_Campaña]]))</f>
        <v>Retención</v>
      </c>
      <c r="S160" t="str">
        <f>TRIM(PROPER(Tabla_auditoría[[#This Row],[Responsable]]))</f>
        <v>Laura Pérez</v>
      </c>
    </row>
    <row r="161" spans="1:19" x14ac:dyDescent="0.3">
      <c r="A161" s="1">
        <v>46017</v>
      </c>
      <c r="B161" s="2" t="s">
        <v>2574</v>
      </c>
      <c r="C161" s="2" t="s">
        <v>2558</v>
      </c>
      <c r="D161" s="2" t="s">
        <v>2525</v>
      </c>
      <c r="E161" s="2" t="s">
        <v>2517</v>
      </c>
      <c r="F161" s="3">
        <v>10749</v>
      </c>
      <c r="G161" s="3">
        <v>592</v>
      </c>
      <c r="H161" s="3">
        <v>55</v>
      </c>
      <c r="I161" s="4">
        <v>794.7</v>
      </c>
      <c r="J161" s="4">
        <v>5606.04</v>
      </c>
      <c r="K161" s="3">
        <v>48</v>
      </c>
      <c r="L161" s="2" t="s">
        <v>2523</v>
      </c>
      <c r="M161" s="2" t="s">
        <v>2519</v>
      </c>
      <c r="N161" t="str">
        <f>TRIM(PROPER(Tabla_auditoría[[#This Row],[ID_Campaña]]))</f>
        <v>Cmp-003</v>
      </c>
      <c r="O161" t="str">
        <f>TRIM(PROPER(Tabla_auditoría[[#This Row],[Canal]]))</f>
        <v>Paid Social</v>
      </c>
      <c r="P161" t="str">
        <f>TRIM(PROPER(Tabla_auditoría[[#This Row],[País]]))</f>
        <v>Francia</v>
      </c>
      <c r="Q161" t="str">
        <f>TRIM(PROPER(Tabla_auditoría[[#This Row],[Dispositivo]]))</f>
        <v>Desktop</v>
      </c>
      <c r="R161" t="str">
        <f>TRIM(PROPER(Tabla_auditoría[[#This Row],[Tipo_Campaña]]))</f>
        <v>Retención</v>
      </c>
      <c r="S161" t="str">
        <f>TRIM(PROPER(Tabla_auditoría[[#This Row],[Responsable]]))</f>
        <v>Carlos Ruiz</v>
      </c>
    </row>
    <row r="162" spans="1:19" x14ac:dyDescent="0.3">
      <c r="A162" s="1">
        <v>45915</v>
      </c>
      <c r="B162" s="2" t="s">
        <v>2555</v>
      </c>
      <c r="C162" s="2" t="s">
        <v>2527</v>
      </c>
      <c r="D162" s="2" t="s">
        <v>2516</v>
      </c>
      <c r="E162" s="2" t="s">
        <v>2517</v>
      </c>
      <c r="F162" s="3">
        <v>174829</v>
      </c>
      <c r="G162" s="3">
        <v>11184</v>
      </c>
      <c r="H162" s="3">
        <v>699</v>
      </c>
      <c r="I162" s="4">
        <v>23368.09</v>
      </c>
      <c r="J162" s="4">
        <v>152960.56</v>
      </c>
      <c r="K162" s="3">
        <v>468</v>
      </c>
      <c r="L162" s="2" t="s">
        <v>2518</v>
      </c>
      <c r="M162" s="2" t="s">
        <v>2537</v>
      </c>
      <c r="N162" t="str">
        <f>TRIM(PROPER(Tabla_auditoría[[#This Row],[ID_Campaña]]))</f>
        <v>Cmp-010</v>
      </c>
      <c r="O162" t="str">
        <f>TRIM(PROPER(Tabla_auditoría[[#This Row],[Canal]]))</f>
        <v>Affiliate</v>
      </c>
      <c r="P162" t="str">
        <f>TRIM(PROPER(Tabla_auditoría[[#This Row],[País]]))</f>
        <v>México</v>
      </c>
      <c r="Q162" t="str">
        <f>TRIM(PROPER(Tabla_auditoría[[#This Row],[Dispositivo]]))</f>
        <v>Desktop</v>
      </c>
      <c r="R162" t="str">
        <f>TRIM(PROPER(Tabla_auditoría[[#This Row],[Tipo_Campaña]]))</f>
        <v>Adquisición</v>
      </c>
      <c r="S162" t="str">
        <f>TRIM(PROPER(Tabla_auditoría[[#This Row],[Responsable]]))</f>
        <v>Marta López</v>
      </c>
    </row>
    <row r="163" spans="1:19" x14ac:dyDescent="0.3">
      <c r="A163" s="1">
        <v>45723</v>
      </c>
      <c r="B163" s="2" t="s">
        <v>2545</v>
      </c>
      <c r="C163" s="2" t="s">
        <v>2515</v>
      </c>
      <c r="D163" s="2" t="s">
        <v>2522</v>
      </c>
      <c r="E163" s="2" t="s">
        <v>2529</v>
      </c>
      <c r="F163" s="3">
        <v>150839</v>
      </c>
      <c r="G163" s="3">
        <v>2552</v>
      </c>
      <c r="H163" s="3">
        <v>228</v>
      </c>
      <c r="I163" s="4">
        <v>2408.91</v>
      </c>
      <c r="J163" s="4">
        <v>48203.95</v>
      </c>
      <c r="K163" s="3">
        <v>117</v>
      </c>
      <c r="L163" s="2" t="s">
        <v>2523</v>
      </c>
      <c r="M163" s="2" t="s">
        <v>2524</v>
      </c>
      <c r="N163" t="str">
        <f>TRIM(PROPER(Tabla_auditoría[[#This Row],[ID_Campaña]]))</f>
        <v>Cmp-011</v>
      </c>
      <c r="O163" t="str">
        <f>TRIM(PROPER(Tabla_auditoría[[#This Row],[Canal]]))</f>
        <v>Email</v>
      </c>
      <c r="P163" t="str">
        <f>TRIM(PROPER(Tabla_auditoría[[#This Row],[País]]))</f>
        <v>Italia</v>
      </c>
      <c r="Q163" t="str">
        <f>TRIM(PROPER(Tabla_auditoría[[#This Row],[Dispositivo]]))</f>
        <v>Mobile</v>
      </c>
      <c r="R163" t="str">
        <f>TRIM(PROPER(Tabla_auditoría[[#This Row],[Tipo_Campaña]]))</f>
        <v>Retención</v>
      </c>
      <c r="S163" t="str">
        <f>TRIM(PROPER(Tabla_auditoría[[#This Row],[Responsable]]))</f>
        <v>Luis Martín</v>
      </c>
    </row>
    <row r="164" spans="1:19" x14ac:dyDescent="0.3">
      <c r="A164" s="1">
        <v>45939</v>
      </c>
      <c r="B164" s="2" t="s">
        <v>2538</v>
      </c>
      <c r="C164" s="2" t="s">
        <v>2515</v>
      </c>
      <c r="D164" s="2" t="s">
        <v>2528</v>
      </c>
      <c r="E164" s="2" t="s">
        <v>2529</v>
      </c>
      <c r="F164" s="3">
        <v>31736</v>
      </c>
      <c r="G164" s="3">
        <v>664</v>
      </c>
      <c r="H164" s="3">
        <v>53</v>
      </c>
      <c r="I164" s="4">
        <v>135.88999999999999</v>
      </c>
      <c r="J164" s="4">
        <v>5370.7</v>
      </c>
      <c r="K164" s="3">
        <v>46</v>
      </c>
      <c r="L164" s="2" t="s">
        <v>2539</v>
      </c>
      <c r="M164" s="2" t="s">
        <v>2526</v>
      </c>
      <c r="N164" t="str">
        <f>TRIM(PROPER(Tabla_auditoría[[#This Row],[ID_Campaña]]))</f>
        <v>Cmp-004</v>
      </c>
      <c r="O164" t="str">
        <f>TRIM(PROPER(Tabla_auditoría[[#This Row],[Canal]]))</f>
        <v>Email</v>
      </c>
      <c r="P164" t="str">
        <f>TRIM(PROPER(Tabla_auditoría[[#This Row],[País]]))</f>
        <v>España</v>
      </c>
      <c r="Q164" t="str">
        <f>TRIM(PROPER(Tabla_auditoría[[#This Row],[Dispositivo]]))</f>
        <v>Mobile</v>
      </c>
      <c r="R164" t="str">
        <f>TRIM(PROPER(Tabla_auditoría[[#This Row],[Tipo_Campaña]]))</f>
        <v>Conversión</v>
      </c>
      <c r="S164" t="str">
        <f>TRIM(PROPER(Tabla_auditoría[[#This Row],[Responsable]]))</f>
        <v>Laura Pérez</v>
      </c>
    </row>
    <row r="165" spans="1:19" x14ac:dyDescent="0.3">
      <c r="A165" s="1">
        <v>45962</v>
      </c>
      <c r="B165" s="2" t="s">
        <v>2520</v>
      </c>
      <c r="C165" s="2" t="s">
        <v>2521</v>
      </c>
      <c r="D165" s="2" t="s">
        <v>2516</v>
      </c>
      <c r="E165" s="2" t="s">
        <v>2517</v>
      </c>
      <c r="F165" s="3">
        <v>72086</v>
      </c>
      <c r="G165" s="3">
        <v>3771</v>
      </c>
      <c r="H165" s="3">
        <v>308</v>
      </c>
      <c r="I165" s="4">
        <v>4287.62</v>
      </c>
      <c r="J165" s="4">
        <v>18299.27</v>
      </c>
      <c r="K165" s="3">
        <v>147</v>
      </c>
      <c r="L165" s="2" t="s">
        <v>2518</v>
      </c>
      <c r="M165" s="2" t="s">
        <v>2546</v>
      </c>
      <c r="N165" t="str">
        <f>TRIM(PROPER(Tabla_auditoría[[#This Row],[ID_Campaña]]))</f>
        <v>Cmp-009</v>
      </c>
      <c r="O165" t="str">
        <f>TRIM(PROPER(Tabla_auditoría[[#This Row],[Canal]]))</f>
        <v>Paid Search</v>
      </c>
      <c r="P165" t="str">
        <f>TRIM(PROPER(Tabla_auditoría[[#This Row],[País]]))</f>
        <v>México</v>
      </c>
      <c r="Q165" t="str">
        <f>TRIM(PROPER(Tabla_auditoría[[#This Row],[Dispositivo]]))</f>
        <v>Desktop</v>
      </c>
      <c r="R165" t="str">
        <f>TRIM(PROPER(Tabla_auditoría[[#This Row],[Tipo_Campaña]]))</f>
        <v>Adquisición</v>
      </c>
      <c r="S165" t="str">
        <f>TRIM(PROPER(Tabla_auditoría[[#This Row],[Responsable]]))</f>
        <v>Ana García</v>
      </c>
    </row>
    <row r="166" spans="1:19" x14ac:dyDescent="0.3">
      <c r="A166" s="1">
        <v>45883</v>
      </c>
      <c r="B166" s="2" t="s">
        <v>2572</v>
      </c>
      <c r="C166" s="2" t="s">
        <v>2543</v>
      </c>
      <c r="D166" s="2" t="s">
        <v>2528</v>
      </c>
      <c r="E166" s="2" t="s">
        <v>2529</v>
      </c>
      <c r="F166" s="3">
        <v>171399</v>
      </c>
      <c r="G166" s="3">
        <v>13578</v>
      </c>
      <c r="H166" s="3">
        <v>577</v>
      </c>
      <c r="I166" s="4">
        <v>18535.46</v>
      </c>
      <c r="J166" s="4">
        <v>103508.43</v>
      </c>
      <c r="K166" s="3">
        <v>334</v>
      </c>
      <c r="L166" s="2" t="s">
        <v>2523</v>
      </c>
      <c r="M166" s="2" t="s">
        <v>2526</v>
      </c>
      <c r="N166" t="str">
        <f>TRIM(PROPER(Tabla_auditoría[[#This Row],[ID_Campaña]]))</f>
        <v>Cmp-006</v>
      </c>
      <c r="O166" t="str">
        <f>TRIM(PROPER(Tabla_auditoría[[#This Row],[Canal]]))</f>
        <v>Organic Social</v>
      </c>
      <c r="P166" t="str">
        <f>TRIM(PROPER(Tabla_auditoría[[#This Row],[País]]))</f>
        <v>España</v>
      </c>
      <c r="Q166" t="str">
        <f>TRIM(PROPER(Tabla_auditoría[[#This Row],[Dispositivo]]))</f>
        <v>Mobile</v>
      </c>
      <c r="R166" t="str">
        <f>TRIM(PROPER(Tabla_auditoría[[#This Row],[Tipo_Campaña]]))</f>
        <v>Retención</v>
      </c>
      <c r="S166" t="str">
        <f>TRIM(PROPER(Tabla_auditoría[[#This Row],[Responsable]]))</f>
        <v>Laura Pérez</v>
      </c>
    </row>
    <row r="167" spans="1:19" x14ac:dyDescent="0.3">
      <c r="A167" s="1">
        <v>45895</v>
      </c>
      <c r="B167" s="2" t="s">
        <v>2574</v>
      </c>
      <c r="C167" s="2" t="s">
        <v>2543</v>
      </c>
      <c r="D167" s="2" t="s">
        <v>2528</v>
      </c>
      <c r="E167" s="2" t="s">
        <v>2529</v>
      </c>
      <c r="F167" s="3">
        <v>117579</v>
      </c>
      <c r="G167" s="3">
        <v>7543</v>
      </c>
      <c r="H167" s="3">
        <v>562</v>
      </c>
      <c r="I167" s="4">
        <v>5372.17</v>
      </c>
      <c r="J167" s="4">
        <v>49258.16</v>
      </c>
      <c r="K167" s="3">
        <v>446</v>
      </c>
      <c r="L167" s="2" t="s">
        <v>2523</v>
      </c>
      <c r="M167" s="2" t="s">
        <v>2546</v>
      </c>
      <c r="N167" t="str">
        <f>TRIM(PROPER(Tabla_auditoría[[#This Row],[ID_Campaña]]))</f>
        <v>Cmp-003</v>
      </c>
      <c r="O167" t="str">
        <f>TRIM(PROPER(Tabla_auditoría[[#This Row],[Canal]]))</f>
        <v>Organic Social</v>
      </c>
      <c r="P167" t="str">
        <f>TRIM(PROPER(Tabla_auditoría[[#This Row],[País]]))</f>
        <v>España</v>
      </c>
      <c r="Q167" t="str">
        <f>TRIM(PROPER(Tabla_auditoría[[#This Row],[Dispositivo]]))</f>
        <v>Mobile</v>
      </c>
      <c r="R167" t="str">
        <f>TRIM(PROPER(Tabla_auditoría[[#This Row],[Tipo_Campaña]]))</f>
        <v>Retención</v>
      </c>
      <c r="S167" t="str">
        <f>TRIM(PROPER(Tabla_auditoría[[#This Row],[Responsable]]))</f>
        <v>Ana García</v>
      </c>
    </row>
    <row r="168" spans="1:19" x14ac:dyDescent="0.3">
      <c r="A168" s="1">
        <v>45870</v>
      </c>
      <c r="B168" s="2" t="s">
        <v>2550</v>
      </c>
      <c r="C168" s="2" t="s">
        <v>2515</v>
      </c>
      <c r="D168" s="2" t="s">
        <v>2522</v>
      </c>
      <c r="E168" s="2" t="s">
        <v>2529</v>
      </c>
      <c r="F168" s="3">
        <v>88446</v>
      </c>
      <c r="G168" s="3">
        <v>4732</v>
      </c>
      <c r="H168" s="3">
        <v>194</v>
      </c>
      <c r="I168" s="4">
        <v>1292.18</v>
      </c>
      <c r="J168" s="4">
        <v>9438.83</v>
      </c>
      <c r="K168" s="3">
        <v>166</v>
      </c>
      <c r="L168" s="2" t="s">
        <v>2518</v>
      </c>
      <c r="M168" s="2" t="s">
        <v>2546</v>
      </c>
      <c r="N168" t="str">
        <f>TRIM(PROPER(Tabla_auditoría[[#This Row],[ID_Campaña]]))</f>
        <v>Cmp-008</v>
      </c>
      <c r="O168" t="str">
        <f>TRIM(PROPER(Tabla_auditoría[[#This Row],[Canal]]))</f>
        <v>Email</v>
      </c>
      <c r="P168" t="str">
        <f>TRIM(PROPER(Tabla_auditoría[[#This Row],[País]]))</f>
        <v>Italia</v>
      </c>
      <c r="Q168" t="str">
        <f>TRIM(PROPER(Tabla_auditoría[[#This Row],[Dispositivo]]))</f>
        <v>Mobile</v>
      </c>
      <c r="R168" t="str">
        <f>TRIM(PROPER(Tabla_auditoría[[#This Row],[Tipo_Campaña]]))</f>
        <v>Adquisición</v>
      </c>
      <c r="S168" t="str">
        <f>TRIM(PROPER(Tabla_auditoría[[#This Row],[Responsable]]))</f>
        <v>Ana García</v>
      </c>
    </row>
    <row r="169" spans="1:19" x14ac:dyDescent="0.3">
      <c r="A169" s="1">
        <v>45770</v>
      </c>
      <c r="B169" s="2" t="s">
        <v>2547</v>
      </c>
      <c r="C169" s="2" t="s">
        <v>2543</v>
      </c>
      <c r="D169" s="2" t="s">
        <v>2528</v>
      </c>
      <c r="E169" s="2" t="s">
        <v>2534</v>
      </c>
      <c r="F169" s="3">
        <v>179028</v>
      </c>
      <c r="G169" s="3">
        <v>1943</v>
      </c>
      <c r="H169" s="3">
        <v>40</v>
      </c>
      <c r="I169" s="4">
        <v>1129.0899999999999</v>
      </c>
      <c r="J169" s="4">
        <v>4721.6000000000004</v>
      </c>
      <c r="K169" s="3">
        <v>35</v>
      </c>
      <c r="L169" s="2" t="s">
        <v>2523</v>
      </c>
      <c r="M169" s="2" t="s">
        <v>2524</v>
      </c>
      <c r="N169" t="str">
        <f>TRIM(PROPER(Tabla_auditoría[[#This Row],[ID_Campaña]]))</f>
        <v>Cmp-018</v>
      </c>
      <c r="O169" t="str">
        <f>TRIM(PROPER(Tabla_auditoría[[#This Row],[Canal]]))</f>
        <v>Organic Social</v>
      </c>
      <c r="P169" t="str">
        <f>TRIM(PROPER(Tabla_auditoría[[#This Row],[País]]))</f>
        <v>España</v>
      </c>
      <c r="Q169" t="str">
        <f>TRIM(PROPER(Tabla_auditoría[[#This Row],[Dispositivo]]))</f>
        <v>Tablet</v>
      </c>
      <c r="R169" t="str">
        <f>TRIM(PROPER(Tabla_auditoría[[#This Row],[Tipo_Campaña]]))</f>
        <v>Retención</v>
      </c>
      <c r="S169" t="str">
        <f>TRIM(PROPER(Tabla_auditoría[[#This Row],[Responsable]]))</f>
        <v>Luis Martín</v>
      </c>
    </row>
    <row r="170" spans="1:19" x14ac:dyDescent="0.3">
      <c r="A170" s="1">
        <v>45923</v>
      </c>
      <c r="B170" s="2" t="s">
        <v>2554</v>
      </c>
      <c r="C170" s="2" t="s">
        <v>2541</v>
      </c>
      <c r="D170" s="2" t="s">
        <v>2573</v>
      </c>
      <c r="E170" s="2" t="s">
        <v>2529</v>
      </c>
      <c r="F170" s="3">
        <v>70005</v>
      </c>
      <c r="G170" s="3">
        <v>6221</v>
      </c>
      <c r="H170" s="3">
        <v>224</v>
      </c>
      <c r="I170" s="4">
        <v>2607.3200000000002</v>
      </c>
      <c r="J170" s="4">
        <v>23165.439999999999</v>
      </c>
      <c r="K170" s="3">
        <v>111</v>
      </c>
      <c r="L170" s="2" t="s">
        <v>2536</v>
      </c>
      <c r="M170" s="2" t="s">
        <v>2519</v>
      </c>
      <c r="N170" t="str">
        <f>TRIM(PROPER(Tabla_auditoría[[#This Row],[ID_Campaña]]))</f>
        <v>Cmp-019</v>
      </c>
      <c r="O170" t="str">
        <f>TRIM(PROPER(Tabla_auditoría[[#This Row],[Canal]]))</f>
        <v>Display</v>
      </c>
      <c r="P170" t="str">
        <f>TRIM(PROPER(Tabla_auditoría[[#This Row],[País]]))</f>
        <v>España</v>
      </c>
      <c r="Q170" t="str">
        <f>TRIM(PROPER(Tabla_auditoría[[#This Row],[Dispositivo]]))</f>
        <v>Mobile</v>
      </c>
      <c r="R170" t="str">
        <f>TRIM(PROPER(Tabla_auditoría[[#This Row],[Tipo_Campaña]]))</f>
        <v>Reconocimiento</v>
      </c>
      <c r="S170" t="str">
        <f>TRIM(PROPER(Tabla_auditoría[[#This Row],[Responsable]]))</f>
        <v>Carlos Ruiz</v>
      </c>
    </row>
    <row r="171" spans="1:19" x14ac:dyDescent="0.3">
      <c r="A171" s="1">
        <v>45957</v>
      </c>
      <c r="B171" s="2" t="s">
        <v>2571</v>
      </c>
      <c r="C171" s="2" t="s">
        <v>2533</v>
      </c>
      <c r="D171" s="2" t="s">
        <v>2528</v>
      </c>
      <c r="E171" s="2" t="s">
        <v>2517</v>
      </c>
      <c r="F171" s="3">
        <v>10697</v>
      </c>
      <c r="G171" s="3">
        <v>849</v>
      </c>
      <c r="H171" s="3">
        <v>95</v>
      </c>
      <c r="I171" s="4">
        <v>1430.54</v>
      </c>
      <c r="J171" s="4">
        <v>20479.18</v>
      </c>
      <c r="K171" s="3">
        <v>60</v>
      </c>
      <c r="L171" s="2" t="s">
        <v>2536</v>
      </c>
      <c r="M171" s="2" t="s">
        <v>2519</v>
      </c>
      <c r="N171" t="str">
        <f>TRIM(PROPER(Tabla_auditoría[[#This Row],[ID_Campaña]]))</f>
        <v>Cmp-029</v>
      </c>
      <c r="O171" t="str">
        <f>TRIM(PROPER(Tabla_auditoría[[#This Row],[Canal]]))</f>
        <v>Paid Social</v>
      </c>
      <c r="P171" t="str">
        <f>TRIM(PROPER(Tabla_auditoría[[#This Row],[País]]))</f>
        <v>España</v>
      </c>
      <c r="Q171" t="str">
        <f>TRIM(PROPER(Tabla_auditoría[[#This Row],[Dispositivo]]))</f>
        <v>Desktop</v>
      </c>
      <c r="R171" t="str">
        <f>TRIM(PROPER(Tabla_auditoría[[#This Row],[Tipo_Campaña]]))</f>
        <v>Reconocimiento</v>
      </c>
      <c r="S171" t="str">
        <f>TRIM(PROPER(Tabla_auditoría[[#This Row],[Responsable]]))</f>
        <v>Carlos Ruiz</v>
      </c>
    </row>
    <row r="172" spans="1:19" x14ac:dyDescent="0.3">
      <c r="A172" s="1">
        <v>45957</v>
      </c>
      <c r="B172" s="2" t="s">
        <v>2542</v>
      </c>
      <c r="C172" s="2" t="s">
        <v>2577</v>
      </c>
      <c r="D172" s="2" t="s">
        <v>2531</v>
      </c>
      <c r="E172" s="2" t="s">
        <v>2529</v>
      </c>
      <c r="F172" s="3">
        <v>35777</v>
      </c>
      <c r="G172" s="3">
        <v>2832</v>
      </c>
      <c r="H172" s="3">
        <v>350</v>
      </c>
      <c r="I172" s="4">
        <v>5404.25</v>
      </c>
      <c r="J172" s="4">
        <v>74096.95</v>
      </c>
      <c r="K172" s="3">
        <v>256</v>
      </c>
      <c r="L172" s="2" t="s">
        <v>2523</v>
      </c>
      <c r="M172" s="2" t="s">
        <v>2526</v>
      </c>
      <c r="N172" t="str">
        <f>TRIM(PROPER(Tabla_auditoría[[#This Row],[ID_Campaña]]))</f>
        <v>Cmp-025</v>
      </c>
      <c r="O172" t="str">
        <f>TRIM(PROPER(Tabla_auditoría[[#This Row],[Canal]]))</f>
        <v>Affiliate</v>
      </c>
      <c r="P172" t="str">
        <f>TRIM(PROPER(Tabla_auditoría[[#This Row],[País]]))</f>
        <v>Portugal</v>
      </c>
      <c r="Q172" t="str">
        <f>TRIM(PROPER(Tabla_auditoría[[#This Row],[Dispositivo]]))</f>
        <v>Mobile</v>
      </c>
      <c r="R172" t="str">
        <f>TRIM(PROPER(Tabla_auditoría[[#This Row],[Tipo_Campaña]]))</f>
        <v>Retención</v>
      </c>
      <c r="S172" t="str">
        <f>TRIM(PROPER(Tabla_auditoría[[#This Row],[Responsable]]))</f>
        <v>Laura Pérez</v>
      </c>
    </row>
    <row r="173" spans="1:19" x14ac:dyDescent="0.3">
      <c r="A173" s="1">
        <v>46001</v>
      </c>
      <c r="B173" s="2" t="s">
        <v>2564</v>
      </c>
      <c r="C173" s="2" t="s">
        <v>2533</v>
      </c>
      <c r="D173" s="2" t="s">
        <v>2528</v>
      </c>
      <c r="E173" s="2" t="s">
        <v>2529</v>
      </c>
      <c r="F173" s="3">
        <v>51515</v>
      </c>
      <c r="G173" s="3">
        <v>4161</v>
      </c>
      <c r="H173" s="3">
        <v>480</v>
      </c>
      <c r="I173" s="4">
        <v>3643.84</v>
      </c>
      <c r="J173" s="4">
        <v>88068.72</v>
      </c>
      <c r="K173" s="3">
        <v>338</v>
      </c>
      <c r="L173" s="2" t="s">
        <v>2523</v>
      </c>
      <c r="M173" s="2" t="s">
        <v>2526</v>
      </c>
      <c r="N173" t="str">
        <f>TRIM(PROPER(Tabla_auditoría[[#This Row],[ID_Campaña]]))</f>
        <v>Cmp-024</v>
      </c>
      <c r="O173" t="str">
        <f>TRIM(PROPER(Tabla_auditoría[[#This Row],[Canal]]))</f>
        <v>Paid Social</v>
      </c>
      <c r="P173" t="str">
        <f>TRIM(PROPER(Tabla_auditoría[[#This Row],[País]]))</f>
        <v>España</v>
      </c>
      <c r="Q173" t="str">
        <f>TRIM(PROPER(Tabla_auditoría[[#This Row],[Dispositivo]]))</f>
        <v>Mobile</v>
      </c>
      <c r="R173" t="str">
        <f>TRIM(PROPER(Tabla_auditoría[[#This Row],[Tipo_Campaña]]))</f>
        <v>Retención</v>
      </c>
      <c r="S173" t="str">
        <f>TRIM(PROPER(Tabla_auditoría[[#This Row],[Responsable]]))</f>
        <v>Laura Pérez</v>
      </c>
    </row>
    <row r="174" spans="1:19" x14ac:dyDescent="0.3">
      <c r="A174" s="1">
        <v>45864</v>
      </c>
      <c r="B174" s="2" t="s">
        <v>2560</v>
      </c>
      <c r="C174" s="2" t="s">
        <v>2515</v>
      </c>
      <c r="D174" s="2" t="s">
        <v>2528</v>
      </c>
      <c r="E174" s="2" t="s">
        <v>2517</v>
      </c>
      <c r="F174" s="3">
        <v>83878</v>
      </c>
      <c r="G174" s="3">
        <v>5628</v>
      </c>
      <c r="H174" s="3">
        <v>435</v>
      </c>
      <c r="I174" s="4">
        <v>9012.74</v>
      </c>
      <c r="J174" s="4">
        <v>76121.440000000002</v>
      </c>
      <c r="K174" s="3">
        <v>200</v>
      </c>
      <c r="L174" s="2" t="s">
        <v>2523</v>
      </c>
      <c r="M174" s="2" t="s">
        <v>2546</v>
      </c>
      <c r="N174" t="str">
        <f>TRIM(PROPER(Tabla_auditoría[[#This Row],[ID_Campaña]]))</f>
        <v>Cmp-027</v>
      </c>
      <c r="O174" t="str">
        <f>TRIM(PROPER(Tabla_auditoría[[#This Row],[Canal]]))</f>
        <v>Email</v>
      </c>
      <c r="P174" t="str">
        <f>TRIM(PROPER(Tabla_auditoría[[#This Row],[País]]))</f>
        <v>España</v>
      </c>
      <c r="Q174" t="str">
        <f>TRIM(PROPER(Tabla_auditoría[[#This Row],[Dispositivo]]))</f>
        <v>Desktop</v>
      </c>
      <c r="R174" t="str">
        <f>TRIM(PROPER(Tabla_auditoría[[#This Row],[Tipo_Campaña]]))</f>
        <v>Retención</v>
      </c>
      <c r="S174" t="str">
        <f>TRIM(PROPER(Tabla_auditoría[[#This Row],[Responsable]]))</f>
        <v>Ana García</v>
      </c>
    </row>
    <row r="175" spans="1:19" x14ac:dyDescent="0.3">
      <c r="A175" s="1">
        <v>45815</v>
      </c>
      <c r="B175" s="2" t="s">
        <v>2574</v>
      </c>
      <c r="C175" s="2" t="s">
        <v>2541</v>
      </c>
      <c r="D175" s="2" t="s">
        <v>2525</v>
      </c>
      <c r="E175" s="2" t="s">
        <v>2529</v>
      </c>
      <c r="F175" s="3">
        <v>37780</v>
      </c>
      <c r="G175" s="3">
        <v>2981</v>
      </c>
      <c r="H175" s="3">
        <v>208</v>
      </c>
      <c r="I175" s="4">
        <v>5424.77</v>
      </c>
      <c r="J175" s="4">
        <v>10400.280000000001</v>
      </c>
      <c r="K175" s="3">
        <v>108</v>
      </c>
      <c r="L175" s="2" t="s">
        <v>2539</v>
      </c>
      <c r="M175" s="2" t="s">
        <v>2537</v>
      </c>
      <c r="N175" t="str">
        <f>TRIM(PROPER(Tabla_auditoría[[#This Row],[ID_Campaña]]))</f>
        <v>Cmp-003</v>
      </c>
      <c r="O175" t="str">
        <f>TRIM(PROPER(Tabla_auditoría[[#This Row],[Canal]]))</f>
        <v>Display</v>
      </c>
      <c r="P175" t="str">
        <f>TRIM(PROPER(Tabla_auditoría[[#This Row],[País]]))</f>
        <v>Francia</v>
      </c>
      <c r="Q175" t="str">
        <f>TRIM(PROPER(Tabla_auditoría[[#This Row],[Dispositivo]]))</f>
        <v>Mobile</v>
      </c>
      <c r="R175" t="str">
        <f>TRIM(PROPER(Tabla_auditoría[[#This Row],[Tipo_Campaña]]))</f>
        <v>Conversión</v>
      </c>
      <c r="S175" t="str">
        <f>TRIM(PROPER(Tabla_auditoría[[#This Row],[Responsable]]))</f>
        <v>Marta López</v>
      </c>
    </row>
    <row r="176" spans="1:19" x14ac:dyDescent="0.3">
      <c r="A176" s="1">
        <v>45959</v>
      </c>
      <c r="B176" s="2" t="s">
        <v>2556</v>
      </c>
      <c r="C176" s="2" t="s">
        <v>2562</v>
      </c>
      <c r="D176" s="2" t="s">
        <v>2531</v>
      </c>
      <c r="E176" s="2" t="s">
        <v>2517</v>
      </c>
      <c r="F176" s="3">
        <v>140142</v>
      </c>
      <c r="G176" s="3">
        <v>720</v>
      </c>
      <c r="H176" s="3">
        <v>86</v>
      </c>
      <c r="I176" s="4">
        <v>654.98</v>
      </c>
      <c r="J176" s="4">
        <v>7203.58</v>
      </c>
      <c r="K176" s="3">
        <v>63</v>
      </c>
      <c r="L176" s="2" t="s">
        <v>2518</v>
      </c>
      <c r="M176" s="2" t="s">
        <v>2524</v>
      </c>
      <c r="N176" t="str">
        <f>TRIM(PROPER(Tabla_auditoría[[#This Row],[ID_Campaña]]))</f>
        <v>Cmp-014</v>
      </c>
      <c r="O176" t="str">
        <f>TRIM(PROPER(Tabla_auditoría[[#This Row],[Canal]]))</f>
        <v>Organic Social</v>
      </c>
      <c r="P176" t="str">
        <f>TRIM(PROPER(Tabla_auditoría[[#This Row],[País]]))</f>
        <v>Portugal</v>
      </c>
      <c r="Q176" t="str">
        <f>TRIM(PROPER(Tabla_auditoría[[#This Row],[Dispositivo]]))</f>
        <v>Desktop</v>
      </c>
      <c r="R176" t="str">
        <f>TRIM(PROPER(Tabla_auditoría[[#This Row],[Tipo_Campaña]]))</f>
        <v>Adquisición</v>
      </c>
      <c r="S176" t="str">
        <f>TRIM(PROPER(Tabla_auditoría[[#This Row],[Responsable]]))</f>
        <v>Luis Martín</v>
      </c>
    </row>
    <row r="177" spans="1:19" x14ac:dyDescent="0.3">
      <c r="A177" s="1">
        <v>46012</v>
      </c>
      <c r="B177" s="2" t="s">
        <v>2514</v>
      </c>
      <c r="C177" s="2" t="s">
        <v>2521</v>
      </c>
      <c r="D177" s="2" t="s">
        <v>2522</v>
      </c>
      <c r="E177" s="2" t="s">
        <v>2529</v>
      </c>
      <c r="F177" s="3">
        <v>76778</v>
      </c>
      <c r="G177" s="3">
        <v>1269</v>
      </c>
      <c r="H177" s="3">
        <v>61</v>
      </c>
      <c r="I177" s="4">
        <v>1272.3599999999999</v>
      </c>
      <c r="J177" s="4">
        <v>3268.91</v>
      </c>
      <c r="K177" s="3">
        <v>41</v>
      </c>
      <c r="L177" s="2" t="s">
        <v>2523</v>
      </c>
      <c r="M177" s="2" t="s">
        <v>2524</v>
      </c>
      <c r="N177" t="str">
        <f>TRIM(PROPER(Tabla_auditoría[[#This Row],[ID_Campaña]]))</f>
        <v>Cmp-002</v>
      </c>
      <c r="O177" t="str">
        <f>TRIM(PROPER(Tabla_auditoría[[#This Row],[Canal]]))</f>
        <v>Paid Search</v>
      </c>
      <c r="P177" t="str">
        <f>TRIM(PROPER(Tabla_auditoría[[#This Row],[País]]))</f>
        <v>Italia</v>
      </c>
      <c r="Q177" t="str">
        <f>TRIM(PROPER(Tabla_auditoría[[#This Row],[Dispositivo]]))</f>
        <v>Mobile</v>
      </c>
      <c r="R177" t="str">
        <f>TRIM(PROPER(Tabla_auditoría[[#This Row],[Tipo_Campaña]]))</f>
        <v>Retención</v>
      </c>
      <c r="S177" t="str">
        <f>TRIM(PROPER(Tabla_auditoría[[#This Row],[Responsable]]))</f>
        <v>Luis Martín</v>
      </c>
    </row>
    <row r="178" spans="1:19" x14ac:dyDescent="0.3">
      <c r="A178" s="1">
        <v>45792</v>
      </c>
      <c r="B178" s="2" t="s">
        <v>2552</v>
      </c>
      <c r="C178" s="2" t="s">
        <v>2543</v>
      </c>
      <c r="D178" s="2" t="s">
        <v>2528</v>
      </c>
      <c r="E178" s="2" t="s">
        <v>2517</v>
      </c>
      <c r="F178" s="3">
        <v>118268</v>
      </c>
      <c r="G178" s="3">
        <v>1755</v>
      </c>
      <c r="H178" s="3">
        <v>147</v>
      </c>
      <c r="I178" s="4">
        <v>2369.2199999999998</v>
      </c>
      <c r="J178" s="4">
        <v>27133.4</v>
      </c>
      <c r="K178" s="3">
        <v>94</v>
      </c>
      <c r="L178" s="2" t="s">
        <v>2518</v>
      </c>
      <c r="M178" s="2" t="s">
        <v>2524</v>
      </c>
      <c r="N178" t="str">
        <f>TRIM(PROPER(Tabla_auditoría[[#This Row],[ID_Campaña]]))</f>
        <v>Cmp-012</v>
      </c>
      <c r="O178" t="str">
        <f>TRIM(PROPER(Tabla_auditoría[[#This Row],[Canal]]))</f>
        <v>Organic Social</v>
      </c>
      <c r="P178" t="str">
        <f>TRIM(PROPER(Tabla_auditoría[[#This Row],[País]]))</f>
        <v>España</v>
      </c>
      <c r="Q178" t="str">
        <f>TRIM(PROPER(Tabla_auditoría[[#This Row],[Dispositivo]]))</f>
        <v>Desktop</v>
      </c>
      <c r="R178" t="str">
        <f>TRIM(PROPER(Tabla_auditoría[[#This Row],[Tipo_Campaña]]))</f>
        <v>Adquisición</v>
      </c>
      <c r="S178" t="str">
        <f>TRIM(PROPER(Tabla_auditoría[[#This Row],[Responsable]]))</f>
        <v>Luis Martín</v>
      </c>
    </row>
    <row r="179" spans="1:19" x14ac:dyDescent="0.3">
      <c r="A179" s="1">
        <v>45749</v>
      </c>
      <c r="B179" s="2" t="s">
        <v>2565</v>
      </c>
      <c r="C179" s="2" t="s">
        <v>2541</v>
      </c>
      <c r="D179" s="2" t="s">
        <v>2531</v>
      </c>
      <c r="E179" s="2" t="s">
        <v>2529</v>
      </c>
      <c r="F179" s="3">
        <v>84649</v>
      </c>
      <c r="G179" s="3">
        <v>4760</v>
      </c>
      <c r="H179" s="3">
        <v>341</v>
      </c>
      <c r="I179" s="4">
        <v>4437.7299999999996</v>
      </c>
      <c r="J179" s="4">
        <v>12820.09</v>
      </c>
      <c r="K179" s="3">
        <v>243</v>
      </c>
      <c r="L179" s="2" t="s">
        <v>2518</v>
      </c>
      <c r="M179" s="2" t="s">
        <v>2524</v>
      </c>
      <c r="N179" t="str">
        <f>TRIM(PROPER(Tabla_auditoría[[#This Row],[ID_Campaña]]))</f>
        <v>Cmp-005</v>
      </c>
      <c r="O179" t="str">
        <f>TRIM(PROPER(Tabla_auditoría[[#This Row],[Canal]]))</f>
        <v>Display</v>
      </c>
      <c r="P179" t="str">
        <f>TRIM(PROPER(Tabla_auditoría[[#This Row],[País]]))</f>
        <v>Portugal</v>
      </c>
      <c r="Q179" t="str">
        <f>TRIM(PROPER(Tabla_auditoría[[#This Row],[Dispositivo]]))</f>
        <v>Mobile</v>
      </c>
      <c r="R179" t="str">
        <f>TRIM(PROPER(Tabla_auditoría[[#This Row],[Tipo_Campaña]]))</f>
        <v>Adquisición</v>
      </c>
      <c r="S179" t="str">
        <f>TRIM(PROPER(Tabla_auditoría[[#This Row],[Responsable]]))</f>
        <v>Luis Martín</v>
      </c>
    </row>
    <row r="180" spans="1:19" x14ac:dyDescent="0.3">
      <c r="A180" s="1">
        <v>45879</v>
      </c>
      <c r="B180" s="2" t="s">
        <v>2569</v>
      </c>
      <c r="D180" s="2" t="s">
        <v>2528</v>
      </c>
      <c r="E180" s="2" t="s">
        <v>2517</v>
      </c>
      <c r="F180" s="3">
        <v>149611</v>
      </c>
      <c r="G180" s="3">
        <v>8402</v>
      </c>
      <c r="H180" s="3">
        <v>717</v>
      </c>
      <c r="I180" s="4">
        <v>3182.49</v>
      </c>
      <c r="J180" s="4">
        <v>130126.07</v>
      </c>
      <c r="K180" s="3">
        <v>519</v>
      </c>
      <c r="L180" s="2" t="s">
        <v>2518</v>
      </c>
      <c r="M180" s="2" t="s">
        <v>2546</v>
      </c>
      <c r="N180" t="str">
        <f>TRIM(PROPER(Tabla_auditoría[[#This Row],[ID_Campaña]]))</f>
        <v>Cmp-013</v>
      </c>
      <c r="O180" t="str">
        <f>TRIM(PROPER(Tabla_auditoría[[#This Row],[Canal]]))</f>
        <v/>
      </c>
      <c r="P180" t="str">
        <f>TRIM(PROPER(Tabla_auditoría[[#This Row],[País]]))</f>
        <v>España</v>
      </c>
      <c r="Q180" t="str">
        <f>TRIM(PROPER(Tabla_auditoría[[#This Row],[Dispositivo]]))</f>
        <v>Desktop</v>
      </c>
      <c r="R180" t="str">
        <f>TRIM(PROPER(Tabla_auditoría[[#This Row],[Tipo_Campaña]]))</f>
        <v>Adquisición</v>
      </c>
      <c r="S180" t="str">
        <f>TRIM(PROPER(Tabla_auditoría[[#This Row],[Responsable]]))</f>
        <v>Ana García</v>
      </c>
    </row>
    <row r="181" spans="1:19" x14ac:dyDescent="0.3">
      <c r="A181" s="1">
        <v>45888</v>
      </c>
      <c r="B181" s="2" t="s">
        <v>2540</v>
      </c>
      <c r="C181" s="2" t="s">
        <v>2527</v>
      </c>
      <c r="D181" s="2" t="s">
        <v>2531</v>
      </c>
      <c r="E181" s="2" t="s">
        <v>2517</v>
      </c>
      <c r="F181" s="3">
        <v>102417</v>
      </c>
      <c r="G181" s="3">
        <v>7999</v>
      </c>
      <c r="H181" s="3">
        <v>1066</v>
      </c>
      <c r="I181" s="4">
        <v>10019.24</v>
      </c>
      <c r="J181" s="4">
        <v>171998.5</v>
      </c>
      <c r="K181" s="3">
        <v>772</v>
      </c>
      <c r="L181" s="2" t="s">
        <v>2539</v>
      </c>
      <c r="M181" s="2" t="s">
        <v>2546</v>
      </c>
      <c r="N181" t="str">
        <f>TRIM(PROPER(Tabla_auditoría[[#This Row],[ID_Campaña]]))</f>
        <v>Cmp-017</v>
      </c>
      <c r="O181" t="str">
        <f>TRIM(PROPER(Tabla_auditoría[[#This Row],[Canal]]))</f>
        <v>Affiliate</v>
      </c>
      <c r="P181" t="str">
        <f>TRIM(PROPER(Tabla_auditoría[[#This Row],[País]]))</f>
        <v>Portugal</v>
      </c>
      <c r="Q181" t="str">
        <f>TRIM(PROPER(Tabla_auditoría[[#This Row],[Dispositivo]]))</f>
        <v>Desktop</v>
      </c>
      <c r="R181" t="str">
        <f>TRIM(PROPER(Tabla_auditoría[[#This Row],[Tipo_Campaña]]))</f>
        <v>Conversión</v>
      </c>
      <c r="S181" t="str">
        <f>TRIM(PROPER(Tabla_auditoría[[#This Row],[Responsable]]))</f>
        <v>Ana García</v>
      </c>
    </row>
    <row r="182" spans="1:19" x14ac:dyDescent="0.3">
      <c r="A182" s="1">
        <v>45978</v>
      </c>
      <c r="B182" s="2" t="s">
        <v>2550</v>
      </c>
      <c r="C182" s="2" t="s">
        <v>2527</v>
      </c>
      <c r="D182" s="2" t="s">
        <v>2528</v>
      </c>
      <c r="E182" s="2" t="s">
        <v>2517</v>
      </c>
      <c r="F182" s="3">
        <v>63443</v>
      </c>
      <c r="G182" s="3">
        <v>2659</v>
      </c>
      <c r="H182" s="3">
        <v>27</v>
      </c>
      <c r="I182" s="4">
        <v>1559.63</v>
      </c>
      <c r="J182" s="4">
        <v>4827.67</v>
      </c>
      <c r="K182" s="3">
        <v>19</v>
      </c>
      <c r="L182" s="2" t="s">
        <v>2518</v>
      </c>
      <c r="M182" s="2" t="s">
        <v>2524</v>
      </c>
      <c r="N182" t="str">
        <f>TRIM(PROPER(Tabla_auditoría[[#This Row],[ID_Campaña]]))</f>
        <v>Cmp-008</v>
      </c>
      <c r="O182" t="str">
        <f>TRIM(PROPER(Tabla_auditoría[[#This Row],[Canal]]))</f>
        <v>Affiliate</v>
      </c>
      <c r="P182" t="str">
        <f>TRIM(PROPER(Tabla_auditoría[[#This Row],[País]]))</f>
        <v>España</v>
      </c>
      <c r="Q182" t="str">
        <f>TRIM(PROPER(Tabla_auditoría[[#This Row],[Dispositivo]]))</f>
        <v>Desktop</v>
      </c>
      <c r="R182" t="str">
        <f>TRIM(PROPER(Tabla_auditoría[[#This Row],[Tipo_Campaña]]))</f>
        <v>Adquisición</v>
      </c>
      <c r="S182" t="str">
        <f>TRIM(PROPER(Tabla_auditoría[[#This Row],[Responsable]]))</f>
        <v>Luis Martín</v>
      </c>
    </row>
    <row r="183" spans="1:19" x14ac:dyDescent="0.3">
      <c r="A183" s="1">
        <v>45731</v>
      </c>
      <c r="B183" s="2" t="s">
        <v>2570</v>
      </c>
      <c r="C183" s="2" t="s">
        <v>2543</v>
      </c>
      <c r="D183" s="2" t="s">
        <v>2531</v>
      </c>
      <c r="E183" s="2" t="s">
        <v>2534</v>
      </c>
      <c r="F183" s="3">
        <v>54129</v>
      </c>
      <c r="G183" s="3">
        <v>1124</v>
      </c>
      <c r="H183" s="3">
        <v>67</v>
      </c>
      <c r="I183" s="4">
        <v>1833.71</v>
      </c>
      <c r="J183" s="4">
        <v>10818.44</v>
      </c>
      <c r="K183" s="3">
        <v>30</v>
      </c>
      <c r="L183" s="2" t="s">
        <v>2518</v>
      </c>
      <c r="M183" s="2" t="s">
        <v>2537</v>
      </c>
      <c r="N183" t="str">
        <f>TRIM(PROPER(Tabla_auditoría[[#This Row],[ID_Campaña]]))</f>
        <v>Cmp-016</v>
      </c>
      <c r="O183" t="str">
        <f>TRIM(PROPER(Tabla_auditoría[[#This Row],[Canal]]))</f>
        <v>Organic Social</v>
      </c>
      <c r="P183" t="str">
        <f>TRIM(PROPER(Tabla_auditoría[[#This Row],[País]]))</f>
        <v>Portugal</v>
      </c>
      <c r="Q183" t="str">
        <f>TRIM(PROPER(Tabla_auditoría[[#This Row],[Dispositivo]]))</f>
        <v>Tablet</v>
      </c>
      <c r="R183" t="str">
        <f>TRIM(PROPER(Tabla_auditoría[[#This Row],[Tipo_Campaña]]))</f>
        <v>Adquisición</v>
      </c>
      <c r="S183" t="str">
        <f>TRIM(PROPER(Tabla_auditoría[[#This Row],[Responsable]]))</f>
        <v>Marta López</v>
      </c>
    </row>
    <row r="184" spans="1:19" x14ac:dyDescent="0.3">
      <c r="A184" s="1">
        <v>45885</v>
      </c>
      <c r="B184" s="2" t="s">
        <v>2535</v>
      </c>
      <c r="C184" s="2" t="s">
        <v>2521</v>
      </c>
      <c r="D184" s="2" t="s">
        <v>2516</v>
      </c>
      <c r="E184" s="2" t="s">
        <v>2529</v>
      </c>
      <c r="F184" s="3">
        <v>34490</v>
      </c>
      <c r="G184" s="3">
        <v>3056</v>
      </c>
      <c r="H184" s="3">
        <v>414</v>
      </c>
      <c r="I184" s="4">
        <v>3242.33</v>
      </c>
      <c r="J184" s="4">
        <v>41365.42</v>
      </c>
      <c r="K184" s="3">
        <v>227</v>
      </c>
      <c r="L184" s="2" t="s">
        <v>2539</v>
      </c>
      <c r="M184" s="2" t="s">
        <v>2519</v>
      </c>
      <c r="N184" t="str">
        <f>TRIM(PROPER(Tabla_auditoría[[#This Row],[ID_Campaña]]))</f>
        <v>Cmp-015</v>
      </c>
      <c r="O184" t="str">
        <f>TRIM(PROPER(Tabla_auditoría[[#This Row],[Canal]]))</f>
        <v>Paid Search</v>
      </c>
      <c r="P184" t="str">
        <f>TRIM(PROPER(Tabla_auditoría[[#This Row],[País]]))</f>
        <v>México</v>
      </c>
      <c r="Q184" t="str">
        <f>TRIM(PROPER(Tabla_auditoría[[#This Row],[Dispositivo]]))</f>
        <v>Mobile</v>
      </c>
      <c r="R184" t="str">
        <f>TRIM(PROPER(Tabla_auditoría[[#This Row],[Tipo_Campaña]]))</f>
        <v>Conversión</v>
      </c>
      <c r="S184" t="str">
        <f>TRIM(PROPER(Tabla_auditoría[[#This Row],[Responsable]]))</f>
        <v>Carlos Ruiz</v>
      </c>
    </row>
    <row r="185" spans="1:19" x14ac:dyDescent="0.3">
      <c r="A185" s="1">
        <v>45689</v>
      </c>
      <c r="B185" s="2" t="s">
        <v>2567</v>
      </c>
      <c r="C185" s="2" t="s">
        <v>2521</v>
      </c>
      <c r="D185" s="2" t="s">
        <v>2528</v>
      </c>
      <c r="E185" s="2" t="s">
        <v>2529</v>
      </c>
      <c r="F185" s="3">
        <v>1442</v>
      </c>
      <c r="G185" s="3">
        <v>113</v>
      </c>
      <c r="H185" s="3">
        <v>13</v>
      </c>
      <c r="I185" s="4">
        <v>147.84</v>
      </c>
      <c r="J185" s="4">
        <v>2250.66</v>
      </c>
      <c r="K185" s="3">
        <v>6</v>
      </c>
      <c r="L185" s="2" t="s">
        <v>2523</v>
      </c>
      <c r="M185" s="2" t="s">
        <v>2524</v>
      </c>
      <c r="N185" t="str">
        <f>TRIM(PROPER(Tabla_auditoría[[#This Row],[ID_Campaña]]))</f>
        <v>Cmp-021</v>
      </c>
      <c r="O185" t="str">
        <f>TRIM(PROPER(Tabla_auditoría[[#This Row],[Canal]]))</f>
        <v>Paid Search</v>
      </c>
      <c r="P185" t="str">
        <f>TRIM(PROPER(Tabla_auditoría[[#This Row],[País]]))</f>
        <v>España</v>
      </c>
      <c r="Q185" t="str">
        <f>TRIM(PROPER(Tabla_auditoría[[#This Row],[Dispositivo]]))</f>
        <v>Mobile</v>
      </c>
      <c r="R185" t="str">
        <f>TRIM(PROPER(Tabla_auditoría[[#This Row],[Tipo_Campaña]]))</f>
        <v>Retención</v>
      </c>
      <c r="S185" t="str">
        <f>TRIM(PROPER(Tabla_auditoría[[#This Row],[Responsable]]))</f>
        <v>Luis Martín</v>
      </c>
    </row>
    <row r="186" spans="1:19" x14ac:dyDescent="0.3">
      <c r="A186" s="1">
        <v>45865</v>
      </c>
      <c r="B186" s="2" t="s">
        <v>2563</v>
      </c>
      <c r="C186" s="2" t="s">
        <v>2515</v>
      </c>
      <c r="D186" s="2" t="s">
        <v>2531</v>
      </c>
      <c r="E186" s="2" t="s">
        <v>2529</v>
      </c>
      <c r="F186" s="3">
        <v>175538</v>
      </c>
      <c r="G186" s="3">
        <v>9664</v>
      </c>
      <c r="H186" s="3">
        <v>942</v>
      </c>
      <c r="I186" s="4">
        <v>10330.530000000001</v>
      </c>
      <c r="J186" s="4">
        <v>27823.85</v>
      </c>
      <c r="K186" s="3">
        <v>443</v>
      </c>
      <c r="L186" s="2" t="s">
        <v>2536</v>
      </c>
      <c r="M186" s="2" t="s">
        <v>2524</v>
      </c>
      <c r="N186" t="str">
        <f>TRIM(PROPER(Tabla_auditoría[[#This Row],[ID_Campaña]]))</f>
        <v>Cmp-023</v>
      </c>
      <c r="O186" t="str">
        <f>TRIM(PROPER(Tabla_auditoría[[#This Row],[Canal]]))</f>
        <v>Email</v>
      </c>
      <c r="P186" t="str">
        <f>TRIM(PROPER(Tabla_auditoría[[#This Row],[País]]))</f>
        <v>Portugal</v>
      </c>
      <c r="Q186" t="str">
        <f>TRIM(PROPER(Tabla_auditoría[[#This Row],[Dispositivo]]))</f>
        <v>Mobile</v>
      </c>
      <c r="R186" t="str">
        <f>TRIM(PROPER(Tabla_auditoría[[#This Row],[Tipo_Campaña]]))</f>
        <v>Reconocimiento</v>
      </c>
      <c r="S186" t="str">
        <f>TRIM(PROPER(Tabla_auditoría[[#This Row],[Responsable]]))</f>
        <v>Luis Martín</v>
      </c>
    </row>
    <row r="187" spans="1:19" x14ac:dyDescent="0.3">
      <c r="A187" s="1">
        <v>45920</v>
      </c>
      <c r="B187" s="2" t="s">
        <v>2557</v>
      </c>
      <c r="C187" s="2" t="s">
        <v>2541</v>
      </c>
      <c r="D187" s="2" t="s">
        <v>2516</v>
      </c>
      <c r="E187" s="2" t="s">
        <v>2529</v>
      </c>
      <c r="F187" s="3">
        <v>106994</v>
      </c>
      <c r="G187" s="3">
        <v>2689</v>
      </c>
      <c r="H187" s="3">
        <v>356</v>
      </c>
      <c r="I187" s="4">
        <v>2763.42</v>
      </c>
      <c r="J187" s="4">
        <v>30823.62</v>
      </c>
      <c r="K187" s="3">
        <v>265</v>
      </c>
      <c r="L187" s="2" t="s">
        <v>2523</v>
      </c>
      <c r="M187" s="2" t="s">
        <v>2546</v>
      </c>
      <c r="N187" t="str">
        <f>TRIM(PROPER(Tabla_auditoría[[#This Row],[ID_Campaña]]))</f>
        <v>Cmp-030</v>
      </c>
      <c r="O187" t="str">
        <f>TRIM(PROPER(Tabla_auditoría[[#This Row],[Canal]]))</f>
        <v>Display</v>
      </c>
      <c r="P187" t="str">
        <f>TRIM(PROPER(Tabla_auditoría[[#This Row],[País]]))</f>
        <v>México</v>
      </c>
      <c r="Q187" t="str">
        <f>TRIM(PROPER(Tabla_auditoría[[#This Row],[Dispositivo]]))</f>
        <v>Mobile</v>
      </c>
      <c r="R187" t="str">
        <f>TRIM(PROPER(Tabla_auditoría[[#This Row],[Tipo_Campaña]]))</f>
        <v>Retención</v>
      </c>
      <c r="S187" t="str">
        <f>TRIM(PROPER(Tabla_auditoría[[#This Row],[Responsable]]))</f>
        <v>Ana García</v>
      </c>
    </row>
    <row r="188" spans="1:19" x14ac:dyDescent="0.3">
      <c r="A188" s="1">
        <v>46014</v>
      </c>
      <c r="B188" s="2" t="s">
        <v>2567</v>
      </c>
      <c r="C188" s="2" t="s">
        <v>2527</v>
      </c>
      <c r="D188" s="2" t="s">
        <v>2528</v>
      </c>
      <c r="E188" s="2" t="s">
        <v>2529</v>
      </c>
      <c r="F188" s="3">
        <v>30052</v>
      </c>
      <c r="G188" s="3">
        <v>1317</v>
      </c>
      <c r="H188" s="3">
        <v>166</v>
      </c>
      <c r="I188" s="4">
        <v>2716.37</v>
      </c>
      <c r="J188" s="4">
        <v>31158.799999999999</v>
      </c>
      <c r="K188" s="3">
        <v>124</v>
      </c>
      <c r="L188" s="2" t="s">
        <v>2523</v>
      </c>
      <c r="M188" s="2" t="s">
        <v>2537</v>
      </c>
      <c r="N188" t="str">
        <f>TRIM(PROPER(Tabla_auditoría[[#This Row],[ID_Campaña]]))</f>
        <v>Cmp-021</v>
      </c>
      <c r="O188" t="str">
        <f>TRIM(PROPER(Tabla_auditoría[[#This Row],[Canal]]))</f>
        <v>Affiliate</v>
      </c>
      <c r="P188" t="str">
        <f>TRIM(PROPER(Tabla_auditoría[[#This Row],[País]]))</f>
        <v>España</v>
      </c>
      <c r="Q188" t="str">
        <f>TRIM(PROPER(Tabla_auditoría[[#This Row],[Dispositivo]]))</f>
        <v>Mobile</v>
      </c>
      <c r="R188" t="str">
        <f>TRIM(PROPER(Tabla_auditoría[[#This Row],[Tipo_Campaña]]))</f>
        <v>Retención</v>
      </c>
      <c r="S188" t="str">
        <f>TRIM(PROPER(Tabla_auditoría[[#This Row],[Responsable]]))</f>
        <v>Marta López</v>
      </c>
    </row>
    <row r="189" spans="1:19" x14ac:dyDescent="0.3">
      <c r="A189" s="1">
        <v>45936</v>
      </c>
      <c r="B189" s="2" t="s">
        <v>2554</v>
      </c>
      <c r="C189" s="2" t="s">
        <v>2543</v>
      </c>
      <c r="D189" s="2" t="s">
        <v>2525</v>
      </c>
      <c r="E189" s="2" t="s">
        <v>2517</v>
      </c>
      <c r="F189" s="3">
        <v>83548</v>
      </c>
      <c r="G189" s="3">
        <v>638</v>
      </c>
      <c r="H189" s="3">
        <v>21</v>
      </c>
      <c r="I189" s="4">
        <v>1269.7</v>
      </c>
      <c r="J189" s="4">
        <v>1766.04</v>
      </c>
      <c r="K189" s="3">
        <v>12</v>
      </c>
      <c r="L189" s="2" t="s">
        <v>2523</v>
      </c>
      <c r="M189" s="2" t="s">
        <v>2537</v>
      </c>
      <c r="N189" t="str">
        <f>TRIM(PROPER(Tabla_auditoría[[#This Row],[ID_Campaña]]))</f>
        <v>Cmp-019</v>
      </c>
      <c r="O189" t="str">
        <f>TRIM(PROPER(Tabla_auditoría[[#This Row],[Canal]]))</f>
        <v>Organic Social</v>
      </c>
      <c r="P189" t="str">
        <f>TRIM(PROPER(Tabla_auditoría[[#This Row],[País]]))</f>
        <v>Francia</v>
      </c>
      <c r="Q189" t="str">
        <f>TRIM(PROPER(Tabla_auditoría[[#This Row],[Dispositivo]]))</f>
        <v>Desktop</v>
      </c>
      <c r="R189" t="str">
        <f>TRIM(PROPER(Tabla_auditoría[[#This Row],[Tipo_Campaña]]))</f>
        <v>Retención</v>
      </c>
      <c r="S189" t="str">
        <f>TRIM(PROPER(Tabla_auditoría[[#This Row],[Responsable]]))</f>
        <v>Marta López</v>
      </c>
    </row>
    <row r="190" spans="1:19" x14ac:dyDescent="0.3">
      <c r="A190" s="1">
        <v>45859</v>
      </c>
      <c r="B190" s="2" t="s">
        <v>2568</v>
      </c>
      <c r="C190" s="2" t="s">
        <v>2533</v>
      </c>
      <c r="D190" s="2" t="s">
        <v>2522</v>
      </c>
      <c r="E190" s="2" t="s">
        <v>2517</v>
      </c>
      <c r="F190" s="3">
        <v>58384</v>
      </c>
      <c r="G190" s="3">
        <v>5247</v>
      </c>
      <c r="H190" s="3">
        <v>264</v>
      </c>
      <c r="I190" s="4">
        <v>2724.49</v>
      </c>
      <c r="J190" s="4">
        <v>45380.79</v>
      </c>
      <c r="K190" s="3">
        <v>147</v>
      </c>
      <c r="L190" s="2" t="s">
        <v>2523</v>
      </c>
      <c r="M190" s="2" t="s">
        <v>2519</v>
      </c>
      <c r="N190" t="str">
        <f>TRIM(PROPER(Tabla_auditoría[[#This Row],[ID_Campaña]]))</f>
        <v>Cmp-020</v>
      </c>
      <c r="O190" t="str">
        <f>TRIM(PROPER(Tabla_auditoría[[#This Row],[Canal]]))</f>
        <v>Paid Social</v>
      </c>
      <c r="P190" t="str">
        <f>TRIM(PROPER(Tabla_auditoría[[#This Row],[País]]))</f>
        <v>Italia</v>
      </c>
      <c r="Q190" t="str">
        <f>TRIM(PROPER(Tabla_auditoría[[#This Row],[Dispositivo]]))</f>
        <v>Desktop</v>
      </c>
      <c r="R190" t="str">
        <f>TRIM(PROPER(Tabla_auditoría[[#This Row],[Tipo_Campaña]]))</f>
        <v>Retención</v>
      </c>
      <c r="S190" t="str">
        <f>TRIM(PROPER(Tabla_auditoría[[#This Row],[Responsable]]))</f>
        <v>Carlos Ruiz</v>
      </c>
    </row>
    <row r="191" spans="1:19" x14ac:dyDescent="0.3">
      <c r="A191" s="1">
        <v>45956</v>
      </c>
      <c r="B191" s="2" t="s">
        <v>2551</v>
      </c>
      <c r="C191" s="2" t="s">
        <v>2541</v>
      </c>
      <c r="D191" s="2" t="s">
        <v>2531</v>
      </c>
      <c r="E191" s="2" t="s">
        <v>2517</v>
      </c>
      <c r="F191" s="3">
        <v>67410</v>
      </c>
      <c r="G191" s="3">
        <v>5920</v>
      </c>
      <c r="H191" s="3">
        <v>597</v>
      </c>
      <c r="I191" s="4">
        <v>4375.7700000000004</v>
      </c>
      <c r="J191" s="4">
        <v>115873.52</v>
      </c>
      <c r="K191" s="3">
        <v>470</v>
      </c>
      <c r="L191" s="2" t="s">
        <v>2536</v>
      </c>
      <c r="M191" s="2" t="s">
        <v>2546</v>
      </c>
      <c r="N191" t="str">
        <f>TRIM(PROPER(Tabla_auditoría[[#This Row],[ID_Campaña]]))</f>
        <v>Cmp-028</v>
      </c>
      <c r="O191" t="str">
        <f>TRIM(PROPER(Tabla_auditoría[[#This Row],[Canal]]))</f>
        <v>Display</v>
      </c>
      <c r="P191" t="str">
        <f>TRIM(PROPER(Tabla_auditoría[[#This Row],[País]]))</f>
        <v>Portugal</v>
      </c>
      <c r="Q191" t="str">
        <f>TRIM(PROPER(Tabla_auditoría[[#This Row],[Dispositivo]]))</f>
        <v>Desktop</v>
      </c>
      <c r="R191" t="str">
        <f>TRIM(PROPER(Tabla_auditoría[[#This Row],[Tipo_Campaña]]))</f>
        <v>Reconocimiento</v>
      </c>
      <c r="S191" t="str">
        <f>TRIM(PROPER(Tabla_auditoría[[#This Row],[Responsable]]))</f>
        <v>Ana García</v>
      </c>
    </row>
    <row r="192" spans="1:19" x14ac:dyDescent="0.3">
      <c r="A192" s="1">
        <v>45918</v>
      </c>
      <c r="B192" s="2" t="s">
        <v>2560</v>
      </c>
      <c r="C192" s="2" t="s">
        <v>2533</v>
      </c>
      <c r="D192" s="2" t="s">
        <v>2528</v>
      </c>
      <c r="E192" s="2" t="s">
        <v>2517</v>
      </c>
      <c r="F192" s="3">
        <v>143658</v>
      </c>
      <c r="G192" s="3">
        <v>3330</v>
      </c>
      <c r="H192" s="3">
        <v>139</v>
      </c>
      <c r="I192" s="4">
        <v>5711.52</v>
      </c>
      <c r="J192" s="4">
        <v>19409.71</v>
      </c>
      <c r="K192" s="3">
        <v>97</v>
      </c>
      <c r="L192" s="2" t="s">
        <v>2539</v>
      </c>
      <c r="M192" s="2" t="s">
        <v>2524</v>
      </c>
      <c r="N192" t="str">
        <f>TRIM(PROPER(Tabla_auditoría[[#This Row],[ID_Campaña]]))</f>
        <v>Cmp-027</v>
      </c>
      <c r="O192" t="str">
        <f>TRIM(PROPER(Tabla_auditoría[[#This Row],[Canal]]))</f>
        <v>Paid Social</v>
      </c>
      <c r="P192" t="str">
        <f>TRIM(PROPER(Tabla_auditoría[[#This Row],[País]]))</f>
        <v>España</v>
      </c>
      <c r="Q192" t="str">
        <f>TRIM(PROPER(Tabla_auditoría[[#This Row],[Dispositivo]]))</f>
        <v>Desktop</v>
      </c>
      <c r="R192" t="str">
        <f>TRIM(PROPER(Tabla_auditoría[[#This Row],[Tipo_Campaña]]))</f>
        <v>Conversión</v>
      </c>
      <c r="S192" t="str">
        <f>TRIM(PROPER(Tabla_auditoría[[#This Row],[Responsable]]))</f>
        <v>Luis Martín</v>
      </c>
    </row>
    <row r="193" spans="1:19" x14ac:dyDescent="0.3">
      <c r="A193" s="1">
        <v>45920</v>
      </c>
      <c r="B193" s="2" t="s">
        <v>2569</v>
      </c>
      <c r="C193" s="2" t="s">
        <v>2543</v>
      </c>
      <c r="D193" s="2" t="s">
        <v>2516</v>
      </c>
      <c r="E193" s="2" t="s">
        <v>2529</v>
      </c>
      <c r="F193" s="3">
        <v>37343</v>
      </c>
      <c r="G193" s="3">
        <v>575</v>
      </c>
      <c r="H193" s="3">
        <v>32</v>
      </c>
      <c r="I193" s="4">
        <v>394.15</v>
      </c>
      <c r="J193" s="4">
        <v>3013.09</v>
      </c>
      <c r="K193" s="3">
        <v>21</v>
      </c>
      <c r="L193" s="2" t="s">
        <v>2518</v>
      </c>
      <c r="M193" s="2" t="s">
        <v>2537</v>
      </c>
      <c r="N193" t="str">
        <f>TRIM(PROPER(Tabla_auditoría[[#This Row],[ID_Campaña]]))</f>
        <v>Cmp-013</v>
      </c>
      <c r="O193" t="str">
        <f>TRIM(PROPER(Tabla_auditoría[[#This Row],[Canal]]))</f>
        <v>Organic Social</v>
      </c>
      <c r="P193" t="str">
        <f>TRIM(PROPER(Tabla_auditoría[[#This Row],[País]]))</f>
        <v>México</v>
      </c>
      <c r="Q193" t="str">
        <f>TRIM(PROPER(Tabla_auditoría[[#This Row],[Dispositivo]]))</f>
        <v>Mobile</v>
      </c>
      <c r="R193" t="str">
        <f>TRIM(PROPER(Tabla_auditoría[[#This Row],[Tipo_Campaña]]))</f>
        <v>Adquisición</v>
      </c>
      <c r="S193" t="str">
        <f>TRIM(PROPER(Tabla_auditoría[[#This Row],[Responsable]]))</f>
        <v>Marta López</v>
      </c>
    </row>
    <row r="194" spans="1:19" x14ac:dyDescent="0.3">
      <c r="A194" s="1">
        <v>45883</v>
      </c>
      <c r="B194" s="2" t="s">
        <v>2530</v>
      </c>
      <c r="C194" s="2" t="s">
        <v>2541</v>
      </c>
      <c r="D194" s="2" t="s">
        <v>2528</v>
      </c>
      <c r="E194" s="2" t="s">
        <v>2529</v>
      </c>
      <c r="F194" s="3">
        <v>99860</v>
      </c>
      <c r="G194" s="3">
        <v>4250</v>
      </c>
      <c r="H194" s="3">
        <v>534</v>
      </c>
      <c r="I194" s="4">
        <v>7379.33</v>
      </c>
      <c r="J194" s="4">
        <v>73696.14</v>
      </c>
      <c r="K194" s="3">
        <v>344</v>
      </c>
      <c r="L194" s="2" t="s">
        <v>2539</v>
      </c>
      <c r="M194" s="2" t="s">
        <v>2537</v>
      </c>
      <c r="N194" t="str">
        <f>TRIM(PROPER(Tabla_auditoría[[#This Row],[ID_Campaña]]))</f>
        <v>Cmp-026</v>
      </c>
      <c r="O194" t="str">
        <f>TRIM(PROPER(Tabla_auditoría[[#This Row],[Canal]]))</f>
        <v>Display</v>
      </c>
      <c r="P194" t="str">
        <f>TRIM(PROPER(Tabla_auditoría[[#This Row],[País]]))</f>
        <v>España</v>
      </c>
      <c r="Q194" t="str">
        <f>TRIM(PROPER(Tabla_auditoría[[#This Row],[Dispositivo]]))</f>
        <v>Mobile</v>
      </c>
      <c r="R194" t="str">
        <f>TRIM(PROPER(Tabla_auditoría[[#This Row],[Tipo_Campaña]]))</f>
        <v>Conversión</v>
      </c>
      <c r="S194" t="str">
        <f>TRIM(PROPER(Tabla_auditoría[[#This Row],[Responsable]]))</f>
        <v>Marta López</v>
      </c>
    </row>
    <row r="195" spans="1:19" x14ac:dyDescent="0.3">
      <c r="A195" s="1">
        <v>45751</v>
      </c>
      <c r="B195" s="2" t="s">
        <v>2547</v>
      </c>
      <c r="C195" s="2" t="s">
        <v>2533</v>
      </c>
      <c r="D195" s="2" t="s">
        <v>2528</v>
      </c>
      <c r="E195" s="2" t="s">
        <v>2529</v>
      </c>
      <c r="F195" s="3">
        <v>68867</v>
      </c>
      <c r="G195" s="3">
        <v>1547</v>
      </c>
      <c r="H195" s="3">
        <v>131</v>
      </c>
      <c r="I195" s="4">
        <v>1695.16</v>
      </c>
      <c r="J195" s="4">
        <v>21946.34</v>
      </c>
      <c r="K195" s="3">
        <v>94</v>
      </c>
      <c r="L195" s="2" t="s">
        <v>2523</v>
      </c>
      <c r="M195" s="2" t="s">
        <v>2519</v>
      </c>
      <c r="N195" t="str">
        <f>TRIM(PROPER(Tabla_auditoría[[#This Row],[ID_Campaña]]))</f>
        <v>Cmp-018</v>
      </c>
      <c r="O195" t="str">
        <f>TRIM(PROPER(Tabla_auditoría[[#This Row],[Canal]]))</f>
        <v>Paid Social</v>
      </c>
      <c r="P195" t="str">
        <f>TRIM(PROPER(Tabla_auditoría[[#This Row],[País]]))</f>
        <v>España</v>
      </c>
      <c r="Q195" t="str">
        <f>TRIM(PROPER(Tabla_auditoría[[#This Row],[Dispositivo]]))</f>
        <v>Mobile</v>
      </c>
      <c r="R195" t="str">
        <f>TRIM(PROPER(Tabla_auditoría[[#This Row],[Tipo_Campaña]]))</f>
        <v>Retención</v>
      </c>
      <c r="S195" t="str">
        <f>TRIM(PROPER(Tabla_auditoría[[#This Row],[Responsable]]))</f>
        <v>Carlos Ruiz</v>
      </c>
    </row>
    <row r="196" spans="1:19" x14ac:dyDescent="0.3">
      <c r="A196" s="1">
        <v>45882</v>
      </c>
      <c r="B196" s="2" t="s">
        <v>2542</v>
      </c>
      <c r="C196" s="2" t="s">
        <v>2527</v>
      </c>
      <c r="D196" s="2" t="s">
        <v>2525</v>
      </c>
      <c r="E196" s="2" t="s">
        <v>2534</v>
      </c>
      <c r="F196" s="3">
        <v>66906</v>
      </c>
      <c r="G196" s="3">
        <v>4300</v>
      </c>
      <c r="H196" s="3">
        <v>84</v>
      </c>
      <c r="I196" s="4">
        <v>6004.22</v>
      </c>
      <c r="J196" s="4">
        <v>8643.41</v>
      </c>
      <c r="K196" s="3">
        <v>75</v>
      </c>
      <c r="L196" s="2" t="s">
        <v>2539</v>
      </c>
      <c r="M196" s="2" t="s">
        <v>2519</v>
      </c>
      <c r="N196" t="str">
        <f>TRIM(PROPER(Tabla_auditoría[[#This Row],[ID_Campaña]]))</f>
        <v>Cmp-025</v>
      </c>
      <c r="O196" t="str">
        <f>TRIM(PROPER(Tabla_auditoría[[#This Row],[Canal]]))</f>
        <v>Affiliate</v>
      </c>
      <c r="P196" t="str">
        <f>TRIM(PROPER(Tabla_auditoría[[#This Row],[País]]))</f>
        <v>Francia</v>
      </c>
      <c r="Q196" t="str">
        <f>TRIM(PROPER(Tabla_auditoría[[#This Row],[Dispositivo]]))</f>
        <v>Tablet</v>
      </c>
      <c r="R196" t="str">
        <f>TRIM(PROPER(Tabla_auditoría[[#This Row],[Tipo_Campaña]]))</f>
        <v>Conversión</v>
      </c>
      <c r="S196" t="str">
        <f>TRIM(PROPER(Tabla_auditoría[[#This Row],[Responsable]]))</f>
        <v>Carlos Ruiz</v>
      </c>
    </row>
    <row r="197" spans="1:19" x14ac:dyDescent="0.3">
      <c r="A197" s="1">
        <v>45781</v>
      </c>
      <c r="B197" s="2" t="s">
        <v>2547</v>
      </c>
      <c r="C197" s="2" t="s">
        <v>2527</v>
      </c>
      <c r="D197" s="2" t="s">
        <v>2528</v>
      </c>
      <c r="E197" s="2" t="s">
        <v>2529</v>
      </c>
      <c r="F197" s="3">
        <v>168910</v>
      </c>
      <c r="G197" s="3">
        <v>3675</v>
      </c>
      <c r="H197" s="3">
        <v>120</v>
      </c>
      <c r="I197" s="4">
        <v>7407.12</v>
      </c>
      <c r="J197" s="4">
        <v>14522.13</v>
      </c>
      <c r="K197" s="3">
        <v>54</v>
      </c>
      <c r="L197" s="2" t="s">
        <v>2518</v>
      </c>
      <c r="M197" s="2" t="s">
        <v>2519</v>
      </c>
      <c r="N197" t="str">
        <f>TRIM(PROPER(Tabla_auditoría[[#This Row],[ID_Campaña]]))</f>
        <v>Cmp-018</v>
      </c>
      <c r="O197" t="str">
        <f>TRIM(PROPER(Tabla_auditoría[[#This Row],[Canal]]))</f>
        <v>Affiliate</v>
      </c>
      <c r="P197" t="str">
        <f>TRIM(PROPER(Tabla_auditoría[[#This Row],[País]]))</f>
        <v>España</v>
      </c>
      <c r="Q197" t="str">
        <f>TRIM(PROPER(Tabla_auditoría[[#This Row],[Dispositivo]]))</f>
        <v>Mobile</v>
      </c>
      <c r="R197" t="str">
        <f>TRIM(PROPER(Tabla_auditoría[[#This Row],[Tipo_Campaña]]))</f>
        <v>Adquisición</v>
      </c>
      <c r="S197" t="str">
        <f>TRIM(PROPER(Tabla_auditoría[[#This Row],[Responsable]]))</f>
        <v>Carlos Ruiz</v>
      </c>
    </row>
    <row r="198" spans="1:19" x14ac:dyDescent="0.3">
      <c r="A198" s="1">
        <v>45713</v>
      </c>
      <c r="B198" s="2" t="s">
        <v>2563</v>
      </c>
      <c r="C198" s="2" t="s">
        <v>2533</v>
      </c>
      <c r="E198" s="2" t="s">
        <v>2529</v>
      </c>
      <c r="F198" s="3">
        <v>30501</v>
      </c>
      <c r="G198" s="3">
        <v>330</v>
      </c>
      <c r="H198" s="3">
        <v>18</v>
      </c>
      <c r="I198" s="4">
        <v>68.59</v>
      </c>
      <c r="J198" s="4">
        <v>1006.33</v>
      </c>
      <c r="K198" s="3">
        <v>11</v>
      </c>
      <c r="L198" s="2" t="s">
        <v>2523</v>
      </c>
      <c r="M198" s="2" t="s">
        <v>2524</v>
      </c>
      <c r="N198" t="str">
        <f>TRIM(PROPER(Tabla_auditoría[[#This Row],[ID_Campaña]]))</f>
        <v>Cmp-023</v>
      </c>
      <c r="O198" t="str">
        <f>TRIM(PROPER(Tabla_auditoría[[#This Row],[Canal]]))</f>
        <v>Paid Social</v>
      </c>
      <c r="P198" t="str">
        <f>TRIM(PROPER(Tabla_auditoría[[#This Row],[País]]))</f>
        <v/>
      </c>
      <c r="Q198" t="str">
        <f>TRIM(PROPER(Tabla_auditoría[[#This Row],[Dispositivo]]))</f>
        <v>Mobile</v>
      </c>
      <c r="R198" t="str">
        <f>TRIM(PROPER(Tabla_auditoría[[#This Row],[Tipo_Campaña]]))</f>
        <v>Retención</v>
      </c>
      <c r="S198" t="str">
        <f>TRIM(PROPER(Tabla_auditoría[[#This Row],[Responsable]]))</f>
        <v>Luis Martín</v>
      </c>
    </row>
    <row r="199" spans="1:19" x14ac:dyDescent="0.3">
      <c r="A199" s="1">
        <v>45667</v>
      </c>
      <c r="B199" s="2" t="s">
        <v>2565</v>
      </c>
      <c r="C199" s="2" t="s">
        <v>2533</v>
      </c>
      <c r="D199" s="2" t="s">
        <v>2516</v>
      </c>
      <c r="E199" s="2" t="s">
        <v>2529</v>
      </c>
      <c r="F199" s="3">
        <v>26787</v>
      </c>
      <c r="G199" s="3">
        <v>192</v>
      </c>
      <c r="H199" s="3">
        <v>25</v>
      </c>
      <c r="I199" s="4">
        <v>164</v>
      </c>
      <c r="J199" s="4">
        <v>5048.43</v>
      </c>
      <c r="K199" s="3">
        <v>15</v>
      </c>
      <c r="L199" s="2" t="s">
        <v>2523</v>
      </c>
      <c r="M199" s="2" t="s">
        <v>2526</v>
      </c>
      <c r="N199" t="str">
        <f>TRIM(PROPER(Tabla_auditoría[[#This Row],[ID_Campaña]]))</f>
        <v>Cmp-005</v>
      </c>
      <c r="O199" t="str">
        <f>TRIM(PROPER(Tabla_auditoría[[#This Row],[Canal]]))</f>
        <v>Paid Social</v>
      </c>
      <c r="P199" t="str">
        <f>TRIM(PROPER(Tabla_auditoría[[#This Row],[País]]))</f>
        <v>México</v>
      </c>
      <c r="Q199" t="str">
        <f>TRIM(PROPER(Tabla_auditoría[[#This Row],[Dispositivo]]))</f>
        <v>Mobile</v>
      </c>
      <c r="R199" t="str">
        <f>TRIM(PROPER(Tabla_auditoría[[#This Row],[Tipo_Campaña]]))</f>
        <v>Retención</v>
      </c>
      <c r="S199" t="str">
        <f>TRIM(PROPER(Tabla_auditoría[[#This Row],[Responsable]]))</f>
        <v>Laura Pérez</v>
      </c>
    </row>
    <row r="200" spans="1:19" x14ac:dyDescent="0.3">
      <c r="A200" s="1">
        <v>45708</v>
      </c>
      <c r="B200" s="2" t="s">
        <v>2535</v>
      </c>
      <c r="C200" s="2" t="s">
        <v>2541</v>
      </c>
      <c r="D200" s="2" t="s">
        <v>2522</v>
      </c>
      <c r="E200" s="2" t="s">
        <v>2534</v>
      </c>
      <c r="F200" s="3">
        <v>102524</v>
      </c>
      <c r="G200" s="3">
        <v>5804</v>
      </c>
      <c r="H200" s="3">
        <v>515</v>
      </c>
      <c r="I200" s="4">
        <v>11138.51</v>
      </c>
      <c r="J200" s="4">
        <v>104492.16</v>
      </c>
      <c r="K200" s="3">
        <v>339</v>
      </c>
      <c r="L200" s="2" t="s">
        <v>2539</v>
      </c>
      <c r="M200" s="2" t="s">
        <v>2546</v>
      </c>
      <c r="N200" t="str">
        <f>TRIM(PROPER(Tabla_auditoría[[#This Row],[ID_Campaña]]))</f>
        <v>Cmp-015</v>
      </c>
      <c r="O200" t="str">
        <f>TRIM(PROPER(Tabla_auditoría[[#This Row],[Canal]]))</f>
        <v>Display</v>
      </c>
      <c r="P200" t="str">
        <f>TRIM(PROPER(Tabla_auditoría[[#This Row],[País]]))</f>
        <v>Italia</v>
      </c>
      <c r="Q200" t="str">
        <f>TRIM(PROPER(Tabla_auditoría[[#This Row],[Dispositivo]]))</f>
        <v>Tablet</v>
      </c>
      <c r="R200" t="str">
        <f>TRIM(PROPER(Tabla_auditoría[[#This Row],[Tipo_Campaña]]))</f>
        <v>Conversión</v>
      </c>
      <c r="S200" t="str">
        <f>TRIM(PROPER(Tabla_auditoría[[#This Row],[Responsable]]))</f>
        <v>Ana García</v>
      </c>
    </row>
    <row r="201" spans="1:19" x14ac:dyDescent="0.3">
      <c r="A201" s="1">
        <v>45668</v>
      </c>
      <c r="B201" s="2" t="s">
        <v>2560</v>
      </c>
      <c r="C201" s="2" t="s">
        <v>2527</v>
      </c>
      <c r="D201" s="2" t="s">
        <v>2522</v>
      </c>
      <c r="E201" s="2" t="s">
        <v>2517</v>
      </c>
      <c r="F201" s="3">
        <v>162716</v>
      </c>
      <c r="G201" s="3">
        <v>6461</v>
      </c>
      <c r="H201" s="3">
        <v>529</v>
      </c>
      <c r="I201" s="4">
        <v>9589.81</v>
      </c>
      <c r="J201" s="4">
        <v>94859.64</v>
      </c>
      <c r="K201" s="3">
        <v>265</v>
      </c>
      <c r="L201" s="2" t="s">
        <v>2518</v>
      </c>
      <c r="M201" s="2" t="s">
        <v>2537</v>
      </c>
      <c r="N201" t="str">
        <f>TRIM(PROPER(Tabla_auditoría[[#This Row],[ID_Campaña]]))</f>
        <v>Cmp-027</v>
      </c>
      <c r="O201" t="str">
        <f>TRIM(PROPER(Tabla_auditoría[[#This Row],[Canal]]))</f>
        <v>Affiliate</v>
      </c>
      <c r="P201" t="str">
        <f>TRIM(PROPER(Tabla_auditoría[[#This Row],[País]]))</f>
        <v>Italia</v>
      </c>
      <c r="Q201" t="str">
        <f>TRIM(PROPER(Tabla_auditoría[[#This Row],[Dispositivo]]))</f>
        <v>Desktop</v>
      </c>
      <c r="R201" t="str">
        <f>TRIM(PROPER(Tabla_auditoría[[#This Row],[Tipo_Campaña]]))</f>
        <v>Adquisición</v>
      </c>
      <c r="S201" t="str">
        <f>TRIM(PROPER(Tabla_auditoría[[#This Row],[Responsable]]))</f>
        <v>Marta López</v>
      </c>
    </row>
    <row r="202" spans="1:19" x14ac:dyDescent="0.3">
      <c r="A202" s="1">
        <v>45760</v>
      </c>
      <c r="B202" s="2" t="s">
        <v>2549</v>
      </c>
      <c r="C202" s="2" t="s">
        <v>2541</v>
      </c>
      <c r="D202" s="2" t="s">
        <v>2528</v>
      </c>
      <c r="E202" s="2" t="s">
        <v>2529</v>
      </c>
      <c r="F202" s="3">
        <v>123237</v>
      </c>
      <c r="G202" s="3">
        <v>2084</v>
      </c>
      <c r="H202" s="3">
        <v>136</v>
      </c>
      <c r="I202" s="4">
        <v>3356.46</v>
      </c>
      <c r="J202" s="4">
        <v>26452.87</v>
      </c>
      <c r="K202" s="3">
        <v>95</v>
      </c>
      <c r="L202" s="2" t="s">
        <v>2523</v>
      </c>
      <c r="N202" t="str">
        <f>TRIM(PROPER(Tabla_auditoría[[#This Row],[ID_Campaña]]))</f>
        <v>Cmp-007</v>
      </c>
      <c r="O202" t="str">
        <f>TRIM(PROPER(Tabla_auditoría[[#This Row],[Canal]]))</f>
        <v>Display</v>
      </c>
      <c r="P202" t="str">
        <f>TRIM(PROPER(Tabla_auditoría[[#This Row],[País]]))</f>
        <v>España</v>
      </c>
      <c r="Q202" t="str">
        <f>TRIM(PROPER(Tabla_auditoría[[#This Row],[Dispositivo]]))</f>
        <v>Mobile</v>
      </c>
      <c r="R202" t="str">
        <f>TRIM(PROPER(Tabla_auditoría[[#This Row],[Tipo_Campaña]]))</f>
        <v>Retención</v>
      </c>
      <c r="S202" t="str">
        <f>TRIM(PROPER(Tabla_auditoría[[#This Row],[Responsable]]))</f>
        <v/>
      </c>
    </row>
    <row r="203" spans="1:19" x14ac:dyDescent="0.3">
      <c r="A203" s="1">
        <v>45789</v>
      </c>
      <c r="B203" s="2" t="s">
        <v>2538</v>
      </c>
      <c r="C203" s="2" t="s">
        <v>2527</v>
      </c>
      <c r="D203" s="2" t="s">
        <v>2528</v>
      </c>
      <c r="E203" s="2" t="s">
        <v>2529</v>
      </c>
      <c r="F203" s="3">
        <v>56944</v>
      </c>
      <c r="G203" s="3">
        <v>1611</v>
      </c>
      <c r="H203" s="3">
        <v>125</v>
      </c>
      <c r="I203" s="4">
        <v>1852.91</v>
      </c>
      <c r="J203" s="4">
        <v>25417.85</v>
      </c>
      <c r="K203" s="3">
        <v>66</v>
      </c>
      <c r="L203" s="2" t="s">
        <v>2536</v>
      </c>
      <c r="M203" s="2" t="s">
        <v>2526</v>
      </c>
      <c r="N203" t="str">
        <f>TRIM(PROPER(Tabla_auditoría[[#This Row],[ID_Campaña]]))</f>
        <v>Cmp-004</v>
      </c>
      <c r="O203" t="str">
        <f>TRIM(PROPER(Tabla_auditoría[[#This Row],[Canal]]))</f>
        <v>Affiliate</v>
      </c>
      <c r="P203" t="str">
        <f>TRIM(PROPER(Tabla_auditoría[[#This Row],[País]]))</f>
        <v>España</v>
      </c>
      <c r="Q203" t="str">
        <f>TRIM(PROPER(Tabla_auditoría[[#This Row],[Dispositivo]]))</f>
        <v>Mobile</v>
      </c>
      <c r="R203" t="str">
        <f>TRIM(PROPER(Tabla_auditoría[[#This Row],[Tipo_Campaña]]))</f>
        <v>Reconocimiento</v>
      </c>
      <c r="S203" t="str">
        <f>TRIM(PROPER(Tabla_auditoría[[#This Row],[Responsable]]))</f>
        <v>Laura Pérez</v>
      </c>
    </row>
    <row r="204" spans="1:19" x14ac:dyDescent="0.3">
      <c r="A204" s="1">
        <v>45705</v>
      </c>
      <c r="B204" s="2" t="s">
        <v>2530</v>
      </c>
      <c r="C204" s="2" t="s">
        <v>2543</v>
      </c>
      <c r="D204" s="2" t="s">
        <v>2522</v>
      </c>
      <c r="E204" s="2" t="s">
        <v>2529</v>
      </c>
      <c r="F204" s="3">
        <v>116462</v>
      </c>
      <c r="G204" s="3">
        <v>3489</v>
      </c>
      <c r="H204" s="3">
        <v>365</v>
      </c>
      <c r="I204" s="4">
        <v>2433.89</v>
      </c>
      <c r="J204" s="4">
        <v>58568.78</v>
      </c>
      <c r="K204" s="3">
        <v>236</v>
      </c>
      <c r="L204" s="2" t="s">
        <v>2539</v>
      </c>
      <c r="M204" s="2" t="s">
        <v>2526</v>
      </c>
      <c r="N204" t="str">
        <f>TRIM(PROPER(Tabla_auditoría[[#This Row],[ID_Campaña]]))</f>
        <v>Cmp-026</v>
      </c>
      <c r="O204" t="str">
        <f>TRIM(PROPER(Tabla_auditoría[[#This Row],[Canal]]))</f>
        <v>Organic Social</v>
      </c>
      <c r="P204" t="str">
        <f>TRIM(PROPER(Tabla_auditoría[[#This Row],[País]]))</f>
        <v>Italia</v>
      </c>
      <c r="Q204" t="str">
        <f>TRIM(PROPER(Tabla_auditoría[[#This Row],[Dispositivo]]))</f>
        <v>Mobile</v>
      </c>
      <c r="R204" t="str">
        <f>TRIM(PROPER(Tabla_auditoría[[#This Row],[Tipo_Campaña]]))</f>
        <v>Conversión</v>
      </c>
      <c r="S204" t="str">
        <f>TRIM(PROPER(Tabla_auditoría[[#This Row],[Responsable]]))</f>
        <v>Laura Pérez</v>
      </c>
    </row>
    <row r="205" spans="1:19" x14ac:dyDescent="0.3">
      <c r="A205" s="1">
        <v>45781</v>
      </c>
      <c r="B205" s="2" t="s">
        <v>2570</v>
      </c>
      <c r="C205" s="2" t="s">
        <v>2543</v>
      </c>
      <c r="D205" s="2" t="s">
        <v>2528</v>
      </c>
      <c r="E205" s="2" t="s">
        <v>2529</v>
      </c>
      <c r="F205" s="3">
        <v>173404</v>
      </c>
      <c r="G205" s="3">
        <v>2979</v>
      </c>
      <c r="H205" s="3">
        <v>385</v>
      </c>
      <c r="I205" s="4">
        <v>6171.73</v>
      </c>
      <c r="J205" s="4">
        <v>52827.09</v>
      </c>
      <c r="K205" s="3">
        <v>229</v>
      </c>
      <c r="L205" s="2" t="s">
        <v>2536</v>
      </c>
      <c r="M205" s="2" t="s">
        <v>2537</v>
      </c>
      <c r="N205" t="str">
        <f>TRIM(PROPER(Tabla_auditoría[[#This Row],[ID_Campaña]]))</f>
        <v>Cmp-016</v>
      </c>
      <c r="O205" t="str">
        <f>TRIM(PROPER(Tabla_auditoría[[#This Row],[Canal]]))</f>
        <v>Organic Social</v>
      </c>
      <c r="P205" t="str">
        <f>TRIM(PROPER(Tabla_auditoría[[#This Row],[País]]))</f>
        <v>España</v>
      </c>
      <c r="Q205" t="str">
        <f>TRIM(PROPER(Tabla_auditoría[[#This Row],[Dispositivo]]))</f>
        <v>Mobile</v>
      </c>
      <c r="R205" t="str">
        <f>TRIM(PROPER(Tabla_auditoría[[#This Row],[Tipo_Campaña]]))</f>
        <v>Reconocimiento</v>
      </c>
      <c r="S205" t="str">
        <f>TRIM(PROPER(Tabla_auditoría[[#This Row],[Responsable]]))</f>
        <v>Marta López</v>
      </c>
    </row>
    <row r="206" spans="1:19" x14ac:dyDescent="0.3">
      <c r="A206" s="1">
        <v>45991</v>
      </c>
      <c r="B206" s="2" t="s">
        <v>2532</v>
      </c>
      <c r="C206" s="2" t="s">
        <v>2527</v>
      </c>
      <c r="D206" s="2" t="s">
        <v>2531</v>
      </c>
      <c r="E206" s="2" t="s">
        <v>2529</v>
      </c>
      <c r="F206" s="3">
        <v>47889</v>
      </c>
      <c r="G206" s="3">
        <v>2842</v>
      </c>
      <c r="H206" s="3">
        <v>171</v>
      </c>
      <c r="I206" s="4">
        <v>765.45</v>
      </c>
      <c r="J206" s="4">
        <v>37602.879999999997</v>
      </c>
      <c r="K206" s="3">
        <v>89</v>
      </c>
      <c r="L206" s="2" t="s">
        <v>2523</v>
      </c>
      <c r="M206" s="2" t="s">
        <v>2519</v>
      </c>
      <c r="N206" t="str">
        <f>TRIM(PROPER(Tabla_auditoría[[#This Row],[ID_Campaña]]))</f>
        <v>Cmp-022</v>
      </c>
      <c r="O206" t="str">
        <f>TRIM(PROPER(Tabla_auditoría[[#This Row],[Canal]]))</f>
        <v>Affiliate</v>
      </c>
      <c r="P206" t="str">
        <f>TRIM(PROPER(Tabla_auditoría[[#This Row],[País]]))</f>
        <v>Portugal</v>
      </c>
      <c r="Q206" t="str">
        <f>TRIM(PROPER(Tabla_auditoría[[#This Row],[Dispositivo]]))</f>
        <v>Mobile</v>
      </c>
      <c r="R206" t="str">
        <f>TRIM(PROPER(Tabla_auditoría[[#This Row],[Tipo_Campaña]]))</f>
        <v>Retención</v>
      </c>
      <c r="S206" t="str">
        <f>TRIM(PROPER(Tabla_auditoría[[#This Row],[Responsable]]))</f>
        <v>Carlos Ruiz</v>
      </c>
    </row>
    <row r="207" spans="1:19" x14ac:dyDescent="0.3">
      <c r="A207" s="1">
        <v>46012</v>
      </c>
      <c r="B207" s="2" t="s">
        <v>2542</v>
      </c>
      <c r="C207" s="2" t="s">
        <v>2558</v>
      </c>
      <c r="D207" s="2" t="s">
        <v>2525</v>
      </c>
      <c r="E207" s="2" t="s">
        <v>2529</v>
      </c>
      <c r="F207" s="3">
        <v>82416</v>
      </c>
      <c r="G207" s="3">
        <v>1753</v>
      </c>
      <c r="H207" s="3">
        <v>88</v>
      </c>
      <c r="I207" s="4">
        <v>2333.33</v>
      </c>
      <c r="J207" s="4">
        <v>1550.34</v>
      </c>
      <c r="K207" s="3">
        <v>46</v>
      </c>
      <c r="L207" s="2" t="s">
        <v>2523</v>
      </c>
      <c r="M207" s="2" t="s">
        <v>2537</v>
      </c>
      <c r="N207" t="str">
        <f>TRIM(PROPER(Tabla_auditoría[[#This Row],[ID_Campaña]]))</f>
        <v>Cmp-025</v>
      </c>
      <c r="O207" t="str">
        <f>TRIM(PROPER(Tabla_auditoría[[#This Row],[Canal]]))</f>
        <v>Paid Social</v>
      </c>
      <c r="P207" t="str">
        <f>TRIM(PROPER(Tabla_auditoría[[#This Row],[País]]))</f>
        <v>Francia</v>
      </c>
      <c r="Q207" t="str">
        <f>TRIM(PROPER(Tabla_auditoría[[#This Row],[Dispositivo]]))</f>
        <v>Mobile</v>
      </c>
      <c r="R207" t="str">
        <f>TRIM(PROPER(Tabla_auditoría[[#This Row],[Tipo_Campaña]]))</f>
        <v>Retención</v>
      </c>
      <c r="S207" t="str">
        <f>TRIM(PROPER(Tabla_auditoría[[#This Row],[Responsable]]))</f>
        <v>Marta López</v>
      </c>
    </row>
    <row r="208" spans="1:19" x14ac:dyDescent="0.3">
      <c r="A208" s="1">
        <v>45992</v>
      </c>
      <c r="B208" s="2" t="s">
        <v>2552</v>
      </c>
      <c r="C208" s="2" t="s">
        <v>2543</v>
      </c>
      <c r="D208" s="2" t="s">
        <v>2516</v>
      </c>
      <c r="E208" s="2" t="s">
        <v>2529</v>
      </c>
      <c r="F208" s="3">
        <v>37983</v>
      </c>
      <c r="G208" s="3">
        <v>383</v>
      </c>
      <c r="H208" s="3">
        <v>22</v>
      </c>
      <c r="I208" s="4">
        <v>536.04</v>
      </c>
      <c r="J208" s="4">
        <v>1977.36</v>
      </c>
      <c r="K208" s="3">
        <v>13</v>
      </c>
      <c r="L208" s="2" t="s">
        <v>2539</v>
      </c>
      <c r="M208" s="2" t="s">
        <v>2526</v>
      </c>
      <c r="N208" t="str">
        <f>TRIM(PROPER(Tabla_auditoría[[#This Row],[ID_Campaña]]))</f>
        <v>Cmp-012</v>
      </c>
      <c r="O208" t="str">
        <f>TRIM(PROPER(Tabla_auditoría[[#This Row],[Canal]]))</f>
        <v>Organic Social</v>
      </c>
      <c r="P208" t="str">
        <f>TRIM(PROPER(Tabla_auditoría[[#This Row],[País]]))</f>
        <v>México</v>
      </c>
      <c r="Q208" t="str">
        <f>TRIM(PROPER(Tabla_auditoría[[#This Row],[Dispositivo]]))</f>
        <v>Mobile</v>
      </c>
      <c r="R208" t="str">
        <f>TRIM(PROPER(Tabla_auditoría[[#This Row],[Tipo_Campaña]]))</f>
        <v>Conversión</v>
      </c>
      <c r="S208" t="str">
        <f>TRIM(PROPER(Tabla_auditoría[[#This Row],[Responsable]]))</f>
        <v>Laura Pérez</v>
      </c>
    </row>
    <row r="209" spans="1:19" x14ac:dyDescent="0.3">
      <c r="A209" s="1">
        <v>45902</v>
      </c>
      <c r="B209" s="2" t="s">
        <v>2560</v>
      </c>
      <c r="C209" s="2" t="s">
        <v>2521</v>
      </c>
      <c r="D209" s="2" t="s">
        <v>2528</v>
      </c>
      <c r="E209" s="2" t="s">
        <v>2517</v>
      </c>
      <c r="F209" s="3">
        <v>144326</v>
      </c>
      <c r="G209" s="3">
        <v>995</v>
      </c>
      <c r="H209" s="3">
        <v>80</v>
      </c>
      <c r="I209" s="4">
        <v>182.06</v>
      </c>
      <c r="J209" s="4">
        <v>7814.33</v>
      </c>
      <c r="K209" s="3">
        <v>65</v>
      </c>
      <c r="L209" s="2" t="s">
        <v>2523</v>
      </c>
      <c r="M209" s="2" t="s">
        <v>2519</v>
      </c>
      <c r="N209" t="str">
        <f>TRIM(PROPER(Tabla_auditoría[[#This Row],[ID_Campaña]]))</f>
        <v>Cmp-027</v>
      </c>
      <c r="O209" t="str">
        <f>TRIM(PROPER(Tabla_auditoría[[#This Row],[Canal]]))</f>
        <v>Paid Search</v>
      </c>
      <c r="P209" t="str">
        <f>TRIM(PROPER(Tabla_auditoría[[#This Row],[País]]))</f>
        <v>España</v>
      </c>
      <c r="Q209" t="str">
        <f>TRIM(PROPER(Tabla_auditoría[[#This Row],[Dispositivo]]))</f>
        <v>Desktop</v>
      </c>
      <c r="R209" t="str">
        <f>TRIM(PROPER(Tabla_auditoría[[#This Row],[Tipo_Campaña]]))</f>
        <v>Retención</v>
      </c>
      <c r="S209" t="str">
        <f>TRIM(PROPER(Tabla_auditoría[[#This Row],[Responsable]]))</f>
        <v>Carlos Ruiz</v>
      </c>
    </row>
    <row r="210" spans="1:19" x14ac:dyDescent="0.3">
      <c r="A210" s="1">
        <v>45869</v>
      </c>
      <c r="B210" s="2" t="s">
        <v>2551</v>
      </c>
      <c r="C210" s="2" t="s">
        <v>2521</v>
      </c>
      <c r="D210" s="2" t="s">
        <v>2528</v>
      </c>
      <c r="E210" s="2" t="s">
        <v>2517</v>
      </c>
      <c r="F210" s="3">
        <v>31320</v>
      </c>
      <c r="G210" s="3">
        <v>2400</v>
      </c>
      <c r="H210" s="3">
        <v>307</v>
      </c>
      <c r="I210" s="4">
        <v>1348.17</v>
      </c>
      <c r="J210" s="4">
        <v>41922.46</v>
      </c>
      <c r="K210" s="3">
        <v>239</v>
      </c>
      <c r="L210" s="2" t="s">
        <v>2518</v>
      </c>
      <c r="M210" s="2" t="s">
        <v>2524</v>
      </c>
      <c r="N210" t="str">
        <f>TRIM(PROPER(Tabla_auditoría[[#This Row],[ID_Campaña]]))</f>
        <v>Cmp-028</v>
      </c>
      <c r="O210" t="str">
        <f>TRIM(PROPER(Tabla_auditoría[[#This Row],[Canal]]))</f>
        <v>Paid Search</v>
      </c>
      <c r="P210" t="str">
        <f>TRIM(PROPER(Tabla_auditoría[[#This Row],[País]]))</f>
        <v>España</v>
      </c>
      <c r="Q210" t="str">
        <f>TRIM(PROPER(Tabla_auditoría[[#This Row],[Dispositivo]]))</f>
        <v>Desktop</v>
      </c>
      <c r="R210" t="str">
        <f>TRIM(PROPER(Tabla_auditoría[[#This Row],[Tipo_Campaña]]))</f>
        <v>Adquisición</v>
      </c>
      <c r="S210" t="str">
        <f>TRIM(PROPER(Tabla_auditoría[[#This Row],[Responsable]]))</f>
        <v>Luis Martín</v>
      </c>
    </row>
    <row r="211" spans="1:19" x14ac:dyDescent="0.3">
      <c r="A211" s="1">
        <v>45888</v>
      </c>
      <c r="B211" s="2" t="s">
        <v>2555</v>
      </c>
      <c r="C211" s="2" t="s">
        <v>2527</v>
      </c>
      <c r="D211" s="2" t="s">
        <v>2516</v>
      </c>
      <c r="E211" s="2" t="s">
        <v>2529</v>
      </c>
      <c r="F211" s="3">
        <v>12248</v>
      </c>
      <c r="G211" s="3">
        <v>627</v>
      </c>
      <c r="H211" s="3">
        <v>5</v>
      </c>
      <c r="I211" s="4">
        <v>989.53</v>
      </c>
      <c r="J211" s="4">
        <v>737.79</v>
      </c>
      <c r="K211" s="3">
        <v>3</v>
      </c>
      <c r="L211" s="2" t="s">
        <v>2536</v>
      </c>
      <c r="M211" s="2" t="s">
        <v>2519</v>
      </c>
      <c r="N211" t="str">
        <f>TRIM(PROPER(Tabla_auditoría[[#This Row],[ID_Campaña]]))</f>
        <v>Cmp-010</v>
      </c>
      <c r="O211" t="str">
        <f>TRIM(PROPER(Tabla_auditoría[[#This Row],[Canal]]))</f>
        <v>Affiliate</v>
      </c>
      <c r="P211" t="str">
        <f>TRIM(PROPER(Tabla_auditoría[[#This Row],[País]]))</f>
        <v>México</v>
      </c>
      <c r="Q211" t="str">
        <f>TRIM(PROPER(Tabla_auditoría[[#This Row],[Dispositivo]]))</f>
        <v>Mobile</v>
      </c>
      <c r="R211" t="str">
        <f>TRIM(PROPER(Tabla_auditoría[[#This Row],[Tipo_Campaña]]))</f>
        <v>Reconocimiento</v>
      </c>
      <c r="S211" t="str">
        <f>TRIM(PROPER(Tabla_auditoría[[#This Row],[Responsable]]))</f>
        <v>Carlos Ruiz</v>
      </c>
    </row>
    <row r="212" spans="1:19" x14ac:dyDescent="0.3">
      <c r="A212" s="1">
        <v>45749</v>
      </c>
      <c r="B212" s="2" t="s">
        <v>2563</v>
      </c>
      <c r="C212" s="2" t="s">
        <v>2543</v>
      </c>
      <c r="D212" s="2" t="s">
        <v>2525</v>
      </c>
      <c r="E212" s="2" t="s">
        <v>2517</v>
      </c>
      <c r="F212" s="3">
        <v>80445</v>
      </c>
      <c r="G212" s="3">
        <v>2334</v>
      </c>
      <c r="H212" s="3">
        <v>60</v>
      </c>
      <c r="I212" s="4">
        <v>679.7</v>
      </c>
      <c r="J212" s="4">
        <v>7450.56</v>
      </c>
      <c r="K212" s="3">
        <v>27</v>
      </c>
      <c r="L212" s="2" t="s">
        <v>2536</v>
      </c>
      <c r="M212" s="2" t="s">
        <v>2526</v>
      </c>
      <c r="N212" t="str">
        <f>TRIM(PROPER(Tabla_auditoría[[#This Row],[ID_Campaña]]))</f>
        <v>Cmp-023</v>
      </c>
      <c r="O212" t="str">
        <f>TRIM(PROPER(Tabla_auditoría[[#This Row],[Canal]]))</f>
        <v>Organic Social</v>
      </c>
      <c r="P212" t="str">
        <f>TRIM(PROPER(Tabla_auditoría[[#This Row],[País]]))</f>
        <v>Francia</v>
      </c>
      <c r="Q212" t="str">
        <f>TRIM(PROPER(Tabla_auditoría[[#This Row],[Dispositivo]]))</f>
        <v>Desktop</v>
      </c>
      <c r="R212" t="str">
        <f>TRIM(PROPER(Tabla_auditoría[[#This Row],[Tipo_Campaña]]))</f>
        <v>Reconocimiento</v>
      </c>
      <c r="S212" t="str">
        <f>TRIM(PROPER(Tabla_auditoría[[#This Row],[Responsable]]))</f>
        <v>Laura Pérez</v>
      </c>
    </row>
    <row r="213" spans="1:19" x14ac:dyDescent="0.3">
      <c r="A213" s="1">
        <v>45833</v>
      </c>
      <c r="B213" s="2" t="s">
        <v>2560</v>
      </c>
      <c r="C213" s="2" t="s">
        <v>2521</v>
      </c>
      <c r="D213" s="2" t="s">
        <v>2528</v>
      </c>
      <c r="E213" s="2" t="s">
        <v>2529</v>
      </c>
      <c r="F213" s="3">
        <v>135678</v>
      </c>
      <c r="G213" s="3">
        <v>5225</v>
      </c>
      <c r="H213" s="3">
        <v>280</v>
      </c>
      <c r="I213" s="4">
        <v>2721.65</v>
      </c>
      <c r="J213" s="4">
        <v>56654.18</v>
      </c>
      <c r="K213" s="3">
        <v>133</v>
      </c>
      <c r="L213" s="2" t="s">
        <v>2523</v>
      </c>
      <c r="M213" s="2" t="s">
        <v>2524</v>
      </c>
      <c r="N213" t="str">
        <f>TRIM(PROPER(Tabla_auditoría[[#This Row],[ID_Campaña]]))</f>
        <v>Cmp-027</v>
      </c>
      <c r="O213" t="str">
        <f>TRIM(PROPER(Tabla_auditoría[[#This Row],[Canal]]))</f>
        <v>Paid Search</v>
      </c>
      <c r="P213" t="str">
        <f>TRIM(PROPER(Tabla_auditoría[[#This Row],[País]]))</f>
        <v>España</v>
      </c>
      <c r="Q213" t="str">
        <f>TRIM(PROPER(Tabla_auditoría[[#This Row],[Dispositivo]]))</f>
        <v>Mobile</v>
      </c>
      <c r="R213" t="str">
        <f>TRIM(PROPER(Tabla_auditoría[[#This Row],[Tipo_Campaña]]))</f>
        <v>Retención</v>
      </c>
      <c r="S213" t="str">
        <f>TRIM(PROPER(Tabla_auditoría[[#This Row],[Responsable]]))</f>
        <v>Luis Martín</v>
      </c>
    </row>
    <row r="214" spans="1:19" x14ac:dyDescent="0.3">
      <c r="A214" s="1">
        <v>45769</v>
      </c>
      <c r="B214" s="2" t="s">
        <v>2540</v>
      </c>
      <c r="C214" s="2" t="s">
        <v>2533</v>
      </c>
      <c r="D214" s="2" t="s">
        <v>2516</v>
      </c>
      <c r="E214" s="2" t="s">
        <v>2529</v>
      </c>
      <c r="F214" s="3">
        <v>90317</v>
      </c>
      <c r="G214" s="3">
        <v>1013</v>
      </c>
      <c r="H214" s="3">
        <v>121</v>
      </c>
      <c r="I214" s="4">
        <v>1931.04</v>
      </c>
      <c r="J214" s="4">
        <v>17672.45</v>
      </c>
      <c r="K214" s="3">
        <v>102</v>
      </c>
      <c r="L214" s="2" t="s">
        <v>2518</v>
      </c>
      <c r="M214" s="2" t="s">
        <v>2526</v>
      </c>
      <c r="N214" t="str">
        <f>TRIM(PROPER(Tabla_auditoría[[#This Row],[ID_Campaña]]))</f>
        <v>Cmp-017</v>
      </c>
      <c r="O214" t="str">
        <f>TRIM(PROPER(Tabla_auditoría[[#This Row],[Canal]]))</f>
        <v>Paid Social</v>
      </c>
      <c r="P214" t="str">
        <f>TRIM(PROPER(Tabla_auditoría[[#This Row],[País]]))</f>
        <v>México</v>
      </c>
      <c r="Q214" t="str">
        <f>TRIM(PROPER(Tabla_auditoría[[#This Row],[Dispositivo]]))</f>
        <v>Mobile</v>
      </c>
      <c r="R214" t="str">
        <f>TRIM(PROPER(Tabla_auditoría[[#This Row],[Tipo_Campaña]]))</f>
        <v>Adquisición</v>
      </c>
      <c r="S214" t="str">
        <f>TRIM(PROPER(Tabla_auditoría[[#This Row],[Responsable]]))</f>
        <v>Laura Pérez</v>
      </c>
    </row>
    <row r="215" spans="1:19" x14ac:dyDescent="0.3">
      <c r="A215" s="1">
        <v>45714</v>
      </c>
      <c r="B215" s="2" t="s">
        <v>2552</v>
      </c>
      <c r="C215" s="2" t="s">
        <v>2543</v>
      </c>
      <c r="D215" s="2" t="s">
        <v>2528</v>
      </c>
      <c r="E215" s="2" t="s">
        <v>2529</v>
      </c>
      <c r="F215" s="3">
        <v>178817</v>
      </c>
      <c r="G215" s="3">
        <v>1545</v>
      </c>
      <c r="H215" s="3">
        <v>206</v>
      </c>
      <c r="I215" s="4">
        <v>167.94</v>
      </c>
      <c r="J215" s="4">
        <v>22360.62</v>
      </c>
      <c r="K215" s="3">
        <v>157</v>
      </c>
      <c r="L215" s="2" t="s">
        <v>2536</v>
      </c>
      <c r="M215" s="2" t="s">
        <v>2519</v>
      </c>
      <c r="N215" t="str">
        <f>TRIM(PROPER(Tabla_auditoría[[#This Row],[ID_Campaña]]))</f>
        <v>Cmp-012</v>
      </c>
      <c r="O215" t="str">
        <f>TRIM(PROPER(Tabla_auditoría[[#This Row],[Canal]]))</f>
        <v>Organic Social</v>
      </c>
      <c r="P215" t="str">
        <f>TRIM(PROPER(Tabla_auditoría[[#This Row],[País]]))</f>
        <v>España</v>
      </c>
      <c r="Q215" t="str">
        <f>TRIM(PROPER(Tabla_auditoría[[#This Row],[Dispositivo]]))</f>
        <v>Mobile</v>
      </c>
      <c r="R215" t="str">
        <f>TRIM(PROPER(Tabla_auditoría[[#This Row],[Tipo_Campaña]]))</f>
        <v>Reconocimiento</v>
      </c>
      <c r="S215" t="str">
        <f>TRIM(PROPER(Tabla_auditoría[[#This Row],[Responsable]]))</f>
        <v>Carlos Ruiz</v>
      </c>
    </row>
    <row r="216" spans="1:19" x14ac:dyDescent="0.3">
      <c r="A216" s="1">
        <v>45776</v>
      </c>
      <c r="B216" s="2" t="s">
        <v>2538</v>
      </c>
      <c r="C216" s="2" t="s">
        <v>2541</v>
      </c>
      <c r="D216" s="2" t="s">
        <v>2525</v>
      </c>
      <c r="E216" s="2" t="s">
        <v>2534</v>
      </c>
      <c r="F216" s="3">
        <v>164988</v>
      </c>
      <c r="G216" s="3">
        <v>6517</v>
      </c>
      <c r="H216" s="3">
        <v>757</v>
      </c>
      <c r="I216" s="4">
        <v>4155.5600000000004</v>
      </c>
      <c r="J216" s="4">
        <v>158050.64000000001</v>
      </c>
      <c r="K216" s="3">
        <v>540</v>
      </c>
      <c r="L216" s="2" t="s">
        <v>2536</v>
      </c>
      <c r="M216" s="2" t="s">
        <v>2537</v>
      </c>
      <c r="N216" t="str">
        <f>TRIM(PROPER(Tabla_auditoría[[#This Row],[ID_Campaña]]))</f>
        <v>Cmp-004</v>
      </c>
      <c r="O216" t="str">
        <f>TRIM(PROPER(Tabla_auditoría[[#This Row],[Canal]]))</f>
        <v>Display</v>
      </c>
      <c r="P216" t="str">
        <f>TRIM(PROPER(Tabla_auditoría[[#This Row],[País]]))</f>
        <v>Francia</v>
      </c>
      <c r="Q216" t="str">
        <f>TRIM(PROPER(Tabla_auditoría[[#This Row],[Dispositivo]]))</f>
        <v>Tablet</v>
      </c>
      <c r="R216" t="str">
        <f>TRIM(PROPER(Tabla_auditoría[[#This Row],[Tipo_Campaña]]))</f>
        <v>Reconocimiento</v>
      </c>
      <c r="S216" t="str">
        <f>TRIM(PROPER(Tabla_auditoría[[#This Row],[Responsable]]))</f>
        <v>Marta López</v>
      </c>
    </row>
    <row r="217" spans="1:19" x14ac:dyDescent="0.3">
      <c r="A217" s="1">
        <v>45973</v>
      </c>
      <c r="B217" s="2" t="s">
        <v>2544</v>
      </c>
      <c r="C217" s="2" t="s">
        <v>2543</v>
      </c>
      <c r="D217" s="2" t="s">
        <v>2531</v>
      </c>
      <c r="E217" s="2" t="s">
        <v>2517</v>
      </c>
      <c r="F217" s="3">
        <v>149825</v>
      </c>
      <c r="G217" s="3">
        <v>10305</v>
      </c>
      <c r="H217" s="3">
        <v>129</v>
      </c>
      <c r="I217" s="4">
        <v>8002.67</v>
      </c>
      <c r="J217" s="4">
        <v>26250.15</v>
      </c>
      <c r="K217" s="3">
        <v>81</v>
      </c>
      <c r="L217" s="2" t="s">
        <v>2523</v>
      </c>
      <c r="M217" s="2" t="s">
        <v>2519</v>
      </c>
      <c r="N217" t="str">
        <f>TRIM(PROPER(Tabla_auditoría[[#This Row],[ID_Campaña]]))</f>
        <v>Cmp-006</v>
      </c>
      <c r="O217" t="str">
        <f>TRIM(PROPER(Tabla_auditoría[[#This Row],[Canal]]))</f>
        <v>Organic Social</v>
      </c>
      <c r="P217" t="str">
        <f>TRIM(PROPER(Tabla_auditoría[[#This Row],[País]]))</f>
        <v>Portugal</v>
      </c>
      <c r="Q217" t="str">
        <f>TRIM(PROPER(Tabla_auditoría[[#This Row],[Dispositivo]]))</f>
        <v>Desktop</v>
      </c>
      <c r="R217" t="str">
        <f>TRIM(PROPER(Tabla_auditoría[[#This Row],[Tipo_Campaña]]))</f>
        <v>Retención</v>
      </c>
      <c r="S217" t="str">
        <f>TRIM(PROPER(Tabla_auditoría[[#This Row],[Responsable]]))</f>
        <v>Carlos Ruiz</v>
      </c>
    </row>
    <row r="218" spans="1:19" x14ac:dyDescent="0.3">
      <c r="A218" s="1">
        <v>45675</v>
      </c>
      <c r="B218" s="2" t="s">
        <v>2552</v>
      </c>
      <c r="C218" s="2" t="s">
        <v>2541</v>
      </c>
      <c r="D218" s="2" t="s">
        <v>2525</v>
      </c>
      <c r="E218" s="2" t="s">
        <v>2529</v>
      </c>
      <c r="F218" s="3">
        <v>173964</v>
      </c>
      <c r="G218" s="3">
        <v>1011</v>
      </c>
      <c r="H218" s="3">
        <v>27</v>
      </c>
      <c r="I218" s="4">
        <v>488.79</v>
      </c>
      <c r="J218" s="4">
        <v>1056.6300000000001</v>
      </c>
      <c r="K218" s="3">
        <v>18</v>
      </c>
      <c r="L218" s="2" t="s">
        <v>2518</v>
      </c>
      <c r="M218" s="2" t="s">
        <v>2526</v>
      </c>
      <c r="N218" t="str">
        <f>TRIM(PROPER(Tabla_auditoría[[#This Row],[ID_Campaña]]))</f>
        <v>Cmp-012</v>
      </c>
      <c r="O218" t="str">
        <f>TRIM(PROPER(Tabla_auditoría[[#This Row],[Canal]]))</f>
        <v>Display</v>
      </c>
      <c r="P218" t="str">
        <f>TRIM(PROPER(Tabla_auditoría[[#This Row],[País]]))</f>
        <v>Francia</v>
      </c>
      <c r="Q218" t="str">
        <f>TRIM(PROPER(Tabla_auditoría[[#This Row],[Dispositivo]]))</f>
        <v>Mobile</v>
      </c>
      <c r="R218" t="str">
        <f>TRIM(PROPER(Tabla_auditoría[[#This Row],[Tipo_Campaña]]))</f>
        <v>Adquisición</v>
      </c>
      <c r="S218" t="str">
        <f>TRIM(PROPER(Tabla_auditoría[[#This Row],[Responsable]]))</f>
        <v>Laura Pérez</v>
      </c>
    </row>
    <row r="219" spans="1:19" x14ac:dyDescent="0.3">
      <c r="A219" s="1">
        <v>45837</v>
      </c>
      <c r="B219" s="2" t="s">
        <v>2571</v>
      </c>
      <c r="C219" s="2" t="s">
        <v>2521</v>
      </c>
      <c r="D219" s="2" t="s">
        <v>2516</v>
      </c>
      <c r="E219" s="2" t="s">
        <v>2517</v>
      </c>
      <c r="F219" s="3">
        <v>65653</v>
      </c>
      <c r="G219" s="3">
        <v>1899</v>
      </c>
      <c r="H219" s="3">
        <v>84</v>
      </c>
      <c r="I219" s="4">
        <v>3409.3</v>
      </c>
      <c r="J219" s="4">
        <v>9517.7199999999993</v>
      </c>
      <c r="K219" s="3">
        <v>62</v>
      </c>
      <c r="L219" s="2" t="s">
        <v>2518</v>
      </c>
      <c r="M219" s="2" t="s">
        <v>2519</v>
      </c>
      <c r="N219" t="str">
        <f>TRIM(PROPER(Tabla_auditoría[[#This Row],[ID_Campaña]]))</f>
        <v>Cmp-029</v>
      </c>
      <c r="O219" t="str">
        <f>TRIM(PROPER(Tabla_auditoría[[#This Row],[Canal]]))</f>
        <v>Paid Search</v>
      </c>
      <c r="P219" t="str">
        <f>TRIM(PROPER(Tabla_auditoría[[#This Row],[País]]))</f>
        <v>México</v>
      </c>
      <c r="Q219" t="str">
        <f>TRIM(PROPER(Tabla_auditoría[[#This Row],[Dispositivo]]))</f>
        <v>Desktop</v>
      </c>
      <c r="R219" t="str">
        <f>TRIM(PROPER(Tabla_auditoría[[#This Row],[Tipo_Campaña]]))</f>
        <v>Adquisición</v>
      </c>
      <c r="S219" t="str">
        <f>TRIM(PROPER(Tabla_auditoría[[#This Row],[Responsable]]))</f>
        <v>Carlos Ruiz</v>
      </c>
    </row>
    <row r="220" spans="1:19" x14ac:dyDescent="0.3">
      <c r="A220" s="1">
        <v>45696</v>
      </c>
      <c r="B220" s="2" t="s">
        <v>2565</v>
      </c>
      <c r="C220" s="2" t="s">
        <v>2515</v>
      </c>
      <c r="D220" s="2" t="s">
        <v>2528</v>
      </c>
      <c r="E220" s="2" t="s">
        <v>2529</v>
      </c>
      <c r="F220" s="3">
        <v>142845</v>
      </c>
      <c r="G220" s="3">
        <v>973</v>
      </c>
      <c r="H220" s="3">
        <v>105</v>
      </c>
      <c r="I220" s="4">
        <v>294.36</v>
      </c>
      <c r="J220" s="4">
        <v>12444.54</v>
      </c>
      <c r="K220" s="3">
        <v>72</v>
      </c>
      <c r="L220" s="2" t="s">
        <v>2536</v>
      </c>
      <c r="M220" s="2" t="s">
        <v>2524</v>
      </c>
      <c r="N220" t="str">
        <f>TRIM(PROPER(Tabla_auditoría[[#This Row],[ID_Campaña]]))</f>
        <v>Cmp-005</v>
      </c>
      <c r="O220" t="str">
        <f>TRIM(PROPER(Tabla_auditoría[[#This Row],[Canal]]))</f>
        <v>Email</v>
      </c>
      <c r="P220" t="str">
        <f>TRIM(PROPER(Tabla_auditoría[[#This Row],[País]]))</f>
        <v>España</v>
      </c>
      <c r="Q220" t="str">
        <f>TRIM(PROPER(Tabla_auditoría[[#This Row],[Dispositivo]]))</f>
        <v>Mobile</v>
      </c>
      <c r="R220" t="str">
        <f>TRIM(PROPER(Tabla_auditoría[[#This Row],[Tipo_Campaña]]))</f>
        <v>Reconocimiento</v>
      </c>
      <c r="S220" t="str">
        <f>TRIM(PROPER(Tabla_auditoría[[#This Row],[Responsable]]))</f>
        <v>Luis Martín</v>
      </c>
    </row>
    <row r="221" spans="1:19" x14ac:dyDescent="0.3">
      <c r="A221" s="1">
        <v>45908</v>
      </c>
      <c r="B221" s="2" t="s">
        <v>2538</v>
      </c>
      <c r="C221" s="2" t="s">
        <v>2527</v>
      </c>
      <c r="D221" s="2" t="s">
        <v>2528</v>
      </c>
      <c r="E221" s="2" t="s">
        <v>2529</v>
      </c>
      <c r="F221" s="3">
        <v>56509</v>
      </c>
      <c r="G221" s="3">
        <v>2680</v>
      </c>
      <c r="H221" s="3">
        <v>36</v>
      </c>
      <c r="I221" s="4">
        <v>365.91</v>
      </c>
      <c r="J221" s="4">
        <v>6581.37</v>
      </c>
      <c r="K221" s="3">
        <v>18</v>
      </c>
      <c r="L221" s="2" t="s">
        <v>2518</v>
      </c>
      <c r="M221" s="2" t="s">
        <v>2524</v>
      </c>
      <c r="N221" t="str">
        <f>TRIM(PROPER(Tabla_auditoría[[#This Row],[ID_Campaña]]))</f>
        <v>Cmp-004</v>
      </c>
      <c r="O221" t="str">
        <f>TRIM(PROPER(Tabla_auditoría[[#This Row],[Canal]]))</f>
        <v>Affiliate</v>
      </c>
      <c r="P221" t="str">
        <f>TRIM(PROPER(Tabla_auditoría[[#This Row],[País]]))</f>
        <v>España</v>
      </c>
      <c r="Q221" t="str">
        <f>TRIM(PROPER(Tabla_auditoría[[#This Row],[Dispositivo]]))</f>
        <v>Mobile</v>
      </c>
      <c r="R221" t="str">
        <f>TRIM(PROPER(Tabla_auditoría[[#This Row],[Tipo_Campaña]]))</f>
        <v>Adquisición</v>
      </c>
      <c r="S221" t="str">
        <f>TRIM(PROPER(Tabla_auditoría[[#This Row],[Responsable]]))</f>
        <v>Luis Martín</v>
      </c>
    </row>
    <row r="222" spans="1:19" x14ac:dyDescent="0.3">
      <c r="A222" s="1">
        <v>45767</v>
      </c>
      <c r="B222" s="2" t="s">
        <v>2568</v>
      </c>
      <c r="C222" s="2" t="s">
        <v>2527</v>
      </c>
      <c r="D222" s="2" t="s">
        <v>2522</v>
      </c>
      <c r="E222" s="2" t="s">
        <v>2529</v>
      </c>
      <c r="F222" s="3">
        <v>123953</v>
      </c>
      <c r="G222" s="3">
        <v>5037</v>
      </c>
      <c r="H222" s="3">
        <v>123</v>
      </c>
      <c r="I222" s="4">
        <v>3732.75</v>
      </c>
      <c r="J222" s="4">
        <v>9020.39</v>
      </c>
      <c r="K222" s="3">
        <v>86</v>
      </c>
      <c r="L222" s="2" t="s">
        <v>2523</v>
      </c>
      <c r="M222" s="2" t="s">
        <v>2537</v>
      </c>
      <c r="N222" t="str">
        <f>TRIM(PROPER(Tabla_auditoría[[#This Row],[ID_Campaña]]))</f>
        <v>Cmp-020</v>
      </c>
      <c r="O222" t="str">
        <f>TRIM(PROPER(Tabla_auditoría[[#This Row],[Canal]]))</f>
        <v>Affiliate</v>
      </c>
      <c r="P222" t="str">
        <f>TRIM(PROPER(Tabla_auditoría[[#This Row],[País]]))</f>
        <v>Italia</v>
      </c>
      <c r="Q222" t="str">
        <f>TRIM(PROPER(Tabla_auditoría[[#This Row],[Dispositivo]]))</f>
        <v>Mobile</v>
      </c>
      <c r="R222" t="str">
        <f>TRIM(PROPER(Tabla_auditoría[[#This Row],[Tipo_Campaña]]))</f>
        <v>Retención</v>
      </c>
      <c r="S222" t="str">
        <f>TRIM(PROPER(Tabla_auditoría[[#This Row],[Responsable]]))</f>
        <v>Marta López</v>
      </c>
    </row>
    <row r="223" spans="1:19" x14ac:dyDescent="0.3">
      <c r="A223" s="1">
        <v>45820</v>
      </c>
      <c r="B223" s="2" t="s">
        <v>2567</v>
      </c>
      <c r="C223" s="2" t="s">
        <v>2515</v>
      </c>
      <c r="D223" s="2" t="s">
        <v>2528</v>
      </c>
      <c r="E223" s="2" t="s">
        <v>2529</v>
      </c>
      <c r="F223" s="3">
        <v>57863</v>
      </c>
      <c r="G223" s="3">
        <v>3291</v>
      </c>
      <c r="H223" s="3">
        <v>204</v>
      </c>
      <c r="I223" s="4">
        <v>1506.27</v>
      </c>
      <c r="J223" s="4">
        <v>4955.18</v>
      </c>
      <c r="K223" s="3">
        <v>166</v>
      </c>
      <c r="L223" s="2" t="s">
        <v>2539</v>
      </c>
      <c r="M223" s="2" t="s">
        <v>2537</v>
      </c>
      <c r="N223" t="str">
        <f>TRIM(PROPER(Tabla_auditoría[[#This Row],[ID_Campaña]]))</f>
        <v>Cmp-021</v>
      </c>
      <c r="O223" t="str">
        <f>TRIM(PROPER(Tabla_auditoría[[#This Row],[Canal]]))</f>
        <v>Email</v>
      </c>
      <c r="P223" t="str">
        <f>TRIM(PROPER(Tabla_auditoría[[#This Row],[País]]))</f>
        <v>España</v>
      </c>
      <c r="Q223" t="str">
        <f>TRIM(PROPER(Tabla_auditoría[[#This Row],[Dispositivo]]))</f>
        <v>Mobile</v>
      </c>
      <c r="R223" t="str">
        <f>TRIM(PROPER(Tabla_auditoría[[#This Row],[Tipo_Campaña]]))</f>
        <v>Conversión</v>
      </c>
      <c r="S223" t="str">
        <f>TRIM(PROPER(Tabla_auditoría[[#This Row],[Responsable]]))</f>
        <v>Marta López</v>
      </c>
    </row>
    <row r="224" spans="1:19" x14ac:dyDescent="0.3">
      <c r="A224" s="1">
        <v>45939</v>
      </c>
      <c r="B224" s="2" t="s">
        <v>2551</v>
      </c>
      <c r="C224" s="2" t="s">
        <v>2543</v>
      </c>
      <c r="D224" s="2" t="s">
        <v>2528</v>
      </c>
      <c r="E224" s="2" t="s">
        <v>2529</v>
      </c>
      <c r="F224" s="3">
        <v>29715</v>
      </c>
      <c r="G224" s="3">
        <v>2249</v>
      </c>
      <c r="H224" s="3">
        <v>89</v>
      </c>
      <c r="I224" s="4">
        <v>1855.71</v>
      </c>
      <c r="J224" s="4">
        <v>14720.55</v>
      </c>
      <c r="K224" s="3">
        <v>79</v>
      </c>
      <c r="L224" s="2" t="s">
        <v>2518</v>
      </c>
      <c r="M224" s="2" t="s">
        <v>2526</v>
      </c>
      <c r="N224" t="str">
        <f>TRIM(PROPER(Tabla_auditoría[[#This Row],[ID_Campaña]]))</f>
        <v>Cmp-028</v>
      </c>
      <c r="O224" t="str">
        <f>TRIM(PROPER(Tabla_auditoría[[#This Row],[Canal]]))</f>
        <v>Organic Social</v>
      </c>
      <c r="P224" t="str">
        <f>TRIM(PROPER(Tabla_auditoría[[#This Row],[País]]))</f>
        <v>España</v>
      </c>
      <c r="Q224" t="str">
        <f>TRIM(PROPER(Tabla_auditoría[[#This Row],[Dispositivo]]))</f>
        <v>Mobile</v>
      </c>
      <c r="R224" t="str">
        <f>TRIM(PROPER(Tabla_auditoría[[#This Row],[Tipo_Campaña]]))</f>
        <v>Adquisición</v>
      </c>
      <c r="S224" t="str">
        <f>TRIM(PROPER(Tabla_auditoría[[#This Row],[Responsable]]))</f>
        <v>Laura Pérez</v>
      </c>
    </row>
    <row r="225" spans="1:19" x14ac:dyDescent="0.3">
      <c r="A225" s="1">
        <v>45953</v>
      </c>
      <c r="B225" s="2" t="s">
        <v>2545</v>
      </c>
      <c r="C225" s="2" t="s">
        <v>2521</v>
      </c>
      <c r="D225" s="2" t="s">
        <v>2531</v>
      </c>
      <c r="E225" s="2" t="s">
        <v>2529</v>
      </c>
      <c r="F225" s="3">
        <v>36403</v>
      </c>
      <c r="G225" s="3">
        <v>350</v>
      </c>
      <c r="H225" s="3">
        <v>43</v>
      </c>
      <c r="I225" s="4">
        <v>570.22</v>
      </c>
      <c r="J225" s="4">
        <v>5881.42</v>
      </c>
      <c r="K225" s="3">
        <v>33</v>
      </c>
      <c r="L225" s="2" t="s">
        <v>2539</v>
      </c>
      <c r="M225" s="2" t="s">
        <v>2537</v>
      </c>
      <c r="N225" t="str">
        <f>TRIM(PROPER(Tabla_auditoría[[#This Row],[ID_Campaña]]))</f>
        <v>Cmp-011</v>
      </c>
      <c r="O225" t="str">
        <f>TRIM(PROPER(Tabla_auditoría[[#This Row],[Canal]]))</f>
        <v>Paid Search</v>
      </c>
      <c r="P225" t="str">
        <f>TRIM(PROPER(Tabla_auditoría[[#This Row],[País]]))</f>
        <v>Portugal</v>
      </c>
      <c r="Q225" t="str">
        <f>TRIM(PROPER(Tabla_auditoría[[#This Row],[Dispositivo]]))</f>
        <v>Mobile</v>
      </c>
      <c r="R225" t="str">
        <f>TRIM(PROPER(Tabla_auditoría[[#This Row],[Tipo_Campaña]]))</f>
        <v>Conversión</v>
      </c>
      <c r="S225" t="str">
        <f>TRIM(PROPER(Tabla_auditoría[[#This Row],[Responsable]]))</f>
        <v>Marta López</v>
      </c>
    </row>
    <row r="226" spans="1:19" x14ac:dyDescent="0.3">
      <c r="A226" s="1">
        <v>45882</v>
      </c>
      <c r="B226" s="2" t="s">
        <v>2545</v>
      </c>
      <c r="C226" s="2" t="s">
        <v>2515</v>
      </c>
      <c r="D226" s="2" t="s">
        <v>2528</v>
      </c>
      <c r="E226" s="2" t="s">
        <v>2517</v>
      </c>
      <c r="F226" s="3">
        <v>119718</v>
      </c>
      <c r="G226" s="3">
        <v>9551</v>
      </c>
      <c r="H226" s="3">
        <v>804</v>
      </c>
      <c r="I226" s="4">
        <v>9584.7800000000007</v>
      </c>
      <c r="J226" s="4">
        <v>90520.69</v>
      </c>
      <c r="K226" s="3">
        <v>548</v>
      </c>
      <c r="L226" s="2" t="s">
        <v>2523</v>
      </c>
      <c r="M226" s="2" t="s">
        <v>2519</v>
      </c>
      <c r="N226" t="str">
        <f>TRIM(PROPER(Tabla_auditoría[[#This Row],[ID_Campaña]]))</f>
        <v>Cmp-011</v>
      </c>
      <c r="O226" t="str">
        <f>TRIM(PROPER(Tabla_auditoría[[#This Row],[Canal]]))</f>
        <v>Email</v>
      </c>
      <c r="P226" t="str">
        <f>TRIM(PROPER(Tabla_auditoría[[#This Row],[País]]))</f>
        <v>España</v>
      </c>
      <c r="Q226" t="str">
        <f>TRIM(PROPER(Tabla_auditoría[[#This Row],[Dispositivo]]))</f>
        <v>Desktop</v>
      </c>
      <c r="R226" t="str">
        <f>TRIM(PROPER(Tabla_auditoría[[#This Row],[Tipo_Campaña]]))</f>
        <v>Retención</v>
      </c>
      <c r="S226" t="str">
        <f>TRIM(PROPER(Tabla_auditoría[[#This Row],[Responsable]]))</f>
        <v>Carlos Ruiz</v>
      </c>
    </row>
    <row r="227" spans="1:19" x14ac:dyDescent="0.3">
      <c r="A227" s="1">
        <v>45738</v>
      </c>
      <c r="B227" s="2" t="s">
        <v>2569</v>
      </c>
      <c r="C227" s="2" t="s">
        <v>2515</v>
      </c>
      <c r="D227" s="2" t="s">
        <v>2522</v>
      </c>
      <c r="E227" s="2" t="s">
        <v>2529</v>
      </c>
      <c r="F227" s="3">
        <v>48427</v>
      </c>
      <c r="G227" s="3">
        <v>1976</v>
      </c>
      <c r="H227" s="3">
        <v>110</v>
      </c>
      <c r="I227" s="4">
        <v>2829.49</v>
      </c>
      <c r="J227" s="4">
        <v>21159.55</v>
      </c>
      <c r="K227" s="3">
        <v>62</v>
      </c>
      <c r="L227" s="2" t="s">
        <v>2523</v>
      </c>
      <c r="M227" s="2" t="s">
        <v>2524</v>
      </c>
      <c r="N227" t="str">
        <f>TRIM(PROPER(Tabla_auditoría[[#This Row],[ID_Campaña]]))</f>
        <v>Cmp-013</v>
      </c>
      <c r="O227" t="str">
        <f>TRIM(PROPER(Tabla_auditoría[[#This Row],[Canal]]))</f>
        <v>Email</v>
      </c>
      <c r="P227" t="str">
        <f>TRIM(PROPER(Tabla_auditoría[[#This Row],[País]]))</f>
        <v>Italia</v>
      </c>
      <c r="Q227" t="str">
        <f>TRIM(PROPER(Tabla_auditoría[[#This Row],[Dispositivo]]))</f>
        <v>Mobile</v>
      </c>
      <c r="R227" t="str">
        <f>TRIM(PROPER(Tabla_auditoría[[#This Row],[Tipo_Campaña]]))</f>
        <v>Retención</v>
      </c>
      <c r="S227" t="str">
        <f>TRIM(PROPER(Tabla_auditoría[[#This Row],[Responsable]]))</f>
        <v>Luis Martín</v>
      </c>
    </row>
    <row r="228" spans="1:19" x14ac:dyDescent="0.3">
      <c r="A228" s="1">
        <v>45997</v>
      </c>
      <c r="B228" s="2" t="s">
        <v>2563</v>
      </c>
      <c r="C228" s="2" t="s">
        <v>2527</v>
      </c>
      <c r="D228" s="2" t="s">
        <v>2528</v>
      </c>
      <c r="E228" s="2" t="s">
        <v>2529</v>
      </c>
      <c r="F228" s="3">
        <v>171020</v>
      </c>
      <c r="G228" s="3">
        <v>8884</v>
      </c>
      <c r="H228" s="3">
        <v>662</v>
      </c>
      <c r="I228" s="4">
        <v>17801.39</v>
      </c>
      <c r="J228" s="4">
        <v>80424.039999999994</v>
      </c>
      <c r="K228" s="3">
        <v>303</v>
      </c>
      <c r="L228" s="2" t="s">
        <v>2536</v>
      </c>
      <c r="N228" t="str">
        <f>TRIM(PROPER(Tabla_auditoría[[#This Row],[ID_Campaña]]))</f>
        <v>Cmp-023</v>
      </c>
      <c r="O228" t="str">
        <f>TRIM(PROPER(Tabla_auditoría[[#This Row],[Canal]]))</f>
        <v>Affiliate</v>
      </c>
      <c r="P228" t="str">
        <f>TRIM(PROPER(Tabla_auditoría[[#This Row],[País]]))</f>
        <v>España</v>
      </c>
      <c r="Q228" t="str">
        <f>TRIM(PROPER(Tabla_auditoría[[#This Row],[Dispositivo]]))</f>
        <v>Mobile</v>
      </c>
      <c r="R228" t="str">
        <f>TRIM(PROPER(Tabla_auditoría[[#This Row],[Tipo_Campaña]]))</f>
        <v>Reconocimiento</v>
      </c>
      <c r="S228" t="str">
        <f>TRIM(PROPER(Tabla_auditoría[[#This Row],[Responsable]]))</f>
        <v/>
      </c>
    </row>
    <row r="229" spans="1:19" x14ac:dyDescent="0.3">
      <c r="A229" s="1">
        <v>46003</v>
      </c>
      <c r="B229" s="2" t="s">
        <v>2555</v>
      </c>
      <c r="C229" s="2" t="s">
        <v>2521</v>
      </c>
      <c r="D229" s="2" t="s">
        <v>2522</v>
      </c>
      <c r="E229" s="2" t="s">
        <v>2517</v>
      </c>
      <c r="F229" s="3">
        <v>57275</v>
      </c>
      <c r="G229" s="3">
        <v>258</v>
      </c>
      <c r="H229" s="3">
        <v>31</v>
      </c>
      <c r="I229" s="4">
        <v>203.76</v>
      </c>
      <c r="J229" s="4">
        <v>6572.26</v>
      </c>
      <c r="K229" s="3">
        <v>17</v>
      </c>
      <c r="L229" s="2" t="s">
        <v>2523</v>
      </c>
      <c r="M229" s="2" t="s">
        <v>2519</v>
      </c>
      <c r="N229" t="str">
        <f>TRIM(PROPER(Tabla_auditoría[[#This Row],[ID_Campaña]]))</f>
        <v>Cmp-010</v>
      </c>
      <c r="O229" t="str">
        <f>TRIM(PROPER(Tabla_auditoría[[#This Row],[Canal]]))</f>
        <v>Paid Search</v>
      </c>
      <c r="P229" t="str">
        <f>TRIM(PROPER(Tabla_auditoría[[#This Row],[País]]))</f>
        <v>Italia</v>
      </c>
      <c r="Q229" t="str">
        <f>TRIM(PROPER(Tabla_auditoría[[#This Row],[Dispositivo]]))</f>
        <v>Desktop</v>
      </c>
      <c r="R229" t="str">
        <f>TRIM(PROPER(Tabla_auditoría[[#This Row],[Tipo_Campaña]]))</f>
        <v>Retención</v>
      </c>
      <c r="S229" t="str">
        <f>TRIM(PROPER(Tabla_auditoría[[#This Row],[Responsable]]))</f>
        <v>Carlos Ruiz</v>
      </c>
    </row>
    <row r="230" spans="1:19" x14ac:dyDescent="0.3">
      <c r="A230" s="1">
        <v>45769</v>
      </c>
      <c r="B230" s="2" t="s">
        <v>2532</v>
      </c>
      <c r="C230" s="2" t="s">
        <v>2541</v>
      </c>
      <c r="D230" s="2" t="s">
        <v>2525</v>
      </c>
      <c r="E230" s="2" t="s">
        <v>2534</v>
      </c>
      <c r="F230" s="3">
        <v>179090</v>
      </c>
      <c r="G230" s="3">
        <v>3073</v>
      </c>
      <c r="H230" s="3">
        <v>427</v>
      </c>
      <c r="I230" s="4">
        <v>6449.94</v>
      </c>
      <c r="J230" s="4">
        <v>27932.82</v>
      </c>
      <c r="K230" s="3">
        <v>363</v>
      </c>
      <c r="L230" s="2" t="s">
        <v>2518</v>
      </c>
      <c r="M230" s="2" t="s">
        <v>2546</v>
      </c>
      <c r="N230" t="str">
        <f>TRIM(PROPER(Tabla_auditoría[[#This Row],[ID_Campaña]]))</f>
        <v>Cmp-022</v>
      </c>
      <c r="O230" t="str">
        <f>TRIM(PROPER(Tabla_auditoría[[#This Row],[Canal]]))</f>
        <v>Display</v>
      </c>
      <c r="P230" t="str">
        <f>TRIM(PROPER(Tabla_auditoría[[#This Row],[País]]))</f>
        <v>Francia</v>
      </c>
      <c r="Q230" t="str">
        <f>TRIM(PROPER(Tabla_auditoría[[#This Row],[Dispositivo]]))</f>
        <v>Tablet</v>
      </c>
      <c r="R230" t="str">
        <f>TRIM(PROPER(Tabla_auditoría[[#This Row],[Tipo_Campaña]]))</f>
        <v>Adquisición</v>
      </c>
      <c r="S230" t="str">
        <f>TRIM(PROPER(Tabla_auditoría[[#This Row],[Responsable]]))</f>
        <v>Ana García</v>
      </c>
    </row>
    <row r="231" spans="1:19" x14ac:dyDescent="0.3">
      <c r="A231" s="1">
        <v>45988</v>
      </c>
      <c r="B231" s="2" t="s">
        <v>2554</v>
      </c>
      <c r="C231" s="2" t="s">
        <v>2515</v>
      </c>
      <c r="D231" s="2" t="s">
        <v>2525</v>
      </c>
      <c r="E231" s="2" t="s">
        <v>2517</v>
      </c>
      <c r="F231" s="3">
        <v>158182</v>
      </c>
      <c r="G231" s="3">
        <v>14182</v>
      </c>
      <c r="H231" s="3">
        <v>1715</v>
      </c>
      <c r="I231" s="4">
        <v>15077.58</v>
      </c>
      <c r="J231" s="4">
        <v>315910.33</v>
      </c>
      <c r="K231" s="3">
        <v>1019</v>
      </c>
      <c r="L231" s="2" t="s">
        <v>2518</v>
      </c>
      <c r="M231" s="2" t="s">
        <v>2546</v>
      </c>
      <c r="N231" t="str">
        <f>TRIM(PROPER(Tabla_auditoría[[#This Row],[ID_Campaña]]))</f>
        <v>Cmp-019</v>
      </c>
      <c r="O231" t="str">
        <f>TRIM(PROPER(Tabla_auditoría[[#This Row],[Canal]]))</f>
        <v>Email</v>
      </c>
      <c r="P231" t="str">
        <f>TRIM(PROPER(Tabla_auditoría[[#This Row],[País]]))</f>
        <v>Francia</v>
      </c>
      <c r="Q231" t="str">
        <f>TRIM(PROPER(Tabla_auditoría[[#This Row],[Dispositivo]]))</f>
        <v>Desktop</v>
      </c>
      <c r="R231" t="str">
        <f>TRIM(PROPER(Tabla_auditoría[[#This Row],[Tipo_Campaña]]))</f>
        <v>Adquisición</v>
      </c>
      <c r="S231" t="str">
        <f>TRIM(PROPER(Tabla_auditoría[[#This Row],[Responsable]]))</f>
        <v>Ana García</v>
      </c>
    </row>
    <row r="232" spans="1:19" x14ac:dyDescent="0.3">
      <c r="A232" s="1">
        <v>45727</v>
      </c>
      <c r="B232" s="2" t="s">
        <v>2532</v>
      </c>
      <c r="C232" s="2" t="s">
        <v>2533</v>
      </c>
      <c r="D232" s="2" t="s">
        <v>2522</v>
      </c>
      <c r="E232" s="2" t="s">
        <v>2529</v>
      </c>
      <c r="F232" s="3">
        <v>141359</v>
      </c>
      <c r="G232" s="3">
        <v>4614</v>
      </c>
      <c r="H232" s="3">
        <v>46</v>
      </c>
      <c r="I232" s="4">
        <v>6446.03</v>
      </c>
      <c r="J232" s="4">
        <v>3828.59</v>
      </c>
      <c r="K232" s="3">
        <v>25</v>
      </c>
      <c r="L232" s="2" t="s">
        <v>2539</v>
      </c>
      <c r="M232" s="2" t="s">
        <v>2537</v>
      </c>
      <c r="N232" t="str">
        <f>TRIM(PROPER(Tabla_auditoría[[#This Row],[ID_Campaña]]))</f>
        <v>Cmp-022</v>
      </c>
      <c r="O232" t="str">
        <f>TRIM(PROPER(Tabla_auditoría[[#This Row],[Canal]]))</f>
        <v>Paid Social</v>
      </c>
      <c r="P232" t="str">
        <f>TRIM(PROPER(Tabla_auditoría[[#This Row],[País]]))</f>
        <v>Italia</v>
      </c>
      <c r="Q232" t="str">
        <f>TRIM(PROPER(Tabla_auditoría[[#This Row],[Dispositivo]]))</f>
        <v>Mobile</v>
      </c>
      <c r="R232" t="str">
        <f>TRIM(PROPER(Tabla_auditoría[[#This Row],[Tipo_Campaña]]))</f>
        <v>Conversión</v>
      </c>
      <c r="S232" t="str">
        <f>TRIM(PROPER(Tabla_auditoría[[#This Row],[Responsable]]))</f>
        <v>Marta López</v>
      </c>
    </row>
    <row r="233" spans="1:19" x14ac:dyDescent="0.3">
      <c r="A233" s="1">
        <v>45772</v>
      </c>
      <c r="B233" s="2" t="s">
        <v>2552</v>
      </c>
      <c r="C233" s="2" t="s">
        <v>2527</v>
      </c>
      <c r="D233" s="2" t="s">
        <v>2531</v>
      </c>
      <c r="E233" s="2" t="s">
        <v>2529</v>
      </c>
      <c r="F233" s="3">
        <v>43152</v>
      </c>
      <c r="G233" s="3">
        <v>1650</v>
      </c>
      <c r="H233" s="3">
        <v>56</v>
      </c>
      <c r="I233" s="4">
        <v>2605.81</v>
      </c>
      <c r="J233" s="4">
        <v>10686.11</v>
      </c>
      <c r="K233" s="3">
        <v>27</v>
      </c>
      <c r="L233" s="2" t="s">
        <v>2536</v>
      </c>
      <c r="M233" s="2" t="s">
        <v>2519</v>
      </c>
      <c r="N233" t="str">
        <f>TRIM(PROPER(Tabla_auditoría[[#This Row],[ID_Campaña]]))</f>
        <v>Cmp-012</v>
      </c>
      <c r="O233" t="str">
        <f>TRIM(PROPER(Tabla_auditoría[[#This Row],[Canal]]))</f>
        <v>Affiliate</v>
      </c>
      <c r="P233" t="str">
        <f>TRIM(PROPER(Tabla_auditoría[[#This Row],[País]]))</f>
        <v>Portugal</v>
      </c>
      <c r="Q233" t="str">
        <f>TRIM(PROPER(Tabla_auditoría[[#This Row],[Dispositivo]]))</f>
        <v>Mobile</v>
      </c>
      <c r="R233" t="str">
        <f>TRIM(PROPER(Tabla_auditoría[[#This Row],[Tipo_Campaña]]))</f>
        <v>Reconocimiento</v>
      </c>
      <c r="S233" t="str">
        <f>TRIM(PROPER(Tabla_auditoría[[#This Row],[Responsable]]))</f>
        <v>Carlos Ruiz</v>
      </c>
    </row>
    <row r="234" spans="1:19" x14ac:dyDescent="0.3">
      <c r="A234" s="1">
        <v>45937</v>
      </c>
      <c r="B234" s="2" t="s">
        <v>2551</v>
      </c>
      <c r="C234" s="2" t="s">
        <v>2527</v>
      </c>
      <c r="D234" s="2" t="s">
        <v>2528</v>
      </c>
      <c r="E234" s="2" t="s">
        <v>2534</v>
      </c>
      <c r="F234" s="3">
        <v>169243</v>
      </c>
      <c r="G234" s="3">
        <v>14397</v>
      </c>
      <c r="H234" s="3">
        <v>230</v>
      </c>
      <c r="I234" s="4">
        <v>13347.12</v>
      </c>
      <c r="J234" s="4">
        <v>36945.81</v>
      </c>
      <c r="K234" s="3">
        <v>124</v>
      </c>
      <c r="L234" s="2" t="s">
        <v>2539</v>
      </c>
      <c r="M234" s="2" t="s">
        <v>2526</v>
      </c>
      <c r="N234" t="str">
        <f>TRIM(PROPER(Tabla_auditoría[[#This Row],[ID_Campaña]]))</f>
        <v>Cmp-028</v>
      </c>
      <c r="O234" t="str">
        <f>TRIM(PROPER(Tabla_auditoría[[#This Row],[Canal]]))</f>
        <v>Affiliate</v>
      </c>
      <c r="P234" t="str">
        <f>TRIM(PROPER(Tabla_auditoría[[#This Row],[País]]))</f>
        <v>España</v>
      </c>
      <c r="Q234" t="str">
        <f>TRIM(PROPER(Tabla_auditoría[[#This Row],[Dispositivo]]))</f>
        <v>Tablet</v>
      </c>
      <c r="R234" t="str">
        <f>TRIM(PROPER(Tabla_auditoría[[#This Row],[Tipo_Campaña]]))</f>
        <v>Conversión</v>
      </c>
      <c r="S234" t="str">
        <f>TRIM(PROPER(Tabla_auditoría[[#This Row],[Responsable]]))</f>
        <v>Laura Pérez</v>
      </c>
    </row>
    <row r="235" spans="1:19" x14ac:dyDescent="0.3">
      <c r="A235" s="1">
        <v>45969</v>
      </c>
      <c r="B235" s="2" t="s">
        <v>2551</v>
      </c>
      <c r="C235" s="2" t="s">
        <v>2533</v>
      </c>
      <c r="D235" s="2" t="s">
        <v>2528</v>
      </c>
      <c r="E235" s="2" t="s">
        <v>2517</v>
      </c>
      <c r="F235" s="3">
        <v>100766</v>
      </c>
      <c r="G235" s="3">
        <v>8268</v>
      </c>
      <c r="H235" s="3">
        <v>1128</v>
      </c>
      <c r="I235" s="4">
        <v>-6794.31</v>
      </c>
      <c r="J235" s="4">
        <v>181965.54</v>
      </c>
      <c r="K235" s="3">
        <v>562</v>
      </c>
      <c r="L235" s="2" t="s">
        <v>2536</v>
      </c>
      <c r="M235" s="2" t="s">
        <v>2524</v>
      </c>
      <c r="N235" t="str">
        <f>TRIM(PROPER(Tabla_auditoría[[#This Row],[ID_Campaña]]))</f>
        <v>Cmp-028</v>
      </c>
      <c r="O235" t="str">
        <f>TRIM(PROPER(Tabla_auditoría[[#This Row],[Canal]]))</f>
        <v>Paid Social</v>
      </c>
      <c r="P235" t="str">
        <f>TRIM(PROPER(Tabla_auditoría[[#This Row],[País]]))</f>
        <v>España</v>
      </c>
      <c r="Q235" t="str">
        <f>TRIM(PROPER(Tabla_auditoría[[#This Row],[Dispositivo]]))</f>
        <v>Desktop</v>
      </c>
      <c r="R235" t="str">
        <f>TRIM(PROPER(Tabla_auditoría[[#This Row],[Tipo_Campaña]]))</f>
        <v>Reconocimiento</v>
      </c>
      <c r="S235" t="str">
        <f>TRIM(PROPER(Tabla_auditoría[[#This Row],[Responsable]]))</f>
        <v>Luis Martín</v>
      </c>
    </row>
    <row r="236" spans="1:19" x14ac:dyDescent="0.3">
      <c r="A236" s="1">
        <v>45815</v>
      </c>
      <c r="B236" s="2" t="s">
        <v>2520</v>
      </c>
      <c r="C236" s="2" t="s">
        <v>2515</v>
      </c>
      <c r="D236" s="2" t="s">
        <v>2528</v>
      </c>
      <c r="E236" s="2" t="s">
        <v>2529</v>
      </c>
      <c r="F236" s="3">
        <v>144883</v>
      </c>
      <c r="G236" s="3">
        <v>1547</v>
      </c>
      <c r="H236" s="3">
        <v>181</v>
      </c>
      <c r="I236" s="4">
        <v>1961.74</v>
      </c>
      <c r="J236" s="4">
        <v>4464.3999999999996</v>
      </c>
      <c r="K236" s="3">
        <v>154</v>
      </c>
      <c r="L236" s="2" t="s">
        <v>2518</v>
      </c>
      <c r="M236" s="2" t="s">
        <v>2537</v>
      </c>
      <c r="N236" t="str">
        <f>TRIM(PROPER(Tabla_auditoría[[#This Row],[ID_Campaña]]))</f>
        <v>Cmp-009</v>
      </c>
      <c r="O236" t="str">
        <f>TRIM(PROPER(Tabla_auditoría[[#This Row],[Canal]]))</f>
        <v>Email</v>
      </c>
      <c r="P236" t="str">
        <f>TRIM(PROPER(Tabla_auditoría[[#This Row],[País]]))</f>
        <v>España</v>
      </c>
      <c r="Q236" t="str">
        <f>TRIM(PROPER(Tabla_auditoría[[#This Row],[Dispositivo]]))</f>
        <v>Mobile</v>
      </c>
      <c r="R236" t="str">
        <f>TRIM(PROPER(Tabla_auditoría[[#This Row],[Tipo_Campaña]]))</f>
        <v>Adquisición</v>
      </c>
      <c r="S236" t="str">
        <f>TRIM(PROPER(Tabla_auditoría[[#This Row],[Responsable]]))</f>
        <v>Marta López</v>
      </c>
    </row>
    <row r="237" spans="1:19" x14ac:dyDescent="0.3">
      <c r="A237" s="1">
        <v>45948</v>
      </c>
      <c r="B237" s="2" t="s">
        <v>2560</v>
      </c>
      <c r="C237" s="2" t="s">
        <v>2541</v>
      </c>
      <c r="D237" s="2" t="s">
        <v>2531</v>
      </c>
      <c r="E237" s="2" t="s">
        <v>2529</v>
      </c>
      <c r="F237" s="3">
        <v>25762</v>
      </c>
      <c r="G237" s="3">
        <v>254</v>
      </c>
      <c r="H237" s="3">
        <v>32</v>
      </c>
      <c r="I237" s="4">
        <v>113.98</v>
      </c>
      <c r="J237" s="4">
        <v>6748.92</v>
      </c>
      <c r="K237" s="3">
        <v>21</v>
      </c>
      <c r="L237" s="2" t="s">
        <v>2539</v>
      </c>
      <c r="M237" s="2" t="s">
        <v>2546</v>
      </c>
      <c r="N237" t="str">
        <f>TRIM(PROPER(Tabla_auditoría[[#This Row],[ID_Campaña]]))</f>
        <v>Cmp-027</v>
      </c>
      <c r="O237" t="str">
        <f>TRIM(PROPER(Tabla_auditoría[[#This Row],[Canal]]))</f>
        <v>Display</v>
      </c>
      <c r="P237" t="str">
        <f>TRIM(PROPER(Tabla_auditoría[[#This Row],[País]]))</f>
        <v>Portugal</v>
      </c>
      <c r="Q237" t="str">
        <f>TRIM(PROPER(Tabla_auditoría[[#This Row],[Dispositivo]]))</f>
        <v>Mobile</v>
      </c>
      <c r="R237" t="str">
        <f>TRIM(PROPER(Tabla_auditoría[[#This Row],[Tipo_Campaña]]))</f>
        <v>Conversión</v>
      </c>
      <c r="S237" t="str">
        <f>TRIM(PROPER(Tabla_auditoría[[#This Row],[Responsable]]))</f>
        <v>Ana García</v>
      </c>
    </row>
    <row r="238" spans="1:19" x14ac:dyDescent="0.3">
      <c r="A238" s="1">
        <v>45716</v>
      </c>
      <c r="B238" s="2" t="s">
        <v>2550</v>
      </c>
      <c r="C238" s="2" t="s">
        <v>2515</v>
      </c>
      <c r="D238" s="2" t="s">
        <v>2528</v>
      </c>
      <c r="E238" s="2" t="s">
        <v>2529</v>
      </c>
      <c r="F238" s="3">
        <v>162056</v>
      </c>
      <c r="G238" s="3">
        <v>4802</v>
      </c>
      <c r="H238" s="3">
        <v>403</v>
      </c>
      <c r="I238" s="4">
        <v>1479.31</v>
      </c>
      <c r="J238" s="4">
        <v>10907.97</v>
      </c>
      <c r="K238" s="3">
        <v>331</v>
      </c>
      <c r="L238" s="2" t="s">
        <v>2536</v>
      </c>
      <c r="M238" s="2" t="s">
        <v>2524</v>
      </c>
      <c r="N238" t="str">
        <f>TRIM(PROPER(Tabla_auditoría[[#This Row],[ID_Campaña]]))</f>
        <v>Cmp-008</v>
      </c>
      <c r="O238" t="str">
        <f>TRIM(PROPER(Tabla_auditoría[[#This Row],[Canal]]))</f>
        <v>Email</v>
      </c>
      <c r="P238" t="str">
        <f>TRIM(PROPER(Tabla_auditoría[[#This Row],[País]]))</f>
        <v>España</v>
      </c>
      <c r="Q238" t="str">
        <f>TRIM(PROPER(Tabla_auditoría[[#This Row],[Dispositivo]]))</f>
        <v>Mobile</v>
      </c>
      <c r="R238" t="str">
        <f>TRIM(PROPER(Tabla_auditoría[[#This Row],[Tipo_Campaña]]))</f>
        <v>Reconocimiento</v>
      </c>
      <c r="S238" t="str">
        <f>TRIM(PROPER(Tabla_auditoría[[#This Row],[Responsable]]))</f>
        <v>Luis Martín</v>
      </c>
    </row>
    <row r="239" spans="1:19" x14ac:dyDescent="0.3">
      <c r="A239" s="1">
        <v>45872</v>
      </c>
      <c r="B239" s="2" t="s">
        <v>2547</v>
      </c>
      <c r="C239" s="2" t="s">
        <v>2515</v>
      </c>
      <c r="D239" s="2" t="s">
        <v>2525</v>
      </c>
      <c r="E239" s="2" t="s">
        <v>2529</v>
      </c>
      <c r="F239" s="3">
        <v>82909</v>
      </c>
      <c r="G239" s="3">
        <v>3126</v>
      </c>
      <c r="H239" s="3">
        <v>241</v>
      </c>
      <c r="I239" s="4">
        <v>5614.73</v>
      </c>
      <c r="J239" s="4">
        <v>47297.66</v>
      </c>
      <c r="K239" s="3">
        <v>122</v>
      </c>
      <c r="L239" s="2" t="s">
        <v>2539</v>
      </c>
      <c r="M239" s="2" t="s">
        <v>2519</v>
      </c>
      <c r="N239" t="str">
        <f>TRIM(PROPER(Tabla_auditoría[[#This Row],[ID_Campaña]]))</f>
        <v>Cmp-018</v>
      </c>
      <c r="O239" t="str">
        <f>TRIM(PROPER(Tabla_auditoría[[#This Row],[Canal]]))</f>
        <v>Email</v>
      </c>
      <c r="P239" t="str">
        <f>TRIM(PROPER(Tabla_auditoría[[#This Row],[País]]))</f>
        <v>Francia</v>
      </c>
      <c r="Q239" t="str">
        <f>TRIM(PROPER(Tabla_auditoría[[#This Row],[Dispositivo]]))</f>
        <v>Mobile</v>
      </c>
      <c r="R239" t="str">
        <f>TRIM(PROPER(Tabla_auditoría[[#This Row],[Tipo_Campaña]]))</f>
        <v>Conversión</v>
      </c>
      <c r="S239" t="str">
        <f>TRIM(PROPER(Tabla_auditoría[[#This Row],[Responsable]]))</f>
        <v>Carlos Ruiz</v>
      </c>
    </row>
    <row r="240" spans="1:19" x14ac:dyDescent="0.3">
      <c r="A240" s="1">
        <v>45672</v>
      </c>
      <c r="B240" s="2" t="s">
        <v>2564</v>
      </c>
      <c r="C240" s="2" t="s">
        <v>2575</v>
      </c>
      <c r="D240" s="2" t="s">
        <v>2528</v>
      </c>
      <c r="E240" s="2" t="s">
        <v>2534</v>
      </c>
      <c r="F240" s="3">
        <v>4521</v>
      </c>
      <c r="G240" s="3">
        <v>190</v>
      </c>
      <c r="H240" s="3">
        <v>8</v>
      </c>
      <c r="I240" s="4">
        <v>24.97</v>
      </c>
      <c r="J240" s="4">
        <v>726.07</v>
      </c>
      <c r="K240" s="3">
        <v>4</v>
      </c>
      <c r="L240" s="2" t="s">
        <v>2518</v>
      </c>
      <c r="M240" s="2" t="s">
        <v>2526</v>
      </c>
      <c r="N240" t="str">
        <f>TRIM(PROPER(Tabla_auditoría[[#This Row],[ID_Campaña]]))</f>
        <v>Cmp-024</v>
      </c>
      <c r="O240" t="str">
        <f>TRIM(PROPER(Tabla_auditoría[[#This Row],[Canal]]))</f>
        <v>Paid Search</v>
      </c>
      <c r="P240" t="str">
        <f>TRIM(PROPER(Tabla_auditoría[[#This Row],[País]]))</f>
        <v>España</v>
      </c>
      <c r="Q240" t="str">
        <f>TRIM(PROPER(Tabla_auditoría[[#This Row],[Dispositivo]]))</f>
        <v>Tablet</v>
      </c>
      <c r="R240" t="str">
        <f>TRIM(PROPER(Tabla_auditoría[[#This Row],[Tipo_Campaña]]))</f>
        <v>Adquisición</v>
      </c>
      <c r="S240" t="str">
        <f>TRIM(PROPER(Tabla_auditoría[[#This Row],[Responsable]]))</f>
        <v>Laura Pérez</v>
      </c>
    </row>
    <row r="241" spans="1:19" x14ac:dyDescent="0.3">
      <c r="A241" s="1">
        <v>45970</v>
      </c>
      <c r="B241" s="2" t="s">
        <v>2578</v>
      </c>
      <c r="C241" s="2" t="s">
        <v>2515</v>
      </c>
      <c r="D241" s="2" t="s">
        <v>2528</v>
      </c>
      <c r="E241" s="2" t="s">
        <v>2517</v>
      </c>
      <c r="F241" s="3">
        <v>73351</v>
      </c>
      <c r="G241" s="3">
        <v>2461</v>
      </c>
      <c r="H241" s="3">
        <v>341</v>
      </c>
      <c r="I241" s="4">
        <v>563.62</v>
      </c>
      <c r="J241" s="4">
        <v>41037.68</v>
      </c>
      <c r="K241" s="3">
        <v>187</v>
      </c>
      <c r="L241" s="2" t="s">
        <v>2539</v>
      </c>
      <c r="M241" s="2" t="s">
        <v>2524</v>
      </c>
      <c r="N241" t="str">
        <f>TRIM(PROPER(Tabla_auditoría[[#This Row],[ID_Campaña]]))</f>
        <v>Cmp-020</v>
      </c>
      <c r="O241" t="str">
        <f>TRIM(PROPER(Tabla_auditoría[[#This Row],[Canal]]))</f>
        <v>Email</v>
      </c>
      <c r="P241" t="str">
        <f>TRIM(PROPER(Tabla_auditoría[[#This Row],[País]]))</f>
        <v>España</v>
      </c>
      <c r="Q241" t="str">
        <f>TRIM(PROPER(Tabla_auditoría[[#This Row],[Dispositivo]]))</f>
        <v>Desktop</v>
      </c>
      <c r="R241" t="str">
        <f>TRIM(PROPER(Tabla_auditoría[[#This Row],[Tipo_Campaña]]))</f>
        <v>Conversión</v>
      </c>
      <c r="S241" t="str">
        <f>TRIM(PROPER(Tabla_auditoría[[#This Row],[Responsable]]))</f>
        <v>Luis Martín</v>
      </c>
    </row>
    <row r="242" spans="1:19" x14ac:dyDescent="0.3">
      <c r="A242" s="1">
        <v>45695</v>
      </c>
      <c r="B242" s="2" t="s">
        <v>2568</v>
      </c>
      <c r="C242" s="2" t="s">
        <v>2527</v>
      </c>
      <c r="D242" s="2" t="s">
        <v>2531</v>
      </c>
      <c r="E242" s="2" t="s">
        <v>2529</v>
      </c>
      <c r="F242" s="3">
        <v>88432</v>
      </c>
      <c r="G242" s="3">
        <v>1168</v>
      </c>
      <c r="H242" s="3">
        <v>132</v>
      </c>
      <c r="I242" s="4">
        <v>1704.43</v>
      </c>
      <c r="J242" s="4">
        <v>8742.64</v>
      </c>
      <c r="K242" s="3">
        <v>102</v>
      </c>
      <c r="L242" s="2" t="s">
        <v>2523</v>
      </c>
      <c r="M242" s="2" t="s">
        <v>2546</v>
      </c>
      <c r="N242" t="str">
        <f>TRIM(PROPER(Tabla_auditoría[[#This Row],[ID_Campaña]]))</f>
        <v>Cmp-020</v>
      </c>
      <c r="O242" t="str">
        <f>TRIM(PROPER(Tabla_auditoría[[#This Row],[Canal]]))</f>
        <v>Affiliate</v>
      </c>
      <c r="P242" t="str">
        <f>TRIM(PROPER(Tabla_auditoría[[#This Row],[País]]))</f>
        <v>Portugal</v>
      </c>
      <c r="Q242" t="str">
        <f>TRIM(PROPER(Tabla_auditoría[[#This Row],[Dispositivo]]))</f>
        <v>Mobile</v>
      </c>
      <c r="R242" t="str">
        <f>TRIM(PROPER(Tabla_auditoría[[#This Row],[Tipo_Campaña]]))</f>
        <v>Retención</v>
      </c>
      <c r="S242" t="str">
        <f>TRIM(PROPER(Tabla_auditoría[[#This Row],[Responsable]]))</f>
        <v>Ana García</v>
      </c>
    </row>
    <row r="243" spans="1:19" x14ac:dyDescent="0.3">
      <c r="A243" s="1">
        <v>45666</v>
      </c>
      <c r="B243" s="2" t="s">
        <v>2563</v>
      </c>
      <c r="C243" s="2" t="s">
        <v>2543</v>
      </c>
      <c r="D243" s="2" t="s">
        <v>2528</v>
      </c>
      <c r="E243" s="2" t="s">
        <v>2529</v>
      </c>
      <c r="F243" s="3">
        <v>32995</v>
      </c>
      <c r="G243" s="3">
        <v>1206</v>
      </c>
      <c r="H243" s="3">
        <v>33</v>
      </c>
      <c r="I243" s="4">
        <v>466.06</v>
      </c>
      <c r="J243" s="4">
        <v>3024.19</v>
      </c>
      <c r="K243" s="3">
        <v>18</v>
      </c>
      <c r="L243" s="2" t="s">
        <v>2539</v>
      </c>
      <c r="M243" s="2" t="s">
        <v>2546</v>
      </c>
      <c r="N243" t="str">
        <f>TRIM(PROPER(Tabla_auditoría[[#This Row],[ID_Campaña]]))</f>
        <v>Cmp-023</v>
      </c>
      <c r="O243" t="str">
        <f>TRIM(PROPER(Tabla_auditoría[[#This Row],[Canal]]))</f>
        <v>Organic Social</v>
      </c>
      <c r="P243" t="str">
        <f>TRIM(PROPER(Tabla_auditoría[[#This Row],[País]]))</f>
        <v>España</v>
      </c>
      <c r="Q243" t="str">
        <f>TRIM(PROPER(Tabla_auditoría[[#This Row],[Dispositivo]]))</f>
        <v>Mobile</v>
      </c>
      <c r="R243" t="str">
        <f>TRIM(PROPER(Tabla_auditoría[[#This Row],[Tipo_Campaña]]))</f>
        <v>Conversión</v>
      </c>
      <c r="S243" t="str">
        <f>TRIM(PROPER(Tabla_auditoría[[#This Row],[Responsable]]))</f>
        <v>Ana García</v>
      </c>
    </row>
    <row r="244" spans="1:19" x14ac:dyDescent="0.3">
      <c r="A244" s="1">
        <v>45829</v>
      </c>
      <c r="B244" s="2" t="s">
        <v>2551</v>
      </c>
      <c r="C244" s="2" t="s">
        <v>2527</v>
      </c>
      <c r="D244" s="2" t="s">
        <v>2528</v>
      </c>
      <c r="E244" s="2" t="s">
        <v>2529</v>
      </c>
      <c r="F244" s="3">
        <v>126344</v>
      </c>
      <c r="G244" s="3">
        <v>1283</v>
      </c>
      <c r="H244" s="3">
        <v>94</v>
      </c>
      <c r="I244" s="4">
        <v>815.77</v>
      </c>
      <c r="J244" s="4">
        <v>15005.56</v>
      </c>
      <c r="K244" s="3">
        <v>56</v>
      </c>
      <c r="L244" s="2" t="s">
        <v>2523</v>
      </c>
      <c r="M244" s="2" t="s">
        <v>2537</v>
      </c>
      <c r="N244" t="str">
        <f>TRIM(PROPER(Tabla_auditoría[[#This Row],[ID_Campaña]]))</f>
        <v>Cmp-028</v>
      </c>
      <c r="O244" t="str">
        <f>TRIM(PROPER(Tabla_auditoría[[#This Row],[Canal]]))</f>
        <v>Affiliate</v>
      </c>
      <c r="P244" t="str">
        <f>TRIM(PROPER(Tabla_auditoría[[#This Row],[País]]))</f>
        <v>España</v>
      </c>
      <c r="Q244" t="str">
        <f>TRIM(PROPER(Tabla_auditoría[[#This Row],[Dispositivo]]))</f>
        <v>Mobile</v>
      </c>
      <c r="R244" t="str">
        <f>TRIM(PROPER(Tabla_auditoría[[#This Row],[Tipo_Campaña]]))</f>
        <v>Retención</v>
      </c>
      <c r="S244" t="str">
        <f>TRIM(PROPER(Tabla_auditoría[[#This Row],[Responsable]]))</f>
        <v>Marta López</v>
      </c>
    </row>
    <row r="245" spans="1:19" x14ac:dyDescent="0.3">
      <c r="A245" s="1">
        <v>45892</v>
      </c>
      <c r="B245" s="2" t="s">
        <v>2566</v>
      </c>
      <c r="C245" s="2" t="s">
        <v>2541</v>
      </c>
      <c r="D245" s="2" t="s">
        <v>2516</v>
      </c>
      <c r="E245" s="2" t="s">
        <v>2529</v>
      </c>
      <c r="F245" s="3">
        <v>87265</v>
      </c>
      <c r="G245" s="3">
        <v>2441</v>
      </c>
      <c r="H245" s="3">
        <v>40</v>
      </c>
      <c r="I245" s="4">
        <v>3749.31</v>
      </c>
      <c r="J245" s="4">
        <v>2624.65</v>
      </c>
      <c r="K245" s="3">
        <v>27</v>
      </c>
      <c r="L245" s="2" t="s">
        <v>2523</v>
      </c>
      <c r="M245" s="2" t="s">
        <v>2537</v>
      </c>
      <c r="N245" t="str">
        <f>TRIM(PROPER(Tabla_auditoría[[#This Row],[ID_Campaña]]))</f>
        <v>Cmp-001</v>
      </c>
      <c r="O245" t="str">
        <f>TRIM(PROPER(Tabla_auditoría[[#This Row],[Canal]]))</f>
        <v>Display</v>
      </c>
      <c r="P245" t="str">
        <f>TRIM(PROPER(Tabla_auditoría[[#This Row],[País]]))</f>
        <v>México</v>
      </c>
      <c r="Q245" t="str">
        <f>TRIM(PROPER(Tabla_auditoría[[#This Row],[Dispositivo]]))</f>
        <v>Mobile</v>
      </c>
      <c r="R245" t="str">
        <f>TRIM(PROPER(Tabla_auditoría[[#This Row],[Tipo_Campaña]]))</f>
        <v>Retención</v>
      </c>
      <c r="S245" t="str">
        <f>TRIM(PROPER(Tabla_auditoría[[#This Row],[Responsable]]))</f>
        <v>Marta López</v>
      </c>
    </row>
    <row r="246" spans="1:19" x14ac:dyDescent="0.3">
      <c r="A246" s="1">
        <v>45979</v>
      </c>
      <c r="B246" s="2" t="s">
        <v>2569</v>
      </c>
      <c r="C246" s="2" t="s">
        <v>2533</v>
      </c>
      <c r="D246" s="2" t="s">
        <v>2525</v>
      </c>
      <c r="E246" s="2" t="s">
        <v>2517</v>
      </c>
      <c r="F246" s="3">
        <v>96295</v>
      </c>
      <c r="G246" s="3">
        <v>1424</v>
      </c>
      <c r="H246" s="3">
        <v>81</v>
      </c>
      <c r="I246" s="4">
        <v>323.29000000000002</v>
      </c>
      <c r="J246" s="4">
        <v>16529.73</v>
      </c>
      <c r="K246" s="3">
        <v>39</v>
      </c>
      <c r="L246" s="2" t="s">
        <v>2518</v>
      </c>
      <c r="M246" s="2" t="s">
        <v>2546</v>
      </c>
      <c r="N246" t="str">
        <f>TRIM(PROPER(Tabla_auditoría[[#This Row],[ID_Campaña]]))</f>
        <v>Cmp-013</v>
      </c>
      <c r="O246" t="str">
        <f>TRIM(PROPER(Tabla_auditoría[[#This Row],[Canal]]))</f>
        <v>Paid Social</v>
      </c>
      <c r="P246" t="str">
        <f>TRIM(PROPER(Tabla_auditoría[[#This Row],[País]]))</f>
        <v>Francia</v>
      </c>
      <c r="Q246" t="str">
        <f>TRIM(PROPER(Tabla_auditoría[[#This Row],[Dispositivo]]))</f>
        <v>Desktop</v>
      </c>
      <c r="R246" t="str">
        <f>TRIM(PROPER(Tabla_auditoría[[#This Row],[Tipo_Campaña]]))</f>
        <v>Adquisición</v>
      </c>
      <c r="S246" t="str">
        <f>TRIM(PROPER(Tabla_auditoría[[#This Row],[Responsable]]))</f>
        <v>Ana García</v>
      </c>
    </row>
    <row r="247" spans="1:19" x14ac:dyDescent="0.3">
      <c r="A247" s="1">
        <v>45721</v>
      </c>
      <c r="B247" s="2" t="s">
        <v>2520</v>
      </c>
      <c r="C247" s="2" t="s">
        <v>2527</v>
      </c>
      <c r="D247" s="2" t="s">
        <v>2528</v>
      </c>
      <c r="E247" s="2" t="s">
        <v>2517</v>
      </c>
      <c r="F247" s="3">
        <v>43556</v>
      </c>
      <c r="G247" s="3">
        <v>2837</v>
      </c>
      <c r="H247" s="3">
        <v>206</v>
      </c>
      <c r="I247" s="4">
        <v>4174.68</v>
      </c>
      <c r="J247" s="4">
        <v>23271.79</v>
      </c>
      <c r="K247" s="3">
        <v>174</v>
      </c>
      <c r="L247" s="2" t="s">
        <v>2539</v>
      </c>
      <c r="M247" s="2" t="s">
        <v>2546</v>
      </c>
      <c r="N247" t="str">
        <f>TRIM(PROPER(Tabla_auditoría[[#This Row],[ID_Campaña]]))</f>
        <v>Cmp-009</v>
      </c>
      <c r="O247" t="str">
        <f>TRIM(PROPER(Tabla_auditoría[[#This Row],[Canal]]))</f>
        <v>Affiliate</v>
      </c>
      <c r="P247" t="str">
        <f>TRIM(PROPER(Tabla_auditoría[[#This Row],[País]]))</f>
        <v>España</v>
      </c>
      <c r="Q247" t="str">
        <f>TRIM(PROPER(Tabla_auditoría[[#This Row],[Dispositivo]]))</f>
        <v>Desktop</v>
      </c>
      <c r="R247" t="str">
        <f>TRIM(PROPER(Tabla_auditoría[[#This Row],[Tipo_Campaña]]))</f>
        <v>Conversión</v>
      </c>
      <c r="S247" t="str">
        <f>TRIM(PROPER(Tabla_auditoría[[#This Row],[Responsable]]))</f>
        <v>Ana García</v>
      </c>
    </row>
    <row r="248" spans="1:19" x14ac:dyDescent="0.3">
      <c r="A248" s="1">
        <v>45875</v>
      </c>
      <c r="B248" s="2" t="s">
        <v>2570</v>
      </c>
      <c r="C248" s="2" t="s">
        <v>2527</v>
      </c>
      <c r="D248" s="2" t="s">
        <v>2528</v>
      </c>
      <c r="E248" s="2" t="s">
        <v>2517</v>
      </c>
      <c r="F248" s="3">
        <v>42915</v>
      </c>
      <c r="G248" s="3">
        <v>2250</v>
      </c>
      <c r="H248" s="3">
        <v>58</v>
      </c>
      <c r="I248" s="4">
        <v>386.61</v>
      </c>
      <c r="J248" s="4">
        <v>12032.29</v>
      </c>
      <c r="K248" s="3">
        <v>44</v>
      </c>
      <c r="L248" s="2" t="s">
        <v>2536</v>
      </c>
      <c r="M248" s="2" t="s">
        <v>2537</v>
      </c>
      <c r="N248" t="str">
        <f>TRIM(PROPER(Tabla_auditoría[[#This Row],[ID_Campaña]]))</f>
        <v>Cmp-016</v>
      </c>
      <c r="O248" t="str">
        <f>TRIM(PROPER(Tabla_auditoría[[#This Row],[Canal]]))</f>
        <v>Affiliate</v>
      </c>
      <c r="P248" t="str">
        <f>TRIM(PROPER(Tabla_auditoría[[#This Row],[País]]))</f>
        <v>España</v>
      </c>
      <c r="Q248" t="str">
        <f>TRIM(PROPER(Tabla_auditoría[[#This Row],[Dispositivo]]))</f>
        <v>Desktop</v>
      </c>
      <c r="R248" t="str">
        <f>TRIM(PROPER(Tabla_auditoría[[#This Row],[Tipo_Campaña]]))</f>
        <v>Reconocimiento</v>
      </c>
      <c r="S248" t="str">
        <f>TRIM(PROPER(Tabla_auditoría[[#This Row],[Responsable]]))</f>
        <v>Marta López</v>
      </c>
    </row>
    <row r="249" spans="1:19" x14ac:dyDescent="0.3">
      <c r="A249" s="1">
        <v>45965</v>
      </c>
      <c r="B249" s="2" t="s">
        <v>2549</v>
      </c>
      <c r="C249" s="2" t="s">
        <v>2558</v>
      </c>
      <c r="D249" s="2" t="s">
        <v>2531</v>
      </c>
      <c r="E249" s="2" t="s">
        <v>2529</v>
      </c>
      <c r="F249" s="3">
        <v>175749</v>
      </c>
      <c r="G249" s="3">
        <v>1470</v>
      </c>
      <c r="H249" s="3">
        <v>166</v>
      </c>
      <c r="I249" s="4">
        <v>1907.79</v>
      </c>
      <c r="J249" s="4">
        <v>12739.89</v>
      </c>
      <c r="K249" s="3">
        <v>77</v>
      </c>
      <c r="L249" s="2" t="s">
        <v>2536</v>
      </c>
      <c r="M249" s="2" t="s">
        <v>2546</v>
      </c>
      <c r="N249" t="str">
        <f>TRIM(PROPER(Tabla_auditoría[[#This Row],[ID_Campaña]]))</f>
        <v>Cmp-007</v>
      </c>
      <c r="O249" t="str">
        <f>TRIM(PROPER(Tabla_auditoría[[#This Row],[Canal]]))</f>
        <v>Paid Social</v>
      </c>
      <c r="P249" t="str">
        <f>TRIM(PROPER(Tabla_auditoría[[#This Row],[País]]))</f>
        <v>Portugal</v>
      </c>
      <c r="Q249" t="str">
        <f>TRIM(PROPER(Tabla_auditoría[[#This Row],[Dispositivo]]))</f>
        <v>Mobile</v>
      </c>
      <c r="R249" t="str">
        <f>TRIM(PROPER(Tabla_auditoría[[#This Row],[Tipo_Campaña]]))</f>
        <v>Reconocimiento</v>
      </c>
      <c r="S249" t="str">
        <f>TRIM(PROPER(Tabla_auditoría[[#This Row],[Responsable]]))</f>
        <v>Ana García</v>
      </c>
    </row>
    <row r="250" spans="1:19" x14ac:dyDescent="0.3">
      <c r="A250" s="1">
        <v>45804</v>
      </c>
      <c r="B250" s="2" t="s">
        <v>2566</v>
      </c>
      <c r="C250" s="2" t="s">
        <v>2533</v>
      </c>
      <c r="D250" s="2" t="s">
        <v>2528</v>
      </c>
      <c r="E250" s="2" t="s">
        <v>2529</v>
      </c>
      <c r="F250" s="3">
        <v>141863</v>
      </c>
      <c r="G250" s="3">
        <v>11654</v>
      </c>
      <c r="H250" s="3">
        <v>142</v>
      </c>
      <c r="I250" s="4">
        <v>7848.74</v>
      </c>
      <c r="J250" s="4">
        <v>19458.05</v>
      </c>
      <c r="K250" s="3">
        <v>98</v>
      </c>
      <c r="L250" s="2" t="s">
        <v>2539</v>
      </c>
      <c r="M250" s="2" t="s">
        <v>2519</v>
      </c>
      <c r="N250" t="str">
        <f>TRIM(PROPER(Tabla_auditoría[[#This Row],[ID_Campaña]]))</f>
        <v>Cmp-001</v>
      </c>
      <c r="O250" t="str">
        <f>TRIM(PROPER(Tabla_auditoría[[#This Row],[Canal]]))</f>
        <v>Paid Social</v>
      </c>
      <c r="P250" t="str">
        <f>TRIM(PROPER(Tabla_auditoría[[#This Row],[País]]))</f>
        <v>España</v>
      </c>
      <c r="Q250" t="str">
        <f>TRIM(PROPER(Tabla_auditoría[[#This Row],[Dispositivo]]))</f>
        <v>Mobile</v>
      </c>
      <c r="R250" t="str">
        <f>TRIM(PROPER(Tabla_auditoría[[#This Row],[Tipo_Campaña]]))</f>
        <v>Conversión</v>
      </c>
      <c r="S250" t="str">
        <f>TRIM(PROPER(Tabla_auditoría[[#This Row],[Responsable]]))</f>
        <v>Carlos Ruiz</v>
      </c>
    </row>
    <row r="251" spans="1:19" x14ac:dyDescent="0.3">
      <c r="A251" s="1">
        <v>45758</v>
      </c>
      <c r="B251" s="2" t="s">
        <v>2567</v>
      </c>
      <c r="C251" s="2" t="s">
        <v>2541</v>
      </c>
      <c r="D251" s="2" t="s">
        <v>2525</v>
      </c>
      <c r="E251" s="2" t="s">
        <v>2534</v>
      </c>
      <c r="F251" s="3">
        <v>119882</v>
      </c>
      <c r="G251" s="3">
        <v>4931</v>
      </c>
      <c r="H251" s="3">
        <v>486</v>
      </c>
      <c r="I251" s="4">
        <v>9281.2900000000009</v>
      </c>
      <c r="J251" s="4">
        <v>71734.789999999994</v>
      </c>
      <c r="K251" s="3">
        <v>429</v>
      </c>
      <c r="L251" s="2" t="s">
        <v>2536</v>
      </c>
      <c r="M251" s="2" t="s">
        <v>2519</v>
      </c>
      <c r="N251" t="str">
        <f>TRIM(PROPER(Tabla_auditoría[[#This Row],[ID_Campaña]]))</f>
        <v>Cmp-021</v>
      </c>
      <c r="O251" t="str">
        <f>TRIM(PROPER(Tabla_auditoría[[#This Row],[Canal]]))</f>
        <v>Display</v>
      </c>
      <c r="P251" t="str">
        <f>TRIM(PROPER(Tabla_auditoría[[#This Row],[País]]))</f>
        <v>Francia</v>
      </c>
      <c r="Q251" t="str">
        <f>TRIM(PROPER(Tabla_auditoría[[#This Row],[Dispositivo]]))</f>
        <v>Tablet</v>
      </c>
      <c r="R251" t="str">
        <f>TRIM(PROPER(Tabla_auditoría[[#This Row],[Tipo_Campaña]]))</f>
        <v>Reconocimiento</v>
      </c>
      <c r="S251" t="str">
        <f>TRIM(PROPER(Tabla_auditoría[[#This Row],[Responsable]]))</f>
        <v>Carlos Ruiz</v>
      </c>
    </row>
    <row r="252" spans="1:19" x14ac:dyDescent="0.3">
      <c r="A252" s="1">
        <v>45973</v>
      </c>
      <c r="B252" s="2" t="s">
        <v>2569</v>
      </c>
      <c r="C252" s="2" t="s">
        <v>2541</v>
      </c>
      <c r="D252" s="2" t="s">
        <v>2528</v>
      </c>
      <c r="E252" s="2" t="s">
        <v>2529</v>
      </c>
      <c r="F252" s="3">
        <v>145941</v>
      </c>
      <c r="G252" s="3">
        <v>9341</v>
      </c>
      <c r="H252" s="3">
        <v>580</v>
      </c>
      <c r="I252" s="4">
        <v>9501.42</v>
      </c>
      <c r="J252" s="4">
        <v>101929.86</v>
      </c>
      <c r="K252" s="3">
        <v>447</v>
      </c>
      <c r="L252" s="2" t="s">
        <v>2523</v>
      </c>
      <c r="N252" t="str">
        <f>TRIM(PROPER(Tabla_auditoría[[#This Row],[ID_Campaña]]))</f>
        <v>Cmp-013</v>
      </c>
      <c r="O252" t="str">
        <f>TRIM(PROPER(Tabla_auditoría[[#This Row],[Canal]]))</f>
        <v>Display</v>
      </c>
      <c r="P252" t="str">
        <f>TRIM(PROPER(Tabla_auditoría[[#This Row],[País]]))</f>
        <v>España</v>
      </c>
      <c r="Q252" t="str">
        <f>TRIM(PROPER(Tabla_auditoría[[#This Row],[Dispositivo]]))</f>
        <v>Mobile</v>
      </c>
      <c r="R252" t="str">
        <f>TRIM(PROPER(Tabla_auditoría[[#This Row],[Tipo_Campaña]]))</f>
        <v>Retención</v>
      </c>
      <c r="S252" t="str">
        <f>TRIM(PROPER(Tabla_auditoría[[#This Row],[Responsable]]))</f>
        <v/>
      </c>
    </row>
    <row r="253" spans="1:19" x14ac:dyDescent="0.3">
      <c r="A253" s="1">
        <v>45941</v>
      </c>
      <c r="B253" s="2" t="s">
        <v>2555</v>
      </c>
      <c r="C253" s="2" t="s">
        <v>2527</v>
      </c>
      <c r="D253" s="2" t="s">
        <v>2528</v>
      </c>
      <c r="E253" s="2" t="s">
        <v>2529</v>
      </c>
      <c r="F253" s="3">
        <v>105170</v>
      </c>
      <c r="G253" s="3">
        <v>9344</v>
      </c>
      <c r="H253" s="3">
        <v>1266</v>
      </c>
      <c r="I253" s="4">
        <v>19197.38</v>
      </c>
      <c r="J253" s="4">
        <v>90011.98</v>
      </c>
      <c r="K253" s="3">
        <v>682</v>
      </c>
      <c r="L253" s="2" t="s">
        <v>2536</v>
      </c>
      <c r="M253" s="2" t="s">
        <v>2524</v>
      </c>
      <c r="N253" t="str">
        <f>TRIM(PROPER(Tabla_auditoría[[#This Row],[ID_Campaña]]))</f>
        <v>Cmp-010</v>
      </c>
      <c r="O253" t="str">
        <f>TRIM(PROPER(Tabla_auditoría[[#This Row],[Canal]]))</f>
        <v>Affiliate</v>
      </c>
      <c r="P253" t="str">
        <f>TRIM(PROPER(Tabla_auditoría[[#This Row],[País]]))</f>
        <v>España</v>
      </c>
      <c r="Q253" t="str">
        <f>TRIM(PROPER(Tabla_auditoría[[#This Row],[Dispositivo]]))</f>
        <v>Mobile</v>
      </c>
      <c r="R253" t="str">
        <f>TRIM(PROPER(Tabla_auditoría[[#This Row],[Tipo_Campaña]]))</f>
        <v>Reconocimiento</v>
      </c>
      <c r="S253" t="str">
        <f>TRIM(PROPER(Tabla_auditoría[[#This Row],[Responsable]]))</f>
        <v>Luis Martín</v>
      </c>
    </row>
    <row r="254" spans="1:19" x14ac:dyDescent="0.3">
      <c r="A254" s="1">
        <v>45972</v>
      </c>
      <c r="B254" s="2" t="s">
        <v>2542</v>
      </c>
      <c r="C254" s="2" t="s">
        <v>2543</v>
      </c>
      <c r="D254" s="2" t="s">
        <v>2531</v>
      </c>
      <c r="E254" s="2" t="s">
        <v>2529</v>
      </c>
      <c r="F254" s="3">
        <v>162076</v>
      </c>
      <c r="G254" s="3">
        <v>13171</v>
      </c>
      <c r="H254" s="3">
        <v>1842</v>
      </c>
      <c r="I254" s="4">
        <v>22835.83</v>
      </c>
      <c r="J254" s="4">
        <v>158650.9</v>
      </c>
      <c r="K254" s="3">
        <v>1459</v>
      </c>
      <c r="L254" s="2" t="s">
        <v>2523</v>
      </c>
      <c r="M254" s="2" t="s">
        <v>2537</v>
      </c>
      <c r="N254" t="str">
        <f>TRIM(PROPER(Tabla_auditoría[[#This Row],[ID_Campaña]]))</f>
        <v>Cmp-025</v>
      </c>
      <c r="O254" t="str">
        <f>TRIM(PROPER(Tabla_auditoría[[#This Row],[Canal]]))</f>
        <v>Organic Social</v>
      </c>
      <c r="P254" t="str">
        <f>TRIM(PROPER(Tabla_auditoría[[#This Row],[País]]))</f>
        <v>Portugal</v>
      </c>
      <c r="Q254" t="str">
        <f>TRIM(PROPER(Tabla_auditoría[[#This Row],[Dispositivo]]))</f>
        <v>Mobile</v>
      </c>
      <c r="R254" t="str">
        <f>TRIM(PROPER(Tabla_auditoría[[#This Row],[Tipo_Campaña]]))</f>
        <v>Retención</v>
      </c>
      <c r="S254" t="str">
        <f>TRIM(PROPER(Tabla_auditoría[[#This Row],[Responsable]]))</f>
        <v>Marta López</v>
      </c>
    </row>
    <row r="255" spans="1:19" x14ac:dyDescent="0.3">
      <c r="A255" s="1">
        <v>45866</v>
      </c>
      <c r="B255" s="2" t="s">
        <v>2532</v>
      </c>
      <c r="C255" s="2" t="s">
        <v>2533</v>
      </c>
      <c r="D255" s="2" t="s">
        <v>2525</v>
      </c>
      <c r="E255" s="2" t="s">
        <v>2517</v>
      </c>
      <c r="F255" s="3">
        <v>134055</v>
      </c>
      <c r="G255" s="3">
        <v>4008</v>
      </c>
      <c r="H255" s="3">
        <v>396</v>
      </c>
      <c r="I255" s="4">
        <v>4745.12</v>
      </c>
      <c r="J255" s="4">
        <v>20132.45</v>
      </c>
      <c r="K255" s="3">
        <v>335</v>
      </c>
      <c r="L255" s="2" t="s">
        <v>2536</v>
      </c>
      <c r="M255" s="2" t="s">
        <v>2526</v>
      </c>
      <c r="N255" t="str">
        <f>TRIM(PROPER(Tabla_auditoría[[#This Row],[ID_Campaña]]))</f>
        <v>Cmp-022</v>
      </c>
      <c r="O255" t="str">
        <f>TRIM(PROPER(Tabla_auditoría[[#This Row],[Canal]]))</f>
        <v>Paid Social</v>
      </c>
      <c r="P255" t="str">
        <f>TRIM(PROPER(Tabla_auditoría[[#This Row],[País]]))</f>
        <v>Francia</v>
      </c>
      <c r="Q255" t="str">
        <f>TRIM(PROPER(Tabla_auditoría[[#This Row],[Dispositivo]]))</f>
        <v>Desktop</v>
      </c>
      <c r="R255" t="str">
        <f>TRIM(PROPER(Tabla_auditoría[[#This Row],[Tipo_Campaña]]))</f>
        <v>Reconocimiento</v>
      </c>
      <c r="S255" t="str">
        <f>TRIM(PROPER(Tabla_auditoría[[#This Row],[Responsable]]))</f>
        <v>Laura Pérez</v>
      </c>
    </row>
    <row r="256" spans="1:19" x14ac:dyDescent="0.3">
      <c r="A256" s="1">
        <v>46008</v>
      </c>
      <c r="B256" s="2" t="s">
        <v>2550</v>
      </c>
      <c r="C256" s="2" t="s">
        <v>2515</v>
      </c>
      <c r="D256" s="2" t="s">
        <v>2528</v>
      </c>
      <c r="E256" s="2" t="s">
        <v>2517</v>
      </c>
      <c r="F256" s="3">
        <v>68066</v>
      </c>
      <c r="G256" s="3">
        <v>5586</v>
      </c>
      <c r="H256" s="3">
        <v>127</v>
      </c>
      <c r="I256" s="4">
        <v>809.41</v>
      </c>
      <c r="J256" s="4">
        <v>17865.96</v>
      </c>
      <c r="K256" s="3">
        <v>104</v>
      </c>
      <c r="L256" s="2" t="s">
        <v>2536</v>
      </c>
      <c r="M256" s="2" t="s">
        <v>2524</v>
      </c>
      <c r="N256" t="str">
        <f>TRIM(PROPER(Tabla_auditoría[[#This Row],[ID_Campaña]]))</f>
        <v>Cmp-008</v>
      </c>
      <c r="O256" t="str">
        <f>TRIM(PROPER(Tabla_auditoría[[#This Row],[Canal]]))</f>
        <v>Email</v>
      </c>
      <c r="P256" t="str">
        <f>TRIM(PROPER(Tabla_auditoría[[#This Row],[País]]))</f>
        <v>España</v>
      </c>
      <c r="Q256" t="str">
        <f>TRIM(PROPER(Tabla_auditoría[[#This Row],[Dispositivo]]))</f>
        <v>Desktop</v>
      </c>
      <c r="R256" t="str">
        <f>TRIM(PROPER(Tabla_auditoría[[#This Row],[Tipo_Campaña]]))</f>
        <v>Reconocimiento</v>
      </c>
      <c r="S256" t="str">
        <f>TRIM(PROPER(Tabla_auditoría[[#This Row],[Responsable]]))</f>
        <v>Luis Martín</v>
      </c>
    </row>
    <row r="257" spans="1:19" x14ac:dyDescent="0.3">
      <c r="A257" s="1">
        <v>45872</v>
      </c>
      <c r="B257" s="2" t="s">
        <v>2570</v>
      </c>
      <c r="C257" s="2" t="s">
        <v>2521</v>
      </c>
      <c r="D257" s="2" t="s">
        <v>2528</v>
      </c>
      <c r="E257" s="2" t="s">
        <v>2529</v>
      </c>
      <c r="F257" s="3">
        <v>152106</v>
      </c>
      <c r="G257" s="3">
        <v>9448</v>
      </c>
      <c r="H257" s="3">
        <v>723</v>
      </c>
      <c r="I257" s="4">
        <v>14822.38</v>
      </c>
      <c r="J257" s="4">
        <v>97549.7</v>
      </c>
      <c r="K257" s="3">
        <v>604</v>
      </c>
      <c r="L257" s="2" t="s">
        <v>2539</v>
      </c>
      <c r="M257" s="2" t="s">
        <v>2546</v>
      </c>
      <c r="N257" t="str">
        <f>TRIM(PROPER(Tabla_auditoría[[#This Row],[ID_Campaña]]))</f>
        <v>Cmp-016</v>
      </c>
      <c r="O257" t="str">
        <f>TRIM(PROPER(Tabla_auditoría[[#This Row],[Canal]]))</f>
        <v>Paid Search</v>
      </c>
      <c r="P257" t="str">
        <f>TRIM(PROPER(Tabla_auditoría[[#This Row],[País]]))</f>
        <v>España</v>
      </c>
      <c r="Q257" t="str">
        <f>TRIM(PROPER(Tabla_auditoría[[#This Row],[Dispositivo]]))</f>
        <v>Mobile</v>
      </c>
      <c r="R257" t="str">
        <f>TRIM(PROPER(Tabla_auditoría[[#This Row],[Tipo_Campaña]]))</f>
        <v>Conversión</v>
      </c>
      <c r="S257" t="str">
        <f>TRIM(PROPER(Tabla_auditoría[[#This Row],[Responsable]]))</f>
        <v>Ana García</v>
      </c>
    </row>
    <row r="258" spans="1:19" x14ac:dyDescent="0.3">
      <c r="A258" s="1">
        <v>45817</v>
      </c>
      <c r="B258" s="2" t="s">
        <v>2563</v>
      </c>
      <c r="C258" s="2" t="s">
        <v>2541</v>
      </c>
      <c r="D258" s="2" t="s">
        <v>2528</v>
      </c>
      <c r="E258" s="2" t="s">
        <v>2517</v>
      </c>
      <c r="F258" s="3">
        <v>117875</v>
      </c>
      <c r="G258" s="3">
        <v>7713</v>
      </c>
      <c r="H258" s="3">
        <v>567</v>
      </c>
      <c r="I258" s="4">
        <v>11000.89</v>
      </c>
      <c r="J258" s="4">
        <v>52777.88</v>
      </c>
      <c r="K258" s="3">
        <v>450</v>
      </c>
      <c r="L258" s="2" t="s">
        <v>2518</v>
      </c>
      <c r="M258" s="2" t="s">
        <v>2524</v>
      </c>
      <c r="N258" t="str">
        <f>TRIM(PROPER(Tabla_auditoría[[#This Row],[ID_Campaña]]))</f>
        <v>Cmp-023</v>
      </c>
      <c r="O258" t="str">
        <f>TRIM(PROPER(Tabla_auditoría[[#This Row],[Canal]]))</f>
        <v>Display</v>
      </c>
      <c r="P258" t="str">
        <f>TRIM(PROPER(Tabla_auditoría[[#This Row],[País]]))</f>
        <v>España</v>
      </c>
      <c r="Q258" t="str">
        <f>TRIM(PROPER(Tabla_auditoría[[#This Row],[Dispositivo]]))</f>
        <v>Desktop</v>
      </c>
      <c r="R258" t="str">
        <f>TRIM(PROPER(Tabla_auditoría[[#This Row],[Tipo_Campaña]]))</f>
        <v>Adquisición</v>
      </c>
      <c r="S258" t="str">
        <f>TRIM(PROPER(Tabla_auditoría[[#This Row],[Responsable]]))</f>
        <v>Luis Martín</v>
      </c>
    </row>
    <row r="259" spans="1:19" x14ac:dyDescent="0.3">
      <c r="A259" s="1">
        <v>45688</v>
      </c>
      <c r="B259" s="2" t="s">
        <v>2555</v>
      </c>
      <c r="C259" s="2" t="s">
        <v>2515</v>
      </c>
      <c r="D259" s="2" t="s">
        <v>2528</v>
      </c>
      <c r="E259" s="2" t="s">
        <v>2529</v>
      </c>
      <c r="F259" s="3">
        <v>90544</v>
      </c>
      <c r="G259" s="3">
        <v>2948</v>
      </c>
      <c r="H259" s="3">
        <v>219</v>
      </c>
      <c r="I259" s="4">
        <v>4556.2700000000004</v>
      </c>
      <c r="J259" s="4">
        <v>10935.12</v>
      </c>
      <c r="K259" s="3">
        <v>125</v>
      </c>
      <c r="L259" s="2" t="s">
        <v>2539</v>
      </c>
      <c r="M259" s="2" t="s">
        <v>2537</v>
      </c>
      <c r="N259" t="str">
        <f>TRIM(PROPER(Tabla_auditoría[[#This Row],[ID_Campaña]]))</f>
        <v>Cmp-010</v>
      </c>
      <c r="O259" t="str">
        <f>TRIM(PROPER(Tabla_auditoría[[#This Row],[Canal]]))</f>
        <v>Email</v>
      </c>
      <c r="P259" t="str">
        <f>TRIM(PROPER(Tabla_auditoría[[#This Row],[País]]))</f>
        <v>España</v>
      </c>
      <c r="Q259" t="str">
        <f>TRIM(PROPER(Tabla_auditoría[[#This Row],[Dispositivo]]))</f>
        <v>Mobile</v>
      </c>
      <c r="R259" t="str">
        <f>TRIM(PROPER(Tabla_auditoría[[#This Row],[Tipo_Campaña]]))</f>
        <v>Conversión</v>
      </c>
      <c r="S259" t="str">
        <f>TRIM(PROPER(Tabla_auditoría[[#This Row],[Responsable]]))</f>
        <v>Marta López</v>
      </c>
    </row>
    <row r="260" spans="1:19" x14ac:dyDescent="0.3">
      <c r="A260" s="1">
        <v>45704</v>
      </c>
      <c r="B260" s="2" t="s">
        <v>2565</v>
      </c>
      <c r="C260" s="2" t="s">
        <v>2515</v>
      </c>
      <c r="D260" s="2" t="s">
        <v>2528</v>
      </c>
      <c r="E260" s="2" t="s">
        <v>2517</v>
      </c>
      <c r="F260" s="3">
        <v>120504</v>
      </c>
      <c r="G260" s="3">
        <v>8297</v>
      </c>
      <c r="H260" s="3">
        <v>403</v>
      </c>
      <c r="I260" s="4">
        <v>12221.54</v>
      </c>
      <c r="J260" s="4">
        <v>84257.06</v>
      </c>
      <c r="K260" s="3">
        <v>335</v>
      </c>
      <c r="L260" s="2" t="s">
        <v>2536</v>
      </c>
      <c r="M260" s="2" t="s">
        <v>2546</v>
      </c>
      <c r="N260" t="str">
        <f>TRIM(PROPER(Tabla_auditoría[[#This Row],[ID_Campaña]]))</f>
        <v>Cmp-005</v>
      </c>
      <c r="O260" t="str">
        <f>TRIM(PROPER(Tabla_auditoría[[#This Row],[Canal]]))</f>
        <v>Email</v>
      </c>
      <c r="P260" t="str">
        <f>TRIM(PROPER(Tabla_auditoría[[#This Row],[País]]))</f>
        <v>España</v>
      </c>
      <c r="Q260" t="str">
        <f>TRIM(PROPER(Tabla_auditoría[[#This Row],[Dispositivo]]))</f>
        <v>Desktop</v>
      </c>
      <c r="R260" t="str">
        <f>TRIM(PROPER(Tabla_auditoría[[#This Row],[Tipo_Campaña]]))</f>
        <v>Reconocimiento</v>
      </c>
      <c r="S260" t="str">
        <f>TRIM(PROPER(Tabla_auditoría[[#This Row],[Responsable]]))</f>
        <v>Ana García</v>
      </c>
    </row>
    <row r="261" spans="1:19" x14ac:dyDescent="0.3">
      <c r="A261" s="1">
        <v>45659</v>
      </c>
      <c r="B261" s="2" t="s">
        <v>2570</v>
      </c>
      <c r="C261" s="2" t="s">
        <v>2515</v>
      </c>
      <c r="D261" s="2" t="s">
        <v>2528</v>
      </c>
      <c r="E261" s="2" t="s">
        <v>2517</v>
      </c>
      <c r="F261" s="3">
        <v>157816</v>
      </c>
      <c r="G261" s="3">
        <v>11236</v>
      </c>
      <c r="H261" s="3">
        <v>1114</v>
      </c>
      <c r="I261" s="4">
        <v>16322.36</v>
      </c>
      <c r="J261" s="4">
        <v>32644.32</v>
      </c>
      <c r="K261" s="3">
        <v>718</v>
      </c>
      <c r="L261" s="2" t="s">
        <v>2539</v>
      </c>
      <c r="M261" s="2" t="s">
        <v>2524</v>
      </c>
      <c r="N261" t="str">
        <f>TRIM(PROPER(Tabla_auditoría[[#This Row],[ID_Campaña]]))</f>
        <v>Cmp-016</v>
      </c>
      <c r="O261" t="str">
        <f>TRIM(PROPER(Tabla_auditoría[[#This Row],[Canal]]))</f>
        <v>Email</v>
      </c>
      <c r="P261" t="str">
        <f>TRIM(PROPER(Tabla_auditoría[[#This Row],[País]]))</f>
        <v>España</v>
      </c>
      <c r="Q261" t="str">
        <f>TRIM(PROPER(Tabla_auditoría[[#This Row],[Dispositivo]]))</f>
        <v>Desktop</v>
      </c>
      <c r="R261" t="str">
        <f>TRIM(PROPER(Tabla_auditoría[[#This Row],[Tipo_Campaña]]))</f>
        <v>Conversión</v>
      </c>
      <c r="S261" t="str">
        <f>TRIM(PROPER(Tabla_auditoría[[#This Row],[Responsable]]))</f>
        <v>Luis Martín</v>
      </c>
    </row>
    <row r="262" spans="1:19" x14ac:dyDescent="0.3">
      <c r="A262" s="1">
        <v>45952</v>
      </c>
      <c r="B262" s="2" t="s">
        <v>2554</v>
      </c>
      <c r="C262" s="2" t="s">
        <v>2515</v>
      </c>
      <c r="D262" s="2" t="s">
        <v>2528</v>
      </c>
      <c r="E262" s="2" t="s">
        <v>2529</v>
      </c>
      <c r="F262" s="3">
        <v>38138</v>
      </c>
      <c r="G262" s="3">
        <v>3238</v>
      </c>
      <c r="H262" s="3">
        <v>289</v>
      </c>
      <c r="I262" s="4">
        <v>1553.98</v>
      </c>
      <c r="J262" s="4">
        <v>54085.79</v>
      </c>
      <c r="K262" s="3">
        <v>197</v>
      </c>
      <c r="L262" s="2" t="s">
        <v>2518</v>
      </c>
      <c r="M262" s="2" t="s">
        <v>2526</v>
      </c>
      <c r="N262" t="str">
        <f>TRIM(PROPER(Tabla_auditoría[[#This Row],[ID_Campaña]]))</f>
        <v>Cmp-019</v>
      </c>
      <c r="O262" t="str">
        <f>TRIM(PROPER(Tabla_auditoría[[#This Row],[Canal]]))</f>
        <v>Email</v>
      </c>
      <c r="P262" t="str">
        <f>TRIM(PROPER(Tabla_auditoría[[#This Row],[País]]))</f>
        <v>España</v>
      </c>
      <c r="Q262" t="str">
        <f>TRIM(PROPER(Tabla_auditoría[[#This Row],[Dispositivo]]))</f>
        <v>Mobile</v>
      </c>
      <c r="R262" t="str">
        <f>TRIM(PROPER(Tabla_auditoría[[#This Row],[Tipo_Campaña]]))</f>
        <v>Adquisición</v>
      </c>
      <c r="S262" t="str">
        <f>TRIM(PROPER(Tabla_auditoría[[#This Row],[Responsable]]))</f>
        <v>Laura Pérez</v>
      </c>
    </row>
    <row r="263" spans="1:19" x14ac:dyDescent="0.3">
      <c r="A263" s="1">
        <v>45805</v>
      </c>
      <c r="B263" s="2" t="s">
        <v>2564</v>
      </c>
      <c r="C263" s="2" t="s">
        <v>2521</v>
      </c>
      <c r="D263" s="2" t="s">
        <v>2528</v>
      </c>
      <c r="E263" s="2" t="s">
        <v>2517</v>
      </c>
      <c r="F263" s="3">
        <v>113419</v>
      </c>
      <c r="G263" s="3">
        <v>6605</v>
      </c>
      <c r="H263" s="3">
        <v>625</v>
      </c>
      <c r="I263" s="4">
        <v>11755.57</v>
      </c>
      <c r="J263" s="4">
        <v>120178.4</v>
      </c>
      <c r="K263" s="3">
        <v>310</v>
      </c>
      <c r="L263" s="2" t="s">
        <v>2539</v>
      </c>
      <c r="M263" s="2" t="s">
        <v>2537</v>
      </c>
      <c r="N263" t="str">
        <f>TRIM(PROPER(Tabla_auditoría[[#This Row],[ID_Campaña]]))</f>
        <v>Cmp-024</v>
      </c>
      <c r="O263" t="str">
        <f>TRIM(PROPER(Tabla_auditoría[[#This Row],[Canal]]))</f>
        <v>Paid Search</v>
      </c>
      <c r="P263" t="str">
        <f>TRIM(PROPER(Tabla_auditoría[[#This Row],[País]]))</f>
        <v>España</v>
      </c>
      <c r="Q263" t="str">
        <f>TRIM(PROPER(Tabla_auditoría[[#This Row],[Dispositivo]]))</f>
        <v>Desktop</v>
      </c>
      <c r="R263" t="str">
        <f>TRIM(PROPER(Tabla_auditoría[[#This Row],[Tipo_Campaña]]))</f>
        <v>Conversión</v>
      </c>
      <c r="S263" t="str">
        <f>TRIM(PROPER(Tabla_auditoría[[#This Row],[Responsable]]))</f>
        <v>Marta López</v>
      </c>
    </row>
    <row r="264" spans="1:19" x14ac:dyDescent="0.3">
      <c r="A264" s="1">
        <v>45837</v>
      </c>
      <c r="B264" s="2" t="s">
        <v>2570</v>
      </c>
      <c r="C264" s="2" t="s">
        <v>2533</v>
      </c>
      <c r="D264" s="2" t="s">
        <v>2528</v>
      </c>
      <c r="E264" s="2" t="s">
        <v>2529</v>
      </c>
      <c r="F264" s="3">
        <v>115514</v>
      </c>
      <c r="G264" s="3">
        <v>6124</v>
      </c>
      <c r="H264" s="3">
        <v>76</v>
      </c>
      <c r="I264" s="4">
        <v>3124.21</v>
      </c>
      <c r="J264" s="4">
        <v>1815.51</v>
      </c>
      <c r="K264" s="3">
        <v>34</v>
      </c>
      <c r="L264" s="2" t="s">
        <v>2539</v>
      </c>
      <c r="M264" s="2" t="s">
        <v>2526</v>
      </c>
      <c r="N264" t="str">
        <f>TRIM(PROPER(Tabla_auditoría[[#This Row],[ID_Campaña]]))</f>
        <v>Cmp-016</v>
      </c>
      <c r="O264" t="str">
        <f>TRIM(PROPER(Tabla_auditoría[[#This Row],[Canal]]))</f>
        <v>Paid Social</v>
      </c>
      <c r="P264" t="str">
        <f>TRIM(PROPER(Tabla_auditoría[[#This Row],[País]]))</f>
        <v>España</v>
      </c>
      <c r="Q264" t="str">
        <f>TRIM(PROPER(Tabla_auditoría[[#This Row],[Dispositivo]]))</f>
        <v>Mobile</v>
      </c>
      <c r="R264" t="str">
        <f>TRIM(PROPER(Tabla_auditoría[[#This Row],[Tipo_Campaña]]))</f>
        <v>Conversión</v>
      </c>
      <c r="S264" t="str">
        <f>TRIM(PROPER(Tabla_auditoría[[#This Row],[Responsable]]))</f>
        <v>Laura Pérez</v>
      </c>
    </row>
    <row r="265" spans="1:19" x14ac:dyDescent="0.3">
      <c r="A265" s="1">
        <v>45799</v>
      </c>
      <c r="B265" s="2" t="s">
        <v>2555</v>
      </c>
      <c r="C265" s="2" t="s">
        <v>2515</v>
      </c>
      <c r="D265" s="2" t="s">
        <v>2525</v>
      </c>
      <c r="E265" s="2" t="s">
        <v>2517</v>
      </c>
      <c r="F265" s="3">
        <v>11582</v>
      </c>
      <c r="G265" s="3">
        <v>270</v>
      </c>
      <c r="H265" s="3">
        <v>37</v>
      </c>
      <c r="I265" s="4">
        <v>411.11</v>
      </c>
      <c r="J265" s="4">
        <v>6287.11</v>
      </c>
      <c r="K265" s="3">
        <v>20</v>
      </c>
      <c r="L265" s="2" t="s">
        <v>2539</v>
      </c>
      <c r="M265" s="2" t="s">
        <v>2537</v>
      </c>
      <c r="N265" t="str">
        <f>TRIM(PROPER(Tabla_auditoría[[#This Row],[ID_Campaña]]))</f>
        <v>Cmp-010</v>
      </c>
      <c r="O265" t="str">
        <f>TRIM(PROPER(Tabla_auditoría[[#This Row],[Canal]]))</f>
        <v>Email</v>
      </c>
      <c r="P265" t="str">
        <f>TRIM(PROPER(Tabla_auditoría[[#This Row],[País]]))</f>
        <v>Francia</v>
      </c>
      <c r="Q265" t="str">
        <f>TRIM(PROPER(Tabla_auditoría[[#This Row],[Dispositivo]]))</f>
        <v>Desktop</v>
      </c>
      <c r="R265" t="str">
        <f>TRIM(PROPER(Tabla_auditoría[[#This Row],[Tipo_Campaña]]))</f>
        <v>Conversión</v>
      </c>
      <c r="S265" t="str">
        <f>TRIM(PROPER(Tabla_auditoría[[#This Row],[Responsable]]))</f>
        <v>Marta López</v>
      </c>
    </row>
    <row r="266" spans="1:19" x14ac:dyDescent="0.3">
      <c r="A266" s="1">
        <v>45915</v>
      </c>
      <c r="B266" s="2" t="s">
        <v>2551</v>
      </c>
      <c r="C266" s="2" t="s">
        <v>2543</v>
      </c>
      <c r="D266" s="2" t="s">
        <v>2528</v>
      </c>
      <c r="E266" s="2" t="s">
        <v>2529</v>
      </c>
      <c r="F266" s="3">
        <v>88592</v>
      </c>
      <c r="G266" s="3">
        <v>537</v>
      </c>
      <c r="H266" s="3">
        <v>27</v>
      </c>
      <c r="I266" s="4">
        <v>881.92</v>
      </c>
      <c r="J266" s="4">
        <v>1497.89</v>
      </c>
      <c r="K266" s="3">
        <v>13</v>
      </c>
      <c r="L266" s="2" t="s">
        <v>2523</v>
      </c>
      <c r="M266" s="2" t="s">
        <v>2524</v>
      </c>
      <c r="N266" t="str">
        <f>TRIM(PROPER(Tabla_auditoría[[#This Row],[ID_Campaña]]))</f>
        <v>Cmp-028</v>
      </c>
      <c r="O266" t="str">
        <f>TRIM(PROPER(Tabla_auditoría[[#This Row],[Canal]]))</f>
        <v>Organic Social</v>
      </c>
      <c r="P266" t="str">
        <f>TRIM(PROPER(Tabla_auditoría[[#This Row],[País]]))</f>
        <v>España</v>
      </c>
      <c r="Q266" t="str">
        <f>TRIM(PROPER(Tabla_auditoría[[#This Row],[Dispositivo]]))</f>
        <v>Mobile</v>
      </c>
      <c r="R266" t="str">
        <f>TRIM(PROPER(Tabla_auditoría[[#This Row],[Tipo_Campaña]]))</f>
        <v>Retención</v>
      </c>
      <c r="S266" t="str">
        <f>TRIM(PROPER(Tabla_auditoría[[#This Row],[Responsable]]))</f>
        <v>Luis Martín</v>
      </c>
    </row>
    <row r="267" spans="1:19" x14ac:dyDescent="0.3">
      <c r="A267" s="1">
        <v>45911</v>
      </c>
      <c r="B267" s="2" t="s">
        <v>2538</v>
      </c>
      <c r="C267" s="2" t="s">
        <v>2533</v>
      </c>
      <c r="D267" s="2" t="s">
        <v>2525</v>
      </c>
      <c r="E267" s="2" t="s">
        <v>2529</v>
      </c>
      <c r="F267" s="3">
        <v>33650</v>
      </c>
      <c r="G267" s="3">
        <v>1872</v>
      </c>
      <c r="H267" s="3">
        <v>256</v>
      </c>
      <c r="I267" s="4">
        <v>805.37</v>
      </c>
      <c r="J267" s="4">
        <v>23017.61</v>
      </c>
      <c r="K267" s="3">
        <v>185</v>
      </c>
      <c r="L267" s="2" t="s">
        <v>2539</v>
      </c>
      <c r="M267" s="2" t="s">
        <v>2537</v>
      </c>
      <c r="N267" t="str">
        <f>TRIM(PROPER(Tabla_auditoría[[#This Row],[ID_Campaña]]))</f>
        <v>Cmp-004</v>
      </c>
      <c r="O267" t="str">
        <f>TRIM(PROPER(Tabla_auditoría[[#This Row],[Canal]]))</f>
        <v>Paid Social</v>
      </c>
      <c r="P267" t="str">
        <f>TRIM(PROPER(Tabla_auditoría[[#This Row],[País]]))</f>
        <v>Francia</v>
      </c>
      <c r="Q267" t="str">
        <f>TRIM(PROPER(Tabla_auditoría[[#This Row],[Dispositivo]]))</f>
        <v>Mobile</v>
      </c>
      <c r="R267" t="str">
        <f>TRIM(PROPER(Tabla_auditoría[[#This Row],[Tipo_Campaña]]))</f>
        <v>Conversión</v>
      </c>
      <c r="S267" t="str">
        <f>TRIM(PROPER(Tabla_auditoría[[#This Row],[Responsable]]))</f>
        <v>Marta López</v>
      </c>
    </row>
    <row r="268" spans="1:19" x14ac:dyDescent="0.3">
      <c r="A268" s="1">
        <v>45779</v>
      </c>
      <c r="B268" s="2" t="s">
        <v>2564</v>
      </c>
      <c r="C268" s="2" t="s">
        <v>2541</v>
      </c>
      <c r="D268" s="2" t="s">
        <v>2531</v>
      </c>
      <c r="E268" s="2" t="s">
        <v>2529</v>
      </c>
      <c r="F268" s="3">
        <v>68140</v>
      </c>
      <c r="G268" s="3">
        <v>514</v>
      </c>
      <c r="H268" s="3">
        <v>4</v>
      </c>
      <c r="I268" s="4">
        <v>812.36</v>
      </c>
      <c r="J268" s="4">
        <v>547.03</v>
      </c>
      <c r="K268" s="3">
        <v>3</v>
      </c>
      <c r="L268" s="2" t="s">
        <v>2518</v>
      </c>
      <c r="M268" s="2" t="s">
        <v>2524</v>
      </c>
      <c r="N268" t="str">
        <f>TRIM(PROPER(Tabla_auditoría[[#This Row],[ID_Campaña]]))</f>
        <v>Cmp-024</v>
      </c>
      <c r="O268" t="str">
        <f>TRIM(PROPER(Tabla_auditoría[[#This Row],[Canal]]))</f>
        <v>Display</v>
      </c>
      <c r="P268" t="str">
        <f>TRIM(PROPER(Tabla_auditoría[[#This Row],[País]]))</f>
        <v>Portugal</v>
      </c>
      <c r="Q268" t="str">
        <f>TRIM(PROPER(Tabla_auditoría[[#This Row],[Dispositivo]]))</f>
        <v>Mobile</v>
      </c>
      <c r="R268" t="str">
        <f>TRIM(PROPER(Tabla_auditoría[[#This Row],[Tipo_Campaña]]))</f>
        <v>Adquisición</v>
      </c>
      <c r="S268" t="str">
        <f>TRIM(PROPER(Tabla_auditoría[[#This Row],[Responsable]]))</f>
        <v>Luis Martín</v>
      </c>
    </row>
    <row r="269" spans="1:19" x14ac:dyDescent="0.3">
      <c r="A269" s="1">
        <v>45714</v>
      </c>
      <c r="B269" s="2" t="s">
        <v>2567</v>
      </c>
      <c r="C269" s="2" t="s">
        <v>2533</v>
      </c>
      <c r="D269" s="2" t="s">
        <v>2528</v>
      </c>
      <c r="E269" s="2" t="s">
        <v>2517</v>
      </c>
      <c r="F269" s="3">
        <v>85605</v>
      </c>
      <c r="G269" s="3">
        <v>3356</v>
      </c>
      <c r="H269" s="3">
        <v>141</v>
      </c>
      <c r="I269" s="4">
        <v>2682.58</v>
      </c>
      <c r="J269" s="4">
        <v>17704.64</v>
      </c>
      <c r="K269" s="3">
        <v>75</v>
      </c>
      <c r="L269" s="2" t="s">
        <v>2523</v>
      </c>
      <c r="M269" s="2" t="s">
        <v>2546</v>
      </c>
      <c r="N269" t="str">
        <f>TRIM(PROPER(Tabla_auditoría[[#This Row],[ID_Campaña]]))</f>
        <v>Cmp-021</v>
      </c>
      <c r="O269" t="str">
        <f>TRIM(PROPER(Tabla_auditoría[[#This Row],[Canal]]))</f>
        <v>Paid Social</v>
      </c>
      <c r="P269" t="str">
        <f>TRIM(PROPER(Tabla_auditoría[[#This Row],[País]]))</f>
        <v>España</v>
      </c>
      <c r="Q269" t="str">
        <f>TRIM(PROPER(Tabla_auditoría[[#This Row],[Dispositivo]]))</f>
        <v>Desktop</v>
      </c>
      <c r="R269" t="str">
        <f>TRIM(PROPER(Tabla_auditoría[[#This Row],[Tipo_Campaña]]))</f>
        <v>Retención</v>
      </c>
      <c r="S269" t="str">
        <f>TRIM(PROPER(Tabla_auditoría[[#This Row],[Responsable]]))</f>
        <v>Ana García</v>
      </c>
    </row>
    <row r="270" spans="1:19" x14ac:dyDescent="0.3">
      <c r="A270" s="1">
        <v>45664</v>
      </c>
      <c r="B270" s="2" t="s">
        <v>2530</v>
      </c>
      <c r="C270" s="2" t="s">
        <v>2541</v>
      </c>
      <c r="D270" s="2" t="s">
        <v>2516</v>
      </c>
      <c r="E270" s="2" t="s">
        <v>2517</v>
      </c>
      <c r="F270" s="3">
        <v>47238</v>
      </c>
      <c r="G270" s="3">
        <v>577</v>
      </c>
      <c r="H270" s="3">
        <v>20</v>
      </c>
      <c r="I270" s="4">
        <v>864.87</v>
      </c>
      <c r="J270" s="4">
        <v>3835.5</v>
      </c>
      <c r="K270" s="3">
        <v>14</v>
      </c>
      <c r="L270" s="2" t="s">
        <v>2518</v>
      </c>
      <c r="M270" s="2" t="s">
        <v>2524</v>
      </c>
      <c r="N270" t="str">
        <f>TRIM(PROPER(Tabla_auditoría[[#This Row],[ID_Campaña]]))</f>
        <v>Cmp-026</v>
      </c>
      <c r="O270" t="str">
        <f>TRIM(PROPER(Tabla_auditoría[[#This Row],[Canal]]))</f>
        <v>Display</v>
      </c>
      <c r="P270" t="str">
        <f>TRIM(PROPER(Tabla_auditoría[[#This Row],[País]]))</f>
        <v>México</v>
      </c>
      <c r="Q270" t="str">
        <f>TRIM(PROPER(Tabla_auditoría[[#This Row],[Dispositivo]]))</f>
        <v>Desktop</v>
      </c>
      <c r="R270" t="str">
        <f>TRIM(PROPER(Tabla_auditoría[[#This Row],[Tipo_Campaña]]))</f>
        <v>Adquisición</v>
      </c>
      <c r="S270" t="str">
        <f>TRIM(PROPER(Tabla_auditoría[[#This Row],[Responsable]]))</f>
        <v>Luis Martín</v>
      </c>
    </row>
    <row r="271" spans="1:19" x14ac:dyDescent="0.3">
      <c r="A271" s="1">
        <v>45945</v>
      </c>
      <c r="B271" s="2" t="s">
        <v>2550</v>
      </c>
      <c r="C271" s="2" t="s">
        <v>2541</v>
      </c>
      <c r="D271" s="2" t="s">
        <v>2528</v>
      </c>
      <c r="E271" s="2" t="s">
        <v>2517</v>
      </c>
      <c r="F271" s="3">
        <v>109089</v>
      </c>
      <c r="G271" s="3">
        <v>2184</v>
      </c>
      <c r="H271" s="3">
        <v>232</v>
      </c>
      <c r="I271" s="4">
        <v>3148.64</v>
      </c>
      <c r="J271" s="4">
        <v>27846.04</v>
      </c>
      <c r="K271" s="3">
        <v>208</v>
      </c>
      <c r="L271" s="2" t="s">
        <v>2518</v>
      </c>
      <c r="M271" s="2" t="s">
        <v>2519</v>
      </c>
      <c r="N271" t="str">
        <f>TRIM(PROPER(Tabla_auditoría[[#This Row],[ID_Campaña]]))</f>
        <v>Cmp-008</v>
      </c>
      <c r="O271" t="str">
        <f>TRIM(PROPER(Tabla_auditoría[[#This Row],[Canal]]))</f>
        <v>Display</v>
      </c>
      <c r="P271" t="str">
        <f>TRIM(PROPER(Tabla_auditoría[[#This Row],[País]]))</f>
        <v>España</v>
      </c>
      <c r="Q271" t="str">
        <f>TRIM(PROPER(Tabla_auditoría[[#This Row],[Dispositivo]]))</f>
        <v>Desktop</v>
      </c>
      <c r="R271" t="str">
        <f>TRIM(PROPER(Tabla_auditoría[[#This Row],[Tipo_Campaña]]))</f>
        <v>Adquisición</v>
      </c>
      <c r="S271" t="str">
        <f>TRIM(PROPER(Tabla_auditoría[[#This Row],[Responsable]]))</f>
        <v>Carlos Ruiz</v>
      </c>
    </row>
    <row r="272" spans="1:19" x14ac:dyDescent="0.3">
      <c r="A272" s="1">
        <v>45729</v>
      </c>
      <c r="B272" s="2" t="s">
        <v>2551</v>
      </c>
      <c r="C272" s="2" t="s">
        <v>2533</v>
      </c>
      <c r="D272" s="2" t="s">
        <v>2528</v>
      </c>
      <c r="E272" s="2" t="s">
        <v>2517</v>
      </c>
      <c r="F272" s="3">
        <v>75419</v>
      </c>
      <c r="G272" s="3">
        <v>6401</v>
      </c>
      <c r="H272" s="3">
        <v>322</v>
      </c>
      <c r="I272" s="4">
        <v>2650.59</v>
      </c>
      <c r="J272" s="4">
        <v>24284.18</v>
      </c>
      <c r="K272" s="3">
        <v>192</v>
      </c>
      <c r="L272" s="2" t="s">
        <v>2536</v>
      </c>
      <c r="M272" s="2" t="s">
        <v>2537</v>
      </c>
      <c r="N272" t="str">
        <f>TRIM(PROPER(Tabla_auditoría[[#This Row],[ID_Campaña]]))</f>
        <v>Cmp-028</v>
      </c>
      <c r="O272" t="str">
        <f>TRIM(PROPER(Tabla_auditoría[[#This Row],[Canal]]))</f>
        <v>Paid Social</v>
      </c>
      <c r="P272" t="str">
        <f>TRIM(PROPER(Tabla_auditoría[[#This Row],[País]]))</f>
        <v>España</v>
      </c>
      <c r="Q272" t="str">
        <f>TRIM(PROPER(Tabla_auditoría[[#This Row],[Dispositivo]]))</f>
        <v>Desktop</v>
      </c>
      <c r="R272" t="str">
        <f>TRIM(PROPER(Tabla_auditoría[[#This Row],[Tipo_Campaña]]))</f>
        <v>Reconocimiento</v>
      </c>
      <c r="S272" t="str">
        <f>TRIM(PROPER(Tabla_auditoría[[#This Row],[Responsable]]))</f>
        <v>Marta López</v>
      </c>
    </row>
    <row r="273" spans="1:19" x14ac:dyDescent="0.3">
      <c r="A273" s="1">
        <v>45872</v>
      </c>
      <c r="B273" s="2" t="s">
        <v>2560</v>
      </c>
      <c r="C273" s="2" t="s">
        <v>2543</v>
      </c>
      <c r="D273" s="2" t="s">
        <v>2525</v>
      </c>
      <c r="E273" s="2" t="s">
        <v>2517</v>
      </c>
      <c r="F273" s="3">
        <v>126828</v>
      </c>
      <c r="G273" s="3">
        <v>2773</v>
      </c>
      <c r="H273" s="3">
        <v>15</v>
      </c>
      <c r="I273" s="4">
        <v>1620.45</v>
      </c>
      <c r="J273" s="4">
        <v>1306.3900000000001</v>
      </c>
      <c r="K273" s="3">
        <v>8</v>
      </c>
      <c r="L273" s="2" t="s">
        <v>2536</v>
      </c>
      <c r="M273" s="2" t="s">
        <v>2524</v>
      </c>
      <c r="N273" t="str">
        <f>TRIM(PROPER(Tabla_auditoría[[#This Row],[ID_Campaña]]))</f>
        <v>Cmp-027</v>
      </c>
      <c r="O273" t="str">
        <f>TRIM(PROPER(Tabla_auditoría[[#This Row],[Canal]]))</f>
        <v>Organic Social</v>
      </c>
      <c r="P273" t="str">
        <f>TRIM(PROPER(Tabla_auditoría[[#This Row],[País]]))</f>
        <v>Francia</v>
      </c>
      <c r="Q273" t="str">
        <f>TRIM(PROPER(Tabla_auditoría[[#This Row],[Dispositivo]]))</f>
        <v>Desktop</v>
      </c>
      <c r="R273" t="str">
        <f>TRIM(PROPER(Tabla_auditoría[[#This Row],[Tipo_Campaña]]))</f>
        <v>Reconocimiento</v>
      </c>
      <c r="S273" t="str">
        <f>TRIM(PROPER(Tabla_auditoría[[#This Row],[Responsable]]))</f>
        <v>Luis Martín</v>
      </c>
    </row>
    <row r="274" spans="1:19" x14ac:dyDescent="0.3">
      <c r="A274" s="1">
        <v>46019</v>
      </c>
      <c r="B274" s="2" t="s">
        <v>2547</v>
      </c>
      <c r="C274" s="2" t="s">
        <v>2533</v>
      </c>
      <c r="D274" s="2" t="s">
        <v>2516</v>
      </c>
      <c r="E274" s="2" t="s">
        <v>2517</v>
      </c>
      <c r="F274" s="3">
        <v>100094</v>
      </c>
      <c r="G274" s="3">
        <v>1969</v>
      </c>
      <c r="H274" s="3">
        <v>134</v>
      </c>
      <c r="I274" s="4">
        <v>2790.29</v>
      </c>
      <c r="J274" s="4">
        <v>23430.25</v>
      </c>
      <c r="K274" s="3">
        <v>106</v>
      </c>
      <c r="L274" s="2" t="s">
        <v>2518</v>
      </c>
      <c r="M274" s="2" t="s">
        <v>2524</v>
      </c>
      <c r="N274" t="str">
        <f>TRIM(PROPER(Tabla_auditoría[[#This Row],[ID_Campaña]]))</f>
        <v>Cmp-018</v>
      </c>
      <c r="O274" t="str">
        <f>TRIM(PROPER(Tabla_auditoría[[#This Row],[Canal]]))</f>
        <v>Paid Social</v>
      </c>
      <c r="P274" t="str">
        <f>TRIM(PROPER(Tabla_auditoría[[#This Row],[País]]))</f>
        <v>México</v>
      </c>
      <c r="Q274" t="str">
        <f>TRIM(PROPER(Tabla_auditoría[[#This Row],[Dispositivo]]))</f>
        <v>Desktop</v>
      </c>
      <c r="R274" t="str">
        <f>TRIM(PROPER(Tabla_auditoría[[#This Row],[Tipo_Campaña]]))</f>
        <v>Adquisición</v>
      </c>
      <c r="S274" t="str">
        <f>TRIM(PROPER(Tabla_auditoría[[#This Row],[Responsable]]))</f>
        <v>Luis Martín</v>
      </c>
    </row>
    <row r="275" spans="1:19" x14ac:dyDescent="0.3">
      <c r="A275" s="1">
        <v>45958</v>
      </c>
      <c r="B275" s="2" t="s">
        <v>2567</v>
      </c>
      <c r="C275" s="2" t="s">
        <v>2527</v>
      </c>
      <c r="D275" s="2" t="s">
        <v>2528</v>
      </c>
      <c r="E275" s="2" t="s">
        <v>2529</v>
      </c>
      <c r="F275" s="3">
        <v>115787</v>
      </c>
      <c r="G275" s="3">
        <v>8330</v>
      </c>
      <c r="H275" s="3">
        <v>347</v>
      </c>
      <c r="I275" s="4">
        <v>1050.1099999999999</v>
      </c>
      <c r="J275" s="4">
        <v>74920.490000000005</v>
      </c>
      <c r="K275" s="3">
        <v>249</v>
      </c>
      <c r="L275" s="2" t="s">
        <v>2518</v>
      </c>
      <c r="N275" t="str">
        <f>TRIM(PROPER(Tabla_auditoría[[#This Row],[ID_Campaña]]))</f>
        <v>Cmp-021</v>
      </c>
      <c r="O275" t="str">
        <f>TRIM(PROPER(Tabla_auditoría[[#This Row],[Canal]]))</f>
        <v>Affiliate</v>
      </c>
      <c r="P275" t="str">
        <f>TRIM(PROPER(Tabla_auditoría[[#This Row],[País]]))</f>
        <v>España</v>
      </c>
      <c r="Q275" t="str">
        <f>TRIM(PROPER(Tabla_auditoría[[#This Row],[Dispositivo]]))</f>
        <v>Mobile</v>
      </c>
      <c r="R275" t="str">
        <f>TRIM(PROPER(Tabla_auditoría[[#This Row],[Tipo_Campaña]]))</f>
        <v>Adquisición</v>
      </c>
      <c r="S275" t="str">
        <f>TRIM(PROPER(Tabla_auditoría[[#This Row],[Responsable]]))</f>
        <v/>
      </c>
    </row>
    <row r="276" spans="1:19" x14ac:dyDescent="0.3">
      <c r="A276" s="1">
        <v>45810</v>
      </c>
      <c r="B276" s="2" t="s">
        <v>2568</v>
      </c>
      <c r="C276" s="2" t="s">
        <v>2543</v>
      </c>
      <c r="D276" s="2" t="s">
        <v>2528</v>
      </c>
      <c r="E276" s="2" t="s">
        <v>2529</v>
      </c>
      <c r="F276" s="3">
        <v>153589</v>
      </c>
      <c r="G276" s="3">
        <v>12225</v>
      </c>
      <c r="H276" s="3">
        <v>1308</v>
      </c>
      <c r="I276" s="4">
        <v>3881</v>
      </c>
      <c r="J276" s="4">
        <v>224367.15</v>
      </c>
      <c r="K276" s="3">
        <v>911</v>
      </c>
      <c r="L276" s="2" t="s">
        <v>2523</v>
      </c>
      <c r="M276" s="2" t="s">
        <v>2519</v>
      </c>
      <c r="N276" t="str">
        <f>TRIM(PROPER(Tabla_auditoría[[#This Row],[ID_Campaña]]))</f>
        <v>Cmp-020</v>
      </c>
      <c r="O276" t="str">
        <f>TRIM(PROPER(Tabla_auditoría[[#This Row],[Canal]]))</f>
        <v>Organic Social</v>
      </c>
      <c r="P276" t="str">
        <f>TRIM(PROPER(Tabla_auditoría[[#This Row],[País]]))</f>
        <v>España</v>
      </c>
      <c r="Q276" t="str">
        <f>TRIM(PROPER(Tabla_auditoría[[#This Row],[Dispositivo]]))</f>
        <v>Mobile</v>
      </c>
      <c r="R276" t="str">
        <f>TRIM(PROPER(Tabla_auditoría[[#This Row],[Tipo_Campaña]]))</f>
        <v>Retención</v>
      </c>
      <c r="S276" t="str">
        <f>TRIM(PROPER(Tabla_auditoría[[#This Row],[Responsable]]))</f>
        <v>Carlos Ruiz</v>
      </c>
    </row>
    <row r="277" spans="1:19" x14ac:dyDescent="0.3">
      <c r="A277" s="1">
        <v>45851</v>
      </c>
      <c r="B277" s="2" t="s">
        <v>2542</v>
      </c>
      <c r="C277" s="2" t="s">
        <v>2521</v>
      </c>
      <c r="D277" s="2" t="s">
        <v>2528</v>
      </c>
      <c r="E277" s="2" t="s">
        <v>2529</v>
      </c>
      <c r="F277" s="3">
        <v>54410</v>
      </c>
      <c r="G277" s="3">
        <v>4726</v>
      </c>
      <c r="H277" s="3">
        <v>133</v>
      </c>
      <c r="I277" s="4">
        <v>723.27</v>
      </c>
      <c r="J277" s="4">
        <v>12588.91</v>
      </c>
      <c r="K277" s="3">
        <v>104</v>
      </c>
      <c r="L277" s="2" t="s">
        <v>2523</v>
      </c>
      <c r="M277" s="2" t="s">
        <v>2526</v>
      </c>
      <c r="N277" t="str">
        <f>TRIM(PROPER(Tabla_auditoría[[#This Row],[ID_Campaña]]))</f>
        <v>Cmp-025</v>
      </c>
      <c r="O277" t="str">
        <f>TRIM(PROPER(Tabla_auditoría[[#This Row],[Canal]]))</f>
        <v>Paid Search</v>
      </c>
      <c r="P277" t="str">
        <f>TRIM(PROPER(Tabla_auditoría[[#This Row],[País]]))</f>
        <v>España</v>
      </c>
      <c r="Q277" t="str">
        <f>TRIM(PROPER(Tabla_auditoría[[#This Row],[Dispositivo]]))</f>
        <v>Mobile</v>
      </c>
      <c r="R277" t="str">
        <f>TRIM(PROPER(Tabla_auditoría[[#This Row],[Tipo_Campaña]]))</f>
        <v>Retención</v>
      </c>
      <c r="S277" t="str">
        <f>TRIM(PROPER(Tabla_auditoría[[#This Row],[Responsable]]))</f>
        <v>Laura Pérez</v>
      </c>
    </row>
    <row r="278" spans="1:19" x14ac:dyDescent="0.3">
      <c r="A278" s="1">
        <v>45738</v>
      </c>
      <c r="B278" s="2" t="s">
        <v>2565</v>
      </c>
      <c r="C278" s="2" t="s">
        <v>2541</v>
      </c>
      <c r="D278" s="2" t="s">
        <v>2528</v>
      </c>
      <c r="E278" s="2" t="s">
        <v>2529</v>
      </c>
      <c r="F278" s="3">
        <v>178156</v>
      </c>
      <c r="G278" s="3">
        <v>9113</v>
      </c>
      <c r="H278" s="3">
        <v>297</v>
      </c>
      <c r="I278" s="4">
        <v>15507.44</v>
      </c>
      <c r="J278" s="4">
        <v>38586.19</v>
      </c>
      <c r="K278" s="3">
        <v>136</v>
      </c>
      <c r="L278" s="2" t="s">
        <v>2523</v>
      </c>
      <c r="M278" s="2" t="s">
        <v>2524</v>
      </c>
      <c r="N278" t="str">
        <f>TRIM(PROPER(Tabla_auditoría[[#This Row],[ID_Campaña]]))</f>
        <v>Cmp-005</v>
      </c>
      <c r="O278" t="str">
        <f>TRIM(PROPER(Tabla_auditoría[[#This Row],[Canal]]))</f>
        <v>Display</v>
      </c>
      <c r="P278" t="str">
        <f>TRIM(PROPER(Tabla_auditoría[[#This Row],[País]]))</f>
        <v>España</v>
      </c>
      <c r="Q278" t="str">
        <f>TRIM(PROPER(Tabla_auditoría[[#This Row],[Dispositivo]]))</f>
        <v>Mobile</v>
      </c>
      <c r="R278" t="str">
        <f>TRIM(PROPER(Tabla_auditoría[[#This Row],[Tipo_Campaña]]))</f>
        <v>Retención</v>
      </c>
      <c r="S278" t="str">
        <f>TRIM(PROPER(Tabla_auditoría[[#This Row],[Responsable]]))</f>
        <v>Luis Martín</v>
      </c>
    </row>
    <row r="279" spans="1:19" x14ac:dyDescent="0.3">
      <c r="A279" s="1">
        <v>45998</v>
      </c>
      <c r="B279" s="2" t="s">
        <v>2564</v>
      </c>
      <c r="C279" s="2" t="s">
        <v>2541</v>
      </c>
      <c r="D279" s="2" t="s">
        <v>2528</v>
      </c>
      <c r="E279" s="2" t="s">
        <v>2529</v>
      </c>
      <c r="F279" s="3">
        <v>8328</v>
      </c>
      <c r="G279" s="3">
        <v>485</v>
      </c>
      <c r="H279" s="3">
        <v>9</v>
      </c>
      <c r="I279" s="4">
        <v>315.87</v>
      </c>
      <c r="J279" s="4">
        <v>1758.62</v>
      </c>
      <c r="K279" s="3">
        <v>7</v>
      </c>
      <c r="L279" s="2" t="s">
        <v>2518</v>
      </c>
      <c r="M279" s="2" t="s">
        <v>2526</v>
      </c>
      <c r="N279" t="str">
        <f>TRIM(PROPER(Tabla_auditoría[[#This Row],[ID_Campaña]]))</f>
        <v>Cmp-024</v>
      </c>
      <c r="O279" t="str">
        <f>TRIM(PROPER(Tabla_auditoría[[#This Row],[Canal]]))</f>
        <v>Display</v>
      </c>
      <c r="P279" t="str">
        <f>TRIM(PROPER(Tabla_auditoría[[#This Row],[País]]))</f>
        <v>España</v>
      </c>
      <c r="Q279" t="str">
        <f>TRIM(PROPER(Tabla_auditoría[[#This Row],[Dispositivo]]))</f>
        <v>Mobile</v>
      </c>
      <c r="R279" t="str">
        <f>TRIM(PROPER(Tabla_auditoría[[#This Row],[Tipo_Campaña]]))</f>
        <v>Adquisición</v>
      </c>
      <c r="S279" t="str">
        <f>TRIM(PROPER(Tabla_auditoría[[#This Row],[Responsable]]))</f>
        <v>Laura Pérez</v>
      </c>
    </row>
    <row r="280" spans="1:19" x14ac:dyDescent="0.3">
      <c r="A280" s="1">
        <v>45835</v>
      </c>
      <c r="B280" s="2" t="s">
        <v>2579</v>
      </c>
      <c r="C280" s="2" t="s">
        <v>2533</v>
      </c>
      <c r="D280" s="2" t="s">
        <v>2516</v>
      </c>
      <c r="E280" s="2" t="s">
        <v>2517</v>
      </c>
      <c r="F280" s="3">
        <v>160927</v>
      </c>
      <c r="G280" s="3">
        <v>9302</v>
      </c>
      <c r="H280" s="3">
        <v>850</v>
      </c>
      <c r="I280" s="4">
        <v>9590.2199999999993</v>
      </c>
      <c r="J280" s="4">
        <v>105028.08</v>
      </c>
      <c r="K280" s="3">
        <v>691</v>
      </c>
      <c r="L280" s="2" t="s">
        <v>2539</v>
      </c>
      <c r="M280" s="2" t="s">
        <v>2537</v>
      </c>
      <c r="N280" t="str">
        <f>TRIM(PROPER(Tabla_auditoría[[#This Row],[ID_Campaña]]))</f>
        <v>Cmp-003</v>
      </c>
      <c r="O280" t="str">
        <f>TRIM(PROPER(Tabla_auditoría[[#This Row],[Canal]]))</f>
        <v>Paid Social</v>
      </c>
      <c r="P280" t="str">
        <f>TRIM(PROPER(Tabla_auditoría[[#This Row],[País]]))</f>
        <v>México</v>
      </c>
      <c r="Q280" t="str">
        <f>TRIM(PROPER(Tabla_auditoría[[#This Row],[Dispositivo]]))</f>
        <v>Desktop</v>
      </c>
      <c r="R280" t="str">
        <f>TRIM(PROPER(Tabla_auditoría[[#This Row],[Tipo_Campaña]]))</f>
        <v>Conversión</v>
      </c>
      <c r="S280" t="str">
        <f>TRIM(PROPER(Tabla_auditoría[[#This Row],[Responsable]]))</f>
        <v>Marta López</v>
      </c>
    </row>
    <row r="281" spans="1:19" x14ac:dyDescent="0.3">
      <c r="A281" s="1">
        <v>45811</v>
      </c>
      <c r="B281" s="2" t="s">
        <v>2569</v>
      </c>
      <c r="C281" s="2" t="s">
        <v>2543</v>
      </c>
      <c r="D281" s="2" t="s">
        <v>2528</v>
      </c>
      <c r="E281" s="2" t="s">
        <v>2517</v>
      </c>
      <c r="F281" s="3">
        <v>159515</v>
      </c>
      <c r="G281" s="3">
        <v>9905</v>
      </c>
      <c r="H281" s="3">
        <v>261</v>
      </c>
      <c r="I281" s="4">
        <v>2894.6</v>
      </c>
      <c r="J281" s="4">
        <v>48300.06</v>
      </c>
      <c r="K281" s="3">
        <v>192</v>
      </c>
      <c r="L281" s="2" t="s">
        <v>2536</v>
      </c>
      <c r="M281" s="2" t="s">
        <v>2519</v>
      </c>
      <c r="N281" t="str">
        <f>TRIM(PROPER(Tabla_auditoría[[#This Row],[ID_Campaña]]))</f>
        <v>Cmp-013</v>
      </c>
      <c r="O281" t="str">
        <f>TRIM(PROPER(Tabla_auditoría[[#This Row],[Canal]]))</f>
        <v>Organic Social</v>
      </c>
      <c r="P281" t="str">
        <f>TRIM(PROPER(Tabla_auditoría[[#This Row],[País]]))</f>
        <v>España</v>
      </c>
      <c r="Q281" t="str">
        <f>TRIM(PROPER(Tabla_auditoría[[#This Row],[Dispositivo]]))</f>
        <v>Desktop</v>
      </c>
      <c r="R281" t="str">
        <f>TRIM(PROPER(Tabla_auditoría[[#This Row],[Tipo_Campaña]]))</f>
        <v>Reconocimiento</v>
      </c>
      <c r="S281" t="str">
        <f>TRIM(PROPER(Tabla_auditoría[[#This Row],[Responsable]]))</f>
        <v>Carlos Ruiz</v>
      </c>
    </row>
    <row r="282" spans="1:19" x14ac:dyDescent="0.3">
      <c r="A282" s="1">
        <v>45843</v>
      </c>
      <c r="B282" s="2" t="s">
        <v>2550</v>
      </c>
      <c r="C282" s="2" t="s">
        <v>2521</v>
      </c>
      <c r="D282" s="2" t="s">
        <v>2525</v>
      </c>
      <c r="E282" s="2" t="s">
        <v>2534</v>
      </c>
      <c r="F282" s="3">
        <v>143309</v>
      </c>
      <c r="G282" s="3">
        <v>10612</v>
      </c>
      <c r="H282" s="3">
        <v>1154</v>
      </c>
      <c r="I282" s="4">
        <v>17117.12</v>
      </c>
      <c r="J282" s="4">
        <v>226014</v>
      </c>
      <c r="K282" s="3">
        <v>840</v>
      </c>
      <c r="L282" s="2" t="s">
        <v>2536</v>
      </c>
      <c r="M282" s="2" t="s">
        <v>2519</v>
      </c>
      <c r="N282" t="str">
        <f>TRIM(PROPER(Tabla_auditoría[[#This Row],[ID_Campaña]]))</f>
        <v>Cmp-008</v>
      </c>
      <c r="O282" t="str">
        <f>TRIM(PROPER(Tabla_auditoría[[#This Row],[Canal]]))</f>
        <v>Paid Search</v>
      </c>
      <c r="P282" t="str">
        <f>TRIM(PROPER(Tabla_auditoría[[#This Row],[País]]))</f>
        <v>Francia</v>
      </c>
      <c r="Q282" t="str">
        <f>TRIM(PROPER(Tabla_auditoría[[#This Row],[Dispositivo]]))</f>
        <v>Tablet</v>
      </c>
      <c r="R282" t="str">
        <f>TRIM(PROPER(Tabla_auditoría[[#This Row],[Tipo_Campaña]]))</f>
        <v>Reconocimiento</v>
      </c>
      <c r="S282" t="str">
        <f>TRIM(PROPER(Tabla_auditoría[[#This Row],[Responsable]]))</f>
        <v>Carlos Ruiz</v>
      </c>
    </row>
    <row r="283" spans="1:19" x14ac:dyDescent="0.3">
      <c r="A283" s="1">
        <v>45681</v>
      </c>
      <c r="B283" s="2" t="s">
        <v>2514</v>
      </c>
      <c r="C283" s="2" t="s">
        <v>2521</v>
      </c>
      <c r="D283" s="2" t="s">
        <v>2528</v>
      </c>
      <c r="E283" s="2" t="s">
        <v>2517</v>
      </c>
      <c r="F283" s="3">
        <v>175738</v>
      </c>
      <c r="G283" s="3">
        <v>6196</v>
      </c>
      <c r="H283" s="3">
        <v>682</v>
      </c>
      <c r="I283" s="4">
        <v>4348.78</v>
      </c>
      <c r="J283" s="4">
        <v>108463.67</v>
      </c>
      <c r="K283" s="3">
        <v>391</v>
      </c>
      <c r="L283" s="2" t="s">
        <v>2523</v>
      </c>
      <c r="M283" s="2" t="s">
        <v>2524</v>
      </c>
      <c r="N283" t="str">
        <f>TRIM(PROPER(Tabla_auditoría[[#This Row],[ID_Campaña]]))</f>
        <v>Cmp-002</v>
      </c>
      <c r="O283" t="str">
        <f>TRIM(PROPER(Tabla_auditoría[[#This Row],[Canal]]))</f>
        <v>Paid Search</v>
      </c>
      <c r="P283" t="str">
        <f>TRIM(PROPER(Tabla_auditoría[[#This Row],[País]]))</f>
        <v>España</v>
      </c>
      <c r="Q283" t="str">
        <f>TRIM(PROPER(Tabla_auditoría[[#This Row],[Dispositivo]]))</f>
        <v>Desktop</v>
      </c>
      <c r="R283" t="str">
        <f>TRIM(PROPER(Tabla_auditoría[[#This Row],[Tipo_Campaña]]))</f>
        <v>Retención</v>
      </c>
      <c r="S283" t="str">
        <f>TRIM(PROPER(Tabla_auditoría[[#This Row],[Responsable]]))</f>
        <v>Luis Martín</v>
      </c>
    </row>
    <row r="284" spans="1:19" x14ac:dyDescent="0.3">
      <c r="A284" s="1">
        <v>45926</v>
      </c>
      <c r="B284" s="2" t="s">
        <v>2565</v>
      </c>
      <c r="C284" s="2" t="s">
        <v>2521</v>
      </c>
      <c r="D284" s="2" t="s">
        <v>2522</v>
      </c>
      <c r="E284" s="2" t="s">
        <v>2529</v>
      </c>
      <c r="F284" s="3">
        <v>108199</v>
      </c>
      <c r="G284" s="3">
        <v>962</v>
      </c>
      <c r="H284" s="3">
        <v>62</v>
      </c>
      <c r="I284" s="4">
        <v>1061.45</v>
      </c>
      <c r="J284" s="4">
        <v>11040.25</v>
      </c>
      <c r="K284" s="3">
        <v>52</v>
      </c>
      <c r="L284" s="2" t="s">
        <v>2523</v>
      </c>
      <c r="M284" s="2" t="s">
        <v>2546</v>
      </c>
      <c r="N284" t="str">
        <f>TRIM(PROPER(Tabla_auditoría[[#This Row],[ID_Campaña]]))</f>
        <v>Cmp-005</v>
      </c>
      <c r="O284" t="str">
        <f>TRIM(PROPER(Tabla_auditoría[[#This Row],[Canal]]))</f>
        <v>Paid Search</v>
      </c>
      <c r="P284" t="str">
        <f>TRIM(PROPER(Tabla_auditoría[[#This Row],[País]]))</f>
        <v>Italia</v>
      </c>
      <c r="Q284" t="str">
        <f>TRIM(PROPER(Tabla_auditoría[[#This Row],[Dispositivo]]))</f>
        <v>Mobile</v>
      </c>
      <c r="R284" t="str">
        <f>TRIM(PROPER(Tabla_auditoría[[#This Row],[Tipo_Campaña]]))</f>
        <v>Retención</v>
      </c>
      <c r="S284" t="str">
        <f>TRIM(PROPER(Tabla_auditoría[[#This Row],[Responsable]]))</f>
        <v>Ana García</v>
      </c>
    </row>
    <row r="285" spans="1:19" x14ac:dyDescent="0.3">
      <c r="A285" s="1">
        <v>45738</v>
      </c>
      <c r="B285" s="2" t="s">
        <v>2535</v>
      </c>
      <c r="C285" s="2" t="s">
        <v>2515</v>
      </c>
      <c r="D285" s="2" t="s">
        <v>2516</v>
      </c>
      <c r="E285" s="2" t="s">
        <v>2517</v>
      </c>
      <c r="F285" s="3">
        <v>167371</v>
      </c>
      <c r="G285" s="3">
        <v>6770</v>
      </c>
      <c r="H285" s="3">
        <v>121</v>
      </c>
      <c r="I285" s="4">
        <v>1108.2</v>
      </c>
      <c r="J285" s="4">
        <v>20362.82</v>
      </c>
      <c r="K285" s="3">
        <v>57</v>
      </c>
      <c r="L285" s="2" t="s">
        <v>2523</v>
      </c>
      <c r="M285" s="2" t="s">
        <v>2537</v>
      </c>
      <c r="N285" t="str">
        <f>TRIM(PROPER(Tabla_auditoría[[#This Row],[ID_Campaña]]))</f>
        <v>Cmp-015</v>
      </c>
      <c r="O285" t="str">
        <f>TRIM(PROPER(Tabla_auditoría[[#This Row],[Canal]]))</f>
        <v>Email</v>
      </c>
      <c r="P285" t="str">
        <f>TRIM(PROPER(Tabla_auditoría[[#This Row],[País]]))</f>
        <v>México</v>
      </c>
      <c r="Q285" t="str">
        <f>TRIM(PROPER(Tabla_auditoría[[#This Row],[Dispositivo]]))</f>
        <v>Desktop</v>
      </c>
      <c r="R285" t="str">
        <f>TRIM(PROPER(Tabla_auditoría[[#This Row],[Tipo_Campaña]]))</f>
        <v>Retención</v>
      </c>
      <c r="S285" t="str">
        <f>TRIM(PROPER(Tabla_auditoría[[#This Row],[Responsable]]))</f>
        <v>Marta López</v>
      </c>
    </row>
    <row r="286" spans="1:19" x14ac:dyDescent="0.3">
      <c r="A286" s="1">
        <v>45763</v>
      </c>
      <c r="B286" s="2" t="s">
        <v>2551</v>
      </c>
      <c r="C286" s="2" t="s">
        <v>2533</v>
      </c>
      <c r="D286" s="2" t="s">
        <v>2528</v>
      </c>
      <c r="E286" s="2" t="s">
        <v>2529</v>
      </c>
      <c r="F286" s="3">
        <v>163224</v>
      </c>
      <c r="G286" s="3">
        <v>163753</v>
      </c>
      <c r="H286" s="3">
        <v>303</v>
      </c>
      <c r="I286" s="4">
        <v>6163.53</v>
      </c>
      <c r="J286" s="4">
        <v>26899.45</v>
      </c>
      <c r="K286" s="3">
        <v>143</v>
      </c>
      <c r="L286" s="2" t="s">
        <v>2523</v>
      </c>
      <c r="M286" s="2" t="s">
        <v>2537</v>
      </c>
      <c r="N286" t="str">
        <f>TRIM(PROPER(Tabla_auditoría[[#This Row],[ID_Campaña]]))</f>
        <v>Cmp-028</v>
      </c>
      <c r="O286" t="str">
        <f>TRIM(PROPER(Tabla_auditoría[[#This Row],[Canal]]))</f>
        <v>Paid Social</v>
      </c>
      <c r="P286" t="str">
        <f>TRIM(PROPER(Tabla_auditoría[[#This Row],[País]]))</f>
        <v>España</v>
      </c>
      <c r="Q286" t="str">
        <f>TRIM(PROPER(Tabla_auditoría[[#This Row],[Dispositivo]]))</f>
        <v>Mobile</v>
      </c>
      <c r="R286" t="str">
        <f>TRIM(PROPER(Tabla_auditoría[[#This Row],[Tipo_Campaña]]))</f>
        <v>Retención</v>
      </c>
      <c r="S286" t="str">
        <f>TRIM(PROPER(Tabla_auditoría[[#This Row],[Responsable]]))</f>
        <v>Marta López</v>
      </c>
    </row>
    <row r="287" spans="1:19" x14ac:dyDescent="0.3">
      <c r="A287" s="1">
        <v>46011</v>
      </c>
      <c r="B287" s="2" t="s">
        <v>2560</v>
      </c>
      <c r="C287" s="2" t="s">
        <v>2533</v>
      </c>
      <c r="D287" s="2" t="s">
        <v>2528</v>
      </c>
      <c r="E287" s="2" t="s">
        <v>2529</v>
      </c>
      <c r="F287" s="3">
        <v>141588</v>
      </c>
      <c r="G287" s="3">
        <v>9887</v>
      </c>
      <c r="H287" s="3">
        <v>1154</v>
      </c>
      <c r="I287" s="4">
        <v>15717.65</v>
      </c>
      <c r="J287" s="4">
        <v>26965.62</v>
      </c>
      <c r="K287" s="3">
        <v>567</v>
      </c>
      <c r="L287" s="2" t="s">
        <v>2536</v>
      </c>
      <c r="M287" s="2" t="s">
        <v>2524</v>
      </c>
      <c r="N287" t="str">
        <f>TRIM(PROPER(Tabla_auditoría[[#This Row],[ID_Campaña]]))</f>
        <v>Cmp-027</v>
      </c>
      <c r="O287" t="str">
        <f>TRIM(PROPER(Tabla_auditoría[[#This Row],[Canal]]))</f>
        <v>Paid Social</v>
      </c>
      <c r="P287" t="str">
        <f>TRIM(PROPER(Tabla_auditoría[[#This Row],[País]]))</f>
        <v>España</v>
      </c>
      <c r="Q287" t="str">
        <f>TRIM(PROPER(Tabla_auditoría[[#This Row],[Dispositivo]]))</f>
        <v>Mobile</v>
      </c>
      <c r="R287" t="str">
        <f>TRIM(PROPER(Tabla_auditoría[[#This Row],[Tipo_Campaña]]))</f>
        <v>Reconocimiento</v>
      </c>
      <c r="S287" t="str">
        <f>TRIM(PROPER(Tabla_auditoría[[#This Row],[Responsable]]))</f>
        <v>Luis Martín</v>
      </c>
    </row>
    <row r="288" spans="1:19" x14ac:dyDescent="0.3">
      <c r="A288" s="1">
        <v>45879</v>
      </c>
      <c r="B288" s="2" t="s">
        <v>2549</v>
      </c>
      <c r="C288" s="2" t="s">
        <v>2543</v>
      </c>
      <c r="D288" s="2" t="s">
        <v>2528</v>
      </c>
      <c r="E288" s="2" t="s">
        <v>2529</v>
      </c>
      <c r="F288" s="3">
        <v>157193</v>
      </c>
      <c r="G288" s="3">
        <v>11883</v>
      </c>
      <c r="H288" s="3">
        <v>322</v>
      </c>
      <c r="I288" s="4">
        <v>21030.240000000002</v>
      </c>
      <c r="J288" s="4">
        <v>60087.95</v>
      </c>
      <c r="K288" s="3">
        <v>173</v>
      </c>
      <c r="L288" s="2" t="s">
        <v>2536</v>
      </c>
      <c r="M288" s="2" t="s">
        <v>2546</v>
      </c>
      <c r="N288" t="str">
        <f>TRIM(PROPER(Tabla_auditoría[[#This Row],[ID_Campaña]]))</f>
        <v>Cmp-007</v>
      </c>
      <c r="O288" t="str">
        <f>TRIM(PROPER(Tabla_auditoría[[#This Row],[Canal]]))</f>
        <v>Organic Social</v>
      </c>
      <c r="P288" t="str">
        <f>TRIM(PROPER(Tabla_auditoría[[#This Row],[País]]))</f>
        <v>España</v>
      </c>
      <c r="Q288" t="str">
        <f>TRIM(PROPER(Tabla_auditoría[[#This Row],[Dispositivo]]))</f>
        <v>Mobile</v>
      </c>
      <c r="R288" t="str">
        <f>TRIM(PROPER(Tabla_auditoría[[#This Row],[Tipo_Campaña]]))</f>
        <v>Reconocimiento</v>
      </c>
      <c r="S288" t="str">
        <f>TRIM(PROPER(Tabla_auditoría[[#This Row],[Responsable]]))</f>
        <v>Ana García</v>
      </c>
    </row>
    <row r="289" spans="1:19" x14ac:dyDescent="0.3">
      <c r="A289" s="1">
        <v>45771</v>
      </c>
      <c r="B289" s="2" t="s">
        <v>2542</v>
      </c>
      <c r="C289" s="2" t="s">
        <v>2527</v>
      </c>
      <c r="D289" s="2" t="s">
        <v>2528</v>
      </c>
      <c r="E289" s="2" t="s">
        <v>2529</v>
      </c>
      <c r="F289" s="3">
        <v>41286</v>
      </c>
      <c r="G289" s="3">
        <v>3027</v>
      </c>
      <c r="H289" s="3">
        <v>308</v>
      </c>
      <c r="I289" s="4">
        <v>5009.13</v>
      </c>
      <c r="J289" s="4">
        <v>19980.95</v>
      </c>
      <c r="K289" s="3">
        <v>263</v>
      </c>
      <c r="L289" s="2" t="s">
        <v>2523</v>
      </c>
      <c r="M289" s="2" t="s">
        <v>2519</v>
      </c>
      <c r="N289" t="str">
        <f>TRIM(PROPER(Tabla_auditoría[[#This Row],[ID_Campaña]]))</f>
        <v>Cmp-025</v>
      </c>
      <c r="O289" t="str">
        <f>TRIM(PROPER(Tabla_auditoría[[#This Row],[Canal]]))</f>
        <v>Affiliate</v>
      </c>
      <c r="P289" t="str">
        <f>TRIM(PROPER(Tabla_auditoría[[#This Row],[País]]))</f>
        <v>España</v>
      </c>
      <c r="Q289" t="str">
        <f>TRIM(PROPER(Tabla_auditoría[[#This Row],[Dispositivo]]))</f>
        <v>Mobile</v>
      </c>
      <c r="R289" t="str">
        <f>TRIM(PROPER(Tabla_auditoría[[#This Row],[Tipo_Campaña]]))</f>
        <v>Retención</v>
      </c>
      <c r="S289" t="str">
        <f>TRIM(PROPER(Tabla_auditoría[[#This Row],[Responsable]]))</f>
        <v>Carlos Ruiz</v>
      </c>
    </row>
    <row r="290" spans="1:19" x14ac:dyDescent="0.3">
      <c r="A290" s="1">
        <v>45957</v>
      </c>
      <c r="B290" s="2" t="s">
        <v>2530</v>
      </c>
      <c r="C290" s="2" t="s">
        <v>2541</v>
      </c>
      <c r="D290" s="2" t="s">
        <v>2528</v>
      </c>
      <c r="E290" s="2" t="s">
        <v>2529</v>
      </c>
      <c r="F290" s="3">
        <v>51906</v>
      </c>
      <c r="G290" s="3">
        <v>1079</v>
      </c>
      <c r="H290" s="3">
        <v>86</v>
      </c>
      <c r="I290" s="4">
        <v>905.95</v>
      </c>
      <c r="J290" s="4">
        <v>10312.540000000001</v>
      </c>
      <c r="K290" s="3">
        <v>53</v>
      </c>
      <c r="L290" s="2" t="s">
        <v>2518</v>
      </c>
      <c r="M290" s="2" t="s">
        <v>2526</v>
      </c>
      <c r="N290" t="str">
        <f>TRIM(PROPER(Tabla_auditoría[[#This Row],[ID_Campaña]]))</f>
        <v>Cmp-026</v>
      </c>
      <c r="O290" t="str">
        <f>TRIM(PROPER(Tabla_auditoría[[#This Row],[Canal]]))</f>
        <v>Display</v>
      </c>
      <c r="P290" t="str">
        <f>TRIM(PROPER(Tabla_auditoría[[#This Row],[País]]))</f>
        <v>España</v>
      </c>
      <c r="Q290" t="str">
        <f>TRIM(PROPER(Tabla_auditoría[[#This Row],[Dispositivo]]))</f>
        <v>Mobile</v>
      </c>
      <c r="R290" t="str">
        <f>TRIM(PROPER(Tabla_auditoría[[#This Row],[Tipo_Campaña]]))</f>
        <v>Adquisición</v>
      </c>
      <c r="S290" t="str">
        <f>TRIM(PROPER(Tabla_auditoría[[#This Row],[Responsable]]))</f>
        <v>Laura Pérez</v>
      </c>
    </row>
    <row r="291" spans="1:19" x14ac:dyDescent="0.3">
      <c r="A291" s="1">
        <v>45839</v>
      </c>
      <c r="B291" s="2" t="s">
        <v>2551</v>
      </c>
      <c r="C291" s="2" t="s">
        <v>2527</v>
      </c>
      <c r="D291" s="2" t="s">
        <v>2528</v>
      </c>
      <c r="E291" s="2" t="s">
        <v>2529</v>
      </c>
      <c r="F291" s="3">
        <v>74448</v>
      </c>
      <c r="G291" s="3">
        <v>4364</v>
      </c>
      <c r="H291" s="3">
        <v>87</v>
      </c>
      <c r="I291" s="4">
        <v>5578.37</v>
      </c>
      <c r="J291" s="4">
        <v>17493.57</v>
      </c>
      <c r="K291" s="3">
        <v>46</v>
      </c>
      <c r="L291" s="2" t="s">
        <v>2539</v>
      </c>
      <c r="M291" s="2" t="s">
        <v>2524</v>
      </c>
      <c r="N291" t="str">
        <f>TRIM(PROPER(Tabla_auditoría[[#This Row],[ID_Campaña]]))</f>
        <v>Cmp-028</v>
      </c>
      <c r="O291" t="str">
        <f>TRIM(PROPER(Tabla_auditoría[[#This Row],[Canal]]))</f>
        <v>Affiliate</v>
      </c>
      <c r="P291" t="str">
        <f>TRIM(PROPER(Tabla_auditoría[[#This Row],[País]]))</f>
        <v>España</v>
      </c>
      <c r="Q291" t="str">
        <f>TRIM(PROPER(Tabla_auditoría[[#This Row],[Dispositivo]]))</f>
        <v>Mobile</v>
      </c>
      <c r="R291" t="str">
        <f>TRIM(PROPER(Tabla_auditoría[[#This Row],[Tipo_Campaña]]))</f>
        <v>Conversión</v>
      </c>
      <c r="S291" t="str">
        <f>TRIM(PROPER(Tabla_auditoría[[#This Row],[Responsable]]))</f>
        <v>Luis Martín</v>
      </c>
    </row>
    <row r="292" spans="1:19" x14ac:dyDescent="0.3">
      <c r="A292" s="1">
        <v>45866</v>
      </c>
      <c r="B292" s="2" t="s">
        <v>2535</v>
      </c>
      <c r="D292" s="2" t="s">
        <v>2528</v>
      </c>
      <c r="E292" s="2" t="s">
        <v>2529</v>
      </c>
      <c r="F292" s="3">
        <v>10297</v>
      </c>
      <c r="G292" s="3">
        <v>548</v>
      </c>
      <c r="H292" s="3">
        <v>4</v>
      </c>
      <c r="I292" s="4">
        <v>590.85</v>
      </c>
      <c r="J292" s="4">
        <v>710.3</v>
      </c>
      <c r="K292" s="3">
        <v>2</v>
      </c>
      <c r="L292" s="2" t="s">
        <v>2518</v>
      </c>
      <c r="M292" s="2" t="s">
        <v>2519</v>
      </c>
      <c r="N292" t="str">
        <f>TRIM(PROPER(Tabla_auditoría[[#This Row],[ID_Campaña]]))</f>
        <v>Cmp-015</v>
      </c>
      <c r="O292" t="str">
        <f>TRIM(PROPER(Tabla_auditoría[[#This Row],[Canal]]))</f>
        <v/>
      </c>
      <c r="P292" t="str">
        <f>TRIM(PROPER(Tabla_auditoría[[#This Row],[País]]))</f>
        <v>España</v>
      </c>
      <c r="Q292" t="str">
        <f>TRIM(PROPER(Tabla_auditoría[[#This Row],[Dispositivo]]))</f>
        <v>Mobile</v>
      </c>
      <c r="R292" t="str">
        <f>TRIM(PROPER(Tabla_auditoría[[#This Row],[Tipo_Campaña]]))</f>
        <v>Adquisición</v>
      </c>
      <c r="S292" t="str">
        <f>TRIM(PROPER(Tabla_auditoría[[#This Row],[Responsable]]))</f>
        <v>Carlos Ruiz</v>
      </c>
    </row>
    <row r="293" spans="1:19" x14ac:dyDescent="0.3">
      <c r="A293" s="1">
        <v>45725</v>
      </c>
      <c r="B293" s="2" t="s">
        <v>2535</v>
      </c>
      <c r="C293" s="2" t="s">
        <v>2527</v>
      </c>
      <c r="D293" s="2" t="s">
        <v>2528</v>
      </c>
      <c r="E293" s="2" t="s">
        <v>2517</v>
      </c>
      <c r="F293" s="3">
        <v>23297</v>
      </c>
      <c r="G293" s="3">
        <v>1091</v>
      </c>
      <c r="H293" s="3">
        <v>58</v>
      </c>
      <c r="I293" s="4">
        <v>1702.07</v>
      </c>
      <c r="J293" s="4">
        <v>3133.53</v>
      </c>
      <c r="K293" s="3">
        <v>31</v>
      </c>
      <c r="L293" s="2" t="s">
        <v>2536</v>
      </c>
      <c r="M293" s="2" t="s">
        <v>2526</v>
      </c>
      <c r="N293" t="str">
        <f>TRIM(PROPER(Tabla_auditoría[[#This Row],[ID_Campaña]]))</f>
        <v>Cmp-015</v>
      </c>
      <c r="O293" t="str">
        <f>TRIM(PROPER(Tabla_auditoría[[#This Row],[Canal]]))</f>
        <v>Affiliate</v>
      </c>
      <c r="P293" t="str">
        <f>TRIM(PROPER(Tabla_auditoría[[#This Row],[País]]))</f>
        <v>España</v>
      </c>
      <c r="Q293" t="str">
        <f>TRIM(PROPER(Tabla_auditoría[[#This Row],[Dispositivo]]))</f>
        <v>Desktop</v>
      </c>
      <c r="R293" t="str">
        <f>TRIM(PROPER(Tabla_auditoría[[#This Row],[Tipo_Campaña]]))</f>
        <v>Reconocimiento</v>
      </c>
      <c r="S293" t="str">
        <f>TRIM(PROPER(Tabla_auditoría[[#This Row],[Responsable]]))</f>
        <v>Laura Pérez</v>
      </c>
    </row>
    <row r="294" spans="1:19" x14ac:dyDescent="0.3">
      <c r="A294" s="1">
        <v>46020</v>
      </c>
      <c r="B294" s="2" t="s">
        <v>2530</v>
      </c>
      <c r="C294" s="2" t="s">
        <v>2533</v>
      </c>
      <c r="D294" s="2" t="s">
        <v>2525</v>
      </c>
      <c r="E294" s="2" t="s">
        <v>2517</v>
      </c>
      <c r="F294" s="3">
        <v>28312</v>
      </c>
      <c r="G294" s="3">
        <v>1297</v>
      </c>
      <c r="H294" s="3">
        <v>161</v>
      </c>
      <c r="I294" s="4">
        <v>1403.33</v>
      </c>
      <c r="J294" s="4">
        <v>16821.11</v>
      </c>
      <c r="K294" s="3">
        <v>132</v>
      </c>
      <c r="L294" s="2" t="s">
        <v>2539</v>
      </c>
      <c r="M294" s="2" t="s">
        <v>2537</v>
      </c>
      <c r="N294" t="str">
        <f>TRIM(PROPER(Tabla_auditoría[[#This Row],[ID_Campaña]]))</f>
        <v>Cmp-026</v>
      </c>
      <c r="O294" t="str">
        <f>TRIM(PROPER(Tabla_auditoría[[#This Row],[Canal]]))</f>
        <v>Paid Social</v>
      </c>
      <c r="P294" t="str">
        <f>TRIM(PROPER(Tabla_auditoría[[#This Row],[País]]))</f>
        <v>Francia</v>
      </c>
      <c r="Q294" t="str">
        <f>TRIM(PROPER(Tabla_auditoría[[#This Row],[Dispositivo]]))</f>
        <v>Desktop</v>
      </c>
      <c r="R294" t="str">
        <f>TRIM(PROPER(Tabla_auditoría[[#This Row],[Tipo_Campaña]]))</f>
        <v>Conversión</v>
      </c>
      <c r="S294" t="str">
        <f>TRIM(PROPER(Tabla_auditoría[[#This Row],[Responsable]]))</f>
        <v>Marta López</v>
      </c>
    </row>
    <row r="295" spans="1:19" x14ac:dyDescent="0.3">
      <c r="A295" s="1">
        <v>45994</v>
      </c>
      <c r="B295" s="2" t="s">
        <v>2569</v>
      </c>
      <c r="C295" s="2" t="s">
        <v>2515</v>
      </c>
      <c r="D295" s="2" t="s">
        <v>2528</v>
      </c>
      <c r="E295" s="2" t="s">
        <v>2517</v>
      </c>
      <c r="F295" s="3">
        <v>44740</v>
      </c>
      <c r="G295" s="3">
        <v>2017</v>
      </c>
      <c r="H295" s="3">
        <v>35</v>
      </c>
      <c r="I295" s="4">
        <v>1810.86</v>
      </c>
      <c r="J295" s="4">
        <v>5613.76</v>
      </c>
      <c r="K295" s="3">
        <v>26</v>
      </c>
      <c r="L295" s="2" t="s">
        <v>2523</v>
      </c>
      <c r="M295" s="2" t="s">
        <v>2546</v>
      </c>
      <c r="N295" t="str">
        <f>TRIM(PROPER(Tabla_auditoría[[#This Row],[ID_Campaña]]))</f>
        <v>Cmp-013</v>
      </c>
      <c r="O295" t="str">
        <f>TRIM(PROPER(Tabla_auditoría[[#This Row],[Canal]]))</f>
        <v>Email</v>
      </c>
      <c r="P295" t="str">
        <f>TRIM(PROPER(Tabla_auditoría[[#This Row],[País]]))</f>
        <v>España</v>
      </c>
      <c r="Q295" t="str">
        <f>TRIM(PROPER(Tabla_auditoría[[#This Row],[Dispositivo]]))</f>
        <v>Desktop</v>
      </c>
      <c r="R295" t="str">
        <f>TRIM(PROPER(Tabla_auditoría[[#This Row],[Tipo_Campaña]]))</f>
        <v>Retención</v>
      </c>
      <c r="S295" t="str">
        <f>TRIM(PROPER(Tabla_auditoría[[#This Row],[Responsable]]))</f>
        <v>Ana García</v>
      </c>
    </row>
    <row r="296" spans="1:19" x14ac:dyDescent="0.3">
      <c r="A296" s="1">
        <v>45678</v>
      </c>
      <c r="B296" s="2" t="s">
        <v>2563</v>
      </c>
      <c r="C296" s="2" t="s">
        <v>2527</v>
      </c>
      <c r="D296" s="2" t="s">
        <v>2516</v>
      </c>
      <c r="E296" s="2" t="s">
        <v>2517</v>
      </c>
      <c r="F296" s="3">
        <v>16741</v>
      </c>
      <c r="G296" s="3">
        <v>700</v>
      </c>
      <c r="H296" s="3">
        <v>29</v>
      </c>
      <c r="I296" s="4">
        <v>448.9</v>
      </c>
      <c r="J296" s="4">
        <v>5960.88</v>
      </c>
      <c r="K296" s="3">
        <v>25</v>
      </c>
      <c r="L296" s="2" t="s">
        <v>2523</v>
      </c>
      <c r="M296" s="2" t="s">
        <v>2537</v>
      </c>
      <c r="N296" t="str">
        <f>TRIM(PROPER(Tabla_auditoría[[#This Row],[ID_Campaña]]))</f>
        <v>Cmp-023</v>
      </c>
      <c r="O296" t="str">
        <f>TRIM(PROPER(Tabla_auditoría[[#This Row],[Canal]]))</f>
        <v>Affiliate</v>
      </c>
      <c r="P296" t="str">
        <f>TRIM(PROPER(Tabla_auditoría[[#This Row],[País]]))</f>
        <v>México</v>
      </c>
      <c r="Q296" t="str">
        <f>TRIM(PROPER(Tabla_auditoría[[#This Row],[Dispositivo]]))</f>
        <v>Desktop</v>
      </c>
      <c r="R296" t="str">
        <f>TRIM(PROPER(Tabla_auditoría[[#This Row],[Tipo_Campaña]]))</f>
        <v>Retención</v>
      </c>
      <c r="S296" t="str">
        <f>TRIM(PROPER(Tabla_auditoría[[#This Row],[Responsable]]))</f>
        <v>Marta López</v>
      </c>
    </row>
    <row r="297" spans="1:19" x14ac:dyDescent="0.3">
      <c r="A297" s="1">
        <v>45745</v>
      </c>
      <c r="B297" s="2" t="s">
        <v>2571</v>
      </c>
      <c r="C297" s="2" t="s">
        <v>2527</v>
      </c>
      <c r="D297" s="2" t="s">
        <v>2525</v>
      </c>
      <c r="E297" s="2" t="s">
        <v>2529</v>
      </c>
      <c r="F297" s="3">
        <v>71816</v>
      </c>
      <c r="G297" s="3">
        <v>971</v>
      </c>
      <c r="H297" s="3">
        <v>72</v>
      </c>
      <c r="I297" s="4">
        <v>773.45</v>
      </c>
      <c r="J297" s="4">
        <v>6667.06</v>
      </c>
      <c r="K297" s="3">
        <v>43</v>
      </c>
      <c r="L297" s="2" t="s">
        <v>2518</v>
      </c>
      <c r="M297" s="2" t="s">
        <v>2524</v>
      </c>
      <c r="N297" t="str">
        <f>TRIM(PROPER(Tabla_auditoría[[#This Row],[ID_Campaña]]))</f>
        <v>Cmp-029</v>
      </c>
      <c r="O297" t="str">
        <f>TRIM(PROPER(Tabla_auditoría[[#This Row],[Canal]]))</f>
        <v>Affiliate</v>
      </c>
      <c r="P297" t="str">
        <f>TRIM(PROPER(Tabla_auditoría[[#This Row],[País]]))</f>
        <v>Francia</v>
      </c>
      <c r="Q297" t="str">
        <f>TRIM(PROPER(Tabla_auditoría[[#This Row],[Dispositivo]]))</f>
        <v>Mobile</v>
      </c>
      <c r="R297" t="str">
        <f>TRIM(PROPER(Tabla_auditoría[[#This Row],[Tipo_Campaña]]))</f>
        <v>Adquisición</v>
      </c>
      <c r="S297" t="str">
        <f>TRIM(PROPER(Tabla_auditoría[[#This Row],[Responsable]]))</f>
        <v>Luis Martín</v>
      </c>
    </row>
    <row r="298" spans="1:19" x14ac:dyDescent="0.3">
      <c r="A298" s="1">
        <v>45993</v>
      </c>
      <c r="B298" s="2" t="s">
        <v>2530</v>
      </c>
      <c r="C298" s="2" t="s">
        <v>2541</v>
      </c>
      <c r="D298" s="2" t="s">
        <v>2522</v>
      </c>
      <c r="E298" s="2" t="s">
        <v>2534</v>
      </c>
      <c r="F298" s="3">
        <v>14732</v>
      </c>
      <c r="G298" s="3">
        <v>1305</v>
      </c>
      <c r="H298" s="3">
        <v>135</v>
      </c>
      <c r="I298" s="4">
        <v>957.79</v>
      </c>
      <c r="J298" s="4">
        <v>8015.26</v>
      </c>
      <c r="K298" s="3">
        <v>78</v>
      </c>
      <c r="L298" s="2" t="s">
        <v>2523</v>
      </c>
      <c r="M298" s="2" t="s">
        <v>2524</v>
      </c>
      <c r="N298" t="str">
        <f>TRIM(PROPER(Tabla_auditoría[[#This Row],[ID_Campaña]]))</f>
        <v>Cmp-026</v>
      </c>
      <c r="O298" t="str">
        <f>TRIM(PROPER(Tabla_auditoría[[#This Row],[Canal]]))</f>
        <v>Display</v>
      </c>
      <c r="P298" t="str">
        <f>TRIM(PROPER(Tabla_auditoría[[#This Row],[País]]))</f>
        <v>Italia</v>
      </c>
      <c r="Q298" t="str">
        <f>TRIM(PROPER(Tabla_auditoría[[#This Row],[Dispositivo]]))</f>
        <v>Tablet</v>
      </c>
      <c r="R298" t="str">
        <f>TRIM(PROPER(Tabla_auditoría[[#This Row],[Tipo_Campaña]]))</f>
        <v>Retención</v>
      </c>
      <c r="S298" t="str">
        <f>TRIM(PROPER(Tabla_auditoría[[#This Row],[Responsable]]))</f>
        <v>Luis Martín</v>
      </c>
    </row>
    <row r="299" spans="1:19" x14ac:dyDescent="0.3">
      <c r="A299" s="1">
        <v>45800</v>
      </c>
      <c r="B299" s="2" t="s">
        <v>2552</v>
      </c>
      <c r="C299" s="2" t="s">
        <v>2527</v>
      </c>
      <c r="D299" s="2" t="s">
        <v>2528</v>
      </c>
      <c r="E299" s="2" t="s">
        <v>2529</v>
      </c>
      <c r="F299" s="3">
        <v>64904</v>
      </c>
      <c r="G299" s="3">
        <v>5053</v>
      </c>
      <c r="H299" s="3">
        <v>512</v>
      </c>
      <c r="I299" s="4">
        <v>10051.280000000001</v>
      </c>
      <c r="J299" s="4">
        <v>19429.25</v>
      </c>
      <c r="K299" s="3">
        <v>338</v>
      </c>
      <c r="L299" s="2" t="s">
        <v>2536</v>
      </c>
      <c r="M299" s="2" t="s">
        <v>2524</v>
      </c>
      <c r="N299" t="str">
        <f>TRIM(PROPER(Tabla_auditoría[[#This Row],[ID_Campaña]]))</f>
        <v>Cmp-012</v>
      </c>
      <c r="O299" t="str">
        <f>TRIM(PROPER(Tabla_auditoría[[#This Row],[Canal]]))</f>
        <v>Affiliate</v>
      </c>
      <c r="P299" t="str">
        <f>TRIM(PROPER(Tabla_auditoría[[#This Row],[País]]))</f>
        <v>España</v>
      </c>
      <c r="Q299" t="str">
        <f>TRIM(PROPER(Tabla_auditoría[[#This Row],[Dispositivo]]))</f>
        <v>Mobile</v>
      </c>
      <c r="R299" t="str">
        <f>TRIM(PROPER(Tabla_auditoría[[#This Row],[Tipo_Campaña]]))</f>
        <v>Reconocimiento</v>
      </c>
      <c r="S299" t="str">
        <f>TRIM(PROPER(Tabla_auditoría[[#This Row],[Responsable]]))</f>
        <v>Luis Martín</v>
      </c>
    </row>
    <row r="300" spans="1:19" x14ac:dyDescent="0.3">
      <c r="A300" s="1">
        <v>45735</v>
      </c>
      <c r="B300" s="2" t="s">
        <v>2568</v>
      </c>
      <c r="C300" s="2" t="s">
        <v>2521</v>
      </c>
      <c r="D300" s="2" t="s">
        <v>2525</v>
      </c>
      <c r="E300" s="2" t="s">
        <v>2529</v>
      </c>
      <c r="F300" s="3">
        <v>99094</v>
      </c>
      <c r="G300" s="3">
        <v>4193</v>
      </c>
      <c r="H300" s="3">
        <v>444</v>
      </c>
      <c r="I300" s="4">
        <v>4184.8999999999996</v>
      </c>
      <c r="J300" s="4">
        <v>80376.570000000007</v>
      </c>
      <c r="K300" s="3">
        <v>397</v>
      </c>
      <c r="L300" s="2" t="s">
        <v>2518</v>
      </c>
      <c r="M300" s="2" t="s">
        <v>2526</v>
      </c>
      <c r="N300" t="str">
        <f>TRIM(PROPER(Tabla_auditoría[[#This Row],[ID_Campaña]]))</f>
        <v>Cmp-020</v>
      </c>
      <c r="O300" t="str">
        <f>TRIM(PROPER(Tabla_auditoría[[#This Row],[Canal]]))</f>
        <v>Paid Search</v>
      </c>
      <c r="P300" t="str">
        <f>TRIM(PROPER(Tabla_auditoría[[#This Row],[País]]))</f>
        <v>Francia</v>
      </c>
      <c r="Q300" t="str">
        <f>TRIM(PROPER(Tabla_auditoría[[#This Row],[Dispositivo]]))</f>
        <v>Mobile</v>
      </c>
      <c r="R300" t="str">
        <f>TRIM(PROPER(Tabla_auditoría[[#This Row],[Tipo_Campaña]]))</f>
        <v>Adquisición</v>
      </c>
      <c r="S300" t="str">
        <f>TRIM(PROPER(Tabla_auditoría[[#This Row],[Responsable]]))</f>
        <v>Laura Pérez</v>
      </c>
    </row>
    <row r="301" spans="1:19" x14ac:dyDescent="0.3">
      <c r="A301" s="1">
        <v>45917</v>
      </c>
      <c r="B301" s="2" t="s">
        <v>2557</v>
      </c>
      <c r="C301" s="2" t="s">
        <v>2521</v>
      </c>
      <c r="D301" s="2" t="s">
        <v>2522</v>
      </c>
      <c r="E301" s="2" t="s">
        <v>2517</v>
      </c>
      <c r="F301" s="3">
        <v>90201</v>
      </c>
      <c r="G301" s="3">
        <v>4310</v>
      </c>
      <c r="H301" s="3">
        <v>48</v>
      </c>
      <c r="I301" s="4">
        <v>7474.8</v>
      </c>
      <c r="J301" s="4">
        <v>7974.93</v>
      </c>
      <c r="K301" s="3">
        <v>27</v>
      </c>
      <c r="L301" s="2" t="s">
        <v>2536</v>
      </c>
      <c r="M301" s="2" t="s">
        <v>2546</v>
      </c>
      <c r="N301" t="str">
        <f>TRIM(PROPER(Tabla_auditoría[[#This Row],[ID_Campaña]]))</f>
        <v>Cmp-030</v>
      </c>
      <c r="O301" t="str">
        <f>TRIM(PROPER(Tabla_auditoría[[#This Row],[Canal]]))</f>
        <v>Paid Search</v>
      </c>
      <c r="P301" t="str">
        <f>TRIM(PROPER(Tabla_auditoría[[#This Row],[País]]))</f>
        <v>Italia</v>
      </c>
      <c r="Q301" t="str">
        <f>TRIM(PROPER(Tabla_auditoría[[#This Row],[Dispositivo]]))</f>
        <v>Desktop</v>
      </c>
      <c r="R301" t="str">
        <f>TRIM(PROPER(Tabla_auditoría[[#This Row],[Tipo_Campaña]]))</f>
        <v>Reconocimiento</v>
      </c>
      <c r="S301" t="str">
        <f>TRIM(PROPER(Tabla_auditoría[[#This Row],[Responsable]]))</f>
        <v>Ana García</v>
      </c>
    </row>
    <row r="302" spans="1:19" x14ac:dyDescent="0.3">
      <c r="A302" s="1">
        <v>45901</v>
      </c>
      <c r="B302" s="2" t="s">
        <v>2514</v>
      </c>
      <c r="C302" s="2" t="s">
        <v>2515</v>
      </c>
      <c r="D302" s="2" t="s">
        <v>2516</v>
      </c>
      <c r="E302" s="2" t="s">
        <v>2529</v>
      </c>
      <c r="F302" s="3">
        <v>103498</v>
      </c>
      <c r="G302" s="3">
        <v>3048</v>
      </c>
      <c r="H302" s="3">
        <v>419</v>
      </c>
      <c r="I302" s="4">
        <v>4067.56</v>
      </c>
      <c r="J302" s="4">
        <v>78539.23</v>
      </c>
      <c r="K302" s="3">
        <v>250</v>
      </c>
      <c r="L302" s="2" t="s">
        <v>2539</v>
      </c>
      <c r="M302" s="2" t="s">
        <v>2519</v>
      </c>
      <c r="N302" t="str">
        <f>TRIM(PROPER(Tabla_auditoría[[#This Row],[ID_Campaña]]))</f>
        <v>Cmp-002</v>
      </c>
      <c r="O302" t="str">
        <f>TRIM(PROPER(Tabla_auditoría[[#This Row],[Canal]]))</f>
        <v>Email</v>
      </c>
      <c r="P302" t="str">
        <f>TRIM(PROPER(Tabla_auditoría[[#This Row],[País]]))</f>
        <v>México</v>
      </c>
      <c r="Q302" t="str">
        <f>TRIM(PROPER(Tabla_auditoría[[#This Row],[Dispositivo]]))</f>
        <v>Mobile</v>
      </c>
      <c r="R302" t="str">
        <f>TRIM(PROPER(Tabla_auditoría[[#This Row],[Tipo_Campaña]]))</f>
        <v>Conversión</v>
      </c>
      <c r="S302" t="str">
        <f>TRIM(PROPER(Tabla_auditoría[[#This Row],[Responsable]]))</f>
        <v>Carlos Ruiz</v>
      </c>
    </row>
    <row r="303" spans="1:19" x14ac:dyDescent="0.3">
      <c r="A303" s="1">
        <v>45754</v>
      </c>
      <c r="B303" s="2" t="s">
        <v>2571</v>
      </c>
      <c r="C303" s="2" t="s">
        <v>2515</v>
      </c>
      <c r="D303" s="2" t="s">
        <v>2522</v>
      </c>
      <c r="E303" s="2" t="s">
        <v>2517</v>
      </c>
      <c r="F303" s="3">
        <v>2827</v>
      </c>
      <c r="G303" s="3">
        <v>54</v>
      </c>
      <c r="H303" s="3">
        <v>0</v>
      </c>
      <c r="I303" s="4">
        <v>17.88</v>
      </c>
      <c r="J303" s="4">
        <v>0</v>
      </c>
      <c r="K303" s="3">
        <v>0</v>
      </c>
      <c r="L303" s="2" t="s">
        <v>2518</v>
      </c>
      <c r="M303" s="2" t="s">
        <v>2537</v>
      </c>
      <c r="N303" t="str">
        <f>TRIM(PROPER(Tabla_auditoría[[#This Row],[ID_Campaña]]))</f>
        <v>Cmp-029</v>
      </c>
      <c r="O303" t="str">
        <f>TRIM(PROPER(Tabla_auditoría[[#This Row],[Canal]]))</f>
        <v>Email</v>
      </c>
      <c r="P303" t="str">
        <f>TRIM(PROPER(Tabla_auditoría[[#This Row],[País]]))</f>
        <v>Italia</v>
      </c>
      <c r="Q303" t="str">
        <f>TRIM(PROPER(Tabla_auditoría[[#This Row],[Dispositivo]]))</f>
        <v>Desktop</v>
      </c>
      <c r="R303" t="str">
        <f>TRIM(PROPER(Tabla_auditoría[[#This Row],[Tipo_Campaña]]))</f>
        <v>Adquisición</v>
      </c>
      <c r="S303" t="str">
        <f>TRIM(PROPER(Tabla_auditoría[[#This Row],[Responsable]]))</f>
        <v>Marta López</v>
      </c>
    </row>
    <row r="304" spans="1:19" x14ac:dyDescent="0.3">
      <c r="A304" s="1">
        <v>45903</v>
      </c>
      <c r="B304" s="2" t="s">
        <v>2552</v>
      </c>
      <c r="C304" s="2" t="s">
        <v>2527</v>
      </c>
      <c r="D304" s="2" t="s">
        <v>2528</v>
      </c>
      <c r="E304" s="2" t="s">
        <v>2529</v>
      </c>
      <c r="F304" s="3">
        <v>42588</v>
      </c>
      <c r="G304" s="3">
        <v>2351</v>
      </c>
      <c r="H304" s="3">
        <v>121</v>
      </c>
      <c r="I304" s="4">
        <v>1117.48</v>
      </c>
      <c r="J304" s="4">
        <v>9206.17</v>
      </c>
      <c r="K304" s="3">
        <v>77</v>
      </c>
      <c r="L304" s="2" t="s">
        <v>2536</v>
      </c>
      <c r="M304" s="2" t="s">
        <v>2546</v>
      </c>
      <c r="N304" t="str">
        <f>TRIM(PROPER(Tabla_auditoría[[#This Row],[ID_Campaña]]))</f>
        <v>Cmp-012</v>
      </c>
      <c r="O304" t="str">
        <f>TRIM(PROPER(Tabla_auditoría[[#This Row],[Canal]]))</f>
        <v>Affiliate</v>
      </c>
      <c r="P304" t="str">
        <f>TRIM(PROPER(Tabla_auditoría[[#This Row],[País]]))</f>
        <v>España</v>
      </c>
      <c r="Q304" t="str">
        <f>TRIM(PROPER(Tabla_auditoría[[#This Row],[Dispositivo]]))</f>
        <v>Mobile</v>
      </c>
      <c r="R304" t="str">
        <f>TRIM(PROPER(Tabla_auditoría[[#This Row],[Tipo_Campaña]]))</f>
        <v>Reconocimiento</v>
      </c>
      <c r="S304" t="str">
        <f>TRIM(PROPER(Tabla_auditoría[[#This Row],[Responsable]]))</f>
        <v>Ana García</v>
      </c>
    </row>
    <row r="305" spans="1:19" x14ac:dyDescent="0.3">
      <c r="A305" s="1">
        <v>45736</v>
      </c>
      <c r="B305" s="2" t="s">
        <v>2545</v>
      </c>
      <c r="C305" s="2" t="s">
        <v>2533</v>
      </c>
      <c r="D305" s="2" t="s">
        <v>2528</v>
      </c>
      <c r="E305" s="2" t="s">
        <v>2529</v>
      </c>
      <c r="F305" s="3">
        <v>95361</v>
      </c>
      <c r="G305" s="3">
        <v>1833</v>
      </c>
      <c r="H305" s="3">
        <v>162</v>
      </c>
      <c r="I305" s="4">
        <v>1415.64</v>
      </c>
      <c r="J305" s="4">
        <v>19044.169999999998</v>
      </c>
      <c r="K305" s="3">
        <v>103</v>
      </c>
      <c r="L305" s="2" t="s">
        <v>2523</v>
      </c>
      <c r="M305" s="2" t="s">
        <v>2537</v>
      </c>
      <c r="N305" t="str">
        <f>TRIM(PROPER(Tabla_auditoría[[#This Row],[ID_Campaña]]))</f>
        <v>Cmp-011</v>
      </c>
      <c r="O305" t="str">
        <f>TRIM(PROPER(Tabla_auditoría[[#This Row],[Canal]]))</f>
        <v>Paid Social</v>
      </c>
      <c r="P305" t="str">
        <f>TRIM(PROPER(Tabla_auditoría[[#This Row],[País]]))</f>
        <v>España</v>
      </c>
      <c r="Q305" t="str">
        <f>TRIM(PROPER(Tabla_auditoría[[#This Row],[Dispositivo]]))</f>
        <v>Mobile</v>
      </c>
      <c r="R305" t="str">
        <f>TRIM(PROPER(Tabla_auditoría[[#This Row],[Tipo_Campaña]]))</f>
        <v>Retención</v>
      </c>
      <c r="S305" t="str">
        <f>TRIM(PROPER(Tabla_auditoría[[#This Row],[Responsable]]))</f>
        <v>Marta López</v>
      </c>
    </row>
    <row r="306" spans="1:19" x14ac:dyDescent="0.3">
      <c r="A306" s="1">
        <v>46005</v>
      </c>
      <c r="B306" s="2" t="s">
        <v>2542</v>
      </c>
      <c r="C306" s="2" t="s">
        <v>2521</v>
      </c>
      <c r="D306" s="2" t="s">
        <v>2516</v>
      </c>
      <c r="E306" s="2" t="s">
        <v>2534</v>
      </c>
      <c r="F306" s="3">
        <v>165746</v>
      </c>
      <c r="G306" s="3">
        <v>8889</v>
      </c>
      <c r="H306" s="3">
        <v>300</v>
      </c>
      <c r="I306" s="4">
        <v>15327.29</v>
      </c>
      <c r="J306" s="4">
        <v>64209.86</v>
      </c>
      <c r="K306" s="3">
        <v>219</v>
      </c>
      <c r="L306" s="2" t="s">
        <v>2523</v>
      </c>
      <c r="M306" s="2" t="s">
        <v>2524</v>
      </c>
      <c r="N306" t="str">
        <f>TRIM(PROPER(Tabla_auditoría[[#This Row],[ID_Campaña]]))</f>
        <v>Cmp-025</v>
      </c>
      <c r="O306" t="str">
        <f>TRIM(PROPER(Tabla_auditoría[[#This Row],[Canal]]))</f>
        <v>Paid Search</v>
      </c>
      <c r="P306" t="str">
        <f>TRIM(PROPER(Tabla_auditoría[[#This Row],[País]]))</f>
        <v>México</v>
      </c>
      <c r="Q306" t="str">
        <f>TRIM(PROPER(Tabla_auditoría[[#This Row],[Dispositivo]]))</f>
        <v>Tablet</v>
      </c>
      <c r="R306" t="str">
        <f>TRIM(PROPER(Tabla_auditoría[[#This Row],[Tipo_Campaña]]))</f>
        <v>Retención</v>
      </c>
      <c r="S306" t="str">
        <f>TRIM(PROPER(Tabla_auditoría[[#This Row],[Responsable]]))</f>
        <v>Luis Martín</v>
      </c>
    </row>
    <row r="307" spans="1:19" x14ac:dyDescent="0.3">
      <c r="A307" s="1">
        <v>45924</v>
      </c>
      <c r="B307" s="2" t="s">
        <v>2520</v>
      </c>
      <c r="C307" s="2" t="s">
        <v>2541</v>
      </c>
      <c r="D307" s="2" t="s">
        <v>2580</v>
      </c>
      <c r="E307" s="2" t="s">
        <v>2517</v>
      </c>
      <c r="F307" s="3">
        <v>61892</v>
      </c>
      <c r="G307" s="3">
        <v>5375</v>
      </c>
      <c r="H307" s="3">
        <v>173</v>
      </c>
      <c r="I307" s="4">
        <v>3920.91</v>
      </c>
      <c r="J307" s="4">
        <v>19891.580000000002</v>
      </c>
      <c r="K307" s="3">
        <v>120</v>
      </c>
      <c r="L307" s="2" t="s">
        <v>2523</v>
      </c>
      <c r="M307" s="2" t="s">
        <v>2524</v>
      </c>
      <c r="N307" t="str">
        <f>TRIM(PROPER(Tabla_auditoría[[#This Row],[ID_Campaña]]))</f>
        <v>Cmp-009</v>
      </c>
      <c r="O307" t="str">
        <f>TRIM(PROPER(Tabla_auditoría[[#This Row],[Canal]]))</f>
        <v>Display</v>
      </c>
      <c r="P307" t="str">
        <f>TRIM(PROPER(Tabla_auditoría[[#This Row],[País]]))</f>
        <v>México</v>
      </c>
      <c r="Q307" t="str">
        <f>TRIM(PROPER(Tabla_auditoría[[#This Row],[Dispositivo]]))</f>
        <v>Desktop</v>
      </c>
      <c r="R307" t="str">
        <f>TRIM(PROPER(Tabla_auditoría[[#This Row],[Tipo_Campaña]]))</f>
        <v>Retención</v>
      </c>
      <c r="S307" t="str">
        <f>TRIM(PROPER(Tabla_auditoría[[#This Row],[Responsable]]))</f>
        <v>Luis Martín</v>
      </c>
    </row>
    <row r="308" spans="1:19" x14ac:dyDescent="0.3">
      <c r="A308" s="1">
        <v>45764</v>
      </c>
      <c r="B308" s="2" t="s">
        <v>2570</v>
      </c>
      <c r="C308" s="2" t="s">
        <v>2515</v>
      </c>
      <c r="D308" s="2" t="s">
        <v>2528</v>
      </c>
      <c r="E308" s="2" t="s">
        <v>2559</v>
      </c>
      <c r="F308" s="3">
        <v>140194</v>
      </c>
      <c r="G308" s="3">
        <v>9802</v>
      </c>
      <c r="H308" s="3">
        <v>1092</v>
      </c>
      <c r="I308" s="4">
        <v>2069.8200000000002</v>
      </c>
      <c r="J308" s="4">
        <v>137377.51</v>
      </c>
      <c r="K308" s="3">
        <v>599</v>
      </c>
      <c r="L308" s="2" t="s">
        <v>2539</v>
      </c>
      <c r="M308" s="2" t="s">
        <v>2524</v>
      </c>
      <c r="N308" t="str">
        <f>TRIM(PROPER(Tabla_auditoría[[#This Row],[ID_Campaña]]))</f>
        <v>Cmp-016</v>
      </c>
      <c r="O308" t="str">
        <f>TRIM(PROPER(Tabla_auditoría[[#This Row],[Canal]]))</f>
        <v>Email</v>
      </c>
      <c r="P308" t="str">
        <f>TRIM(PROPER(Tabla_auditoría[[#This Row],[País]]))</f>
        <v>España</v>
      </c>
      <c r="Q308" t="str">
        <f>TRIM(PROPER(Tabla_auditoría[[#This Row],[Dispositivo]]))</f>
        <v>Desktop</v>
      </c>
      <c r="R308" t="str">
        <f>TRIM(PROPER(Tabla_auditoría[[#This Row],[Tipo_Campaña]]))</f>
        <v>Conversión</v>
      </c>
      <c r="S308" t="str">
        <f>TRIM(PROPER(Tabla_auditoría[[#This Row],[Responsable]]))</f>
        <v>Luis Martín</v>
      </c>
    </row>
    <row r="309" spans="1:19" x14ac:dyDescent="0.3">
      <c r="A309" s="1">
        <v>45714</v>
      </c>
      <c r="B309" s="2" t="s">
        <v>2540</v>
      </c>
      <c r="C309" s="2" t="s">
        <v>2541</v>
      </c>
      <c r="D309" s="2" t="s">
        <v>2528</v>
      </c>
      <c r="E309" s="2" t="s">
        <v>2561</v>
      </c>
      <c r="F309" s="3">
        <v>31265</v>
      </c>
      <c r="G309" s="3">
        <v>2095</v>
      </c>
      <c r="H309" s="3">
        <v>213</v>
      </c>
      <c r="I309" s="4">
        <v>1578.12</v>
      </c>
      <c r="J309" s="4">
        <v>22151.25</v>
      </c>
      <c r="K309" s="3">
        <v>108</v>
      </c>
      <c r="L309" s="2" t="s">
        <v>2539</v>
      </c>
      <c r="M309" s="2" t="s">
        <v>2524</v>
      </c>
      <c r="N309" t="str">
        <f>TRIM(PROPER(Tabla_auditoría[[#This Row],[ID_Campaña]]))</f>
        <v>Cmp-017</v>
      </c>
      <c r="O309" t="str">
        <f>TRIM(PROPER(Tabla_auditoría[[#This Row],[Canal]]))</f>
        <v>Display</v>
      </c>
      <c r="P309" t="str">
        <f>TRIM(PROPER(Tabla_auditoría[[#This Row],[País]]))</f>
        <v>España</v>
      </c>
      <c r="Q309" t="str">
        <f>TRIM(PROPER(Tabla_auditoría[[#This Row],[Dispositivo]]))</f>
        <v>Mobile</v>
      </c>
      <c r="R309" t="str">
        <f>TRIM(PROPER(Tabla_auditoría[[#This Row],[Tipo_Campaña]]))</f>
        <v>Conversión</v>
      </c>
      <c r="S309" t="str">
        <f>TRIM(PROPER(Tabla_auditoría[[#This Row],[Responsable]]))</f>
        <v>Luis Martín</v>
      </c>
    </row>
    <row r="310" spans="1:19" x14ac:dyDescent="0.3">
      <c r="A310" s="1">
        <v>45942</v>
      </c>
      <c r="B310" s="2" t="s">
        <v>2552</v>
      </c>
      <c r="C310" s="2" t="s">
        <v>2515</v>
      </c>
      <c r="D310" s="2" t="s">
        <v>2528</v>
      </c>
      <c r="E310" s="2" t="s">
        <v>2517</v>
      </c>
      <c r="F310" s="3">
        <v>42628</v>
      </c>
      <c r="G310" s="3">
        <v>1446</v>
      </c>
      <c r="H310" s="3">
        <v>78</v>
      </c>
      <c r="I310" s="4">
        <v>1678.51</v>
      </c>
      <c r="J310" s="4">
        <v>2963.14</v>
      </c>
      <c r="K310" s="3">
        <v>60</v>
      </c>
      <c r="L310" s="2" t="s">
        <v>2539</v>
      </c>
      <c r="M310" s="2" t="s">
        <v>2519</v>
      </c>
      <c r="N310" t="str">
        <f>TRIM(PROPER(Tabla_auditoría[[#This Row],[ID_Campaña]]))</f>
        <v>Cmp-012</v>
      </c>
      <c r="O310" t="str">
        <f>TRIM(PROPER(Tabla_auditoría[[#This Row],[Canal]]))</f>
        <v>Email</v>
      </c>
      <c r="P310" t="str">
        <f>TRIM(PROPER(Tabla_auditoría[[#This Row],[País]]))</f>
        <v>España</v>
      </c>
      <c r="Q310" t="str">
        <f>TRIM(PROPER(Tabla_auditoría[[#This Row],[Dispositivo]]))</f>
        <v>Desktop</v>
      </c>
      <c r="R310" t="str">
        <f>TRIM(PROPER(Tabla_auditoría[[#This Row],[Tipo_Campaña]]))</f>
        <v>Conversión</v>
      </c>
      <c r="S310" t="str">
        <f>TRIM(PROPER(Tabla_auditoría[[#This Row],[Responsable]]))</f>
        <v>Carlos Ruiz</v>
      </c>
    </row>
    <row r="311" spans="1:19" x14ac:dyDescent="0.3">
      <c r="A311" s="1">
        <v>45900</v>
      </c>
      <c r="B311" s="2" t="s">
        <v>2547</v>
      </c>
      <c r="C311" s="2" t="s">
        <v>2541</v>
      </c>
      <c r="D311" s="2" t="s">
        <v>2516</v>
      </c>
      <c r="E311" s="2" t="s">
        <v>2534</v>
      </c>
      <c r="F311" s="3">
        <v>174697</v>
      </c>
      <c r="G311" s="3">
        <v>15348</v>
      </c>
      <c r="H311" s="3">
        <v>1313</v>
      </c>
      <c r="I311" s="4">
        <v>8450.42</v>
      </c>
      <c r="J311" s="4">
        <v>102248.99</v>
      </c>
      <c r="K311" s="3">
        <v>1087</v>
      </c>
      <c r="L311" s="2" t="s">
        <v>2539</v>
      </c>
      <c r="M311" s="2" t="s">
        <v>2526</v>
      </c>
      <c r="N311" t="str">
        <f>TRIM(PROPER(Tabla_auditoría[[#This Row],[ID_Campaña]]))</f>
        <v>Cmp-018</v>
      </c>
      <c r="O311" t="str">
        <f>TRIM(PROPER(Tabla_auditoría[[#This Row],[Canal]]))</f>
        <v>Display</v>
      </c>
      <c r="P311" t="str">
        <f>TRIM(PROPER(Tabla_auditoría[[#This Row],[País]]))</f>
        <v>México</v>
      </c>
      <c r="Q311" t="str">
        <f>TRIM(PROPER(Tabla_auditoría[[#This Row],[Dispositivo]]))</f>
        <v>Tablet</v>
      </c>
      <c r="R311" t="str">
        <f>TRIM(PROPER(Tabla_auditoría[[#This Row],[Tipo_Campaña]]))</f>
        <v>Conversión</v>
      </c>
      <c r="S311" t="str">
        <f>TRIM(PROPER(Tabla_auditoría[[#This Row],[Responsable]]))</f>
        <v>Laura Pérez</v>
      </c>
    </row>
    <row r="312" spans="1:19" x14ac:dyDescent="0.3">
      <c r="A312" s="1">
        <v>45930</v>
      </c>
      <c r="B312" s="2" t="s">
        <v>2550</v>
      </c>
      <c r="C312" s="2" t="s">
        <v>2527</v>
      </c>
      <c r="D312" s="2" t="s">
        <v>2528</v>
      </c>
      <c r="E312" s="2" t="s">
        <v>2529</v>
      </c>
      <c r="F312" s="3">
        <v>130043</v>
      </c>
      <c r="G312" s="3">
        <v>9316</v>
      </c>
      <c r="H312" s="3">
        <v>907</v>
      </c>
      <c r="I312" s="4">
        <v>15919.54</v>
      </c>
      <c r="J312" s="4">
        <v>77025.84</v>
      </c>
      <c r="K312" s="3">
        <v>518</v>
      </c>
      <c r="L312" s="2" t="s">
        <v>2539</v>
      </c>
      <c r="M312" s="2" t="s">
        <v>2546</v>
      </c>
      <c r="N312" t="str">
        <f>TRIM(PROPER(Tabla_auditoría[[#This Row],[ID_Campaña]]))</f>
        <v>Cmp-008</v>
      </c>
      <c r="O312" t="str">
        <f>TRIM(PROPER(Tabla_auditoría[[#This Row],[Canal]]))</f>
        <v>Affiliate</v>
      </c>
      <c r="P312" t="str">
        <f>TRIM(PROPER(Tabla_auditoría[[#This Row],[País]]))</f>
        <v>España</v>
      </c>
      <c r="Q312" t="str">
        <f>TRIM(PROPER(Tabla_auditoría[[#This Row],[Dispositivo]]))</f>
        <v>Mobile</v>
      </c>
      <c r="R312" t="str">
        <f>TRIM(PROPER(Tabla_auditoría[[#This Row],[Tipo_Campaña]]))</f>
        <v>Conversión</v>
      </c>
      <c r="S312" t="str">
        <f>TRIM(PROPER(Tabla_auditoría[[#This Row],[Responsable]]))</f>
        <v>Ana García</v>
      </c>
    </row>
    <row r="313" spans="1:19" x14ac:dyDescent="0.3">
      <c r="A313" s="1">
        <v>45888</v>
      </c>
      <c r="B313" s="2" t="s">
        <v>2565</v>
      </c>
      <c r="C313" s="2" t="s">
        <v>2527</v>
      </c>
      <c r="D313" s="2" t="s">
        <v>2528</v>
      </c>
      <c r="E313" s="2" t="s">
        <v>2517</v>
      </c>
      <c r="F313" s="3">
        <v>166041</v>
      </c>
      <c r="G313" s="3">
        <v>11422</v>
      </c>
      <c r="H313" s="3">
        <v>390</v>
      </c>
      <c r="I313" s="4">
        <v>10675.91</v>
      </c>
      <c r="J313" s="4">
        <v>46445.82</v>
      </c>
      <c r="K313" s="3">
        <v>263</v>
      </c>
      <c r="L313" s="2" t="s">
        <v>2539</v>
      </c>
      <c r="M313" s="2" t="s">
        <v>2524</v>
      </c>
      <c r="N313" t="str">
        <f>TRIM(PROPER(Tabla_auditoría[[#This Row],[ID_Campaña]]))</f>
        <v>Cmp-005</v>
      </c>
      <c r="O313" t="str">
        <f>TRIM(PROPER(Tabla_auditoría[[#This Row],[Canal]]))</f>
        <v>Affiliate</v>
      </c>
      <c r="P313" t="str">
        <f>TRIM(PROPER(Tabla_auditoría[[#This Row],[País]]))</f>
        <v>España</v>
      </c>
      <c r="Q313" t="str">
        <f>TRIM(PROPER(Tabla_auditoría[[#This Row],[Dispositivo]]))</f>
        <v>Desktop</v>
      </c>
      <c r="R313" t="str">
        <f>TRIM(PROPER(Tabla_auditoría[[#This Row],[Tipo_Campaña]]))</f>
        <v>Conversión</v>
      </c>
      <c r="S313" t="str">
        <f>TRIM(PROPER(Tabla_auditoría[[#This Row],[Responsable]]))</f>
        <v>Luis Martín</v>
      </c>
    </row>
    <row r="314" spans="1:19" x14ac:dyDescent="0.3">
      <c r="A314" s="1">
        <v>45752</v>
      </c>
      <c r="B314" s="2" t="s">
        <v>2564</v>
      </c>
      <c r="C314" s="2" t="s">
        <v>2533</v>
      </c>
      <c r="D314" s="2" t="s">
        <v>2522</v>
      </c>
      <c r="E314" s="2" t="s">
        <v>2529</v>
      </c>
      <c r="F314" s="3">
        <v>110825</v>
      </c>
      <c r="G314" s="3">
        <v>8228</v>
      </c>
      <c r="H314" s="3">
        <v>665</v>
      </c>
      <c r="I314" s="4">
        <v>6451.84</v>
      </c>
      <c r="J314" s="4">
        <v>39926.01</v>
      </c>
      <c r="K314" s="3">
        <v>519</v>
      </c>
      <c r="L314" s="2" t="s">
        <v>2539</v>
      </c>
      <c r="M314" s="2" t="s">
        <v>2519</v>
      </c>
      <c r="N314" t="str">
        <f>TRIM(PROPER(Tabla_auditoría[[#This Row],[ID_Campaña]]))</f>
        <v>Cmp-024</v>
      </c>
      <c r="O314" t="str">
        <f>TRIM(PROPER(Tabla_auditoría[[#This Row],[Canal]]))</f>
        <v>Paid Social</v>
      </c>
      <c r="P314" t="str">
        <f>TRIM(PROPER(Tabla_auditoría[[#This Row],[País]]))</f>
        <v>Italia</v>
      </c>
      <c r="Q314" t="str">
        <f>TRIM(PROPER(Tabla_auditoría[[#This Row],[Dispositivo]]))</f>
        <v>Mobile</v>
      </c>
      <c r="R314" t="str">
        <f>TRIM(PROPER(Tabla_auditoría[[#This Row],[Tipo_Campaña]]))</f>
        <v>Conversión</v>
      </c>
      <c r="S314" t="str">
        <f>TRIM(PROPER(Tabla_auditoría[[#This Row],[Responsable]]))</f>
        <v>Carlos Ruiz</v>
      </c>
    </row>
    <row r="315" spans="1:19" x14ac:dyDescent="0.3">
      <c r="A315" s="1">
        <v>45728</v>
      </c>
      <c r="B315" s="2" t="s">
        <v>2554</v>
      </c>
      <c r="C315" s="2" t="s">
        <v>2541</v>
      </c>
      <c r="D315" s="2" t="s">
        <v>2516</v>
      </c>
      <c r="E315" s="2" t="s">
        <v>2529</v>
      </c>
      <c r="F315" s="3">
        <v>148146</v>
      </c>
      <c r="G315" s="3">
        <v>4180</v>
      </c>
      <c r="H315" s="3">
        <v>319</v>
      </c>
      <c r="I315" s="4">
        <v>8153.14</v>
      </c>
      <c r="J315" s="4">
        <v>21959.94</v>
      </c>
      <c r="K315" s="3">
        <v>207</v>
      </c>
      <c r="L315" s="2" t="s">
        <v>2539</v>
      </c>
      <c r="M315" s="2" t="s">
        <v>2537</v>
      </c>
      <c r="N315" t="str">
        <f>TRIM(PROPER(Tabla_auditoría[[#This Row],[ID_Campaña]]))</f>
        <v>Cmp-019</v>
      </c>
      <c r="O315" t="str">
        <f>TRIM(PROPER(Tabla_auditoría[[#This Row],[Canal]]))</f>
        <v>Display</v>
      </c>
      <c r="P315" t="str">
        <f>TRIM(PROPER(Tabla_auditoría[[#This Row],[País]]))</f>
        <v>México</v>
      </c>
      <c r="Q315" t="str">
        <f>TRIM(PROPER(Tabla_auditoría[[#This Row],[Dispositivo]]))</f>
        <v>Mobile</v>
      </c>
      <c r="R315" t="str">
        <f>TRIM(PROPER(Tabla_auditoría[[#This Row],[Tipo_Campaña]]))</f>
        <v>Conversión</v>
      </c>
      <c r="S315" t="str">
        <f>TRIM(PROPER(Tabla_auditoría[[#This Row],[Responsable]]))</f>
        <v>Marta López</v>
      </c>
    </row>
    <row r="316" spans="1:19" x14ac:dyDescent="0.3">
      <c r="A316" s="1">
        <v>45750</v>
      </c>
      <c r="B316" s="2" t="s">
        <v>2514</v>
      </c>
      <c r="C316" s="2" t="s">
        <v>2527</v>
      </c>
      <c r="D316" s="2" t="s">
        <v>2528</v>
      </c>
      <c r="E316" s="2" t="s">
        <v>2517</v>
      </c>
      <c r="F316" s="3">
        <v>135641</v>
      </c>
      <c r="G316" s="3">
        <v>4429</v>
      </c>
      <c r="H316" s="3">
        <v>565</v>
      </c>
      <c r="I316" s="4">
        <v>3940.34</v>
      </c>
      <c r="J316" s="4">
        <v>89461.53</v>
      </c>
      <c r="K316" s="3">
        <v>364</v>
      </c>
      <c r="L316" s="2" t="s">
        <v>2523</v>
      </c>
      <c r="M316" s="2" t="s">
        <v>2537</v>
      </c>
      <c r="N316" t="str">
        <f>TRIM(PROPER(Tabla_auditoría[[#This Row],[ID_Campaña]]))</f>
        <v>Cmp-002</v>
      </c>
      <c r="O316" t="str">
        <f>TRIM(PROPER(Tabla_auditoría[[#This Row],[Canal]]))</f>
        <v>Affiliate</v>
      </c>
      <c r="P316" t="str">
        <f>TRIM(PROPER(Tabla_auditoría[[#This Row],[País]]))</f>
        <v>España</v>
      </c>
      <c r="Q316" t="str">
        <f>TRIM(PROPER(Tabla_auditoría[[#This Row],[Dispositivo]]))</f>
        <v>Desktop</v>
      </c>
      <c r="R316" t="str">
        <f>TRIM(PROPER(Tabla_auditoría[[#This Row],[Tipo_Campaña]]))</f>
        <v>Retención</v>
      </c>
      <c r="S316" t="str">
        <f>TRIM(PROPER(Tabla_auditoría[[#This Row],[Responsable]]))</f>
        <v>Marta López</v>
      </c>
    </row>
    <row r="317" spans="1:19" x14ac:dyDescent="0.3">
      <c r="A317" s="1">
        <v>45850</v>
      </c>
      <c r="B317" s="2" t="s">
        <v>2551</v>
      </c>
      <c r="C317" s="2" t="s">
        <v>2543</v>
      </c>
      <c r="D317" s="2" t="s">
        <v>2528</v>
      </c>
      <c r="E317" s="2" t="s">
        <v>2529</v>
      </c>
      <c r="F317" s="3">
        <v>72739</v>
      </c>
      <c r="G317" s="3">
        <v>749</v>
      </c>
      <c r="H317" s="3">
        <v>9</v>
      </c>
      <c r="I317" s="4">
        <v>127.87</v>
      </c>
      <c r="J317" s="4">
        <v>1086.94</v>
      </c>
      <c r="K317" s="3">
        <v>5</v>
      </c>
      <c r="L317" s="2" t="s">
        <v>2518</v>
      </c>
      <c r="M317" s="2" t="s">
        <v>2519</v>
      </c>
      <c r="N317" t="str">
        <f>TRIM(PROPER(Tabla_auditoría[[#This Row],[ID_Campaña]]))</f>
        <v>Cmp-028</v>
      </c>
      <c r="O317" t="str">
        <f>TRIM(PROPER(Tabla_auditoría[[#This Row],[Canal]]))</f>
        <v>Organic Social</v>
      </c>
      <c r="P317" t="str">
        <f>TRIM(PROPER(Tabla_auditoría[[#This Row],[País]]))</f>
        <v>España</v>
      </c>
      <c r="Q317" t="str">
        <f>TRIM(PROPER(Tabla_auditoría[[#This Row],[Dispositivo]]))</f>
        <v>Mobile</v>
      </c>
      <c r="R317" t="str">
        <f>TRIM(PROPER(Tabla_auditoría[[#This Row],[Tipo_Campaña]]))</f>
        <v>Adquisición</v>
      </c>
      <c r="S317" t="str">
        <f>TRIM(PROPER(Tabla_auditoría[[#This Row],[Responsable]]))</f>
        <v>Carlos Ruiz</v>
      </c>
    </row>
    <row r="318" spans="1:19" x14ac:dyDescent="0.3">
      <c r="A318" s="1">
        <v>45935</v>
      </c>
      <c r="B318" s="2" t="s">
        <v>2514</v>
      </c>
      <c r="C318" s="2" t="s">
        <v>2533</v>
      </c>
      <c r="D318" s="2" t="s">
        <v>2531</v>
      </c>
      <c r="E318" s="2" t="s">
        <v>2529</v>
      </c>
      <c r="F318" s="3">
        <v>102617</v>
      </c>
      <c r="G318" s="3">
        <v>2122</v>
      </c>
      <c r="H318" s="3">
        <v>138</v>
      </c>
      <c r="I318" s="4">
        <v>296.85000000000002</v>
      </c>
      <c r="J318" s="4">
        <v>23658.6</v>
      </c>
      <c r="K318" s="3">
        <v>83</v>
      </c>
      <c r="L318" s="2" t="s">
        <v>2539</v>
      </c>
      <c r="M318" s="2" t="s">
        <v>2526</v>
      </c>
      <c r="N318" t="str">
        <f>TRIM(PROPER(Tabla_auditoría[[#This Row],[ID_Campaña]]))</f>
        <v>Cmp-002</v>
      </c>
      <c r="O318" t="str">
        <f>TRIM(PROPER(Tabla_auditoría[[#This Row],[Canal]]))</f>
        <v>Paid Social</v>
      </c>
      <c r="P318" t="str">
        <f>TRIM(PROPER(Tabla_auditoría[[#This Row],[País]]))</f>
        <v>Portugal</v>
      </c>
      <c r="Q318" t="str">
        <f>TRIM(PROPER(Tabla_auditoría[[#This Row],[Dispositivo]]))</f>
        <v>Mobile</v>
      </c>
      <c r="R318" t="str">
        <f>TRIM(PROPER(Tabla_auditoría[[#This Row],[Tipo_Campaña]]))</f>
        <v>Conversión</v>
      </c>
      <c r="S318" t="str">
        <f>TRIM(PROPER(Tabla_auditoría[[#This Row],[Responsable]]))</f>
        <v>Laura Pérez</v>
      </c>
    </row>
    <row r="319" spans="1:19" x14ac:dyDescent="0.3">
      <c r="A319" s="1">
        <v>45966</v>
      </c>
      <c r="B319" s="2" t="s">
        <v>2564</v>
      </c>
      <c r="C319" s="2" t="s">
        <v>2515</v>
      </c>
      <c r="D319" s="2" t="s">
        <v>2528</v>
      </c>
      <c r="E319" s="2" t="s">
        <v>2534</v>
      </c>
      <c r="F319" s="3">
        <v>65015</v>
      </c>
      <c r="G319" s="3">
        <v>579</v>
      </c>
      <c r="H319" s="3">
        <v>6</v>
      </c>
      <c r="I319" s="4">
        <v>1169.0899999999999</v>
      </c>
      <c r="J319" s="4">
        <v>1249.31</v>
      </c>
      <c r="K319" s="3">
        <v>4</v>
      </c>
      <c r="L319" s="2" t="s">
        <v>2536</v>
      </c>
      <c r="M319" s="2" t="s">
        <v>2519</v>
      </c>
      <c r="N319" t="str">
        <f>TRIM(PROPER(Tabla_auditoría[[#This Row],[ID_Campaña]]))</f>
        <v>Cmp-024</v>
      </c>
      <c r="O319" t="str">
        <f>TRIM(PROPER(Tabla_auditoría[[#This Row],[Canal]]))</f>
        <v>Email</v>
      </c>
      <c r="P319" t="str">
        <f>TRIM(PROPER(Tabla_auditoría[[#This Row],[País]]))</f>
        <v>España</v>
      </c>
      <c r="Q319" t="str">
        <f>TRIM(PROPER(Tabla_auditoría[[#This Row],[Dispositivo]]))</f>
        <v>Tablet</v>
      </c>
      <c r="R319" t="str">
        <f>TRIM(PROPER(Tabla_auditoría[[#This Row],[Tipo_Campaña]]))</f>
        <v>Reconocimiento</v>
      </c>
      <c r="S319" t="str">
        <f>TRIM(PROPER(Tabla_auditoría[[#This Row],[Responsable]]))</f>
        <v>Carlos Ruiz</v>
      </c>
    </row>
    <row r="320" spans="1:19" x14ac:dyDescent="0.3">
      <c r="A320" s="1">
        <v>45718</v>
      </c>
      <c r="B320" s="2" t="s">
        <v>2557</v>
      </c>
      <c r="C320" s="2" t="s">
        <v>2527</v>
      </c>
      <c r="D320" s="2" t="s">
        <v>2531</v>
      </c>
      <c r="E320" s="2" t="s">
        <v>2529</v>
      </c>
      <c r="F320" s="3">
        <v>170552</v>
      </c>
      <c r="G320" s="3">
        <v>5116</v>
      </c>
      <c r="H320" s="3">
        <v>592</v>
      </c>
      <c r="I320" s="4">
        <v>1865.32</v>
      </c>
      <c r="J320" s="4">
        <v>100739.53</v>
      </c>
      <c r="K320" s="3">
        <v>377</v>
      </c>
      <c r="L320" s="2" t="s">
        <v>2539</v>
      </c>
      <c r="M320" s="2" t="s">
        <v>2546</v>
      </c>
      <c r="N320" t="str">
        <f>TRIM(PROPER(Tabla_auditoría[[#This Row],[ID_Campaña]]))</f>
        <v>Cmp-030</v>
      </c>
      <c r="O320" t="str">
        <f>TRIM(PROPER(Tabla_auditoría[[#This Row],[Canal]]))</f>
        <v>Affiliate</v>
      </c>
      <c r="P320" t="str">
        <f>TRIM(PROPER(Tabla_auditoría[[#This Row],[País]]))</f>
        <v>Portugal</v>
      </c>
      <c r="Q320" t="str">
        <f>TRIM(PROPER(Tabla_auditoría[[#This Row],[Dispositivo]]))</f>
        <v>Mobile</v>
      </c>
      <c r="R320" t="str">
        <f>TRIM(PROPER(Tabla_auditoría[[#This Row],[Tipo_Campaña]]))</f>
        <v>Conversión</v>
      </c>
      <c r="S320" t="str">
        <f>TRIM(PROPER(Tabla_auditoría[[#This Row],[Responsable]]))</f>
        <v>Ana García</v>
      </c>
    </row>
    <row r="321" spans="1:19" x14ac:dyDescent="0.3">
      <c r="A321" s="1">
        <v>46004</v>
      </c>
      <c r="B321" s="2" t="s">
        <v>2550</v>
      </c>
      <c r="C321" s="2" t="s">
        <v>2541</v>
      </c>
      <c r="D321" s="2" t="s">
        <v>2522</v>
      </c>
      <c r="E321" s="2" t="s">
        <v>2517</v>
      </c>
      <c r="F321" s="3">
        <v>24494</v>
      </c>
      <c r="G321" s="3">
        <v>230</v>
      </c>
      <c r="H321" s="3">
        <v>29</v>
      </c>
      <c r="I321" s="4">
        <v>419.93</v>
      </c>
      <c r="J321" s="4">
        <v>2323.5100000000002</v>
      </c>
      <c r="K321" s="3">
        <v>21</v>
      </c>
      <c r="L321" s="2" t="s">
        <v>2539</v>
      </c>
      <c r="M321" s="2" t="s">
        <v>2519</v>
      </c>
      <c r="N321" t="str">
        <f>TRIM(PROPER(Tabla_auditoría[[#This Row],[ID_Campaña]]))</f>
        <v>Cmp-008</v>
      </c>
      <c r="O321" t="str">
        <f>TRIM(PROPER(Tabla_auditoría[[#This Row],[Canal]]))</f>
        <v>Display</v>
      </c>
      <c r="P321" t="str">
        <f>TRIM(PROPER(Tabla_auditoría[[#This Row],[País]]))</f>
        <v>Italia</v>
      </c>
      <c r="Q321" t="str">
        <f>TRIM(PROPER(Tabla_auditoría[[#This Row],[Dispositivo]]))</f>
        <v>Desktop</v>
      </c>
      <c r="R321" t="str">
        <f>TRIM(PROPER(Tabla_auditoría[[#This Row],[Tipo_Campaña]]))</f>
        <v>Conversión</v>
      </c>
      <c r="S321" t="str">
        <f>TRIM(PROPER(Tabla_auditoría[[#This Row],[Responsable]]))</f>
        <v>Carlos Ruiz</v>
      </c>
    </row>
    <row r="322" spans="1:19" x14ac:dyDescent="0.3">
      <c r="A322" s="1">
        <v>45791</v>
      </c>
      <c r="B322" s="2" t="s">
        <v>2557</v>
      </c>
      <c r="C322" s="2" t="s">
        <v>2515</v>
      </c>
      <c r="D322" s="2" t="s">
        <v>2528</v>
      </c>
      <c r="E322" s="2" t="s">
        <v>2534</v>
      </c>
      <c r="F322" s="3">
        <v>42882</v>
      </c>
      <c r="G322" s="3">
        <v>316</v>
      </c>
      <c r="H322" s="3">
        <v>33</v>
      </c>
      <c r="I322" s="4">
        <v>258.41000000000003</v>
      </c>
      <c r="J322" s="4">
        <v>1087.1099999999999</v>
      </c>
      <c r="K322" s="3">
        <v>27</v>
      </c>
      <c r="L322" s="2" t="s">
        <v>2518</v>
      </c>
      <c r="M322" s="2" t="s">
        <v>2519</v>
      </c>
      <c r="N322" t="str">
        <f>TRIM(PROPER(Tabla_auditoría[[#This Row],[ID_Campaña]]))</f>
        <v>Cmp-030</v>
      </c>
      <c r="O322" t="str">
        <f>TRIM(PROPER(Tabla_auditoría[[#This Row],[Canal]]))</f>
        <v>Email</v>
      </c>
      <c r="P322" t="str">
        <f>TRIM(PROPER(Tabla_auditoría[[#This Row],[País]]))</f>
        <v>España</v>
      </c>
      <c r="Q322" t="str">
        <f>TRIM(PROPER(Tabla_auditoría[[#This Row],[Dispositivo]]))</f>
        <v>Tablet</v>
      </c>
      <c r="R322" t="str">
        <f>TRIM(PROPER(Tabla_auditoría[[#This Row],[Tipo_Campaña]]))</f>
        <v>Adquisición</v>
      </c>
      <c r="S322" t="str">
        <f>TRIM(PROPER(Tabla_auditoría[[#This Row],[Responsable]]))</f>
        <v>Carlos Ruiz</v>
      </c>
    </row>
    <row r="323" spans="1:19" x14ac:dyDescent="0.3">
      <c r="A323" s="1">
        <v>46020</v>
      </c>
      <c r="B323" s="2" t="s">
        <v>2565</v>
      </c>
      <c r="C323" s="2" t="s">
        <v>2521</v>
      </c>
      <c r="D323" s="2" t="s">
        <v>2516</v>
      </c>
      <c r="E323" s="2" t="s">
        <v>2517</v>
      </c>
      <c r="F323" s="3">
        <v>14564</v>
      </c>
      <c r="G323" s="3">
        <v>776</v>
      </c>
      <c r="H323" s="3">
        <v>28</v>
      </c>
      <c r="I323" s="4">
        <v>499.71</v>
      </c>
      <c r="J323" s="4">
        <v>2449.94</v>
      </c>
      <c r="K323" s="3">
        <v>20</v>
      </c>
      <c r="L323" s="2" t="s">
        <v>2539</v>
      </c>
      <c r="M323" s="2" t="s">
        <v>2546</v>
      </c>
      <c r="N323" t="str">
        <f>TRIM(PROPER(Tabla_auditoría[[#This Row],[ID_Campaña]]))</f>
        <v>Cmp-005</v>
      </c>
      <c r="O323" t="str">
        <f>TRIM(PROPER(Tabla_auditoría[[#This Row],[Canal]]))</f>
        <v>Paid Search</v>
      </c>
      <c r="P323" t="str">
        <f>TRIM(PROPER(Tabla_auditoría[[#This Row],[País]]))</f>
        <v>México</v>
      </c>
      <c r="Q323" t="str">
        <f>TRIM(PROPER(Tabla_auditoría[[#This Row],[Dispositivo]]))</f>
        <v>Desktop</v>
      </c>
      <c r="R323" t="str">
        <f>TRIM(PROPER(Tabla_auditoría[[#This Row],[Tipo_Campaña]]))</f>
        <v>Conversión</v>
      </c>
      <c r="S323" t="str">
        <f>TRIM(PROPER(Tabla_auditoría[[#This Row],[Responsable]]))</f>
        <v>Ana García</v>
      </c>
    </row>
    <row r="324" spans="1:19" x14ac:dyDescent="0.3">
      <c r="A324" s="1">
        <v>45951</v>
      </c>
      <c r="B324" s="2" t="s">
        <v>2563</v>
      </c>
      <c r="C324" s="2" t="s">
        <v>2543</v>
      </c>
      <c r="D324" s="2" t="s">
        <v>2531</v>
      </c>
      <c r="E324" s="2" t="s">
        <v>2517</v>
      </c>
      <c r="F324" s="3">
        <v>113475</v>
      </c>
      <c r="G324" s="3">
        <v>560</v>
      </c>
      <c r="H324" s="3">
        <v>28</v>
      </c>
      <c r="I324" s="4">
        <v>705.42</v>
      </c>
      <c r="J324" s="4">
        <v>4685.83</v>
      </c>
      <c r="K324" s="3">
        <v>18</v>
      </c>
      <c r="L324" s="2" t="s">
        <v>2536</v>
      </c>
      <c r="M324" s="2" t="s">
        <v>2524</v>
      </c>
      <c r="N324" t="str">
        <f>TRIM(PROPER(Tabla_auditoría[[#This Row],[ID_Campaña]]))</f>
        <v>Cmp-023</v>
      </c>
      <c r="O324" t="str">
        <f>TRIM(PROPER(Tabla_auditoría[[#This Row],[Canal]]))</f>
        <v>Organic Social</v>
      </c>
      <c r="P324" t="str">
        <f>TRIM(PROPER(Tabla_auditoría[[#This Row],[País]]))</f>
        <v>Portugal</v>
      </c>
      <c r="Q324" t="str">
        <f>TRIM(PROPER(Tabla_auditoría[[#This Row],[Dispositivo]]))</f>
        <v>Desktop</v>
      </c>
      <c r="R324" t="str">
        <f>TRIM(PROPER(Tabla_auditoría[[#This Row],[Tipo_Campaña]]))</f>
        <v>Reconocimiento</v>
      </c>
      <c r="S324" t="str">
        <f>TRIM(PROPER(Tabla_auditoría[[#This Row],[Responsable]]))</f>
        <v>Luis Martín</v>
      </c>
    </row>
    <row r="325" spans="1:19" x14ac:dyDescent="0.3">
      <c r="A325" s="1">
        <v>46022</v>
      </c>
      <c r="B325" s="2" t="s">
        <v>2542</v>
      </c>
      <c r="C325" s="2" t="s">
        <v>2527</v>
      </c>
      <c r="D325" s="2" t="s">
        <v>2516</v>
      </c>
      <c r="E325" s="2" t="s">
        <v>2529</v>
      </c>
      <c r="F325" s="3">
        <v>26549</v>
      </c>
      <c r="G325" s="3">
        <v>1150</v>
      </c>
      <c r="H325" s="3">
        <v>124</v>
      </c>
      <c r="I325" s="4">
        <v>521.91</v>
      </c>
      <c r="J325" s="4">
        <v>23758.33</v>
      </c>
      <c r="K325" s="3">
        <v>74</v>
      </c>
      <c r="L325" s="2" t="s">
        <v>2539</v>
      </c>
      <c r="M325" s="2" t="s">
        <v>2526</v>
      </c>
      <c r="N325" t="str">
        <f>TRIM(PROPER(Tabla_auditoría[[#This Row],[ID_Campaña]]))</f>
        <v>Cmp-025</v>
      </c>
      <c r="O325" t="str">
        <f>TRIM(PROPER(Tabla_auditoría[[#This Row],[Canal]]))</f>
        <v>Affiliate</v>
      </c>
      <c r="P325" t="str">
        <f>TRIM(PROPER(Tabla_auditoría[[#This Row],[País]]))</f>
        <v>México</v>
      </c>
      <c r="Q325" t="str">
        <f>TRIM(PROPER(Tabla_auditoría[[#This Row],[Dispositivo]]))</f>
        <v>Mobile</v>
      </c>
      <c r="R325" t="str">
        <f>TRIM(PROPER(Tabla_auditoría[[#This Row],[Tipo_Campaña]]))</f>
        <v>Conversión</v>
      </c>
      <c r="S325" t="str">
        <f>TRIM(PROPER(Tabla_auditoría[[#This Row],[Responsable]]))</f>
        <v>Laura Pérez</v>
      </c>
    </row>
    <row r="326" spans="1:19" x14ac:dyDescent="0.3">
      <c r="A326" s="1">
        <v>45726</v>
      </c>
      <c r="B326" s="2" t="s">
        <v>2514</v>
      </c>
      <c r="C326" s="2" t="s">
        <v>2543</v>
      </c>
      <c r="D326" s="2" t="s">
        <v>2528</v>
      </c>
      <c r="E326" s="2" t="s">
        <v>2517</v>
      </c>
      <c r="F326" s="3">
        <v>84112</v>
      </c>
      <c r="G326" s="3">
        <v>4169</v>
      </c>
      <c r="H326" s="3">
        <v>542</v>
      </c>
      <c r="I326" s="4">
        <v>7974.51</v>
      </c>
      <c r="J326" s="4">
        <v>45652.05</v>
      </c>
      <c r="K326" s="3">
        <v>361</v>
      </c>
      <c r="L326" s="2" t="s">
        <v>2523</v>
      </c>
      <c r="M326" s="2" t="s">
        <v>2546</v>
      </c>
      <c r="N326" t="str">
        <f>TRIM(PROPER(Tabla_auditoría[[#This Row],[ID_Campaña]]))</f>
        <v>Cmp-002</v>
      </c>
      <c r="O326" t="str">
        <f>TRIM(PROPER(Tabla_auditoría[[#This Row],[Canal]]))</f>
        <v>Organic Social</v>
      </c>
      <c r="P326" t="str">
        <f>TRIM(PROPER(Tabla_auditoría[[#This Row],[País]]))</f>
        <v>España</v>
      </c>
      <c r="Q326" t="str">
        <f>TRIM(PROPER(Tabla_auditoría[[#This Row],[Dispositivo]]))</f>
        <v>Desktop</v>
      </c>
      <c r="R326" t="str">
        <f>TRIM(PROPER(Tabla_auditoría[[#This Row],[Tipo_Campaña]]))</f>
        <v>Retención</v>
      </c>
      <c r="S326" t="str">
        <f>TRIM(PROPER(Tabla_auditoría[[#This Row],[Responsable]]))</f>
        <v>Ana García</v>
      </c>
    </row>
    <row r="327" spans="1:19" x14ac:dyDescent="0.3">
      <c r="A327" s="1">
        <v>45836</v>
      </c>
      <c r="B327" s="2" t="s">
        <v>2569</v>
      </c>
      <c r="C327" s="2" t="s">
        <v>2521</v>
      </c>
      <c r="D327" s="2" t="s">
        <v>2528</v>
      </c>
      <c r="E327" s="2" t="s">
        <v>2529</v>
      </c>
      <c r="F327" s="3">
        <v>177367</v>
      </c>
      <c r="G327" s="3">
        <v>11786</v>
      </c>
      <c r="H327" s="3">
        <v>977</v>
      </c>
      <c r="I327" s="4">
        <v>21306.639999999999</v>
      </c>
      <c r="J327" s="4">
        <v>38562.25</v>
      </c>
      <c r="K327" s="3">
        <v>465</v>
      </c>
      <c r="L327" s="2" t="s">
        <v>2523</v>
      </c>
      <c r="M327" s="2" t="s">
        <v>2537</v>
      </c>
      <c r="N327" t="str">
        <f>TRIM(PROPER(Tabla_auditoría[[#This Row],[ID_Campaña]]))</f>
        <v>Cmp-013</v>
      </c>
      <c r="O327" t="str">
        <f>TRIM(PROPER(Tabla_auditoría[[#This Row],[Canal]]))</f>
        <v>Paid Search</v>
      </c>
      <c r="P327" t="str">
        <f>TRIM(PROPER(Tabla_auditoría[[#This Row],[País]]))</f>
        <v>España</v>
      </c>
      <c r="Q327" t="str">
        <f>TRIM(PROPER(Tabla_auditoría[[#This Row],[Dispositivo]]))</f>
        <v>Mobile</v>
      </c>
      <c r="R327" t="str">
        <f>TRIM(PROPER(Tabla_auditoría[[#This Row],[Tipo_Campaña]]))</f>
        <v>Retención</v>
      </c>
      <c r="S327" t="str">
        <f>TRIM(PROPER(Tabla_auditoría[[#This Row],[Responsable]]))</f>
        <v>Marta López</v>
      </c>
    </row>
    <row r="328" spans="1:19" x14ac:dyDescent="0.3">
      <c r="A328" s="1">
        <v>46000</v>
      </c>
      <c r="B328" s="2" t="s">
        <v>2571</v>
      </c>
      <c r="C328" s="2" t="s">
        <v>2543</v>
      </c>
      <c r="D328" s="2" t="s">
        <v>2531</v>
      </c>
      <c r="E328" s="2" t="s">
        <v>2517</v>
      </c>
      <c r="F328" s="3">
        <v>40061</v>
      </c>
      <c r="G328" s="3">
        <v>634</v>
      </c>
      <c r="H328" s="3">
        <v>31</v>
      </c>
      <c r="I328" s="4">
        <v>736.85</v>
      </c>
      <c r="J328" s="4">
        <v>6405.86</v>
      </c>
      <c r="K328" s="3">
        <v>25</v>
      </c>
      <c r="L328" s="2" t="s">
        <v>2539</v>
      </c>
      <c r="M328" s="2" t="s">
        <v>2537</v>
      </c>
      <c r="N328" t="str">
        <f>TRIM(PROPER(Tabla_auditoría[[#This Row],[ID_Campaña]]))</f>
        <v>Cmp-029</v>
      </c>
      <c r="O328" t="str">
        <f>TRIM(PROPER(Tabla_auditoría[[#This Row],[Canal]]))</f>
        <v>Organic Social</v>
      </c>
      <c r="P328" t="str">
        <f>TRIM(PROPER(Tabla_auditoría[[#This Row],[País]]))</f>
        <v>Portugal</v>
      </c>
      <c r="Q328" t="str">
        <f>TRIM(PROPER(Tabla_auditoría[[#This Row],[Dispositivo]]))</f>
        <v>Desktop</v>
      </c>
      <c r="R328" t="str">
        <f>TRIM(PROPER(Tabla_auditoría[[#This Row],[Tipo_Campaña]]))</f>
        <v>Conversión</v>
      </c>
      <c r="S328" t="str">
        <f>TRIM(PROPER(Tabla_auditoría[[#This Row],[Responsable]]))</f>
        <v>Marta López</v>
      </c>
    </row>
    <row r="329" spans="1:19" x14ac:dyDescent="0.3">
      <c r="A329" s="1">
        <v>45836</v>
      </c>
      <c r="B329" s="2" t="s">
        <v>2520</v>
      </c>
      <c r="C329" s="2" t="s">
        <v>2515</v>
      </c>
      <c r="D329" s="2" t="s">
        <v>2516</v>
      </c>
      <c r="E329" s="2" t="s">
        <v>2529</v>
      </c>
      <c r="F329" s="3">
        <v>171816</v>
      </c>
      <c r="G329" s="3">
        <v>1637</v>
      </c>
      <c r="H329" s="3">
        <v>91</v>
      </c>
      <c r="I329" s="4">
        <v>734.06</v>
      </c>
      <c r="J329" s="4">
        <v>14514.06</v>
      </c>
      <c r="K329" s="3">
        <v>47</v>
      </c>
      <c r="L329" s="2" t="s">
        <v>2518</v>
      </c>
      <c r="M329" s="2" t="s">
        <v>2537</v>
      </c>
      <c r="N329" t="str">
        <f>TRIM(PROPER(Tabla_auditoría[[#This Row],[ID_Campaña]]))</f>
        <v>Cmp-009</v>
      </c>
      <c r="O329" t="str">
        <f>TRIM(PROPER(Tabla_auditoría[[#This Row],[Canal]]))</f>
        <v>Email</v>
      </c>
      <c r="P329" t="str">
        <f>TRIM(PROPER(Tabla_auditoría[[#This Row],[País]]))</f>
        <v>México</v>
      </c>
      <c r="Q329" t="str">
        <f>TRIM(PROPER(Tabla_auditoría[[#This Row],[Dispositivo]]))</f>
        <v>Mobile</v>
      </c>
      <c r="R329" t="str">
        <f>TRIM(PROPER(Tabla_auditoría[[#This Row],[Tipo_Campaña]]))</f>
        <v>Adquisición</v>
      </c>
      <c r="S329" t="str">
        <f>TRIM(PROPER(Tabla_auditoría[[#This Row],[Responsable]]))</f>
        <v>Marta López</v>
      </c>
    </row>
    <row r="330" spans="1:19" x14ac:dyDescent="0.3">
      <c r="A330" s="1">
        <v>45964</v>
      </c>
      <c r="B330" s="2" t="s">
        <v>2550</v>
      </c>
      <c r="C330" s="2" t="s">
        <v>2527</v>
      </c>
      <c r="D330" s="2" t="s">
        <v>2528</v>
      </c>
      <c r="E330" s="2" t="s">
        <v>2529</v>
      </c>
      <c r="F330" s="3">
        <v>48643</v>
      </c>
      <c r="G330" s="3">
        <v>1703</v>
      </c>
      <c r="H330" s="3">
        <v>141</v>
      </c>
      <c r="I330" s="4">
        <v>2204.16</v>
      </c>
      <c r="J330" s="4">
        <v>10101.64</v>
      </c>
      <c r="K330" s="3">
        <v>81</v>
      </c>
      <c r="L330" s="2" t="s">
        <v>2536</v>
      </c>
      <c r="M330" s="2" t="s">
        <v>2526</v>
      </c>
      <c r="N330" t="str">
        <f>TRIM(PROPER(Tabla_auditoría[[#This Row],[ID_Campaña]]))</f>
        <v>Cmp-008</v>
      </c>
      <c r="O330" t="str">
        <f>TRIM(PROPER(Tabla_auditoría[[#This Row],[Canal]]))</f>
        <v>Affiliate</v>
      </c>
      <c r="P330" t="str">
        <f>TRIM(PROPER(Tabla_auditoría[[#This Row],[País]]))</f>
        <v>España</v>
      </c>
      <c r="Q330" t="str">
        <f>TRIM(PROPER(Tabla_auditoría[[#This Row],[Dispositivo]]))</f>
        <v>Mobile</v>
      </c>
      <c r="R330" t="str">
        <f>TRIM(PROPER(Tabla_auditoría[[#This Row],[Tipo_Campaña]]))</f>
        <v>Reconocimiento</v>
      </c>
      <c r="S330" t="str">
        <f>TRIM(PROPER(Tabla_auditoría[[#This Row],[Responsable]]))</f>
        <v>Laura Pérez</v>
      </c>
    </row>
    <row r="331" spans="1:19" x14ac:dyDescent="0.3">
      <c r="A331" s="1">
        <v>45869</v>
      </c>
      <c r="B331" s="2" t="s">
        <v>2530</v>
      </c>
      <c r="C331" s="2" t="s">
        <v>2533</v>
      </c>
      <c r="D331" s="2" t="s">
        <v>2525</v>
      </c>
      <c r="E331" s="2" t="s">
        <v>2517</v>
      </c>
      <c r="F331" s="3">
        <v>104661</v>
      </c>
      <c r="G331" s="3">
        <v>2233</v>
      </c>
      <c r="H331" s="3">
        <v>260</v>
      </c>
      <c r="I331" s="4">
        <v>3545.43</v>
      </c>
      <c r="J331" s="4">
        <v>56370.76</v>
      </c>
      <c r="K331" s="3">
        <v>145</v>
      </c>
      <c r="L331" s="2" t="s">
        <v>2539</v>
      </c>
      <c r="M331" s="2" t="s">
        <v>2524</v>
      </c>
      <c r="N331" t="str">
        <f>TRIM(PROPER(Tabla_auditoría[[#This Row],[ID_Campaña]]))</f>
        <v>Cmp-026</v>
      </c>
      <c r="O331" t="str">
        <f>TRIM(PROPER(Tabla_auditoría[[#This Row],[Canal]]))</f>
        <v>Paid Social</v>
      </c>
      <c r="P331" t="str">
        <f>TRIM(PROPER(Tabla_auditoría[[#This Row],[País]]))</f>
        <v>Francia</v>
      </c>
      <c r="Q331" t="str">
        <f>TRIM(PROPER(Tabla_auditoría[[#This Row],[Dispositivo]]))</f>
        <v>Desktop</v>
      </c>
      <c r="R331" t="str">
        <f>TRIM(PROPER(Tabla_auditoría[[#This Row],[Tipo_Campaña]]))</f>
        <v>Conversión</v>
      </c>
      <c r="S331" t="str">
        <f>TRIM(PROPER(Tabla_auditoría[[#This Row],[Responsable]]))</f>
        <v>Luis Martín</v>
      </c>
    </row>
    <row r="332" spans="1:19" x14ac:dyDescent="0.3">
      <c r="A332" s="1">
        <v>45983</v>
      </c>
      <c r="B332" s="2" t="s">
        <v>2574</v>
      </c>
      <c r="C332" s="2" t="s">
        <v>2521</v>
      </c>
      <c r="D332" s="2" t="s">
        <v>2528</v>
      </c>
      <c r="E332" s="2" t="s">
        <v>2529</v>
      </c>
      <c r="F332" s="3">
        <v>135174</v>
      </c>
      <c r="G332" s="3">
        <v>6534</v>
      </c>
      <c r="H332" s="3">
        <v>462</v>
      </c>
      <c r="I332" s="4">
        <v>9304.9599999999991</v>
      </c>
      <c r="J332" s="4">
        <v>50860.26</v>
      </c>
      <c r="K332" s="3">
        <v>288</v>
      </c>
      <c r="L332" s="2" t="s">
        <v>2523</v>
      </c>
      <c r="M332" s="2" t="s">
        <v>2526</v>
      </c>
      <c r="N332" t="str">
        <f>TRIM(PROPER(Tabla_auditoría[[#This Row],[ID_Campaña]]))</f>
        <v>Cmp-003</v>
      </c>
      <c r="O332" t="str">
        <f>TRIM(PROPER(Tabla_auditoría[[#This Row],[Canal]]))</f>
        <v>Paid Search</v>
      </c>
      <c r="P332" t="str">
        <f>TRIM(PROPER(Tabla_auditoría[[#This Row],[País]]))</f>
        <v>España</v>
      </c>
      <c r="Q332" t="str">
        <f>TRIM(PROPER(Tabla_auditoría[[#This Row],[Dispositivo]]))</f>
        <v>Mobile</v>
      </c>
      <c r="R332" t="str">
        <f>TRIM(PROPER(Tabla_auditoría[[#This Row],[Tipo_Campaña]]))</f>
        <v>Retención</v>
      </c>
      <c r="S332" t="str">
        <f>TRIM(PROPER(Tabla_auditoría[[#This Row],[Responsable]]))</f>
        <v>Laura Pérez</v>
      </c>
    </row>
    <row r="333" spans="1:19" x14ac:dyDescent="0.3">
      <c r="A333" s="1">
        <v>45804</v>
      </c>
      <c r="B333" s="2" t="s">
        <v>2567</v>
      </c>
      <c r="C333" s="2" t="s">
        <v>2541</v>
      </c>
      <c r="D333" s="2" t="s">
        <v>2528</v>
      </c>
      <c r="E333" s="2" t="s">
        <v>2517</v>
      </c>
      <c r="F333" s="3">
        <v>65387</v>
      </c>
      <c r="G333" s="3">
        <v>3793</v>
      </c>
      <c r="H333" s="3">
        <v>329</v>
      </c>
      <c r="I333" s="4">
        <v>1005.81</v>
      </c>
      <c r="J333" s="4">
        <v>48243.97</v>
      </c>
      <c r="K333" s="3">
        <v>198</v>
      </c>
      <c r="L333" s="2" t="s">
        <v>2536</v>
      </c>
      <c r="M333" s="2" t="s">
        <v>2526</v>
      </c>
      <c r="N333" t="str">
        <f>TRIM(PROPER(Tabla_auditoría[[#This Row],[ID_Campaña]]))</f>
        <v>Cmp-021</v>
      </c>
      <c r="O333" t="str">
        <f>TRIM(PROPER(Tabla_auditoría[[#This Row],[Canal]]))</f>
        <v>Display</v>
      </c>
      <c r="P333" t="str">
        <f>TRIM(PROPER(Tabla_auditoría[[#This Row],[País]]))</f>
        <v>España</v>
      </c>
      <c r="Q333" t="str">
        <f>TRIM(PROPER(Tabla_auditoría[[#This Row],[Dispositivo]]))</f>
        <v>Desktop</v>
      </c>
      <c r="R333" t="str">
        <f>TRIM(PROPER(Tabla_auditoría[[#This Row],[Tipo_Campaña]]))</f>
        <v>Reconocimiento</v>
      </c>
      <c r="S333" t="str">
        <f>TRIM(PROPER(Tabla_auditoría[[#This Row],[Responsable]]))</f>
        <v>Laura Pérez</v>
      </c>
    </row>
    <row r="334" spans="1:19" x14ac:dyDescent="0.3">
      <c r="A334" s="1">
        <v>45660</v>
      </c>
      <c r="B334" s="2" t="s">
        <v>2574</v>
      </c>
      <c r="C334" s="2" t="s">
        <v>2575</v>
      </c>
      <c r="D334" s="2" t="s">
        <v>2528</v>
      </c>
      <c r="E334" s="2" t="s">
        <v>2517</v>
      </c>
      <c r="F334" s="3">
        <v>106826</v>
      </c>
      <c r="G334" s="3">
        <v>9377</v>
      </c>
      <c r="H334" s="3">
        <v>940</v>
      </c>
      <c r="I334" s="4">
        <v>18693.62</v>
      </c>
      <c r="J334" s="4">
        <v>148697.04</v>
      </c>
      <c r="K334" s="3">
        <v>587</v>
      </c>
      <c r="L334" s="2" t="s">
        <v>2536</v>
      </c>
      <c r="M334" s="2" t="s">
        <v>2537</v>
      </c>
      <c r="N334" t="str">
        <f>TRIM(PROPER(Tabla_auditoría[[#This Row],[ID_Campaña]]))</f>
        <v>Cmp-003</v>
      </c>
      <c r="O334" t="str">
        <f>TRIM(PROPER(Tabla_auditoría[[#This Row],[Canal]]))</f>
        <v>Paid Search</v>
      </c>
      <c r="P334" t="str">
        <f>TRIM(PROPER(Tabla_auditoría[[#This Row],[País]]))</f>
        <v>España</v>
      </c>
      <c r="Q334" t="str">
        <f>TRIM(PROPER(Tabla_auditoría[[#This Row],[Dispositivo]]))</f>
        <v>Desktop</v>
      </c>
      <c r="R334" t="str">
        <f>TRIM(PROPER(Tabla_auditoría[[#This Row],[Tipo_Campaña]]))</f>
        <v>Reconocimiento</v>
      </c>
      <c r="S334" t="str">
        <f>TRIM(PROPER(Tabla_auditoría[[#This Row],[Responsable]]))</f>
        <v>Marta López</v>
      </c>
    </row>
    <row r="335" spans="1:19" x14ac:dyDescent="0.3">
      <c r="A335" s="1">
        <v>45925</v>
      </c>
      <c r="B335" s="2" t="s">
        <v>2545</v>
      </c>
      <c r="C335" s="2" t="s">
        <v>2521</v>
      </c>
      <c r="D335" s="2" t="s">
        <v>2528</v>
      </c>
      <c r="E335" s="2" t="s">
        <v>2534</v>
      </c>
      <c r="F335" s="3">
        <v>44292</v>
      </c>
      <c r="G335" s="3">
        <v>2407</v>
      </c>
      <c r="H335" s="3">
        <v>70</v>
      </c>
      <c r="I335" s="4">
        <v>3578.59</v>
      </c>
      <c r="J335" s="4">
        <v>5034.71</v>
      </c>
      <c r="K335" s="3">
        <v>42</v>
      </c>
      <c r="L335" s="2" t="s">
        <v>2518</v>
      </c>
      <c r="M335" s="2" t="s">
        <v>2537</v>
      </c>
      <c r="N335" t="str">
        <f>TRIM(PROPER(Tabla_auditoría[[#This Row],[ID_Campaña]]))</f>
        <v>Cmp-011</v>
      </c>
      <c r="O335" t="str">
        <f>TRIM(PROPER(Tabla_auditoría[[#This Row],[Canal]]))</f>
        <v>Paid Search</v>
      </c>
      <c r="P335" t="str">
        <f>TRIM(PROPER(Tabla_auditoría[[#This Row],[País]]))</f>
        <v>España</v>
      </c>
      <c r="Q335" t="str">
        <f>TRIM(PROPER(Tabla_auditoría[[#This Row],[Dispositivo]]))</f>
        <v>Tablet</v>
      </c>
      <c r="R335" t="str">
        <f>TRIM(PROPER(Tabla_auditoría[[#This Row],[Tipo_Campaña]]))</f>
        <v>Adquisición</v>
      </c>
      <c r="S335" t="str">
        <f>TRIM(PROPER(Tabla_auditoría[[#This Row],[Responsable]]))</f>
        <v>Marta López</v>
      </c>
    </row>
    <row r="336" spans="1:19" x14ac:dyDescent="0.3">
      <c r="A336" s="1">
        <v>45867</v>
      </c>
      <c r="B336" s="2" t="s">
        <v>2520</v>
      </c>
      <c r="C336" s="2" t="s">
        <v>2521</v>
      </c>
      <c r="D336" s="2" t="s">
        <v>2528</v>
      </c>
      <c r="E336" s="2" t="s">
        <v>2529</v>
      </c>
      <c r="F336" s="3">
        <v>166986</v>
      </c>
      <c r="G336" s="3">
        <v>7719</v>
      </c>
      <c r="H336" s="3">
        <v>594</v>
      </c>
      <c r="I336" s="4">
        <v>6018.64</v>
      </c>
      <c r="J336" s="4">
        <v>52695.09</v>
      </c>
      <c r="K336" s="3">
        <v>299</v>
      </c>
      <c r="L336" s="2" t="s">
        <v>2523</v>
      </c>
      <c r="M336" s="2" t="s">
        <v>2546</v>
      </c>
      <c r="N336" t="str">
        <f>TRIM(PROPER(Tabla_auditoría[[#This Row],[ID_Campaña]]))</f>
        <v>Cmp-009</v>
      </c>
      <c r="O336" t="str">
        <f>TRIM(PROPER(Tabla_auditoría[[#This Row],[Canal]]))</f>
        <v>Paid Search</v>
      </c>
      <c r="P336" t="str">
        <f>TRIM(PROPER(Tabla_auditoría[[#This Row],[País]]))</f>
        <v>España</v>
      </c>
      <c r="Q336" t="str">
        <f>TRIM(PROPER(Tabla_auditoría[[#This Row],[Dispositivo]]))</f>
        <v>Mobile</v>
      </c>
      <c r="R336" t="str">
        <f>TRIM(PROPER(Tabla_auditoría[[#This Row],[Tipo_Campaña]]))</f>
        <v>Retención</v>
      </c>
      <c r="S336" t="str">
        <f>TRIM(PROPER(Tabla_auditoría[[#This Row],[Responsable]]))</f>
        <v>Ana García</v>
      </c>
    </row>
    <row r="337" spans="1:19" x14ac:dyDescent="0.3">
      <c r="A337" s="1">
        <v>45897</v>
      </c>
      <c r="B337" s="2" t="s">
        <v>2542</v>
      </c>
      <c r="C337" s="2" t="s">
        <v>2541</v>
      </c>
      <c r="D337" s="2" t="s">
        <v>2528</v>
      </c>
      <c r="E337" s="2" t="s">
        <v>2517</v>
      </c>
      <c r="F337" s="3">
        <v>76130</v>
      </c>
      <c r="G337" s="3">
        <v>4959</v>
      </c>
      <c r="H337" s="3">
        <v>674</v>
      </c>
      <c r="I337" s="4">
        <v>9570.6</v>
      </c>
      <c r="J337" s="4">
        <v>110246.44</v>
      </c>
      <c r="K337" s="3">
        <v>512</v>
      </c>
      <c r="L337" s="2" t="s">
        <v>2539</v>
      </c>
      <c r="M337" s="2" t="s">
        <v>2526</v>
      </c>
      <c r="N337" t="str">
        <f>TRIM(PROPER(Tabla_auditoría[[#This Row],[ID_Campaña]]))</f>
        <v>Cmp-025</v>
      </c>
      <c r="O337" t="str">
        <f>TRIM(PROPER(Tabla_auditoría[[#This Row],[Canal]]))</f>
        <v>Display</v>
      </c>
      <c r="P337" t="str">
        <f>TRIM(PROPER(Tabla_auditoría[[#This Row],[País]]))</f>
        <v>España</v>
      </c>
      <c r="Q337" t="str">
        <f>TRIM(PROPER(Tabla_auditoría[[#This Row],[Dispositivo]]))</f>
        <v>Desktop</v>
      </c>
      <c r="R337" t="str">
        <f>TRIM(PROPER(Tabla_auditoría[[#This Row],[Tipo_Campaña]]))</f>
        <v>Conversión</v>
      </c>
      <c r="S337" t="str">
        <f>TRIM(PROPER(Tabla_auditoría[[#This Row],[Responsable]]))</f>
        <v>Laura Pérez</v>
      </c>
    </row>
    <row r="338" spans="1:19" x14ac:dyDescent="0.3">
      <c r="A338" s="1">
        <v>45909</v>
      </c>
      <c r="B338" s="2" t="s">
        <v>2549</v>
      </c>
      <c r="C338" s="2" t="s">
        <v>2515</v>
      </c>
      <c r="D338" s="2" t="s">
        <v>2525</v>
      </c>
      <c r="E338" s="2" t="s">
        <v>2529</v>
      </c>
      <c r="F338" s="3">
        <v>11965</v>
      </c>
      <c r="G338" s="3">
        <v>67</v>
      </c>
      <c r="H338" s="3">
        <v>7</v>
      </c>
      <c r="I338" s="4">
        <v>30.62</v>
      </c>
      <c r="J338" s="4">
        <v>1208.73</v>
      </c>
      <c r="K338" s="3">
        <v>5</v>
      </c>
      <c r="L338" s="2" t="s">
        <v>2518</v>
      </c>
      <c r="M338" s="2" t="s">
        <v>2546</v>
      </c>
      <c r="N338" t="str">
        <f>TRIM(PROPER(Tabla_auditoría[[#This Row],[ID_Campaña]]))</f>
        <v>Cmp-007</v>
      </c>
      <c r="O338" t="str">
        <f>TRIM(PROPER(Tabla_auditoría[[#This Row],[Canal]]))</f>
        <v>Email</v>
      </c>
      <c r="P338" t="str">
        <f>TRIM(PROPER(Tabla_auditoría[[#This Row],[País]]))</f>
        <v>Francia</v>
      </c>
      <c r="Q338" t="str">
        <f>TRIM(PROPER(Tabla_auditoría[[#This Row],[Dispositivo]]))</f>
        <v>Mobile</v>
      </c>
      <c r="R338" t="str">
        <f>TRIM(PROPER(Tabla_auditoría[[#This Row],[Tipo_Campaña]]))</f>
        <v>Adquisición</v>
      </c>
      <c r="S338" t="str">
        <f>TRIM(PROPER(Tabla_auditoría[[#This Row],[Responsable]]))</f>
        <v>Ana García</v>
      </c>
    </row>
    <row r="339" spans="1:19" x14ac:dyDescent="0.3">
      <c r="A339" s="1">
        <v>45660</v>
      </c>
      <c r="B339" s="2" t="s">
        <v>2566</v>
      </c>
      <c r="C339" s="2" t="s">
        <v>2527</v>
      </c>
      <c r="D339" s="2" t="s">
        <v>2528</v>
      </c>
      <c r="E339" s="2" t="s">
        <v>2534</v>
      </c>
      <c r="F339" s="3">
        <v>138916</v>
      </c>
      <c r="G339" s="3">
        <v>4883</v>
      </c>
      <c r="H339" s="3">
        <v>625</v>
      </c>
      <c r="I339" s="4">
        <v>2324.27</v>
      </c>
      <c r="J339" s="4">
        <v>73508.25</v>
      </c>
      <c r="K339" s="3">
        <v>533</v>
      </c>
      <c r="L339" s="2" t="s">
        <v>2523</v>
      </c>
      <c r="M339" s="2" t="s">
        <v>2537</v>
      </c>
      <c r="N339" t="str">
        <f>TRIM(PROPER(Tabla_auditoría[[#This Row],[ID_Campaña]]))</f>
        <v>Cmp-001</v>
      </c>
      <c r="O339" t="str">
        <f>TRIM(PROPER(Tabla_auditoría[[#This Row],[Canal]]))</f>
        <v>Affiliate</v>
      </c>
      <c r="P339" t="str">
        <f>TRIM(PROPER(Tabla_auditoría[[#This Row],[País]]))</f>
        <v>España</v>
      </c>
      <c r="Q339" t="str">
        <f>TRIM(PROPER(Tabla_auditoría[[#This Row],[Dispositivo]]))</f>
        <v>Tablet</v>
      </c>
      <c r="R339" t="str">
        <f>TRIM(PROPER(Tabla_auditoría[[#This Row],[Tipo_Campaña]]))</f>
        <v>Retención</v>
      </c>
      <c r="S339" t="str">
        <f>TRIM(PROPER(Tabla_auditoría[[#This Row],[Responsable]]))</f>
        <v>Marta López</v>
      </c>
    </row>
    <row r="340" spans="1:19" x14ac:dyDescent="0.3">
      <c r="A340" s="1">
        <v>45660</v>
      </c>
      <c r="B340" s="2" t="s">
        <v>2565</v>
      </c>
      <c r="C340" s="2" t="s">
        <v>2521</v>
      </c>
      <c r="D340" s="2" t="s">
        <v>2528</v>
      </c>
      <c r="E340" s="2" t="s">
        <v>2517</v>
      </c>
      <c r="F340" s="3">
        <v>156774</v>
      </c>
      <c r="G340" s="3">
        <v>4038</v>
      </c>
      <c r="H340" s="3">
        <v>425</v>
      </c>
      <c r="I340" s="4">
        <v>2904.34</v>
      </c>
      <c r="J340" s="4">
        <v>87625.48</v>
      </c>
      <c r="K340" s="3">
        <v>253</v>
      </c>
      <c r="L340" s="2" t="s">
        <v>2523</v>
      </c>
      <c r="M340" s="2" t="s">
        <v>2526</v>
      </c>
      <c r="N340" t="str">
        <f>TRIM(PROPER(Tabla_auditoría[[#This Row],[ID_Campaña]]))</f>
        <v>Cmp-005</v>
      </c>
      <c r="O340" t="str">
        <f>TRIM(PROPER(Tabla_auditoría[[#This Row],[Canal]]))</f>
        <v>Paid Search</v>
      </c>
      <c r="P340" t="str">
        <f>TRIM(PROPER(Tabla_auditoría[[#This Row],[País]]))</f>
        <v>España</v>
      </c>
      <c r="Q340" t="str">
        <f>TRIM(PROPER(Tabla_auditoría[[#This Row],[Dispositivo]]))</f>
        <v>Desktop</v>
      </c>
      <c r="R340" t="str">
        <f>TRIM(PROPER(Tabla_auditoría[[#This Row],[Tipo_Campaña]]))</f>
        <v>Retención</v>
      </c>
      <c r="S340" t="str">
        <f>TRIM(PROPER(Tabla_auditoría[[#This Row],[Responsable]]))</f>
        <v>Laura Pérez</v>
      </c>
    </row>
    <row r="341" spans="1:19" x14ac:dyDescent="0.3">
      <c r="A341" s="1">
        <v>46000</v>
      </c>
      <c r="B341" s="2" t="s">
        <v>2544</v>
      </c>
      <c r="C341" s="2" t="s">
        <v>2521</v>
      </c>
      <c r="D341" s="2" t="s">
        <v>2531</v>
      </c>
      <c r="E341" s="2" t="s">
        <v>2517</v>
      </c>
      <c r="F341" s="3">
        <v>125272</v>
      </c>
      <c r="G341" s="3">
        <v>5689</v>
      </c>
      <c r="H341" s="3">
        <v>383</v>
      </c>
      <c r="I341" s="4">
        <v>8059.72</v>
      </c>
      <c r="J341" s="4">
        <v>68829.960000000006</v>
      </c>
      <c r="K341" s="3">
        <v>198</v>
      </c>
      <c r="L341" s="2" t="s">
        <v>2539</v>
      </c>
      <c r="M341" s="2" t="s">
        <v>2537</v>
      </c>
      <c r="N341" t="str">
        <f>TRIM(PROPER(Tabla_auditoría[[#This Row],[ID_Campaña]]))</f>
        <v>Cmp-006</v>
      </c>
      <c r="O341" t="str">
        <f>TRIM(PROPER(Tabla_auditoría[[#This Row],[Canal]]))</f>
        <v>Paid Search</v>
      </c>
      <c r="P341" t="str">
        <f>TRIM(PROPER(Tabla_auditoría[[#This Row],[País]]))</f>
        <v>Portugal</v>
      </c>
      <c r="Q341" t="str">
        <f>TRIM(PROPER(Tabla_auditoría[[#This Row],[Dispositivo]]))</f>
        <v>Desktop</v>
      </c>
      <c r="R341" t="str">
        <f>TRIM(PROPER(Tabla_auditoría[[#This Row],[Tipo_Campaña]]))</f>
        <v>Conversión</v>
      </c>
      <c r="S341" t="str">
        <f>TRIM(PROPER(Tabla_auditoría[[#This Row],[Responsable]]))</f>
        <v>Marta López</v>
      </c>
    </row>
    <row r="342" spans="1:19" x14ac:dyDescent="0.3">
      <c r="A342" s="1">
        <v>45661</v>
      </c>
      <c r="B342" s="2" t="s">
        <v>2567</v>
      </c>
      <c r="C342" s="2" t="s">
        <v>2515</v>
      </c>
      <c r="D342" s="2" t="s">
        <v>2531</v>
      </c>
      <c r="E342" s="2" t="s">
        <v>2517</v>
      </c>
      <c r="F342" s="3">
        <v>120349</v>
      </c>
      <c r="G342" s="3">
        <v>4392</v>
      </c>
      <c r="H342" s="3">
        <v>193</v>
      </c>
      <c r="I342" s="4">
        <v>2151.5700000000002</v>
      </c>
      <c r="J342" s="4">
        <v>30337.3</v>
      </c>
      <c r="K342" s="3">
        <v>130</v>
      </c>
      <c r="L342" s="2" t="s">
        <v>2539</v>
      </c>
      <c r="M342" s="2" t="s">
        <v>2524</v>
      </c>
      <c r="N342" t="str">
        <f>TRIM(PROPER(Tabla_auditoría[[#This Row],[ID_Campaña]]))</f>
        <v>Cmp-021</v>
      </c>
      <c r="O342" t="str">
        <f>TRIM(PROPER(Tabla_auditoría[[#This Row],[Canal]]))</f>
        <v>Email</v>
      </c>
      <c r="P342" t="str">
        <f>TRIM(PROPER(Tabla_auditoría[[#This Row],[País]]))</f>
        <v>Portugal</v>
      </c>
      <c r="Q342" t="str">
        <f>TRIM(PROPER(Tabla_auditoría[[#This Row],[Dispositivo]]))</f>
        <v>Desktop</v>
      </c>
      <c r="R342" t="str">
        <f>TRIM(PROPER(Tabla_auditoría[[#This Row],[Tipo_Campaña]]))</f>
        <v>Conversión</v>
      </c>
      <c r="S342" t="str">
        <f>TRIM(PROPER(Tabla_auditoría[[#This Row],[Responsable]]))</f>
        <v>Luis Martín</v>
      </c>
    </row>
    <row r="343" spans="1:19" x14ac:dyDescent="0.3">
      <c r="A343" s="1">
        <v>45666</v>
      </c>
      <c r="B343" s="2" t="s">
        <v>2514</v>
      </c>
      <c r="C343" s="2" t="s">
        <v>2543</v>
      </c>
      <c r="D343" s="2" t="s">
        <v>2531</v>
      </c>
      <c r="E343" s="2" t="s">
        <v>2529</v>
      </c>
      <c r="F343" s="3">
        <v>115709</v>
      </c>
      <c r="G343" s="3">
        <v>3063</v>
      </c>
      <c r="H343" s="3">
        <v>201</v>
      </c>
      <c r="I343" s="4">
        <v>6306.71</v>
      </c>
      <c r="J343" s="4">
        <v>37103.85</v>
      </c>
      <c r="K343" s="3">
        <v>152</v>
      </c>
      <c r="L343" s="2" t="s">
        <v>2523</v>
      </c>
      <c r="M343" s="2" t="s">
        <v>2546</v>
      </c>
      <c r="N343" t="str">
        <f>TRIM(PROPER(Tabla_auditoría[[#This Row],[ID_Campaña]]))</f>
        <v>Cmp-002</v>
      </c>
      <c r="O343" t="str">
        <f>TRIM(PROPER(Tabla_auditoría[[#This Row],[Canal]]))</f>
        <v>Organic Social</v>
      </c>
      <c r="P343" t="str">
        <f>TRIM(PROPER(Tabla_auditoría[[#This Row],[País]]))</f>
        <v>Portugal</v>
      </c>
      <c r="Q343" t="str">
        <f>TRIM(PROPER(Tabla_auditoría[[#This Row],[Dispositivo]]))</f>
        <v>Mobile</v>
      </c>
      <c r="R343" t="str">
        <f>TRIM(PROPER(Tabla_auditoría[[#This Row],[Tipo_Campaña]]))</f>
        <v>Retención</v>
      </c>
      <c r="S343" t="str">
        <f>TRIM(PROPER(Tabla_auditoría[[#This Row],[Responsable]]))</f>
        <v>Ana García</v>
      </c>
    </row>
    <row r="344" spans="1:19" x14ac:dyDescent="0.3">
      <c r="A344" s="1">
        <v>45910</v>
      </c>
      <c r="B344" s="2" t="s">
        <v>2549</v>
      </c>
      <c r="C344" s="2" t="s">
        <v>2541</v>
      </c>
      <c r="D344" s="2" t="s">
        <v>2528</v>
      </c>
      <c r="E344" s="2" t="s">
        <v>2517</v>
      </c>
      <c r="F344" s="3">
        <v>81247</v>
      </c>
      <c r="G344" s="3">
        <v>2458</v>
      </c>
      <c r="H344" s="3">
        <v>145</v>
      </c>
      <c r="I344" s="4">
        <v>2095.11</v>
      </c>
      <c r="J344" s="4">
        <v>7504.78</v>
      </c>
      <c r="K344" s="3">
        <v>130</v>
      </c>
      <c r="L344" s="2" t="s">
        <v>2536</v>
      </c>
      <c r="M344" s="2" t="s">
        <v>2537</v>
      </c>
      <c r="N344" t="str">
        <f>TRIM(PROPER(Tabla_auditoría[[#This Row],[ID_Campaña]]))</f>
        <v>Cmp-007</v>
      </c>
      <c r="O344" t="str">
        <f>TRIM(PROPER(Tabla_auditoría[[#This Row],[Canal]]))</f>
        <v>Display</v>
      </c>
      <c r="P344" t="str">
        <f>TRIM(PROPER(Tabla_auditoría[[#This Row],[País]]))</f>
        <v>España</v>
      </c>
      <c r="Q344" t="str">
        <f>TRIM(PROPER(Tabla_auditoría[[#This Row],[Dispositivo]]))</f>
        <v>Desktop</v>
      </c>
      <c r="R344" t="str">
        <f>TRIM(PROPER(Tabla_auditoría[[#This Row],[Tipo_Campaña]]))</f>
        <v>Reconocimiento</v>
      </c>
      <c r="S344" t="str">
        <f>TRIM(PROPER(Tabla_auditoría[[#This Row],[Responsable]]))</f>
        <v>Marta López</v>
      </c>
    </row>
    <row r="345" spans="1:19" x14ac:dyDescent="0.3">
      <c r="A345" s="1">
        <v>45965</v>
      </c>
      <c r="B345" s="2" t="s">
        <v>2570</v>
      </c>
      <c r="C345" s="2" t="s">
        <v>2515</v>
      </c>
      <c r="D345" s="2" t="s">
        <v>2531</v>
      </c>
      <c r="E345" s="2" t="s">
        <v>2529</v>
      </c>
      <c r="F345" s="3">
        <v>60952</v>
      </c>
      <c r="G345" s="3">
        <v>3535</v>
      </c>
      <c r="H345" s="3">
        <v>429</v>
      </c>
      <c r="I345" s="4">
        <v>3784.02</v>
      </c>
      <c r="J345" s="4">
        <v>85012.85</v>
      </c>
      <c r="K345" s="3">
        <v>253</v>
      </c>
      <c r="L345" s="2" t="s">
        <v>2523</v>
      </c>
      <c r="M345" s="2" t="s">
        <v>2537</v>
      </c>
      <c r="N345" t="str">
        <f>TRIM(PROPER(Tabla_auditoría[[#This Row],[ID_Campaña]]))</f>
        <v>Cmp-016</v>
      </c>
      <c r="O345" t="str">
        <f>TRIM(PROPER(Tabla_auditoría[[#This Row],[Canal]]))</f>
        <v>Email</v>
      </c>
      <c r="P345" t="str">
        <f>TRIM(PROPER(Tabla_auditoría[[#This Row],[País]]))</f>
        <v>Portugal</v>
      </c>
      <c r="Q345" t="str">
        <f>TRIM(PROPER(Tabla_auditoría[[#This Row],[Dispositivo]]))</f>
        <v>Mobile</v>
      </c>
      <c r="R345" t="str">
        <f>TRIM(PROPER(Tabla_auditoría[[#This Row],[Tipo_Campaña]]))</f>
        <v>Retención</v>
      </c>
      <c r="S345" t="str">
        <f>TRIM(PROPER(Tabla_auditoría[[#This Row],[Responsable]]))</f>
        <v>Marta López</v>
      </c>
    </row>
    <row r="346" spans="1:19" x14ac:dyDescent="0.3">
      <c r="A346" s="1">
        <v>45819</v>
      </c>
      <c r="B346" s="2" t="s">
        <v>2538</v>
      </c>
      <c r="C346" s="2" t="s">
        <v>2543</v>
      </c>
      <c r="D346" s="2" t="s">
        <v>2528</v>
      </c>
      <c r="E346" s="2" t="s">
        <v>2529</v>
      </c>
      <c r="F346" s="3">
        <v>33381</v>
      </c>
      <c r="G346" s="3">
        <v>2881</v>
      </c>
      <c r="H346" s="3">
        <v>374</v>
      </c>
      <c r="I346" s="4">
        <v>640</v>
      </c>
      <c r="J346" s="4">
        <v>5624.01</v>
      </c>
      <c r="K346" s="3">
        <v>293</v>
      </c>
      <c r="L346" s="2" t="s">
        <v>2523</v>
      </c>
      <c r="M346" s="2" t="s">
        <v>2519</v>
      </c>
      <c r="N346" t="str">
        <f>TRIM(PROPER(Tabla_auditoría[[#This Row],[ID_Campaña]]))</f>
        <v>Cmp-004</v>
      </c>
      <c r="O346" t="str">
        <f>TRIM(PROPER(Tabla_auditoría[[#This Row],[Canal]]))</f>
        <v>Organic Social</v>
      </c>
      <c r="P346" t="str">
        <f>TRIM(PROPER(Tabla_auditoría[[#This Row],[País]]))</f>
        <v>España</v>
      </c>
      <c r="Q346" t="str">
        <f>TRIM(PROPER(Tabla_auditoría[[#This Row],[Dispositivo]]))</f>
        <v>Mobile</v>
      </c>
      <c r="R346" t="str">
        <f>TRIM(PROPER(Tabla_auditoría[[#This Row],[Tipo_Campaña]]))</f>
        <v>Retención</v>
      </c>
      <c r="S346" t="str">
        <f>TRIM(PROPER(Tabla_auditoría[[#This Row],[Responsable]]))</f>
        <v>Carlos Ruiz</v>
      </c>
    </row>
    <row r="347" spans="1:19" x14ac:dyDescent="0.3">
      <c r="A347" s="1">
        <v>45811</v>
      </c>
      <c r="B347" s="2" t="s">
        <v>2569</v>
      </c>
      <c r="C347" s="2" t="s">
        <v>2533</v>
      </c>
      <c r="D347" s="2" t="s">
        <v>2528</v>
      </c>
      <c r="E347" s="2" t="s">
        <v>2517</v>
      </c>
      <c r="F347" s="3">
        <v>85570</v>
      </c>
      <c r="G347" s="3">
        <v>418</v>
      </c>
      <c r="H347" s="3">
        <v>50</v>
      </c>
      <c r="I347" s="4">
        <v>267.2</v>
      </c>
      <c r="J347" s="4">
        <v>8632.26</v>
      </c>
      <c r="K347" s="3">
        <v>41</v>
      </c>
      <c r="L347" s="2" t="s">
        <v>2518</v>
      </c>
      <c r="M347" s="2" t="s">
        <v>2519</v>
      </c>
      <c r="N347" t="str">
        <f>TRIM(PROPER(Tabla_auditoría[[#This Row],[ID_Campaña]]))</f>
        <v>Cmp-013</v>
      </c>
      <c r="O347" t="str">
        <f>TRIM(PROPER(Tabla_auditoría[[#This Row],[Canal]]))</f>
        <v>Paid Social</v>
      </c>
      <c r="P347" t="str">
        <f>TRIM(PROPER(Tabla_auditoría[[#This Row],[País]]))</f>
        <v>España</v>
      </c>
      <c r="Q347" t="str">
        <f>TRIM(PROPER(Tabla_auditoría[[#This Row],[Dispositivo]]))</f>
        <v>Desktop</v>
      </c>
      <c r="R347" t="str">
        <f>TRIM(PROPER(Tabla_auditoría[[#This Row],[Tipo_Campaña]]))</f>
        <v>Adquisición</v>
      </c>
      <c r="S347" t="str">
        <f>TRIM(PROPER(Tabla_auditoría[[#This Row],[Responsable]]))</f>
        <v>Carlos Ruiz</v>
      </c>
    </row>
    <row r="348" spans="1:19" x14ac:dyDescent="0.3">
      <c r="A348" s="1">
        <v>45778</v>
      </c>
      <c r="B348" s="2" t="s">
        <v>2557</v>
      </c>
      <c r="C348" s="2" t="s">
        <v>2527</v>
      </c>
      <c r="D348" s="2" t="s">
        <v>2528</v>
      </c>
      <c r="E348" s="2" t="s">
        <v>2517</v>
      </c>
      <c r="F348" s="3">
        <v>21807</v>
      </c>
      <c r="G348" s="3">
        <v>1668</v>
      </c>
      <c r="H348" s="3">
        <v>75</v>
      </c>
      <c r="I348" s="4">
        <v>3381.09</v>
      </c>
      <c r="J348" s="4">
        <v>8499.61</v>
      </c>
      <c r="K348" s="3">
        <v>36</v>
      </c>
      <c r="L348" s="2" t="s">
        <v>2518</v>
      </c>
      <c r="M348" s="2" t="s">
        <v>2519</v>
      </c>
      <c r="N348" t="str">
        <f>TRIM(PROPER(Tabla_auditoría[[#This Row],[ID_Campaña]]))</f>
        <v>Cmp-030</v>
      </c>
      <c r="O348" t="str">
        <f>TRIM(PROPER(Tabla_auditoría[[#This Row],[Canal]]))</f>
        <v>Affiliate</v>
      </c>
      <c r="P348" t="str">
        <f>TRIM(PROPER(Tabla_auditoría[[#This Row],[País]]))</f>
        <v>España</v>
      </c>
      <c r="Q348" t="str">
        <f>TRIM(PROPER(Tabla_auditoría[[#This Row],[Dispositivo]]))</f>
        <v>Desktop</v>
      </c>
      <c r="R348" t="str">
        <f>TRIM(PROPER(Tabla_auditoría[[#This Row],[Tipo_Campaña]]))</f>
        <v>Adquisición</v>
      </c>
      <c r="S348" t="str">
        <f>TRIM(PROPER(Tabla_auditoría[[#This Row],[Responsable]]))</f>
        <v>Carlos Ruiz</v>
      </c>
    </row>
    <row r="349" spans="1:19" x14ac:dyDescent="0.3">
      <c r="A349" s="1">
        <v>45812</v>
      </c>
      <c r="B349" s="2" t="s">
        <v>2514</v>
      </c>
      <c r="C349" s="2" t="s">
        <v>2515</v>
      </c>
      <c r="D349" s="2" t="s">
        <v>2525</v>
      </c>
      <c r="E349" s="2" t="s">
        <v>2561</v>
      </c>
      <c r="F349" s="3">
        <v>100617</v>
      </c>
      <c r="G349" s="3">
        <v>6163</v>
      </c>
      <c r="H349" s="3">
        <v>642</v>
      </c>
      <c r="I349" s="4">
        <v>10935.04</v>
      </c>
      <c r="J349" s="4">
        <v>47540.1</v>
      </c>
      <c r="K349" s="3">
        <v>572</v>
      </c>
      <c r="L349" s="2" t="s">
        <v>2536</v>
      </c>
      <c r="M349" s="2" t="s">
        <v>2519</v>
      </c>
      <c r="N349" t="str">
        <f>TRIM(PROPER(Tabla_auditoría[[#This Row],[ID_Campaña]]))</f>
        <v>Cmp-002</v>
      </c>
      <c r="O349" t="str">
        <f>TRIM(PROPER(Tabla_auditoría[[#This Row],[Canal]]))</f>
        <v>Email</v>
      </c>
      <c r="P349" t="str">
        <f>TRIM(PROPER(Tabla_auditoría[[#This Row],[País]]))</f>
        <v>Francia</v>
      </c>
      <c r="Q349" t="str">
        <f>TRIM(PROPER(Tabla_auditoría[[#This Row],[Dispositivo]]))</f>
        <v>Mobile</v>
      </c>
      <c r="R349" t="str">
        <f>TRIM(PROPER(Tabla_auditoría[[#This Row],[Tipo_Campaña]]))</f>
        <v>Reconocimiento</v>
      </c>
      <c r="S349" t="str">
        <f>TRIM(PROPER(Tabla_auditoría[[#This Row],[Responsable]]))</f>
        <v>Carlos Ruiz</v>
      </c>
    </row>
    <row r="350" spans="1:19" x14ac:dyDescent="0.3">
      <c r="A350" s="1">
        <v>45815</v>
      </c>
      <c r="B350" s="2" t="s">
        <v>2570</v>
      </c>
      <c r="C350" s="2" t="s">
        <v>2543</v>
      </c>
      <c r="D350" s="2" t="s">
        <v>2528</v>
      </c>
      <c r="E350" s="2" t="s">
        <v>2534</v>
      </c>
      <c r="F350" s="3">
        <v>35619</v>
      </c>
      <c r="G350" s="3">
        <v>35851</v>
      </c>
      <c r="H350" s="3">
        <v>141</v>
      </c>
      <c r="I350" s="4">
        <v>1399.77</v>
      </c>
      <c r="J350" s="4">
        <v>21317.41</v>
      </c>
      <c r="K350" s="3">
        <v>66</v>
      </c>
      <c r="L350" s="2" t="s">
        <v>2518</v>
      </c>
      <c r="M350" s="2" t="s">
        <v>2524</v>
      </c>
      <c r="N350" t="str">
        <f>TRIM(PROPER(Tabla_auditoría[[#This Row],[ID_Campaña]]))</f>
        <v>Cmp-016</v>
      </c>
      <c r="O350" t="str">
        <f>TRIM(PROPER(Tabla_auditoría[[#This Row],[Canal]]))</f>
        <v>Organic Social</v>
      </c>
      <c r="P350" t="str">
        <f>TRIM(PROPER(Tabla_auditoría[[#This Row],[País]]))</f>
        <v>España</v>
      </c>
      <c r="Q350" t="str">
        <f>TRIM(PROPER(Tabla_auditoría[[#This Row],[Dispositivo]]))</f>
        <v>Tablet</v>
      </c>
      <c r="R350" t="str">
        <f>TRIM(PROPER(Tabla_auditoría[[#This Row],[Tipo_Campaña]]))</f>
        <v>Adquisición</v>
      </c>
      <c r="S350" t="str">
        <f>TRIM(PROPER(Tabla_auditoría[[#This Row],[Responsable]]))</f>
        <v>Luis Martín</v>
      </c>
    </row>
    <row r="351" spans="1:19" x14ac:dyDescent="0.3">
      <c r="A351" s="1">
        <v>45687</v>
      </c>
      <c r="B351" s="2" t="s">
        <v>2556</v>
      </c>
      <c r="C351" s="2" t="s">
        <v>2521</v>
      </c>
      <c r="D351" s="2" t="s">
        <v>2528</v>
      </c>
      <c r="E351" s="2" t="s">
        <v>2517</v>
      </c>
      <c r="F351" s="3">
        <v>23489</v>
      </c>
      <c r="G351" s="3">
        <v>1195</v>
      </c>
      <c r="H351" s="3">
        <v>107</v>
      </c>
      <c r="I351" s="4">
        <v>810.4</v>
      </c>
      <c r="J351" s="4">
        <v>17746.64</v>
      </c>
      <c r="K351" s="3">
        <v>51</v>
      </c>
      <c r="L351" s="2" t="s">
        <v>2539</v>
      </c>
      <c r="M351" s="2" t="s">
        <v>2524</v>
      </c>
      <c r="N351" t="str">
        <f>TRIM(PROPER(Tabla_auditoría[[#This Row],[ID_Campaña]]))</f>
        <v>Cmp-014</v>
      </c>
      <c r="O351" t="str">
        <f>TRIM(PROPER(Tabla_auditoría[[#This Row],[Canal]]))</f>
        <v>Paid Search</v>
      </c>
      <c r="P351" t="str">
        <f>TRIM(PROPER(Tabla_auditoría[[#This Row],[País]]))</f>
        <v>España</v>
      </c>
      <c r="Q351" t="str">
        <f>TRIM(PROPER(Tabla_auditoría[[#This Row],[Dispositivo]]))</f>
        <v>Desktop</v>
      </c>
      <c r="R351" t="str">
        <f>TRIM(PROPER(Tabla_auditoría[[#This Row],[Tipo_Campaña]]))</f>
        <v>Conversión</v>
      </c>
      <c r="S351" t="str">
        <f>TRIM(PROPER(Tabla_auditoría[[#This Row],[Responsable]]))</f>
        <v>Luis Martín</v>
      </c>
    </row>
    <row r="352" spans="1:19" x14ac:dyDescent="0.3">
      <c r="A352" s="1">
        <v>45807</v>
      </c>
      <c r="B352" s="2" t="s">
        <v>2520</v>
      </c>
      <c r="C352" s="2" t="s">
        <v>2521</v>
      </c>
      <c r="D352" s="2" t="s">
        <v>2528</v>
      </c>
      <c r="E352" s="2" t="s">
        <v>2529</v>
      </c>
      <c r="F352" s="3">
        <v>177538</v>
      </c>
      <c r="G352" s="3">
        <v>14298</v>
      </c>
      <c r="H352" s="3">
        <v>1513</v>
      </c>
      <c r="I352" s="4">
        <v>6839.89</v>
      </c>
      <c r="J352" s="4">
        <v>101070.49</v>
      </c>
      <c r="K352" s="3">
        <v>1237</v>
      </c>
      <c r="L352" s="2" t="s">
        <v>2523</v>
      </c>
      <c r="M352" s="2" t="s">
        <v>2526</v>
      </c>
      <c r="N352" t="str">
        <f>TRIM(PROPER(Tabla_auditoría[[#This Row],[ID_Campaña]]))</f>
        <v>Cmp-009</v>
      </c>
      <c r="O352" t="str">
        <f>TRIM(PROPER(Tabla_auditoría[[#This Row],[Canal]]))</f>
        <v>Paid Search</v>
      </c>
      <c r="P352" t="str">
        <f>TRIM(PROPER(Tabla_auditoría[[#This Row],[País]]))</f>
        <v>España</v>
      </c>
      <c r="Q352" t="str">
        <f>TRIM(PROPER(Tabla_auditoría[[#This Row],[Dispositivo]]))</f>
        <v>Mobile</v>
      </c>
      <c r="R352" t="str">
        <f>TRIM(PROPER(Tabla_auditoría[[#This Row],[Tipo_Campaña]]))</f>
        <v>Retención</v>
      </c>
      <c r="S352" t="str">
        <f>TRIM(PROPER(Tabla_auditoría[[#This Row],[Responsable]]))</f>
        <v>Laura Pérez</v>
      </c>
    </row>
    <row r="353" spans="1:19" x14ac:dyDescent="0.3">
      <c r="A353" s="1">
        <v>46001</v>
      </c>
      <c r="B353" s="2" t="s">
        <v>2547</v>
      </c>
      <c r="C353" s="2" t="s">
        <v>2527</v>
      </c>
      <c r="D353" s="2" t="s">
        <v>2528</v>
      </c>
      <c r="E353" s="2" t="s">
        <v>2517</v>
      </c>
      <c r="F353" s="3">
        <v>18970</v>
      </c>
      <c r="G353" s="3">
        <v>1596</v>
      </c>
      <c r="H353" s="3">
        <v>117</v>
      </c>
      <c r="I353" s="4">
        <v>1123.25</v>
      </c>
      <c r="J353" s="4">
        <v>6760.9</v>
      </c>
      <c r="K353" s="3">
        <v>74</v>
      </c>
      <c r="L353" s="2" t="s">
        <v>2518</v>
      </c>
      <c r="M353" s="2" t="s">
        <v>2519</v>
      </c>
      <c r="N353" t="str">
        <f>TRIM(PROPER(Tabla_auditoría[[#This Row],[ID_Campaña]]))</f>
        <v>Cmp-018</v>
      </c>
      <c r="O353" t="str">
        <f>TRIM(PROPER(Tabla_auditoría[[#This Row],[Canal]]))</f>
        <v>Affiliate</v>
      </c>
      <c r="P353" t="str">
        <f>TRIM(PROPER(Tabla_auditoría[[#This Row],[País]]))</f>
        <v>España</v>
      </c>
      <c r="Q353" t="str">
        <f>TRIM(PROPER(Tabla_auditoría[[#This Row],[Dispositivo]]))</f>
        <v>Desktop</v>
      </c>
      <c r="R353" t="str">
        <f>TRIM(PROPER(Tabla_auditoría[[#This Row],[Tipo_Campaña]]))</f>
        <v>Adquisición</v>
      </c>
      <c r="S353" t="str">
        <f>TRIM(PROPER(Tabla_auditoría[[#This Row],[Responsable]]))</f>
        <v>Carlos Ruiz</v>
      </c>
    </row>
    <row r="354" spans="1:19" x14ac:dyDescent="0.3">
      <c r="A354" s="1">
        <v>45836</v>
      </c>
      <c r="B354" s="2" t="s">
        <v>2540</v>
      </c>
      <c r="C354" s="2" t="s">
        <v>2521</v>
      </c>
      <c r="D354" s="2" t="s">
        <v>2525</v>
      </c>
      <c r="E354" s="2" t="s">
        <v>2534</v>
      </c>
      <c r="F354" s="3">
        <v>34572</v>
      </c>
      <c r="G354" s="3">
        <v>576</v>
      </c>
      <c r="H354" s="3">
        <v>48</v>
      </c>
      <c r="I354" s="4">
        <v>386.89</v>
      </c>
      <c r="J354" s="4">
        <v>8015.47</v>
      </c>
      <c r="K354" s="3">
        <v>30</v>
      </c>
      <c r="L354" s="2" t="s">
        <v>2523</v>
      </c>
      <c r="M354" s="2" t="s">
        <v>2546</v>
      </c>
      <c r="N354" t="str">
        <f>TRIM(PROPER(Tabla_auditoría[[#This Row],[ID_Campaña]]))</f>
        <v>Cmp-017</v>
      </c>
      <c r="O354" t="str">
        <f>TRIM(PROPER(Tabla_auditoría[[#This Row],[Canal]]))</f>
        <v>Paid Search</v>
      </c>
      <c r="P354" t="str">
        <f>TRIM(PROPER(Tabla_auditoría[[#This Row],[País]]))</f>
        <v>Francia</v>
      </c>
      <c r="Q354" t="str">
        <f>TRIM(PROPER(Tabla_auditoría[[#This Row],[Dispositivo]]))</f>
        <v>Tablet</v>
      </c>
      <c r="R354" t="str">
        <f>TRIM(PROPER(Tabla_auditoría[[#This Row],[Tipo_Campaña]]))</f>
        <v>Retención</v>
      </c>
      <c r="S354" t="str">
        <f>TRIM(PROPER(Tabla_auditoría[[#This Row],[Responsable]]))</f>
        <v>Ana García</v>
      </c>
    </row>
    <row r="355" spans="1:19" x14ac:dyDescent="0.3">
      <c r="A355" s="1">
        <v>45923</v>
      </c>
      <c r="B355" s="2" t="s">
        <v>2520</v>
      </c>
      <c r="C355" s="2" t="s">
        <v>2543</v>
      </c>
      <c r="D355" s="2" t="s">
        <v>2528</v>
      </c>
      <c r="E355" s="2" t="s">
        <v>2517</v>
      </c>
      <c r="F355" s="3">
        <v>38592</v>
      </c>
      <c r="G355" s="3">
        <v>3438</v>
      </c>
      <c r="H355" s="3">
        <v>320</v>
      </c>
      <c r="I355" s="4">
        <v>3493</v>
      </c>
      <c r="J355" s="4">
        <v>26012.11</v>
      </c>
      <c r="K355" s="3">
        <v>238</v>
      </c>
      <c r="L355" s="2" t="s">
        <v>2539</v>
      </c>
      <c r="M355" s="2" t="s">
        <v>2546</v>
      </c>
      <c r="N355" t="str">
        <f>TRIM(PROPER(Tabla_auditoría[[#This Row],[ID_Campaña]]))</f>
        <v>Cmp-009</v>
      </c>
      <c r="O355" t="str">
        <f>TRIM(PROPER(Tabla_auditoría[[#This Row],[Canal]]))</f>
        <v>Organic Social</v>
      </c>
      <c r="P355" t="str">
        <f>TRIM(PROPER(Tabla_auditoría[[#This Row],[País]]))</f>
        <v>España</v>
      </c>
      <c r="Q355" t="str">
        <f>TRIM(PROPER(Tabla_auditoría[[#This Row],[Dispositivo]]))</f>
        <v>Desktop</v>
      </c>
      <c r="R355" t="str">
        <f>TRIM(PROPER(Tabla_auditoría[[#This Row],[Tipo_Campaña]]))</f>
        <v>Conversión</v>
      </c>
      <c r="S355" t="str">
        <f>TRIM(PROPER(Tabla_auditoría[[#This Row],[Responsable]]))</f>
        <v>Ana García</v>
      </c>
    </row>
    <row r="356" spans="1:19" x14ac:dyDescent="0.3">
      <c r="A356" s="1">
        <v>45735</v>
      </c>
      <c r="B356" s="2" t="s">
        <v>2571</v>
      </c>
      <c r="C356" s="2" t="s">
        <v>2515</v>
      </c>
      <c r="D356" s="2" t="s">
        <v>2528</v>
      </c>
      <c r="E356" s="2" t="s">
        <v>2517</v>
      </c>
      <c r="F356" s="3">
        <v>27962</v>
      </c>
      <c r="G356" s="3">
        <v>1623</v>
      </c>
      <c r="H356" s="3">
        <v>196</v>
      </c>
      <c r="I356" s="4">
        <v>1903.84</v>
      </c>
      <c r="J356" s="4">
        <v>29641.94</v>
      </c>
      <c r="K356" s="3">
        <v>164</v>
      </c>
      <c r="L356" s="2" t="s">
        <v>2536</v>
      </c>
      <c r="M356" s="2" t="s">
        <v>2519</v>
      </c>
      <c r="N356" t="str">
        <f>TRIM(PROPER(Tabla_auditoría[[#This Row],[ID_Campaña]]))</f>
        <v>Cmp-029</v>
      </c>
      <c r="O356" t="str">
        <f>TRIM(PROPER(Tabla_auditoría[[#This Row],[Canal]]))</f>
        <v>Email</v>
      </c>
      <c r="P356" t="str">
        <f>TRIM(PROPER(Tabla_auditoría[[#This Row],[País]]))</f>
        <v>España</v>
      </c>
      <c r="Q356" t="str">
        <f>TRIM(PROPER(Tabla_auditoría[[#This Row],[Dispositivo]]))</f>
        <v>Desktop</v>
      </c>
      <c r="R356" t="str">
        <f>TRIM(PROPER(Tabla_auditoría[[#This Row],[Tipo_Campaña]]))</f>
        <v>Reconocimiento</v>
      </c>
      <c r="S356" t="str">
        <f>TRIM(PROPER(Tabla_auditoría[[#This Row],[Responsable]]))</f>
        <v>Carlos Ruiz</v>
      </c>
    </row>
    <row r="357" spans="1:19" x14ac:dyDescent="0.3">
      <c r="A357" s="1">
        <v>45848</v>
      </c>
      <c r="B357" s="2" t="s">
        <v>2560</v>
      </c>
      <c r="C357" s="2" t="s">
        <v>2541</v>
      </c>
      <c r="D357" s="2" t="s">
        <v>2531</v>
      </c>
      <c r="E357" s="2" t="s">
        <v>2517</v>
      </c>
      <c r="F357" s="3">
        <v>58138</v>
      </c>
      <c r="G357" s="3">
        <v>1903</v>
      </c>
      <c r="H357" s="3">
        <v>111</v>
      </c>
      <c r="I357" s="4">
        <v>2065.38</v>
      </c>
      <c r="J357" s="4">
        <v>4332.97</v>
      </c>
      <c r="K357" s="3">
        <v>51</v>
      </c>
      <c r="L357" s="2" t="s">
        <v>2539</v>
      </c>
      <c r="M357" s="2" t="s">
        <v>2546</v>
      </c>
      <c r="N357" t="str">
        <f>TRIM(PROPER(Tabla_auditoría[[#This Row],[ID_Campaña]]))</f>
        <v>Cmp-027</v>
      </c>
      <c r="O357" t="str">
        <f>TRIM(PROPER(Tabla_auditoría[[#This Row],[Canal]]))</f>
        <v>Display</v>
      </c>
      <c r="P357" t="str">
        <f>TRIM(PROPER(Tabla_auditoría[[#This Row],[País]]))</f>
        <v>Portugal</v>
      </c>
      <c r="Q357" t="str">
        <f>TRIM(PROPER(Tabla_auditoría[[#This Row],[Dispositivo]]))</f>
        <v>Desktop</v>
      </c>
      <c r="R357" t="str">
        <f>TRIM(PROPER(Tabla_auditoría[[#This Row],[Tipo_Campaña]]))</f>
        <v>Conversión</v>
      </c>
      <c r="S357" t="str">
        <f>TRIM(PROPER(Tabla_auditoría[[#This Row],[Responsable]]))</f>
        <v>Ana García</v>
      </c>
    </row>
    <row r="358" spans="1:19" x14ac:dyDescent="0.3">
      <c r="A358" s="1">
        <v>45775</v>
      </c>
      <c r="B358" s="2" t="s">
        <v>2556</v>
      </c>
      <c r="C358" s="2" t="s">
        <v>2543</v>
      </c>
      <c r="D358" s="2" t="s">
        <v>2531</v>
      </c>
      <c r="E358" s="2" t="s">
        <v>2517</v>
      </c>
      <c r="F358" s="3">
        <v>58221</v>
      </c>
      <c r="G358" s="3">
        <v>967</v>
      </c>
      <c r="H358" s="3">
        <v>29</v>
      </c>
      <c r="I358" s="4">
        <v>354.59</v>
      </c>
      <c r="J358" s="4">
        <v>3435.83</v>
      </c>
      <c r="K358" s="3">
        <v>19</v>
      </c>
      <c r="L358" s="2" t="s">
        <v>2518</v>
      </c>
      <c r="M358" s="2" t="s">
        <v>2537</v>
      </c>
      <c r="N358" t="str">
        <f>TRIM(PROPER(Tabla_auditoría[[#This Row],[ID_Campaña]]))</f>
        <v>Cmp-014</v>
      </c>
      <c r="O358" t="str">
        <f>TRIM(PROPER(Tabla_auditoría[[#This Row],[Canal]]))</f>
        <v>Organic Social</v>
      </c>
      <c r="P358" t="str">
        <f>TRIM(PROPER(Tabla_auditoría[[#This Row],[País]]))</f>
        <v>Portugal</v>
      </c>
      <c r="Q358" t="str">
        <f>TRIM(PROPER(Tabla_auditoría[[#This Row],[Dispositivo]]))</f>
        <v>Desktop</v>
      </c>
      <c r="R358" t="str">
        <f>TRIM(PROPER(Tabla_auditoría[[#This Row],[Tipo_Campaña]]))</f>
        <v>Adquisición</v>
      </c>
      <c r="S358" t="str">
        <f>TRIM(PROPER(Tabla_auditoría[[#This Row],[Responsable]]))</f>
        <v>Marta López</v>
      </c>
    </row>
    <row r="359" spans="1:19" x14ac:dyDescent="0.3">
      <c r="A359" s="1">
        <v>45745</v>
      </c>
      <c r="B359" s="2" t="s">
        <v>2565</v>
      </c>
      <c r="C359" s="2" t="s">
        <v>2533</v>
      </c>
      <c r="D359" s="2" t="s">
        <v>2531</v>
      </c>
      <c r="E359" s="2" t="s">
        <v>2529</v>
      </c>
      <c r="F359" s="3">
        <v>94253</v>
      </c>
      <c r="G359" s="3">
        <v>2847</v>
      </c>
      <c r="H359" s="3">
        <v>257</v>
      </c>
      <c r="I359" s="4">
        <v>5606.68</v>
      </c>
      <c r="J359" s="4">
        <v>38809.25</v>
      </c>
      <c r="K359" s="3">
        <v>140</v>
      </c>
      <c r="L359" s="2" t="s">
        <v>2518</v>
      </c>
      <c r="M359" s="2" t="s">
        <v>2519</v>
      </c>
      <c r="N359" t="str">
        <f>TRIM(PROPER(Tabla_auditoría[[#This Row],[ID_Campaña]]))</f>
        <v>Cmp-005</v>
      </c>
      <c r="O359" t="str">
        <f>TRIM(PROPER(Tabla_auditoría[[#This Row],[Canal]]))</f>
        <v>Paid Social</v>
      </c>
      <c r="P359" t="str">
        <f>TRIM(PROPER(Tabla_auditoría[[#This Row],[País]]))</f>
        <v>Portugal</v>
      </c>
      <c r="Q359" t="str">
        <f>TRIM(PROPER(Tabla_auditoría[[#This Row],[Dispositivo]]))</f>
        <v>Mobile</v>
      </c>
      <c r="R359" t="str">
        <f>TRIM(PROPER(Tabla_auditoría[[#This Row],[Tipo_Campaña]]))</f>
        <v>Adquisición</v>
      </c>
      <c r="S359" t="str">
        <f>TRIM(PROPER(Tabla_auditoría[[#This Row],[Responsable]]))</f>
        <v>Carlos Ruiz</v>
      </c>
    </row>
    <row r="360" spans="1:19" x14ac:dyDescent="0.3">
      <c r="A360" s="1">
        <v>45866</v>
      </c>
      <c r="B360" s="2" t="s">
        <v>2514</v>
      </c>
      <c r="C360" s="2" t="s">
        <v>2543</v>
      </c>
      <c r="D360" s="2" t="s">
        <v>2516</v>
      </c>
      <c r="E360" s="2" t="s">
        <v>2529</v>
      </c>
      <c r="F360" s="3">
        <v>89698</v>
      </c>
      <c r="G360" s="3">
        <v>6845</v>
      </c>
      <c r="H360" s="3">
        <v>6868</v>
      </c>
      <c r="I360" s="4">
        <v>11458.1</v>
      </c>
      <c r="J360" s="4">
        <v>31748.43</v>
      </c>
      <c r="K360" s="3">
        <v>268</v>
      </c>
      <c r="L360" s="2" t="s">
        <v>2536</v>
      </c>
      <c r="M360" s="2" t="s">
        <v>2519</v>
      </c>
      <c r="N360" t="str">
        <f>TRIM(PROPER(Tabla_auditoría[[#This Row],[ID_Campaña]]))</f>
        <v>Cmp-002</v>
      </c>
      <c r="O360" t="str">
        <f>TRIM(PROPER(Tabla_auditoría[[#This Row],[Canal]]))</f>
        <v>Organic Social</v>
      </c>
      <c r="P360" t="str">
        <f>TRIM(PROPER(Tabla_auditoría[[#This Row],[País]]))</f>
        <v>México</v>
      </c>
      <c r="Q360" t="str">
        <f>TRIM(PROPER(Tabla_auditoría[[#This Row],[Dispositivo]]))</f>
        <v>Mobile</v>
      </c>
      <c r="R360" t="str">
        <f>TRIM(PROPER(Tabla_auditoría[[#This Row],[Tipo_Campaña]]))</f>
        <v>Reconocimiento</v>
      </c>
      <c r="S360" t="str">
        <f>TRIM(PROPER(Tabla_auditoría[[#This Row],[Responsable]]))</f>
        <v>Carlos Ruiz</v>
      </c>
    </row>
    <row r="361" spans="1:19" x14ac:dyDescent="0.3">
      <c r="A361" s="1">
        <v>45664</v>
      </c>
      <c r="B361" s="2" t="s">
        <v>2581</v>
      </c>
      <c r="C361" s="2" t="s">
        <v>2527</v>
      </c>
      <c r="D361" s="2" t="s">
        <v>2516</v>
      </c>
      <c r="E361" s="2" t="s">
        <v>2517</v>
      </c>
      <c r="F361" s="3">
        <v>86465</v>
      </c>
      <c r="G361" s="3">
        <v>1226</v>
      </c>
      <c r="H361" s="3">
        <v>165</v>
      </c>
      <c r="I361" s="4">
        <v>130.78</v>
      </c>
      <c r="J361" s="4">
        <v>3136.57</v>
      </c>
      <c r="K361" s="3">
        <v>97</v>
      </c>
      <c r="L361" s="2" t="s">
        <v>2523</v>
      </c>
      <c r="M361" s="2" t="s">
        <v>2526</v>
      </c>
      <c r="N361" t="str">
        <f>TRIM(PROPER(Tabla_auditoría[[#This Row],[ID_Campaña]]))</f>
        <v>Cmp-009</v>
      </c>
      <c r="O361" t="str">
        <f>TRIM(PROPER(Tabla_auditoría[[#This Row],[Canal]]))</f>
        <v>Affiliate</v>
      </c>
      <c r="P361" t="str">
        <f>TRIM(PROPER(Tabla_auditoría[[#This Row],[País]]))</f>
        <v>México</v>
      </c>
      <c r="Q361" t="str">
        <f>TRIM(PROPER(Tabla_auditoría[[#This Row],[Dispositivo]]))</f>
        <v>Desktop</v>
      </c>
      <c r="R361" t="str">
        <f>TRIM(PROPER(Tabla_auditoría[[#This Row],[Tipo_Campaña]]))</f>
        <v>Retención</v>
      </c>
      <c r="S361" t="str">
        <f>TRIM(PROPER(Tabla_auditoría[[#This Row],[Responsable]]))</f>
        <v>Laura Pérez</v>
      </c>
    </row>
    <row r="362" spans="1:19" x14ac:dyDescent="0.3">
      <c r="A362" s="1">
        <v>45887</v>
      </c>
      <c r="B362" s="2" t="s">
        <v>2540</v>
      </c>
      <c r="C362" s="2" t="s">
        <v>2543</v>
      </c>
      <c r="D362" s="2" t="s">
        <v>2528</v>
      </c>
      <c r="E362" s="2" t="s">
        <v>2534</v>
      </c>
      <c r="F362" s="3">
        <v>161509</v>
      </c>
      <c r="G362" s="3">
        <v>6257</v>
      </c>
      <c r="H362" s="3">
        <v>701</v>
      </c>
      <c r="I362" s="4">
        <v>6965.17</v>
      </c>
      <c r="J362" s="4">
        <v>81589.81</v>
      </c>
      <c r="K362" s="3">
        <v>430</v>
      </c>
      <c r="L362" s="2" t="s">
        <v>2518</v>
      </c>
      <c r="M362" s="2" t="s">
        <v>2537</v>
      </c>
      <c r="N362" t="str">
        <f>TRIM(PROPER(Tabla_auditoría[[#This Row],[ID_Campaña]]))</f>
        <v>Cmp-017</v>
      </c>
      <c r="O362" t="str">
        <f>TRIM(PROPER(Tabla_auditoría[[#This Row],[Canal]]))</f>
        <v>Organic Social</v>
      </c>
      <c r="P362" t="str">
        <f>TRIM(PROPER(Tabla_auditoría[[#This Row],[País]]))</f>
        <v>España</v>
      </c>
      <c r="Q362" t="str">
        <f>TRIM(PROPER(Tabla_auditoría[[#This Row],[Dispositivo]]))</f>
        <v>Tablet</v>
      </c>
      <c r="R362" t="str">
        <f>TRIM(PROPER(Tabla_auditoría[[#This Row],[Tipo_Campaña]]))</f>
        <v>Adquisición</v>
      </c>
      <c r="S362" t="str">
        <f>TRIM(PROPER(Tabla_auditoría[[#This Row],[Responsable]]))</f>
        <v>Marta López</v>
      </c>
    </row>
    <row r="363" spans="1:19" x14ac:dyDescent="0.3">
      <c r="A363" s="1">
        <v>45658</v>
      </c>
      <c r="B363" s="2" t="s">
        <v>2514</v>
      </c>
      <c r="C363" s="2" t="s">
        <v>2521</v>
      </c>
      <c r="D363" s="2" t="s">
        <v>2528</v>
      </c>
      <c r="E363" s="2" t="s">
        <v>2517</v>
      </c>
      <c r="F363" s="3">
        <v>132090</v>
      </c>
      <c r="G363" s="3">
        <v>3254</v>
      </c>
      <c r="H363" s="3">
        <v>435</v>
      </c>
      <c r="I363" s="4">
        <v>5965.4</v>
      </c>
      <c r="J363" s="4">
        <v>90068.32</v>
      </c>
      <c r="K363" s="3">
        <v>236</v>
      </c>
      <c r="L363" s="2" t="s">
        <v>2518</v>
      </c>
      <c r="M363" s="2" t="s">
        <v>2519</v>
      </c>
      <c r="N363" t="str">
        <f>TRIM(PROPER(Tabla_auditoría[[#This Row],[ID_Campaña]]))</f>
        <v>Cmp-002</v>
      </c>
      <c r="O363" t="str">
        <f>TRIM(PROPER(Tabla_auditoría[[#This Row],[Canal]]))</f>
        <v>Paid Search</v>
      </c>
      <c r="P363" t="str">
        <f>TRIM(PROPER(Tabla_auditoría[[#This Row],[País]]))</f>
        <v>España</v>
      </c>
      <c r="Q363" t="str">
        <f>TRIM(PROPER(Tabla_auditoría[[#This Row],[Dispositivo]]))</f>
        <v>Desktop</v>
      </c>
      <c r="R363" t="str">
        <f>TRIM(PROPER(Tabla_auditoría[[#This Row],[Tipo_Campaña]]))</f>
        <v>Adquisición</v>
      </c>
      <c r="S363" t="str">
        <f>TRIM(PROPER(Tabla_auditoría[[#This Row],[Responsable]]))</f>
        <v>Carlos Ruiz</v>
      </c>
    </row>
    <row r="364" spans="1:19" x14ac:dyDescent="0.3">
      <c r="A364" s="1">
        <v>45845</v>
      </c>
      <c r="B364" s="2" t="s">
        <v>2574</v>
      </c>
      <c r="C364" s="2" t="s">
        <v>2521</v>
      </c>
      <c r="D364" s="2" t="s">
        <v>2528</v>
      </c>
      <c r="E364" s="2" t="s">
        <v>2517</v>
      </c>
      <c r="F364" s="3">
        <v>61258</v>
      </c>
      <c r="G364" s="3">
        <v>1728</v>
      </c>
      <c r="H364" s="3">
        <v>60</v>
      </c>
      <c r="I364" s="4">
        <v>2894.07</v>
      </c>
      <c r="J364" s="4">
        <v>12563.29</v>
      </c>
      <c r="K364" s="3">
        <v>36</v>
      </c>
      <c r="L364" s="2" t="s">
        <v>2518</v>
      </c>
      <c r="M364" s="2" t="s">
        <v>2524</v>
      </c>
      <c r="N364" t="str">
        <f>TRIM(PROPER(Tabla_auditoría[[#This Row],[ID_Campaña]]))</f>
        <v>Cmp-003</v>
      </c>
      <c r="O364" t="str">
        <f>TRIM(PROPER(Tabla_auditoría[[#This Row],[Canal]]))</f>
        <v>Paid Search</v>
      </c>
      <c r="P364" t="str">
        <f>TRIM(PROPER(Tabla_auditoría[[#This Row],[País]]))</f>
        <v>España</v>
      </c>
      <c r="Q364" t="str">
        <f>TRIM(PROPER(Tabla_auditoría[[#This Row],[Dispositivo]]))</f>
        <v>Desktop</v>
      </c>
      <c r="R364" t="str">
        <f>TRIM(PROPER(Tabla_auditoría[[#This Row],[Tipo_Campaña]]))</f>
        <v>Adquisición</v>
      </c>
      <c r="S364" t="str">
        <f>TRIM(PROPER(Tabla_auditoría[[#This Row],[Responsable]]))</f>
        <v>Luis Martín</v>
      </c>
    </row>
    <row r="365" spans="1:19" x14ac:dyDescent="0.3">
      <c r="A365" s="1">
        <v>45686</v>
      </c>
      <c r="B365" s="2" t="s">
        <v>2538</v>
      </c>
      <c r="C365" s="2" t="s">
        <v>2533</v>
      </c>
      <c r="D365" s="2" t="s">
        <v>2516</v>
      </c>
      <c r="E365" s="2" t="s">
        <v>2517</v>
      </c>
      <c r="F365" s="3">
        <v>153601</v>
      </c>
      <c r="G365" s="3">
        <v>10179</v>
      </c>
      <c r="H365" s="3">
        <v>897</v>
      </c>
      <c r="I365" s="4">
        <v>1536.86</v>
      </c>
      <c r="J365" s="4">
        <v>51519.43</v>
      </c>
      <c r="K365" s="3">
        <v>417</v>
      </c>
      <c r="L365" s="2" t="s">
        <v>2536</v>
      </c>
      <c r="M365" s="2" t="s">
        <v>2526</v>
      </c>
      <c r="N365" t="str">
        <f>TRIM(PROPER(Tabla_auditoría[[#This Row],[ID_Campaña]]))</f>
        <v>Cmp-004</v>
      </c>
      <c r="O365" t="str">
        <f>TRIM(PROPER(Tabla_auditoría[[#This Row],[Canal]]))</f>
        <v>Paid Social</v>
      </c>
      <c r="P365" t="str">
        <f>TRIM(PROPER(Tabla_auditoría[[#This Row],[País]]))</f>
        <v>México</v>
      </c>
      <c r="Q365" t="str">
        <f>TRIM(PROPER(Tabla_auditoría[[#This Row],[Dispositivo]]))</f>
        <v>Desktop</v>
      </c>
      <c r="R365" t="str">
        <f>TRIM(PROPER(Tabla_auditoría[[#This Row],[Tipo_Campaña]]))</f>
        <v>Reconocimiento</v>
      </c>
      <c r="S365" t="str">
        <f>TRIM(PROPER(Tabla_auditoría[[#This Row],[Responsable]]))</f>
        <v>Laura Pérez</v>
      </c>
    </row>
    <row r="366" spans="1:19" x14ac:dyDescent="0.3">
      <c r="A366" s="1">
        <v>45871</v>
      </c>
      <c r="B366" s="2" t="s">
        <v>2560</v>
      </c>
      <c r="C366" s="2" t="s">
        <v>2521</v>
      </c>
      <c r="D366" s="2" t="s">
        <v>2528</v>
      </c>
      <c r="E366" s="2" t="s">
        <v>2517</v>
      </c>
      <c r="F366" s="3">
        <v>8347</v>
      </c>
      <c r="G366" s="3">
        <v>81</v>
      </c>
      <c r="H366" s="3">
        <v>8</v>
      </c>
      <c r="I366" s="4">
        <v>58.25</v>
      </c>
      <c r="J366" s="4">
        <v>622.6</v>
      </c>
      <c r="K366" s="3">
        <v>4</v>
      </c>
      <c r="L366" s="2" t="s">
        <v>2536</v>
      </c>
      <c r="M366" s="2" t="s">
        <v>2519</v>
      </c>
      <c r="N366" t="str">
        <f>TRIM(PROPER(Tabla_auditoría[[#This Row],[ID_Campaña]]))</f>
        <v>Cmp-027</v>
      </c>
      <c r="O366" t="str">
        <f>TRIM(PROPER(Tabla_auditoría[[#This Row],[Canal]]))</f>
        <v>Paid Search</v>
      </c>
      <c r="P366" t="str">
        <f>TRIM(PROPER(Tabla_auditoría[[#This Row],[País]]))</f>
        <v>España</v>
      </c>
      <c r="Q366" t="str">
        <f>TRIM(PROPER(Tabla_auditoría[[#This Row],[Dispositivo]]))</f>
        <v>Desktop</v>
      </c>
      <c r="R366" t="str">
        <f>TRIM(PROPER(Tabla_auditoría[[#This Row],[Tipo_Campaña]]))</f>
        <v>Reconocimiento</v>
      </c>
      <c r="S366" t="str">
        <f>TRIM(PROPER(Tabla_auditoría[[#This Row],[Responsable]]))</f>
        <v>Carlos Ruiz</v>
      </c>
    </row>
    <row r="367" spans="1:19" x14ac:dyDescent="0.3">
      <c r="A367" s="1">
        <v>45811</v>
      </c>
      <c r="B367" s="2" t="s">
        <v>2551</v>
      </c>
      <c r="C367" s="2" t="s">
        <v>2515</v>
      </c>
      <c r="D367" s="2" t="s">
        <v>2528</v>
      </c>
      <c r="E367" s="2" t="s">
        <v>2529</v>
      </c>
      <c r="F367" s="3">
        <v>12186</v>
      </c>
      <c r="G367" s="3">
        <v>513</v>
      </c>
      <c r="H367" s="3">
        <v>33</v>
      </c>
      <c r="I367" s="4">
        <v>840.7</v>
      </c>
      <c r="J367" s="4">
        <v>3090.58</v>
      </c>
      <c r="K367" s="3">
        <v>22</v>
      </c>
      <c r="L367" s="2" t="s">
        <v>2518</v>
      </c>
      <c r="M367" s="2" t="s">
        <v>2526</v>
      </c>
      <c r="N367" t="str">
        <f>TRIM(PROPER(Tabla_auditoría[[#This Row],[ID_Campaña]]))</f>
        <v>Cmp-028</v>
      </c>
      <c r="O367" t="str">
        <f>TRIM(PROPER(Tabla_auditoría[[#This Row],[Canal]]))</f>
        <v>Email</v>
      </c>
      <c r="P367" t="str">
        <f>TRIM(PROPER(Tabla_auditoría[[#This Row],[País]]))</f>
        <v>España</v>
      </c>
      <c r="Q367" t="str">
        <f>TRIM(PROPER(Tabla_auditoría[[#This Row],[Dispositivo]]))</f>
        <v>Mobile</v>
      </c>
      <c r="R367" t="str">
        <f>TRIM(PROPER(Tabla_auditoría[[#This Row],[Tipo_Campaña]]))</f>
        <v>Adquisición</v>
      </c>
      <c r="S367" t="str">
        <f>TRIM(PROPER(Tabla_auditoría[[#This Row],[Responsable]]))</f>
        <v>Laura Pérez</v>
      </c>
    </row>
    <row r="368" spans="1:19" x14ac:dyDescent="0.3">
      <c r="A368" s="1">
        <v>45954</v>
      </c>
      <c r="B368" s="2" t="s">
        <v>2532</v>
      </c>
      <c r="C368" s="2" t="s">
        <v>2515</v>
      </c>
      <c r="D368" s="2" t="s">
        <v>2525</v>
      </c>
      <c r="E368" s="2" t="s">
        <v>2517</v>
      </c>
      <c r="F368" s="3">
        <v>84768</v>
      </c>
      <c r="G368" s="3">
        <v>6549</v>
      </c>
      <c r="H368" s="3">
        <v>594</v>
      </c>
      <c r="I368" s="4">
        <v>2238.92</v>
      </c>
      <c r="J368" s="4">
        <v>107121.07</v>
      </c>
      <c r="K368" s="3">
        <v>309</v>
      </c>
      <c r="L368" s="2" t="s">
        <v>2518</v>
      </c>
      <c r="M368" s="2" t="s">
        <v>2519</v>
      </c>
      <c r="N368" t="str">
        <f>TRIM(PROPER(Tabla_auditoría[[#This Row],[ID_Campaña]]))</f>
        <v>Cmp-022</v>
      </c>
      <c r="O368" t="str">
        <f>TRIM(PROPER(Tabla_auditoría[[#This Row],[Canal]]))</f>
        <v>Email</v>
      </c>
      <c r="P368" t="str">
        <f>TRIM(PROPER(Tabla_auditoría[[#This Row],[País]]))</f>
        <v>Francia</v>
      </c>
      <c r="Q368" t="str">
        <f>TRIM(PROPER(Tabla_auditoría[[#This Row],[Dispositivo]]))</f>
        <v>Desktop</v>
      </c>
      <c r="R368" t="str">
        <f>TRIM(PROPER(Tabla_auditoría[[#This Row],[Tipo_Campaña]]))</f>
        <v>Adquisición</v>
      </c>
      <c r="S368" t="str">
        <f>TRIM(PROPER(Tabla_auditoría[[#This Row],[Responsable]]))</f>
        <v>Carlos Ruiz</v>
      </c>
    </row>
    <row r="369" spans="1:19" x14ac:dyDescent="0.3">
      <c r="A369" s="1">
        <v>45778</v>
      </c>
      <c r="B369" s="2" t="s">
        <v>2574</v>
      </c>
      <c r="C369" s="2" t="s">
        <v>2533</v>
      </c>
      <c r="D369" s="2" t="s">
        <v>2516</v>
      </c>
      <c r="E369" s="2" t="s">
        <v>2517</v>
      </c>
      <c r="F369" s="3">
        <v>30869</v>
      </c>
      <c r="G369" s="3">
        <v>1238</v>
      </c>
      <c r="H369" s="3">
        <v>83</v>
      </c>
      <c r="I369" s="4">
        <v>2347.1</v>
      </c>
      <c r="J369" s="4">
        <v>9543.58</v>
      </c>
      <c r="K369" s="3">
        <v>54</v>
      </c>
      <c r="L369" s="2" t="s">
        <v>2536</v>
      </c>
      <c r="M369" s="2" t="s">
        <v>2526</v>
      </c>
      <c r="N369" t="str">
        <f>TRIM(PROPER(Tabla_auditoría[[#This Row],[ID_Campaña]]))</f>
        <v>Cmp-003</v>
      </c>
      <c r="O369" t="str">
        <f>TRIM(PROPER(Tabla_auditoría[[#This Row],[Canal]]))</f>
        <v>Paid Social</v>
      </c>
      <c r="P369" t="str">
        <f>TRIM(PROPER(Tabla_auditoría[[#This Row],[País]]))</f>
        <v>México</v>
      </c>
      <c r="Q369" t="str">
        <f>TRIM(PROPER(Tabla_auditoría[[#This Row],[Dispositivo]]))</f>
        <v>Desktop</v>
      </c>
      <c r="R369" t="str">
        <f>TRIM(PROPER(Tabla_auditoría[[#This Row],[Tipo_Campaña]]))</f>
        <v>Reconocimiento</v>
      </c>
      <c r="S369" t="str">
        <f>TRIM(PROPER(Tabla_auditoría[[#This Row],[Responsable]]))</f>
        <v>Laura Pérez</v>
      </c>
    </row>
    <row r="370" spans="1:19" x14ac:dyDescent="0.3">
      <c r="A370" s="1">
        <v>45687</v>
      </c>
      <c r="B370" s="2" t="s">
        <v>2574</v>
      </c>
      <c r="C370" s="2" t="s">
        <v>2521</v>
      </c>
      <c r="D370" s="2" t="s">
        <v>2531</v>
      </c>
      <c r="E370" s="2" t="s">
        <v>2517</v>
      </c>
      <c r="F370" s="3">
        <v>120105</v>
      </c>
      <c r="G370" s="3">
        <v>4478</v>
      </c>
      <c r="H370" s="3">
        <v>581</v>
      </c>
      <c r="I370" s="4">
        <v>-826.98</v>
      </c>
      <c r="J370" s="4">
        <v>10261.35</v>
      </c>
      <c r="K370" s="3">
        <v>486</v>
      </c>
      <c r="L370" s="2" t="s">
        <v>2536</v>
      </c>
      <c r="M370" s="2" t="s">
        <v>2519</v>
      </c>
      <c r="N370" t="str">
        <f>TRIM(PROPER(Tabla_auditoría[[#This Row],[ID_Campaña]]))</f>
        <v>Cmp-003</v>
      </c>
      <c r="O370" t="str">
        <f>TRIM(PROPER(Tabla_auditoría[[#This Row],[Canal]]))</f>
        <v>Paid Search</v>
      </c>
      <c r="P370" t="str">
        <f>TRIM(PROPER(Tabla_auditoría[[#This Row],[País]]))</f>
        <v>Portugal</v>
      </c>
      <c r="Q370" t="str">
        <f>TRIM(PROPER(Tabla_auditoría[[#This Row],[Dispositivo]]))</f>
        <v>Desktop</v>
      </c>
      <c r="R370" t="str">
        <f>TRIM(PROPER(Tabla_auditoría[[#This Row],[Tipo_Campaña]]))</f>
        <v>Reconocimiento</v>
      </c>
      <c r="S370" t="str">
        <f>TRIM(PROPER(Tabla_auditoría[[#This Row],[Responsable]]))</f>
        <v>Carlos Ruiz</v>
      </c>
    </row>
    <row r="371" spans="1:19" x14ac:dyDescent="0.3">
      <c r="A371" s="1">
        <v>45744</v>
      </c>
      <c r="B371" s="2" t="s">
        <v>2551</v>
      </c>
      <c r="C371" s="2" t="s">
        <v>2541</v>
      </c>
      <c r="D371" s="2" t="s">
        <v>2516</v>
      </c>
      <c r="E371" s="2" t="s">
        <v>2529</v>
      </c>
      <c r="F371" s="3">
        <v>1213</v>
      </c>
      <c r="G371" s="3">
        <v>52</v>
      </c>
      <c r="H371" s="3">
        <v>6</v>
      </c>
      <c r="I371" s="4">
        <v>-78.3</v>
      </c>
      <c r="J371" s="4">
        <v>859.65</v>
      </c>
      <c r="K371" s="3">
        <v>4</v>
      </c>
      <c r="L371" s="2" t="s">
        <v>2539</v>
      </c>
      <c r="M371" s="2" t="s">
        <v>2519</v>
      </c>
      <c r="N371" t="str">
        <f>TRIM(PROPER(Tabla_auditoría[[#This Row],[ID_Campaña]]))</f>
        <v>Cmp-028</v>
      </c>
      <c r="O371" t="str">
        <f>TRIM(PROPER(Tabla_auditoría[[#This Row],[Canal]]))</f>
        <v>Display</v>
      </c>
      <c r="P371" t="str">
        <f>TRIM(PROPER(Tabla_auditoría[[#This Row],[País]]))</f>
        <v>México</v>
      </c>
      <c r="Q371" t="str">
        <f>TRIM(PROPER(Tabla_auditoría[[#This Row],[Dispositivo]]))</f>
        <v>Mobile</v>
      </c>
      <c r="R371" t="str">
        <f>TRIM(PROPER(Tabla_auditoría[[#This Row],[Tipo_Campaña]]))</f>
        <v>Conversión</v>
      </c>
      <c r="S371" t="str">
        <f>TRIM(PROPER(Tabla_auditoría[[#This Row],[Responsable]]))</f>
        <v>Carlos Ruiz</v>
      </c>
    </row>
    <row r="372" spans="1:19" x14ac:dyDescent="0.3">
      <c r="A372" s="1">
        <v>45661</v>
      </c>
      <c r="B372" s="2" t="s">
        <v>2563</v>
      </c>
      <c r="C372" s="2" t="s">
        <v>2543</v>
      </c>
      <c r="D372" s="2" t="s">
        <v>2528</v>
      </c>
      <c r="E372" s="2" t="s">
        <v>2561</v>
      </c>
      <c r="F372" s="3">
        <v>149800</v>
      </c>
      <c r="G372" s="3">
        <v>8365</v>
      </c>
      <c r="H372" s="3">
        <v>478</v>
      </c>
      <c r="I372" s="4">
        <v>1967.18</v>
      </c>
      <c r="J372" s="4">
        <v>56297.97</v>
      </c>
      <c r="K372" s="3">
        <v>350</v>
      </c>
      <c r="L372" s="2" t="s">
        <v>2539</v>
      </c>
      <c r="M372" s="2" t="s">
        <v>2546</v>
      </c>
      <c r="N372" t="str">
        <f>TRIM(PROPER(Tabla_auditoría[[#This Row],[ID_Campaña]]))</f>
        <v>Cmp-023</v>
      </c>
      <c r="O372" t="str">
        <f>TRIM(PROPER(Tabla_auditoría[[#This Row],[Canal]]))</f>
        <v>Organic Social</v>
      </c>
      <c r="P372" t="str">
        <f>TRIM(PROPER(Tabla_auditoría[[#This Row],[País]]))</f>
        <v>España</v>
      </c>
      <c r="Q372" t="str">
        <f>TRIM(PROPER(Tabla_auditoría[[#This Row],[Dispositivo]]))</f>
        <v>Mobile</v>
      </c>
      <c r="R372" t="str">
        <f>TRIM(PROPER(Tabla_auditoría[[#This Row],[Tipo_Campaña]]))</f>
        <v>Conversión</v>
      </c>
      <c r="S372" t="str">
        <f>TRIM(PROPER(Tabla_auditoría[[#This Row],[Responsable]]))</f>
        <v>Ana García</v>
      </c>
    </row>
    <row r="373" spans="1:19" x14ac:dyDescent="0.3">
      <c r="A373" s="1">
        <v>45989</v>
      </c>
      <c r="B373" s="2" t="s">
        <v>2545</v>
      </c>
      <c r="C373" s="2" t="s">
        <v>2515</v>
      </c>
      <c r="D373" s="2" t="s">
        <v>2525</v>
      </c>
      <c r="E373" s="2" t="s">
        <v>2534</v>
      </c>
      <c r="F373" s="3">
        <v>131697</v>
      </c>
      <c r="G373" s="3">
        <v>2248</v>
      </c>
      <c r="H373" s="3">
        <v>187</v>
      </c>
      <c r="I373" s="4">
        <v>4050.36</v>
      </c>
      <c r="J373" s="4">
        <v>33252.28</v>
      </c>
      <c r="K373" s="3">
        <v>91</v>
      </c>
      <c r="L373" s="2" t="s">
        <v>2539</v>
      </c>
      <c r="M373" s="2" t="s">
        <v>2546</v>
      </c>
      <c r="N373" t="str">
        <f>TRIM(PROPER(Tabla_auditoría[[#This Row],[ID_Campaña]]))</f>
        <v>Cmp-011</v>
      </c>
      <c r="O373" t="str">
        <f>TRIM(PROPER(Tabla_auditoría[[#This Row],[Canal]]))</f>
        <v>Email</v>
      </c>
      <c r="P373" t="str">
        <f>TRIM(PROPER(Tabla_auditoría[[#This Row],[País]]))</f>
        <v>Francia</v>
      </c>
      <c r="Q373" t="str">
        <f>TRIM(PROPER(Tabla_auditoría[[#This Row],[Dispositivo]]))</f>
        <v>Tablet</v>
      </c>
      <c r="R373" t="str">
        <f>TRIM(PROPER(Tabla_auditoría[[#This Row],[Tipo_Campaña]]))</f>
        <v>Conversión</v>
      </c>
      <c r="S373" t="str">
        <f>TRIM(PROPER(Tabla_auditoría[[#This Row],[Responsable]]))</f>
        <v>Ana García</v>
      </c>
    </row>
    <row r="374" spans="1:19" x14ac:dyDescent="0.3">
      <c r="A374" s="1">
        <v>45729</v>
      </c>
      <c r="B374" s="2" t="s">
        <v>2554</v>
      </c>
      <c r="C374" s="2" t="s">
        <v>2515</v>
      </c>
      <c r="D374" s="2" t="s">
        <v>2528</v>
      </c>
      <c r="E374" s="2" t="s">
        <v>2529</v>
      </c>
      <c r="F374" s="3">
        <v>72072</v>
      </c>
      <c r="G374" s="3">
        <v>2918</v>
      </c>
      <c r="H374" s="3">
        <v>151</v>
      </c>
      <c r="I374" s="4">
        <v>2165.69</v>
      </c>
      <c r="J374" s="4">
        <v>11043.66</v>
      </c>
      <c r="K374" s="3">
        <v>118</v>
      </c>
      <c r="L374" s="2" t="s">
        <v>2518</v>
      </c>
      <c r="M374" s="2" t="s">
        <v>2524</v>
      </c>
      <c r="N374" t="str">
        <f>TRIM(PROPER(Tabla_auditoría[[#This Row],[ID_Campaña]]))</f>
        <v>Cmp-019</v>
      </c>
      <c r="O374" t="str">
        <f>TRIM(PROPER(Tabla_auditoría[[#This Row],[Canal]]))</f>
        <v>Email</v>
      </c>
      <c r="P374" t="str">
        <f>TRIM(PROPER(Tabla_auditoría[[#This Row],[País]]))</f>
        <v>España</v>
      </c>
      <c r="Q374" t="str">
        <f>TRIM(PROPER(Tabla_auditoría[[#This Row],[Dispositivo]]))</f>
        <v>Mobile</v>
      </c>
      <c r="R374" t="str">
        <f>TRIM(PROPER(Tabla_auditoría[[#This Row],[Tipo_Campaña]]))</f>
        <v>Adquisición</v>
      </c>
      <c r="S374" t="str">
        <f>TRIM(PROPER(Tabla_auditoría[[#This Row],[Responsable]]))</f>
        <v>Luis Martín</v>
      </c>
    </row>
    <row r="375" spans="1:19" x14ac:dyDescent="0.3">
      <c r="A375" s="1">
        <v>45888</v>
      </c>
      <c r="B375" s="2" t="s">
        <v>2570</v>
      </c>
      <c r="C375" s="2" t="s">
        <v>2543</v>
      </c>
      <c r="D375" s="2" t="s">
        <v>2531</v>
      </c>
      <c r="E375" s="2" t="s">
        <v>2529</v>
      </c>
      <c r="F375" s="3">
        <v>22966</v>
      </c>
      <c r="G375" s="3">
        <v>131</v>
      </c>
      <c r="H375" s="3">
        <v>0</v>
      </c>
      <c r="I375" s="4">
        <v>59.28</v>
      </c>
      <c r="J375" s="4">
        <v>0</v>
      </c>
      <c r="K375" s="3">
        <v>0</v>
      </c>
      <c r="L375" s="2" t="s">
        <v>2518</v>
      </c>
      <c r="M375" s="2" t="s">
        <v>2546</v>
      </c>
      <c r="N375" t="str">
        <f>TRIM(PROPER(Tabla_auditoría[[#This Row],[ID_Campaña]]))</f>
        <v>Cmp-016</v>
      </c>
      <c r="O375" t="str">
        <f>TRIM(PROPER(Tabla_auditoría[[#This Row],[Canal]]))</f>
        <v>Organic Social</v>
      </c>
      <c r="P375" t="str">
        <f>TRIM(PROPER(Tabla_auditoría[[#This Row],[País]]))</f>
        <v>Portugal</v>
      </c>
      <c r="Q375" t="str">
        <f>TRIM(PROPER(Tabla_auditoría[[#This Row],[Dispositivo]]))</f>
        <v>Mobile</v>
      </c>
      <c r="R375" t="str">
        <f>TRIM(PROPER(Tabla_auditoría[[#This Row],[Tipo_Campaña]]))</f>
        <v>Adquisición</v>
      </c>
      <c r="S375" t="str">
        <f>TRIM(PROPER(Tabla_auditoría[[#This Row],[Responsable]]))</f>
        <v>Ana García</v>
      </c>
    </row>
    <row r="376" spans="1:19" x14ac:dyDescent="0.3">
      <c r="A376" s="1">
        <v>45793</v>
      </c>
      <c r="B376" s="2" t="s">
        <v>2570</v>
      </c>
      <c r="C376" s="2" t="s">
        <v>2543</v>
      </c>
      <c r="D376" s="2" t="s">
        <v>2531</v>
      </c>
      <c r="E376" s="2" t="s">
        <v>2529</v>
      </c>
      <c r="F376" s="3">
        <v>57022</v>
      </c>
      <c r="G376" s="3">
        <v>3344</v>
      </c>
      <c r="H376" s="3">
        <v>460</v>
      </c>
      <c r="I376" s="4">
        <v>3789.67</v>
      </c>
      <c r="J376" s="4">
        <v>89547.31</v>
      </c>
      <c r="K376" s="3">
        <v>406</v>
      </c>
      <c r="L376" s="2" t="s">
        <v>2536</v>
      </c>
      <c r="M376" s="2" t="s">
        <v>2519</v>
      </c>
      <c r="N376" t="str">
        <f>TRIM(PROPER(Tabla_auditoría[[#This Row],[ID_Campaña]]))</f>
        <v>Cmp-016</v>
      </c>
      <c r="O376" t="str">
        <f>TRIM(PROPER(Tabla_auditoría[[#This Row],[Canal]]))</f>
        <v>Organic Social</v>
      </c>
      <c r="P376" t="str">
        <f>TRIM(PROPER(Tabla_auditoría[[#This Row],[País]]))</f>
        <v>Portugal</v>
      </c>
      <c r="Q376" t="str">
        <f>TRIM(PROPER(Tabla_auditoría[[#This Row],[Dispositivo]]))</f>
        <v>Mobile</v>
      </c>
      <c r="R376" t="str">
        <f>TRIM(PROPER(Tabla_auditoría[[#This Row],[Tipo_Campaña]]))</f>
        <v>Reconocimiento</v>
      </c>
      <c r="S376" t="str">
        <f>TRIM(PROPER(Tabla_auditoría[[#This Row],[Responsable]]))</f>
        <v>Carlos Ruiz</v>
      </c>
    </row>
    <row r="377" spans="1:19" x14ac:dyDescent="0.3">
      <c r="A377" s="1">
        <v>45890</v>
      </c>
      <c r="B377" s="2" t="s">
        <v>2555</v>
      </c>
      <c r="C377" s="2" t="s">
        <v>2521</v>
      </c>
      <c r="D377" s="2" t="s">
        <v>2528</v>
      </c>
      <c r="E377" s="2" t="s">
        <v>2517</v>
      </c>
      <c r="F377" s="3">
        <v>8420</v>
      </c>
      <c r="G377" s="3">
        <v>610</v>
      </c>
      <c r="H377" s="3">
        <v>21</v>
      </c>
      <c r="I377" s="4">
        <v>721.04</v>
      </c>
      <c r="J377" s="4">
        <v>2318.92</v>
      </c>
      <c r="K377" s="3">
        <v>12</v>
      </c>
      <c r="L377" s="2" t="s">
        <v>2523</v>
      </c>
      <c r="M377" s="2" t="s">
        <v>2537</v>
      </c>
      <c r="N377" t="str">
        <f>TRIM(PROPER(Tabla_auditoría[[#This Row],[ID_Campaña]]))</f>
        <v>Cmp-010</v>
      </c>
      <c r="O377" t="str">
        <f>TRIM(PROPER(Tabla_auditoría[[#This Row],[Canal]]))</f>
        <v>Paid Search</v>
      </c>
      <c r="P377" t="str">
        <f>TRIM(PROPER(Tabla_auditoría[[#This Row],[País]]))</f>
        <v>España</v>
      </c>
      <c r="Q377" t="str">
        <f>TRIM(PROPER(Tabla_auditoría[[#This Row],[Dispositivo]]))</f>
        <v>Desktop</v>
      </c>
      <c r="R377" t="str">
        <f>TRIM(PROPER(Tabla_auditoría[[#This Row],[Tipo_Campaña]]))</f>
        <v>Retención</v>
      </c>
      <c r="S377" t="str">
        <f>TRIM(PROPER(Tabla_auditoría[[#This Row],[Responsable]]))</f>
        <v>Marta López</v>
      </c>
    </row>
    <row r="378" spans="1:19" x14ac:dyDescent="0.3">
      <c r="A378" s="1">
        <v>45963</v>
      </c>
      <c r="B378" s="2" t="s">
        <v>2554</v>
      </c>
      <c r="C378" s="2" t="s">
        <v>2515</v>
      </c>
      <c r="D378" s="2" t="s">
        <v>2528</v>
      </c>
      <c r="E378" s="2" t="s">
        <v>2517</v>
      </c>
      <c r="F378" s="3">
        <v>11039</v>
      </c>
      <c r="G378" s="3">
        <v>625</v>
      </c>
      <c r="H378" s="3">
        <v>22</v>
      </c>
      <c r="I378" s="4">
        <v>209.95</v>
      </c>
      <c r="J378" s="4">
        <v>789.84</v>
      </c>
      <c r="K378" s="3">
        <v>15</v>
      </c>
      <c r="L378" s="2" t="s">
        <v>2523</v>
      </c>
      <c r="M378" s="2" t="s">
        <v>2524</v>
      </c>
      <c r="N378" t="str">
        <f>TRIM(PROPER(Tabla_auditoría[[#This Row],[ID_Campaña]]))</f>
        <v>Cmp-019</v>
      </c>
      <c r="O378" t="str">
        <f>TRIM(PROPER(Tabla_auditoría[[#This Row],[Canal]]))</f>
        <v>Email</v>
      </c>
      <c r="P378" t="str">
        <f>TRIM(PROPER(Tabla_auditoría[[#This Row],[País]]))</f>
        <v>España</v>
      </c>
      <c r="Q378" t="str">
        <f>TRIM(PROPER(Tabla_auditoría[[#This Row],[Dispositivo]]))</f>
        <v>Desktop</v>
      </c>
      <c r="R378" t="str">
        <f>TRIM(PROPER(Tabla_auditoría[[#This Row],[Tipo_Campaña]]))</f>
        <v>Retención</v>
      </c>
      <c r="S378" t="str">
        <f>TRIM(PROPER(Tabla_auditoría[[#This Row],[Responsable]]))</f>
        <v>Luis Martín</v>
      </c>
    </row>
    <row r="379" spans="1:19" x14ac:dyDescent="0.3">
      <c r="A379" s="1">
        <v>45710</v>
      </c>
      <c r="B379" s="2" t="s">
        <v>2570</v>
      </c>
      <c r="C379" s="2" t="s">
        <v>2541</v>
      </c>
      <c r="D379" s="2" t="s">
        <v>2531</v>
      </c>
      <c r="E379" s="2" t="s">
        <v>2517</v>
      </c>
      <c r="F379" s="3">
        <v>146543</v>
      </c>
      <c r="G379" s="3">
        <v>3673</v>
      </c>
      <c r="H379" s="3">
        <v>478</v>
      </c>
      <c r="I379" s="4">
        <v>2467.1</v>
      </c>
      <c r="J379" s="4">
        <v>22806.01</v>
      </c>
      <c r="K379" s="3">
        <v>234</v>
      </c>
      <c r="L379" s="2" t="s">
        <v>2523</v>
      </c>
      <c r="M379" s="2" t="s">
        <v>2524</v>
      </c>
      <c r="N379" t="str">
        <f>TRIM(PROPER(Tabla_auditoría[[#This Row],[ID_Campaña]]))</f>
        <v>Cmp-016</v>
      </c>
      <c r="O379" t="str">
        <f>TRIM(PROPER(Tabla_auditoría[[#This Row],[Canal]]))</f>
        <v>Display</v>
      </c>
      <c r="P379" t="str">
        <f>TRIM(PROPER(Tabla_auditoría[[#This Row],[País]]))</f>
        <v>Portugal</v>
      </c>
      <c r="Q379" t="str">
        <f>TRIM(PROPER(Tabla_auditoría[[#This Row],[Dispositivo]]))</f>
        <v>Desktop</v>
      </c>
      <c r="R379" t="str">
        <f>TRIM(PROPER(Tabla_auditoría[[#This Row],[Tipo_Campaña]]))</f>
        <v>Retención</v>
      </c>
      <c r="S379" t="str">
        <f>TRIM(PROPER(Tabla_auditoría[[#This Row],[Responsable]]))</f>
        <v>Luis Martín</v>
      </c>
    </row>
    <row r="380" spans="1:19" x14ac:dyDescent="0.3">
      <c r="A380" s="1">
        <v>45704</v>
      </c>
      <c r="B380" s="2" t="s">
        <v>2569</v>
      </c>
      <c r="C380" s="2" t="s">
        <v>2543</v>
      </c>
      <c r="D380" s="2" t="s">
        <v>2516</v>
      </c>
      <c r="E380" s="2" t="s">
        <v>2517</v>
      </c>
      <c r="F380" s="3">
        <v>104929</v>
      </c>
      <c r="G380" s="3">
        <v>6977</v>
      </c>
      <c r="H380" s="3">
        <v>148</v>
      </c>
      <c r="I380" s="4">
        <v>12338.18</v>
      </c>
      <c r="J380" s="4">
        <v>16053.49</v>
      </c>
      <c r="K380" s="3">
        <v>129</v>
      </c>
      <c r="L380" s="2" t="s">
        <v>2523</v>
      </c>
      <c r="M380" s="2" t="s">
        <v>2526</v>
      </c>
      <c r="N380" t="str">
        <f>TRIM(PROPER(Tabla_auditoría[[#This Row],[ID_Campaña]]))</f>
        <v>Cmp-013</v>
      </c>
      <c r="O380" t="str">
        <f>TRIM(PROPER(Tabla_auditoría[[#This Row],[Canal]]))</f>
        <v>Organic Social</v>
      </c>
      <c r="P380" t="str">
        <f>TRIM(PROPER(Tabla_auditoría[[#This Row],[País]]))</f>
        <v>México</v>
      </c>
      <c r="Q380" t="str">
        <f>TRIM(PROPER(Tabla_auditoría[[#This Row],[Dispositivo]]))</f>
        <v>Desktop</v>
      </c>
      <c r="R380" t="str">
        <f>TRIM(PROPER(Tabla_auditoría[[#This Row],[Tipo_Campaña]]))</f>
        <v>Retención</v>
      </c>
      <c r="S380" t="str">
        <f>TRIM(PROPER(Tabla_auditoría[[#This Row],[Responsable]]))</f>
        <v>Laura Pérez</v>
      </c>
    </row>
    <row r="381" spans="1:19" x14ac:dyDescent="0.3">
      <c r="A381" s="1">
        <v>45746</v>
      </c>
      <c r="B381" s="2" t="s">
        <v>2557</v>
      </c>
      <c r="C381" s="2" t="s">
        <v>2515</v>
      </c>
      <c r="D381" s="2" t="s">
        <v>2528</v>
      </c>
      <c r="E381" s="2" t="s">
        <v>2517</v>
      </c>
      <c r="F381" s="3">
        <v>35967</v>
      </c>
      <c r="G381" s="3">
        <v>1101</v>
      </c>
      <c r="H381" s="3">
        <v>149</v>
      </c>
      <c r="I381" s="4">
        <v>1316.87</v>
      </c>
      <c r="J381" s="4">
        <v>31454.55</v>
      </c>
      <c r="K381" s="3">
        <v>84</v>
      </c>
      <c r="L381" s="2" t="s">
        <v>2523</v>
      </c>
      <c r="M381" s="2" t="s">
        <v>2537</v>
      </c>
      <c r="N381" t="str">
        <f>TRIM(PROPER(Tabla_auditoría[[#This Row],[ID_Campaña]]))</f>
        <v>Cmp-030</v>
      </c>
      <c r="O381" t="str">
        <f>TRIM(PROPER(Tabla_auditoría[[#This Row],[Canal]]))</f>
        <v>Email</v>
      </c>
      <c r="P381" t="str">
        <f>TRIM(PROPER(Tabla_auditoría[[#This Row],[País]]))</f>
        <v>España</v>
      </c>
      <c r="Q381" t="str">
        <f>TRIM(PROPER(Tabla_auditoría[[#This Row],[Dispositivo]]))</f>
        <v>Desktop</v>
      </c>
      <c r="R381" t="str">
        <f>TRIM(PROPER(Tabla_auditoría[[#This Row],[Tipo_Campaña]]))</f>
        <v>Retención</v>
      </c>
      <c r="S381" t="str">
        <f>TRIM(PROPER(Tabla_auditoría[[#This Row],[Responsable]]))</f>
        <v>Marta López</v>
      </c>
    </row>
    <row r="382" spans="1:19" x14ac:dyDescent="0.3">
      <c r="A382" s="1">
        <v>45905</v>
      </c>
      <c r="B382" s="2" t="s">
        <v>2552</v>
      </c>
      <c r="C382" s="2" t="s">
        <v>2515</v>
      </c>
      <c r="D382" s="2" t="s">
        <v>2531</v>
      </c>
      <c r="E382" s="2" t="s">
        <v>2517</v>
      </c>
      <c r="F382" s="3">
        <v>5114</v>
      </c>
      <c r="G382" s="3">
        <v>185</v>
      </c>
      <c r="H382" s="3">
        <v>11</v>
      </c>
      <c r="I382" s="4">
        <v>277.92</v>
      </c>
      <c r="J382" s="4">
        <v>1227.3499999999999</v>
      </c>
      <c r="K382" s="3">
        <v>6</v>
      </c>
      <c r="L382" s="2" t="s">
        <v>2539</v>
      </c>
      <c r="M382" s="2" t="s">
        <v>2546</v>
      </c>
      <c r="N382" t="str">
        <f>TRIM(PROPER(Tabla_auditoría[[#This Row],[ID_Campaña]]))</f>
        <v>Cmp-012</v>
      </c>
      <c r="O382" t="str">
        <f>TRIM(PROPER(Tabla_auditoría[[#This Row],[Canal]]))</f>
        <v>Email</v>
      </c>
      <c r="P382" t="str">
        <f>TRIM(PROPER(Tabla_auditoría[[#This Row],[País]]))</f>
        <v>Portugal</v>
      </c>
      <c r="Q382" t="str">
        <f>TRIM(PROPER(Tabla_auditoría[[#This Row],[Dispositivo]]))</f>
        <v>Desktop</v>
      </c>
      <c r="R382" t="str">
        <f>TRIM(PROPER(Tabla_auditoría[[#This Row],[Tipo_Campaña]]))</f>
        <v>Conversión</v>
      </c>
      <c r="S382" t="str">
        <f>TRIM(PROPER(Tabla_auditoría[[#This Row],[Responsable]]))</f>
        <v>Ana García</v>
      </c>
    </row>
    <row r="383" spans="1:19" x14ac:dyDescent="0.3">
      <c r="A383" s="1">
        <v>45660</v>
      </c>
      <c r="B383" s="2" t="s">
        <v>2547</v>
      </c>
      <c r="C383" s="2" t="s">
        <v>2527</v>
      </c>
      <c r="D383" s="2" t="s">
        <v>2528</v>
      </c>
      <c r="E383" s="2" t="s">
        <v>2529</v>
      </c>
      <c r="F383" s="3">
        <v>139020</v>
      </c>
      <c r="G383" s="3">
        <v>8141</v>
      </c>
      <c r="H383" s="3">
        <v>44</v>
      </c>
      <c r="I383" s="4">
        <v>1743.65</v>
      </c>
      <c r="J383" s="4">
        <v>1465.69</v>
      </c>
      <c r="K383" s="3">
        <v>28</v>
      </c>
      <c r="L383" s="2" t="s">
        <v>2536</v>
      </c>
      <c r="M383" s="2" t="s">
        <v>2519</v>
      </c>
      <c r="N383" t="str">
        <f>TRIM(PROPER(Tabla_auditoría[[#This Row],[ID_Campaña]]))</f>
        <v>Cmp-018</v>
      </c>
      <c r="O383" t="str">
        <f>TRIM(PROPER(Tabla_auditoría[[#This Row],[Canal]]))</f>
        <v>Affiliate</v>
      </c>
      <c r="P383" t="str">
        <f>TRIM(PROPER(Tabla_auditoría[[#This Row],[País]]))</f>
        <v>España</v>
      </c>
      <c r="Q383" t="str">
        <f>TRIM(PROPER(Tabla_auditoría[[#This Row],[Dispositivo]]))</f>
        <v>Mobile</v>
      </c>
      <c r="R383" t="str">
        <f>TRIM(PROPER(Tabla_auditoría[[#This Row],[Tipo_Campaña]]))</f>
        <v>Reconocimiento</v>
      </c>
      <c r="S383" t="str">
        <f>TRIM(PROPER(Tabla_auditoría[[#This Row],[Responsable]]))</f>
        <v>Carlos Ruiz</v>
      </c>
    </row>
    <row r="384" spans="1:19" x14ac:dyDescent="0.3">
      <c r="A384" s="1">
        <v>45883</v>
      </c>
      <c r="B384" s="2" t="s">
        <v>2557</v>
      </c>
      <c r="C384" s="2" t="s">
        <v>2527</v>
      </c>
      <c r="D384" s="2" t="s">
        <v>2528</v>
      </c>
      <c r="E384" s="2" t="s">
        <v>2517</v>
      </c>
      <c r="F384" s="3">
        <v>58585</v>
      </c>
      <c r="G384" s="3">
        <v>3433</v>
      </c>
      <c r="H384" s="3">
        <v>361</v>
      </c>
      <c r="I384" s="4">
        <v>4673.1000000000004</v>
      </c>
      <c r="J384" s="4">
        <v>72865.22</v>
      </c>
      <c r="K384" s="3">
        <v>295</v>
      </c>
      <c r="L384" s="2" t="s">
        <v>2536</v>
      </c>
      <c r="M384" s="2" t="s">
        <v>2526</v>
      </c>
      <c r="N384" t="str">
        <f>TRIM(PROPER(Tabla_auditoría[[#This Row],[ID_Campaña]]))</f>
        <v>Cmp-030</v>
      </c>
      <c r="O384" t="str">
        <f>TRIM(PROPER(Tabla_auditoría[[#This Row],[Canal]]))</f>
        <v>Affiliate</v>
      </c>
      <c r="P384" t="str">
        <f>TRIM(PROPER(Tabla_auditoría[[#This Row],[País]]))</f>
        <v>España</v>
      </c>
      <c r="Q384" t="str">
        <f>TRIM(PROPER(Tabla_auditoría[[#This Row],[Dispositivo]]))</f>
        <v>Desktop</v>
      </c>
      <c r="R384" t="str">
        <f>TRIM(PROPER(Tabla_auditoría[[#This Row],[Tipo_Campaña]]))</f>
        <v>Reconocimiento</v>
      </c>
      <c r="S384" t="str">
        <f>TRIM(PROPER(Tabla_auditoría[[#This Row],[Responsable]]))</f>
        <v>Laura Pérez</v>
      </c>
    </row>
    <row r="385" spans="1:19" x14ac:dyDescent="0.3">
      <c r="A385" s="1">
        <v>45662</v>
      </c>
      <c r="B385" s="2" t="s">
        <v>2579</v>
      </c>
      <c r="C385" s="2" t="s">
        <v>2527</v>
      </c>
      <c r="D385" s="2" t="s">
        <v>2528</v>
      </c>
      <c r="E385" s="2" t="s">
        <v>2529</v>
      </c>
      <c r="F385" s="3">
        <v>151173</v>
      </c>
      <c r="G385" s="3">
        <v>7367</v>
      </c>
      <c r="H385" s="3">
        <v>701</v>
      </c>
      <c r="I385" s="4">
        <v>1387.83</v>
      </c>
      <c r="J385" s="4">
        <v>123094.05</v>
      </c>
      <c r="K385" s="3">
        <v>318</v>
      </c>
      <c r="L385" s="2" t="s">
        <v>2518</v>
      </c>
      <c r="M385" s="2" t="s">
        <v>2546</v>
      </c>
      <c r="N385" t="str">
        <f>TRIM(PROPER(Tabla_auditoría[[#This Row],[ID_Campaña]]))</f>
        <v>Cmp-003</v>
      </c>
      <c r="O385" t="str">
        <f>TRIM(PROPER(Tabla_auditoría[[#This Row],[Canal]]))</f>
        <v>Affiliate</v>
      </c>
      <c r="P385" t="str">
        <f>TRIM(PROPER(Tabla_auditoría[[#This Row],[País]]))</f>
        <v>España</v>
      </c>
      <c r="Q385" t="str">
        <f>TRIM(PROPER(Tabla_auditoría[[#This Row],[Dispositivo]]))</f>
        <v>Mobile</v>
      </c>
      <c r="R385" t="str">
        <f>TRIM(PROPER(Tabla_auditoría[[#This Row],[Tipo_Campaña]]))</f>
        <v>Adquisición</v>
      </c>
      <c r="S385" t="str">
        <f>TRIM(PROPER(Tabla_auditoría[[#This Row],[Responsable]]))</f>
        <v>Ana García</v>
      </c>
    </row>
    <row r="386" spans="1:19" x14ac:dyDescent="0.3">
      <c r="A386" s="1">
        <v>45850</v>
      </c>
      <c r="B386" s="2" t="s">
        <v>2566</v>
      </c>
      <c r="C386" s="2" t="s">
        <v>2543</v>
      </c>
      <c r="D386" s="2" t="s">
        <v>2525</v>
      </c>
      <c r="E386" s="2" t="s">
        <v>2529</v>
      </c>
      <c r="F386" s="3">
        <v>134284</v>
      </c>
      <c r="G386" s="3">
        <v>3137</v>
      </c>
      <c r="H386" s="3">
        <v>200</v>
      </c>
      <c r="I386" s="4">
        <v>4718.29</v>
      </c>
      <c r="J386" s="4">
        <v>10184.23</v>
      </c>
      <c r="K386" s="3">
        <v>143</v>
      </c>
      <c r="L386" s="2" t="s">
        <v>2523</v>
      </c>
      <c r="M386" s="2" t="s">
        <v>2537</v>
      </c>
      <c r="N386" t="str">
        <f>TRIM(PROPER(Tabla_auditoría[[#This Row],[ID_Campaña]]))</f>
        <v>Cmp-001</v>
      </c>
      <c r="O386" t="str">
        <f>TRIM(PROPER(Tabla_auditoría[[#This Row],[Canal]]))</f>
        <v>Organic Social</v>
      </c>
      <c r="P386" t="str">
        <f>TRIM(PROPER(Tabla_auditoría[[#This Row],[País]]))</f>
        <v>Francia</v>
      </c>
      <c r="Q386" t="str">
        <f>TRIM(PROPER(Tabla_auditoría[[#This Row],[Dispositivo]]))</f>
        <v>Mobile</v>
      </c>
      <c r="R386" t="str">
        <f>TRIM(PROPER(Tabla_auditoría[[#This Row],[Tipo_Campaña]]))</f>
        <v>Retención</v>
      </c>
      <c r="S386" t="str">
        <f>TRIM(PROPER(Tabla_auditoría[[#This Row],[Responsable]]))</f>
        <v>Marta López</v>
      </c>
    </row>
    <row r="387" spans="1:19" x14ac:dyDescent="0.3">
      <c r="A387" s="1">
        <v>45904</v>
      </c>
      <c r="B387" s="2" t="s">
        <v>2540</v>
      </c>
      <c r="C387" s="2" t="s">
        <v>2533</v>
      </c>
      <c r="D387" s="2" t="s">
        <v>2528</v>
      </c>
      <c r="E387" s="2" t="s">
        <v>2529</v>
      </c>
      <c r="F387" s="3">
        <v>41687</v>
      </c>
      <c r="G387" s="3">
        <v>2276</v>
      </c>
      <c r="H387" s="3">
        <v>144</v>
      </c>
      <c r="I387" s="4">
        <v>1511.61</v>
      </c>
      <c r="J387" s="4">
        <v>11437.22</v>
      </c>
      <c r="K387" s="3">
        <v>73</v>
      </c>
      <c r="L387" s="2" t="s">
        <v>2523</v>
      </c>
      <c r="M387" s="2" t="s">
        <v>2524</v>
      </c>
      <c r="N387" t="str">
        <f>TRIM(PROPER(Tabla_auditoría[[#This Row],[ID_Campaña]]))</f>
        <v>Cmp-017</v>
      </c>
      <c r="O387" t="str">
        <f>TRIM(PROPER(Tabla_auditoría[[#This Row],[Canal]]))</f>
        <v>Paid Social</v>
      </c>
      <c r="P387" t="str">
        <f>TRIM(PROPER(Tabla_auditoría[[#This Row],[País]]))</f>
        <v>España</v>
      </c>
      <c r="Q387" t="str">
        <f>TRIM(PROPER(Tabla_auditoría[[#This Row],[Dispositivo]]))</f>
        <v>Mobile</v>
      </c>
      <c r="R387" t="str">
        <f>TRIM(PROPER(Tabla_auditoría[[#This Row],[Tipo_Campaña]]))</f>
        <v>Retención</v>
      </c>
      <c r="S387" t="str">
        <f>TRIM(PROPER(Tabla_auditoría[[#This Row],[Responsable]]))</f>
        <v>Luis Martín</v>
      </c>
    </row>
    <row r="388" spans="1:19" x14ac:dyDescent="0.3">
      <c r="A388" s="1">
        <v>45688</v>
      </c>
      <c r="B388" s="2" t="s">
        <v>2542</v>
      </c>
      <c r="C388" s="2" t="s">
        <v>2562</v>
      </c>
      <c r="D388" s="2" t="s">
        <v>2516</v>
      </c>
      <c r="E388" s="2" t="s">
        <v>2517</v>
      </c>
      <c r="F388" s="3">
        <v>93615</v>
      </c>
      <c r="G388" s="3">
        <v>4787</v>
      </c>
      <c r="H388" s="3">
        <v>96</v>
      </c>
      <c r="I388" s="4">
        <v>7401.94</v>
      </c>
      <c r="J388" s="4">
        <v>11576.34</v>
      </c>
      <c r="K388" s="3">
        <v>57</v>
      </c>
      <c r="L388" s="2" t="s">
        <v>2536</v>
      </c>
      <c r="M388" s="2" t="s">
        <v>2524</v>
      </c>
      <c r="N388" t="str">
        <f>TRIM(PROPER(Tabla_auditoría[[#This Row],[ID_Campaña]]))</f>
        <v>Cmp-025</v>
      </c>
      <c r="O388" t="str">
        <f>TRIM(PROPER(Tabla_auditoría[[#This Row],[Canal]]))</f>
        <v>Organic Social</v>
      </c>
      <c r="P388" t="str">
        <f>TRIM(PROPER(Tabla_auditoría[[#This Row],[País]]))</f>
        <v>México</v>
      </c>
      <c r="Q388" t="str">
        <f>TRIM(PROPER(Tabla_auditoría[[#This Row],[Dispositivo]]))</f>
        <v>Desktop</v>
      </c>
      <c r="R388" t="str">
        <f>TRIM(PROPER(Tabla_auditoría[[#This Row],[Tipo_Campaña]]))</f>
        <v>Reconocimiento</v>
      </c>
      <c r="S388" t="str">
        <f>TRIM(PROPER(Tabla_auditoría[[#This Row],[Responsable]]))</f>
        <v>Luis Martín</v>
      </c>
    </row>
    <row r="389" spans="1:19" x14ac:dyDescent="0.3">
      <c r="A389" s="1">
        <v>46014</v>
      </c>
      <c r="B389" s="2" t="s">
        <v>2570</v>
      </c>
      <c r="C389" s="2" t="s">
        <v>2533</v>
      </c>
      <c r="D389" s="2" t="s">
        <v>2528</v>
      </c>
      <c r="E389" s="2" t="s">
        <v>2517</v>
      </c>
      <c r="F389" s="3">
        <v>111233</v>
      </c>
      <c r="G389" s="3">
        <v>6105</v>
      </c>
      <c r="H389" s="3">
        <v>724</v>
      </c>
      <c r="I389" s="4">
        <v>3326.59</v>
      </c>
      <c r="J389" s="4">
        <v>137632.60999999999</v>
      </c>
      <c r="K389" s="3">
        <v>528</v>
      </c>
      <c r="L389" s="2" t="s">
        <v>2536</v>
      </c>
      <c r="M389" s="2" t="s">
        <v>2524</v>
      </c>
      <c r="N389" t="str">
        <f>TRIM(PROPER(Tabla_auditoría[[#This Row],[ID_Campaña]]))</f>
        <v>Cmp-016</v>
      </c>
      <c r="O389" t="str">
        <f>TRIM(PROPER(Tabla_auditoría[[#This Row],[Canal]]))</f>
        <v>Paid Social</v>
      </c>
      <c r="P389" t="str">
        <f>TRIM(PROPER(Tabla_auditoría[[#This Row],[País]]))</f>
        <v>España</v>
      </c>
      <c r="Q389" t="str">
        <f>TRIM(PROPER(Tabla_auditoría[[#This Row],[Dispositivo]]))</f>
        <v>Desktop</v>
      </c>
      <c r="R389" t="str">
        <f>TRIM(PROPER(Tabla_auditoría[[#This Row],[Tipo_Campaña]]))</f>
        <v>Reconocimiento</v>
      </c>
      <c r="S389" t="str">
        <f>TRIM(PROPER(Tabla_auditoría[[#This Row],[Responsable]]))</f>
        <v>Luis Martín</v>
      </c>
    </row>
    <row r="390" spans="1:19" x14ac:dyDescent="0.3">
      <c r="A390" s="1">
        <v>45832</v>
      </c>
      <c r="B390" s="2" t="s">
        <v>2567</v>
      </c>
      <c r="C390" s="2" t="s">
        <v>2515</v>
      </c>
      <c r="D390" s="2" t="s">
        <v>2516</v>
      </c>
      <c r="E390" s="2" t="s">
        <v>2559</v>
      </c>
      <c r="F390" s="3">
        <v>93356</v>
      </c>
      <c r="G390" s="3">
        <v>2667</v>
      </c>
      <c r="H390" s="3">
        <v>150</v>
      </c>
      <c r="I390" s="4">
        <v>2410.14</v>
      </c>
      <c r="J390" s="4">
        <v>26349.85</v>
      </c>
      <c r="K390" s="3">
        <v>103</v>
      </c>
      <c r="L390" s="2" t="s">
        <v>2523</v>
      </c>
      <c r="M390" s="2" t="s">
        <v>2524</v>
      </c>
      <c r="N390" t="str">
        <f>TRIM(PROPER(Tabla_auditoría[[#This Row],[ID_Campaña]]))</f>
        <v>Cmp-021</v>
      </c>
      <c r="O390" t="str">
        <f>TRIM(PROPER(Tabla_auditoría[[#This Row],[Canal]]))</f>
        <v>Email</v>
      </c>
      <c r="P390" t="str">
        <f>TRIM(PROPER(Tabla_auditoría[[#This Row],[País]]))</f>
        <v>México</v>
      </c>
      <c r="Q390" t="str">
        <f>TRIM(PROPER(Tabla_auditoría[[#This Row],[Dispositivo]]))</f>
        <v>Desktop</v>
      </c>
      <c r="R390" t="str">
        <f>TRIM(PROPER(Tabla_auditoría[[#This Row],[Tipo_Campaña]]))</f>
        <v>Retención</v>
      </c>
      <c r="S390" t="str">
        <f>TRIM(PROPER(Tabla_auditoría[[#This Row],[Responsable]]))</f>
        <v>Luis Martín</v>
      </c>
    </row>
    <row r="391" spans="1:19" x14ac:dyDescent="0.3">
      <c r="A391" s="1">
        <v>46013</v>
      </c>
      <c r="B391" s="2" t="s">
        <v>2570</v>
      </c>
      <c r="C391" s="2" t="s">
        <v>2543</v>
      </c>
      <c r="D391" s="2" t="s">
        <v>2528</v>
      </c>
      <c r="E391" s="2" t="s">
        <v>2517</v>
      </c>
      <c r="F391" s="3">
        <v>106825</v>
      </c>
      <c r="G391" s="3">
        <v>6665</v>
      </c>
      <c r="H391" s="3">
        <v>258</v>
      </c>
      <c r="I391" s="4">
        <v>6326.81</v>
      </c>
      <c r="J391" s="4">
        <v>31623.439999999999</v>
      </c>
      <c r="K391" s="3">
        <v>224</v>
      </c>
      <c r="L391" s="2" t="s">
        <v>2539</v>
      </c>
      <c r="M391" s="2" t="s">
        <v>2519</v>
      </c>
      <c r="N391" t="str">
        <f>TRIM(PROPER(Tabla_auditoría[[#This Row],[ID_Campaña]]))</f>
        <v>Cmp-016</v>
      </c>
      <c r="O391" t="str">
        <f>TRIM(PROPER(Tabla_auditoría[[#This Row],[Canal]]))</f>
        <v>Organic Social</v>
      </c>
      <c r="P391" t="str">
        <f>TRIM(PROPER(Tabla_auditoría[[#This Row],[País]]))</f>
        <v>España</v>
      </c>
      <c r="Q391" t="str">
        <f>TRIM(PROPER(Tabla_auditoría[[#This Row],[Dispositivo]]))</f>
        <v>Desktop</v>
      </c>
      <c r="R391" t="str">
        <f>TRIM(PROPER(Tabla_auditoría[[#This Row],[Tipo_Campaña]]))</f>
        <v>Conversión</v>
      </c>
      <c r="S391" t="str">
        <f>TRIM(PROPER(Tabla_auditoría[[#This Row],[Responsable]]))</f>
        <v>Carlos Ruiz</v>
      </c>
    </row>
    <row r="392" spans="1:19" x14ac:dyDescent="0.3">
      <c r="A392" s="1">
        <v>45841</v>
      </c>
      <c r="B392" s="2" t="s">
        <v>2535</v>
      </c>
      <c r="C392" s="2" t="s">
        <v>2527</v>
      </c>
      <c r="D392" s="2" t="s">
        <v>2525</v>
      </c>
      <c r="E392" s="2" t="s">
        <v>2517</v>
      </c>
      <c r="F392" s="3">
        <v>94836</v>
      </c>
      <c r="G392" s="3">
        <v>4946</v>
      </c>
      <c r="H392" s="3">
        <v>410</v>
      </c>
      <c r="I392" s="4">
        <v>7832.7</v>
      </c>
      <c r="J392" s="4">
        <v>33838.910000000003</v>
      </c>
      <c r="K392" s="3">
        <v>345</v>
      </c>
      <c r="L392" s="2" t="s">
        <v>2518</v>
      </c>
      <c r="M392" s="2" t="s">
        <v>2546</v>
      </c>
      <c r="N392" t="str">
        <f>TRIM(PROPER(Tabla_auditoría[[#This Row],[ID_Campaña]]))</f>
        <v>Cmp-015</v>
      </c>
      <c r="O392" t="str">
        <f>TRIM(PROPER(Tabla_auditoría[[#This Row],[Canal]]))</f>
        <v>Affiliate</v>
      </c>
      <c r="P392" t="str">
        <f>TRIM(PROPER(Tabla_auditoría[[#This Row],[País]]))</f>
        <v>Francia</v>
      </c>
      <c r="Q392" t="str">
        <f>TRIM(PROPER(Tabla_auditoría[[#This Row],[Dispositivo]]))</f>
        <v>Desktop</v>
      </c>
      <c r="R392" t="str">
        <f>TRIM(PROPER(Tabla_auditoría[[#This Row],[Tipo_Campaña]]))</f>
        <v>Adquisición</v>
      </c>
      <c r="S392" t="str">
        <f>TRIM(PROPER(Tabla_auditoría[[#This Row],[Responsable]]))</f>
        <v>Ana García</v>
      </c>
    </row>
    <row r="393" spans="1:19" x14ac:dyDescent="0.3">
      <c r="A393" s="1">
        <v>45735</v>
      </c>
      <c r="B393" s="2" t="s">
        <v>2535</v>
      </c>
      <c r="C393" s="2" t="s">
        <v>2515</v>
      </c>
      <c r="D393" s="2" t="s">
        <v>2528</v>
      </c>
      <c r="E393" s="2" t="s">
        <v>2529</v>
      </c>
      <c r="F393" s="3">
        <v>118831</v>
      </c>
      <c r="G393" s="3">
        <v>9553</v>
      </c>
      <c r="H393" s="3">
        <v>448</v>
      </c>
      <c r="I393" s="4">
        <v>16394.939999999999</v>
      </c>
      <c r="J393" s="4">
        <v>36719.760000000002</v>
      </c>
      <c r="K393" s="3">
        <v>328</v>
      </c>
      <c r="L393" s="2" t="s">
        <v>2523</v>
      </c>
      <c r="M393" s="2" t="s">
        <v>2546</v>
      </c>
      <c r="N393" t="str">
        <f>TRIM(PROPER(Tabla_auditoría[[#This Row],[ID_Campaña]]))</f>
        <v>Cmp-015</v>
      </c>
      <c r="O393" t="str">
        <f>TRIM(PROPER(Tabla_auditoría[[#This Row],[Canal]]))</f>
        <v>Email</v>
      </c>
      <c r="P393" t="str">
        <f>TRIM(PROPER(Tabla_auditoría[[#This Row],[País]]))</f>
        <v>España</v>
      </c>
      <c r="Q393" t="str">
        <f>TRIM(PROPER(Tabla_auditoría[[#This Row],[Dispositivo]]))</f>
        <v>Mobile</v>
      </c>
      <c r="R393" t="str">
        <f>TRIM(PROPER(Tabla_auditoría[[#This Row],[Tipo_Campaña]]))</f>
        <v>Retención</v>
      </c>
      <c r="S393" t="str">
        <f>TRIM(PROPER(Tabla_auditoría[[#This Row],[Responsable]]))</f>
        <v>Ana García</v>
      </c>
    </row>
    <row r="394" spans="1:19" x14ac:dyDescent="0.3">
      <c r="A394" s="1">
        <v>45897</v>
      </c>
      <c r="B394" s="2" t="s">
        <v>2542</v>
      </c>
      <c r="C394" s="2" t="s">
        <v>2543</v>
      </c>
      <c r="D394" s="2" t="s">
        <v>2528</v>
      </c>
      <c r="E394" s="2" t="s">
        <v>2529</v>
      </c>
      <c r="F394" s="3">
        <v>104284</v>
      </c>
      <c r="G394" s="3">
        <v>4530</v>
      </c>
      <c r="H394" s="3">
        <v>573</v>
      </c>
      <c r="I394" s="4">
        <v>900.28</v>
      </c>
      <c r="J394" s="4">
        <v>78497.03</v>
      </c>
      <c r="K394" s="3">
        <v>413</v>
      </c>
      <c r="L394" s="2" t="s">
        <v>2536</v>
      </c>
      <c r="M394" s="2" t="s">
        <v>2537</v>
      </c>
      <c r="N394" t="str">
        <f>TRIM(PROPER(Tabla_auditoría[[#This Row],[ID_Campaña]]))</f>
        <v>Cmp-025</v>
      </c>
      <c r="O394" t="str">
        <f>TRIM(PROPER(Tabla_auditoría[[#This Row],[Canal]]))</f>
        <v>Organic Social</v>
      </c>
      <c r="P394" t="str">
        <f>TRIM(PROPER(Tabla_auditoría[[#This Row],[País]]))</f>
        <v>España</v>
      </c>
      <c r="Q394" t="str">
        <f>TRIM(PROPER(Tabla_auditoría[[#This Row],[Dispositivo]]))</f>
        <v>Mobile</v>
      </c>
      <c r="R394" t="str">
        <f>TRIM(PROPER(Tabla_auditoría[[#This Row],[Tipo_Campaña]]))</f>
        <v>Reconocimiento</v>
      </c>
      <c r="S394" t="str">
        <f>TRIM(PROPER(Tabla_auditoría[[#This Row],[Responsable]]))</f>
        <v>Marta López</v>
      </c>
    </row>
    <row r="395" spans="1:19" x14ac:dyDescent="0.3">
      <c r="A395" s="1">
        <v>45861</v>
      </c>
      <c r="B395" s="2" t="s">
        <v>2532</v>
      </c>
      <c r="C395" s="2" t="s">
        <v>2515</v>
      </c>
      <c r="D395" s="2" t="s">
        <v>2531</v>
      </c>
      <c r="E395" s="2" t="s">
        <v>2529</v>
      </c>
      <c r="F395" s="3">
        <v>82608</v>
      </c>
      <c r="G395" s="3">
        <v>1415</v>
      </c>
      <c r="H395" s="3">
        <v>76</v>
      </c>
      <c r="I395" s="4">
        <v>1335.65</v>
      </c>
      <c r="J395" s="4">
        <v>7896.56</v>
      </c>
      <c r="K395" s="3">
        <v>50</v>
      </c>
      <c r="L395" s="2" t="s">
        <v>2536</v>
      </c>
      <c r="M395" s="2" t="s">
        <v>2537</v>
      </c>
      <c r="N395" t="str">
        <f>TRIM(PROPER(Tabla_auditoría[[#This Row],[ID_Campaña]]))</f>
        <v>Cmp-022</v>
      </c>
      <c r="O395" t="str">
        <f>TRIM(PROPER(Tabla_auditoría[[#This Row],[Canal]]))</f>
        <v>Email</v>
      </c>
      <c r="P395" t="str">
        <f>TRIM(PROPER(Tabla_auditoría[[#This Row],[País]]))</f>
        <v>Portugal</v>
      </c>
      <c r="Q395" t="str">
        <f>TRIM(PROPER(Tabla_auditoría[[#This Row],[Dispositivo]]))</f>
        <v>Mobile</v>
      </c>
      <c r="R395" t="str">
        <f>TRIM(PROPER(Tabla_auditoría[[#This Row],[Tipo_Campaña]]))</f>
        <v>Reconocimiento</v>
      </c>
      <c r="S395" t="str">
        <f>TRIM(PROPER(Tabla_auditoría[[#This Row],[Responsable]]))</f>
        <v>Marta López</v>
      </c>
    </row>
    <row r="396" spans="1:19" x14ac:dyDescent="0.3">
      <c r="A396" s="1">
        <v>45855</v>
      </c>
      <c r="B396" s="2" t="s">
        <v>2555</v>
      </c>
      <c r="C396" s="2" t="s">
        <v>2527</v>
      </c>
      <c r="D396" s="2" t="s">
        <v>2528</v>
      </c>
      <c r="E396" s="2" t="s">
        <v>2517</v>
      </c>
      <c r="F396" s="3">
        <v>173373</v>
      </c>
      <c r="G396" s="3">
        <v>9272</v>
      </c>
      <c r="H396" s="3">
        <v>777</v>
      </c>
      <c r="I396" s="4">
        <v>4290.95</v>
      </c>
      <c r="J396" s="4">
        <v>143550.54</v>
      </c>
      <c r="K396" s="3">
        <v>440</v>
      </c>
      <c r="L396" s="2" t="s">
        <v>2539</v>
      </c>
      <c r="M396" s="2" t="s">
        <v>2546</v>
      </c>
      <c r="N396" t="str">
        <f>TRIM(PROPER(Tabla_auditoría[[#This Row],[ID_Campaña]]))</f>
        <v>Cmp-010</v>
      </c>
      <c r="O396" t="str">
        <f>TRIM(PROPER(Tabla_auditoría[[#This Row],[Canal]]))</f>
        <v>Affiliate</v>
      </c>
      <c r="P396" t="str">
        <f>TRIM(PROPER(Tabla_auditoría[[#This Row],[País]]))</f>
        <v>España</v>
      </c>
      <c r="Q396" t="str">
        <f>TRIM(PROPER(Tabla_auditoría[[#This Row],[Dispositivo]]))</f>
        <v>Desktop</v>
      </c>
      <c r="R396" t="str">
        <f>TRIM(PROPER(Tabla_auditoría[[#This Row],[Tipo_Campaña]]))</f>
        <v>Conversión</v>
      </c>
      <c r="S396" t="str">
        <f>TRIM(PROPER(Tabla_auditoría[[#This Row],[Responsable]]))</f>
        <v>Ana García</v>
      </c>
    </row>
    <row r="397" spans="1:19" x14ac:dyDescent="0.3">
      <c r="A397" s="1">
        <v>45959</v>
      </c>
      <c r="B397" s="2" t="s">
        <v>2554</v>
      </c>
      <c r="C397" s="2" t="s">
        <v>2541</v>
      </c>
      <c r="D397" s="2" t="s">
        <v>2528</v>
      </c>
      <c r="E397" s="2" t="s">
        <v>2517</v>
      </c>
      <c r="F397" s="3">
        <v>156660</v>
      </c>
      <c r="G397" s="3">
        <v>8994</v>
      </c>
      <c r="H397" s="3">
        <v>698</v>
      </c>
      <c r="I397" s="4">
        <v>10431.11</v>
      </c>
      <c r="J397" s="4">
        <v>67054.63</v>
      </c>
      <c r="K397" s="3">
        <v>322</v>
      </c>
      <c r="L397" s="2" t="s">
        <v>2536</v>
      </c>
      <c r="M397" s="2" t="s">
        <v>2526</v>
      </c>
      <c r="N397" t="str">
        <f>TRIM(PROPER(Tabla_auditoría[[#This Row],[ID_Campaña]]))</f>
        <v>Cmp-019</v>
      </c>
      <c r="O397" t="str">
        <f>TRIM(PROPER(Tabla_auditoría[[#This Row],[Canal]]))</f>
        <v>Display</v>
      </c>
      <c r="P397" t="str">
        <f>TRIM(PROPER(Tabla_auditoría[[#This Row],[País]]))</f>
        <v>España</v>
      </c>
      <c r="Q397" t="str">
        <f>TRIM(PROPER(Tabla_auditoría[[#This Row],[Dispositivo]]))</f>
        <v>Desktop</v>
      </c>
      <c r="R397" t="str">
        <f>TRIM(PROPER(Tabla_auditoría[[#This Row],[Tipo_Campaña]]))</f>
        <v>Reconocimiento</v>
      </c>
      <c r="S397" t="str">
        <f>TRIM(PROPER(Tabla_auditoría[[#This Row],[Responsable]]))</f>
        <v>Laura Pérez</v>
      </c>
    </row>
    <row r="398" spans="1:19" x14ac:dyDescent="0.3">
      <c r="A398" s="1">
        <v>45818</v>
      </c>
      <c r="B398" s="2" t="s">
        <v>2552</v>
      </c>
      <c r="C398" s="2" t="s">
        <v>2533</v>
      </c>
      <c r="D398" s="2" t="s">
        <v>2516</v>
      </c>
      <c r="E398" s="2" t="s">
        <v>2529</v>
      </c>
      <c r="F398" s="3">
        <v>72507</v>
      </c>
      <c r="G398" s="3">
        <v>2561</v>
      </c>
      <c r="H398" s="3">
        <v>244</v>
      </c>
      <c r="I398" s="4">
        <v>4407.5600000000004</v>
      </c>
      <c r="J398" s="4">
        <v>11371.66</v>
      </c>
      <c r="K398" s="3">
        <v>125</v>
      </c>
      <c r="L398" s="2" t="s">
        <v>2523</v>
      </c>
      <c r="M398" s="2" t="s">
        <v>2524</v>
      </c>
      <c r="N398" t="str">
        <f>TRIM(PROPER(Tabla_auditoría[[#This Row],[ID_Campaña]]))</f>
        <v>Cmp-012</v>
      </c>
      <c r="O398" t="str">
        <f>TRIM(PROPER(Tabla_auditoría[[#This Row],[Canal]]))</f>
        <v>Paid Social</v>
      </c>
      <c r="P398" t="str">
        <f>TRIM(PROPER(Tabla_auditoría[[#This Row],[País]]))</f>
        <v>México</v>
      </c>
      <c r="Q398" t="str">
        <f>TRIM(PROPER(Tabla_auditoría[[#This Row],[Dispositivo]]))</f>
        <v>Mobile</v>
      </c>
      <c r="R398" t="str">
        <f>TRIM(PROPER(Tabla_auditoría[[#This Row],[Tipo_Campaña]]))</f>
        <v>Retención</v>
      </c>
      <c r="S398" t="str">
        <f>TRIM(PROPER(Tabla_auditoría[[#This Row],[Responsable]]))</f>
        <v>Luis Martín</v>
      </c>
    </row>
    <row r="399" spans="1:19" x14ac:dyDescent="0.3">
      <c r="A399" s="1">
        <v>45719</v>
      </c>
      <c r="B399" s="2" t="s">
        <v>2571</v>
      </c>
      <c r="C399" s="2" t="s">
        <v>2543</v>
      </c>
      <c r="D399" s="2" t="s">
        <v>2525</v>
      </c>
      <c r="E399" s="2" t="s">
        <v>2517</v>
      </c>
      <c r="F399" s="3">
        <v>37981</v>
      </c>
      <c r="G399" s="3">
        <v>1989</v>
      </c>
      <c r="H399" s="3">
        <v>83</v>
      </c>
      <c r="I399" s="4">
        <v>3794.99</v>
      </c>
      <c r="J399" s="4">
        <v>14168.96</v>
      </c>
      <c r="K399" s="3">
        <v>40</v>
      </c>
      <c r="L399" s="2" t="s">
        <v>2523</v>
      </c>
      <c r="M399" s="2" t="s">
        <v>2546</v>
      </c>
      <c r="N399" t="str">
        <f>TRIM(PROPER(Tabla_auditoría[[#This Row],[ID_Campaña]]))</f>
        <v>Cmp-029</v>
      </c>
      <c r="O399" t="str">
        <f>TRIM(PROPER(Tabla_auditoría[[#This Row],[Canal]]))</f>
        <v>Organic Social</v>
      </c>
      <c r="P399" t="str">
        <f>TRIM(PROPER(Tabla_auditoría[[#This Row],[País]]))</f>
        <v>Francia</v>
      </c>
      <c r="Q399" t="str">
        <f>TRIM(PROPER(Tabla_auditoría[[#This Row],[Dispositivo]]))</f>
        <v>Desktop</v>
      </c>
      <c r="R399" t="str">
        <f>TRIM(PROPER(Tabla_auditoría[[#This Row],[Tipo_Campaña]]))</f>
        <v>Retención</v>
      </c>
      <c r="S399" t="str">
        <f>TRIM(PROPER(Tabla_auditoría[[#This Row],[Responsable]]))</f>
        <v>Ana García</v>
      </c>
    </row>
    <row r="400" spans="1:19" x14ac:dyDescent="0.3">
      <c r="A400" s="1">
        <v>45807</v>
      </c>
      <c r="B400" s="2" t="s">
        <v>2570</v>
      </c>
      <c r="C400" s="2" t="s">
        <v>2543</v>
      </c>
      <c r="D400" s="2" t="s">
        <v>2528</v>
      </c>
      <c r="E400" s="2" t="s">
        <v>2517</v>
      </c>
      <c r="F400" s="3">
        <v>13647</v>
      </c>
      <c r="G400" s="3">
        <v>649</v>
      </c>
      <c r="H400" s="3">
        <v>73</v>
      </c>
      <c r="I400" s="4">
        <v>241.7</v>
      </c>
      <c r="J400" s="4">
        <v>11248.19</v>
      </c>
      <c r="K400" s="3">
        <v>33</v>
      </c>
      <c r="L400" s="2" t="s">
        <v>2523</v>
      </c>
      <c r="M400" s="2" t="s">
        <v>2524</v>
      </c>
      <c r="N400" t="str">
        <f>TRIM(PROPER(Tabla_auditoría[[#This Row],[ID_Campaña]]))</f>
        <v>Cmp-016</v>
      </c>
      <c r="O400" t="str">
        <f>TRIM(PROPER(Tabla_auditoría[[#This Row],[Canal]]))</f>
        <v>Organic Social</v>
      </c>
      <c r="P400" t="str">
        <f>TRIM(PROPER(Tabla_auditoría[[#This Row],[País]]))</f>
        <v>España</v>
      </c>
      <c r="Q400" t="str">
        <f>TRIM(PROPER(Tabla_auditoría[[#This Row],[Dispositivo]]))</f>
        <v>Desktop</v>
      </c>
      <c r="R400" t="str">
        <f>TRIM(PROPER(Tabla_auditoría[[#This Row],[Tipo_Campaña]]))</f>
        <v>Retención</v>
      </c>
      <c r="S400" t="str">
        <f>TRIM(PROPER(Tabla_auditoría[[#This Row],[Responsable]]))</f>
        <v>Luis Martín</v>
      </c>
    </row>
    <row r="401" spans="1:19" x14ac:dyDescent="0.3">
      <c r="A401" s="1">
        <v>45796</v>
      </c>
      <c r="B401" s="2" t="s">
        <v>2570</v>
      </c>
      <c r="C401" s="2" t="s">
        <v>2533</v>
      </c>
      <c r="D401" s="2" t="s">
        <v>2525</v>
      </c>
      <c r="E401" s="2" t="s">
        <v>2517</v>
      </c>
      <c r="F401" s="3">
        <v>4121</v>
      </c>
      <c r="G401" s="3">
        <v>162</v>
      </c>
      <c r="H401" s="3">
        <v>16</v>
      </c>
      <c r="I401" s="4">
        <v>67.010000000000005</v>
      </c>
      <c r="J401" s="4">
        <v>1208.56</v>
      </c>
      <c r="K401" s="3">
        <v>9</v>
      </c>
      <c r="L401" s="2" t="s">
        <v>2518</v>
      </c>
      <c r="M401" s="2" t="s">
        <v>2546</v>
      </c>
      <c r="N401" t="str">
        <f>TRIM(PROPER(Tabla_auditoría[[#This Row],[ID_Campaña]]))</f>
        <v>Cmp-016</v>
      </c>
      <c r="O401" t="str">
        <f>TRIM(PROPER(Tabla_auditoría[[#This Row],[Canal]]))</f>
        <v>Paid Social</v>
      </c>
      <c r="P401" t="str">
        <f>TRIM(PROPER(Tabla_auditoría[[#This Row],[País]]))</f>
        <v>Francia</v>
      </c>
      <c r="Q401" t="str">
        <f>TRIM(PROPER(Tabla_auditoría[[#This Row],[Dispositivo]]))</f>
        <v>Desktop</v>
      </c>
      <c r="R401" t="str">
        <f>TRIM(PROPER(Tabla_auditoría[[#This Row],[Tipo_Campaña]]))</f>
        <v>Adquisición</v>
      </c>
      <c r="S401" t="str">
        <f>TRIM(PROPER(Tabla_auditoría[[#This Row],[Responsable]]))</f>
        <v>Ana García</v>
      </c>
    </row>
    <row r="402" spans="1:19" x14ac:dyDescent="0.3">
      <c r="A402" s="1">
        <v>45880</v>
      </c>
      <c r="B402" s="2" t="s">
        <v>2557</v>
      </c>
      <c r="C402" s="2" t="s">
        <v>2521</v>
      </c>
      <c r="D402" s="2" t="s">
        <v>2528</v>
      </c>
      <c r="E402" s="2" t="s">
        <v>2517</v>
      </c>
      <c r="F402" s="3">
        <v>73156</v>
      </c>
      <c r="G402" s="3">
        <v>3027</v>
      </c>
      <c r="H402" s="3">
        <v>358</v>
      </c>
      <c r="I402" s="4">
        <v>1928.28</v>
      </c>
      <c r="J402" s="4">
        <v>77597.86</v>
      </c>
      <c r="K402" s="3">
        <v>260</v>
      </c>
      <c r="L402" s="2" t="s">
        <v>2536</v>
      </c>
      <c r="M402" s="2" t="s">
        <v>2519</v>
      </c>
      <c r="N402" t="str">
        <f>TRIM(PROPER(Tabla_auditoría[[#This Row],[ID_Campaña]]))</f>
        <v>Cmp-030</v>
      </c>
      <c r="O402" t="str">
        <f>TRIM(PROPER(Tabla_auditoría[[#This Row],[Canal]]))</f>
        <v>Paid Search</v>
      </c>
      <c r="P402" t="str">
        <f>TRIM(PROPER(Tabla_auditoría[[#This Row],[País]]))</f>
        <v>España</v>
      </c>
      <c r="Q402" t="str">
        <f>TRIM(PROPER(Tabla_auditoría[[#This Row],[Dispositivo]]))</f>
        <v>Desktop</v>
      </c>
      <c r="R402" t="str">
        <f>TRIM(PROPER(Tabla_auditoría[[#This Row],[Tipo_Campaña]]))</f>
        <v>Reconocimiento</v>
      </c>
      <c r="S402" t="str">
        <f>TRIM(PROPER(Tabla_auditoría[[#This Row],[Responsable]]))</f>
        <v>Carlos Ruiz</v>
      </c>
    </row>
    <row r="403" spans="1:19" x14ac:dyDescent="0.3">
      <c r="A403" s="1">
        <v>45845</v>
      </c>
      <c r="B403" s="2" t="s">
        <v>2565</v>
      </c>
      <c r="C403" s="2" t="s">
        <v>2543</v>
      </c>
      <c r="D403" s="2" t="s">
        <v>2516</v>
      </c>
      <c r="E403" s="2" t="s">
        <v>2517</v>
      </c>
      <c r="F403" s="3">
        <v>60135</v>
      </c>
      <c r="G403" s="3">
        <v>3421</v>
      </c>
      <c r="H403" s="3">
        <v>241</v>
      </c>
      <c r="I403" s="4">
        <v>2632.77</v>
      </c>
      <c r="J403" s="4">
        <v>48199.48</v>
      </c>
      <c r="K403" s="3">
        <v>135</v>
      </c>
      <c r="L403" s="2" t="s">
        <v>2539</v>
      </c>
      <c r="M403" s="2" t="s">
        <v>2526</v>
      </c>
      <c r="N403" t="str">
        <f>TRIM(PROPER(Tabla_auditoría[[#This Row],[ID_Campaña]]))</f>
        <v>Cmp-005</v>
      </c>
      <c r="O403" t="str">
        <f>TRIM(PROPER(Tabla_auditoría[[#This Row],[Canal]]))</f>
        <v>Organic Social</v>
      </c>
      <c r="P403" t="str">
        <f>TRIM(PROPER(Tabla_auditoría[[#This Row],[País]]))</f>
        <v>México</v>
      </c>
      <c r="Q403" t="str">
        <f>TRIM(PROPER(Tabla_auditoría[[#This Row],[Dispositivo]]))</f>
        <v>Desktop</v>
      </c>
      <c r="R403" t="str">
        <f>TRIM(PROPER(Tabla_auditoría[[#This Row],[Tipo_Campaña]]))</f>
        <v>Conversión</v>
      </c>
      <c r="S403" t="str">
        <f>TRIM(PROPER(Tabla_auditoría[[#This Row],[Responsable]]))</f>
        <v>Laura Pérez</v>
      </c>
    </row>
    <row r="404" spans="1:19" x14ac:dyDescent="0.3">
      <c r="A404" s="1">
        <v>45947</v>
      </c>
      <c r="B404" s="2" t="s">
        <v>2567</v>
      </c>
      <c r="C404" s="2" t="s">
        <v>2515</v>
      </c>
      <c r="D404" s="2" t="s">
        <v>2528</v>
      </c>
      <c r="E404" s="2" t="s">
        <v>2529</v>
      </c>
      <c r="F404" s="3">
        <v>171696</v>
      </c>
      <c r="G404" s="3">
        <v>10160</v>
      </c>
      <c r="H404" s="3">
        <v>631</v>
      </c>
      <c r="I404" s="4">
        <v>3447.97</v>
      </c>
      <c r="J404" s="4">
        <v>65659.16</v>
      </c>
      <c r="K404" s="3">
        <v>522</v>
      </c>
      <c r="L404" s="2" t="s">
        <v>2523</v>
      </c>
      <c r="M404" s="2" t="s">
        <v>2526</v>
      </c>
      <c r="N404" t="str">
        <f>TRIM(PROPER(Tabla_auditoría[[#This Row],[ID_Campaña]]))</f>
        <v>Cmp-021</v>
      </c>
      <c r="O404" t="str">
        <f>TRIM(PROPER(Tabla_auditoría[[#This Row],[Canal]]))</f>
        <v>Email</v>
      </c>
      <c r="P404" t="str">
        <f>TRIM(PROPER(Tabla_auditoría[[#This Row],[País]]))</f>
        <v>España</v>
      </c>
      <c r="Q404" t="str">
        <f>TRIM(PROPER(Tabla_auditoría[[#This Row],[Dispositivo]]))</f>
        <v>Mobile</v>
      </c>
      <c r="R404" t="str">
        <f>TRIM(PROPER(Tabla_auditoría[[#This Row],[Tipo_Campaña]]))</f>
        <v>Retención</v>
      </c>
      <c r="S404" t="str">
        <f>TRIM(PROPER(Tabla_auditoría[[#This Row],[Responsable]]))</f>
        <v>Laura Pérez</v>
      </c>
    </row>
    <row r="405" spans="1:19" x14ac:dyDescent="0.3">
      <c r="A405" s="1">
        <v>45663</v>
      </c>
      <c r="B405" s="2" t="s">
        <v>2551</v>
      </c>
      <c r="C405" s="2" t="s">
        <v>2527</v>
      </c>
      <c r="D405" s="2" t="s">
        <v>2528</v>
      </c>
      <c r="E405" s="2" t="s">
        <v>2529</v>
      </c>
      <c r="F405" s="3">
        <v>131014</v>
      </c>
      <c r="G405" s="3">
        <v>5491</v>
      </c>
      <c r="H405" s="3">
        <v>273</v>
      </c>
      <c r="I405" s="4">
        <v>2219.41</v>
      </c>
      <c r="J405" s="4">
        <v>48559.66</v>
      </c>
      <c r="K405" s="3">
        <v>213</v>
      </c>
      <c r="L405" s="2" t="s">
        <v>2523</v>
      </c>
      <c r="M405" s="2" t="s">
        <v>2546</v>
      </c>
      <c r="N405" t="str">
        <f>TRIM(PROPER(Tabla_auditoría[[#This Row],[ID_Campaña]]))</f>
        <v>Cmp-028</v>
      </c>
      <c r="O405" t="str">
        <f>TRIM(PROPER(Tabla_auditoría[[#This Row],[Canal]]))</f>
        <v>Affiliate</v>
      </c>
      <c r="P405" t="str">
        <f>TRIM(PROPER(Tabla_auditoría[[#This Row],[País]]))</f>
        <v>España</v>
      </c>
      <c r="Q405" t="str">
        <f>TRIM(PROPER(Tabla_auditoría[[#This Row],[Dispositivo]]))</f>
        <v>Mobile</v>
      </c>
      <c r="R405" t="str">
        <f>TRIM(PROPER(Tabla_auditoría[[#This Row],[Tipo_Campaña]]))</f>
        <v>Retención</v>
      </c>
      <c r="S405" t="str">
        <f>TRIM(PROPER(Tabla_auditoría[[#This Row],[Responsable]]))</f>
        <v>Ana García</v>
      </c>
    </row>
    <row r="406" spans="1:19" x14ac:dyDescent="0.3">
      <c r="A406" s="1">
        <v>45803</v>
      </c>
      <c r="B406" s="2" t="s">
        <v>2555</v>
      </c>
      <c r="C406" s="2" t="s">
        <v>2541</v>
      </c>
      <c r="D406" s="2" t="s">
        <v>2525</v>
      </c>
      <c r="E406" s="2" t="s">
        <v>2517</v>
      </c>
      <c r="F406" s="3">
        <v>111209</v>
      </c>
      <c r="G406" s="3">
        <v>614</v>
      </c>
      <c r="H406" s="3">
        <v>50</v>
      </c>
      <c r="I406" s="4">
        <v>1227.6099999999999</v>
      </c>
      <c r="J406" s="4">
        <v>5144.0600000000004</v>
      </c>
      <c r="K406" s="3">
        <v>42</v>
      </c>
      <c r="L406" s="2" t="s">
        <v>2539</v>
      </c>
      <c r="M406" s="2" t="s">
        <v>2546</v>
      </c>
      <c r="N406" t="str">
        <f>TRIM(PROPER(Tabla_auditoría[[#This Row],[ID_Campaña]]))</f>
        <v>Cmp-010</v>
      </c>
      <c r="O406" t="str">
        <f>TRIM(PROPER(Tabla_auditoría[[#This Row],[Canal]]))</f>
        <v>Display</v>
      </c>
      <c r="P406" t="str">
        <f>TRIM(PROPER(Tabla_auditoría[[#This Row],[País]]))</f>
        <v>Francia</v>
      </c>
      <c r="Q406" t="str">
        <f>TRIM(PROPER(Tabla_auditoría[[#This Row],[Dispositivo]]))</f>
        <v>Desktop</v>
      </c>
      <c r="R406" t="str">
        <f>TRIM(PROPER(Tabla_auditoría[[#This Row],[Tipo_Campaña]]))</f>
        <v>Conversión</v>
      </c>
      <c r="S406" t="str">
        <f>TRIM(PROPER(Tabla_auditoría[[#This Row],[Responsable]]))</f>
        <v>Ana García</v>
      </c>
    </row>
    <row r="407" spans="1:19" x14ac:dyDescent="0.3">
      <c r="A407" s="1">
        <v>45897</v>
      </c>
      <c r="B407" s="2" t="s">
        <v>2552</v>
      </c>
      <c r="C407" s="2" t="s">
        <v>2533</v>
      </c>
      <c r="D407" s="2" t="s">
        <v>2516</v>
      </c>
      <c r="E407" s="2" t="s">
        <v>2529</v>
      </c>
      <c r="F407" s="3">
        <v>34148</v>
      </c>
      <c r="G407" s="3">
        <v>1110</v>
      </c>
      <c r="H407" s="3">
        <v>137</v>
      </c>
      <c r="I407" s="4">
        <v>635.35</v>
      </c>
      <c r="J407" s="4">
        <v>29895.5</v>
      </c>
      <c r="K407" s="3">
        <v>77</v>
      </c>
      <c r="L407" s="2" t="s">
        <v>2518</v>
      </c>
      <c r="M407" s="2" t="s">
        <v>2526</v>
      </c>
      <c r="N407" t="str">
        <f>TRIM(PROPER(Tabla_auditoría[[#This Row],[ID_Campaña]]))</f>
        <v>Cmp-012</v>
      </c>
      <c r="O407" t="str">
        <f>TRIM(PROPER(Tabla_auditoría[[#This Row],[Canal]]))</f>
        <v>Paid Social</v>
      </c>
      <c r="P407" t="str">
        <f>TRIM(PROPER(Tabla_auditoría[[#This Row],[País]]))</f>
        <v>México</v>
      </c>
      <c r="Q407" t="str">
        <f>TRIM(PROPER(Tabla_auditoría[[#This Row],[Dispositivo]]))</f>
        <v>Mobile</v>
      </c>
      <c r="R407" t="str">
        <f>TRIM(PROPER(Tabla_auditoría[[#This Row],[Tipo_Campaña]]))</f>
        <v>Adquisición</v>
      </c>
      <c r="S407" t="str">
        <f>TRIM(PROPER(Tabla_auditoría[[#This Row],[Responsable]]))</f>
        <v>Laura Pérez</v>
      </c>
    </row>
    <row r="408" spans="1:19" x14ac:dyDescent="0.3">
      <c r="A408" s="1">
        <v>45717</v>
      </c>
      <c r="B408" s="2" t="s">
        <v>2569</v>
      </c>
      <c r="C408" s="2" t="s">
        <v>2543</v>
      </c>
      <c r="D408" s="2" t="s">
        <v>2528</v>
      </c>
      <c r="E408" s="2" t="s">
        <v>2561</v>
      </c>
      <c r="F408" s="3">
        <v>115268</v>
      </c>
      <c r="G408" s="3">
        <v>7661</v>
      </c>
      <c r="H408" s="3">
        <v>305</v>
      </c>
      <c r="I408" s="4">
        <v>7387.27</v>
      </c>
      <c r="J408" s="4">
        <v>40594.449999999997</v>
      </c>
      <c r="K408" s="3">
        <v>197</v>
      </c>
      <c r="L408" s="2" t="s">
        <v>2518</v>
      </c>
      <c r="M408" s="2" t="s">
        <v>2537</v>
      </c>
      <c r="N408" t="str">
        <f>TRIM(PROPER(Tabla_auditoría[[#This Row],[ID_Campaña]]))</f>
        <v>Cmp-013</v>
      </c>
      <c r="O408" t="str">
        <f>TRIM(PROPER(Tabla_auditoría[[#This Row],[Canal]]))</f>
        <v>Organic Social</v>
      </c>
      <c r="P408" t="str">
        <f>TRIM(PROPER(Tabla_auditoría[[#This Row],[País]]))</f>
        <v>España</v>
      </c>
      <c r="Q408" t="str">
        <f>TRIM(PROPER(Tabla_auditoría[[#This Row],[Dispositivo]]))</f>
        <v>Mobile</v>
      </c>
      <c r="R408" t="str">
        <f>TRIM(PROPER(Tabla_auditoría[[#This Row],[Tipo_Campaña]]))</f>
        <v>Adquisición</v>
      </c>
      <c r="S408" t="str">
        <f>TRIM(PROPER(Tabla_auditoría[[#This Row],[Responsable]]))</f>
        <v>Marta López</v>
      </c>
    </row>
    <row r="409" spans="1:19" x14ac:dyDescent="0.3">
      <c r="A409" s="1">
        <v>45749</v>
      </c>
      <c r="B409" s="2" t="s">
        <v>2567</v>
      </c>
      <c r="C409" s="2" t="s">
        <v>2515</v>
      </c>
      <c r="D409" s="2" t="s">
        <v>2516</v>
      </c>
      <c r="E409" s="2" t="s">
        <v>2517</v>
      </c>
      <c r="F409" s="3">
        <v>106490</v>
      </c>
      <c r="G409" s="3">
        <v>6905</v>
      </c>
      <c r="H409" s="3">
        <v>36</v>
      </c>
      <c r="I409" s="4">
        <v>1224.3800000000001</v>
      </c>
      <c r="J409" s="4">
        <v>6174.76</v>
      </c>
      <c r="K409" s="3">
        <v>25</v>
      </c>
      <c r="L409" s="2" t="s">
        <v>2518</v>
      </c>
      <c r="M409" s="2" t="s">
        <v>2537</v>
      </c>
      <c r="N409" t="str">
        <f>TRIM(PROPER(Tabla_auditoría[[#This Row],[ID_Campaña]]))</f>
        <v>Cmp-021</v>
      </c>
      <c r="O409" t="str">
        <f>TRIM(PROPER(Tabla_auditoría[[#This Row],[Canal]]))</f>
        <v>Email</v>
      </c>
      <c r="P409" t="str">
        <f>TRIM(PROPER(Tabla_auditoría[[#This Row],[País]]))</f>
        <v>México</v>
      </c>
      <c r="Q409" t="str">
        <f>TRIM(PROPER(Tabla_auditoría[[#This Row],[Dispositivo]]))</f>
        <v>Desktop</v>
      </c>
      <c r="R409" t="str">
        <f>TRIM(PROPER(Tabla_auditoría[[#This Row],[Tipo_Campaña]]))</f>
        <v>Adquisición</v>
      </c>
      <c r="S409" t="str">
        <f>TRIM(PROPER(Tabla_auditoría[[#This Row],[Responsable]]))</f>
        <v>Marta López</v>
      </c>
    </row>
    <row r="410" spans="1:19" x14ac:dyDescent="0.3">
      <c r="A410" s="1">
        <v>45970</v>
      </c>
      <c r="B410" s="2" t="s">
        <v>2530</v>
      </c>
      <c r="C410" s="2" t="s">
        <v>2527</v>
      </c>
      <c r="D410" s="2" t="s">
        <v>2525</v>
      </c>
      <c r="E410" s="2" t="s">
        <v>2529</v>
      </c>
      <c r="F410" s="3">
        <v>123270</v>
      </c>
      <c r="G410" s="3">
        <v>3000</v>
      </c>
      <c r="H410" s="3">
        <v>227</v>
      </c>
      <c r="I410" s="4">
        <v>3605.01</v>
      </c>
      <c r="J410" s="4">
        <v>35185.300000000003</v>
      </c>
      <c r="K410" s="3">
        <v>123</v>
      </c>
      <c r="L410" s="2" t="s">
        <v>2518</v>
      </c>
      <c r="M410" s="2" t="s">
        <v>2526</v>
      </c>
      <c r="N410" t="str">
        <f>TRIM(PROPER(Tabla_auditoría[[#This Row],[ID_Campaña]]))</f>
        <v>Cmp-026</v>
      </c>
      <c r="O410" t="str">
        <f>TRIM(PROPER(Tabla_auditoría[[#This Row],[Canal]]))</f>
        <v>Affiliate</v>
      </c>
      <c r="P410" t="str">
        <f>TRIM(PROPER(Tabla_auditoría[[#This Row],[País]]))</f>
        <v>Francia</v>
      </c>
      <c r="Q410" t="str">
        <f>TRIM(PROPER(Tabla_auditoría[[#This Row],[Dispositivo]]))</f>
        <v>Mobile</v>
      </c>
      <c r="R410" t="str">
        <f>TRIM(PROPER(Tabla_auditoría[[#This Row],[Tipo_Campaña]]))</f>
        <v>Adquisición</v>
      </c>
      <c r="S410" t="str">
        <f>TRIM(PROPER(Tabla_auditoría[[#This Row],[Responsable]]))</f>
        <v>Laura Pérez</v>
      </c>
    </row>
    <row r="411" spans="1:19" x14ac:dyDescent="0.3">
      <c r="A411" s="1">
        <v>45870</v>
      </c>
      <c r="B411" s="2" t="s">
        <v>2571</v>
      </c>
      <c r="C411" s="2" t="s">
        <v>2533</v>
      </c>
      <c r="D411" s="2" t="s">
        <v>2531</v>
      </c>
      <c r="E411" s="2" t="s">
        <v>2517</v>
      </c>
      <c r="F411" s="3">
        <v>38809</v>
      </c>
      <c r="G411" s="3">
        <v>2819</v>
      </c>
      <c r="H411" s="3">
        <v>83</v>
      </c>
      <c r="I411" s="4">
        <v>4985.32</v>
      </c>
      <c r="J411" s="4">
        <v>10001.44</v>
      </c>
      <c r="K411" s="3">
        <v>40</v>
      </c>
      <c r="L411" s="2" t="s">
        <v>2518</v>
      </c>
      <c r="M411" s="2" t="s">
        <v>2519</v>
      </c>
      <c r="N411" t="str">
        <f>TRIM(PROPER(Tabla_auditoría[[#This Row],[ID_Campaña]]))</f>
        <v>Cmp-029</v>
      </c>
      <c r="O411" t="str">
        <f>TRIM(PROPER(Tabla_auditoría[[#This Row],[Canal]]))</f>
        <v>Paid Social</v>
      </c>
      <c r="P411" t="str">
        <f>TRIM(PROPER(Tabla_auditoría[[#This Row],[País]]))</f>
        <v>Portugal</v>
      </c>
      <c r="Q411" t="str">
        <f>TRIM(PROPER(Tabla_auditoría[[#This Row],[Dispositivo]]))</f>
        <v>Desktop</v>
      </c>
      <c r="R411" t="str">
        <f>TRIM(PROPER(Tabla_auditoría[[#This Row],[Tipo_Campaña]]))</f>
        <v>Adquisición</v>
      </c>
      <c r="S411" t="str">
        <f>TRIM(PROPER(Tabla_auditoría[[#This Row],[Responsable]]))</f>
        <v>Carlos Ruiz</v>
      </c>
    </row>
    <row r="412" spans="1:19" x14ac:dyDescent="0.3">
      <c r="A412" s="1">
        <v>45785</v>
      </c>
      <c r="B412" s="2" t="s">
        <v>2582</v>
      </c>
      <c r="C412" s="2" t="s">
        <v>2515</v>
      </c>
      <c r="D412" s="2" t="s">
        <v>2516</v>
      </c>
      <c r="E412" s="2" t="s">
        <v>2517</v>
      </c>
      <c r="F412" s="3">
        <v>61245</v>
      </c>
      <c r="G412" s="3">
        <v>4769</v>
      </c>
      <c r="H412" s="3">
        <v>600</v>
      </c>
      <c r="I412" s="4">
        <v>9224.49</v>
      </c>
      <c r="J412" s="4">
        <v>10474.280000000001</v>
      </c>
      <c r="K412" s="3">
        <v>338</v>
      </c>
      <c r="L412" s="2" t="s">
        <v>2518</v>
      </c>
      <c r="M412" s="2" t="s">
        <v>2526</v>
      </c>
      <c r="N412" t="str">
        <f>TRIM(PROPER(Tabla_auditoría[[#This Row],[ID_Campaña]]))</f>
        <v>Cmp-028</v>
      </c>
      <c r="O412" t="str">
        <f>TRIM(PROPER(Tabla_auditoría[[#This Row],[Canal]]))</f>
        <v>Email</v>
      </c>
      <c r="P412" t="str">
        <f>TRIM(PROPER(Tabla_auditoría[[#This Row],[País]]))</f>
        <v>México</v>
      </c>
      <c r="Q412" t="str">
        <f>TRIM(PROPER(Tabla_auditoría[[#This Row],[Dispositivo]]))</f>
        <v>Desktop</v>
      </c>
      <c r="R412" t="str">
        <f>TRIM(PROPER(Tabla_auditoría[[#This Row],[Tipo_Campaña]]))</f>
        <v>Adquisición</v>
      </c>
      <c r="S412" t="str">
        <f>TRIM(PROPER(Tabla_auditoría[[#This Row],[Responsable]]))</f>
        <v>Laura Pérez</v>
      </c>
    </row>
    <row r="413" spans="1:19" x14ac:dyDescent="0.3">
      <c r="A413" s="1">
        <v>45803</v>
      </c>
      <c r="B413" s="2" t="s">
        <v>2564</v>
      </c>
      <c r="C413" s="2" t="s">
        <v>2521</v>
      </c>
      <c r="D413" s="2" t="s">
        <v>2528</v>
      </c>
      <c r="E413" s="2" t="s">
        <v>2517</v>
      </c>
      <c r="F413" s="3">
        <v>98569</v>
      </c>
      <c r="G413" s="3">
        <v>2025</v>
      </c>
      <c r="H413" s="3">
        <v>61</v>
      </c>
      <c r="I413" s="4">
        <v>1701.71</v>
      </c>
      <c r="J413" s="4">
        <v>7220.09</v>
      </c>
      <c r="K413" s="3">
        <v>50</v>
      </c>
      <c r="L413" s="2" t="s">
        <v>2539</v>
      </c>
      <c r="M413" s="2" t="s">
        <v>2519</v>
      </c>
      <c r="N413" t="str">
        <f>TRIM(PROPER(Tabla_auditoría[[#This Row],[ID_Campaña]]))</f>
        <v>Cmp-024</v>
      </c>
      <c r="O413" t="str">
        <f>TRIM(PROPER(Tabla_auditoría[[#This Row],[Canal]]))</f>
        <v>Paid Search</v>
      </c>
      <c r="P413" t="str">
        <f>TRIM(PROPER(Tabla_auditoría[[#This Row],[País]]))</f>
        <v>España</v>
      </c>
      <c r="Q413" t="str">
        <f>TRIM(PROPER(Tabla_auditoría[[#This Row],[Dispositivo]]))</f>
        <v>Desktop</v>
      </c>
      <c r="R413" t="str">
        <f>TRIM(PROPER(Tabla_auditoría[[#This Row],[Tipo_Campaña]]))</f>
        <v>Conversión</v>
      </c>
      <c r="S413" t="str">
        <f>TRIM(PROPER(Tabla_auditoría[[#This Row],[Responsable]]))</f>
        <v>Carlos Ruiz</v>
      </c>
    </row>
    <row r="414" spans="1:19" x14ac:dyDescent="0.3">
      <c r="A414" s="1">
        <v>45894</v>
      </c>
      <c r="B414" s="2" t="s">
        <v>2555</v>
      </c>
      <c r="C414" s="2" t="s">
        <v>2521</v>
      </c>
      <c r="D414" s="2" t="s">
        <v>2528</v>
      </c>
      <c r="E414" s="2" t="s">
        <v>2517</v>
      </c>
      <c r="F414" s="3">
        <v>41305</v>
      </c>
      <c r="G414" s="3">
        <v>635</v>
      </c>
      <c r="H414" s="3">
        <v>25</v>
      </c>
      <c r="I414" s="4">
        <v>563.75</v>
      </c>
      <c r="J414" s="4">
        <v>1774.87</v>
      </c>
      <c r="K414" s="3">
        <v>22</v>
      </c>
      <c r="L414" s="2" t="s">
        <v>2539</v>
      </c>
      <c r="M414" s="2" t="s">
        <v>2546</v>
      </c>
      <c r="N414" t="str">
        <f>TRIM(PROPER(Tabla_auditoría[[#This Row],[ID_Campaña]]))</f>
        <v>Cmp-010</v>
      </c>
      <c r="O414" t="str">
        <f>TRIM(PROPER(Tabla_auditoría[[#This Row],[Canal]]))</f>
        <v>Paid Search</v>
      </c>
      <c r="P414" t="str">
        <f>TRIM(PROPER(Tabla_auditoría[[#This Row],[País]]))</f>
        <v>España</v>
      </c>
      <c r="Q414" t="str">
        <f>TRIM(PROPER(Tabla_auditoría[[#This Row],[Dispositivo]]))</f>
        <v>Desktop</v>
      </c>
      <c r="R414" t="str">
        <f>TRIM(PROPER(Tabla_auditoría[[#This Row],[Tipo_Campaña]]))</f>
        <v>Conversión</v>
      </c>
      <c r="S414" t="str">
        <f>TRIM(PROPER(Tabla_auditoría[[#This Row],[Responsable]]))</f>
        <v>Ana García</v>
      </c>
    </row>
    <row r="415" spans="1:19" x14ac:dyDescent="0.3">
      <c r="A415" s="1">
        <v>45805</v>
      </c>
      <c r="B415" s="2" t="s">
        <v>2557</v>
      </c>
      <c r="C415" s="2" t="s">
        <v>2575</v>
      </c>
      <c r="D415" s="2" t="s">
        <v>2528</v>
      </c>
      <c r="E415" s="2" t="s">
        <v>2517</v>
      </c>
      <c r="F415" s="3">
        <v>116027</v>
      </c>
      <c r="G415" s="3">
        <v>8024</v>
      </c>
      <c r="H415" s="3">
        <v>909</v>
      </c>
      <c r="I415" s="4">
        <v>10275.89</v>
      </c>
      <c r="J415" s="4">
        <v>25256.25</v>
      </c>
      <c r="K415" s="3">
        <v>608</v>
      </c>
      <c r="L415" s="2" t="s">
        <v>2523</v>
      </c>
      <c r="M415" s="2" t="s">
        <v>2524</v>
      </c>
      <c r="N415" t="str">
        <f>TRIM(PROPER(Tabla_auditoría[[#This Row],[ID_Campaña]]))</f>
        <v>Cmp-030</v>
      </c>
      <c r="O415" t="str">
        <f>TRIM(PROPER(Tabla_auditoría[[#This Row],[Canal]]))</f>
        <v>Paid Search</v>
      </c>
      <c r="P415" t="str">
        <f>TRIM(PROPER(Tabla_auditoría[[#This Row],[País]]))</f>
        <v>España</v>
      </c>
      <c r="Q415" t="str">
        <f>TRIM(PROPER(Tabla_auditoría[[#This Row],[Dispositivo]]))</f>
        <v>Desktop</v>
      </c>
      <c r="R415" t="str">
        <f>TRIM(PROPER(Tabla_auditoría[[#This Row],[Tipo_Campaña]]))</f>
        <v>Retención</v>
      </c>
      <c r="S415" t="str">
        <f>TRIM(PROPER(Tabla_auditoría[[#This Row],[Responsable]]))</f>
        <v>Luis Martín</v>
      </c>
    </row>
    <row r="416" spans="1:19" x14ac:dyDescent="0.3">
      <c r="A416" s="1">
        <v>45982</v>
      </c>
      <c r="B416" s="2" t="s">
        <v>2544</v>
      </c>
      <c r="C416" s="2" t="s">
        <v>2543</v>
      </c>
      <c r="D416" s="2" t="s">
        <v>2528</v>
      </c>
      <c r="E416" s="2" t="s">
        <v>2529</v>
      </c>
      <c r="F416" s="3">
        <v>31035</v>
      </c>
      <c r="G416" s="3">
        <v>1935</v>
      </c>
      <c r="H416" s="3">
        <v>144</v>
      </c>
      <c r="I416" s="4">
        <v>2842.24</v>
      </c>
      <c r="J416" s="4">
        <v>9533.4500000000007</v>
      </c>
      <c r="K416" s="3">
        <v>86</v>
      </c>
      <c r="L416" s="2" t="s">
        <v>2536</v>
      </c>
      <c r="M416" s="2" t="s">
        <v>2546</v>
      </c>
      <c r="N416" t="str">
        <f>TRIM(PROPER(Tabla_auditoría[[#This Row],[ID_Campaña]]))</f>
        <v>Cmp-006</v>
      </c>
      <c r="O416" t="str">
        <f>TRIM(PROPER(Tabla_auditoría[[#This Row],[Canal]]))</f>
        <v>Organic Social</v>
      </c>
      <c r="P416" t="str">
        <f>TRIM(PROPER(Tabla_auditoría[[#This Row],[País]]))</f>
        <v>España</v>
      </c>
      <c r="Q416" t="str">
        <f>TRIM(PROPER(Tabla_auditoría[[#This Row],[Dispositivo]]))</f>
        <v>Mobile</v>
      </c>
      <c r="R416" t="str">
        <f>TRIM(PROPER(Tabla_auditoría[[#This Row],[Tipo_Campaña]]))</f>
        <v>Reconocimiento</v>
      </c>
      <c r="S416" t="str">
        <f>TRIM(PROPER(Tabla_auditoría[[#This Row],[Responsable]]))</f>
        <v>Ana García</v>
      </c>
    </row>
    <row r="417" spans="1:19" x14ac:dyDescent="0.3">
      <c r="A417" s="1">
        <v>45901</v>
      </c>
      <c r="B417" s="2" t="s">
        <v>2544</v>
      </c>
      <c r="C417" s="2" t="s">
        <v>2533</v>
      </c>
      <c r="D417" s="2" t="s">
        <v>2528</v>
      </c>
      <c r="E417" s="2" t="s">
        <v>2529</v>
      </c>
      <c r="F417" s="3">
        <v>142758</v>
      </c>
      <c r="G417" s="3">
        <v>6426</v>
      </c>
      <c r="H417" s="3">
        <v>213</v>
      </c>
      <c r="I417" s="4">
        <v>2113.02</v>
      </c>
      <c r="J417" s="4">
        <v>19907.740000000002</v>
      </c>
      <c r="K417" s="3">
        <v>152</v>
      </c>
      <c r="L417" s="2" t="s">
        <v>2536</v>
      </c>
      <c r="M417" s="2" t="s">
        <v>2546</v>
      </c>
      <c r="N417" t="str">
        <f>TRIM(PROPER(Tabla_auditoría[[#This Row],[ID_Campaña]]))</f>
        <v>Cmp-006</v>
      </c>
      <c r="O417" t="str">
        <f>TRIM(PROPER(Tabla_auditoría[[#This Row],[Canal]]))</f>
        <v>Paid Social</v>
      </c>
      <c r="P417" t="str">
        <f>TRIM(PROPER(Tabla_auditoría[[#This Row],[País]]))</f>
        <v>España</v>
      </c>
      <c r="Q417" t="str">
        <f>TRIM(PROPER(Tabla_auditoría[[#This Row],[Dispositivo]]))</f>
        <v>Mobile</v>
      </c>
      <c r="R417" t="str">
        <f>TRIM(PROPER(Tabla_auditoría[[#This Row],[Tipo_Campaña]]))</f>
        <v>Reconocimiento</v>
      </c>
      <c r="S417" t="str">
        <f>TRIM(PROPER(Tabla_auditoría[[#This Row],[Responsable]]))</f>
        <v>Ana García</v>
      </c>
    </row>
    <row r="418" spans="1:19" x14ac:dyDescent="0.3">
      <c r="A418" s="1">
        <v>45914</v>
      </c>
      <c r="B418" s="2" t="s">
        <v>2565</v>
      </c>
      <c r="C418" s="2" t="s">
        <v>2543</v>
      </c>
      <c r="D418" s="2" t="s">
        <v>2525</v>
      </c>
      <c r="E418" s="2" t="s">
        <v>2529</v>
      </c>
      <c r="F418" s="3">
        <v>25072</v>
      </c>
      <c r="G418" s="3">
        <v>1290</v>
      </c>
      <c r="H418" s="3">
        <v>172</v>
      </c>
      <c r="I418" s="4">
        <v>1299.79</v>
      </c>
      <c r="J418" s="4">
        <v>19269.87</v>
      </c>
      <c r="K418" s="3">
        <v>120</v>
      </c>
      <c r="L418" s="2" t="s">
        <v>2536</v>
      </c>
      <c r="M418" s="2" t="s">
        <v>2546</v>
      </c>
      <c r="N418" t="str">
        <f>TRIM(PROPER(Tabla_auditoría[[#This Row],[ID_Campaña]]))</f>
        <v>Cmp-005</v>
      </c>
      <c r="O418" t="str">
        <f>TRIM(PROPER(Tabla_auditoría[[#This Row],[Canal]]))</f>
        <v>Organic Social</v>
      </c>
      <c r="P418" t="str">
        <f>TRIM(PROPER(Tabla_auditoría[[#This Row],[País]]))</f>
        <v>Francia</v>
      </c>
      <c r="Q418" t="str">
        <f>TRIM(PROPER(Tabla_auditoría[[#This Row],[Dispositivo]]))</f>
        <v>Mobile</v>
      </c>
      <c r="R418" t="str">
        <f>TRIM(PROPER(Tabla_auditoría[[#This Row],[Tipo_Campaña]]))</f>
        <v>Reconocimiento</v>
      </c>
      <c r="S418" t="str">
        <f>TRIM(PROPER(Tabla_auditoría[[#This Row],[Responsable]]))</f>
        <v>Ana García</v>
      </c>
    </row>
    <row r="419" spans="1:19" x14ac:dyDescent="0.3">
      <c r="A419" s="1">
        <v>45967</v>
      </c>
      <c r="B419" s="2" t="s">
        <v>2554</v>
      </c>
      <c r="C419" s="2" t="s">
        <v>2527</v>
      </c>
      <c r="D419" s="2" t="s">
        <v>2528</v>
      </c>
      <c r="E419" s="2" t="s">
        <v>2534</v>
      </c>
      <c r="F419" s="3">
        <v>50975</v>
      </c>
      <c r="G419" s="3">
        <v>1893</v>
      </c>
      <c r="H419" s="3">
        <v>235</v>
      </c>
      <c r="I419" s="4">
        <v>1283.3</v>
      </c>
      <c r="J419" s="4">
        <v>4760.55</v>
      </c>
      <c r="K419" s="3">
        <v>120</v>
      </c>
      <c r="L419" s="2" t="s">
        <v>2523</v>
      </c>
      <c r="M419" s="2" t="s">
        <v>2537</v>
      </c>
      <c r="N419" t="str">
        <f>TRIM(PROPER(Tabla_auditoría[[#This Row],[ID_Campaña]]))</f>
        <v>Cmp-019</v>
      </c>
      <c r="O419" t="str">
        <f>TRIM(PROPER(Tabla_auditoría[[#This Row],[Canal]]))</f>
        <v>Affiliate</v>
      </c>
      <c r="P419" t="str">
        <f>TRIM(PROPER(Tabla_auditoría[[#This Row],[País]]))</f>
        <v>España</v>
      </c>
      <c r="Q419" t="str">
        <f>TRIM(PROPER(Tabla_auditoría[[#This Row],[Dispositivo]]))</f>
        <v>Tablet</v>
      </c>
      <c r="R419" t="str">
        <f>TRIM(PROPER(Tabla_auditoría[[#This Row],[Tipo_Campaña]]))</f>
        <v>Retención</v>
      </c>
      <c r="S419" t="str">
        <f>TRIM(PROPER(Tabla_auditoría[[#This Row],[Responsable]]))</f>
        <v>Marta López</v>
      </c>
    </row>
    <row r="420" spans="1:19" x14ac:dyDescent="0.3">
      <c r="A420" s="1">
        <v>45806</v>
      </c>
      <c r="B420" s="2" t="s">
        <v>2535</v>
      </c>
      <c r="C420" s="2" t="s">
        <v>2527</v>
      </c>
      <c r="D420" s="2" t="s">
        <v>2528</v>
      </c>
      <c r="E420" s="2" t="s">
        <v>2529</v>
      </c>
      <c r="F420" s="3">
        <v>121280</v>
      </c>
      <c r="G420" s="3">
        <v>8459</v>
      </c>
      <c r="H420" s="3">
        <v>820</v>
      </c>
      <c r="I420" s="4">
        <v>8546.01</v>
      </c>
      <c r="J420" s="4">
        <v>120609.65</v>
      </c>
      <c r="K420" s="3">
        <v>642</v>
      </c>
      <c r="L420" s="2" t="s">
        <v>2523</v>
      </c>
      <c r="M420" s="2" t="s">
        <v>2526</v>
      </c>
      <c r="N420" t="str">
        <f>TRIM(PROPER(Tabla_auditoría[[#This Row],[ID_Campaña]]))</f>
        <v>Cmp-015</v>
      </c>
      <c r="O420" t="str">
        <f>TRIM(PROPER(Tabla_auditoría[[#This Row],[Canal]]))</f>
        <v>Affiliate</v>
      </c>
      <c r="P420" t="str">
        <f>TRIM(PROPER(Tabla_auditoría[[#This Row],[País]]))</f>
        <v>España</v>
      </c>
      <c r="Q420" t="str">
        <f>TRIM(PROPER(Tabla_auditoría[[#This Row],[Dispositivo]]))</f>
        <v>Mobile</v>
      </c>
      <c r="R420" t="str">
        <f>TRIM(PROPER(Tabla_auditoría[[#This Row],[Tipo_Campaña]]))</f>
        <v>Retención</v>
      </c>
      <c r="S420" t="str">
        <f>TRIM(PROPER(Tabla_auditoría[[#This Row],[Responsable]]))</f>
        <v>Laura Pérez</v>
      </c>
    </row>
    <row r="421" spans="1:19" x14ac:dyDescent="0.3">
      <c r="A421" s="1">
        <v>45828</v>
      </c>
      <c r="B421" s="2" t="s">
        <v>2551</v>
      </c>
      <c r="C421" s="2" t="s">
        <v>2543</v>
      </c>
      <c r="D421" s="2" t="s">
        <v>2516</v>
      </c>
      <c r="E421" s="2" t="s">
        <v>2517</v>
      </c>
      <c r="F421" s="3">
        <v>67904</v>
      </c>
      <c r="G421" s="3">
        <v>4821</v>
      </c>
      <c r="H421" s="3">
        <v>298</v>
      </c>
      <c r="I421" s="4">
        <v>8124.61</v>
      </c>
      <c r="J421" s="4">
        <v>7316.18</v>
      </c>
      <c r="K421" s="3">
        <v>189</v>
      </c>
      <c r="L421" s="2" t="s">
        <v>2539</v>
      </c>
      <c r="M421" s="2" t="s">
        <v>2519</v>
      </c>
      <c r="N421" t="str">
        <f>TRIM(PROPER(Tabla_auditoría[[#This Row],[ID_Campaña]]))</f>
        <v>Cmp-028</v>
      </c>
      <c r="O421" t="str">
        <f>TRIM(PROPER(Tabla_auditoría[[#This Row],[Canal]]))</f>
        <v>Organic Social</v>
      </c>
      <c r="P421" t="str">
        <f>TRIM(PROPER(Tabla_auditoría[[#This Row],[País]]))</f>
        <v>México</v>
      </c>
      <c r="Q421" t="str">
        <f>TRIM(PROPER(Tabla_auditoría[[#This Row],[Dispositivo]]))</f>
        <v>Desktop</v>
      </c>
      <c r="R421" t="str">
        <f>TRIM(PROPER(Tabla_auditoría[[#This Row],[Tipo_Campaña]]))</f>
        <v>Conversión</v>
      </c>
      <c r="S421" t="str">
        <f>TRIM(PROPER(Tabla_auditoría[[#This Row],[Responsable]]))</f>
        <v>Carlos Ruiz</v>
      </c>
    </row>
    <row r="422" spans="1:19" x14ac:dyDescent="0.3">
      <c r="A422" s="1">
        <v>45881</v>
      </c>
      <c r="B422" s="2" t="s">
        <v>2520</v>
      </c>
      <c r="C422" s="2" t="s">
        <v>2521</v>
      </c>
      <c r="D422" s="2" t="s">
        <v>2528</v>
      </c>
      <c r="E422" s="2" t="s">
        <v>2517</v>
      </c>
      <c r="F422" s="3">
        <v>60851</v>
      </c>
      <c r="G422" s="3">
        <v>1526</v>
      </c>
      <c r="H422" s="3">
        <v>76</v>
      </c>
      <c r="I422" s="4">
        <v>333.86</v>
      </c>
      <c r="J422" s="4">
        <v>14129.53</v>
      </c>
      <c r="K422" s="3">
        <v>61</v>
      </c>
      <c r="L422" s="2" t="s">
        <v>2539</v>
      </c>
      <c r="M422" s="2" t="s">
        <v>2524</v>
      </c>
      <c r="N422" t="str">
        <f>TRIM(PROPER(Tabla_auditoría[[#This Row],[ID_Campaña]]))</f>
        <v>Cmp-009</v>
      </c>
      <c r="O422" t="str">
        <f>TRIM(PROPER(Tabla_auditoría[[#This Row],[Canal]]))</f>
        <v>Paid Search</v>
      </c>
      <c r="P422" t="str">
        <f>TRIM(PROPER(Tabla_auditoría[[#This Row],[País]]))</f>
        <v>España</v>
      </c>
      <c r="Q422" t="str">
        <f>TRIM(PROPER(Tabla_auditoría[[#This Row],[Dispositivo]]))</f>
        <v>Desktop</v>
      </c>
      <c r="R422" t="str">
        <f>TRIM(PROPER(Tabla_auditoría[[#This Row],[Tipo_Campaña]]))</f>
        <v>Conversión</v>
      </c>
      <c r="S422" t="str">
        <f>TRIM(PROPER(Tabla_auditoría[[#This Row],[Responsable]]))</f>
        <v>Luis Martín</v>
      </c>
    </row>
    <row r="423" spans="1:19" x14ac:dyDescent="0.3">
      <c r="A423" s="1">
        <v>45888</v>
      </c>
      <c r="B423" s="2" t="s">
        <v>2568</v>
      </c>
      <c r="C423" s="2" t="s">
        <v>2541</v>
      </c>
      <c r="D423" s="2" t="s">
        <v>2516</v>
      </c>
      <c r="E423" s="2" t="s">
        <v>2529</v>
      </c>
      <c r="F423" s="3">
        <v>21969</v>
      </c>
      <c r="G423" s="3">
        <v>1041</v>
      </c>
      <c r="H423" s="3">
        <v>49</v>
      </c>
      <c r="I423" s="4">
        <v>1918.27</v>
      </c>
      <c r="J423" s="4">
        <v>2985.65</v>
      </c>
      <c r="K423" s="3">
        <v>40</v>
      </c>
      <c r="L423" s="2" t="s">
        <v>2539</v>
      </c>
      <c r="M423" s="2" t="s">
        <v>2546</v>
      </c>
      <c r="N423" t="str">
        <f>TRIM(PROPER(Tabla_auditoría[[#This Row],[ID_Campaña]]))</f>
        <v>Cmp-020</v>
      </c>
      <c r="O423" t="str">
        <f>TRIM(PROPER(Tabla_auditoría[[#This Row],[Canal]]))</f>
        <v>Display</v>
      </c>
      <c r="P423" t="str">
        <f>TRIM(PROPER(Tabla_auditoría[[#This Row],[País]]))</f>
        <v>México</v>
      </c>
      <c r="Q423" t="str">
        <f>TRIM(PROPER(Tabla_auditoría[[#This Row],[Dispositivo]]))</f>
        <v>Mobile</v>
      </c>
      <c r="R423" t="str">
        <f>TRIM(PROPER(Tabla_auditoría[[#This Row],[Tipo_Campaña]]))</f>
        <v>Conversión</v>
      </c>
      <c r="S423" t="str">
        <f>TRIM(PROPER(Tabla_auditoría[[#This Row],[Responsable]]))</f>
        <v>Ana García</v>
      </c>
    </row>
    <row r="424" spans="1:19" x14ac:dyDescent="0.3">
      <c r="A424" s="1">
        <v>45817</v>
      </c>
      <c r="B424" s="2" t="s">
        <v>2557</v>
      </c>
      <c r="C424" s="2" t="s">
        <v>2521</v>
      </c>
      <c r="D424" s="2" t="s">
        <v>2528</v>
      </c>
      <c r="E424" s="2" t="s">
        <v>2529</v>
      </c>
      <c r="F424" s="3">
        <v>173451</v>
      </c>
      <c r="G424" s="3">
        <v>13725</v>
      </c>
      <c r="H424" s="3">
        <v>790</v>
      </c>
      <c r="I424" s="4">
        <v>8034.93</v>
      </c>
      <c r="J424" s="4">
        <v>97812.09</v>
      </c>
      <c r="K424" s="3">
        <v>611</v>
      </c>
      <c r="L424" s="2" t="s">
        <v>2518</v>
      </c>
      <c r="M424" s="2" t="s">
        <v>2519</v>
      </c>
      <c r="N424" t="str">
        <f>TRIM(PROPER(Tabla_auditoría[[#This Row],[ID_Campaña]]))</f>
        <v>Cmp-030</v>
      </c>
      <c r="O424" t="str">
        <f>TRIM(PROPER(Tabla_auditoría[[#This Row],[Canal]]))</f>
        <v>Paid Search</v>
      </c>
      <c r="P424" t="str">
        <f>TRIM(PROPER(Tabla_auditoría[[#This Row],[País]]))</f>
        <v>España</v>
      </c>
      <c r="Q424" t="str">
        <f>TRIM(PROPER(Tabla_auditoría[[#This Row],[Dispositivo]]))</f>
        <v>Mobile</v>
      </c>
      <c r="R424" t="str">
        <f>TRIM(PROPER(Tabla_auditoría[[#This Row],[Tipo_Campaña]]))</f>
        <v>Adquisición</v>
      </c>
      <c r="S424" t="str">
        <f>TRIM(PROPER(Tabla_auditoría[[#This Row],[Responsable]]))</f>
        <v>Carlos Ruiz</v>
      </c>
    </row>
    <row r="425" spans="1:19" x14ac:dyDescent="0.3">
      <c r="A425" s="1">
        <v>46001</v>
      </c>
      <c r="B425" s="2" t="s">
        <v>2530</v>
      </c>
      <c r="C425" s="2" t="s">
        <v>2521</v>
      </c>
      <c r="D425" s="2" t="s">
        <v>2528</v>
      </c>
      <c r="E425" s="2" t="s">
        <v>2534</v>
      </c>
      <c r="F425" s="3">
        <v>27569</v>
      </c>
      <c r="G425" s="3">
        <v>1601</v>
      </c>
      <c r="H425" s="3">
        <v>190</v>
      </c>
      <c r="I425" s="4">
        <v>1809.8</v>
      </c>
      <c r="J425" s="4">
        <v>31917.69</v>
      </c>
      <c r="K425" s="3">
        <v>113</v>
      </c>
      <c r="L425" s="2" t="s">
        <v>2523</v>
      </c>
      <c r="M425" s="2" t="s">
        <v>2526</v>
      </c>
      <c r="N425" t="str">
        <f>TRIM(PROPER(Tabla_auditoría[[#This Row],[ID_Campaña]]))</f>
        <v>Cmp-026</v>
      </c>
      <c r="O425" t="str">
        <f>TRIM(PROPER(Tabla_auditoría[[#This Row],[Canal]]))</f>
        <v>Paid Search</v>
      </c>
      <c r="P425" t="str">
        <f>TRIM(PROPER(Tabla_auditoría[[#This Row],[País]]))</f>
        <v>España</v>
      </c>
      <c r="Q425" t="str">
        <f>TRIM(PROPER(Tabla_auditoría[[#This Row],[Dispositivo]]))</f>
        <v>Tablet</v>
      </c>
      <c r="R425" t="str">
        <f>TRIM(PROPER(Tabla_auditoría[[#This Row],[Tipo_Campaña]]))</f>
        <v>Retención</v>
      </c>
      <c r="S425" t="str">
        <f>TRIM(PROPER(Tabla_auditoría[[#This Row],[Responsable]]))</f>
        <v>Laura Pérez</v>
      </c>
    </row>
    <row r="426" spans="1:19" x14ac:dyDescent="0.3">
      <c r="A426" s="1">
        <v>45791</v>
      </c>
      <c r="B426" s="2" t="s">
        <v>2535</v>
      </c>
      <c r="C426" s="2" t="s">
        <v>2543</v>
      </c>
      <c r="D426" s="2" t="s">
        <v>2522</v>
      </c>
      <c r="E426" s="2" t="s">
        <v>2517</v>
      </c>
      <c r="F426" s="3">
        <v>116427</v>
      </c>
      <c r="G426" s="3">
        <v>6459</v>
      </c>
      <c r="H426" s="3">
        <v>753</v>
      </c>
      <c r="I426" s="4">
        <v>2914.31</v>
      </c>
      <c r="J426" s="4">
        <v>61557.71</v>
      </c>
      <c r="K426" s="3">
        <v>438</v>
      </c>
      <c r="L426" s="2" t="s">
        <v>2523</v>
      </c>
      <c r="M426" s="2" t="s">
        <v>2537</v>
      </c>
      <c r="N426" t="str">
        <f>TRIM(PROPER(Tabla_auditoría[[#This Row],[ID_Campaña]]))</f>
        <v>Cmp-015</v>
      </c>
      <c r="O426" t="str">
        <f>TRIM(PROPER(Tabla_auditoría[[#This Row],[Canal]]))</f>
        <v>Organic Social</v>
      </c>
      <c r="P426" t="str">
        <f>TRIM(PROPER(Tabla_auditoría[[#This Row],[País]]))</f>
        <v>Italia</v>
      </c>
      <c r="Q426" t="str">
        <f>TRIM(PROPER(Tabla_auditoría[[#This Row],[Dispositivo]]))</f>
        <v>Desktop</v>
      </c>
      <c r="R426" t="str">
        <f>TRIM(PROPER(Tabla_auditoría[[#This Row],[Tipo_Campaña]]))</f>
        <v>Retención</v>
      </c>
      <c r="S426" t="str">
        <f>TRIM(PROPER(Tabla_auditoría[[#This Row],[Responsable]]))</f>
        <v>Marta López</v>
      </c>
    </row>
    <row r="427" spans="1:19" x14ac:dyDescent="0.3">
      <c r="A427" s="1">
        <v>45814</v>
      </c>
      <c r="B427" s="2" t="s">
        <v>2530</v>
      </c>
      <c r="C427" s="2" t="s">
        <v>2521</v>
      </c>
      <c r="D427" s="2" t="s">
        <v>2528</v>
      </c>
      <c r="E427" s="2" t="s">
        <v>2517</v>
      </c>
      <c r="F427" s="3">
        <v>78135</v>
      </c>
      <c r="G427" s="3">
        <v>5223</v>
      </c>
      <c r="H427" s="3">
        <v>128</v>
      </c>
      <c r="I427" s="4">
        <v>5918.46</v>
      </c>
      <c r="J427" s="4">
        <v>23620.09</v>
      </c>
      <c r="K427" s="3">
        <v>82</v>
      </c>
      <c r="L427" s="2" t="s">
        <v>2536</v>
      </c>
      <c r="M427" s="2" t="s">
        <v>2526</v>
      </c>
      <c r="N427" t="str">
        <f>TRIM(PROPER(Tabla_auditoría[[#This Row],[ID_Campaña]]))</f>
        <v>Cmp-026</v>
      </c>
      <c r="O427" t="str">
        <f>TRIM(PROPER(Tabla_auditoría[[#This Row],[Canal]]))</f>
        <v>Paid Search</v>
      </c>
      <c r="P427" t="str">
        <f>TRIM(PROPER(Tabla_auditoría[[#This Row],[País]]))</f>
        <v>España</v>
      </c>
      <c r="Q427" t="str">
        <f>TRIM(PROPER(Tabla_auditoría[[#This Row],[Dispositivo]]))</f>
        <v>Desktop</v>
      </c>
      <c r="R427" t="str">
        <f>TRIM(PROPER(Tabla_auditoría[[#This Row],[Tipo_Campaña]]))</f>
        <v>Reconocimiento</v>
      </c>
      <c r="S427" t="str">
        <f>TRIM(PROPER(Tabla_auditoría[[#This Row],[Responsable]]))</f>
        <v>Laura Pérez</v>
      </c>
    </row>
    <row r="428" spans="1:19" x14ac:dyDescent="0.3">
      <c r="A428" s="1">
        <v>45669</v>
      </c>
      <c r="B428" s="2" t="s">
        <v>2554</v>
      </c>
      <c r="C428" s="2" t="s">
        <v>2521</v>
      </c>
      <c r="D428" s="2" t="s">
        <v>2531</v>
      </c>
      <c r="E428" s="2" t="s">
        <v>2529</v>
      </c>
      <c r="F428" s="3">
        <v>134369</v>
      </c>
      <c r="G428" s="3">
        <v>8040</v>
      </c>
      <c r="H428" s="3">
        <v>427</v>
      </c>
      <c r="I428" s="4">
        <v>13056.82</v>
      </c>
      <c r="J428" s="4">
        <v>80392.05</v>
      </c>
      <c r="K428" s="3">
        <v>266</v>
      </c>
      <c r="L428" s="2" t="s">
        <v>2536</v>
      </c>
      <c r="M428" s="2" t="s">
        <v>2537</v>
      </c>
      <c r="N428" t="str">
        <f>TRIM(PROPER(Tabla_auditoría[[#This Row],[ID_Campaña]]))</f>
        <v>Cmp-019</v>
      </c>
      <c r="O428" t="str">
        <f>TRIM(PROPER(Tabla_auditoría[[#This Row],[Canal]]))</f>
        <v>Paid Search</v>
      </c>
      <c r="P428" t="str">
        <f>TRIM(PROPER(Tabla_auditoría[[#This Row],[País]]))</f>
        <v>Portugal</v>
      </c>
      <c r="Q428" t="str">
        <f>TRIM(PROPER(Tabla_auditoría[[#This Row],[Dispositivo]]))</f>
        <v>Mobile</v>
      </c>
      <c r="R428" t="str">
        <f>TRIM(PROPER(Tabla_auditoría[[#This Row],[Tipo_Campaña]]))</f>
        <v>Reconocimiento</v>
      </c>
      <c r="S428" t="str">
        <f>TRIM(PROPER(Tabla_auditoría[[#This Row],[Responsable]]))</f>
        <v>Marta López</v>
      </c>
    </row>
    <row r="429" spans="1:19" x14ac:dyDescent="0.3">
      <c r="A429" s="1">
        <v>45836</v>
      </c>
      <c r="B429" s="2" t="s">
        <v>2532</v>
      </c>
      <c r="C429" s="2" t="s">
        <v>2541</v>
      </c>
      <c r="D429" s="2" t="s">
        <v>2531</v>
      </c>
      <c r="E429" s="2" t="s">
        <v>2517</v>
      </c>
      <c r="F429" s="3">
        <v>47711</v>
      </c>
      <c r="G429" s="3">
        <v>894</v>
      </c>
      <c r="H429" s="3">
        <v>84</v>
      </c>
      <c r="I429" s="4">
        <v>268.14999999999998</v>
      </c>
      <c r="J429" s="4">
        <v>3265.59</v>
      </c>
      <c r="K429" s="3">
        <v>43</v>
      </c>
      <c r="L429" s="2" t="s">
        <v>2536</v>
      </c>
      <c r="M429" s="2" t="s">
        <v>2526</v>
      </c>
      <c r="N429" t="str">
        <f>TRIM(PROPER(Tabla_auditoría[[#This Row],[ID_Campaña]]))</f>
        <v>Cmp-022</v>
      </c>
      <c r="O429" t="str">
        <f>TRIM(PROPER(Tabla_auditoría[[#This Row],[Canal]]))</f>
        <v>Display</v>
      </c>
      <c r="P429" t="str">
        <f>TRIM(PROPER(Tabla_auditoría[[#This Row],[País]]))</f>
        <v>Portugal</v>
      </c>
      <c r="Q429" t="str">
        <f>TRIM(PROPER(Tabla_auditoría[[#This Row],[Dispositivo]]))</f>
        <v>Desktop</v>
      </c>
      <c r="R429" t="str">
        <f>TRIM(PROPER(Tabla_auditoría[[#This Row],[Tipo_Campaña]]))</f>
        <v>Reconocimiento</v>
      </c>
      <c r="S429" t="str">
        <f>TRIM(PROPER(Tabla_auditoría[[#This Row],[Responsable]]))</f>
        <v>Laura Pérez</v>
      </c>
    </row>
    <row r="430" spans="1:19" x14ac:dyDescent="0.3">
      <c r="A430" s="1">
        <v>45756</v>
      </c>
      <c r="B430" s="2" t="s">
        <v>2570</v>
      </c>
      <c r="C430" s="2" t="s">
        <v>2527</v>
      </c>
      <c r="D430" s="2" t="s">
        <v>2528</v>
      </c>
      <c r="E430" s="2" t="s">
        <v>2534</v>
      </c>
      <c r="F430" s="3">
        <v>94135</v>
      </c>
      <c r="G430" s="3">
        <v>8436</v>
      </c>
      <c r="H430" s="3">
        <v>763</v>
      </c>
      <c r="I430" s="4">
        <v>6389.71</v>
      </c>
      <c r="J430" s="4">
        <v>87038.18</v>
      </c>
      <c r="K430" s="3">
        <v>617</v>
      </c>
      <c r="L430" s="2" t="s">
        <v>2539</v>
      </c>
      <c r="M430" s="2" t="s">
        <v>2519</v>
      </c>
      <c r="N430" t="str">
        <f>TRIM(PROPER(Tabla_auditoría[[#This Row],[ID_Campaña]]))</f>
        <v>Cmp-016</v>
      </c>
      <c r="O430" t="str">
        <f>TRIM(PROPER(Tabla_auditoría[[#This Row],[Canal]]))</f>
        <v>Affiliate</v>
      </c>
      <c r="P430" t="str">
        <f>TRIM(PROPER(Tabla_auditoría[[#This Row],[País]]))</f>
        <v>España</v>
      </c>
      <c r="Q430" t="str">
        <f>TRIM(PROPER(Tabla_auditoría[[#This Row],[Dispositivo]]))</f>
        <v>Tablet</v>
      </c>
      <c r="R430" t="str">
        <f>TRIM(PROPER(Tabla_auditoría[[#This Row],[Tipo_Campaña]]))</f>
        <v>Conversión</v>
      </c>
      <c r="S430" t="str">
        <f>TRIM(PROPER(Tabla_auditoría[[#This Row],[Responsable]]))</f>
        <v>Carlos Ruiz</v>
      </c>
    </row>
    <row r="431" spans="1:19" x14ac:dyDescent="0.3">
      <c r="A431" s="1">
        <v>45667</v>
      </c>
      <c r="B431" s="2" t="s">
        <v>2557</v>
      </c>
      <c r="C431" s="2" t="s">
        <v>2521</v>
      </c>
      <c r="D431" s="2" t="s">
        <v>2522</v>
      </c>
      <c r="E431" s="2" t="s">
        <v>2517</v>
      </c>
      <c r="F431" s="3">
        <v>156784</v>
      </c>
      <c r="G431" s="3">
        <v>12189</v>
      </c>
      <c r="H431" s="3">
        <v>1133</v>
      </c>
      <c r="I431" s="4">
        <v>21486.76</v>
      </c>
      <c r="J431" s="4">
        <v>61293.279999999999</v>
      </c>
      <c r="K431" s="3">
        <v>957</v>
      </c>
      <c r="L431" s="2" t="s">
        <v>2523</v>
      </c>
      <c r="M431" s="2" t="s">
        <v>2537</v>
      </c>
      <c r="N431" t="str">
        <f>TRIM(PROPER(Tabla_auditoría[[#This Row],[ID_Campaña]]))</f>
        <v>Cmp-030</v>
      </c>
      <c r="O431" t="str">
        <f>TRIM(PROPER(Tabla_auditoría[[#This Row],[Canal]]))</f>
        <v>Paid Search</v>
      </c>
      <c r="P431" t="str">
        <f>TRIM(PROPER(Tabla_auditoría[[#This Row],[País]]))</f>
        <v>Italia</v>
      </c>
      <c r="Q431" t="str">
        <f>TRIM(PROPER(Tabla_auditoría[[#This Row],[Dispositivo]]))</f>
        <v>Desktop</v>
      </c>
      <c r="R431" t="str">
        <f>TRIM(PROPER(Tabla_auditoría[[#This Row],[Tipo_Campaña]]))</f>
        <v>Retención</v>
      </c>
      <c r="S431" t="str">
        <f>TRIM(PROPER(Tabla_auditoría[[#This Row],[Responsable]]))</f>
        <v>Marta López</v>
      </c>
    </row>
    <row r="432" spans="1:19" x14ac:dyDescent="0.3">
      <c r="A432" s="1">
        <v>46004</v>
      </c>
      <c r="B432" s="2" t="s">
        <v>2538</v>
      </c>
      <c r="C432" s="2" t="s">
        <v>2543</v>
      </c>
      <c r="D432" s="2" t="s">
        <v>2573</v>
      </c>
      <c r="E432" s="2" t="s">
        <v>2529</v>
      </c>
      <c r="F432" s="3">
        <v>25611</v>
      </c>
      <c r="G432" s="3">
        <v>2071</v>
      </c>
      <c r="H432" s="3">
        <v>43</v>
      </c>
      <c r="I432" s="4">
        <v>4220.7</v>
      </c>
      <c r="J432" s="4">
        <v>7609.47</v>
      </c>
      <c r="K432" s="3">
        <v>21</v>
      </c>
      <c r="L432" s="2" t="s">
        <v>2536</v>
      </c>
      <c r="M432" s="2" t="s">
        <v>2537</v>
      </c>
      <c r="N432" t="str">
        <f>TRIM(PROPER(Tabla_auditoría[[#This Row],[ID_Campaña]]))</f>
        <v>Cmp-004</v>
      </c>
      <c r="O432" t="str">
        <f>TRIM(PROPER(Tabla_auditoría[[#This Row],[Canal]]))</f>
        <v>Organic Social</v>
      </c>
      <c r="P432" t="str">
        <f>TRIM(PROPER(Tabla_auditoría[[#This Row],[País]]))</f>
        <v>España</v>
      </c>
      <c r="Q432" t="str">
        <f>TRIM(PROPER(Tabla_auditoría[[#This Row],[Dispositivo]]))</f>
        <v>Mobile</v>
      </c>
      <c r="R432" t="str">
        <f>TRIM(PROPER(Tabla_auditoría[[#This Row],[Tipo_Campaña]]))</f>
        <v>Reconocimiento</v>
      </c>
      <c r="S432" t="str">
        <f>TRIM(PROPER(Tabla_auditoría[[#This Row],[Responsable]]))</f>
        <v>Marta López</v>
      </c>
    </row>
    <row r="433" spans="1:19" x14ac:dyDescent="0.3">
      <c r="A433" s="1">
        <v>45731</v>
      </c>
      <c r="B433" s="2" t="s">
        <v>2556</v>
      </c>
      <c r="C433" s="2" t="s">
        <v>2533</v>
      </c>
      <c r="D433" s="2" t="s">
        <v>2528</v>
      </c>
      <c r="E433" s="2" t="s">
        <v>2529</v>
      </c>
      <c r="F433" s="3">
        <v>40730</v>
      </c>
      <c r="G433" s="3">
        <v>3636</v>
      </c>
      <c r="H433" s="3">
        <v>381</v>
      </c>
      <c r="I433" s="4">
        <v>4781.92</v>
      </c>
      <c r="J433" s="4">
        <v>63941.7</v>
      </c>
      <c r="K433" s="3">
        <v>308</v>
      </c>
      <c r="L433" s="2" t="s">
        <v>2536</v>
      </c>
      <c r="M433" s="2" t="s">
        <v>2546</v>
      </c>
      <c r="N433" t="str">
        <f>TRIM(PROPER(Tabla_auditoría[[#This Row],[ID_Campaña]]))</f>
        <v>Cmp-014</v>
      </c>
      <c r="O433" t="str">
        <f>TRIM(PROPER(Tabla_auditoría[[#This Row],[Canal]]))</f>
        <v>Paid Social</v>
      </c>
      <c r="P433" t="str">
        <f>TRIM(PROPER(Tabla_auditoría[[#This Row],[País]]))</f>
        <v>España</v>
      </c>
      <c r="Q433" t="str">
        <f>TRIM(PROPER(Tabla_auditoría[[#This Row],[Dispositivo]]))</f>
        <v>Mobile</v>
      </c>
      <c r="R433" t="str">
        <f>TRIM(PROPER(Tabla_auditoría[[#This Row],[Tipo_Campaña]]))</f>
        <v>Reconocimiento</v>
      </c>
      <c r="S433" t="str">
        <f>TRIM(PROPER(Tabla_auditoría[[#This Row],[Responsable]]))</f>
        <v>Ana García</v>
      </c>
    </row>
    <row r="434" spans="1:19" x14ac:dyDescent="0.3">
      <c r="A434" s="1">
        <v>45694</v>
      </c>
      <c r="B434" s="2" t="s">
        <v>2556</v>
      </c>
      <c r="C434" s="2" t="s">
        <v>2533</v>
      </c>
      <c r="D434" s="2" t="s">
        <v>2516</v>
      </c>
      <c r="E434" s="2" t="s">
        <v>2517</v>
      </c>
      <c r="F434" s="3">
        <v>87539</v>
      </c>
      <c r="G434" s="3">
        <v>1841</v>
      </c>
      <c r="H434" s="3">
        <v>185</v>
      </c>
      <c r="I434" s="4">
        <v>1910.38</v>
      </c>
      <c r="J434" s="4">
        <v>22123.87</v>
      </c>
      <c r="K434" s="3">
        <v>137</v>
      </c>
      <c r="L434" s="2" t="s">
        <v>2536</v>
      </c>
      <c r="M434" s="2" t="s">
        <v>2519</v>
      </c>
      <c r="N434" t="str">
        <f>TRIM(PROPER(Tabla_auditoría[[#This Row],[ID_Campaña]]))</f>
        <v>Cmp-014</v>
      </c>
      <c r="O434" t="str">
        <f>TRIM(PROPER(Tabla_auditoría[[#This Row],[Canal]]))</f>
        <v>Paid Social</v>
      </c>
      <c r="P434" t="str">
        <f>TRIM(PROPER(Tabla_auditoría[[#This Row],[País]]))</f>
        <v>México</v>
      </c>
      <c r="Q434" t="str">
        <f>TRIM(PROPER(Tabla_auditoría[[#This Row],[Dispositivo]]))</f>
        <v>Desktop</v>
      </c>
      <c r="R434" t="str">
        <f>TRIM(PROPER(Tabla_auditoría[[#This Row],[Tipo_Campaña]]))</f>
        <v>Reconocimiento</v>
      </c>
      <c r="S434" t="str">
        <f>TRIM(PROPER(Tabla_auditoría[[#This Row],[Responsable]]))</f>
        <v>Carlos Ruiz</v>
      </c>
    </row>
    <row r="435" spans="1:19" x14ac:dyDescent="0.3">
      <c r="A435" s="1">
        <v>45955</v>
      </c>
      <c r="B435" s="2" t="s">
        <v>2514</v>
      </c>
      <c r="C435" s="2" t="s">
        <v>2541</v>
      </c>
      <c r="D435" s="2" t="s">
        <v>2528</v>
      </c>
      <c r="E435" s="2" t="s">
        <v>2517</v>
      </c>
      <c r="F435" s="3">
        <v>44272</v>
      </c>
      <c r="G435" s="3">
        <v>2043</v>
      </c>
      <c r="H435" s="3">
        <v>195</v>
      </c>
      <c r="I435" s="4">
        <v>3078</v>
      </c>
      <c r="J435" s="4">
        <v>41792.660000000003</v>
      </c>
      <c r="K435" s="3">
        <v>113</v>
      </c>
      <c r="L435" s="2" t="s">
        <v>2518</v>
      </c>
      <c r="M435" s="2" t="s">
        <v>2524</v>
      </c>
      <c r="N435" t="str">
        <f>TRIM(PROPER(Tabla_auditoría[[#This Row],[ID_Campaña]]))</f>
        <v>Cmp-002</v>
      </c>
      <c r="O435" t="str">
        <f>TRIM(PROPER(Tabla_auditoría[[#This Row],[Canal]]))</f>
        <v>Display</v>
      </c>
      <c r="P435" t="str">
        <f>TRIM(PROPER(Tabla_auditoría[[#This Row],[País]]))</f>
        <v>España</v>
      </c>
      <c r="Q435" t="str">
        <f>TRIM(PROPER(Tabla_auditoría[[#This Row],[Dispositivo]]))</f>
        <v>Desktop</v>
      </c>
      <c r="R435" t="str">
        <f>TRIM(PROPER(Tabla_auditoría[[#This Row],[Tipo_Campaña]]))</f>
        <v>Adquisición</v>
      </c>
      <c r="S435" t="str">
        <f>TRIM(PROPER(Tabla_auditoría[[#This Row],[Responsable]]))</f>
        <v>Luis Martín</v>
      </c>
    </row>
    <row r="436" spans="1:19" x14ac:dyDescent="0.3">
      <c r="A436" s="1">
        <v>45849</v>
      </c>
      <c r="B436" s="2" t="s">
        <v>2570</v>
      </c>
      <c r="C436" s="2" t="s">
        <v>2533</v>
      </c>
      <c r="D436" s="2" t="s">
        <v>2528</v>
      </c>
      <c r="E436" s="2" t="s">
        <v>2529</v>
      </c>
      <c r="F436" s="3">
        <v>115801</v>
      </c>
      <c r="G436" s="3">
        <v>6196</v>
      </c>
      <c r="H436" s="3">
        <v>675</v>
      </c>
      <c r="I436" s="4">
        <v>4076.09</v>
      </c>
      <c r="J436" s="4">
        <v>33277.96</v>
      </c>
      <c r="K436" s="3">
        <v>431</v>
      </c>
      <c r="L436" s="2" t="s">
        <v>2539</v>
      </c>
      <c r="M436" s="2" t="s">
        <v>2524</v>
      </c>
      <c r="N436" t="str">
        <f>TRIM(PROPER(Tabla_auditoría[[#This Row],[ID_Campaña]]))</f>
        <v>Cmp-016</v>
      </c>
      <c r="O436" t="str">
        <f>TRIM(PROPER(Tabla_auditoría[[#This Row],[Canal]]))</f>
        <v>Paid Social</v>
      </c>
      <c r="P436" t="str">
        <f>TRIM(PROPER(Tabla_auditoría[[#This Row],[País]]))</f>
        <v>España</v>
      </c>
      <c r="Q436" t="str">
        <f>TRIM(PROPER(Tabla_auditoría[[#This Row],[Dispositivo]]))</f>
        <v>Mobile</v>
      </c>
      <c r="R436" t="str">
        <f>TRIM(PROPER(Tabla_auditoría[[#This Row],[Tipo_Campaña]]))</f>
        <v>Conversión</v>
      </c>
      <c r="S436" t="str">
        <f>TRIM(PROPER(Tabla_auditoría[[#This Row],[Responsable]]))</f>
        <v>Luis Martín</v>
      </c>
    </row>
    <row r="437" spans="1:19" x14ac:dyDescent="0.3">
      <c r="A437" s="1">
        <v>45832</v>
      </c>
      <c r="B437" s="2" t="s">
        <v>2565</v>
      </c>
      <c r="C437" s="2" t="s">
        <v>2541</v>
      </c>
      <c r="D437" s="2" t="s">
        <v>2528</v>
      </c>
      <c r="E437" s="2" t="s">
        <v>2534</v>
      </c>
      <c r="F437" s="3">
        <v>105120</v>
      </c>
      <c r="G437" s="3">
        <v>2170</v>
      </c>
      <c r="H437" s="3">
        <v>229</v>
      </c>
      <c r="I437" s="4">
        <v>4271.96</v>
      </c>
      <c r="J437" s="4">
        <v>50132.56</v>
      </c>
      <c r="K437" s="3">
        <v>183</v>
      </c>
      <c r="L437" s="2" t="s">
        <v>2536</v>
      </c>
      <c r="M437" s="2" t="s">
        <v>2546</v>
      </c>
      <c r="N437" t="str">
        <f>TRIM(PROPER(Tabla_auditoría[[#This Row],[ID_Campaña]]))</f>
        <v>Cmp-005</v>
      </c>
      <c r="O437" t="str">
        <f>TRIM(PROPER(Tabla_auditoría[[#This Row],[Canal]]))</f>
        <v>Display</v>
      </c>
      <c r="P437" t="str">
        <f>TRIM(PROPER(Tabla_auditoría[[#This Row],[País]]))</f>
        <v>España</v>
      </c>
      <c r="Q437" t="str">
        <f>TRIM(PROPER(Tabla_auditoría[[#This Row],[Dispositivo]]))</f>
        <v>Tablet</v>
      </c>
      <c r="R437" t="str">
        <f>TRIM(PROPER(Tabla_auditoría[[#This Row],[Tipo_Campaña]]))</f>
        <v>Reconocimiento</v>
      </c>
      <c r="S437" t="str">
        <f>TRIM(PROPER(Tabla_auditoría[[#This Row],[Responsable]]))</f>
        <v>Ana García</v>
      </c>
    </row>
    <row r="438" spans="1:19" x14ac:dyDescent="0.3">
      <c r="A438" s="1">
        <v>45918</v>
      </c>
      <c r="B438" s="2" t="s">
        <v>2547</v>
      </c>
      <c r="C438" s="2" t="s">
        <v>2515</v>
      </c>
      <c r="D438" s="2" t="s">
        <v>2516</v>
      </c>
      <c r="E438" s="2" t="s">
        <v>2529</v>
      </c>
      <c r="F438" s="3">
        <v>143256</v>
      </c>
      <c r="G438" s="3">
        <v>10691</v>
      </c>
      <c r="H438" s="3">
        <v>273</v>
      </c>
      <c r="I438" s="4">
        <v>6904.85</v>
      </c>
      <c r="J438" s="4">
        <v>19851.86</v>
      </c>
      <c r="K438" s="3">
        <v>188</v>
      </c>
      <c r="L438" s="2" t="s">
        <v>2523</v>
      </c>
      <c r="M438" s="2" t="s">
        <v>2546</v>
      </c>
      <c r="N438" t="str">
        <f>TRIM(PROPER(Tabla_auditoría[[#This Row],[ID_Campaña]]))</f>
        <v>Cmp-018</v>
      </c>
      <c r="O438" t="str">
        <f>TRIM(PROPER(Tabla_auditoría[[#This Row],[Canal]]))</f>
        <v>Email</v>
      </c>
      <c r="P438" t="str">
        <f>TRIM(PROPER(Tabla_auditoría[[#This Row],[País]]))</f>
        <v>México</v>
      </c>
      <c r="Q438" t="str">
        <f>TRIM(PROPER(Tabla_auditoría[[#This Row],[Dispositivo]]))</f>
        <v>Mobile</v>
      </c>
      <c r="R438" t="str">
        <f>TRIM(PROPER(Tabla_auditoría[[#This Row],[Tipo_Campaña]]))</f>
        <v>Retención</v>
      </c>
      <c r="S438" t="str">
        <f>TRIM(PROPER(Tabla_auditoría[[#This Row],[Responsable]]))</f>
        <v>Ana García</v>
      </c>
    </row>
    <row r="439" spans="1:19" x14ac:dyDescent="0.3">
      <c r="A439" s="1">
        <v>45996</v>
      </c>
      <c r="B439" s="2" t="s">
        <v>2550</v>
      </c>
      <c r="C439" s="2" t="s">
        <v>2527</v>
      </c>
      <c r="D439" s="2" t="s">
        <v>2531</v>
      </c>
      <c r="E439" s="2" t="s">
        <v>2529</v>
      </c>
      <c r="F439" s="3">
        <v>99547</v>
      </c>
      <c r="G439" s="3">
        <v>7401</v>
      </c>
      <c r="H439" s="3">
        <v>292</v>
      </c>
      <c r="I439" s="4">
        <v>10224.870000000001</v>
      </c>
      <c r="J439" s="4">
        <v>35197.199999999997</v>
      </c>
      <c r="K439" s="3">
        <v>185</v>
      </c>
      <c r="L439" s="2" t="s">
        <v>2523</v>
      </c>
      <c r="M439" s="2" t="s">
        <v>2519</v>
      </c>
      <c r="N439" t="str">
        <f>TRIM(PROPER(Tabla_auditoría[[#This Row],[ID_Campaña]]))</f>
        <v>Cmp-008</v>
      </c>
      <c r="O439" t="str">
        <f>TRIM(PROPER(Tabla_auditoría[[#This Row],[Canal]]))</f>
        <v>Affiliate</v>
      </c>
      <c r="P439" t="str">
        <f>TRIM(PROPER(Tabla_auditoría[[#This Row],[País]]))</f>
        <v>Portugal</v>
      </c>
      <c r="Q439" t="str">
        <f>TRIM(PROPER(Tabla_auditoría[[#This Row],[Dispositivo]]))</f>
        <v>Mobile</v>
      </c>
      <c r="R439" t="str">
        <f>TRIM(PROPER(Tabla_auditoría[[#This Row],[Tipo_Campaña]]))</f>
        <v>Retención</v>
      </c>
      <c r="S439" t="str">
        <f>TRIM(PROPER(Tabla_auditoría[[#This Row],[Responsable]]))</f>
        <v>Carlos Ruiz</v>
      </c>
    </row>
    <row r="440" spans="1:19" x14ac:dyDescent="0.3">
      <c r="A440" s="1">
        <v>45908</v>
      </c>
      <c r="B440" s="2" t="s">
        <v>2566</v>
      </c>
      <c r="C440" s="2" t="s">
        <v>2515</v>
      </c>
      <c r="D440" s="2" t="s">
        <v>2528</v>
      </c>
      <c r="E440" s="2" t="s">
        <v>2517</v>
      </c>
      <c r="F440" s="3">
        <v>167919</v>
      </c>
      <c r="G440" s="3">
        <v>1854</v>
      </c>
      <c r="H440" s="3">
        <v>32</v>
      </c>
      <c r="I440" s="4">
        <v>3041.75</v>
      </c>
      <c r="J440" s="4">
        <v>2328.15</v>
      </c>
      <c r="K440" s="3">
        <v>23</v>
      </c>
      <c r="L440" s="2" t="s">
        <v>2518</v>
      </c>
      <c r="M440" s="2" t="s">
        <v>2524</v>
      </c>
      <c r="N440" t="str">
        <f>TRIM(PROPER(Tabla_auditoría[[#This Row],[ID_Campaña]]))</f>
        <v>Cmp-001</v>
      </c>
      <c r="O440" t="str">
        <f>TRIM(PROPER(Tabla_auditoría[[#This Row],[Canal]]))</f>
        <v>Email</v>
      </c>
      <c r="P440" t="str">
        <f>TRIM(PROPER(Tabla_auditoría[[#This Row],[País]]))</f>
        <v>España</v>
      </c>
      <c r="Q440" t="str">
        <f>TRIM(PROPER(Tabla_auditoría[[#This Row],[Dispositivo]]))</f>
        <v>Desktop</v>
      </c>
      <c r="R440" t="str">
        <f>TRIM(PROPER(Tabla_auditoría[[#This Row],[Tipo_Campaña]]))</f>
        <v>Adquisición</v>
      </c>
      <c r="S440" t="str">
        <f>TRIM(PROPER(Tabla_auditoría[[#This Row],[Responsable]]))</f>
        <v>Luis Martín</v>
      </c>
    </row>
    <row r="441" spans="1:19" x14ac:dyDescent="0.3">
      <c r="A441" s="1">
        <v>45661</v>
      </c>
      <c r="B441" s="2" t="s">
        <v>2552</v>
      </c>
      <c r="C441" s="2" t="s">
        <v>2577</v>
      </c>
      <c r="D441" s="2" t="s">
        <v>2528</v>
      </c>
      <c r="E441" s="2" t="s">
        <v>2517</v>
      </c>
      <c r="F441" s="3">
        <v>170089</v>
      </c>
      <c r="G441" s="3">
        <v>12604</v>
      </c>
      <c r="H441" s="3">
        <v>1055</v>
      </c>
      <c r="I441" s="4">
        <v>26436.6</v>
      </c>
      <c r="J441" s="4">
        <v>209689.75</v>
      </c>
      <c r="K441" s="3">
        <v>706</v>
      </c>
      <c r="L441" s="2" t="s">
        <v>2518</v>
      </c>
      <c r="M441" s="2" t="s">
        <v>2519</v>
      </c>
      <c r="N441" t="str">
        <f>TRIM(PROPER(Tabla_auditoría[[#This Row],[ID_Campaña]]))</f>
        <v>Cmp-012</v>
      </c>
      <c r="O441" t="str">
        <f>TRIM(PROPER(Tabla_auditoría[[#This Row],[Canal]]))</f>
        <v>Affiliate</v>
      </c>
      <c r="P441" t="str">
        <f>TRIM(PROPER(Tabla_auditoría[[#This Row],[País]]))</f>
        <v>España</v>
      </c>
      <c r="Q441" t="str">
        <f>TRIM(PROPER(Tabla_auditoría[[#This Row],[Dispositivo]]))</f>
        <v>Desktop</v>
      </c>
      <c r="R441" t="str">
        <f>TRIM(PROPER(Tabla_auditoría[[#This Row],[Tipo_Campaña]]))</f>
        <v>Adquisición</v>
      </c>
      <c r="S441" t="str">
        <f>TRIM(PROPER(Tabla_auditoría[[#This Row],[Responsable]]))</f>
        <v>Carlos Ruiz</v>
      </c>
    </row>
    <row r="442" spans="1:19" x14ac:dyDescent="0.3">
      <c r="A442" s="1">
        <v>45766</v>
      </c>
      <c r="B442" s="2" t="s">
        <v>2568</v>
      </c>
      <c r="C442" s="2" t="s">
        <v>2533</v>
      </c>
      <c r="D442" s="2" t="s">
        <v>2516</v>
      </c>
      <c r="E442" s="2" t="s">
        <v>2534</v>
      </c>
      <c r="F442" s="3">
        <v>101989</v>
      </c>
      <c r="G442" s="3">
        <v>4324</v>
      </c>
      <c r="H442" s="3">
        <v>366</v>
      </c>
      <c r="I442" s="4">
        <v>4400.8599999999997</v>
      </c>
      <c r="J442" s="4">
        <v>19356.11</v>
      </c>
      <c r="K442" s="3">
        <v>293</v>
      </c>
      <c r="L442" s="2" t="s">
        <v>2536</v>
      </c>
      <c r="M442" s="2" t="s">
        <v>2526</v>
      </c>
      <c r="N442" t="str">
        <f>TRIM(PROPER(Tabla_auditoría[[#This Row],[ID_Campaña]]))</f>
        <v>Cmp-020</v>
      </c>
      <c r="O442" t="str">
        <f>TRIM(PROPER(Tabla_auditoría[[#This Row],[Canal]]))</f>
        <v>Paid Social</v>
      </c>
      <c r="P442" t="str">
        <f>TRIM(PROPER(Tabla_auditoría[[#This Row],[País]]))</f>
        <v>México</v>
      </c>
      <c r="Q442" t="str">
        <f>TRIM(PROPER(Tabla_auditoría[[#This Row],[Dispositivo]]))</f>
        <v>Tablet</v>
      </c>
      <c r="R442" t="str">
        <f>TRIM(PROPER(Tabla_auditoría[[#This Row],[Tipo_Campaña]]))</f>
        <v>Reconocimiento</v>
      </c>
      <c r="S442" t="str">
        <f>TRIM(PROPER(Tabla_auditoría[[#This Row],[Responsable]]))</f>
        <v>Laura Pérez</v>
      </c>
    </row>
    <row r="443" spans="1:19" x14ac:dyDescent="0.3">
      <c r="A443" s="1">
        <v>45781</v>
      </c>
      <c r="B443" s="2" t="s">
        <v>2556</v>
      </c>
      <c r="C443" s="2" t="s">
        <v>2543</v>
      </c>
      <c r="D443" s="2" t="s">
        <v>2525</v>
      </c>
      <c r="E443" s="2" t="s">
        <v>2529</v>
      </c>
      <c r="F443" s="3">
        <v>163343</v>
      </c>
      <c r="G443" s="3">
        <v>3081</v>
      </c>
      <c r="H443" s="3">
        <v>329</v>
      </c>
      <c r="I443" s="4">
        <v>5992.97</v>
      </c>
      <c r="J443" s="4">
        <v>56078.12</v>
      </c>
      <c r="K443" s="3">
        <v>236</v>
      </c>
      <c r="L443" s="2" t="s">
        <v>2539</v>
      </c>
      <c r="M443" s="2" t="s">
        <v>2526</v>
      </c>
      <c r="N443" t="str">
        <f>TRIM(PROPER(Tabla_auditoría[[#This Row],[ID_Campaña]]))</f>
        <v>Cmp-014</v>
      </c>
      <c r="O443" t="str">
        <f>TRIM(PROPER(Tabla_auditoría[[#This Row],[Canal]]))</f>
        <v>Organic Social</v>
      </c>
      <c r="P443" t="str">
        <f>TRIM(PROPER(Tabla_auditoría[[#This Row],[País]]))</f>
        <v>Francia</v>
      </c>
      <c r="Q443" t="str">
        <f>TRIM(PROPER(Tabla_auditoría[[#This Row],[Dispositivo]]))</f>
        <v>Mobile</v>
      </c>
      <c r="R443" t="str">
        <f>TRIM(PROPER(Tabla_auditoría[[#This Row],[Tipo_Campaña]]))</f>
        <v>Conversión</v>
      </c>
      <c r="S443" t="str">
        <f>TRIM(PROPER(Tabla_auditoría[[#This Row],[Responsable]]))</f>
        <v>Laura Pérez</v>
      </c>
    </row>
    <row r="444" spans="1:19" x14ac:dyDescent="0.3">
      <c r="A444" s="1">
        <v>45666</v>
      </c>
      <c r="B444" s="2" t="s">
        <v>2549</v>
      </c>
      <c r="C444" s="2" t="s">
        <v>2533</v>
      </c>
      <c r="D444" s="2" t="s">
        <v>2528</v>
      </c>
      <c r="E444" s="2" t="s">
        <v>2529</v>
      </c>
      <c r="F444" s="3">
        <v>37704</v>
      </c>
      <c r="G444" s="3">
        <v>1830</v>
      </c>
      <c r="H444" s="3">
        <v>232</v>
      </c>
      <c r="I444" s="4">
        <v>1541.86</v>
      </c>
      <c r="J444" s="4">
        <v>6678.72</v>
      </c>
      <c r="K444" s="3">
        <v>170</v>
      </c>
      <c r="L444" s="2" t="s">
        <v>2539</v>
      </c>
      <c r="M444" s="2" t="s">
        <v>2546</v>
      </c>
      <c r="N444" t="str">
        <f>TRIM(PROPER(Tabla_auditoría[[#This Row],[ID_Campaña]]))</f>
        <v>Cmp-007</v>
      </c>
      <c r="O444" t="str">
        <f>TRIM(PROPER(Tabla_auditoría[[#This Row],[Canal]]))</f>
        <v>Paid Social</v>
      </c>
      <c r="P444" t="str">
        <f>TRIM(PROPER(Tabla_auditoría[[#This Row],[País]]))</f>
        <v>España</v>
      </c>
      <c r="Q444" t="str">
        <f>TRIM(PROPER(Tabla_auditoría[[#This Row],[Dispositivo]]))</f>
        <v>Mobile</v>
      </c>
      <c r="R444" t="str">
        <f>TRIM(PROPER(Tabla_auditoría[[#This Row],[Tipo_Campaña]]))</f>
        <v>Conversión</v>
      </c>
      <c r="S444" t="str">
        <f>TRIM(PROPER(Tabla_auditoría[[#This Row],[Responsable]]))</f>
        <v>Ana García</v>
      </c>
    </row>
    <row r="445" spans="1:19" x14ac:dyDescent="0.3">
      <c r="A445" s="1">
        <v>45934</v>
      </c>
      <c r="B445" s="2" t="s">
        <v>2542</v>
      </c>
      <c r="C445" s="2" t="s">
        <v>2543</v>
      </c>
      <c r="D445" s="2" t="s">
        <v>2525</v>
      </c>
      <c r="E445" s="2" t="s">
        <v>2529</v>
      </c>
      <c r="F445" s="3">
        <v>98300</v>
      </c>
      <c r="G445" s="3">
        <v>4012</v>
      </c>
      <c r="H445" s="3">
        <v>436</v>
      </c>
      <c r="I445" s="4">
        <v>7101.02</v>
      </c>
      <c r="J445" s="4">
        <v>51097.13</v>
      </c>
      <c r="K445" s="3">
        <v>253</v>
      </c>
      <c r="L445" s="2" t="s">
        <v>2539</v>
      </c>
      <c r="M445" s="2" t="s">
        <v>2519</v>
      </c>
      <c r="N445" t="str">
        <f>TRIM(PROPER(Tabla_auditoría[[#This Row],[ID_Campaña]]))</f>
        <v>Cmp-025</v>
      </c>
      <c r="O445" t="str">
        <f>TRIM(PROPER(Tabla_auditoría[[#This Row],[Canal]]))</f>
        <v>Organic Social</v>
      </c>
      <c r="P445" t="str">
        <f>TRIM(PROPER(Tabla_auditoría[[#This Row],[País]]))</f>
        <v>Francia</v>
      </c>
      <c r="Q445" t="str">
        <f>TRIM(PROPER(Tabla_auditoría[[#This Row],[Dispositivo]]))</f>
        <v>Mobile</v>
      </c>
      <c r="R445" t="str">
        <f>TRIM(PROPER(Tabla_auditoría[[#This Row],[Tipo_Campaña]]))</f>
        <v>Conversión</v>
      </c>
      <c r="S445" t="str">
        <f>TRIM(PROPER(Tabla_auditoría[[#This Row],[Responsable]]))</f>
        <v>Carlos Ruiz</v>
      </c>
    </row>
    <row r="446" spans="1:19" x14ac:dyDescent="0.3">
      <c r="A446" s="1">
        <v>45728</v>
      </c>
      <c r="B446" s="2" t="s">
        <v>2565</v>
      </c>
      <c r="C446" s="2" t="s">
        <v>2515</v>
      </c>
      <c r="D446" s="2" t="s">
        <v>2528</v>
      </c>
      <c r="E446" s="2" t="s">
        <v>2529</v>
      </c>
      <c r="F446" s="3">
        <v>37178</v>
      </c>
      <c r="G446" s="3">
        <v>688</v>
      </c>
      <c r="H446" s="3">
        <v>78</v>
      </c>
      <c r="I446" s="4">
        <v>71.44</v>
      </c>
      <c r="J446" s="4">
        <v>2202.84</v>
      </c>
      <c r="K446" s="3">
        <v>64</v>
      </c>
      <c r="L446" s="2" t="s">
        <v>2536</v>
      </c>
      <c r="M446" s="2" t="s">
        <v>2519</v>
      </c>
      <c r="N446" t="str">
        <f>TRIM(PROPER(Tabla_auditoría[[#This Row],[ID_Campaña]]))</f>
        <v>Cmp-005</v>
      </c>
      <c r="O446" t="str">
        <f>TRIM(PROPER(Tabla_auditoría[[#This Row],[Canal]]))</f>
        <v>Email</v>
      </c>
      <c r="P446" t="str">
        <f>TRIM(PROPER(Tabla_auditoría[[#This Row],[País]]))</f>
        <v>España</v>
      </c>
      <c r="Q446" t="str">
        <f>TRIM(PROPER(Tabla_auditoría[[#This Row],[Dispositivo]]))</f>
        <v>Mobile</v>
      </c>
      <c r="R446" t="str">
        <f>TRIM(PROPER(Tabla_auditoría[[#This Row],[Tipo_Campaña]]))</f>
        <v>Reconocimiento</v>
      </c>
      <c r="S446" t="str">
        <f>TRIM(PROPER(Tabla_auditoría[[#This Row],[Responsable]]))</f>
        <v>Carlos Ruiz</v>
      </c>
    </row>
    <row r="447" spans="1:19" x14ac:dyDescent="0.3">
      <c r="A447" s="1">
        <v>46010</v>
      </c>
      <c r="B447" s="2" t="s">
        <v>2549</v>
      </c>
      <c r="C447" s="2" t="s">
        <v>2543</v>
      </c>
      <c r="D447" s="2" t="s">
        <v>2528</v>
      </c>
      <c r="E447" s="2" t="s">
        <v>2529</v>
      </c>
      <c r="F447" s="3">
        <v>20305</v>
      </c>
      <c r="G447" s="3">
        <v>818</v>
      </c>
      <c r="H447" s="3">
        <v>70</v>
      </c>
      <c r="I447" s="4">
        <v>1507.51</v>
      </c>
      <c r="J447" s="4">
        <v>12332.9</v>
      </c>
      <c r="K447" s="3">
        <v>36</v>
      </c>
      <c r="L447" s="2" t="s">
        <v>2539</v>
      </c>
      <c r="M447" s="2" t="s">
        <v>2526</v>
      </c>
      <c r="N447" t="str">
        <f>TRIM(PROPER(Tabla_auditoría[[#This Row],[ID_Campaña]]))</f>
        <v>Cmp-007</v>
      </c>
      <c r="O447" t="str">
        <f>TRIM(PROPER(Tabla_auditoría[[#This Row],[Canal]]))</f>
        <v>Organic Social</v>
      </c>
      <c r="P447" t="str">
        <f>TRIM(PROPER(Tabla_auditoría[[#This Row],[País]]))</f>
        <v>España</v>
      </c>
      <c r="Q447" t="str">
        <f>TRIM(PROPER(Tabla_auditoría[[#This Row],[Dispositivo]]))</f>
        <v>Mobile</v>
      </c>
      <c r="R447" t="str">
        <f>TRIM(PROPER(Tabla_auditoría[[#This Row],[Tipo_Campaña]]))</f>
        <v>Conversión</v>
      </c>
      <c r="S447" t="str">
        <f>TRIM(PROPER(Tabla_auditoría[[#This Row],[Responsable]]))</f>
        <v>Laura Pérez</v>
      </c>
    </row>
    <row r="448" spans="1:19" x14ac:dyDescent="0.3">
      <c r="A448" s="1">
        <v>45782</v>
      </c>
      <c r="B448" s="2" t="s">
        <v>2568</v>
      </c>
      <c r="C448" s="2" t="s">
        <v>2527</v>
      </c>
      <c r="D448" s="2" t="s">
        <v>2516</v>
      </c>
      <c r="E448" s="2" t="s">
        <v>2517</v>
      </c>
      <c r="F448" s="3">
        <v>35325</v>
      </c>
      <c r="G448" s="3">
        <v>2472</v>
      </c>
      <c r="H448" s="3">
        <v>308</v>
      </c>
      <c r="I448" s="4">
        <v>3375</v>
      </c>
      <c r="J448" s="4">
        <v>14283.69</v>
      </c>
      <c r="K448" s="3">
        <v>201</v>
      </c>
      <c r="L448" s="2" t="s">
        <v>2523</v>
      </c>
      <c r="M448" s="2" t="s">
        <v>2519</v>
      </c>
      <c r="N448" t="str">
        <f>TRIM(PROPER(Tabla_auditoría[[#This Row],[ID_Campaña]]))</f>
        <v>Cmp-020</v>
      </c>
      <c r="O448" t="str">
        <f>TRIM(PROPER(Tabla_auditoría[[#This Row],[Canal]]))</f>
        <v>Affiliate</v>
      </c>
      <c r="P448" t="str">
        <f>TRIM(PROPER(Tabla_auditoría[[#This Row],[País]]))</f>
        <v>México</v>
      </c>
      <c r="Q448" t="str">
        <f>TRIM(PROPER(Tabla_auditoría[[#This Row],[Dispositivo]]))</f>
        <v>Desktop</v>
      </c>
      <c r="R448" t="str">
        <f>TRIM(PROPER(Tabla_auditoría[[#This Row],[Tipo_Campaña]]))</f>
        <v>Retención</v>
      </c>
      <c r="S448" t="str">
        <f>TRIM(PROPER(Tabla_auditoría[[#This Row],[Responsable]]))</f>
        <v>Carlos Ruiz</v>
      </c>
    </row>
    <row r="449" spans="1:19" x14ac:dyDescent="0.3">
      <c r="A449" s="1">
        <v>45917</v>
      </c>
      <c r="B449" s="2" t="s">
        <v>2557</v>
      </c>
      <c r="C449" s="2" t="s">
        <v>2543</v>
      </c>
      <c r="D449" s="2" t="s">
        <v>2531</v>
      </c>
      <c r="E449" s="2" t="s">
        <v>2529</v>
      </c>
      <c r="F449" s="3">
        <v>152185</v>
      </c>
      <c r="G449" s="3">
        <v>4715</v>
      </c>
      <c r="H449" s="3">
        <v>384</v>
      </c>
      <c r="I449" s="4">
        <v>6919.95</v>
      </c>
      <c r="J449" s="4">
        <v>9966.42</v>
      </c>
      <c r="K449" s="3">
        <v>282</v>
      </c>
      <c r="L449" s="2" t="s">
        <v>2523</v>
      </c>
      <c r="M449" s="2" t="s">
        <v>2524</v>
      </c>
      <c r="N449" t="str">
        <f>TRIM(PROPER(Tabla_auditoría[[#This Row],[ID_Campaña]]))</f>
        <v>Cmp-030</v>
      </c>
      <c r="O449" t="str">
        <f>TRIM(PROPER(Tabla_auditoría[[#This Row],[Canal]]))</f>
        <v>Organic Social</v>
      </c>
      <c r="P449" t="str">
        <f>TRIM(PROPER(Tabla_auditoría[[#This Row],[País]]))</f>
        <v>Portugal</v>
      </c>
      <c r="Q449" t="str">
        <f>TRIM(PROPER(Tabla_auditoría[[#This Row],[Dispositivo]]))</f>
        <v>Mobile</v>
      </c>
      <c r="R449" t="str">
        <f>TRIM(PROPER(Tabla_auditoría[[#This Row],[Tipo_Campaña]]))</f>
        <v>Retención</v>
      </c>
      <c r="S449" t="str">
        <f>TRIM(PROPER(Tabla_auditoría[[#This Row],[Responsable]]))</f>
        <v>Luis Martín</v>
      </c>
    </row>
    <row r="450" spans="1:19" x14ac:dyDescent="0.3">
      <c r="A450" s="1">
        <v>45884</v>
      </c>
      <c r="B450" s="2" t="s">
        <v>2571</v>
      </c>
      <c r="C450" s="2" t="s">
        <v>2527</v>
      </c>
      <c r="D450" s="2" t="s">
        <v>2528</v>
      </c>
      <c r="E450" s="2" t="s">
        <v>2529</v>
      </c>
      <c r="F450" s="3">
        <v>18638</v>
      </c>
      <c r="G450" s="3">
        <v>449</v>
      </c>
      <c r="H450" s="3">
        <v>19</v>
      </c>
      <c r="I450" s="4">
        <v>719.5</v>
      </c>
      <c r="J450" s="4">
        <v>695.54</v>
      </c>
      <c r="K450" s="3">
        <v>15</v>
      </c>
      <c r="L450" s="2" t="s">
        <v>2536</v>
      </c>
      <c r="M450" s="2" t="s">
        <v>2546</v>
      </c>
      <c r="N450" t="str">
        <f>TRIM(PROPER(Tabla_auditoría[[#This Row],[ID_Campaña]]))</f>
        <v>Cmp-029</v>
      </c>
      <c r="O450" t="str">
        <f>TRIM(PROPER(Tabla_auditoría[[#This Row],[Canal]]))</f>
        <v>Affiliate</v>
      </c>
      <c r="P450" t="str">
        <f>TRIM(PROPER(Tabla_auditoría[[#This Row],[País]]))</f>
        <v>España</v>
      </c>
      <c r="Q450" t="str">
        <f>TRIM(PROPER(Tabla_auditoría[[#This Row],[Dispositivo]]))</f>
        <v>Mobile</v>
      </c>
      <c r="R450" t="str">
        <f>TRIM(PROPER(Tabla_auditoría[[#This Row],[Tipo_Campaña]]))</f>
        <v>Reconocimiento</v>
      </c>
      <c r="S450" t="str">
        <f>TRIM(PROPER(Tabla_auditoría[[#This Row],[Responsable]]))</f>
        <v>Ana García</v>
      </c>
    </row>
    <row r="451" spans="1:19" x14ac:dyDescent="0.3">
      <c r="A451" s="1">
        <v>45681</v>
      </c>
      <c r="B451" s="2" t="s">
        <v>2538</v>
      </c>
      <c r="C451" s="2" t="s">
        <v>2527</v>
      </c>
      <c r="D451" s="2" t="s">
        <v>2528</v>
      </c>
      <c r="E451" s="2" t="s">
        <v>2529</v>
      </c>
      <c r="F451" s="3">
        <v>109206</v>
      </c>
      <c r="G451" s="3">
        <v>2154</v>
      </c>
      <c r="H451" s="3">
        <v>184</v>
      </c>
      <c r="I451" s="4">
        <v>1098.24</v>
      </c>
      <c r="J451" s="4">
        <v>12390.83</v>
      </c>
      <c r="K451" s="3">
        <v>149</v>
      </c>
      <c r="L451" s="2" t="s">
        <v>2539</v>
      </c>
      <c r="M451" s="2" t="s">
        <v>2526</v>
      </c>
      <c r="N451" t="str">
        <f>TRIM(PROPER(Tabla_auditoría[[#This Row],[ID_Campaña]]))</f>
        <v>Cmp-004</v>
      </c>
      <c r="O451" t="str">
        <f>TRIM(PROPER(Tabla_auditoría[[#This Row],[Canal]]))</f>
        <v>Affiliate</v>
      </c>
      <c r="P451" t="str">
        <f>TRIM(PROPER(Tabla_auditoría[[#This Row],[País]]))</f>
        <v>España</v>
      </c>
      <c r="Q451" t="str">
        <f>TRIM(PROPER(Tabla_auditoría[[#This Row],[Dispositivo]]))</f>
        <v>Mobile</v>
      </c>
      <c r="R451" t="str">
        <f>TRIM(PROPER(Tabla_auditoría[[#This Row],[Tipo_Campaña]]))</f>
        <v>Conversión</v>
      </c>
      <c r="S451" t="str">
        <f>TRIM(PROPER(Tabla_auditoría[[#This Row],[Responsable]]))</f>
        <v>Laura Pérez</v>
      </c>
    </row>
    <row r="452" spans="1:19" x14ac:dyDescent="0.3">
      <c r="A452" s="1">
        <v>45917</v>
      </c>
      <c r="B452" s="2" t="s">
        <v>2563</v>
      </c>
      <c r="C452" s="2" t="s">
        <v>2541</v>
      </c>
      <c r="D452" s="2" t="s">
        <v>2528</v>
      </c>
      <c r="E452" s="2" t="s">
        <v>2529</v>
      </c>
      <c r="F452" s="3">
        <v>85965</v>
      </c>
      <c r="G452" s="3">
        <v>7604</v>
      </c>
      <c r="H452" s="3">
        <v>978</v>
      </c>
      <c r="I452" s="4">
        <v>3516.33</v>
      </c>
      <c r="J452" s="4">
        <v>27733.89</v>
      </c>
      <c r="K452" s="3">
        <v>627</v>
      </c>
      <c r="L452" s="2" t="s">
        <v>2539</v>
      </c>
      <c r="M452" s="2" t="s">
        <v>2537</v>
      </c>
      <c r="N452" t="str">
        <f>TRIM(PROPER(Tabla_auditoría[[#This Row],[ID_Campaña]]))</f>
        <v>Cmp-023</v>
      </c>
      <c r="O452" t="str">
        <f>TRIM(PROPER(Tabla_auditoría[[#This Row],[Canal]]))</f>
        <v>Display</v>
      </c>
      <c r="P452" t="str">
        <f>TRIM(PROPER(Tabla_auditoría[[#This Row],[País]]))</f>
        <v>España</v>
      </c>
      <c r="Q452" t="str">
        <f>TRIM(PROPER(Tabla_auditoría[[#This Row],[Dispositivo]]))</f>
        <v>Mobile</v>
      </c>
      <c r="R452" t="str">
        <f>TRIM(PROPER(Tabla_auditoría[[#This Row],[Tipo_Campaña]]))</f>
        <v>Conversión</v>
      </c>
      <c r="S452" t="str">
        <f>TRIM(PROPER(Tabla_auditoría[[#This Row],[Responsable]]))</f>
        <v>Marta López</v>
      </c>
    </row>
    <row r="453" spans="1:19" x14ac:dyDescent="0.3">
      <c r="A453" s="1">
        <v>45788</v>
      </c>
      <c r="B453" s="2" t="s">
        <v>2542</v>
      </c>
      <c r="C453" s="2" t="s">
        <v>2541</v>
      </c>
      <c r="D453" s="2" t="s">
        <v>2528</v>
      </c>
      <c r="E453" s="2" t="s">
        <v>2517</v>
      </c>
      <c r="F453" s="3">
        <v>22266</v>
      </c>
      <c r="G453" s="3">
        <v>334</v>
      </c>
      <c r="H453" s="3">
        <v>15</v>
      </c>
      <c r="I453" s="4">
        <v>329.4</v>
      </c>
      <c r="J453" s="4">
        <v>2006.3</v>
      </c>
      <c r="K453" s="3">
        <v>12</v>
      </c>
      <c r="L453" s="2" t="s">
        <v>2523</v>
      </c>
      <c r="M453" s="2" t="s">
        <v>2524</v>
      </c>
      <c r="N453" t="str">
        <f>TRIM(PROPER(Tabla_auditoría[[#This Row],[ID_Campaña]]))</f>
        <v>Cmp-025</v>
      </c>
      <c r="O453" t="str">
        <f>TRIM(PROPER(Tabla_auditoría[[#This Row],[Canal]]))</f>
        <v>Display</v>
      </c>
      <c r="P453" t="str">
        <f>TRIM(PROPER(Tabla_auditoría[[#This Row],[País]]))</f>
        <v>España</v>
      </c>
      <c r="Q453" t="str">
        <f>TRIM(PROPER(Tabla_auditoría[[#This Row],[Dispositivo]]))</f>
        <v>Desktop</v>
      </c>
      <c r="R453" t="str">
        <f>TRIM(PROPER(Tabla_auditoría[[#This Row],[Tipo_Campaña]]))</f>
        <v>Retención</v>
      </c>
      <c r="S453" t="str">
        <f>TRIM(PROPER(Tabla_auditoría[[#This Row],[Responsable]]))</f>
        <v>Luis Martín</v>
      </c>
    </row>
    <row r="454" spans="1:19" x14ac:dyDescent="0.3">
      <c r="A454" s="1">
        <v>45886</v>
      </c>
      <c r="B454" s="2" t="s">
        <v>2535</v>
      </c>
      <c r="C454" s="2" t="s">
        <v>2543</v>
      </c>
      <c r="D454" s="2" t="s">
        <v>2528</v>
      </c>
      <c r="E454" s="2" t="s">
        <v>2529</v>
      </c>
      <c r="F454" s="3">
        <v>126353</v>
      </c>
      <c r="G454" s="3">
        <v>7459</v>
      </c>
      <c r="H454" s="3">
        <v>420</v>
      </c>
      <c r="I454" s="4">
        <v>14410.49</v>
      </c>
      <c r="J454" s="4">
        <v>69168.399999999994</v>
      </c>
      <c r="K454" s="3">
        <v>271</v>
      </c>
      <c r="L454" s="2" t="s">
        <v>2523</v>
      </c>
      <c r="M454" s="2" t="s">
        <v>2546</v>
      </c>
      <c r="N454" t="str">
        <f>TRIM(PROPER(Tabla_auditoría[[#This Row],[ID_Campaña]]))</f>
        <v>Cmp-015</v>
      </c>
      <c r="O454" t="str">
        <f>TRIM(PROPER(Tabla_auditoría[[#This Row],[Canal]]))</f>
        <v>Organic Social</v>
      </c>
      <c r="P454" t="str">
        <f>TRIM(PROPER(Tabla_auditoría[[#This Row],[País]]))</f>
        <v>España</v>
      </c>
      <c r="Q454" t="str">
        <f>TRIM(PROPER(Tabla_auditoría[[#This Row],[Dispositivo]]))</f>
        <v>Mobile</v>
      </c>
      <c r="R454" t="str">
        <f>TRIM(PROPER(Tabla_auditoría[[#This Row],[Tipo_Campaña]]))</f>
        <v>Retención</v>
      </c>
      <c r="S454" t="str">
        <f>TRIM(PROPER(Tabla_auditoría[[#This Row],[Responsable]]))</f>
        <v>Ana García</v>
      </c>
    </row>
    <row r="455" spans="1:19" x14ac:dyDescent="0.3">
      <c r="A455" s="1">
        <v>46016</v>
      </c>
      <c r="B455" s="2" t="s">
        <v>2550</v>
      </c>
      <c r="C455" s="2" t="s">
        <v>2527</v>
      </c>
      <c r="D455" s="2" t="s">
        <v>2531</v>
      </c>
      <c r="E455" s="2" t="s">
        <v>2529</v>
      </c>
      <c r="F455" s="3">
        <v>167064</v>
      </c>
      <c r="G455" s="3">
        <v>9010</v>
      </c>
      <c r="H455" s="3">
        <v>585</v>
      </c>
      <c r="I455" s="4">
        <v>1844.62</v>
      </c>
      <c r="J455" s="4">
        <v>57698.74</v>
      </c>
      <c r="K455" s="3">
        <v>296</v>
      </c>
      <c r="L455" s="2" t="s">
        <v>2523</v>
      </c>
      <c r="M455" s="2" t="s">
        <v>2526</v>
      </c>
      <c r="N455" t="str">
        <f>TRIM(PROPER(Tabla_auditoría[[#This Row],[ID_Campaña]]))</f>
        <v>Cmp-008</v>
      </c>
      <c r="O455" t="str">
        <f>TRIM(PROPER(Tabla_auditoría[[#This Row],[Canal]]))</f>
        <v>Affiliate</v>
      </c>
      <c r="P455" t="str">
        <f>TRIM(PROPER(Tabla_auditoría[[#This Row],[País]]))</f>
        <v>Portugal</v>
      </c>
      <c r="Q455" t="str">
        <f>TRIM(PROPER(Tabla_auditoría[[#This Row],[Dispositivo]]))</f>
        <v>Mobile</v>
      </c>
      <c r="R455" t="str">
        <f>TRIM(PROPER(Tabla_auditoría[[#This Row],[Tipo_Campaña]]))</f>
        <v>Retención</v>
      </c>
      <c r="S455" t="str">
        <f>TRIM(PROPER(Tabla_auditoría[[#This Row],[Responsable]]))</f>
        <v>Laura Pérez</v>
      </c>
    </row>
    <row r="456" spans="1:19" x14ac:dyDescent="0.3">
      <c r="A456" s="1">
        <v>45666</v>
      </c>
      <c r="B456" s="2" t="s">
        <v>2530</v>
      </c>
      <c r="C456" s="2" t="s">
        <v>2521</v>
      </c>
      <c r="D456" s="2" t="s">
        <v>2528</v>
      </c>
      <c r="E456" s="2" t="s">
        <v>2529</v>
      </c>
      <c r="F456" s="3">
        <v>101149</v>
      </c>
      <c r="G456" s="3">
        <v>1079</v>
      </c>
      <c r="H456" s="3">
        <v>97</v>
      </c>
      <c r="I456" s="4">
        <v>185.84</v>
      </c>
      <c r="J456" s="4">
        <v>11389.97</v>
      </c>
      <c r="K456" s="3">
        <v>60</v>
      </c>
      <c r="L456" s="2" t="s">
        <v>2518</v>
      </c>
      <c r="M456" s="2" t="s">
        <v>2546</v>
      </c>
      <c r="N456" t="str">
        <f>TRIM(PROPER(Tabla_auditoría[[#This Row],[ID_Campaña]]))</f>
        <v>Cmp-026</v>
      </c>
      <c r="O456" t="str">
        <f>TRIM(PROPER(Tabla_auditoría[[#This Row],[Canal]]))</f>
        <v>Paid Search</v>
      </c>
      <c r="P456" t="str">
        <f>TRIM(PROPER(Tabla_auditoría[[#This Row],[País]]))</f>
        <v>España</v>
      </c>
      <c r="Q456" t="str">
        <f>TRIM(PROPER(Tabla_auditoría[[#This Row],[Dispositivo]]))</f>
        <v>Mobile</v>
      </c>
      <c r="R456" t="str">
        <f>TRIM(PROPER(Tabla_auditoría[[#This Row],[Tipo_Campaña]]))</f>
        <v>Adquisición</v>
      </c>
      <c r="S456" t="str">
        <f>TRIM(PROPER(Tabla_auditoría[[#This Row],[Responsable]]))</f>
        <v>Ana García</v>
      </c>
    </row>
    <row r="457" spans="1:19" x14ac:dyDescent="0.3">
      <c r="A457" s="1">
        <v>45806</v>
      </c>
      <c r="B457" s="2" t="s">
        <v>2540</v>
      </c>
      <c r="C457" s="2" t="s">
        <v>2543</v>
      </c>
      <c r="D457" s="2" t="s">
        <v>2528</v>
      </c>
      <c r="E457" s="2" t="s">
        <v>2517</v>
      </c>
      <c r="F457" s="3">
        <v>97102</v>
      </c>
      <c r="G457" s="3">
        <v>8187</v>
      </c>
      <c r="H457" s="3">
        <v>807</v>
      </c>
      <c r="I457" s="4">
        <v>16591.560000000001</v>
      </c>
      <c r="J457" s="4">
        <v>163037.92000000001</v>
      </c>
      <c r="K457" s="3">
        <v>569</v>
      </c>
      <c r="L457" s="2" t="s">
        <v>2539</v>
      </c>
      <c r="M457" s="2" t="s">
        <v>2524</v>
      </c>
      <c r="N457" t="str">
        <f>TRIM(PROPER(Tabla_auditoría[[#This Row],[ID_Campaña]]))</f>
        <v>Cmp-017</v>
      </c>
      <c r="O457" t="str">
        <f>TRIM(PROPER(Tabla_auditoría[[#This Row],[Canal]]))</f>
        <v>Organic Social</v>
      </c>
      <c r="P457" t="str">
        <f>TRIM(PROPER(Tabla_auditoría[[#This Row],[País]]))</f>
        <v>España</v>
      </c>
      <c r="Q457" t="str">
        <f>TRIM(PROPER(Tabla_auditoría[[#This Row],[Dispositivo]]))</f>
        <v>Desktop</v>
      </c>
      <c r="R457" t="str">
        <f>TRIM(PROPER(Tabla_auditoría[[#This Row],[Tipo_Campaña]]))</f>
        <v>Conversión</v>
      </c>
      <c r="S457" t="str">
        <f>TRIM(PROPER(Tabla_auditoría[[#This Row],[Responsable]]))</f>
        <v>Luis Martín</v>
      </c>
    </row>
    <row r="458" spans="1:19" x14ac:dyDescent="0.3">
      <c r="A458" s="1">
        <v>45867</v>
      </c>
      <c r="B458" s="2" t="s">
        <v>2583</v>
      </c>
      <c r="C458" s="2" t="s">
        <v>2515</v>
      </c>
      <c r="D458" s="2" t="s">
        <v>2531</v>
      </c>
      <c r="E458" s="2" t="s">
        <v>2529</v>
      </c>
      <c r="F458" s="3">
        <v>88493</v>
      </c>
      <c r="G458" s="3">
        <v>670</v>
      </c>
      <c r="H458" s="3">
        <v>58</v>
      </c>
      <c r="I458" s="4">
        <v>984.3</v>
      </c>
      <c r="J458" s="4">
        <v>11436.83</v>
      </c>
      <c r="K458" s="3">
        <v>38</v>
      </c>
      <c r="L458" s="2" t="s">
        <v>2518</v>
      </c>
      <c r="M458" s="2" t="s">
        <v>2546</v>
      </c>
      <c r="N458" t="str">
        <f>TRIM(PROPER(Tabla_auditoría[[#This Row],[ID_Campaña]]))</f>
        <v>Cmp-001</v>
      </c>
      <c r="O458" t="str">
        <f>TRIM(PROPER(Tabla_auditoría[[#This Row],[Canal]]))</f>
        <v>Email</v>
      </c>
      <c r="P458" t="str">
        <f>TRIM(PROPER(Tabla_auditoría[[#This Row],[País]]))</f>
        <v>Portugal</v>
      </c>
      <c r="Q458" t="str">
        <f>TRIM(PROPER(Tabla_auditoría[[#This Row],[Dispositivo]]))</f>
        <v>Mobile</v>
      </c>
      <c r="R458" t="str">
        <f>TRIM(PROPER(Tabla_auditoría[[#This Row],[Tipo_Campaña]]))</f>
        <v>Adquisición</v>
      </c>
      <c r="S458" t="str">
        <f>TRIM(PROPER(Tabla_auditoría[[#This Row],[Responsable]]))</f>
        <v>Ana García</v>
      </c>
    </row>
    <row r="459" spans="1:19" x14ac:dyDescent="0.3">
      <c r="A459" s="1">
        <v>45839</v>
      </c>
      <c r="B459" s="2" t="s">
        <v>2551</v>
      </c>
      <c r="C459" s="2" t="s">
        <v>2521</v>
      </c>
      <c r="D459" s="2" t="s">
        <v>2528</v>
      </c>
      <c r="E459" s="2" t="s">
        <v>2517</v>
      </c>
      <c r="F459" s="3">
        <v>33457</v>
      </c>
      <c r="G459" s="3">
        <v>878</v>
      </c>
      <c r="H459" s="3">
        <v>49</v>
      </c>
      <c r="I459" s="4">
        <v>478.79</v>
      </c>
      <c r="J459" s="4">
        <v>7836.19</v>
      </c>
      <c r="K459" s="3">
        <v>22</v>
      </c>
      <c r="L459" s="2" t="s">
        <v>2523</v>
      </c>
      <c r="M459" s="2" t="s">
        <v>2537</v>
      </c>
      <c r="N459" t="str">
        <f>TRIM(PROPER(Tabla_auditoría[[#This Row],[ID_Campaña]]))</f>
        <v>Cmp-028</v>
      </c>
      <c r="O459" t="str">
        <f>TRIM(PROPER(Tabla_auditoría[[#This Row],[Canal]]))</f>
        <v>Paid Search</v>
      </c>
      <c r="P459" t="str">
        <f>TRIM(PROPER(Tabla_auditoría[[#This Row],[País]]))</f>
        <v>España</v>
      </c>
      <c r="Q459" t="str">
        <f>TRIM(PROPER(Tabla_auditoría[[#This Row],[Dispositivo]]))</f>
        <v>Desktop</v>
      </c>
      <c r="R459" t="str">
        <f>TRIM(PROPER(Tabla_auditoría[[#This Row],[Tipo_Campaña]]))</f>
        <v>Retención</v>
      </c>
      <c r="S459" t="str">
        <f>TRIM(PROPER(Tabla_auditoría[[#This Row],[Responsable]]))</f>
        <v>Marta López</v>
      </c>
    </row>
    <row r="460" spans="1:19" x14ac:dyDescent="0.3">
      <c r="A460" s="1">
        <v>45911</v>
      </c>
      <c r="B460" s="2" t="s">
        <v>2545</v>
      </c>
      <c r="C460" s="2" t="s">
        <v>2543</v>
      </c>
      <c r="D460" s="2" t="s">
        <v>2528</v>
      </c>
      <c r="E460" s="2" t="s">
        <v>2529</v>
      </c>
      <c r="F460" s="3">
        <v>70737</v>
      </c>
      <c r="G460" s="3">
        <v>984</v>
      </c>
      <c r="H460" s="3">
        <v>127</v>
      </c>
      <c r="I460" s="4">
        <v>341.17</v>
      </c>
      <c r="J460" s="4">
        <v>14379.5</v>
      </c>
      <c r="K460" s="3">
        <v>73</v>
      </c>
      <c r="L460" s="2" t="s">
        <v>2536</v>
      </c>
      <c r="M460" s="2" t="s">
        <v>2524</v>
      </c>
      <c r="N460" t="str">
        <f>TRIM(PROPER(Tabla_auditoría[[#This Row],[ID_Campaña]]))</f>
        <v>Cmp-011</v>
      </c>
      <c r="O460" t="str">
        <f>TRIM(PROPER(Tabla_auditoría[[#This Row],[Canal]]))</f>
        <v>Organic Social</v>
      </c>
      <c r="P460" t="str">
        <f>TRIM(PROPER(Tabla_auditoría[[#This Row],[País]]))</f>
        <v>España</v>
      </c>
      <c r="Q460" t="str">
        <f>TRIM(PROPER(Tabla_auditoría[[#This Row],[Dispositivo]]))</f>
        <v>Mobile</v>
      </c>
      <c r="R460" t="str">
        <f>TRIM(PROPER(Tabla_auditoría[[#This Row],[Tipo_Campaña]]))</f>
        <v>Reconocimiento</v>
      </c>
      <c r="S460" t="str">
        <f>TRIM(PROPER(Tabla_auditoría[[#This Row],[Responsable]]))</f>
        <v>Luis Martín</v>
      </c>
    </row>
    <row r="461" spans="1:19" x14ac:dyDescent="0.3">
      <c r="A461" s="1">
        <v>45983</v>
      </c>
      <c r="B461" s="2" t="s">
        <v>2556</v>
      </c>
      <c r="C461" s="2" t="s">
        <v>2521</v>
      </c>
      <c r="D461" s="2" t="s">
        <v>2528</v>
      </c>
      <c r="E461" s="2" t="s">
        <v>2529</v>
      </c>
      <c r="F461" s="3">
        <v>17808</v>
      </c>
      <c r="G461" s="3">
        <v>1303</v>
      </c>
      <c r="H461" s="3">
        <v>83</v>
      </c>
      <c r="I461" s="4">
        <v>1855.04</v>
      </c>
      <c r="J461" s="4">
        <v>16616.240000000002</v>
      </c>
      <c r="K461" s="3">
        <v>40</v>
      </c>
      <c r="L461" s="2" t="s">
        <v>2518</v>
      </c>
      <c r="M461" s="2" t="s">
        <v>2526</v>
      </c>
      <c r="N461" t="str">
        <f>TRIM(PROPER(Tabla_auditoría[[#This Row],[ID_Campaña]]))</f>
        <v>Cmp-014</v>
      </c>
      <c r="O461" t="str">
        <f>TRIM(PROPER(Tabla_auditoría[[#This Row],[Canal]]))</f>
        <v>Paid Search</v>
      </c>
      <c r="P461" t="str">
        <f>TRIM(PROPER(Tabla_auditoría[[#This Row],[País]]))</f>
        <v>España</v>
      </c>
      <c r="Q461" t="str">
        <f>TRIM(PROPER(Tabla_auditoría[[#This Row],[Dispositivo]]))</f>
        <v>Mobile</v>
      </c>
      <c r="R461" t="str">
        <f>TRIM(PROPER(Tabla_auditoría[[#This Row],[Tipo_Campaña]]))</f>
        <v>Adquisición</v>
      </c>
      <c r="S461" t="str">
        <f>TRIM(PROPER(Tabla_auditoría[[#This Row],[Responsable]]))</f>
        <v>Laura Pérez</v>
      </c>
    </row>
    <row r="462" spans="1:19" x14ac:dyDescent="0.3">
      <c r="A462" s="1">
        <v>45853</v>
      </c>
      <c r="B462" s="2" t="s">
        <v>2530</v>
      </c>
      <c r="C462" s="2" t="s">
        <v>2543</v>
      </c>
      <c r="D462" s="2" t="s">
        <v>2525</v>
      </c>
      <c r="E462" s="2" t="s">
        <v>2529</v>
      </c>
      <c r="F462" s="3">
        <v>30254</v>
      </c>
      <c r="G462" s="3">
        <v>796</v>
      </c>
      <c r="H462" s="3">
        <v>80</v>
      </c>
      <c r="I462" s="4">
        <v>771.88</v>
      </c>
      <c r="J462" s="4">
        <v>16777.560000000001</v>
      </c>
      <c r="K462" s="3">
        <v>49</v>
      </c>
      <c r="L462" s="2" t="s">
        <v>2518</v>
      </c>
      <c r="M462" s="2" t="s">
        <v>2519</v>
      </c>
      <c r="N462" t="str">
        <f>TRIM(PROPER(Tabla_auditoría[[#This Row],[ID_Campaña]]))</f>
        <v>Cmp-026</v>
      </c>
      <c r="O462" t="str">
        <f>TRIM(PROPER(Tabla_auditoría[[#This Row],[Canal]]))</f>
        <v>Organic Social</v>
      </c>
      <c r="P462" t="str">
        <f>TRIM(PROPER(Tabla_auditoría[[#This Row],[País]]))</f>
        <v>Francia</v>
      </c>
      <c r="Q462" t="str">
        <f>TRIM(PROPER(Tabla_auditoría[[#This Row],[Dispositivo]]))</f>
        <v>Mobile</v>
      </c>
      <c r="R462" t="str">
        <f>TRIM(PROPER(Tabla_auditoría[[#This Row],[Tipo_Campaña]]))</f>
        <v>Adquisición</v>
      </c>
      <c r="S462" t="str">
        <f>TRIM(PROPER(Tabla_auditoría[[#This Row],[Responsable]]))</f>
        <v>Carlos Ruiz</v>
      </c>
    </row>
    <row r="463" spans="1:19" x14ac:dyDescent="0.3">
      <c r="A463" s="1">
        <v>45775</v>
      </c>
      <c r="B463" s="2" t="s">
        <v>2552</v>
      </c>
      <c r="C463" s="2" t="s">
        <v>2533</v>
      </c>
      <c r="D463" s="2" t="s">
        <v>2528</v>
      </c>
      <c r="E463" s="2" t="s">
        <v>2517</v>
      </c>
      <c r="F463" s="3">
        <v>170054</v>
      </c>
      <c r="G463" s="3">
        <v>11704</v>
      </c>
      <c r="H463" s="3">
        <v>505</v>
      </c>
      <c r="I463" s="4">
        <v>20554.32</v>
      </c>
      <c r="J463" s="4">
        <v>10064.43</v>
      </c>
      <c r="K463" s="3">
        <v>446</v>
      </c>
      <c r="L463" s="2" t="s">
        <v>2518</v>
      </c>
      <c r="M463" s="2" t="s">
        <v>2519</v>
      </c>
      <c r="N463" t="str">
        <f>TRIM(PROPER(Tabla_auditoría[[#This Row],[ID_Campaña]]))</f>
        <v>Cmp-012</v>
      </c>
      <c r="O463" t="str">
        <f>TRIM(PROPER(Tabla_auditoría[[#This Row],[Canal]]))</f>
        <v>Paid Social</v>
      </c>
      <c r="P463" t="str">
        <f>TRIM(PROPER(Tabla_auditoría[[#This Row],[País]]))</f>
        <v>España</v>
      </c>
      <c r="Q463" t="str">
        <f>TRIM(PROPER(Tabla_auditoría[[#This Row],[Dispositivo]]))</f>
        <v>Desktop</v>
      </c>
      <c r="R463" t="str">
        <f>TRIM(PROPER(Tabla_auditoría[[#This Row],[Tipo_Campaña]]))</f>
        <v>Adquisición</v>
      </c>
      <c r="S463" t="str">
        <f>TRIM(PROPER(Tabla_auditoría[[#This Row],[Responsable]]))</f>
        <v>Carlos Ruiz</v>
      </c>
    </row>
    <row r="464" spans="1:19" x14ac:dyDescent="0.3">
      <c r="A464" s="1">
        <v>45786</v>
      </c>
      <c r="B464" s="2" t="s">
        <v>2532</v>
      </c>
      <c r="C464" s="2" t="s">
        <v>2515</v>
      </c>
      <c r="D464" s="2" t="s">
        <v>2528</v>
      </c>
      <c r="E464" s="2" t="s">
        <v>2517</v>
      </c>
      <c r="F464" s="3">
        <v>104176</v>
      </c>
      <c r="G464" s="3">
        <v>1171</v>
      </c>
      <c r="H464" s="3">
        <v>58</v>
      </c>
      <c r="I464" s="4">
        <v>2416.0500000000002</v>
      </c>
      <c r="J464" s="4">
        <v>9910.9599999999991</v>
      </c>
      <c r="K464" s="3">
        <v>40</v>
      </c>
      <c r="L464" s="2" t="s">
        <v>2523</v>
      </c>
      <c r="M464" s="2" t="s">
        <v>2519</v>
      </c>
      <c r="N464" t="str">
        <f>TRIM(PROPER(Tabla_auditoría[[#This Row],[ID_Campaña]]))</f>
        <v>Cmp-022</v>
      </c>
      <c r="O464" t="str">
        <f>TRIM(PROPER(Tabla_auditoría[[#This Row],[Canal]]))</f>
        <v>Email</v>
      </c>
      <c r="P464" t="str">
        <f>TRIM(PROPER(Tabla_auditoría[[#This Row],[País]]))</f>
        <v>España</v>
      </c>
      <c r="Q464" t="str">
        <f>TRIM(PROPER(Tabla_auditoría[[#This Row],[Dispositivo]]))</f>
        <v>Desktop</v>
      </c>
      <c r="R464" t="str">
        <f>TRIM(PROPER(Tabla_auditoría[[#This Row],[Tipo_Campaña]]))</f>
        <v>Retención</v>
      </c>
      <c r="S464" t="str">
        <f>TRIM(PROPER(Tabla_auditoría[[#This Row],[Responsable]]))</f>
        <v>Carlos Ruiz</v>
      </c>
    </row>
    <row r="465" spans="1:19" x14ac:dyDescent="0.3">
      <c r="A465" s="1">
        <v>45936</v>
      </c>
      <c r="B465" s="2" t="s">
        <v>2555</v>
      </c>
      <c r="C465" s="2" t="s">
        <v>2527</v>
      </c>
      <c r="D465" s="2" t="s">
        <v>2528</v>
      </c>
      <c r="E465" s="2" t="s">
        <v>2529</v>
      </c>
      <c r="F465" s="3">
        <v>102542</v>
      </c>
      <c r="G465" s="3">
        <v>8517</v>
      </c>
      <c r="H465" s="3">
        <v>670</v>
      </c>
      <c r="I465" s="4">
        <v>10658.49</v>
      </c>
      <c r="J465" s="4">
        <v>111826.33</v>
      </c>
      <c r="K465" s="3">
        <v>306</v>
      </c>
      <c r="L465" s="2" t="s">
        <v>2523</v>
      </c>
      <c r="M465" s="2" t="s">
        <v>2546</v>
      </c>
      <c r="N465" t="str">
        <f>TRIM(PROPER(Tabla_auditoría[[#This Row],[ID_Campaña]]))</f>
        <v>Cmp-010</v>
      </c>
      <c r="O465" t="str">
        <f>TRIM(PROPER(Tabla_auditoría[[#This Row],[Canal]]))</f>
        <v>Affiliate</v>
      </c>
      <c r="P465" t="str">
        <f>TRIM(PROPER(Tabla_auditoría[[#This Row],[País]]))</f>
        <v>España</v>
      </c>
      <c r="Q465" t="str">
        <f>TRIM(PROPER(Tabla_auditoría[[#This Row],[Dispositivo]]))</f>
        <v>Mobile</v>
      </c>
      <c r="R465" t="str">
        <f>TRIM(PROPER(Tabla_auditoría[[#This Row],[Tipo_Campaña]]))</f>
        <v>Retención</v>
      </c>
      <c r="S465" t="str">
        <f>TRIM(PROPER(Tabla_auditoría[[#This Row],[Responsable]]))</f>
        <v>Ana García</v>
      </c>
    </row>
    <row r="466" spans="1:19" x14ac:dyDescent="0.3">
      <c r="A466" s="1">
        <v>45688</v>
      </c>
      <c r="B466" s="2" t="s">
        <v>2567</v>
      </c>
      <c r="C466" s="2" t="s">
        <v>2527</v>
      </c>
      <c r="D466" s="2" t="s">
        <v>2528</v>
      </c>
      <c r="E466" s="2" t="s">
        <v>2517</v>
      </c>
      <c r="F466" s="3">
        <v>120231</v>
      </c>
      <c r="G466" s="3">
        <v>6423</v>
      </c>
      <c r="H466" s="3">
        <v>316</v>
      </c>
      <c r="I466" s="4">
        <v>6005.11</v>
      </c>
      <c r="J466" s="4">
        <v>63165.760000000002</v>
      </c>
      <c r="K466" s="3">
        <v>188</v>
      </c>
      <c r="L466" s="2" t="s">
        <v>2536</v>
      </c>
      <c r="M466" s="2" t="s">
        <v>2519</v>
      </c>
      <c r="N466" t="str">
        <f>TRIM(PROPER(Tabla_auditoría[[#This Row],[ID_Campaña]]))</f>
        <v>Cmp-021</v>
      </c>
      <c r="O466" t="str">
        <f>TRIM(PROPER(Tabla_auditoría[[#This Row],[Canal]]))</f>
        <v>Affiliate</v>
      </c>
      <c r="P466" t="str">
        <f>TRIM(PROPER(Tabla_auditoría[[#This Row],[País]]))</f>
        <v>España</v>
      </c>
      <c r="Q466" t="str">
        <f>TRIM(PROPER(Tabla_auditoría[[#This Row],[Dispositivo]]))</f>
        <v>Desktop</v>
      </c>
      <c r="R466" t="str">
        <f>TRIM(PROPER(Tabla_auditoría[[#This Row],[Tipo_Campaña]]))</f>
        <v>Reconocimiento</v>
      </c>
      <c r="S466" t="str">
        <f>TRIM(PROPER(Tabla_auditoría[[#This Row],[Responsable]]))</f>
        <v>Carlos Ruiz</v>
      </c>
    </row>
    <row r="467" spans="1:19" x14ac:dyDescent="0.3">
      <c r="A467" s="1">
        <v>45693</v>
      </c>
      <c r="B467" s="2" t="s">
        <v>2547</v>
      </c>
      <c r="D467" s="2" t="s">
        <v>2522</v>
      </c>
      <c r="E467" s="2" t="s">
        <v>2517</v>
      </c>
      <c r="F467" s="3">
        <v>52009</v>
      </c>
      <c r="G467" s="3">
        <v>1548</v>
      </c>
      <c r="H467" s="3">
        <v>203</v>
      </c>
      <c r="I467" s="4">
        <v>1936.84</v>
      </c>
      <c r="J467" s="4">
        <v>19790.669999999998</v>
      </c>
      <c r="K467" s="3">
        <v>158</v>
      </c>
      <c r="L467" s="2" t="s">
        <v>2536</v>
      </c>
      <c r="M467" s="2" t="s">
        <v>2546</v>
      </c>
      <c r="N467" t="str">
        <f>TRIM(PROPER(Tabla_auditoría[[#This Row],[ID_Campaña]]))</f>
        <v>Cmp-018</v>
      </c>
      <c r="O467" t="str">
        <f>TRIM(PROPER(Tabla_auditoría[[#This Row],[Canal]]))</f>
        <v/>
      </c>
      <c r="P467" t="str">
        <f>TRIM(PROPER(Tabla_auditoría[[#This Row],[País]]))</f>
        <v>Italia</v>
      </c>
      <c r="Q467" t="str">
        <f>TRIM(PROPER(Tabla_auditoría[[#This Row],[Dispositivo]]))</f>
        <v>Desktop</v>
      </c>
      <c r="R467" t="str">
        <f>TRIM(PROPER(Tabla_auditoría[[#This Row],[Tipo_Campaña]]))</f>
        <v>Reconocimiento</v>
      </c>
      <c r="S467" t="str">
        <f>TRIM(PROPER(Tabla_auditoría[[#This Row],[Responsable]]))</f>
        <v>Ana García</v>
      </c>
    </row>
    <row r="468" spans="1:19" x14ac:dyDescent="0.3">
      <c r="A468" s="1">
        <v>45900</v>
      </c>
      <c r="B468" s="2" t="s">
        <v>2560</v>
      </c>
      <c r="C468" s="2" t="s">
        <v>2527</v>
      </c>
      <c r="D468" s="2" t="s">
        <v>2528</v>
      </c>
      <c r="E468" s="2" t="s">
        <v>2534</v>
      </c>
      <c r="F468" s="3">
        <v>96760</v>
      </c>
      <c r="G468" s="3">
        <v>7031</v>
      </c>
      <c r="H468" s="3">
        <v>341</v>
      </c>
      <c r="I468" s="4">
        <v>12676.24</v>
      </c>
      <c r="J468" s="4">
        <v>41745.440000000002</v>
      </c>
      <c r="K468" s="3">
        <v>297</v>
      </c>
      <c r="L468" s="2" t="s">
        <v>2523</v>
      </c>
      <c r="M468" s="2" t="s">
        <v>2526</v>
      </c>
      <c r="N468" t="str">
        <f>TRIM(PROPER(Tabla_auditoría[[#This Row],[ID_Campaña]]))</f>
        <v>Cmp-027</v>
      </c>
      <c r="O468" t="str">
        <f>TRIM(PROPER(Tabla_auditoría[[#This Row],[Canal]]))</f>
        <v>Affiliate</v>
      </c>
      <c r="P468" t="str">
        <f>TRIM(PROPER(Tabla_auditoría[[#This Row],[País]]))</f>
        <v>España</v>
      </c>
      <c r="Q468" t="str">
        <f>TRIM(PROPER(Tabla_auditoría[[#This Row],[Dispositivo]]))</f>
        <v>Tablet</v>
      </c>
      <c r="R468" t="str">
        <f>TRIM(PROPER(Tabla_auditoría[[#This Row],[Tipo_Campaña]]))</f>
        <v>Retención</v>
      </c>
      <c r="S468" t="str">
        <f>TRIM(PROPER(Tabla_auditoría[[#This Row],[Responsable]]))</f>
        <v>Laura Pérez</v>
      </c>
    </row>
    <row r="469" spans="1:19" x14ac:dyDescent="0.3">
      <c r="A469" s="1">
        <v>45720</v>
      </c>
      <c r="B469" s="2" t="s">
        <v>2551</v>
      </c>
      <c r="C469" s="2" t="s">
        <v>2515</v>
      </c>
      <c r="D469" s="2" t="s">
        <v>2528</v>
      </c>
      <c r="E469" s="2" t="s">
        <v>2529</v>
      </c>
      <c r="F469" s="3">
        <v>51941</v>
      </c>
      <c r="G469" s="3">
        <v>1100</v>
      </c>
      <c r="H469" s="3">
        <v>107</v>
      </c>
      <c r="I469" s="4">
        <v>1030.4100000000001</v>
      </c>
      <c r="J469" s="4">
        <v>5595.7</v>
      </c>
      <c r="K469" s="3">
        <v>65</v>
      </c>
      <c r="L469" s="2" t="s">
        <v>2518</v>
      </c>
      <c r="M469" s="2" t="s">
        <v>2524</v>
      </c>
      <c r="N469" t="str">
        <f>TRIM(PROPER(Tabla_auditoría[[#This Row],[ID_Campaña]]))</f>
        <v>Cmp-028</v>
      </c>
      <c r="O469" t="str">
        <f>TRIM(PROPER(Tabla_auditoría[[#This Row],[Canal]]))</f>
        <v>Email</v>
      </c>
      <c r="P469" t="str">
        <f>TRIM(PROPER(Tabla_auditoría[[#This Row],[País]]))</f>
        <v>España</v>
      </c>
      <c r="Q469" t="str">
        <f>TRIM(PROPER(Tabla_auditoría[[#This Row],[Dispositivo]]))</f>
        <v>Mobile</v>
      </c>
      <c r="R469" t="str">
        <f>TRIM(PROPER(Tabla_auditoría[[#This Row],[Tipo_Campaña]]))</f>
        <v>Adquisición</v>
      </c>
      <c r="S469" t="str">
        <f>TRIM(PROPER(Tabla_auditoría[[#This Row],[Responsable]]))</f>
        <v>Luis Martín</v>
      </c>
    </row>
    <row r="470" spans="1:19" x14ac:dyDescent="0.3">
      <c r="A470" s="1">
        <v>45745</v>
      </c>
      <c r="B470" s="2" t="s">
        <v>2540</v>
      </c>
      <c r="C470" s="2" t="s">
        <v>2533</v>
      </c>
      <c r="D470" s="2" t="s">
        <v>2528</v>
      </c>
      <c r="E470" s="2" t="s">
        <v>2534</v>
      </c>
      <c r="F470" s="3">
        <v>165122</v>
      </c>
      <c r="G470" s="3">
        <v>1090</v>
      </c>
      <c r="H470" s="3">
        <v>59</v>
      </c>
      <c r="I470" s="4">
        <v>1829</v>
      </c>
      <c r="J470" s="4">
        <v>10940.79</v>
      </c>
      <c r="K470" s="3">
        <v>48</v>
      </c>
      <c r="L470" s="2" t="s">
        <v>2539</v>
      </c>
      <c r="M470" s="2" t="s">
        <v>2526</v>
      </c>
      <c r="N470" t="str">
        <f>TRIM(PROPER(Tabla_auditoría[[#This Row],[ID_Campaña]]))</f>
        <v>Cmp-017</v>
      </c>
      <c r="O470" t="str">
        <f>TRIM(PROPER(Tabla_auditoría[[#This Row],[Canal]]))</f>
        <v>Paid Social</v>
      </c>
      <c r="P470" t="str">
        <f>TRIM(PROPER(Tabla_auditoría[[#This Row],[País]]))</f>
        <v>España</v>
      </c>
      <c r="Q470" t="str">
        <f>TRIM(PROPER(Tabla_auditoría[[#This Row],[Dispositivo]]))</f>
        <v>Tablet</v>
      </c>
      <c r="R470" t="str">
        <f>TRIM(PROPER(Tabla_auditoría[[#This Row],[Tipo_Campaña]]))</f>
        <v>Conversión</v>
      </c>
      <c r="S470" t="str">
        <f>TRIM(PROPER(Tabla_auditoría[[#This Row],[Responsable]]))</f>
        <v>Laura Pérez</v>
      </c>
    </row>
    <row r="471" spans="1:19" x14ac:dyDescent="0.3">
      <c r="A471" s="1">
        <v>45658</v>
      </c>
      <c r="B471" s="2" t="s">
        <v>2520</v>
      </c>
      <c r="C471" s="2" t="s">
        <v>2541</v>
      </c>
      <c r="D471" s="2" t="s">
        <v>2528</v>
      </c>
      <c r="E471" s="2" t="s">
        <v>2529</v>
      </c>
      <c r="F471" s="3">
        <v>67512</v>
      </c>
      <c r="G471" s="3">
        <v>1190</v>
      </c>
      <c r="H471" s="3">
        <v>71</v>
      </c>
      <c r="I471" s="4">
        <v>438.72</v>
      </c>
      <c r="J471" s="4">
        <v>7858.76</v>
      </c>
      <c r="K471" s="3">
        <v>40</v>
      </c>
      <c r="L471" s="2" t="s">
        <v>2518</v>
      </c>
      <c r="M471" s="2" t="s">
        <v>2519</v>
      </c>
      <c r="N471" t="str">
        <f>TRIM(PROPER(Tabla_auditoría[[#This Row],[ID_Campaña]]))</f>
        <v>Cmp-009</v>
      </c>
      <c r="O471" t="str">
        <f>TRIM(PROPER(Tabla_auditoría[[#This Row],[Canal]]))</f>
        <v>Display</v>
      </c>
      <c r="P471" t="str">
        <f>TRIM(PROPER(Tabla_auditoría[[#This Row],[País]]))</f>
        <v>España</v>
      </c>
      <c r="Q471" t="str">
        <f>TRIM(PROPER(Tabla_auditoría[[#This Row],[Dispositivo]]))</f>
        <v>Mobile</v>
      </c>
      <c r="R471" t="str">
        <f>TRIM(PROPER(Tabla_auditoría[[#This Row],[Tipo_Campaña]]))</f>
        <v>Adquisición</v>
      </c>
      <c r="S471" t="str">
        <f>TRIM(PROPER(Tabla_auditoría[[#This Row],[Responsable]]))</f>
        <v>Carlos Ruiz</v>
      </c>
    </row>
    <row r="472" spans="1:19" x14ac:dyDescent="0.3">
      <c r="A472" s="1">
        <v>45707</v>
      </c>
      <c r="B472" s="2" t="s">
        <v>2570</v>
      </c>
      <c r="C472" s="2" t="s">
        <v>2527</v>
      </c>
      <c r="D472" s="2" t="s">
        <v>2573</v>
      </c>
      <c r="E472" s="2" t="s">
        <v>2517</v>
      </c>
      <c r="F472" s="3">
        <v>12575</v>
      </c>
      <c r="G472" s="3">
        <v>906</v>
      </c>
      <c r="H472" s="3">
        <v>117</v>
      </c>
      <c r="I472" s="4">
        <v>903.69</v>
      </c>
      <c r="J472" s="4">
        <v>12176.09</v>
      </c>
      <c r="K472" s="3">
        <v>65</v>
      </c>
      <c r="L472" s="2" t="s">
        <v>2518</v>
      </c>
      <c r="M472" s="2" t="s">
        <v>2537</v>
      </c>
      <c r="N472" t="str">
        <f>TRIM(PROPER(Tabla_auditoría[[#This Row],[ID_Campaña]]))</f>
        <v>Cmp-016</v>
      </c>
      <c r="O472" t="str">
        <f>TRIM(PROPER(Tabla_auditoría[[#This Row],[Canal]]))</f>
        <v>Affiliate</v>
      </c>
      <c r="P472" t="str">
        <f>TRIM(PROPER(Tabla_auditoría[[#This Row],[País]]))</f>
        <v>España</v>
      </c>
      <c r="Q472" t="str">
        <f>TRIM(PROPER(Tabla_auditoría[[#This Row],[Dispositivo]]))</f>
        <v>Desktop</v>
      </c>
      <c r="R472" t="str">
        <f>TRIM(PROPER(Tabla_auditoría[[#This Row],[Tipo_Campaña]]))</f>
        <v>Adquisición</v>
      </c>
      <c r="S472" t="str">
        <f>TRIM(PROPER(Tabla_auditoría[[#This Row],[Responsable]]))</f>
        <v>Marta López</v>
      </c>
    </row>
    <row r="473" spans="1:19" x14ac:dyDescent="0.3">
      <c r="A473" s="1">
        <v>45674</v>
      </c>
      <c r="B473" s="2" t="s">
        <v>2557</v>
      </c>
      <c r="C473" s="2" t="s">
        <v>2543</v>
      </c>
      <c r="D473" s="2" t="s">
        <v>2528</v>
      </c>
      <c r="E473" s="2" t="s">
        <v>2529</v>
      </c>
      <c r="F473" s="3">
        <v>38973</v>
      </c>
      <c r="G473" s="3">
        <v>2999</v>
      </c>
      <c r="H473" s="3">
        <v>60</v>
      </c>
      <c r="I473" s="4">
        <v>1961.62</v>
      </c>
      <c r="J473" s="4">
        <v>12565.59</v>
      </c>
      <c r="K473" s="3">
        <v>43</v>
      </c>
      <c r="L473" s="2" t="s">
        <v>2536</v>
      </c>
      <c r="M473" s="2" t="s">
        <v>2546</v>
      </c>
      <c r="N473" t="str">
        <f>TRIM(PROPER(Tabla_auditoría[[#This Row],[ID_Campaña]]))</f>
        <v>Cmp-030</v>
      </c>
      <c r="O473" t="str">
        <f>TRIM(PROPER(Tabla_auditoría[[#This Row],[Canal]]))</f>
        <v>Organic Social</v>
      </c>
      <c r="P473" t="str">
        <f>TRIM(PROPER(Tabla_auditoría[[#This Row],[País]]))</f>
        <v>España</v>
      </c>
      <c r="Q473" t="str">
        <f>TRIM(PROPER(Tabla_auditoría[[#This Row],[Dispositivo]]))</f>
        <v>Mobile</v>
      </c>
      <c r="R473" t="str">
        <f>TRIM(PROPER(Tabla_auditoría[[#This Row],[Tipo_Campaña]]))</f>
        <v>Reconocimiento</v>
      </c>
      <c r="S473" t="str">
        <f>TRIM(PROPER(Tabla_auditoría[[#This Row],[Responsable]]))</f>
        <v>Ana García</v>
      </c>
    </row>
    <row r="474" spans="1:19" x14ac:dyDescent="0.3">
      <c r="A474" s="1">
        <v>45707</v>
      </c>
      <c r="B474" s="2" t="s">
        <v>2532</v>
      </c>
      <c r="C474" s="2" t="s">
        <v>2541</v>
      </c>
      <c r="D474" s="2" t="s">
        <v>2528</v>
      </c>
      <c r="E474" s="2" t="s">
        <v>2534</v>
      </c>
      <c r="F474" s="3">
        <v>77086</v>
      </c>
      <c r="G474" s="3">
        <v>2539</v>
      </c>
      <c r="H474" s="3">
        <v>145</v>
      </c>
      <c r="I474" s="4">
        <v>1838.19</v>
      </c>
      <c r="J474" s="4">
        <v>15663.22</v>
      </c>
      <c r="K474" s="3">
        <v>77</v>
      </c>
      <c r="L474" s="2" t="s">
        <v>2518</v>
      </c>
      <c r="M474" s="2" t="s">
        <v>2546</v>
      </c>
      <c r="N474" t="str">
        <f>TRIM(PROPER(Tabla_auditoría[[#This Row],[ID_Campaña]]))</f>
        <v>Cmp-022</v>
      </c>
      <c r="O474" t="str">
        <f>TRIM(PROPER(Tabla_auditoría[[#This Row],[Canal]]))</f>
        <v>Display</v>
      </c>
      <c r="P474" t="str">
        <f>TRIM(PROPER(Tabla_auditoría[[#This Row],[País]]))</f>
        <v>España</v>
      </c>
      <c r="Q474" t="str">
        <f>TRIM(PROPER(Tabla_auditoría[[#This Row],[Dispositivo]]))</f>
        <v>Tablet</v>
      </c>
      <c r="R474" t="str">
        <f>TRIM(PROPER(Tabla_auditoría[[#This Row],[Tipo_Campaña]]))</f>
        <v>Adquisición</v>
      </c>
      <c r="S474" t="str">
        <f>TRIM(PROPER(Tabla_auditoría[[#This Row],[Responsable]]))</f>
        <v>Ana García</v>
      </c>
    </row>
    <row r="475" spans="1:19" x14ac:dyDescent="0.3">
      <c r="A475" s="1">
        <v>45785</v>
      </c>
      <c r="B475" s="2" t="s">
        <v>2560</v>
      </c>
      <c r="C475" s="2" t="s">
        <v>2541</v>
      </c>
      <c r="D475" s="2" t="s">
        <v>2528</v>
      </c>
      <c r="E475" s="2" t="s">
        <v>2517</v>
      </c>
      <c r="F475" s="3">
        <v>161276</v>
      </c>
      <c r="G475" s="3">
        <v>3955</v>
      </c>
      <c r="H475" s="3">
        <v>528</v>
      </c>
      <c r="I475" s="4">
        <v>3484.76</v>
      </c>
      <c r="J475" s="4">
        <v>105186.74</v>
      </c>
      <c r="K475" s="3">
        <v>361</v>
      </c>
      <c r="L475" s="2" t="s">
        <v>2523</v>
      </c>
      <c r="M475" s="2" t="s">
        <v>2546</v>
      </c>
      <c r="N475" t="str">
        <f>TRIM(PROPER(Tabla_auditoría[[#This Row],[ID_Campaña]]))</f>
        <v>Cmp-027</v>
      </c>
      <c r="O475" t="str">
        <f>TRIM(PROPER(Tabla_auditoría[[#This Row],[Canal]]))</f>
        <v>Display</v>
      </c>
      <c r="P475" t="str">
        <f>TRIM(PROPER(Tabla_auditoría[[#This Row],[País]]))</f>
        <v>España</v>
      </c>
      <c r="Q475" t="str">
        <f>TRIM(PROPER(Tabla_auditoría[[#This Row],[Dispositivo]]))</f>
        <v>Desktop</v>
      </c>
      <c r="R475" t="str">
        <f>TRIM(PROPER(Tabla_auditoría[[#This Row],[Tipo_Campaña]]))</f>
        <v>Retención</v>
      </c>
      <c r="S475" t="str">
        <f>TRIM(PROPER(Tabla_auditoría[[#This Row],[Responsable]]))</f>
        <v>Ana García</v>
      </c>
    </row>
    <row r="476" spans="1:19" x14ac:dyDescent="0.3">
      <c r="A476" s="1">
        <v>45825</v>
      </c>
      <c r="B476" s="2" t="s">
        <v>2542</v>
      </c>
      <c r="C476" s="2" t="s">
        <v>2533</v>
      </c>
      <c r="D476" s="2" t="s">
        <v>2528</v>
      </c>
      <c r="E476" s="2" t="s">
        <v>2529</v>
      </c>
      <c r="F476" s="3">
        <v>26122</v>
      </c>
      <c r="G476" s="3">
        <v>499</v>
      </c>
      <c r="H476" s="3">
        <v>57</v>
      </c>
      <c r="I476" s="4">
        <v>293.72000000000003</v>
      </c>
      <c r="J476" s="4">
        <v>4039.17</v>
      </c>
      <c r="K476" s="3">
        <v>46</v>
      </c>
      <c r="L476" s="2" t="s">
        <v>2518</v>
      </c>
      <c r="M476" s="2" t="s">
        <v>2526</v>
      </c>
      <c r="N476" t="str">
        <f>TRIM(PROPER(Tabla_auditoría[[#This Row],[ID_Campaña]]))</f>
        <v>Cmp-025</v>
      </c>
      <c r="O476" t="str">
        <f>TRIM(PROPER(Tabla_auditoría[[#This Row],[Canal]]))</f>
        <v>Paid Social</v>
      </c>
      <c r="P476" t="str">
        <f>TRIM(PROPER(Tabla_auditoría[[#This Row],[País]]))</f>
        <v>España</v>
      </c>
      <c r="Q476" t="str">
        <f>TRIM(PROPER(Tabla_auditoría[[#This Row],[Dispositivo]]))</f>
        <v>Mobile</v>
      </c>
      <c r="R476" t="str">
        <f>TRIM(PROPER(Tabla_auditoría[[#This Row],[Tipo_Campaña]]))</f>
        <v>Adquisición</v>
      </c>
      <c r="S476" t="str">
        <f>TRIM(PROPER(Tabla_auditoría[[#This Row],[Responsable]]))</f>
        <v>Laura Pérez</v>
      </c>
    </row>
    <row r="477" spans="1:19" x14ac:dyDescent="0.3">
      <c r="A477" s="1">
        <v>45992</v>
      </c>
      <c r="B477" s="2" t="s">
        <v>2563</v>
      </c>
      <c r="C477" s="2" t="s">
        <v>2527</v>
      </c>
      <c r="D477" s="2" t="s">
        <v>2522</v>
      </c>
      <c r="E477" s="2" t="s">
        <v>2529</v>
      </c>
      <c r="F477" s="3">
        <v>42728</v>
      </c>
      <c r="G477" s="3">
        <v>3632</v>
      </c>
      <c r="H477" s="3">
        <v>355</v>
      </c>
      <c r="I477" s="4">
        <v>1449.5</v>
      </c>
      <c r="J477" s="4">
        <v>48137.66</v>
      </c>
      <c r="K477" s="3">
        <v>226</v>
      </c>
      <c r="L477" s="2" t="s">
        <v>2523</v>
      </c>
      <c r="M477" s="2" t="s">
        <v>2519</v>
      </c>
      <c r="N477" t="str">
        <f>TRIM(PROPER(Tabla_auditoría[[#This Row],[ID_Campaña]]))</f>
        <v>Cmp-023</v>
      </c>
      <c r="O477" t="str">
        <f>TRIM(PROPER(Tabla_auditoría[[#This Row],[Canal]]))</f>
        <v>Affiliate</v>
      </c>
      <c r="P477" t="str">
        <f>TRIM(PROPER(Tabla_auditoría[[#This Row],[País]]))</f>
        <v>Italia</v>
      </c>
      <c r="Q477" t="str">
        <f>TRIM(PROPER(Tabla_auditoría[[#This Row],[Dispositivo]]))</f>
        <v>Mobile</v>
      </c>
      <c r="R477" t="str">
        <f>TRIM(PROPER(Tabla_auditoría[[#This Row],[Tipo_Campaña]]))</f>
        <v>Retención</v>
      </c>
      <c r="S477" t="str">
        <f>TRIM(PROPER(Tabla_auditoría[[#This Row],[Responsable]]))</f>
        <v>Carlos Ruiz</v>
      </c>
    </row>
    <row r="478" spans="1:19" x14ac:dyDescent="0.3">
      <c r="A478" s="1">
        <v>45857</v>
      </c>
      <c r="B478" s="2" t="s">
        <v>2570</v>
      </c>
      <c r="C478" s="2" t="s">
        <v>2527</v>
      </c>
      <c r="D478" s="2" t="s">
        <v>2531</v>
      </c>
      <c r="E478" s="2" t="s">
        <v>2529</v>
      </c>
      <c r="F478" s="3">
        <v>155371</v>
      </c>
      <c r="G478" s="3">
        <v>7786</v>
      </c>
      <c r="H478" s="3">
        <v>424</v>
      </c>
      <c r="I478" s="4">
        <v>8660.42</v>
      </c>
      <c r="J478" s="4">
        <v>47785.440000000002</v>
      </c>
      <c r="K478" s="3">
        <v>227</v>
      </c>
      <c r="L478" s="2" t="s">
        <v>2523</v>
      </c>
      <c r="M478" s="2" t="s">
        <v>2537</v>
      </c>
      <c r="N478" t="str">
        <f>TRIM(PROPER(Tabla_auditoría[[#This Row],[ID_Campaña]]))</f>
        <v>Cmp-016</v>
      </c>
      <c r="O478" t="str">
        <f>TRIM(PROPER(Tabla_auditoría[[#This Row],[Canal]]))</f>
        <v>Affiliate</v>
      </c>
      <c r="P478" t="str">
        <f>TRIM(PROPER(Tabla_auditoría[[#This Row],[País]]))</f>
        <v>Portugal</v>
      </c>
      <c r="Q478" t="str">
        <f>TRIM(PROPER(Tabla_auditoría[[#This Row],[Dispositivo]]))</f>
        <v>Mobile</v>
      </c>
      <c r="R478" t="str">
        <f>TRIM(PROPER(Tabla_auditoría[[#This Row],[Tipo_Campaña]]))</f>
        <v>Retención</v>
      </c>
      <c r="S478" t="str">
        <f>TRIM(PROPER(Tabla_auditoría[[#This Row],[Responsable]]))</f>
        <v>Marta López</v>
      </c>
    </row>
    <row r="479" spans="1:19" x14ac:dyDescent="0.3">
      <c r="A479" s="1">
        <v>46020</v>
      </c>
      <c r="B479" s="2" t="s">
        <v>2520</v>
      </c>
      <c r="C479" s="2" t="s">
        <v>2521</v>
      </c>
      <c r="D479" s="2" t="s">
        <v>2531</v>
      </c>
      <c r="E479" s="2" t="s">
        <v>2529</v>
      </c>
      <c r="F479" s="3">
        <v>65248</v>
      </c>
      <c r="G479" s="3">
        <v>3027</v>
      </c>
      <c r="H479" s="3">
        <v>334</v>
      </c>
      <c r="I479" s="4">
        <v>2988.37</v>
      </c>
      <c r="J479" s="4">
        <v>6309.75</v>
      </c>
      <c r="K479" s="3">
        <v>244</v>
      </c>
      <c r="L479" s="2" t="s">
        <v>2518</v>
      </c>
      <c r="M479" s="2" t="s">
        <v>2524</v>
      </c>
      <c r="N479" t="str">
        <f>TRIM(PROPER(Tabla_auditoría[[#This Row],[ID_Campaña]]))</f>
        <v>Cmp-009</v>
      </c>
      <c r="O479" t="str">
        <f>TRIM(PROPER(Tabla_auditoría[[#This Row],[Canal]]))</f>
        <v>Paid Search</v>
      </c>
      <c r="P479" t="str">
        <f>TRIM(PROPER(Tabla_auditoría[[#This Row],[País]]))</f>
        <v>Portugal</v>
      </c>
      <c r="Q479" t="str">
        <f>TRIM(PROPER(Tabla_auditoría[[#This Row],[Dispositivo]]))</f>
        <v>Mobile</v>
      </c>
      <c r="R479" t="str">
        <f>TRIM(PROPER(Tabla_auditoría[[#This Row],[Tipo_Campaña]]))</f>
        <v>Adquisición</v>
      </c>
      <c r="S479" t="str">
        <f>TRIM(PROPER(Tabla_auditoría[[#This Row],[Responsable]]))</f>
        <v>Luis Martín</v>
      </c>
    </row>
    <row r="480" spans="1:19" x14ac:dyDescent="0.3">
      <c r="A480" s="1">
        <v>45829</v>
      </c>
      <c r="B480" s="2" t="s">
        <v>2556</v>
      </c>
      <c r="C480" s="2" t="s">
        <v>2533</v>
      </c>
      <c r="D480" s="2" t="s">
        <v>2525</v>
      </c>
      <c r="E480" s="2" t="s">
        <v>2529</v>
      </c>
      <c r="F480" s="3">
        <v>61936</v>
      </c>
      <c r="G480" s="3">
        <v>1364</v>
      </c>
      <c r="H480" s="3">
        <v>89</v>
      </c>
      <c r="I480" s="4">
        <v>1487.51</v>
      </c>
      <c r="J480" s="4">
        <v>1902.28</v>
      </c>
      <c r="K480" s="3">
        <v>43</v>
      </c>
      <c r="L480" s="2" t="s">
        <v>2536</v>
      </c>
      <c r="M480" s="2" t="s">
        <v>2526</v>
      </c>
      <c r="N480" t="str">
        <f>TRIM(PROPER(Tabla_auditoría[[#This Row],[ID_Campaña]]))</f>
        <v>Cmp-014</v>
      </c>
      <c r="O480" t="str">
        <f>TRIM(PROPER(Tabla_auditoría[[#This Row],[Canal]]))</f>
        <v>Paid Social</v>
      </c>
      <c r="P480" t="str">
        <f>TRIM(PROPER(Tabla_auditoría[[#This Row],[País]]))</f>
        <v>Francia</v>
      </c>
      <c r="Q480" t="str">
        <f>TRIM(PROPER(Tabla_auditoría[[#This Row],[Dispositivo]]))</f>
        <v>Mobile</v>
      </c>
      <c r="R480" t="str">
        <f>TRIM(PROPER(Tabla_auditoría[[#This Row],[Tipo_Campaña]]))</f>
        <v>Reconocimiento</v>
      </c>
      <c r="S480" t="str">
        <f>TRIM(PROPER(Tabla_auditoría[[#This Row],[Responsable]]))</f>
        <v>Laura Pérez</v>
      </c>
    </row>
    <row r="481" spans="1:19" x14ac:dyDescent="0.3">
      <c r="A481" s="1">
        <v>45712</v>
      </c>
      <c r="B481" s="2" t="s">
        <v>2535</v>
      </c>
      <c r="C481" s="2" t="s">
        <v>2521</v>
      </c>
      <c r="D481" s="2" t="s">
        <v>2531</v>
      </c>
      <c r="E481" s="2" t="s">
        <v>2529</v>
      </c>
      <c r="F481" s="3">
        <v>44658</v>
      </c>
      <c r="G481" s="3">
        <v>2818</v>
      </c>
      <c r="H481" s="3">
        <v>264</v>
      </c>
      <c r="I481" s="4">
        <v>1079.2</v>
      </c>
      <c r="J481" s="4">
        <v>26505.26</v>
      </c>
      <c r="K481" s="3">
        <v>189</v>
      </c>
      <c r="L481" s="2" t="s">
        <v>2539</v>
      </c>
      <c r="M481" s="2" t="s">
        <v>2519</v>
      </c>
      <c r="N481" t="str">
        <f>TRIM(PROPER(Tabla_auditoría[[#This Row],[ID_Campaña]]))</f>
        <v>Cmp-015</v>
      </c>
      <c r="O481" t="str">
        <f>TRIM(PROPER(Tabla_auditoría[[#This Row],[Canal]]))</f>
        <v>Paid Search</v>
      </c>
      <c r="P481" t="str">
        <f>TRIM(PROPER(Tabla_auditoría[[#This Row],[País]]))</f>
        <v>Portugal</v>
      </c>
      <c r="Q481" t="str">
        <f>TRIM(PROPER(Tabla_auditoría[[#This Row],[Dispositivo]]))</f>
        <v>Mobile</v>
      </c>
      <c r="R481" t="str">
        <f>TRIM(PROPER(Tabla_auditoría[[#This Row],[Tipo_Campaña]]))</f>
        <v>Conversión</v>
      </c>
      <c r="S481" t="str">
        <f>TRIM(PROPER(Tabla_auditoría[[#This Row],[Responsable]]))</f>
        <v>Carlos Ruiz</v>
      </c>
    </row>
    <row r="482" spans="1:19" x14ac:dyDescent="0.3">
      <c r="A482" s="1">
        <v>45934</v>
      </c>
      <c r="B482" s="2" t="s">
        <v>2555</v>
      </c>
      <c r="C482" s="2" t="s">
        <v>2541</v>
      </c>
      <c r="D482" s="2" t="s">
        <v>2531</v>
      </c>
      <c r="E482" s="2" t="s">
        <v>2517</v>
      </c>
      <c r="F482" s="3">
        <v>56708</v>
      </c>
      <c r="G482" s="3">
        <v>3425</v>
      </c>
      <c r="H482" s="3">
        <v>422</v>
      </c>
      <c r="I482" s="4">
        <v>4545.7700000000004</v>
      </c>
      <c r="J482" s="4">
        <v>24376.52</v>
      </c>
      <c r="K482" s="3">
        <v>225</v>
      </c>
      <c r="L482" s="2" t="s">
        <v>2523</v>
      </c>
      <c r="M482" s="2" t="s">
        <v>2537</v>
      </c>
      <c r="N482" t="str">
        <f>TRIM(PROPER(Tabla_auditoría[[#This Row],[ID_Campaña]]))</f>
        <v>Cmp-010</v>
      </c>
      <c r="O482" t="str">
        <f>TRIM(PROPER(Tabla_auditoría[[#This Row],[Canal]]))</f>
        <v>Display</v>
      </c>
      <c r="P482" t="str">
        <f>TRIM(PROPER(Tabla_auditoría[[#This Row],[País]]))</f>
        <v>Portugal</v>
      </c>
      <c r="Q482" t="str">
        <f>TRIM(PROPER(Tabla_auditoría[[#This Row],[Dispositivo]]))</f>
        <v>Desktop</v>
      </c>
      <c r="R482" t="str">
        <f>TRIM(PROPER(Tabla_auditoría[[#This Row],[Tipo_Campaña]]))</f>
        <v>Retención</v>
      </c>
      <c r="S482" t="str">
        <f>TRIM(PROPER(Tabla_auditoría[[#This Row],[Responsable]]))</f>
        <v>Marta López</v>
      </c>
    </row>
    <row r="483" spans="1:19" x14ac:dyDescent="0.3">
      <c r="A483" s="1">
        <v>45843</v>
      </c>
      <c r="B483" s="2" t="s">
        <v>2557</v>
      </c>
      <c r="C483" s="2" t="s">
        <v>2541</v>
      </c>
      <c r="D483" s="2" t="s">
        <v>2522</v>
      </c>
      <c r="E483" s="2" t="s">
        <v>2517</v>
      </c>
      <c r="F483" s="3">
        <v>38324</v>
      </c>
      <c r="G483" s="3">
        <v>1031</v>
      </c>
      <c r="H483" s="3">
        <v>130</v>
      </c>
      <c r="I483" s="4">
        <v>761.81</v>
      </c>
      <c r="J483" s="4">
        <v>16680.580000000002</v>
      </c>
      <c r="K483" s="3">
        <v>116</v>
      </c>
      <c r="L483" s="2" t="s">
        <v>2539</v>
      </c>
      <c r="M483" s="2" t="s">
        <v>2546</v>
      </c>
      <c r="N483" t="str">
        <f>TRIM(PROPER(Tabla_auditoría[[#This Row],[ID_Campaña]]))</f>
        <v>Cmp-030</v>
      </c>
      <c r="O483" t="str">
        <f>TRIM(PROPER(Tabla_auditoría[[#This Row],[Canal]]))</f>
        <v>Display</v>
      </c>
      <c r="P483" t="str">
        <f>TRIM(PROPER(Tabla_auditoría[[#This Row],[País]]))</f>
        <v>Italia</v>
      </c>
      <c r="Q483" t="str">
        <f>TRIM(PROPER(Tabla_auditoría[[#This Row],[Dispositivo]]))</f>
        <v>Desktop</v>
      </c>
      <c r="R483" t="str">
        <f>TRIM(PROPER(Tabla_auditoría[[#This Row],[Tipo_Campaña]]))</f>
        <v>Conversión</v>
      </c>
      <c r="S483" t="str">
        <f>TRIM(PROPER(Tabla_auditoría[[#This Row],[Responsable]]))</f>
        <v>Ana García</v>
      </c>
    </row>
    <row r="484" spans="1:19" x14ac:dyDescent="0.3">
      <c r="A484" s="1">
        <v>45695</v>
      </c>
      <c r="B484" s="2" t="s">
        <v>2545</v>
      </c>
      <c r="C484" s="2" t="s">
        <v>2515</v>
      </c>
      <c r="D484" s="2" t="s">
        <v>2528</v>
      </c>
      <c r="E484" s="2" t="s">
        <v>2517</v>
      </c>
      <c r="F484" s="3">
        <v>25936</v>
      </c>
      <c r="G484" s="3">
        <v>1810</v>
      </c>
      <c r="H484" s="3">
        <v>26</v>
      </c>
      <c r="I484" s="4">
        <v>3193.78</v>
      </c>
      <c r="J484" s="4">
        <v>3494.51</v>
      </c>
      <c r="K484" s="3">
        <v>16</v>
      </c>
      <c r="L484" s="2" t="s">
        <v>2536</v>
      </c>
      <c r="M484" s="2" t="s">
        <v>2546</v>
      </c>
      <c r="N484" t="str">
        <f>TRIM(PROPER(Tabla_auditoría[[#This Row],[ID_Campaña]]))</f>
        <v>Cmp-011</v>
      </c>
      <c r="O484" t="str">
        <f>TRIM(PROPER(Tabla_auditoría[[#This Row],[Canal]]))</f>
        <v>Email</v>
      </c>
      <c r="P484" t="str">
        <f>TRIM(PROPER(Tabla_auditoría[[#This Row],[País]]))</f>
        <v>España</v>
      </c>
      <c r="Q484" t="str">
        <f>TRIM(PROPER(Tabla_auditoría[[#This Row],[Dispositivo]]))</f>
        <v>Desktop</v>
      </c>
      <c r="R484" t="str">
        <f>TRIM(PROPER(Tabla_auditoría[[#This Row],[Tipo_Campaña]]))</f>
        <v>Reconocimiento</v>
      </c>
      <c r="S484" t="str">
        <f>TRIM(PROPER(Tabla_auditoría[[#This Row],[Responsable]]))</f>
        <v>Ana García</v>
      </c>
    </row>
    <row r="485" spans="1:19" x14ac:dyDescent="0.3">
      <c r="A485" s="1">
        <v>45810</v>
      </c>
      <c r="B485" s="2" t="s">
        <v>2564</v>
      </c>
      <c r="C485" s="2" t="s">
        <v>2533</v>
      </c>
      <c r="D485" s="2" t="s">
        <v>2528</v>
      </c>
      <c r="E485" s="2" t="s">
        <v>2517</v>
      </c>
      <c r="F485" s="3">
        <v>11479</v>
      </c>
      <c r="G485" s="3">
        <v>669</v>
      </c>
      <c r="H485" s="3">
        <v>11</v>
      </c>
      <c r="I485" s="4">
        <v>384.59</v>
      </c>
      <c r="J485" s="4">
        <v>1251.18</v>
      </c>
      <c r="K485" s="3">
        <v>8</v>
      </c>
      <c r="L485" s="2" t="s">
        <v>2539</v>
      </c>
      <c r="M485" s="2" t="s">
        <v>2526</v>
      </c>
      <c r="N485" t="str">
        <f>TRIM(PROPER(Tabla_auditoría[[#This Row],[ID_Campaña]]))</f>
        <v>Cmp-024</v>
      </c>
      <c r="O485" t="str">
        <f>TRIM(PROPER(Tabla_auditoría[[#This Row],[Canal]]))</f>
        <v>Paid Social</v>
      </c>
      <c r="P485" t="str">
        <f>TRIM(PROPER(Tabla_auditoría[[#This Row],[País]]))</f>
        <v>España</v>
      </c>
      <c r="Q485" t="str">
        <f>TRIM(PROPER(Tabla_auditoría[[#This Row],[Dispositivo]]))</f>
        <v>Desktop</v>
      </c>
      <c r="R485" t="str">
        <f>TRIM(PROPER(Tabla_auditoría[[#This Row],[Tipo_Campaña]]))</f>
        <v>Conversión</v>
      </c>
      <c r="S485" t="str">
        <f>TRIM(PROPER(Tabla_auditoría[[#This Row],[Responsable]]))</f>
        <v>Laura Pérez</v>
      </c>
    </row>
    <row r="486" spans="1:19" x14ac:dyDescent="0.3">
      <c r="A486" s="1">
        <v>45870</v>
      </c>
      <c r="B486" s="2" t="s">
        <v>2565</v>
      </c>
      <c r="C486" s="2" t="s">
        <v>2521</v>
      </c>
      <c r="D486" s="2" t="s">
        <v>2528</v>
      </c>
      <c r="E486" s="2" t="s">
        <v>2529</v>
      </c>
      <c r="F486" s="3">
        <v>159787</v>
      </c>
      <c r="G486" s="3">
        <v>1884</v>
      </c>
      <c r="H486" s="3">
        <v>176</v>
      </c>
      <c r="I486" s="4">
        <v>1308.28</v>
      </c>
      <c r="J486" s="4">
        <v>12507.44</v>
      </c>
      <c r="K486" s="3">
        <v>106</v>
      </c>
      <c r="L486" s="2" t="s">
        <v>2536</v>
      </c>
      <c r="M486" s="2" t="s">
        <v>2519</v>
      </c>
      <c r="N486" t="str">
        <f>TRIM(PROPER(Tabla_auditoría[[#This Row],[ID_Campaña]]))</f>
        <v>Cmp-005</v>
      </c>
      <c r="O486" t="str">
        <f>TRIM(PROPER(Tabla_auditoría[[#This Row],[Canal]]))</f>
        <v>Paid Search</v>
      </c>
      <c r="P486" t="str">
        <f>TRIM(PROPER(Tabla_auditoría[[#This Row],[País]]))</f>
        <v>España</v>
      </c>
      <c r="Q486" t="str">
        <f>TRIM(PROPER(Tabla_auditoría[[#This Row],[Dispositivo]]))</f>
        <v>Mobile</v>
      </c>
      <c r="R486" t="str">
        <f>TRIM(PROPER(Tabla_auditoría[[#This Row],[Tipo_Campaña]]))</f>
        <v>Reconocimiento</v>
      </c>
      <c r="S486" t="str">
        <f>TRIM(PROPER(Tabla_auditoría[[#This Row],[Responsable]]))</f>
        <v>Carlos Ruiz</v>
      </c>
    </row>
    <row r="487" spans="1:19" x14ac:dyDescent="0.3">
      <c r="A487" s="1">
        <v>45690</v>
      </c>
      <c r="B487" s="2" t="s">
        <v>2557</v>
      </c>
      <c r="C487" s="2" t="s">
        <v>2527</v>
      </c>
      <c r="D487" s="2" t="s">
        <v>2516</v>
      </c>
      <c r="E487" s="2" t="s">
        <v>2559</v>
      </c>
      <c r="F487" s="3">
        <v>136229</v>
      </c>
      <c r="G487" s="3">
        <v>5837</v>
      </c>
      <c r="H487" s="3">
        <v>472</v>
      </c>
      <c r="I487" s="4">
        <v>967.04</v>
      </c>
      <c r="J487" s="4">
        <v>84642.73</v>
      </c>
      <c r="K487" s="3">
        <v>246</v>
      </c>
      <c r="L487" s="2" t="s">
        <v>2518</v>
      </c>
      <c r="M487" s="2" t="s">
        <v>2546</v>
      </c>
      <c r="N487" t="str">
        <f>TRIM(PROPER(Tabla_auditoría[[#This Row],[ID_Campaña]]))</f>
        <v>Cmp-030</v>
      </c>
      <c r="O487" t="str">
        <f>TRIM(PROPER(Tabla_auditoría[[#This Row],[Canal]]))</f>
        <v>Affiliate</v>
      </c>
      <c r="P487" t="str">
        <f>TRIM(PROPER(Tabla_auditoría[[#This Row],[País]]))</f>
        <v>México</v>
      </c>
      <c r="Q487" t="str">
        <f>TRIM(PROPER(Tabla_auditoría[[#This Row],[Dispositivo]]))</f>
        <v>Desktop</v>
      </c>
      <c r="R487" t="str">
        <f>TRIM(PROPER(Tabla_auditoría[[#This Row],[Tipo_Campaña]]))</f>
        <v>Adquisición</v>
      </c>
      <c r="S487" t="str">
        <f>TRIM(PROPER(Tabla_auditoría[[#This Row],[Responsable]]))</f>
        <v>Ana García</v>
      </c>
    </row>
    <row r="488" spans="1:19" x14ac:dyDescent="0.3">
      <c r="A488" s="1">
        <v>45727</v>
      </c>
      <c r="B488" s="2" t="s">
        <v>2538</v>
      </c>
      <c r="C488" s="2" t="s">
        <v>2515</v>
      </c>
      <c r="D488" s="2" t="s">
        <v>2525</v>
      </c>
      <c r="E488" s="2" t="s">
        <v>2529</v>
      </c>
      <c r="F488" s="3">
        <v>41781</v>
      </c>
      <c r="G488" s="3">
        <v>272</v>
      </c>
      <c r="H488" s="3">
        <v>25</v>
      </c>
      <c r="I488" s="4">
        <v>219.94</v>
      </c>
      <c r="J488" s="4">
        <v>2227.52</v>
      </c>
      <c r="K488" s="3">
        <v>12</v>
      </c>
      <c r="L488" s="2" t="s">
        <v>2539</v>
      </c>
      <c r="M488" s="2" t="s">
        <v>2524</v>
      </c>
      <c r="N488" t="str">
        <f>TRIM(PROPER(Tabla_auditoría[[#This Row],[ID_Campaña]]))</f>
        <v>Cmp-004</v>
      </c>
      <c r="O488" t="str">
        <f>TRIM(PROPER(Tabla_auditoría[[#This Row],[Canal]]))</f>
        <v>Email</v>
      </c>
      <c r="P488" t="str">
        <f>TRIM(PROPER(Tabla_auditoría[[#This Row],[País]]))</f>
        <v>Francia</v>
      </c>
      <c r="Q488" t="str">
        <f>TRIM(PROPER(Tabla_auditoría[[#This Row],[Dispositivo]]))</f>
        <v>Mobile</v>
      </c>
      <c r="R488" t="str">
        <f>TRIM(PROPER(Tabla_auditoría[[#This Row],[Tipo_Campaña]]))</f>
        <v>Conversión</v>
      </c>
      <c r="S488" t="str">
        <f>TRIM(PROPER(Tabla_auditoría[[#This Row],[Responsable]]))</f>
        <v>Luis Martín</v>
      </c>
    </row>
    <row r="489" spans="1:19" x14ac:dyDescent="0.3">
      <c r="A489" s="1">
        <v>45914</v>
      </c>
      <c r="B489" s="2" t="s">
        <v>2550</v>
      </c>
      <c r="C489" s="2" t="s">
        <v>2527</v>
      </c>
      <c r="D489" s="2" t="s">
        <v>2528</v>
      </c>
      <c r="E489" s="2" t="s">
        <v>2529</v>
      </c>
      <c r="F489" s="3">
        <v>135739</v>
      </c>
      <c r="G489" s="3">
        <v>783</v>
      </c>
      <c r="H489" s="3">
        <v>28</v>
      </c>
      <c r="I489" s="4">
        <v>722.91</v>
      </c>
      <c r="J489" s="4">
        <v>2220.9899999999998</v>
      </c>
      <c r="K489" s="3">
        <v>25</v>
      </c>
      <c r="L489" s="2" t="s">
        <v>2539</v>
      </c>
      <c r="M489" s="2" t="s">
        <v>2537</v>
      </c>
      <c r="N489" t="str">
        <f>TRIM(PROPER(Tabla_auditoría[[#This Row],[ID_Campaña]]))</f>
        <v>Cmp-008</v>
      </c>
      <c r="O489" t="str">
        <f>TRIM(PROPER(Tabla_auditoría[[#This Row],[Canal]]))</f>
        <v>Affiliate</v>
      </c>
      <c r="P489" t="str">
        <f>TRIM(PROPER(Tabla_auditoría[[#This Row],[País]]))</f>
        <v>España</v>
      </c>
      <c r="Q489" t="str">
        <f>TRIM(PROPER(Tabla_auditoría[[#This Row],[Dispositivo]]))</f>
        <v>Mobile</v>
      </c>
      <c r="R489" t="str">
        <f>TRIM(PROPER(Tabla_auditoría[[#This Row],[Tipo_Campaña]]))</f>
        <v>Conversión</v>
      </c>
      <c r="S489" t="str">
        <f>TRIM(PROPER(Tabla_auditoría[[#This Row],[Responsable]]))</f>
        <v>Marta López</v>
      </c>
    </row>
    <row r="490" spans="1:19" x14ac:dyDescent="0.3">
      <c r="A490" s="1">
        <v>45891</v>
      </c>
      <c r="B490" s="2" t="s">
        <v>2567</v>
      </c>
      <c r="C490" s="2" t="s">
        <v>2543</v>
      </c>
      <c r="D490" s="2" t="s">
        <v>2528</v>
      </c>
      <c r="E490" s="2" t="s">
        <v>2529</v>
      </c>
      <c r="F490" s="3">
        <v>163288</v>
      </c>
      <c r="G490" s="3">
        <v>883</v>
      </c>
      <c r="H490" s="3">
        <v>13</v>
      </c>
      <c r="I490" s="4">
        <v>1118.72</v>
      </c>
      <c r="J490" s="4">
        <v>1169.25</v>
      </c>
      <c r="K490" s="3">
        <v>11</v>
      </c>
      <c r="L490" s="2" t="s">
        <v>2536</v>
      </c>
      <c r="M490" s="2" t="s">
        <v>2524</v>
      </c>
      <c r="N490" t="str">
        <f>TRIM(PROPER(Tabla_auditoría[[#This Row],[ID_Campaña]]))</f>
        <v>Cmp-021</v>
      </c>
      <c r="O490" t="str">
        <f>TRIM(PROPER(Tabla_auditoría[[#This Row],[Canal]]))</f>
        <v>Organic Social</v>
      </c>
      <c r="P490" t="str">
        <f>TRIM(PROPER(Tabla_auditoría[[#This Row],[País]]))</f>
        <v>España</v>
      </c>
      <c r="Q490" t="str">
        <f>TRIM(PROPER(Tabla_auditoría[[#This Row],[Dispositivo]]))</f>
        <v>Mobile</v>
      </c>
      <c r="R490" t="str">
        <f>TRIM(PROPER(Tabla_auditoría[[#This Row],[Tipo_Campaña]]))</f>
        <v>Reconocimiento</v>
      </c>
      <c r="S490" t="str">
        <f>TRIM(PROPER(Tabla_auditoría[[#This Row],[Responsable]]))</f>
        <v>Luis Martín</v>
      </c>
    </row>
    <row r="491" spans="1:19" x14ac:dyDescent="0.3">
      <c r="A491" s="1">
        <v>46020</v>
      </c>
      <c r="B491" s="2" t="s">
        <v>2514</v>
      </c>
      <c r="C491" s="2" t="s">
        <v>2527</v>
      </c>
      <c r="D491" s="2" t="s">
        <v>2528</v>
      </c>
      <c r="E491" s="2" t="s">
        <v>2534</v>
      </c>
      <c r="F491" s="3">
        <v>73742</v>
      </c>
      <c r="G491" s="3">
        <v>6254</v>
      </c>
      <c r="H491" s="3">
        <v>417</v>
      </c>
      <c r="I491" s="4">
        <v>5231.8900000000003</v>
      </c>
      <c r="J491" s="4">
        <v>73521</v>
      </c>
      <c r="K491" s="3">
        <v>320</v>
      </c>
      <c r="L491" s="2" t="s">
        <v>2539</v>
      </c>
      <c r="M491" s="2" t="s">
        <v>2546</v>
      </c>
      <c r="N491" t="str">
        <f>TRIM(PROPER(Tabla_auditoría[[#This Row],[ID_Campaña]]))</f>
        <v>Cmp-002</v>
      </c>
      <c r="O491" t="str">
        <f>TRIM(PROPER(Tabla_auditoría[[#This Row],[Canal]]))</f>
        <v>Affiliate</v>
      </c>
      <c r="P491" t="str">
        <f>TRIM(PROPER(Tabla_auditoría[[#This Row],[País]]))</f>
        <v>España</v>
      </c>
      <c r="Q491" t="str">
        <f>TRIM(PROPER(Tabla_auditoría[[#This Row],[Dispositivo]]))</f>
        <v>Tablet</v>
      </c>
      <c r="R491" t="str">
        <f>TRIM(PROPER(Tabla_auditoría[[#This Row],[Tipo_Campaña]]))</f>
        <v>Conversión</v>
      </c>
      <c r="S491" t="str">
        <f>TRIM(PROPER(Tabla_auditoría[[#This Row],[Responsable]]))</f>
        <v>Ana García</v>
      </c>
    </row>
    <row r="492" spans="1:19" x14ac:dyDescent="0.3">
      <c r="A492" s="1">
        <v>45802</v>
      </c>
      <c r="B492" s="2" t="s">
        <v>2563</v>
      </c>
      <c r="C492" s="2" t="s">
        <v>2521</v>
      </c>
      <c r="D492" s="2" t="s">
        <v>2528</v>
      </c>
      <c r="E492" s="2" t="s">
        <v>2529</v>
      </c>
      <c r="F492" s="3">
        <v>130689</v>
      </c>
      <c r="G492" s="3">
        <v>4848</v>
      </c>
      <c r="H492" s="3">
        <v>540</v>
      </c>
      <c r="I492" s="4">
        <v>8562.3700000000008</v>
      </c>
      <c r="J492" s="4">
        <v>85967.47</v>
      </c>
      <c r="K492" s="3">
        <v>451</v>
      </c>
      <c r="L492" s="2" t="s">
        <v>2539</v>
      </c>
      <c r="M492" s="2" t="s">
        <v>2524</v>
      </c>
      <c r="N492" t="str">
        <f>TRIM(PROPER(Tabla_auditoría[[#This Row],[ID_Campaña]]))</f>
        <v>Cmp-023</v>
      </c>
      <c r="O492" t="str">
        <f>TRIM(PROPER(Tabla_auditoría[[#This Row],[Canal]]))</f>
        <v>Paid Search</v>
      </c>
      <c r="P492" t="str">
        <f>TRIM(PROPER(Tabla_auditoría[[#This Row],[País]]))</f>
        <v>España</v>
      </c>
      <c r="Q492" t="str">
        <f>TRIM(PROPER(Tabla_auditoría[[#This Row],[Dispositivo]]))</f>
        <v>Mobile</v>
      </c>
      <c r="R492" t="str">
        <f>TRIM(PROPER(Tabla_auditoría[[#This Row],[Tipo_Campaña]]))</f>
        <v>Conversión</v>
      </c>
      <c r="S492" t="str">
        <f>TRIM(PROPER(Tabla_auditoría[[#This Row],[Responsable]]))</f>
        <v>Luis Martín</v>
      </c>
    </row>
    <row r="493" spans="1:19" x14ac:dyDescent="0.3">
      <c r="A493" s="1">
        <v>45946</v>
      </c>
      <c r="B493" s="2" t="s">
        <v>2557</v>
      </c>
      <c r="C493" s="2" t="s">
        <v>2541</v>
      </c>
      <c r="D493" s="2" t="s">
        <v>2525</v>
      </c>
      <c r="E493" s="2" t="s">
        <v>2529</v>
      </c>
      <c r="F493" s="3">
        <v>61410</v>
      </c>
      <c r="G493" s="3">
        <v>1129</v>
      </c>
      <c r="H493" s="3">
        <v>124</v>
      </c>
      <c r="I493" s="4">
        <v>2034.74</v>
      </c>
      <c r="J493" s="4">
        <v>17273.48</v>
      </c>
      <c r="K493" s="3">
        <v>101</v>
      </c>
      <c r="L493" s="2" t="s">
        <v>2539</v>
      </c>
      <c r="M493" s="2" t="s">
        <v>2546</v>
      </c>
      <c r="N493" t="str">
        <f>TRIM(PROPER(Tabla_auditoría[[#This Row],[ID_Campaña]]))</f>
        <v>Cmp-030</v>
      </c>
      <c r="O493" t="str">
        <f>TRIM(PROPER(Tabla_auditoría[[#This Row],[Canal]]))</f>
        <v>Display</v>
      </c>
      <c r="P493" t="str">
        <f>TRIM(PROPER(Tabla_auditoría[[#This Row],[País]]))</f>
        <v>Francia</v>
      </c>
      <c r="Q493" t="str">
        <f>TRIM(PROPER(Tabla_auditoría[[#This Row],[Dispositivo]]))</f>
        <v>Mobile</v>
      </c>
      <c r="R493" t="str">
        <f>TRIM(PROPER(Tabla_auditoría[[#This Row],[Tipo_Campaña]]))</f>
        <v>Conversión</v>
      </c>
      <c r="S493" t="str">
        <f>TRIM(PROPER(Tabla_auditoría[[#This Row],[Responsable]]))</f>
        <v>Ana García</v>
      </c>
    </row>
    <row r="494" spans="1:19" x14ac:dyDescent="0.3">
      <c r="A494" s="1">
        <v>45995</v>
      </c>
      <c r="B494" s="2" t="s">
        <v>2571</v>
      </c>
      <c r="C494" s="2" t="s">
        <v>2521</v>
      </c>
      <c r="D494" s="2" t="s">
        <v>2528</v>
      </c>
      <c r="E494" s="2" t="s">
        <v>2517</v>
      </c>
      <c r="F494" s="3">
        <v>21153</v>
      </c>
      <c r="G494" s="3">
        <v>1088</v>
      </c>
      <c r="H494" s="3">
        <v>128</v>
      </c>
      <c r="I494" s="4">
        <v>357.9</v>
      </c>
      <c r="J494" s="4">
        <v>24785.87</v>
      </c>
      <c r="K494" s="3">
        <v>63</v>
      </c>
      <c r="L494" s="2" t="s">
        <v>2518</v>
      </c>
      <c r="M494" s="2" t="s">
        <v>2519</v>
      </c>
      <c r="N494" t="str">
        <f>TRIM(PROPER(Tabla_auditoría[[#This Row],[ID_Campaña]]))</f>
        <v>Cmp-029</v>
      </c>
      <c r="O494" t="str">
        <f>TRIM(PROPER(Tabla_auditoría[[#This Row],[Canal]]))</f>
        <v>Paid Search</v>
      </c>
      <c r="P494" t="str">
        <f>TRIM(PROPER(Tabla_auditoría[[#This Row],[País]]))</f>
        <v>España</v>
      </c>
      <c r="Q494" t="str">
        <f>TRIM(PROPER(Tabla_auditoría[[#This Row],[Dispositivo]]))</f>
        <v>Desktop</v>
      </c>
      <c r="R494" t="str">
        <f>TRIM(PROPER(Tabla_auditoría[[#This Row],[Tipo_Campaña]]))</f>
        <v>Adquisición</v>
      </c>
      <c r="S494" t="str">
        <f>TRIM(PROPER(Tabla_auditoría[[#This Row],[Responsable]]))</f>
        <v>Carlos Ruiz</v>
      </c>
    </row>
    <row r="495" spans="1:19" x14ac:dyDescent="0.3">
      <c r="A495" s="1">
        <v>45857</v>
      </c>
      <c r="B495" s="2" t="s">
        <v>2540</v>
      </c>
      <c r="C495" s="2" t="s">
        <v>2521</v>
      </c>
      <c r="D495" s="2" t="s">
        <v>2525</v>
      </c>
      <c r="E495" s="2" t="s">
        <v>2529</v>
      </c>
      <c r="F495" s="3">
        <v>25155</v>
      </c>
      <c r="G495" s="3">
        <v>1326</v>
      </c>
      <c r="H495" s="3">
        <v>108</v>
      </c>
      <c r="I495" s="4">
        <v>2782.88</v>
      </c>
      <c r="J495" s="4">
        <v>8925.0499999999993</v>
      </c>
      <c r="K495" s="3">
        <v>81</v>
      </c>
      <c r="L495" s="2" t="s">
        <v>2539</v>
      </c>
      <c r="M495" s="2" t="s">
        <v>2546</v>
      </c>
      <c r="N495" t="str">
        <f>TRIM(PROPER(Tabla_auditoría[[#This Row],[ID_Campaña]]))</f>
        <v>Cmp-017</v>
      </c>
      <c r="O495" t="str">
        <f>TRIM(PROPER(Tabla_auditoría[[#This Row],[Canal]]))</f>
        <v>Paid Search</v>
      </c>
      <c r="P495" t="str">
        <f>TRIM(PROPER(Tabla_auditoría[[#This Row],[País]]))</f>
        <v>Francia</v>
      </c>
      <c r="Q495" t="str">
        <f>TRIM(PROPER(Tabla_auditoría[[#This Row],[Dispositivo]]))</f>
        <v>Mobile</v>
      </c>
      <c r="R495" t="str">
        <f>TRIM(PROPER(Tabla_auditoría[[#This Row],[Tipo_Campaña]]))</f>
        <v>Conversión</v>
      </c>
      <c r="S495" t="str">
        <f>TRIM(PROPER(Tabla_auditoría[[#This Row],[Responsable]]))</f>
        <v>Ana García</v>
      </c>
    </row>
    <row r="496" spans="1:19" x14ac:dyDescent="0.3">
      <c r="A496" s="1">
        <v>45832</v>
      </c>
      <c r="B496" s="2" t="s">
        <v>2549</v>
      </c>
      <c r="C496" s="2" t="s">
        <v>2527</v>
      </c>
      <c r="D496" s="2" t="s">
        <v>2516</v>
      </c>
      <c r="E496" s="2" t="s">
        <v>2517</v>
      </c>
      <c r="F496" s="3">
        <v>49264</v>
      </c>
      <c r="G496" s="3">
        <v>1923</v>
      </c>
      <c r="H496" s="3">
        <v>34</v>
      </c>
      <c r="I496" s="4">
        <v>2500.38</v>
      </c>
      <c r="J496" s="4">
        <v>2200.38</v>
      </c>
      <c r="K496" s="3">
        <v>29</v>
      </c>
      <c r="L496" s="2" t="s">
        <v>2518</v>
      </c>
      <c r="M496" s="2" t="s">
        <v>2537</v>
      </c>
      <c r="N496" t="str">
        <f>TRIM(PROPER(Tabla_auditoría[[#This Row],[ID_Campaña]]))</f>
        <v>Cmp-007</v>
      </c>
      <c r="O496" t="str">
        <f>TRIM(PROPER(Tabla_auditoría[[#This Row],[Canal]]))</f>
        <v>Affiliate</v>
      </c>
      <c r="P496" t="str">
        <f>TRIM(PROPER(Tabla_auditoría[[#This Row],[País]]))</f>
        <v>México</v>
      </c>
      <c r="Q496" t="str">
        <f>TRIM(PROPER(Tabla_auditoría[[#This Row],[Dispositivo]]))</f>
        <v>Desktop</v>
      </c>
      <c r="R496" t="str">
        <f>TRIM(PROPER(Tabla_auditoría[[#This Row],[Tipo_Campaña]]))</f>
        <v>Adquisición</v>
      </c>
      <c r="S496" t="str">
        <f>TRIM(PROPER(Tabla_auditoría[[#This Row],[Responsable]]))</f>
        <v>Marta López</v>
      </c>
    </row>
    <row r="497" spans="1:19" x14ac:dyDescent="0.3">
      <c r="A497" s="1">
        <v>45912</v>
      </c>
      <c r="B497" s="2" t="s">
        <v>2569</v>
      </c>
      <c r="C497" s="2" t="s">
        <v>2533</v>
      </c>
      <c r="D497" s="2" t="s">
        <v>2528</v>
      </c>
      <c r="E497" s="2" t="s">
        <v>2529</v>
      </c>
      <c r="F497" s="3">
        <v>165221</v>
      </c>
      <c r="G497" s="3">
        <v>7412</v>
      </c>
      <c r="H497" s="3">
        <v>528</v>
      </c>
      <c r="I497" s="4">
        <v>8552.2800000000007</v>
      </c>
      <c r="J497" s="4">
        <v>43921.9</v>
      </c>
      <c r="K497" s="3">
        <v>424</v>
      </c>
      <c r="L497" s="2" t="s">
        <v>2539</v>
      </c>
      <c r="M497" s="2" t="s">
        <v>2546</v>
      </c>
      <c r="N497" t="str">
        <f>TRIM(PROPER(Tabla_auditoría[[#This Row],[ID_Campaña]]))</f>
        <v>Cmp-013</v>
      </c>
      <c r="O497" t="str">
        <f>TRIM(PROPER(Tabla_auditoría[[#This Row],[Canal]]))</f>
        <v>Paid Social</v>
      </c>
      <c r="P497" t="str">
        <f>TRIM(PROPER(Tabla_auditoría[[#This Row],[País]]))</f>
        <v>España</v>
      </c>
      <c r="Q497" t="str">
        <f>TRIM(PROPER(Tabla_auditoría[[#This Row],[Dispositivo]]))</f>
        <v>Mobile</v>
      </c>
      <c r="R497" t="str">
        <f>TRIM(PROPER(Tabla_auditoría[[#This Row],[Tipo_Campaña]]))</f>
        <v>Conversión</v>
      </c>
      <c r="S497" t="str">
        <f>TRIM(PROPER(Tabla_auditoría[[#This Row],[Responsable]]))</f>
        <v>Ana García</v>
      </c>
    </row>
    <row r="498" spans="1:19" x14ac:dyDescent="0.3">
      <c r="A498" s="1">
        <v>45815</v>
      </c>
      <c r="B498" s="2" t="s">
        <v>2557</v>
      </c>
      <c r="C498" s="2" t="s">
        <v>2533</v>
      </c>
      <c r="D498" s="2" t="s">
        <v>2528</v>
      </c>
      <c r="E498" s="2" t="s">
        <v>2517</v>
      </c>
      <c r="F498" s="3">
        <v>98100</v>
      </c>
      <c r="G498" s="3">
        <v>4941</v>
      </c>
      <c r="H498" s="3">
        <v>56</v>
      </c>
      <c r="I498" s="4">
        <v>7871.56</v>
      </c>
      <c r="J498" s="4">
        <v>10234.19</v>
      </c>
      <c r="K498" s="3">
        <v>27</v>
      </c>
      <c r="L498" s="2" t="s">
        <v>2539</v>
      </c>
      <c r="M498" s="2" t="s">
        <v>2546</v>
      </c>
      <c r="N498" t="str">
        <f>TRIM(PROPER(Tabla_auditoría[[#This Row],[ID_Campaña]]))</f>
        <v>Cmp-030</v>
      </c>
      <c r="O498" t="str">
        <f>TRIM(PROPER(Tabla_auditoría[[#This Row],[Canal]]))</f>
        <v>Paid Social</v>
      </c>
      <c r="P498" t="str">
        <f>TRIM(PROPER(Tabla_auditoría[[#This Row],[País]]))</f>
        <v>España</v>
      </c>
      <c r="Q498" t="str">
        <f>TRIM(PROPER(Tabla_auditoría[[#This Row],[Dispositivo]]))</f>
        <v>Desktop</v>
      </c>
      <c r="R498" t="str">
        <f>TRIM(PROPER(Tabla_auditoría[[#This Row],[Tipo_Campaña]]))</f>
        <v>Conversión</v>
      </c>
      <c r="S498" t="str">
        <f>TRIM(PROPER(Tabla_auditoría[[#This Row],[Responsable]]))</f>
        <v>Ana García</v>
      </c>
    </row>
    <row r="499" spans="1:19" x14ac:dyDescent="0.3">
      <c r="A499" s="1">
        <v>45738</v>
      </c>
      <c r="B499" s="2" t="s">
        <v>2568</v>
      </c>
      <c r="C499" s="2" t="s">
        <v>2515</v>
      </c>
      <c r="D499" s="2" t="s">
        <v>2573</v>
      </c>
      <c r="E499" s="2" t="s">
        <v>2517</v>
      </c>
      <c r="F499" s="3">
        <v>37462</v>
      </c>
      <c r="G499" s="3">
        <v>964</v>
      </c>
      <c r="H499" s="3">
        <v>72</v>
      </c>
      <c r="I499" s="4">
        <v>1796.03</v>
      </c>
      <c r="J499" s="4">
        <v>11227.49</v>
      </c>
      <c r="K499" s="3">
        <v>43</v>
      </c>
      <c r="L499" s="2" t="s">
        <v>2523</v>
      </c>
      <c r="M499" s="2" t="s">
        <v>2519</v>
      </c>
      <c r="N499" t="str">
        <f>TRIM(PROPER(Tabla_auditoría[[#This Row],[ID_Campaña]]))</f>
        <v>Cmp-020</v>
      </c>
      <c r="O499" t="str">
        <f>TRIM(PROPER(Tabla_auditoría[[#This Row],[Canal]]))</f>
        <v>Email</v>
      </c>
      <c r="P499" t="str">
        <f>TRIM(PROPER(Tabla_auditoría[[#This Row],[País]]))</f>
        <v>España</v>
      </c>
      <c r="Q499" t="str">
        <f>TRIM(PROPER(Tabla_auditoría[[#This Row],[Dispositivo]]))</f>
        <v>Desktop</v>
      </c>
      <c r="R499" t="str">
        <f>TRIM(PROPER(Tabla_auditoría[[#This Row],[Tipo_Campaña]]))</f>
        <v>Retención</v>
      </c>
      <c r="S499" t="str">
        <f>TRIM(PROPER(Tabla_auditoría[[#This Row],[Responsable]]))</f>
        <v>Carlos Ruiz</v>
      </c>
    </row>
    <row r="500" spans="1:19" x14ac:dyDescent="0.3">
      <c r="A500" s="1">
        <v>45750</v>
      </c>
      <c r="B500" s="2" t="s">
        <v>2551</v>
      </c>
      <c r="C500" s="2" t="s">
        <v>2543</v>
      </c>
      <c r="D500" s="2" t="s">
        <v>2516</v>
      </c>
      <c r="E500" s="2" t="s">
        <v>2529</v>
      </c>
      <c r="F500" s="3">
        <v>2773</v>
      </c>
      <c r="G500" s="3">
        <v>188</v>
      </c>
      <c r="H500" s="3">
        <v>4</v>
      </c>
      <c r="I500" s="4">
        <v>365.94</v>
      </c>
      <c r="J500" s="4">
        <v>842.67</v>
      </c>
      <c r="K500" s="3">
        <v>2</v>
      </c>
      <c r="L500" s="2" t="s">
        <v>2518</v>
      </c>
      <c r="M500" s="2" t="s">
        <v>2524</v>
      </c>
      <c r="N500" t="str">
        <f>TRIM(PROPER(Tabla_auditoría[[#This Row],[ID_Campaña]]))</f>
        <v>Cmp-028</v>
      </c>
      <c r="O500" t="str">
        <f>TRIM(PROPER(Tabla_auditoría[[#This Row],[Canal]]))</f>
        <v>Organic Social</v>
      </c>
      <c r="P500" t="str">
        <f>TRIM(PROPER(Tabla_auditoría[[#This Row],[País]]))</f>
        <v>México</v>
      </c>
      <c r="Q500" t="str">
        <f>TRIM(PROPER(Tabla_auditoría[[#This Row],[Dispositivo]]))</f>
        <v>Mobile</v>
      </c>
      <c r="R500" t="str">
        <f>TRIM(PROPER(Tabla_auditoría[[#This Row],[Tipo_Campaña]]))</f>
        <v>Adquisición</v>
      </c>
      <c r="S500" t="str">
        <f>TRIM(PROPER(Tabla_auditoría[[#This Row],[Responsable]]))</f>
        <v>Luis Martín</v>
      </c>
    </row>
    <row r="501" spans="1:19" x14ac:dyDescent="0.3">
      <c r="A501" s="1">
        <v>45995</v>
      </c>
      <c r="B501" s="2" t="s">
        <v>2544</v>
      </c>
      <c r="C501" s="2" t="s">
        <v>2533</v>
      </c>
      <c r="D501" s="2" t="s">
        <v>2531</v>
      </c>
      <c r="E501" s="2" t="s">
        <v>2534</v>
      </c>
      <c r="F501" s="3">
        <v>55755</v>
      </c>
      <c r="G501" s="3">
        <v>3489</v>
      </c>
      <c r="H501" s="3">
        <v>365</v>
      </c>
      <c r="I501" s="4">
        <v>2397.04</v>
      </c>
      <c r="J501" s="4">
        <v>64793.36</v>
      </c>
      <c r="K501" s="3">
        <v>276</v>
      </c>
      <c r="L501" s="2" t="s">
        <v>2518</v>
      </c>
      <c r="M501" s="2" t="s">
        <v>2519</v>
      </c>
      <c r="N501" t="str">
        <f>TRIM(PROPER(Tabla_auditoría[[#This Row],[ID_Campaña]]))</f>
        <v>Cmp-006</v>
      </c>
      <c r="O501" t="str">
        <f>TRIM(PROPER(Tabla_auditoría[[#This Row],[Canal]]))</f>
        <v>Paid Social</v>
      </c>
      <c r="P501" t="str">
        <f>TRIM(PROPER(Tabla_auditoría[[#This Row],[País]]))</f>
        <v>Portugal</v>
      </c>
      <c r="Q501" t="str">
        <f>TRIM(PROPER(Tabla_auditoría[[#This Row],[Dispositivo]]))</f>
        <v>Tablet</v>
      </c>
      <c r="R501" t="str">
        <f>TRIM(PROPER(Tabla_auditoría[[#This Row],[Tipo_Campaña]]))</f>
        <v>Adquisición</v>
      </c>
      <c r="S501" t="str">
        <f>TRIM(PROPER(Tabla_auditoría[[#This Row],[Responsable]]))</f>
        <v>Carlos Ruiz</v>
      </c>
    </row>
    <row r="502" spans="1:19" x14ac:dyDescent="0.3">
      <c r="A502" s="1">
        <v>45810</v>
      </c>
      <c r="B502" s="2" t="s">
        <v>2570</v>
      </c>
      <c r="C502" s="2" t="s">
        <v>2515</v>
      </c>
      <c r="D502" s="2" t="s">
        <v>2516</v>
      </c>
      <c r="E502" s="2" t="s">
        <v>2529</v>
      </c>
      <c r="F502" s="3">
        <v>161788</v>
      </c>
      <c r="G502" s="3">
        <v>11571</v>
      </c>
      <c r="H502" s="3">
        <v>1442</v>
      </c>
      <c r="I502" s="4">
        <v>12013.3</v>
      </c>
      <c r="J502" s="4">
        <v>179019.65</v>
      </c>
      <c r="K502" s="3">
        <v>1002</v>
      </c>
      <c r="L502" s="2" t="s">
        <v>2536</v>
      </c>
      <c r="M502" s="2" t="s">
        <v>2537</v>
      </c>
      <c r="N502" t="str">
        <f>TRIM(PROPER(Tabla_auditoría[[#This Row],[ID_Campaña]]))</f>
        <v>Cmp-016</v>
      </c>
      <c r="O502" t="str">
        <f>TRIM(PROPER(Tabla_auditoría[[#This Row],[Canal]]))</f>
        <v>Email</v>
      </c>
      <c r="P502" t="str">
        <f>TRIM(PROPER(Tabla_auditoría[[#This Row],[País]]))</f>
        <v>México</v>
      </c>
      <c r="Q502" t="str">
        <f>TRIM(PROPER(Tabla_auditoría[[#This Row],[Dispositivo]]))</f>
        <v>Mobile</v>
      </c>
      <c r="R502" t="str">
        <f>TRIM(PROPER(Tabla_auditoría[[#This Row],[Tipo_Campaña]]))</f>
        <v>Reconocimiento</v>
      </c>
      <c r="S502" t="str">
        <f>TRIM(PROPER(Tabla_auditoría[[#This Row],[Responsable]]))</f>
        <v>Marta López</v>
      </c>
    </row>
    <row r="503" spans="1:19" x14ac:dyDescent="0.3">
      <c r="A503" s="1">
        <v>45694</v>
      </c>
      <c r="B503" s="2" t="s">
        <v>2544</v>
      </c>
      <c r="C503" s="2" t="s">
        <v>2543</v>
      </c>
      <c r="D503" s="2" t="s">
        <v>2528</v>
      </c>
      <c r="E503" s="2" t="s">
        <v>2529</v>
      </c>
      <c r="F503" s="3">
        <v>23010</v>
      </c>
      <c r="G503" s="3">
        <v>2050</v>
      </c>
      <c r="H503" s="3">
        <v>128</v>
      </c>
      <c r="I503" s="4">
        <v>3945.19</v>
      </c>
      <c r="J503" s="4">
        <v>18288.53</v>
      </c>
      <c r="K503" s="3">
        <v>70</v>
      </c>
      <c r="L503" s="2" t="s">
        <v>2539</v>
      </c>
      <c r="M503" s="2" t="s">
        <v>2524</v>
      </c>
      <c r="N503" t="str">
        <f>TRIM(PROPER(Tabla_auditoría[[#This Row],[ID_Campaña]]))</f>
        <v>Cmp-006</v>
      </c>
      <c r="O503" t="str">
        <f>TRIM(PROPER(Tabla_auditoría[[#This Row],[Canal]]))</f>
        <v>Organic Social</v>
      </c>
      <c r="P503" t="str">
        <f>TRIM(PROPER(Tabla_auditoría[[#This Row],[País]]))</f>
        <v>España</v>
      </c>
      <c r="Q503" t="str">
        <f>TRIM(PROPER(Tabla_auditoría[[#This Row],[Dispositivo]]))</f>
        <v>Mobile</v>
      </c>
      <c r="R503" t="str">
        <f>TRIM(PROPER(Tabla_auditoría[[#This Row],[Tipo_Campaña]]))</f>
        <v>Conversión</v>
      </c>
      <c r="S503" t="str">
        <f>TRIM(PROPER(Tabla_auditoría[[#This Row],[Responsable]]))</f>
        <v>Luis Martín</v>
      </c>
    </row>
    <row r="504" spans="1:19" x14ac:dyDescent="0.3">
      <c r="A504" s="1">
        <v>45917</v>
      </c>
      <c r="B504" s="2" t="s">
        <v>2547</v>
      </c>
      <c r="C504" s="2" t="s">
        <v>2533</v>
      </c>
      <c r="D504" s="2" t="s">
        <v>2516</v>
      </c>
      <c r="E504" s="2" t="s">
        <v>2529</v>
      </c>
      <c r="F504" s="3">
        <v>160422</v>
      </c>
      <c r="G504" s="3">
        <v>12369</v>
      </c>
      <c r="H504" s="3">
        <v>1393</v>
      </c>
      <c r="I504" s="4">
        <v>8362.4</v>
      </c>
      <c r="J504" s="4">
        <v>245307.9</v>
      </c>
      <c r="K504" s="3">
        <v>881</v>
      </c>
      <c r="L504" s="2" t="s">
        <v>2518</v>
      </c>
      <c r="M504" s="2" t="s">
        <v>2519</v>
      </c>
      <c r="N504" t="str">
        <f>TRIM(PROPER(Tabla_auditoría[[#This Row],[ID_Campaña]]))</f>
        <v>Cmp-018</v>
      </c>
      <c r="O504" t="str">
        <f>TRIM(PROPER(Tabla_auditoría[[#This Row],[Canal]]))</f>
        <v>Paid Social</v>
      </c>
      <c r="P504" t="str">
        <f>TRIM(PROPER(Tabla_auditoría[[#This Row],[País]]))</f>
        <v>México</v>
      </c>
      <c r="Q504" t="str">
        <f>TRIM(PROPER(Tabla_auditoría[[#This Row],[Dispositivo]]))</f>
        <v>Mobile</v>
      </c>
      <c r="R504" t="str">
        <f>TRIM(PROPER(Tabla_auditoría[[#This Row],[Tipo_Campaña]]))</f>
        <v>Adquisición</v>
      </c>
      <c r="S504" t="str">
        <f>TRIM(PROPER(Tabla_auditoría[[#This Row],[Responsable]]))</f>
        <v>Carlos Ruiz</v>
      </c>
    </row>
    <row r="505" spans="1:19" x14ac:dyDescent="0.3">
      <c r="A505" s="1">
        <v>45864</v>
      </c>
      <c r="B505" s="2" t="s">
        <v>2566</v>
      </c>
      <c r="C505" s="2" t="s">
        <v>2527</v>
      </c>
      <c r="D505" s="2" t="s">
        <v>2525</v>
      </c>
      <c r="E505" s="2" t="s">
        <v>2517</v>
      </c>
      <c r="F505" s="3">
        <v>155743</v>
      </c>
      <c r="G505" s="3">
        <v>11002</v>
      </c>
      <c r="H505" s="3">
        <v>1158</v>
      </c>
      <c r="I505" s="4">
        <v>8199.16</v>
      </c>
      <c r="J505" s="4">
        <v>69554.89</v>
      </c>
      <c r="K505" s="3">
        <v>996</v>
      </c>
      <c r="L505" s="2" t="s">
        <v>2539</v>
      </c>
      <c r="M505" s="2" t="s">
        <v>2537</v>
      </c>
      <c r="N505" t="str">
        <f>TRIM(PROPER(Tabla_auditoría[[#This Row],[ID_Campaña]]))</f>
        <v>Cmp-001</v>
      </c>
      <c r="O505" t="str">
        <f>TRIM(PROPER(Tabla_auditoría[[#This Row],[Canal]]))</f>
        <v>Affiliate</v>
      </c>
      <c r="P505" t="str">
        <f>TRIM(PROPER(Tabla_auditoría[[#This Row],[País]]))</f>
        <v>Francia</v>
      </c>
      <c r="Q505" t="str">
        <f>TRIM(PROPER(Tabla_auditoría[[#This Row],[Dispositivo]]))</f>
        <v>Desktop</v>
      </c>
      <c r="R505" t="str">
        <f>TRIM(PROPER(Tabla_auditoría[[#This Row],[Tipo_Campaña]]))</f>
        <v>Conversión</v>
      </c>
      <c r="S505" t="str">
        <f>TRIM(PROPER(Tabla_auditoría[[#This Row],[Responsable]]))</f>
        <v>Marta López</v>
      </c>
    </row>
    <row r="506" spans="1:19" x14ac:dyDescent="0.3">
      <c r="A506" s="1">
        <v>45908</v>
      </c>
      <c r="B506" s="2" t="s">
        <v>2556</v>
      </c>
      <c r="C506" s="2" t="s">
        <v>2533</v>
      </c>
      <c r="D506" s="2" t="s">
        <v>2584</v>
      </c>
      <c r="E506" s="2" t="s">
        <v>2529</v>
      </c>
      <c r="F506" s="3">
        <v>92162</v>
      </c>
      <c r="G506" s="3">
        <v>7822</v>
      </c>
      <c r="H506" s="3">
        <v>59</v>
      </c>
      <c r="I506" s="4">
        <v>5813.1</v>
      </c>
      <c r="J506" s="4">
        <v>2901.77</v>
      </c>
      <c r="K506" s="3">
        <v>33</v>
      </c>
      <c r="L506" s="2" t="s">
        <v>2539</v>
      </c>
      <c r="M506" s="2" t="s">
        <v>2537</v>
      </c>
      <c r="N506" t="str">
        <f>TRIM(PROPER(Tabla_auditoría[[#This Row],[ID_Campaña]]))</f>
        <v>Cmp-014</v>
      </c>
      <c r="O506" t="str">
        <f>TRIM(PROPER(Tabla_auditoría[[#This Row],[Canal]]))</f>
        <v>Paid Social</v>
      </c>
      <c r="P506" t="str">
        <f>TRIM(PROPER(Tabla_auditoría[[#This Row],[País]]))</f>
        <v>Portugal</v>
      </c>
      <c r="Q506" t="str">
        <f>TRIM(PROPER(Tabla_auditoría[[#This Row],[Dispositivo]]))</f>
        <v>Mobile</v>
      </c>
      <c r="R506" t="str">
        <f>TRIM(PROPER(Tabla_auditoría[[#This Row],[Tipo_Campaña]]))</f>
        <v>Conversión</v>
      </c>
      <c r="S506" t="str">
        <f>TRIM(PROPER(Tabla_auditoría[[#This Row],[Responsable]]))</f>
        <v>Marta López</v>
      </c>
    </row>
    <row r="507" spans="1:19" x14ac:dyDescent="0.3">
      <c r="A507" s="1">
        <v>45795</v>
      </c>
      <c r="B507" s="2" t="s">
        <v>2540</v>
      </c>
      <c r="C507" s="2" t="s">
        <v>2533</v>
      </c>
      <c r="D507" s="2" t="s">
        <v>2531</v>
      </c>
      <c r="E507" s="2" t="s">
        <v>2517</v>
      </c>
      <c r="F507" s="3">
        <v>174272</v>
      </c>
      <c r="G507" s="3">
        <v>4503</v>
      </c>
      <c r="H507" s="3">
        <v>478</v>
      </c>
      <c r="I507" s="4">
        <v>2554.4299999999998</v>
      </c>
      <c r="J507" s="4">
        <v>42421.32</v>
      </c>
      <c r="K507" s="3">
        <v>220</v>
      </c>
      <c r="L507" s="2" t="s">
        <v>2539</v>
      </c>
      <c r="M507" s="2" t="s">
        <v>2537</v>
      </c>
      <c r="N507" t="str">
        <f>TRIM(PROPER(Tabla_auditoría[[#This Row],[ID_Campaña]]))</f>
        <v>Cmp-017</v>
      </c>
      <c r="O507" t="str">
        <f>TRIM(PROPER(Tabla_auditoría[[#This Row],[Canal]]))</f>
        <v>Paid Social</v>
      </c>
      <c r="P507" t="str">
        <f>TRIM(PROPER(Tabla_auditoría[[#This Row],[País]]))</f>
        <v>Portugal</v>
      </c>
      <c r="Q507" t="str">
        <f>TRIM(PROPER(Tabla_auditoría[[#This Row],[Dispositivo]]))</f>
        <v>Desktop</v>
      </c>
      <c r="R507" t="str">
        <f>TRIM(PROPER(Tabla_auditoría[[#This Row],[Tipo_Campaña]]))</f>
        <v>Conversión</v>
      </c>
      <c r="S507" t="str">
        <f>TRIM(PROPER(Tabla_auditoría[[#This Row],[Responsable]]))</f>
        <v>Marta López</v>
      </c>
    </row>
    <row r="508" spans="1:19" x14ac:dyDescent="0.3">
      <c r="A508" s="1">
        <v>45676</v>
      </c>
      <c r="B508" s="2" t="s">
        <v>2574</v>
      </c>
      <c r="C508" s="2" t="s">
        <v>2527</v>
      </c>
      <c r="D508" s="2" t="s">
        <v>2516</v>
      </c>
      <c r="E508" s="2" t="s">
        <v>2529</v>
      </c>
      <c r="F508" s="3">
        <v>126698</v>
      </c>
      <c r="G508" s="3">
        <v>2524</v>
      </c>
      <c r="H508" s="3">
        <v>123</v>
      </c>
      <c r="I508" s="4">
        <v>1638.84</v>
      </c>
      <c r="J508" s="4">
        <v>8326.49</v>
      </c>
      <c r="K508" s="3">
        <v>95</v>
      </c>
      <c r="L508" s="2" t="s">
        <v>2518</v>
      </c>
      <c r="M508" s="2" t="s">
        <v>2537</v>
      </c>
      <c r="N508" t="str">
        <f>TRIM(PROPER(Tabla_auditoría[[#This Row],[ID_Campaña]]))</f>
        <v>Cmp-003</v>
      </c>
      <c r="O508" t="str">
        <f>TRIM(PROPER(Tabla_auditoría[[#This Row],[Canal]]))</f>
        <v>Affiliate</v>
      </c>
      <c r="P508" t="str">
        <f>TRIM(PROPER(Tabla_auditoría[[#This Row],[País]]))</f>
        <v>México</v>
      </c>
      <c r="Q508" t="str">
        <f>TRIM(PROPER(Tabla_auditoría[[#This Row],[Dispositivo]]))</f>
        <v>Mobile</v>
      </c>
      <c r="R508" t="str">
        <f>TRIM(PROPER(Tabla_auditoría[[#This Row],[Tipo_Campaña]]))</f>
        <v>Adquisición</v>
      </c>
      <c r="S508" t="str">
        <f>TRIM(PROPER(Tabla_auditoría[[#This Row],[Responsable]]))</f>
        <v>Marta López</v>
      </c>
    </row>
    <row r="509" spans="1:19" x14ac:dyDescent="0.3">
      <c r="A509" s="1">
        <v>45669</v>
      </c>
      <c r="B509" s="2" t="s">
        <v>2535</v>
      </c>
      <c r="C509" s="2" t="s">
        <v>2543</v>
      </c>
      <c r="D509" s="2" t="s">
        <v>2516</v>
      </c>
      <c r="E509" s="2" t="s">
        <v>2529</v>
      </c>
      <c r="F509" s="3">
        <v>62262</v>
      </c>
      <c r="G509" s="3">
        <v>1815</v>
      </c>
      <c r="H509" s="3">
        <v>47</v>
      </c>
      <c r="I509" s="4">
        <v>2974.39</v>
      </c>
      <c r="J509" s="4">
        <v>9412.1</v>
      </c>
      <c r="K509" s="3">
        <v>30</v>
      </c>
      <c r="L509" s="2" t="s">
        <v>2536</v>
      </c>
      <c r="M509" s="2" t="s">
        <v>2526</v>
      </c>
      <c r="N509" t="str">
        <f>TRIM(PROPER(Tabla_auditoría[[#This Row],[ID_Campaña]]))</f>
        <v>Cmp-015</v>
      </c>
      <c r="O509" t="str">
        <f>TRIM(PROPER(Tabla_auditoría[[#This Row],[Canal]]))</f>
        <v>Organic Social</v>
      </c>
      <c r="P509" t="str">
        <f>TRIM(PROPER(Tabla_auditoría[[#This Row],[País]]))</f>
        <v>México</v>
      </c>
      <c r="Q509" t="str">
        <f>TRIM(PROPER(Tabla_auditoría[[#This Row],[Dispositivo]]))</f>
        <v>Mobile</v>
      </c>
      <c r="R509" t="str">
        <f>TRIM(PROPER(Tabla_auditoría[[#This Row],[Tipo_Campaña]]))</f>
        <v>Reconocimiento</v>
      </c>
      <c r="S509" t="str">
        <f>TRIM(PROPER(Tabla_auditoría[[#This Row],[Responsable]]))</f>
        <v>Laura Pérez</v>
      </c>
    </row>
    <row r="510" spans="1:19" x14ac:dyDescent="0.3">
      <c r="A510" s="1">
        <v>45909</v>
      </c>
      <c r="B510" s="2" t="s">
        <v>2566</v>
      </c>
      <c r="C510" s="2" t="s">
        <v>2541</v>
      </c>
      <c r="D510" s="2" t="s">
        <v>2528</v>
      </c>
      <c r="E510" s="2" t="s">
        <v>2529</v>
      </c>
      <c r="F510" s="3">
        <v>108836</v>
      </c>
      <c r="G510" s="3">
        <v>5484</v>
      </c>
      <c r="H510" s="3">
        <v>492</v>
      </c>
      <c r="I510" s="4">
        <v>5035.92</v>
      </c>
      <c r="J510" s="4">
        <v>78452.45</v>
      </c>
      <c r="K510" s="3">
        <v>322</v>
      </c>
      <c r="L510" s="2" t="s">
        <v>2539</v>
      </c>
      <c r="M510" s="2" t="s">
        <v>2537</v>
      </c>
      <c r="N510" t="str">
        <f>TRIM(PROPER(Tabla_auditoría[[#This Row],[ID_Campaña]]))</f>
        <v>Cmp-001</v>
      </c>
      <c r="O510" t="str">
        <f>TRIM(PROPER(Tabla_auditoría[[#This Row],[Canal]]))</f>
        <v>Display</v>
      </c>
      <c r="P510" t="str">
        <f>TRIM(PROPER(Tabla_auditoría[[#This Row],[País]]))</f>
        <v>España</v>
      </c>
      <c r="Q510" t="str">
        <f>TRIM(PROPER(Tabla_auditoría[[#This Row],[Dispositivo]]))</f>
        <v>Mobile</v>
      </c>
      <c r="R510" t="str">
        <f>TRIM(PROPER(Tabla_auditoría[[#This Row],[Tipo_Campaña]]))</f>
        <v>Conversión</v>
      </c>
      <c r="S510" t="str">
        <f>TRIM(PROPER(Tabla_auditoría[[#This Row],[Responsable]]))</f>
        <v>Marta López</v>
      </c>
    </row>
    <row r="511" spans="1:19" x14ac:dyDescent="0.3">
      <c r="A511" s="1">
        <v>45712</v>
      </c>
      <c r="B511" s="2" t="s">
        <v>2568</v>
      </c>
      <c r="C511" s="2" t="s">
        <v>2515</v>
      </c>
      <c r="D511" s="2" t="s">
        <v>2528</v>
      </c>
      <c r="E511" s="2" t="s">
        <v>2517</v>
      </c>
      <c r="F511" s="3">
        <v>3882</v>
      </c>
      <c r="G511" s="3">
        <v>73</v>
      </c>
      <c r="H511" s="3">
        <v>6</v>
      </c>
      <c r="I511" s="4">
        <v>147.18</v>
      </c>
      <c r="J511" s="4">
        <v>776.89</v>
      </c>
      <c r="K511" s="3">
        <v>2</v>
      </c>
      <c r="L511" s="2" t="s">
        <v>2523</v>
      </c>
      <c r="M511" s="2" t="s">
        <v>2546</v>
      </c>
      <c r="N511" t="str">
        <f>TRIM(PROPER(Tabla_auditoría[[#This Row],[ID_Campaña]]))</f>
        <v>Cmp-020</v>
      </c>
      <c r="O511" t="str">
        <f>TRIM(PROPER(Tabla_auditoría[[#This Row],[Canal]]))</f>
        <v>Email</v>
      </c>
      <c r="P511" t="str">
        <f>TRIM(PROPER(Tabla_auditoría[[#This Row],[País]]))</f>
        <v>España</v>
      </c>
      <c r="Q511" t="str">
        <f>TRIM(PROPER(Tabla_auditoría[[#This Row],[Dispositivo]]))</f>
        <v>Desktop</v>
      </c>
      <c r="R511" t="str">
        <f>TRIM(PROPER(Tabla_auditoría[[#This Row],[Tipo_Campaña]]))</f>
        <v>Retención</v>
      </c>
      <c r="S511" t="str">
        <f>TRIM(PROPER(Tabla_auditoría[[#This Row],[Responsable]]))</f>
        <v>Ana García</v>
      </c>
    </row>
    <row r="512" spans="1:19" x14ac:dyDescent="0.3">
      <c r="A512" s="1">
        <v>45970</v>
      </c>
      <c r="B512" s="2" t="s">
        <v>2547</v>
      </c>
      <c r="C512" s="2" t="s">
        <v>2515</v>
      </c>
      <c r="D512" s="2" t="s">
        <v>2525</v>
      </c>
      <c r="E512" s="2" t="s">
        <v>2517</v>
      </c>
      <c r="F512" s="3">
        <v>56304</v>
      </c>
      <c r="G512" s="3">
        <v>3821</v>
      </c>
      <c r="H512" s="3">
        <v>433</v>
      </c>
      <c r="I512" s="4">
        <v>3408.02</v>
      </c>
      <c r="J512" s="4">
        <v>44074.75</v>
      </c>
      <c r="K512" s="3">
        <v>335</v>
      </c>
      <c r="L512" s="2" t="s">
        <v>2523</v>
      </c>
      <c r="M512" s="2" t="s">
        <v>2546</v>
      </c>
      <c r="N512" t="str">
        <f>TRIM(PROPER(Tabla_auditoría[[#This Row],[ID_Campaña]]))</f>
        <v>Cmp-018</v>
      </c>
      <c r="O512" t="str">
        <f>TRIM(PROPER(Tabla_auditoría[[#This Row],[Canal]]))</f>
        <v>Email</v>
      </c>
      <c r="P512" t="str">
        <f>TRIM(PROPER(Tabla_auditoría[[#This Row],[País]]))</f>
        <v>Francia</v>
      </c>
      <c r="Q512" t="str">
        <f>TRIM(PROPER(Tabla_auditoría[[#This Row],[Dispositivo]]))</f>
        <v>Desktop</v>
      </c>
      <c r="R512" t="str">
        <f>TRIM(PROPER(Tabla_auditoría[[#This Row],[Tipo_Campaña]]))</f>
        <v>Retención</v>
      </c>
      <c r="S512" t="str">
        <f>TRIM(PROPER(Tabla_auditoría[[#This Row],[Responsable]]))</f>
        <v>Ana García</v>
      </c>
    </row>
    <row r="513" spans="1:19" x14ac:dyDescent="0.3">
      <c r="A513" s="1">
        <v>45809</v>
      </c>
      <c r="B513" s="2" t="s">
        <v>2551</v>
      </c>
      <c r="C513" s="2" t="s">
        <v>2521</v>
      </c>
      <c r="D513" s="2" t="s">
        <v>2531</v>
      </c>
      <c r="E513" s="2" t="s">
        <v>2529</v>
      </c>
      <c r="F513" s="3">
        <v>40605</v>
      </c>
      <c r="G513" s="3">
        <v>1681</v>
      </c>
      <c r="H513" s="3">
        <v>205</v>
      </c>
      <c r="I513" s="4">
        <v>1539.51</v>
      </c>
      <c r="J513" s="4">
        <v>31761.61</v>
      </c>
      <c r="K513" s="3">
        <v>178</v>
      </c>
      <c r="L513" s="2" t="s">
        <v>2523</v>
      </c>
      <c r="M513" s="2" t="s">
        <v>2519</v>
      </c>
      <c r="N513" t="str">
        <f>TRIM(PROPER(Tabla_auditoría[[#This Row],[ID_Campaña]]))</f>
        <v>Cmp-028</v>
      </c>
      <c r="O513" t="str">
        <f>TRIM(PROPER(Tabla_auditoría[[#This Row],[Canal]]))</f>
        <v>Paid Search</v>
      </c>
      <c r="P513" t="str">
        <f>TRIM(PROPER(Tabla_auditoría[[#This Row],[País]]))</f>
        <v>Portugal</v>
      </c>
      <c r="Q513" t="str">
        <f>TRIM(PROPER(Tabla_auditoría[[#This Row],[Dispositivo]]))</f>
        <v>Mobile</v>
      </c>
      <c r="R513" t="str">
        <f>TRIM(PROPER(Tabla_auditoría[[#This Row],[Tipo_Campaña]]))</f>
        <v>Retención</v>
      </c>
      <c r="S513" t="str">
        <f>TRIM(PROPER(Tabla_auditoría[[#This Row],[Responsable]]))</f>
        <v>Carlos Ruiz</v>
      </c>
    </row>
    <row r="514" spans="1:19" x14ac:dyDescent="0.3">
      <c r="A514" s="1">
        <v>45675</v>
      </c>
      <c r="B514" s="2" t="s">
        <v>2514</v>
      </c>
      <c r="C514" s="2" t="s">
        <v>2515</v>
      </c>
      <c r="D514" s="2" t="s">
        <v>2528</v>
      </c>
      <c r="E514" s="2" t="s">
        <v>2529</v>
      </c>
      <c r="F514" s="3">
        <v>124301</v>
      </c>
      <c r="G514" s="3">
        <v>1789</v>
      </c>
      <c r="H514" s="3">
        <v>102</v>
      </c>
      <c r="I514" s="4">
        <v>3332.17</v>
      </c>
      <c r="J514" s="4">
        <v>17294.169999999998</v>
      </c>
      <c r="K514" s="3">
        <v>74</v>
      </c>
      <c r="L514" s="2" t="s">
        <v>2539</v>
      </c>
      <c r="M514" s="2" t="s">
        <v>2546</v>
      </c>
      <c r="N514" t="str">
        <f>TRIM(PROPER(Tabla_auditoría[[#This Row],[ID_Campaña]]))</f>
        <v>Cmp-002</v>
      </c>
      <c r="O514" t="str">
        <f>TRIM(PROPER(Tabla_auditoría[[#This Row],[Canal]]))</f>
        <v>Email</v>
      </c>
      <c r="P514" t="str">
        <f>TRIM(PROPER(Tabla_auditoría[[#This Row],[País]]))</f>
        <v>España</v>
      </c>
      <c r="Q514" t="str">
        <f>TRIM(PROPER(Tabla_auditoría[[#This Row],[Dispositivo]]))</f>
        <v>Mobile</v>
      </c>
      <c r="R514" t="str">
        <f>TRIM(PROPER(Tabla_auditoría[[#This Row],[Tipo_Campaña]]))</f>
        <v>Conversión</v>
      </c>
      <c r="S514" t="str">
        <f>TRIM(PROPER(Tabla_auditoría[[#This Row],[Responsable]]))</f>
        <v>Ana García</v>
      </c>
    </row>
    <row r="515" spans="1:19" x14ac:dyDescent="0.3">
      <c r="A515" s="1">
        <v>45859</v>
      </c>
      <c r="B515" s="2" t="s">
        <v>2565</v>
      </c>
      <c r="C515" s="2" t="s">
        <v>2515</v>
      </c>
      <c r="D515" s="2" t="s">
        <v>2528</v>
      </c>
      <c r="E515" s="2" t="s">
        <v>2529</v>
      </c>
      <c r="F515" s="3">
        <v>74435</v>
      </c>
      <c r="G515" s="3">
        <v>4341</v>
      </c>
      <c r="H515" s="3">
        <v>237</v>
      </c>
      <c r="I515" s="4">
        <v>8785.98</v>
      </c>
      <c r="J515" s="4">
        <v>12314.4</v>
      </c>
      <c r="K515" s="3">
        <v>168</v>
      </c>
      <c r="L515" s="2" t="s">
        <v>2518</v>
      </c>
      <c r="M515" s="2" t="s">
        <v>2537</v>
      </c>
      <c r="N515" t="str">
        <f>TRIM(PROPER(Tabla_auditoría[[#This Row],[ID_Campaña]]))</f>
        <v>Cmp-005</v>
      </c>
      <c r="O515" t="str">
        <f>TRIM(PROPER(Tabla_auditoría[[#This Row],[Canal]]))</f>
        <v>Email</v>
      </c>
      <c r="P515" t="str">
        <f>TRIM(PROPER(Tabla_auditoría[[#This Row],[País]]))</f>
        <v>España</v>
      </c>
      <c r="Q515" t="str">
        <f>TRIM(PROPER(Tabla_auditoría[[#This Row],[Dispositivo]]))</f>
        <v>Mobile</v>
      </c>
      <c r="R515" t="str">
        <f>TRIM(PROPER(Tabla_auditoría[[#This Row],[Tipo_Campaña]]))</f>
        <v>Adquisición</v>
      </c>
      <c r="S515" t="str">
        <f>TRIM(PROPER(Tabla_auditoría[[#This Row],[Responsable]]))</f>
        <v>Marta López</v>
      </c>
    </row>
    <row r="516" spans="1:19" x14ac:dyDescent="0.3">
      <c r="A516" s="1">
        <v>45812</v>
      </c>
      <c r="B516" s="2" t="s">
        <v>2576</v>
      </c>
      <c r="C516" s="2" t="s">
        <v>2533</v>
      </c>
      <c r="D516" s="2" t="s">
        <v>2528</v>
      </c>
      <c r="E516" s="2" t="s">
        <v>2517</v>
      </c>
      <c r="F516" s="3">
        <v>5731</v>
      </c>
      <c r="G516" s="3">
        <v>102</v>
      </c>
      <c r="H516" s="3">
        <v>2</v>
      </c>
      <c r="I516" s="4">
        <v>11.2</v>
      </c>
      <c r="J516" s="4">
        <v>263.91000000000003</v>
      </c>
      <c r="K516" s="3">
        <v>1</v>
      </c>
      <c r="L516" s="2" t="s">
        <v>2539</v>
      </c>
      <c r="M516" s="2" t="s">
        <v>2526</v>
      </c>
      <c r="N516" t="str">
        <f>TRIM(PROPER(Tabla_auditoría[[#This Row],[ID_Campaña]]))</f>
        <v>Cmp-010</v>
      </c>
      <c r="O516" t="str">
        <f>TRIM(PROPER(Tabla_auditoría[[#This Row],[Canal]]))</f>
        <v>Paid Social</v>
      </c>
      <c r="P516" t="str">
        <f>TRIM(PROPER(Tabla_auditoría[[#This Row],[País]]))</f>
        <v>España</v>
      </c>
      <c r="Q516" t="str">
        <f>TRIM(PROPER(Tabla_auditoría[[#This Row],[Dispositivo]]))</f>
        <v>Desktop</v>
      </c>
      <c r="R516" t="str">
        <f>TRIM(PROPER(Tabla_auditoría[[#This Row],[Tipo_Campaña]]))</f>
        <v>Conversión</v>
      </c>
      <c r="S516" t="str">
        <f>TRIM(PROPER(Tabla_auditoría[[#This Row],[Responsable]]))</f>
        <v>Laura Pérez</v>
      </c>
    </row>
    <row r="517" spans="1:19" x14ac:dyDescent="0.3">
      <c r="A517" s="1">
        <v>46000</v>
      </c>
      <c r="B517" s="2" t="s">
        <v>2552</v>
      </c>
      <c r="C517" s="2" t="s">
        <v>2541</v>
      </c>
      <c r="D517" s="2" t="s">
        <v>2528</v>
      </c>
      <c r="E517" s="2" t="s">
        <v>2517</v>
      </c>
      <c r="F517" s="3">
        <v>75197</v>
      </c>
      <c r="G517" s="3">
        <v>639</v>
      </c>
      <c r="H517" s="3">
        <v>80</v>
      </c>
      <c r="I517" s="4">
        <v>481.65</v>
      </c>
      <c r="J517" s="4">
        <v>5156.6099999999997</v>
      </c>
      <c r="K517" s="3">
        <v>71</v>
      </c>
      <c r="L517" s="2" t="s">
        <v>2536</v>
      </c>
      <c r="M517" s="2" t="s">
        <v>2537</v>
      </c>
      <c r="N517" t="str">
        <f>TRIM(PROPER(Tabla_auditoría[[#This Row],[ID_Campaña]]))</f>
        <v>Cmp-012</v>
      </c>
      <c r="O517" t="str">
        <f>TRIM(PROPER(Tabla_auditoría[[#This Row],[Canal]]))</f>
        <v>Display</v>
      </c>
      <c r="P517" t="str">
        <f>TRIM(PROPER(Tabla_auditoría[[#This Row],[País]]))</f>
        <v>España</v>
      </c>
      <c r="Q517" t="str">
        <f>TRIM(PROPER(Tabla_auditoría[[#This Row],[Dispositivo]]))</f>
        <v>Desktop</v>
      </c>
      <c r="R517" t="str">
        <f>TRIM(PROPER(Tabla_auditoría[[#This Row],[Tipo_Campaña]]))</f>
        <v>Reconocimiento</v>
      </c>
      <c r="S517" t="str">
        <f>TRIM(PROPER(Tabla_auditoría[[#This Row],[Responsable]]))</f>
        <v>Marta López</v>
      </c>
    </row>
    <row r="518" spans="1:19" x14ac:dyDescent="0.3">
      <c r="A518" s="1">
        <v>45759</v>
      </c>
      <c r="B518" s="2" t="s">
        <v>2557</v>
      </c>
      <c r="C518" s="2" t="s">
        <v>2521</v>
      </c>
      <c r="D518" s="2" t="s">
        <v>2528</v>
      </c>
      <c r="E518" s="2" t="s">
        <v>2517</v>
      </c>
      <c r="F518" s="3">
        <v>6340</v>
      </c>
      <c r="G518" s="3">
        <v>122</v>
      </c>
      <c r="H518" s="3">
        <v>15</v>
      </c>
      <c r="I518" s="4">
        <v>169.89</v>
      </c>
      <c r="J518" s="4">
        <v>2481.58</v>
      </c>
      <c r="K518" s="3">
        <v>9</v>
      </c>
      <c r="L518" s="2" t="s">
        <v>2539</v>
      </c>
      <c r="M518" s="2" t="s">
        <v>2524</v>
      </c>
      <c r="N518" t="str">
        <f>TRIM(PROPER(Tabla_auditoría[[#This Row],[ID_Campaña]]))</f>
        <v>Cmp-030</v>
      </c>
      <c r="O518" t="str">
        <f>TRIM(PROPER(Tabla_auditoría[[#This Row],[Canal]]))</f>
        <v>Paid Search</v>
      </c>
      <c r="P518" t="str">
        <f>TRIM(PROPER(Tabla_auditoría[[#This Row],[País]]))</f>
        <v>España</v>
      </c>
      <c r="Q518" t="str">
        <f>TRIM(PROPER(Tabla_auditoría[[#This Row],[Dispositivo]]))</f>
        <v>Desktop</v>
      </c>
      <c r="R518" t="str">
        <f>TRIM(PROPER(Tabla_auditoría[[#This Row],[Tipo_Campaña]]))</f>
        <v>Conversión</v>
      </c>
      <c r="S518" t="str">
        <f>TRIM(PROPER(Tabla_auditoría[[#This Row],[Responsable]]))</f>
        <v>Luis Martín</v>
      </c>
    </row>
    <row r="519" spans="1:19" x14ac:dyDescent="0.3">
      <c r="A519" s="1">
        <v>45885</v>
      </c>
      <c r="B519" s="2" t="s">
        <v>2551</v>
      </c>
      <c r="C519" s="2" t="s">
        <v>2521</v>
      </c>
      <c r="D519" s="2" t="s">
        <v>2528</v>
      </c>
      <c r="E519" s="2" t="s">
        <v>2529</v>
      </c>
      <c r="F519" s="3">
        <v>25158</v>
      </c>
      <c r="G519" s="3">
        <v>1323</v>
      </c>
      <c r="H519" s="3">
        <v>183</v>
      </c>
      <c r="I519" s="4">
        <v>1286.6099999999999</v>
      </c>
      <c r="J519" s="4">
        <v>21545.99</v>
      </c>
      <c r="K519" s="3">
        <v>119</v>
      </c>
      <c r="L519" s="2" t="s">
        <v>2523</v>
      </c>
      <c r="M519" s="2" t="s">
        <v>2526</v>
      </c>
      <c r="N519" t="str">
        <f>TRIM(PROPER(Tabla_auditoría[[#This Row],[ID_Campaña]]))</f>
        <v>Cmp-028</v>
      </c>
      <c r="O519" t="str">
        <f>TRIM(PROPER(Tabla_auditoría[[#This Row],[Canal]]))</f>
        <v>Paid Search</v>
      </c>
      <c r="P519" t="str">
        <f>TRIM(PROPER(Tabla_auditoría[[#This Row],[País]]))</f>
        <v>España</v>
      </c>
      <c r="Q519" t="str">
        <f>TRIM(PROPER(Tabla_auditoría[[#This Row],[Dispositivo]]))</f>
        <v>Mobile</v>
      </c>
      <c r="R519" t="str">
        <f>TRIM(PROPER(Tabla_auditoría[[#This Row],[Tipo_Campaña]]))</f>
        <v>Retención</v>
      </c>
      <c r="S519" t="str">
        <f>TRIM(PROPER(Tabla_auditoría[[#This Row],[Responsable]]))</f>
        <v>Laura Pérez</v>
      </c>
    </row>
    <row r="520" spans="1:19" x14ac:dyDescent="0.3">
      <c r="A520" s="1">
        <v>45848</v>
      </c>
      <c r="B520" s="2" t="s">
        <v>2545</v>
      </c>
      <c r="C520" s="2" t="s">
        <v>2521</v>
      </c>
      <c r="D520" s="2" t="s">
        <v>2525</v>
      </c>
      <c r="E520" s="2" t="s">
        <v>2529</v>
      </c>
      <c r="F520" s="3">
        <v>167573</v>
      </c>
      <c r="G520" s="3">
        <v>1953</v>
      </c>
      <c r="H520" s="3">
        <v>71</v>
      </c>
      <c r="I520" s="4">
        <v>4005.9</v>
      </c>
      <c r="J520" s="4">
        <v>14852.83</v>
      </c>
      <c r="K520" s="3">
        <v>57</v>
      </c>
      <c r="L520" s="2" t="s">
        <v>2536</v>
      </c>
      <c r="M520" s="2" t="s">
        <v>2526</v>
      </c>
      <c r="N520" t="str">
        <f>TRIM(PROPER(Tabla_auditoría[[#This Row],[ID_Campaña]]))</f>
        <v>Cmp-011</v>
      </c>
      <c r="O520" t="str">
        <f>TRIM(PROPER(Tabla_auditoría[[#This Row],[Canal]]))</f>
        <v>Paid Search</v>
      </c>
      <c r="P520" t="str">
        <f>TRIM(PROPER(Tabla_auditoría[[#This Row],[País]]))</f>
        <v>Francia</v>
      </c>
      <c r="Q520" t="str">
        <f>TRIM(PROPER(Tabla_auditoría[[#This Row],[Dispositivo]]))</f>
        <v>Mobile</v>
      </c>
      <c r="R520" t="str">
        <f>TRIM(PROPER(Tabla_auditoría[[#This Row],[Tipo_Campaña]]))</f>
        <v>Reconocimiento</v>
      </c>
      <c r="S520" t="str">
        <f>TRIM(PROPER(Tabla_auditoría[[#This Row],[Responsable]]))</f>
        <v>Laura Pérez</v>
      </c>
    </row>
    <row r="521" spans="1:19" x14ac:dyDescent="0.3">
      <c r="A521" s="1">
        <v>45903</v>
      </c>
      <c r="B521" s="2" t="s">
        <v>2571</v>
      </c>
      <c r="C521" s="2" t="s">
        <v>2541</v>
      </c>
      <c r="D521" s="2" t="s">
        <v>2525</v>
      </c>
      <c r="E521" s="2" t="s">
        <v>2529</v>
      </c>
      <c r="F521" s="3">
        <v>169608</v>
      </c>
      <c r="G521" s="3">
        <v>12523</v>
      </c>
      <c r="H521" s="3">
        <v>131</v>
      </c>
      <c r="I521" s="4">
        <v>17347.38</v>
      </c>
      <c r="J521" s="4">
        <v>9240.32</v>
      </c>
      <c r="K521" s="3">
        <v>62</v>
      </c>
      <c r="L521" s="2" t="s">
        <v>2536</v>
      </c>
      <c r="M521" s="2" t="s">
        <v>2537</v>
      </c>
      <c r="N521" t="str">
        <f>TRIM(PROPER(Tabla_auditoría[[#This Row],[ID_Campaña]]))</f>
        <v>Cmp-029</v>
      </c>
      <c r="O521" t="str">
        <f>TRIM(PROPER(Tabla_auditoría[[#This Row],[Canal]]))</f>
        <v>Display</v>
      </c>
      <c r="P521" t="str">
        <f>TRIM(PROPER(Tabla_auditoría[[#This Row],[País]]))</f>
        <v>Francia</v>
      </c>
      <c r="Q521" t="str">
        <f>TRIM(PROPER(Tabla_auditoría[[#This Row],[Dispositivo]]))</f>
        <v>Mobile</v>
      </c>
      <c r="R521" t="str">
        <f>TRIM(PROPER(Tabla_auditoría[[#This Row],[Tipo_Campaña]]))</f>
        <v>Reconocimiento</v>
      </c>
      <c r="S521" t="str">
        <f>TRIM(PROPER(Tabla_auditoría[[#This Row],[Responsable]]))</f>
        <v>Marta López</v>
      </c>
    </row>
    <row r="522" spans="1:19" x14ac:dyDescent="0.3">
      <c r="A522" s="1">
        <v>45716</v>
      </c>
      <c r="B522" s="2" t="s">
        <v>2557</v>
      </c>
      <c r="C522" s="2" t="s">
        <v>2543</v>
      </c>
      <c r="D522" s="2" t="s">
        <v>2516</v>
      </c>
      <c r="E522" s="2" t="s">
        <v>2529</v>
      </c>
      <c r="F522" s="3">
        <v>83513</v>
      </c>
      <c r="G522" s="3">
        <v>5009</v>
      </c>
      <c r="H522" s="3">
        <v>423</v>
      </c>
      <c r="I522" s="4">
        <v>9894.7000000000007</v>
      </c>
      <c r="J522" s="4">
        <v>57772.18</v>
      </c>
      <c r="K522" s="3">
        <v>273</v>
      </c>
      <c r="L522" s="2" t="s">
        <v>2536</v>
      </c>
      <c r="M522" s="2" t="s">
        <v>2524</v>
      </c>
      <c r="N522" t="str">
        <f>TRIM(PROPER(Tabla_auditoría[[#This Row],[ID_Campaña]]))</f>
        <v>Cmp-030</v>
      </c>
      <c r="O522" t="str">
        <f>TRIM(PROPER(Tabla_auditoría[[#This Row],[Canal]]))</f>
        <v>Organic Social</v>
      </c>
      <c r="P522" t="str">
        <f>TRIM(PROPER(Tabla_auditoría[[#This Row],[País]]))</f>
        <v>México</v>
      </c>
      <c r="Q522" t="str">
        <f>TRIM(PROPER(Tabla_auditoría[[#This Row],[Dispositivo]]))</f>
        <v>Mobile</v>
      </c>
      <c r="R522" t="str">
        <f>TRIM(PROPER(Tabla_auditoría[[#This Row],[Tipo_Campaña]]))</f>
        <v>Reconocimiento</v>
      </c>
      <c r="S522" t="str">
        <f>TRIM(PROPER(Tabla_auditoría[[#This Row],[Responsable]]))</f>
        <v>Luis Martín</v>
      </c>
    </row>
    <row r="523" spans="1:19" x14ac:dyDescent="0.3">
      <c r="A523" s="1">
        <v>45859</v>
      </c>
      <c r="B523" s="2" t="s">
        <v>2554</v>
      </c>
      <c r="C523" s="2" t="s">
        <v>2515</v>
      </c>
      <c r="D523" s="2" t="s">
        <v>2528</v>
      </c>
      <c r="E523" s="2" t="s">
        <v>2517</v>
      </c>
      <c r="F523" s="3">
        <v>91618</v>
      </c>
      <c r="G523" s="3">
        <v>954</v>
      </c>
      <c r="H523" s="3">
        <v>11</v>
      </c>
      <c r="I523" s="4">
        <v>1289.6300000000001</v>
      </c>
      <c r="J523" s="4">
        <v>981.21</v>
      </c>
      <c r="K523" s="3">
        <v>6</v>
      </c>
      <c r="L523" s="2" t="s">
        <v>2518</v>
      </c>
      <c r="M523" s="2" t="s">
        <v>2537</v>
      </c>
      <c r="N523" t="str">
        <f>TRIM(PROPER(Tabla_auditoría[[#This Row],[ID_Campaña]]))</f>
        <v>Cmp-019</v>
      </c>
      <c r="O523" t="str">
        <f>TRIM(PROPER(Tabla_auditoría[[#This Row],[Canal]]))</f>
        <v>Email</v>
      </c>
      <c r="P523" t="str">
        <f>TRIM(PROPER(Tabla_auditoría[[#This Row],[País]]))</f>
        <v>España</v>
      </c>
      <c r="Q523" t="str">
        <f>TRIM(PROPER(Tabla_auditoría[[#This Row],[Dispositivo]]))</f>
        <v>Desktop</v>
      </c>
      <c r="R523" t="str">
        <f>TRIM(PROPER(Tabla_auditoría[[#This Row],[Tipo_Campaña]]))</f>
        <v>Adquisición</v>
      </c>
      <c r="S523" t="str">
        <f>TRIM(PROPER(Tabla_auditoría[[#This Row],[Responsable]]))</f>
        <v>Marta López</v>
      </c>
    </row>
    <row r="524" spans="1:19" x14ac:dyDescent="0.3">
      <c r="A524" s="1">
        <v>45816</v>
      </c>
      <c r="B524" s="2" t="s">
        <v>2556</v>
      </c>
      <c r="C524" s="2" t="s">
        <v>2521</v>
      </c>
      <c r="D524" s="2" t="s">
        <v>2528</v>
      </c>
      <c r="E524" s="2" t="s">
        <v>2517</v>
      </c>
      <c r="F524" s="3">
        <v>70587</v>
      </c>
      <c r="G524" s="3">
        <v>4263</v>
      </c>
      <c r="H524" s="3">
        <v>262</v>
      </c>
      <c r="I524" s="4">
        <v>7505.75</v>
      </c>
      <c r="J524" s="4">
        <v>25218.16</v>
      </c>
      <c r="K524" s="3">
        <v>128</v>
      </c>
      <c r="L524" s="2" t="s">
        <v>2539</v>
      </c>
      <c r="M524" s="2" t="s">
        <v>2519</v>
      </c>
      <c r="N524" t="str">
        <f>TRIM(PROPER(Tabla_auditoría[[#This Row],[ID_Campaña]]))</f>
        <v>Cmp-014</v>
      </c>
      <c r="O524" t="str">
        <f>TRIM(PROPER(Tabla_auditoría[[#This Row],[Canal]]))</f>
        <v>Paid Search</v>
      </c>
      <c r="P524" t="str">
        <f>TRIM(PROPER(Tabla_auditoría[[#This Row],[País]]))</f>
        <v>España</v>
      </c>
      <c r="Q524" t="str">
        <f>TRIM(PROPER(Tabla_auditoría[[#This Row],[Dispositivo]]))</f>
        <v>Desktop</v>
      </c>
      <c r="R524" t="str">
        <f>TRIM(PROPER(Tabla_auditoría[[#This Row],[Tipo_Campaña]]))</f>
        <v>Conversión</v>
      </c>
      <c r="S524" t="str">
        <f>TRIM(PROPER(Tabla_auditoría[[#This Row],[Responsable]]))</f>
        <v>Carlos Ruiz</v>
      </c>
    </row>
    <row r="525" spans="1:19" x14ac:dyDescent="0.3">
      <c r="A525" s="1">
        <v>46014</v>
      </c>
      <c r="B525" s="2" t="s">
        <v>2574</v>
      </c>
      <c r="C525" s="2" t="s">
        <v>2527</v>
      </c>
      <c r="D525" s="2" t="s">
        <v>2525</v>
      </c>
      <c r="E525" s="2" t="s">
        <v>2517</v>
      </c>
      <c r="F525" s="3">
        <v>135586</v>
      </c>
      <c r="G525" s="3">
        <v>8967</v>
      </c>
      <c r="H525" s="3">
        <v>1001</v>
      </c>
      <c r="I525" s="4">
        <v>4618.6899999999996</v>
      </c>
      <c r="J525" s="4">
        <v>161944.57</v>
      </c>
      <c r="K525" s="3">
        <v>794</v>
      </c>
      <c r="L525" s="2" t="s">
        <v>2523</v>
      </c>
      <c r="M525" s="2" t="s">
        <v>2524</v>
      </c>
      <c r="N525" t="str">
        <f>TRIM(PROPER(Tabla_auditoría[[#This Row],[ID_Campaña]]))</f>
        <v>Cmp-003</v>
      </c>
      <c r="O525" t="str">
        <f>TRIM(PROPER(Tabla_auditoría[[#This Row],[Canal]]))</f>
        <v>Affiliate</v>
      </c>
      <c r="P525" t="str">
        <f>TRIM(PROPER(Tabla_auditoría[[#This Row],[País]]))</f>
        <v>Francia</v>
      </c>
      <c r="Q525" t="str">
        <f>TRIM(PROPER(Tabla_auditoría[[#This Row],[Dispositivo]]))</f>
        <v>Desktop</v>
      </c>
      <c r="R525" t="str">
        <f>TRIM(PROPER(Tabla_auditoría[[#This Row],[Tipo_Campaña]]))</f>
        <v>Retención</v>
      </c>
      <c r="S525" t="str">
        <f>TRIM(PROPER(Tabla_auditoría[[#This Row],[Responsable]]))</f>
        <v>Luis Martín</v>
      </c>
    </row>
    <row r="526" spans="1:19" x14ac:dyDescent="0.3">
      <c r="A526" s="1">
        <v>45739</v>
      </c>
      <c r="B526" s="2" t="s">
        <v>2545</v>
      </c>
      <c r="C526" s="2" t="s">
        <v>2527</v>
      </c>
      <c r="D526" s="2" t="s">
        <v>2528</v>
      </c>
      <c r="E526" s="2" t="s">
        <v>2517</v>
      </c>
      <c r="F526" s="3">
        <v>123898</v>
      </c>
      <c r="G526" s="3">
        <v>7711</v>
      </c>
      <c r="H526" s="3">
        <v>554</v>
      </c>
      <c r="I526" s="4">
        <v>8737.2199999999993</v>
      </c>
      <c r="J526" s="4">
        <v>71905.38</v>
      </c>
      <c r="K526" s="3">
        <v>377</v>
      </c>
      <c r="L526" s="2" t="s">
        <v>2518</v>
      </c>
      <c r="M526" s="2" t="s">
        <v>2537</v>
      </c>
      <c r="N526" t="str">
        <f>TRIM(PROPER(Tabla_auditoría[[#This Row],[ID_Campaña]]))</f>
        <v>Cmp-011</v>
      </c>
      <c r="O526" t="str">
        <f>TRIM(PROPER(Tabla_auditoría[[#This Row],[Canal]]))</f>
        <v>Affiliate</v>
      </c>
      <c r="P526" t="str">
        <f>TRIM(PROPER(Tabla_auditoría[[#This Row],[País]]))</f>
        <v>España</v>
      </c>
      <c r="Q526" t="str">
        <f>TRIM(PROPER(Tabla_auditoría[[#This Row],[Dispositivo]]))</f>
        <v>Desktop</v>
      </c>
      <c r="R526" t="str">
        <f>TRIM(PROPER(Tabla_auditoría[[#This Row],[Tipo_Campaña]]))</f>
        <v>Adquisición</v>
      </c>
      <c r="S526" t="str">
        <f>TRIM(PROPER(Tabla_auditoría[[#This Row],[Responsable]]))</f>
        <v>Marta López</v>
      </c>
    </row>
    <row r="527" spans="1:19" x14ac:dyDescent="0.3">
      <c r="A527" s="1">
        <v>45760</v>
      </c>
      <c r="B527" s="2" t="s">
        <v>2544</v>
      </c>
      <c r="C527" s="2" t="s">
        <v>2533</v>
      </c>
      <c r="D527" s="2" t="s">
        <v>2525</v>
      </c>
      <c r="E527" s="2" t="s">
        <v>2517</v>
      </c>
      <c r="F527" s="3">
        <v>50197</v>
      </c>
      <c r="G527" s="3">
        <v>3435</v>
      </c>
      <c r="H527" s="3">
        <v>293</v>
      </c>
      <c r="I527" s="4">
        <v>652.86</v>
      </c>
      <c r="J527" s="4">
        <v>24762.57</v>
      </c>
      <c r="K527" s="3">
        <v>213</v>
      </c>
      <c r="L527" s="2" t="s">
        <v>2539</v>
      </c>
      <c r="M527" s="2" t="s">
        <v>2537</v>
      </c>
      <c r="N527" t="str">
        <f>TRIM(PROPER(Tabla_auditoría[[#This Row],[ID_Campaña]]))</f>
        <v>Cmp-006</v>
      </c>
      <c r="O527" t="str">
        <f>TRIM(PROPER(Tabla_auditoría[[#This Row],[Canal]]))</f>
        <v>Paid Social</v>
      </c>
      <c r="P527" t="str">
        <f>TRIM(PROPER(Tabla_auditoría[[#This Row],[País]]))</f>
        <v>Francia</v>
      </c>
      <c r="Q527" t="str">
        <f>TRIM(PROPER(Tabla_auditoría[[#This Row],[Dispositivo]]))</f>
        <v>Desktop</v>
      </c>
      <c r="R527" t="str">
        <f>TRIM(PROPER(Tabla_auditoría[[#This Row],[Tipo_Campaña]]))</f>
        <v>Conversión</v>
      </c>
      <c r="S527" t="str">
        <f>TRIM(PROPER(Tabla_auditoría[[#This Row],[Responsable]]))</f>
        <v>Marta López</v>
      </c>
    </row>
    <row r="528" spans="1:19" x14ac:dyDescent="0.3">
      <c r="A528" s="1">
        <v>45910</v>
      </c>
      <c r="B528" s="2" t="s">
        <v>2535</v>
      </c>
      <c r="C528" s="2" t="s">
        <v>2541</v>
      </c>
      <c r="D528" s="2" t="s">
        <v>2516</v>
      </c>
      <c r="E528" s="2" t="s">
        <v>2517</v>
      </c>
      <c r="F528" s="3">
        <v>85059</v>
      </c>
      <c r="G528" s="3">
        <v>4913</v>
      </c>
      <c r="H528" s="3">
        <v>440</v>
      </c>
      <c r="I528" s="4">
        <v>7424.84</v>
      </c>
      <c r="J528" s="4">
        <v>57954.559999999998</v>
      </c>
      <c r="K528" s="3">
        <v>206</v>
      </c>
      <c r="L528" s="2" t="s">
        <v>2539</v>
      </c>
      <c r="M528" s="2" t="s">
        <v>2519</v>
      </c>
      <c r="N528" t="str">
        <f>TRIM(PROPER(Tabla_auditoría[[#This Row],[ID_Campaña]]))</f>
        <v>Cmp-015</v>
      </c>
      <c r="O528" t="str">
        <f>TRIM(PROPER(Tabla_auditoría[[#This Row],[Canal]]))</f>
        <v>Display</v>
      </c>
      <c r="P528" t="str">
        <f>TRIM(PROPER(Tabla_auditoría[[#This Row],[País]]))</f>
        <v>México</v>
      </c>
      <c r="Q528" t="str">
        <f>TRIM(PROPER(Tabla_auditoría[[#This Row],[Dispositivo]]))</f>
        <v>Desktop</v>
      </c>
      <c r="R528" t="str">
        <f>TRIM(PROPER(Tabla_auditoría[[#This Row],[Tipo_Campaña]]))</f>
        <v>Conversión</v>
      </c>
      <c r="S528" t="str">
        <f>TRIM(PROPER(Tabla_auditoría[[#This Row],[Responsable]]))</f>
        <v>Carlos Ruiz</v>
      </c>
    </row>
    <row r="529" spans="1:19" x14ac:dyDescent="0.3">
      <c r="A529" s="1">
        <v>45908</v>
      </c>
      <c r="B529" s="2" t="s">
        <v>2565</v>
      </c>
      <c r="C529" s="2" t="s">
        <v>2515</v>
      </c>
      <c r="D529" s="2" t="s">
        <v>2516</v>
      </c>
      <c r="E529" s="2" t="s">
        <v>2559</v>
      </c>
      <c r="F529" s="3">
        <v>132539</v>
      </c>
      <c r="G529" s="3">
        <v>8958</v>
      </c>
      <c r="H529" s="3">
        <v>451</v>
      </c>
      <c r="I529" s="4">
        <v>10437.58</v>
      </c>
      <c r="J529" s="4">
        <v>55712.15</v>
      </c>
      <c r="K529" s="3">
        <v>371</v>
      </c>
      <c r="L529" s="2" t="s">
        <v>2536</v>
      </c>
      <c r="M529" s="2" t="s">
        <v>2546</v>
      </c>
      <c r="N529" t="str">
        <f>TRIM(PROPER(Tabla_auditoría[[#This Row],[ID_Campaña]]))</f>
        <v>Cmp-005</v>
      </c>
      <c r="O529" t="str">
        <f>TRIM(PROPER(Tabla_auditoría[[#This Row],[Canal]]))</f>
        <v>Email</v>
      </c>
      <c r="P529" t="str">
        <f>TRIM(PROPER(Tabla_auditoría[[#This Row],[País]]))</f>
        <v>México</v>
      </c>
      <c r="Q529" t="str">
        <f>TRIM(PROPER(Tabla_auditoría[[#This Row],[Dispositivo]]))</f>
        <v>Desktop</v>
      </c>
      <c r="R529" t="str">
        <f>TRIM(PROPER(Tabla_auditoría[[#This Row],[Tipo_Campaña]]))</f>
        <v>Reconocimiento</v>
      </c>
      <c r="S529" t="str">
        <f>TRIM(PROPER(Tabla_auditoría[[#This Row],[Responsable]]))</f>
        <v>Ana García</v>
      </c>
    </row>
    <row r="530" spans="1:19" x14ac:dyDescent="0.3">
      <c r="A530" s="1">
        <v>45791</v>
      </c>
      <c r="B530" s="2" t="s">
        <v>2545</v>
      </c>
      <c r="C530" s="2" t="s">
        <v>2527</v>
      </c>
      <c r="D530" s="2" t="s">
        <v>2525</v>
      </c>
      <c r="E530" s="2" t="s">
        <v>2517</v>
      </c>
      <c r="F530" s="3">
        <v>13308</v>
      </c>
      <c r="G530" s="3">
        <v>380</v>
      </c>
      <c r="H530" s="3">
        <v>26</v>
      </c>
      <c r="I530" s="4">
        <v>400.15</v>
      </c>
      <c r="J530" s="4">
        <v>4777.84</v>
      </c>
      <c r="K530" s="3">
        <v>19</v>
      </c>
      <c r="L530" s="2" t="s">
        <v>2536</v>
      </c>
      <c r="M530" s="2" t="s">
        <v>2519</v>
      </c>
      <c r="N530" t="str">
        <f>TRIM(PROPER(Tabla_auditoría[[#This Row],[ID_Campaña]]))</f>
        <v>Cmp-011</v>
      </c>
      <c r="O530" t="str">
        <f>TRIM(PROPER(Tabla_auditoría[[#This Row],[Canal]]))</f>
        <v>Affiliate</v>
      </c>
      <c r="P530" t="str">
        <f>TRIM(PROPER(Tabla_auditoría[[#This Row],[País]]))</f>
        <v>Francia</v>
      </c>
      <c r="Q530" t="str">
        <f>TRIM(PROPER(Tabla_auditoría[[#This Row],[Dispositivo]]))</f>
        <v>Desktop</v>
      </c>
      <c r="R530" t="str">
        <f>TRIM(PROPER(Tabla_auditoría[[#This Row],[Tipo_Campaña]]))</f>
        <v>Reconocimiento</v>
      </c>
      <c r="S530" t="str">
        <f>TRIM(PROPER(Tabla_auditoría[[#This Row],[Responsable]]))</f>
        <v>Carlos Ruiz</v>
      </c>
    </row>
    <row r="531" spans="1:19" x14ac:dyDescent="0.3">
      <c r="A531" s="1">
        <v>46015</v>
      </c>
      <c r="B531" s="2" t="s">
        <v>2550</v>
      </c>
      <c r="C531" s="2" t="s">
        <v>2543</v>
      </c>
      <c r="D531" s="2" t="s">
        <v>2528</v>
      </c>
      <c r="E531" s="2" t="s">
        <v>2517</v>
      </c>
      <c r="F531" s="3">
        <v>138585</v>
      </c>
      <c r="G531" s="3">
        <v>8238</v>
      </c>
      <c r="H531" s="3">
        <v>1013</v>
      </c>
      <c r="I531" s="4">
        <v>11972.56</v>
      </c>
      <c r="J531" s="4">
        <v>130558.93</v>
      </c>
      <c r="K531" s="3">
        <v>833</v>
      </c>
      <c r="L531" s="2" t="s">
        <v>2539</v>
      </c>
      <c r="M531" s="2" t="s">
        <v>2546</v>
      </c>
      <c r="N531" t="str">
        <f>TRIM(PROPER(Tabla_auditoría[[#This Row],[ID_Campaña]]))</f>
        <v>Cmp-008</v>
      </c>
      <c r="O531" t="str">
        <f>TRIM(PROPER(Tabla_auditoría[[#This Row],[Canal]]))</f>
        <v>Organic Social</v>
      </c>
      <c r="P531" t="str">
        <f>TRIM(PROPER(Tabla_auditoría[[#This Row],[País]]))</f>
        <v>España</v>
      </c>
      <c r="Q531" t="str">
        <f>TRIM(PROPER(Tabla_auditoría[[#This Row],[Dispositivo]]))</f>
        <v>Desktop</v>
      </c>
      <c r="R531" t="str">
        <f>TRIM(PROPER(Tabla_auditoría[[#This Row],[Tipo_Campaña]]))</f>
        <v>Conversión</v>
      </c>
      <c r="S531" t="str">
        <f>TRIM(PROPER(Tabla_auditoría[[#This Row],[Responsable]]))</f>
        <v>Ana García</v>
      </c>
    </row>
    <row r="532" spans="1:19" x14ac:dyDescent="0.3">
      <c r="A532" s="1">
        <v>45730</v>
      </c>
      <c r="B532" s="2" t="s">
        <v>2567</v>
      </c>
      <c r="C532" s="2" t="s">
        <v>2521</v>
      </c>
      <c r="D532" s="2" t="s">
        <v>2528</v>
      </c>
      <c r="E532" s="2" t="s">
        <v>2529</v>
      </c>
      <c r="F532" s="3">
        <v>138022</v>
      </c>
      <c r="G532" s="3">
        <v>2106</v>
      </c>
      <c r="H532" s="3">
        <v>281</v>
      </c>
      <c r="I532" s="4">
        <v>3341.61</v>
      </c>
      <c r="J532" s="4">
        <v>26440.59</v>
      </c>
      <c r="K532" s="3">
        <v>190</v>
      </c>
      <c r="L532" s="2" t="s">
        <v>2539</v>
      </c>
      <c r="M532" s="2" t="s">
        <v>2524</v>
      </c>
      <c r="N532" t="str">
        <f>TRIM(PROPER(Tabla_auditoría[[#This Row],[ID_Campaña]]))</f>
        <v>Cmp-021</v>
      </c>
      <c r="O532" t="str">
        <f>TRIM(PROPER(Tabla_auditoría[[#This Row],[Canal]]))</f>
        <v>Paid Search</v>
      </c>
      <c r="P532" t="str">
        <f>TRIM(PROPER(Tabla_auditoría[[#This Row],[País]]))</f>
        <v>España</v>
      </c>
      <c r="Q532" t="str">
        <f>TRIM(PROPER(Tabla_auditoría[[#This Row],[Dispositivo]]))</f>
        <v>Mobile</v>
      </c>
      <c r="R532" t="str">
        <f>TRIM(PROPER(Tabla_auditoría[[#This Row],[Tipo_Campaña]]))</f>
        <v>Conversión</v>
      </c>
      <c r="S532" t="str">
        <f>TRIM(PROPER(Tabla_auditoría[[#This Row],[Responsable]]))</f>
        <v>Luis Martín</v>
      </c>
    </row>
    <row r="533" spans="1:19" x14ac:dyDescent="0.3">
      <c r="A533" s="1">
        <v>45718</v>
      </c>
      <c r="B533" s="2" t="s">
        <v>2532</v>
      </c>
      <c r="C533" s="2" t="s">
        <v>2541</v>
      </c>
      <c r="D533" s="2" t="s">
        <v>2516</v>
      </c>
      <c r="E533" s="2" t="s">
        <v>2517</v>
      </c>
      <c r="F533" s="3">
        <v>59089</v>
      </c>
      <c r="G533" s="3">
        <v>5218</v>
      </c>
      <c r="H533" s="3">
        <v>659</v>
      </c>
      <c r="I533" s="4">
        <v>5609.93</v>
      </c>
      <c r="J533" s="4">
        <v>144502.79</v>
      </c>
      <c r="K533" s="3">
        <v>345</v>
      </c>
      <c r="L533" s="2" t="s">
        <v>2518</v>
      </c>
      <c r="M533" s="2" t="s">
        <v>2526</v>
      </c>
      <c r="N533" t="str">
        <f>TRIM(PROPER(Tabla_auditoría[[#This Row],[ID_Campaña]]))</f>
        <v>Cmp-022</v>
      </c>
      <c r="O533" t="str">
        <f>TRIM(PROPER(Tabla_auditoría[[#This Row],[Canal]]))</f>
        <v>Display</v>
      </c>
      <c r="P533" t="str">
        <f>TRIM(PROPER(Tabla_auditoría[[#This Row],[País]]))</f>
        <v>México</v>
      </c>
      <c r="Q533" t="str">
        <f>TRIM(PROPER(Tabla_auditoría[[#This Row],[Dispositivo]]))</f>
        <v>Desktop</v>
      </c>
      <c r="R533" t="str">
        <f>TRIM(PROPER(Tabla_auditoría[[#This Row],[Tipo_Campaña]]))</f>
        <v>Adquisición</v>
      </c>
      <c r="S533" t="str">
        <f>TRIM(PROPER(Tabla_auditoría[[#This Row],[Responsable]]))</f>
        <v>Laura Pérez</v>
      </c>
    </row>
    <row r="534" spans="1:19" x14ac:dyDescent="0.3">
      <c r="A534" s="1">
        <v>45950</v>
      </c>
      <c r="B534" s="2" t="s">
        <v>2555</v>
      </c>
      <c r="C534" s="2" t="s">
        <v>2527</v>
      </c>
      <c r="D534" s="2" t="s">
        <v>2528</v>
      </c>
      <c r="E534" s="2" t="s">
        <v>2517</v>
      </c>
      <c r="F534" s="3">
        <v>130778</v>
      </c>
      <c r="G534" s="3">
        <v>8568</v>
      </c>
      <c r="H534" s="3">
        <v>1168</v>
      </c>
      <c r="I534" s="4">
        <v>10774.75</v>
      </c>
      <c r="J534" s="4">
        <v>94265.13</v>
      </c>
      <c r="K534" s="3">
        <v>863</v>
      </c>
      <c r="L534" s="2" t="s">
        <v>2518</v>
      </c>
      <c r="N534" t="str">
        <f>TRIM(PROPER(Tabla_auditoría[[#This Row],[ID_Campaña]]))</f>
        <v>Cmp-010</v>
      </c>
      <c r="O534" t="str">
        <f>TRIM(PROPER(Tabla_auditoría[[#This Row],[Canal]]))</f>
        <v>Affiliate</v>
      </c>
      <c r="P534" t="str">
        <f>TRIM(PROPER(Tabla_auditoría[[#This Row],[País]]))</f>
        <v>España</v>
      </c>
      <c r="Q534" t="str">
        <f>TRIM(PROPER(Tabla_auditoría[[#This Row],[Dispositivo]]))</f>
        <v>Desktop</v>
      </c>
      <c r="R534" t="str">
        <f>TRIM(PROPER(Tabla_auditoría[[#This Row],[Tipo_Campaña]]))</f>
        <v>Adquisición</v>
      </c>
      <c r="S534" t="str">
        <f>TRIM(PROPER(Tabla_auditoría[[#This Row],[Responsable]]))</f>
        <v/>
      </c>
    </row>
    <row r="535" spans="1:19" x14ac:dyDescent="0.3">
      <c r="A535" s="1">
        <v>45703</v>
      </c>
      <c r="B535" s="2" t="s">
        <v>2520</v>
      </c>
      <c r="C535" s="2" t="s">
        <v>2541</v>
      </c>
      <c r="D535" s="2" t="s">
        <v>2573</v>
      </c>
      <c r="E535" s="2" t="s">
        <v>2534</v>
      </c>
      <c r="F535" s="3">
        <v>7197</v>
      </c>
      <c r="G535" s="3">
        <v>95</v>
      </c>
      <c r="H535" s="3">
        <v>9</v>
      </c>
      <c r="I535" s="4">
        <v>160.38</v>
      </c>
      <c r="J535" s="4">
        <v>1121.53</v>
      </c>
      <c r="K535" s="3">
        <v>4</v>
      </c>
      <c r="L535" s="2" t="s">
        <v>2518</v>
      </c>
      <c r="M535" s="2" t="s">
        <v>2537</v>
      </c>
      <c r="N535" t="str">
        <f>TRIM(PROPER(Tabla_auditoría[[#This Row],[ID_Campaña]]))</f>
        <v>Cmp-009</v>
      </c>
      <c r="O535" t="str">
        <f>TRIM(PROPER(Tabla_auditoría[[#This Row],[Canal]]))</f>
        <v>Display</v>
      </c>
      <c r="P535" t="str">
        <f>TRIM(PROPER(Tabla_auditoría[[#This Row],[País]]))</f>
        <v>España</v>
      </c>
      <c r="Q535" t="str">
        <f>TRIM(PROPER(Tabla_auditoría[[#This Row],[Dispositivo]]))</f>
        <v>Tablet</v>
      </c>
      <c r="R535" t="str">
        <f>TRIM(PROPER(Tabla_auditoría[[#This Row],[Tipo_Campaña]]))</f>
        <v>Adquisición</v>
      </c>
      <c r="S535" t="str">
        <f>TRIM(PROPER(Tabla_auditoría[[#This Row],[Responsable]]))</f>
        <v>Marta López</v>
      </c>
    </row>
    <row r="536" spans="1:19" x14ac:dyDescent="0.3">
      <c r="A536" s="1">
        <v>45969</v>
      </c>
      <c r="B536" s="2" t="s">
        <v>2565</v>
      </c>
      <c r="C536" s="2" t="s">
        <v>2515</v>
      </c>
      <c r="D536" s="2" t="s">
        <v>2522</v>
      </c>
      <c r="E536" s="2" t="s">
        <v>2529</v>
      </c>
      <c r="F536" s="3">
        <v>55259</v>
      </c>
      <c r="G536" s="3">
        <v>3076</v>
      </c>
      <c r="H536" s="3">
        <v>199</v>
      </c>
      <c r="I536" s="4">
        <v>4397.83</v>
      </c>
      <c r="J536" s="4">
        <v>9510.76</v>
      </c>
      <c r="K536" s="3">
        <v>100</v>
      </c>
      <c r="L536" s="2" t="s">
        <v>2536</v>
      </c>
      <c r="M536" s="2" t="s">
        <v>2546</v>
      </c>
      <c r="N536" t="str">
        <f>TRIM(PROPER(Tabla_auditoría[[#This Row],[ID_Campaña]]))</f>
        <v>Cmp-005</v>
      </c>
      <c r="O536" t="str">
        <f>TRIM(PROPER(Tabla_auditoría[[#This Row],[Canal]]))</f>
        <v>Email</v>
      </c>
      <c r="P536" t="str">
        <f>TRIM(PROPER(Tabla_auditoría[[#This Row],[País]]))</f>
        <v>Italia</v>
      </c>
      <c r="Q536" t="str">
        <f>TRIM(PROPER(Tabla_auditoría[[#This Row],[Dispositivo]]))</f>
        <v>Mobile</v>
      </c>
      <c r="R536" t="str">
        <f>TRIM(PROPER(Tabla_auditoría[[#This Row],[Tipo_Campaña]]))</f>
        <v>Reconocimiento</v>
      </c>
      <c r="S536" t="str">
        <f>TRIM(PROPER(Tabla_auditoría[[#This Row],[Responsable]]))</f>
        <v>Ana García</v>
      </c>
    </row>
    <row r="537" spans="1:19" x14ac:dyDescent="0.3">
      <c r="A537" s="1">
        <v>45768</v>
      </c>
      <c r="B537" s="2" t="s">
        <v>2555</v>
      </c>
      <c r="C537" s="2" t="s">
        <v>2515</v>
      </c>
      <c r="D537" s="2" t="s">
        <v>2528</v>
      </c>
      <c r="E537" s="2" t="s">
        <v>2517</v>
      </c>
      <c r="F537" s="3">
        <v>158415</v>
      </c>
      <c r="G537" s="3">
        <v>1114</v>
      </c>
      <c r="H537" s="3">
        <v>54</v>
      </c>
      <c r="I537" s="4">
        <v>910.04</v>
      </c>
      <c r="J537" s="4">
        <v>7523.75</v>
      </c>
      <c r="K537" s="3">
        <v>37</v>
      </c>
      <c r="L537" s="2" t="s">
        <v>2539</v>
      </c>
      <c r="M537" s="2" t="s">
        <v>2537</v>
      </c>
      <c r="N537" t="str">
        <f>TRIM(PROPER(Tabla_auditoría[[#This Row],[ID_Campaña]]))</f>
        <v>Cmp-010</v>
      </c>
      <c r="O537" t="str">
        <f>TRIM(PROPER(Tabla_auditoría[[#This Row],[Canal]]))</f>
        <v>Email</v>
      </c>
      <c r="P537" t="str">
        <f>TRIM(PROPER(Tabla_auditoría[[#This Row],[País]]))</f>
        <v>España</v>
      </c>
      <c r="Q537" t="str">
        <f>TRIM(PROPER(Tabla_auditoría[[#This Row],[Dispositivo]]))</f>
        <v>Desktop</v>
      </c>
      <c r="R537" t="str">
        <f>TRIM(PROPER(Tabla_auditoría[[#This Row],[Tipo_Campaña]]))</f>
        <v>Conversión</v>
      </c>
      <c r="S537" t="str">
        <f>TRIM(PROPER(Tabla_auditoría[[#This Row],[Responsable]]))</f>
        <v>Marta López</v>
      </c>
    </row>
    <row r="538" spans="1:19" x14ac:dyDescent="0.3">
      <c r="A538" s="1">
        <v>45918</v>
      </c>
      <c r="B538" s="2" t="s">
        <v>2540</v>
      </c>
      <c r="C538" s="2" t="s">
        <v>2548</v>
      </c>
      <c r="D538" s="2" t="s">
        <v>2528</v>
      </c>
      <c r="E538" s="2" t="s">
        <v>2517</v>
      </c>
      <c r="F538" s="3">
        <v>25674</v>
      </c>
      <c r="G538" s="3">
        <v>1385</v>
      </c>
      <c r="H538" s="3">
        <v>191</v>
      </c>
      <c r="I538" s="4">
        <v>2838.08</v>
      </c>
      <c r="J538" s="4">
        <v>32470.39</v>
      </c>
      <c r="K538" s="3">
        <v>165</v>
      </c>
      <c r="L538" s="2" t="s">
        <v>2518</v>
      </c>
      <c r="M538" s="2" t="s">
        <v>2524</v>
      </c>
      <c r="N538" t="str">
        <f>TRIM(PROPER(Tabla_auditoría[[#This Row],[ID_Campaña]]))</f>
        <v>Cmp-017</v>
      </c>
      <c r="O538" t="str">
        <f>TRIM(PROPER(Tabla_auditoría[[#This Row],[Canal]]))</f>
        <v>Display</v>
      </c>
      <c r="P538" t="str">
        <f>TRIM(PROPER(Tabla_auditoría[[#This Row],[País]]))</f>
        <v>España</v>
      </c>
      <c r="Q538" t="str">
        <f>TRIM(PROPER(Tabla_auditoría[[#This Row],[Dispositivo]]))</f>
        <v>Desktop</v>
      </c>
      <c r="R538" t="str">
        <f>TRIM(PROPER(Tabla_auditoría[[#This Row],[Tipo_Campaña]]))</f>
        <v>Adquisición</v>
      </c>
      <c r="S538" t="str">
        <f>TRIM(PROPER(Tabla_auditoría[[#This Row],[Responsable]]))</f>
        <v>Luis Martín</v>
      </c>
    </row>
    <row r="539" spans="1:19" x14ac:dyDescent="0.3">
      <c r="A539" s="1">
        <v>46010</v>
      </c>
      <c r="B539" s="2" t="s">
        <v>2564</v>
      </c>
      <c r="C539" s="2" t="s">
        <v>2543</v>
      </c>
      <c r="D539" s="2" t="s">
        <v>2516</v>
      </c>
      <c r="E539" s="2" t="s">
        <v>2529</v>
      </c>
      <c r="F539" s="3">
        <v>134740</v>
      </c>
      <c r="G539" s="3">
        <v>1889</v>
      </c>
      <c r="H539" s="3">
        <v>158</v>
      </c>
      <c r="I539" s="4">
        <v>2162.62</v>
      </c>
      <c r="J539" s="4">
        <v>9584.8700000000008</v>
      </c>
      <c r="K539" s="3">
        <v>110</v>
      </c>
      <c r="L539" s="2" t="s">
        <v>2539</v>
      </c>
      <c r="M539" s="2" t="s">
        <v>2526</v>
      </c>
      <c r="N539" t="str">
        <f>TRIM(PROPER(Tabla_auditoría[[#This Row],[ID_Campaña]]))</f>
        <v>Cmp-024</v>
      </c>
      <c r="O539" t="str">
        <f>TRIM(PROPER(Tabla_auditoría[[#This Row],[Canal]]))</f>
        <v>Organic Social</v>
      </c>
      <c r="P539" t="str">
        <f>TRIM(PROPER(Tabla_auditoría[[#This Row],[País]]))</f>
        <v>México</v>
      </c>
      <c r="Q539" t="str">
        <f>TRIM(PROPER(Tabla_auditoría[[#This Row],[Dispositivo]]))</f>
        <v>Mobile</v>
      </c>
      <c r="R539" t="str">
        <f>TRIM(PROPER(Tabla_auditoría[[#This Row],[Tipo_Campaña]]))</f>
        <v>Conversión</v>
      </c>
      <c r="S539" t="str">
        <f>TRIM(PROPER(Tabla_auditoría[[#This Row],[Responsable]]))</f>
        <v>Laura Pérez</v>
      </c>
    </row>
    <row r="540" spans="1:19" x14ac:dyDescent="0.3">
      <c r="A540" s="1">
        <v>45676</v>
      </c>
      <c r="B540" s="2" t="s">
        <v>2560</v>
      </c>
      <c r="C540" s="2" t="s">
        <v>2515</v>
      </c>
      <c r="D540" s="2" t="s">
        <v>2522</v>
      </c>
      <c r="E540" s="2" t="s">
        <v>2529</v>
      </c>
      <c r="F540" s="3">
        <v>41430</v>
      </c>
      <c r="G540" s="3">
        <v>1764</v>
      </c>
      <c r="H540" s="3">
        <v>45</v>
      </c>
      <c r="I540" s="4">
        <v>1319.49</v>
      </c>
      <c r="J540" s="4">
        <v>3724.67</v>
      </c>
      <c r="K540" s="3">
        <v>22</v>
      </c>
      <c r="L540" s="2" t="s">
        <v>2536</v>
      </c>
      <c r="M540" s="2" t="s">
        <v>2524</v>
      </c>
      <c r="N540" t="str">
        <f>TRIM(PROPER(Tabla_auditoría[[#This Row],[ID_Campaña]]))</f>
        <v>Cmp-027</v>
      </c>
      <c r="O540" t="str">
        <f>TRIM(PROPER(Tabla_auditoría[[#This Row],[Canal]]))</f>
        <v>Email</v>
      </c>
      <c r="P540" t="str">
        <f>TRIM(PROPER(Tabla_auditoría[[#This Row],[País]]))</f>
        <v>Italia</v>
      </c>
      <c r="Q540" t="str">
        <f>TRIM(PROPER(Tabla_auditoría[[#This Row],[Dispositivo]]))</f>
        <v>Mobile</v>
      </c>
      <c r="R540" t="str">
        <f>TRIM(PROPER(Tabla_auditoría[[#This Row],[Tipo_Campaña]]))</f>
        <v>Reconocimiento</v>
      </c>
      <c r="S540" t="str">
        <f>TRIM(PROPER(Tabla_auditoría[[#This Row],[Responsable]]))</f>
        <v>Luis Martín</v>
      </c>
    </row>
    <row r="541" spans="1:19" x14ac:dyDescent="0.3">
      <c r="A541" s="1">
        <v>45774</v>
      </c>
      <c r="B541" s="2" t="s">
        <v>2564</v>
      </c>
      <c r="C541" s="2" t="s">
        <v>2527</v>
      </c>
      <c r="D541" s="2" t="s">
        <v>2528</v>
      </c>
      <c r="E541" s="2" t="s">
        <v>2529</v>
      </c>
      <c r="F541" s="3">
        <v>76076</v>
      </c>
      <c r="G541" s="3">
        <v>6252</v>
      </c>
      <c r="H541" s="3">
        <v>88</v>
      </c>
      <c r="I541" s="4">
        <v>12712.37</v>
      </c>
      <c r="J541" s="4">
        <v>5792.79</v>
      </c>
      <c r="K541" s="3">
        <v>69</v>
      </c>
      <c r="L541" s="2" t="s">
        <v>2539</v>
      </c>
      <c r="M541" s="2" t="s">
        <v>2526</v>
      </c>
      <c r="N541" t="str">
        <f>TRIM(PROPER(Tabla_auditoría[[#This Row],[ID_Campaña]]))</f>
        <v>Cmp-024</v>
      </c>
      <c r="O541" t="str">
        <f>TRIM(PROPER(Tabla_auditoría[[#This Row],[Canal]]))</f>
        <v>Affiliate</v>
      </c>
      <c r="P541" t="str">
        <f>TRIM(PROPER(Tabla_auditoría[[#This Row],[País]]))</f>
        <v>España</v>
      </c>
      <c r="Q541" t="str">
        <f>TRIM(PROPER(Tabla_auditoría[[#This Row],[Dispositivo]]))</f>
        <v>Mobile</v>
      </c>
      <c r="R541" t="str">
        <f>TRIM(PROPER(Tabla_auditoría[[#This Row],[Tipo_Campaña]]))</f>
        <v>Conversión</v>
      </c>
      <c r="S541" t="str">
        <f>TRIM(PROPER(Tabla_auditoría[[#This Row],[Responsable]]))</f>
        <v>Laura Pérez</v>
      </c>
    </row>
    <row r="542" spans="1:19" x14ac:dyDescent="0.3">
      <c r="A542" s="1">
        <v>45908</v>
      </c>
      <c r="B542" s="2" t="s">
        <v>2565</v>
      </c>
      <c r="C542" s="2" t="s">
        <v>2521</v>
      </c>
      <c r="D542" s="2" t="s">
        <v>2525</v>
      </c>
      <c r="E542" s="2" t="s">
        <v>2534</v>
      </c>
      <c r="F542" s="3">
        <v>35282</v>
      </c>
      <c r="G542" s="3">
        <v>2628</v>
      </c>
      <c r="H542" s="3">
        <v>72</v>
      </c>
      <c r="I542" s="4">
        <v>1105.06</v>
      </c>
      <c r="J542" s="4">
        <v>2969.77</v>
      </c>
      <c r="K542" s="3">
        <v>64</v>
      </c>
      <c r="L542" s="2" t="s">
        <v>2539</v>
      </c>
      <c r="M542" s="2" t="s">
        <v>2519</v>
      </c>
      <c r="N542" t="str">
        <f>TRIM(PROPER(Tabla_auditoría[[#This Row],[ID_Campaña]]))</f>
        <v>Cmp-005</v>
      </c>
      <c r="O542" t="str">
        <f>TRIM(PROPER(Tabla_auditoría[[#This Row],[Canal]]))</f>
        <v>Paid Search</v>
      </c>
      <c r="P542" t="str">
        <f>TRIM(PROPER(Tabla_auditoría[[#This Row],[País]]))</f>
        <v>Francia</v>
      </c>
      <c r="Q542" t="str">
        <f>TRIM(PROPER(Tabla_auditoría[[#This Row],[Dispositivo]]))</f>
        <v>Tablet</v>
      </c>
      <c r="R542" t="str">
        <f>TRIM(PROPER(Tabla_auditoría[[#This Row],[Tipo_Campaña]]))</f>
        <v>Conversión</v>
      </c>
      <c r="S542" t="str">
        <f>TRIM(PROPER(Tabla_auditoría[[#This Row],[Responsable]]))</f>
        <v>Carlos Ruiz</v>
      </c>
    </row>
    <row r="543" spans="1:19" x14ac:dyDescent="0.3">
      <c r="A543" s="1">
        <v>45675</v>
      </c>
      <c r="B543" s="2" t="s">
        <v>2563</v>
      </c>
      <c r="C543" s="2" t="s">
        <v>2533</v>
      </c>
      <c r="D543" s="2" t="s">
        <v>2528</v>
      </c>
      <c r="E543" s="2" t="s">
        <v>2517</v>
      </c>
      <c r="F543" s="3">
        <v>126334</v>
      </c>
      <c r="G543" s="3">
        <v>9346</v>
      </c>
      <c r="H543" s="3">
        <v>246</v>
      </c>
      <c r="I543" s="4">
        <v>4917.71</v>
      </c>
      <c r="J543" s="4">
        <v>15174.97</v>
      </c>
      <c r="K543" s="3">
        <v>133</v>
      </c>
      <c r="L543" s="2" t="s">
        <v>2536</v>
      </c>
      <c r="M543" s="2" t="s">
        <v>2526</v>
      </c>
      <c r="N543" t="str">
        <f>TRIM(PROPER(Tabla_auditoría[[#This Row],[ID_Campaña]]))</f>
        <v>Cmp-023</v>
      </c>
      <c r="O543" t="str">
        <f>TRIM(PROPER(Tabla_auditoría[[#This Row],[Canal]]))</f>
        <v>Paid Social</v>
      </c>
      <c r="P543" t="str">
        <f>TRIM(PROPER(Tabla_auditoría[[#This Row],[País]]))</f>
        <v>España</v>
      </c>
      <c r="Q543" t="str">
        <f>TRIM(PROPER(Tabla_auditoría[[#This Row],[Dispositivo]]))</f>
        <v>Desktop</v>
      </c>
      <c r="R543" t="str">
        <f>TRIM(PROPER(Tabla_auditoría[[#This Row],[Tipo_Campaña]]))</f>
        <v>Reconocimiento</v>
      </c>
      <c r="S543" t="str">
        <f>TRIM(PROPER(Tabla_auditoría[[#This Row],[Responsable]]))</f>
        <v>Laura Pérez</v>
      </c>
    </row>
    <row r="544" spans="1:19" x14ac:dyDescent="0.3">
      <c r="A544" s="1">
        <v>45677</v>
      </c>
      <c r="B544" s="2" t="s">
        <v>2574</v>
      </c>
      <c r="C544" s="2" t="s">
        <v>2543</v>
      </c>
      <c r="D544" s="2" t="s">
        <v>2525</v>
      </c>
      <c r="E544" s="2" t="s">
        <v>2529</v>
      </c>
      <c r="F544" s="3">
        <v>170456</v>
      </c>
      <c r="G544" s="3">
        <v>3801</v>
      </c>
      <c r="H544" s="3">
        <v>153</v>
      </c>
      <c r="I544" s="4">
        <v>1729.77</v>
      </c>
      <c r="J544" s="4">
        <v>32060.02</v>
      </c>
      <c r="K544" s="3">
        <v>71</v>
      </c>
      <c r="L544" s="2" t="s">
        <v>2539</v>
      </c>
      <c r="M544" s="2" t="s">
        <v>2524</v>
      </c>
      <c r="N544" t="str">
        <f>TRIM(PROPER(Tabla_auditoría[[#This Row],[ID_Campaña]]))</f>
        <v>Cmp-003</v>
      </c>
      <c r="O544" t="str">
        <f>TRIM(PROPER(Tabla_auditoría[[#This Row],[Canal]]))</f>
        <v>Organic Social</v>
      </c>
      <c r="P544" t="str">
        <f>TRIM(PROPER(Tabla_auditoría[[#This Row],[País]]))</f>
        <v>Francia</v>
      </c>
      <c r="Q544" t="str">
        <f>TRIM(PROPER(Tabla_auditoría[[#This Row],[Dispositivo]]))</f>
        <v>Mobile</v>
      </c>
      <c r="R544" t="str">
        <f>TRIM(PROPER(Tabla_auditoría[[#This Row],[Tipo_Campaña]]))</f>
        <v>Conversión</v>
      </c>
      <c r="S544" t="str">
        <f>TRIM(PROPER(Tabla_auditoría[[#This Row],[Responsable]]))</f>
        <v>Luis Martín</v>
      </c>
    </row>
    <row r="545" spans="1:19" x14ac:dyDescent="0.3">
      <c r="A545" s="1">
        <v>45959</v>
      </c>
      <c r="B545" s="2" t="s">
        <v>2547</v>
      </c>
      <c r="C545" s="2" t="s">
        <v>2541</v>
      </c>
      <c r="D545" s="2" t="s">
        <v>2516</v>
      </c>
      <c r="E545" s="2" t="s">
        <v>2529</v>
      </c>
      <c r="F545" s="3">
        <v>160113</v>
      </c>
      <c r="G545" s="3">
        <v>7821</v>
      </c>
      <c r="H545" s="3">
        <v>487</v>
      </c>
      <c r="I545" s="4">
        <v>15375.48</v>
      </c>
      <c r="J545" s="4">
        <v>84113.12</v>
      </c>
      <c r="K545" s="3">
        <v>263</v>
      </c>
      <c r="L545" s="2" t="s">
        <v>2523</v>
      </c>
      <c r="M545" s="2" t="s">
        <v>2519</v>
      </c>
      <c r="N545" t="str">
        <f>TRIM(PROPER(Tabla_auditoría[[#This Row],[ID_Campaña]]))</f>
        <v>Cmp-018</v>
      </c>
      <c r="O545" t="str">
        <f>TRIM(PROPER(Tabla_auditoría[[#This Row],[Canal]]))</f>
        <v>Display</v>
      </c>
      <c r="P545" t="str">
        <f>TRIM(PROPER(Tabla_auditoría[[#This Row],[País]]))</f>
        <v>México</v>
      </c>
      <c r="Q545" t="str">
        <f>TRIM(PROPER(Tabla_auditoría[[#This Row],[Dispositivo]]))</f>
        <v>Mobile</v>
      </c>
      <c r="R545" t="str">
        <f>TRIM(PROPER(Tabla_auditoría[[#This Row],[Tipo_Campaña]]))</f>
        <v>Retención</v>
      </c>
      <c r="S545" t="str">
        <f>TRIM(PROPER(Tabla_auditoría[[#This Row],[Responsable]]))</f>
        <v>Carlos Ruiz</v>
      </c>
    </row>
    <row r="546" spans="1:19" x14ac:dyDescent="0.3">
      <c r="A546" s="1">
        <v>45779</v>
      </c>
      <c r="B546" s="2" t="s">
        <v>2532</v>
      </c>
      <c r="C546" s="2" t="s">
        <v>2541</v>
      </c>
      <c r="D546" s="2" t="s">
        <v>2531</v>
      </c>
      <c r="E546" s="2" t="s">
        <v>2534</v>
      </c>
      <c r="F546" s="3">
        <v>171194</v>
      </c>
      <c r="G546" s="3">
        <v>8972</v>
      </c>
      <c r="H546" s="3">
        <v>723</v>
      </c>
      <c r="I546" s="4">
        <v>4497.55</v>
      </c>
      <c r="J546" s="4">
        <v>134133.66</v>
      </c>
      <c r="K546" s="3">
        <v>352</v>
      </c>
      <c r="L546" s="2" t="s">
        <v>2539</v>
      </c>
      <c r="M546" s="2" t="s">
        <v>2537</v>
      </c>
      <c r="N546" t="str">
        <f>TRIM(PROPER(Tabla_auditoría[[#This Row],[ID_Campaña]]))</f>
        <v>Cmp-022</v>
      </c>
      <c r="O546" t="str">
        <f>TRIM(PROPER(Tabla_auditoría[[#This Row],[Canal]]))</f>
        <v>Display</v>
      </c>
      <c r="P546" t="str">
        <f>TRIM(PROPER(Tabla_auditoría[[#This Row],[País]]))</f>
        <v>Portugal</v>
      </c>
      <c r="Q546" t="str">
        <f>TRIM(PROPER(Tabla_auditoría[[#This Row],[Dispositivo]]))</f>
        <v>Tablet</v>
      </c>
      <c r="R546" t="str">
        <f>TRIM(PROPER(Tabla_auditoría[[#This Row],[Tipo_Campaña]]))</f>
        <v>Conversión</v>
      </c>
      <c r="S546" t="str">
        <f>TRIM(PROPER(Tabla_auditoría[[#This Row],[Responsable]]))</f>
        <v>Marta López</v>
      </c>
    </row>
    <row r="547" spans="1:19" x14ac:dyDescent="0.3">
      <c r="A547" s="1">
        <v>45896</v>
      </c>
      <c r="B547" s="2" t="s">
        <v>2535</v>
      </c>
      <c r="C547" s="2" t="s">
        <v>2533</v>
      </c>
      <c r="D547" s="2" t="s">
        <v>2528</v>
      </c>
      <c r="E547" s="2" t="s">
        <v>2529</v>
      </c>
      <c r="F547" s="3">
        <v>106927</v>
      </c>
      <c r="G547" s="3">
        <v>7189</v>
      </c>
      <c r="H547" s="3">
        <v>972</v>
      </c>
      <c r="I547" s="4">
        <v>7497.92</v>
      </c>
      <c r="J547" s="4">
        <v>47868.88</v>
      </c>
      <c r="K547" s="3">
        <v>558</v>
      </c>
      <c r="L547" s="2" t="s">
        <v>2536</v>
      </c>
      <c r="M547" s="2" t="s">
        <v>2524</v>
      </c>
      <c r="N547" t="str">
        <f>TRIM(PROPER(Tabla_auditoría[[#This Row],[ID_Campaña]]))</f>
        <v>Cmp-015</v>
      </c>
      <c r="O547" t="str">
        <f>TRIM(PROPER(Tabla_auditoría[[#This Row],[Canal]]))</f>
        <v>Paid Social</v>
      </c>
      <c r="P547" t="str">
        <f>TRIM(PROPER(Tabla_auditoría[[#This Row],[País]]))</f>
        <v>España</v>
      </c>
      <c r="Q547" t="str">
        <f>TRIM(PROPER(Tabla_auditoría[[#This Row],[Dispositivo]]))</f>
        <v>Mobile</v>
      </c>
      <c r="R547" t="str">
        <f>TRIM(PROPER(Tabla_auditoría[[#This Row],[Tipo_Campaña]]))</f>
        <v>Reconocimiento</v>
      </c>
      <c r="S547" t="str">
        <f>TRIM(PROPER(Tabla_auditoría[[#This Row],[Responsable]]))</f>
        <v>Luis Martín</v>
      </c>
    </row>
    <row r="548" spans="1:19" x14ac:dyDescent="0.3">
      <c r="A548" s="1">
        <v>45948</v>
      </c>
      <c r="B548" s="2" t="s">
        <v>2566</v>
      </c>
      <c r="C548" s="2" t="s">
        <v>2521</v>
      </c>
      <c r="D548" s="2" t="s">
        <v>2528</v>
      </c>
      <c r="E548" s="2" t="s">
        <v>2517</v>
      </c>
      <c r="F548" s="3">
        <v>52188</v>
      </c>
      <c r="G548" s="3">
        <v>795</v>
      </c>
      <c r="H548" s="3">
        <v>21</v>
      </c>
      <c r="I548" s="4">
        <v>1482.99</v>
      </c>
      <c r="J548" s="4">
        <v>1736.66</v>
      </c>
      <c r="K548" s="3">
        <v>17</v>
      </c>
      <c r="L548" s="2" t="s">
        <v>2536</v>
      </c>
      <c r="M548" s="2" t="s">
        <v>2526</v>
      </c>
      <c r="N548" t="str">
        <f>TRIM(PROPER(Tabla_auditoría[[#This Row],[ID_Campaña]]))</f>
        <v>Cmp-001</v>
      </c>
      <c r="O548" t="str">
        <f>TRIM(PROPER(Tabla_auditoría[[#This Row],[Canal]]))</f>
        <v>Paid Search</v>
      </c>
      <c r="P548" t="str">
        <f>TRIM(PROPER(Tabla_auditoría[[#This Row],[País]]))</f>
        <v>España</v>
      </c>
      <c r="Q548" t="str">
        <f>TRIM(PROPER(Tabla_auditoría[[#This Row],[Dispositivo]]))</f>
        <v>Desktop</v>
      </c>
      <c r="R548" t="str">
        <f>TRIM(PROPER(Tabla_auditoría[[#This Row],[Tipo_Campaña]]))</f>
        <v>Reconocimiento</v>
      </c>
      <c r="S548" t="str">
        <f>TRIM(PROPER(Tabla_auditoría[[#This Row],[Responsable]]))</f>
        <v>Laura Pérez</v>
      </c>
    </row>
    <row r="549" spans="1:19" x14ac:dyDescent="0.3">
      <c r="A549" s="1">
        <v>45935</v>
      </c>
      <c r="B549" s="2" t="s">
        <v>2554</v>
      </c>
      <c r="C549" s="2" t="s">
        <v>2521</v>
      </c>
      <c r="D549" s="2" t="s">
        <v>2528</v>
      </c>
      <c r="E549" s="2" t="s">
        <v>2517</v>
      </c>
      <c r="F549" s="3">
        <v>44539</v>
      </c>
      <c r="G549" s="3">
        <v>3798</v>
      </c>
      <c r="H549" s="3">
        <v>334</v>
      </c>
      <c r="I549" s="4">
        <v>2992.84</v>
      </c>
      <c r="J549" s="4">
        <v>36798.730000000003</v>
      </c>
      <c r="K549" s="3">
        <v>237</v>
      </c>
      <c r="L549" s="2" t="s">
        <v>2523</v>
      </c>
      <c r="M549" s="2" t="s">
        <v>2546</v>
      </c>
      <c r="N549" t="str">
        <f>TRIM(PROPER(Tabla_auditoría[[#This Row],[ID_Campaña]]))</f>
        <v>Cmp-019</v>
      </c>
      <c r="O549" t="str">
        <f>TRIM(PROPER(Tabla_auditoría[[#This Row],[Canal]]))</f>
        <v>Paid Search</v>
      </c>
      <c r="P549" t="str">
        <f>TRIM(PROPER(Tabla_auditoría[[#This Row],[País]]))</f>
        <v>España</v>
      </c>
      <c r="Q549" t="str">
        <f>TRIM(PROPER(Tabla_auditoría[[#This Row],[Dispositivo]]))</f>
        <v>Desktop</v>
      </c>
      <c r="R549" t="str">
        <f>TRIM(PROPER(Tabla_auditoría[[#This Row],[Tipo_Campaña]]))</f>
        <v>Retención</v>
      </c>
      <c r="S549" t="str">
        <f>TRIM(PROPER(Tabla_auditoría[[#This Row],[Responsable]]))</f>
        <v>Ana García</v>
      </c>
    </row>
    <row r="550" spans="1:19" x14ac:dyDescent="0.3">
      <c r="A550" s="1">
        <v>45856</v>
      </c>
      <c r="B550" s="2" t="s">
        <v>2550</v>
      </c>
      <c r="C550" s="2" t="s">
        <v>2527</v>
      </c>
      <c r="D550" s="2" t="s">
        <v>2531</v>
      </c>
      <c r="E550" s="2" t="s">
        <v>2529</v>
      </c>
      <c r="F550" s="3">
        <v>125485</v>
      </c>
      <c r="G550" s="3">
        <v>4174</v>
      </c>
      <c r="H550" s="3">
        <v>413</v>
      </c>
      <c r="I550" s="4">
        <v>5305.02</v>
      </c>
      <c r="J550" s="4">
        <v>69968.84</v>
      </c>
      <c r="K550" s="3">
        <v>266</v>
      </c>
      <c r="L550" s="2" t="s">
        <v>2518</v>
      </c>
      <c r="M550" s="2" t="s">
        <v>2526</v>
      </c>
      <c r="N550" t="str">
        <f>TRIM(PROPER(Tabla_auditoría[[#This Row],[ID_Campaña]]))</f>
        <v>Cmp-008</v>
      </c>
      <c r="O550" t="str">
        <f>TRIM(PROPER(Tabla_auditoría[[#This Row],[Canal]]))</f>
        <v>Affiliate</v>
      </c>
      <c r="P550" t="str">
        <f>TRIM(PROPER(Tabla_auditoría[[#This Row],[País]]))</f>
        <v>Portugal</v>
      </c>
      <c r="Q550" t="str">
        <f>TRIM(PROPER(Tabla_auditoría[[#This Row],[Dispositivo]]))</f>
        <v>Mobile</v>
      </c>
      <c r="R550" t="str">
        <f>TRIM(PROPER(Tabla_auditoría[[#This Row],[Tipo_Campaña]]))</f>
        <v>Adquisición</v>
      </c>
      <c r="S550" t="str">
        <f>TRIM(PROPER(Tabla_auditoría[[#This Row],[Responsable]]))</f>
        <v>Laura Pérez</v>
      </c>
    </row>
    <row r="551" spans="1:19" x14ac:dyDescent="0.3">
      <c r="A551" s="1">
        <v>45882</v>
      </c>
      <c r="B551" s="2" t="s">
        <v>2530</v>
      </c>
      <c r="C551" s="2" t="s">
        <v>2515</v>
      </c>
      <c r="D551" s="2" t="s">
        <v>2531</v>
      </c>
      <c r="E551" s="2" t="s">
        <v>2529</v>
      </c>
      <c r="F551" s="3">
        <v>106819</v>
      </c>
      <c r="G551" s="3">
        <v>6457</v>
      </c>
      <c r="H551" s="3">
        <v>261</v>
      </c>
      <c r="I551" s="4">
        <v>13028.48</v>
      </c>
      <c r="J551" s="4">
        <v>53526.559999999998</v>
      </c>
      <c r="K551" s="3">
        <v>164</v>
      </c>
      <c r="L551" s="2" t="s">
        <v>2518</v>
      </c>
      <c r="M551" s="2" t="s">
        <v>2524</v>
      </c>
      <c r="N551" t="str">
        <f>TRIM(PROPER(Tabla_auditoría[[#This Row],[ID_Campaña]]))</f>
        <v>Cmp-026</v>
      </c>
      <c r="O551" t="str">
        <f>TRIM(PROPER(Tabla_auditoría[[#This Row],[Canal]]))</f>
        <v>Email</v>
      </c>
      <c r="P551" t="str">
        <f>TRIM(PROPER(Tabla_auditoría[[#This Row],[País]]))</f>
        <v>Portugal</v>
      </c>
      <c r="Q551" t="str">
        <f>TRIM(PROPER(Tabla_auditoría[[#This Row],[Dispositivo]]))</f>
        <v>Mobile</v>
      </c>
      <c r="R551" t="str">
        <f>TRIM(PROPER(Tabla_auditoría[[#This Row],[Tipo_Campaña]]))</f>
        <v>Adquisición</v>
      </c>
      <c r="S551" t="str">
        <f>TRIM(PROPER(Tabla_auditoría[[#This Row],[Responsable]]))</f>
        <v>Luis Martín</v>
      </c>
    </row>
    <row r="552" spans="1:19" x14ac:dyDescent="0.3">
      <c r="A552" s="1">
        <v>46011</v>
      </c>
      <c r="B552" s="2" t="s">
        <v>2571</v>
      </c>
      <c r="C552" s="2" t="s">
        <v>2515</v>
      </c>
      <c r="D552" s="2" t="s">
        <v>2528</v>
      </c>
      <c r="E552" s="2" t="s">
        <v>2529</v>
      </c>
      <c r="F552" s="3">
        <v>26059</v>
      </c>
      <c r="G552" s="3">
        <v>427</v>
      </c>
      <c r="H552" s="3">
        <v>22</v>
      </c>
      <c r="I552" s="4">
        <v>271.81</v>
      </c>
      <c r="J552" s="4">
        <v>3786.04</v>
      </c>
      <c r="K552" s="3">
        <v>18</v>
      </c>
      <c r="L552" s="2" t="s">
        <v>2518</v>
      </c>
      <c r="M552" s="2" t="s">
        <v>2519</v>
      </c>
      <c r="N552" t="str">
        <f>TRIM(PROPER(Tabla_auditoría[[#This Row],[ID_Campaña]]))</f>
        <v>Cmp-029</v>
      </c>
      <c r="O552" t="str">
        <f>TRIM(PROPER(Tabla_auditoría[[#This Row],[Canal]]))</f>
        <v>Email</v>
      </c>
      <c r="P552" t="str">
        <f>TRIM(PROPER(Tabla_auditoría[[#This Row],[País]]))</f>
        <v>España</v>
      </c>
      <c r="Q552" t="str">
        <f>TRIM(PROPER(Tabla_auditoría[[#This Row],[Dispositivo]]))</f>
        <v>Mobile</v>
      </c>
      <c r="R552" t="str">
        <f>TRIM(PROPER(Tabla_auditoría[[#This Row],[Tipo_Campaña]]))</f>
        <v>Adquisición</v>
      </c>
      <c r="S552" t="str">
        <f>TRIM(PROPER(Tabla_auditoría[[#This Row],[Responsable]]))</f>
        <v>Carlos Ruiz</v>
      </c>
    </row>
    <row r="553" spans="1:19" x14ac:dyDescent="0.3">
      <c r="A553" s="1">
        <v>45682</v>
      </c>
      <c r="B553" s="2" t="s">
        <v>2555</v>
      </c>
      <c r="C553" s="2" t="s">
        <v>2533</v>
      </c>
      <c r="D553" s="2" t="s">
        <v>2531</v>
      </c>
      <c r="E553" s="2" t="s">
        <v>2534</v>
      </c>
      <c r="F553" s="3">
        <v>49350</v>
      </c>
      <c r="G553" s="3">
        <v>955</v>
      </c>
      <c r="H553" s="3">
        <v>44</v>
      </c>
      <c r="I553" s="4">
        <v>1281.1400000000001</v>
      </c>
      <c r="J553" s="4">
        <v>8267.9</v>
      </c>
      <c r="K553" s="3">
        <v>29</v>
      </c>
      <c r="L553" s="2" t="s">
        <v>2539</v>
      </c>
      <c r="M553" s="2" t="s">
        <v>2519</v>
      </c>
      <c r="N553" t="str">
        <f>TRIM(PROPER(Tabla_auditoría[[#This Row],[ID_Campaña]]))</f>
        <v>Cmp-010</v>
      </c>
      <c r="O553" t="str">
        <f>TRIM(PROPER(Tabla_auditoría[[#This Row],[Canal]]))</f>
        <v>Paid Social</v>
      </c>
      <c r="P553" t="str">
        <f>TRIM(PROPER(Tabla_auditoría[[#This Row],[País]]))</f>
        <v>Portugal</v>
      </c>
      <c r="Q553" t="str">
        <f>TRIM(PROPER(Tabla_auditoría[[#This Row],[Dispositivo]]))</f>
        <v>Tablet</v>
      </c>
      <c r="R553" t="str">
        <f>TRIM(PROPER(Tabla_auditoría[[#This Row],[Tipo_Campaña]]))</f>
        <v>Conversión</v>
      </c>
      <c r="S553" t="str">
        <f>TRIM(PROPER(Tabla_auditoría[[#This Row],[Responsable]]))</f>
        <v>Carlos Ruiz</v>
      </c>
    </row>
    <row r="554" spans="1:19" x14ac:dyDescent="0.3">
      <c r="A554" s="1">
        <v>45805</v>
      </c>
      <c r="B554" s="2" t="s">
        <v>2560</v>
      </c>
      <c r="D554" s="2" t="s">
        <v>2531</v>
      </c>
      <c r="E554" s="2" t="s">
        <v>2534</v>
      </c>
      <c r="F554" s="3">
        <v>120476</v>
      </c>
      <c r="G554" s="3">
        <v>6343</v>
      </c>
      <c r="H554" s="3">
        <v>51</v>
      </c>
      <c r="I554" s="4">
        <v>2115.96</v>
      </c>
      <c r="J554" s="4">
        <v>6349.25</v>
      </c>
      <c r="K554" s="3">
        <v>34</v>
      </c>
      <c r="L554" s="2" t="s">
        <v>2518</v>
      </c>
      <c r="M554" s="2" t="s">
        <v>2519</v>
      </c>
      <c r="N554" t="str">
        <f>TRIM(PROPER(Tabla_auditoría[[#This Row],[ID_Campaña]]))</f>
        <v>Cmp-027</v>
      </c>
      <c r="O554" t="str">
        <f>TRIM(PROPER(Tabla_auditoría[[#This Row],[Canal]]))</f>
        <v/>
      </c>
      <c r="P554" t="str">
        <f>TRIM(PROPER(Tabla_auditoría[[#This Row],[País]]))</f>
        <v>Portugal</v>
      </c>
      <c r="Q554" t="str">
        <f>TRIM(PROPER(Tabla_auditoría[[#This Row],[Dispositivo]]))</f>
        <v>Tablet</v>
      </c>
      <c r="R554" t="str">
        <f>TRIM(PROPER(Tabla_auditoría[[#This Row],[Tipo_Campaña]]))</f>
        <v>Adquisición</v>
      </c>
      <c r="S554" t="str">
        <f>TRIM(PROPER(Tabla_auditoría[[#This Row],[Responsable]]))</f>
        <v>Carlos Ruiz</v>
      </c>
    </row>
    <row r="555" spans="1:19" x14ac:dyDescent="0.3">
      <c r="A555" s="1">
        <v>45803</v>
      </c>
      <c r="B555" s="2" t="s">
        <v>2549</v>
      </c>
      <c r="C555" s="2" t="s">
        <v>2515</v>
      </c>
      <c r="D555" s="2" t="s">
        <v>2528</v>
      </c>
      <c r="E555" s="2" t="s">
        <v>2529</v>
      </c>
      <c r="F555" s="3">
        <v>56913</v>
      </c>
      <c r="G555" s="3">
        <v>935</v>
      </c>
      <c r="H555" s="3">
        <v>30</v>
      </c>
      <c r="I555" s="4">
        <v>1248.47</v>
      </c>
      <c r="J555" s="4">
        <v>1651.84</v>
      </c>
      <c r="K555" s="3">
        <v>18</v>
      </c>
      <c r="L555" s="2" t="s">
        <v>2539</v>
      </c>
      <c r="M555" s="2" t="s">
        <v>2537</v>
      </c>
      <c r="N555" t="str">
        <f>TRIM(PROPER(Tabla_auditoría[[#This Row],[ID_Campaña]]))</f>
        <v>Cmp-007</v>
      </c>
      <c r="O555" t="str">
        <f>TRIM(PROPER(Tabla_auditoría[[#This Row],[Canal]]))</f>
        <v>Email</v>
      </c>
      <c r="P555" t="str">
        <f>TRIM(PROPER(Tabla_auditoría[[#This Row],[País]]))</f>
        <v>España</v>
      </c>
      <c r="Q555" t="str">
        <f>TRIM(PROPER(Tabla_auditoría[[#This Row],[Dispositivo]]))</f>
        <v>Mobile</v>
      </c>
      <c r="R555" t="str">
        <f>TRIM(PROPER(Tabla_auditoría[[#This Row],[Tipo_Campaña]]))</f>
        <v>Conversión</v>
      </c>
      <c r="S555" t="str">
        <f>TRIM(PROPER(Tabla_auditoría[[#This Row],[Responsable]]))</f>
        <v>Marta López</v>
      </c>
    </row>
    <row r="556" spans="1:19" x14ac:dyDescent="0.3">
      <c r="A556" s="1">
        <v>46018</v>
      </c>
      <c r="B556" s="2" t="s">
        <v>2544</v>
      </c>
      <c r="C556" s="2" t="s">
        <v>2543</v>
      </c>
      <c r="D556" s="2" t="s">
        <v>2528</v>
      </c>
      <c r="E556" s="2" t="s">
        <v>2529</v>
      </c>
      <c r="F556" s="3">
        <v>74281</v>
      </c>
      <c r="G556" s="3">
        <v>6672</v>
      </c>
      <c r="H556" s="3">
        <v>679</v>
      </c>
      <c r="I556" s="4">
        <v>11982.8</v>
      </c>
      <c r="J556" s="4">
        <v>86471.32</v>
      </c>
      <c r="K556" s="3">
        <v>431</v>
      </c>
      <c r="L556" s="2" t="s">
        <v>2523</v>
      </c>
      <c r="M556" s="2" t="s">
        <v>2526</v>
      </c>
      <c r="N556" t="str">
        <f>TRIM(PROPER(Tabla_auditoría[[#This Row],[ID_Campaña]]))</f>
        <v>Cmp-006</v>
      </c>
      <c r="O556" t="str">
        <f>TRIM(PROPER(Tabla_auditoría[[#This Row],[Canal]]))</f>
        <v>Organic Social</v>
      </c>
      <c r="P556" t="str">
        <f>TRIM(PROPER(Tabla_auditoría[[#This Row],[País]]))</f>
        <v>España</v>
      </c>
      <c r="Q556" t="str">
        <f>TRIM(PROPER(Tabla_auditoría[[#This Row],[Dispositivo]]))</f>
        <v>Mobile</v>
      </c>
      <c r="R556" t="str">
        <f>TRIM(PROPER(Tabla_auditoría[[#This Row],[Tipo_Campaña]]))</f>
        <v>Retención</v>
      </c>
      <c r="S556" t="str">
        <f>TRIM(PROPER(Tabla_auditoría[[#This Row],[Responsable]]))</f>
        <v>Laura Pérez</v>
      </c>
    </row>
    <row r="557" spans="1:19" x14ac:dyDescent="0.3">
      <c r="A557" s="1">
        <v>45749</v>
      </c>
      <c r="B557" s="2" t="s">
        <v>2569</v>
      </c>
      <c r="C557" s="2" t="s">
        <v>2515</v>
      </c>
      <c r="D557" s="2" t="s">
        <v>2531</v>
      </c>
      <c r="E557" s="2" t="s">
        <v>2517</v>
      </c>
      <c r="F557" s="3">
        <v>42773</v>
      </c>
      <c r="G557" s="3">
        <v>2533</v>
      </c>
      <c r="H557" s="3">
        <v>186</v>
      </c>
      <c r="I557" s="4">
        <v>3024.78</v>
      </c>
      <c r="J557" s="4">
        <v>5936.8</v>
      </c>
      <c r="K557" s="3">
        <v>110</v>
      </c>
      <c r="L557" s="2" t="s">
        <v>2539</v>
      </c>
      <c r="M557" s="2" t="s">
        <v>2537</v>
      </c>
      <c r="N557" t="str">
        <f>TRIM(PROPER(Tabla_auditoría[[#This Row],[ID_Campaña]]))</f>
        <v>Cmp-013</v>
      </c>
      <c r="O557" t="str">
        <f>TRIM(PROPER(Tabla_auditoría[[#This Row],[Canal]]))</f>
        <v>Email</v>
      </c>
      <c r="P557" t="str">
        <f>TRIM(PROPER(Tabla_auditoría[[#This Row],[País]]))</f>
        <v>Portugal</v>
      </c>
      <c r="Q557" t="str">
        <f>TRIM(PROPER(Tabla_auditoría[[#This Row],[Dispositivo]]))</f>
        <v>Desktop</v>
      </c>
      <c r="R557" t="str">
        <f>TRIM(PROPER(Tabla_auditoría[[#This Row],[Tipo_Campaña]]))</f>
        <v>Conversión</v>
      </c>
      <c r="S557" t="str">
        <f>TRIM(PROPER(Tabla_auditoría[[#This Row],[Responsable]]))</f>
        <v>Marta López</v>
      </c>
    </row>
    <row r="558" spans="1:19" x14ac:dyDescent="0.3">
      <c r="A558" s="1">
        <v>45662</v>
      </c>
      <c r="B558" s="2" t="s">
        <v>2514</v>
      </c>
      <c r="C558" s="2" t="s">
        <v>2541</v>
      </c>
      <c r="D558" s="2" t="s">
        <v>2528</v>
      </c>
      <c r="E558" s="2" t="s">
        <v>2517</v>
      </c>
      <c r="F558" s="3">
        <v>70617</v>
      </c>
      <c r="G558" s="3">
        <v>6249</v>
      </c>
      <c r="H558" s="3">
        <v>100</v>
      </c>
      <c r="I558" s="4">
        <v>11461.52</v>
      </c>
      <c r="J558" s="4">
        <v>4341.01</v>
      </c>
      <c r="K558" s="3">
        <v>54</v>
      </c>
      <c r="L558" s="2" t="s">
        <v>2539</v>
      </c>
      <c r="M558" s="2" t="s">
        <v>2519</v>
      </c>
      <c r="N558" t="str">
        <f>TRIM(PROPER(Tabla_auditoría[[#This Row],[ID_Campaña]]))</f>
        <v>Cmp-002</v>
      </c>
      <c r="O558" t="str">
        <f>TRIM(PROPER(Tabla_auditoría[[#This Row],[Canal]]))</f>
        <v>Display</v>
      </c>
      <c r="P558" t="str">
        <f>TRIM(PROPER(Tabla_auditoría[[#This Row],[País]]))</f>
        <v>España</v>
      </c>
      <c r="Q558" t="str">
        <f>TRIM(PROPER(Tabla_auditoría[[#This Row],[Dispositivo]]))</f>
        <v>Desktop</v>
      </c>
      <c r="R558" t="str">
        <f>TRIM(PROPER(Tabla_auditoría[[#This Row],[Tipo_Campaña]]))</f>
        <v>Conversión</v>
      </c>
      <c r="S558" t="str">
        <f>TRIM(PROPER(Tabla_auditoría[[#This Row],[Responsable]]))</f>
        <v>Carlos Ruiz</v>
      </c>
    </row>
    <row r="559" spans="1:19" x14ac:dyDescent="0.3">
      <c r="A559" s="1">
        <v>45825</v>
      </c>
      <c r="B559" s="2" t="s">
        <v>2570</v>
      </c>
      <c r="C559" s="2" t="s">
        <v>2527</v>
      </c>
      <c r="D559" s="2" t="s">
        <v>2528</v>
      </c>
      <c r="E559" s="2" t="s">
        <v>2517</v>
      </c>
      <c r="F559" s="3">
        <v>74727</v>
      </c>
      <c r="G559" s="3">
        <v>830</v>
      </c>
      <c r="H559" s="3">
        <v>86</v>
      </c>
      <c r="I559" s="4">
        <v>711.37</v>
      </c>
      <c r="J559" s="4">
        <v>11249.76</v>
      </c>
      <c r="K559" s="3">
        <v>40</v>
      </c>
      <c r="L559" s="2" t="s">
        <v>2536</v>
      </c>
      <c r="M559" s="2" t="s">
        <v>2537</v>
      </c>
      <c r="N559" t="str">
        <f>TRIM(PROPER(Tabla_auditoría[[#This Row],[ID_Campaña]]))</f>
        <v>Cmp-016</v>
      </c>
      <c r="O559" t="str">
        <f>TRIM(PROPER(Tabla_auditoría[[#This Row],[Canal]]))</f>
        <v>Affiliate</v>
      </c>
      <c r="P559" t="str">
        <f>TRIM(PROPER(Tabla_auditoría[[#This Row],[País]]))</f>
        <v>España</v>
      </c>
      <c r="Q559" t="str">
        <f>TRIM(PROPER(Tabla_auditoría[[#This Row],[Dispositivo]]))</f>
        <v>Desktop</v>
      </c>
      <c r="R559" t="str">
        <f>TRIM(PROPER(Tabla_auditoría[[#This Row],[Tipo_Campaña]]))</f>
        <v>Reconocimiento</v>
      </c>
      <c r="S559" t="str">
        <f>TRIM(PROPER(Tabla_auditoría[[#This Row],[Responsable]]))</f>
        <v>Marta López</v>
      </c>
    </row>
    <row r="560" spans="1:19" x14ac:dyDescent="0.3">
      <c r="A560" s="1">
        <v>45891</v>
      </c>
      <c r="B560" s="2" t="s">
        <v>2514</v>
      </c>
      <c r="C560" s="2" t="s">
        <v>2527</v>
      </c>
      <c r="D560" s="2" t="s">
        <v>2531</v>
      </c>
      <c r="E560" s="2" t="s">
        <v>2517</v>
      </c>
      <c r="F560" s="3">
        <v>90880</v>
      </c>
      <c r="G560" s="3">
        <v>7033</v>
      </c>
      <c r="H560" s="3">
        <v>108</v>
      </c>
      <c r="I560" s="4">
        <v>13104.11</v>
      </c>
      <c r="J560" s="4">
        <v>13560.46</v>
      </c>
      <c r="K560" s="3">
        <v>58</v>
      </c>
      <c r="L560" s="2" t="s">
        <v>2518</v>
      </c>
      <c r="M560" s="2" t="s">
        <v>2526</v>
      </c>
      <c r="N560" t="str">
        <f>TRIM(PROPER(Tabla_auditoría[[#This Row],[ID_Campaña]]))</f>
        <v>Cmp-002</v>
      </c>
      <c r="O560" t="str">
        <f>TRIM(PROPER(Tabla_auditoría[[#This Row],[Canal]]))</f>
        <v>Affiliate</v>
      </c>
      <c r="P560" t="str">
        <f>TRIM(PROPER(Tabla_auditoría[[#This Row],[País]]))</f>
        <v>Portugal</v>
      </c>
      <c r="Q560" t="str">
        <f>TRIM(PROPER(Tabla_auditoría[[#This Row],[Dispositivo]]))</f>
        <v>Desktop</v>
      </c>
      <c r="R560" t="str">
        <f>TRIM(PROPER(Tabla_auditoría[[#This Row],[Tipo_Campaña]]))</f>
        <v>Adquisición</v>
      </c>
      <c r="S560" t="str">
        <f>TRIM(PROPER(Tabla_auditoría[[#This Row],[Responsable]]))</f>
        <v>Laura Pérez</v>
      </c>
    </row>
    <row r="561" spans="1:19" x14ac:dyDescent="0.3">
      <c r="A561" s="1">
        <v>45978</v>
      </c>
      <c r="B561" s="2" t="s">
        <v>2551</v>
      </c>
      <c r="C561" s="2" t="s">
        <v>2541</v>
      </c>
      <c r="D561" s="2" t="s">
        <v>2528</v>
      </c>
      <c r="E561" s="2" t="s">
        <v>2529</v>
      </c>
      <c r="F561" s="3">
        <v>68941</v>
      </c>
      <c r="G561" s="3">
        <v>3323</v>
      </c>
      <c r="H561" s="3">
        <v>224</v>
      </c>
      <c r="I561" s="4">
        <v>4050.88</v>
      </c>
      <c r="J561" s="4">
        <v>30851.35</v>
      </c>
      <c r="K561" s="3">
        <v>188</v>
      </c>
      <c r="L561" s="2" t="s">
        <v>2523</v>
      </c>
      <c r="M561" s="2" t="s">
        <v>2526</v>
      </c>
      <c r="N561" t="str">
        <f>TRIM(PROPER(Tabla_auditoría[[#This Row],[ID_Campaña]]))</f>
        <v>Cmp-028</v>
      </c>
      <c r="O561" t="str">
        <f>TRIM(PROPER(Tabla_auditoría[[#This Row],[Canal]]))</f>
        <v>Display</v>
      </c>
      <c r="P561" t="str">
        <f>TRIM(PROPER(Tabla_auditoría[[#This Row],[País]]))</f>
        <v>España</v>
      </c>
      <c r="Q561" t="str">
        <f>TRIM(PROPER(Tabla_auditoría[[#This Row],[Dispositivo]]))</f>
        <v>Mobile</v>
      </c>
      <c r="R561" t="str">
        <f>TRIM(PROPER(Tabla_auditoría[[#This Row],[Tipo_Campaña]]))</f>
        <v>Retención</v>
      </c>
      <c r="S561" t="str">
        <f>TRIM(PROPER(Tabla_auditoría[[#This Row],[Responsable]]))</f>
        <v>Laura Pérez</v>
      </c>
    </row>
    <row r="562" spans="1:19" x14ac:dyDescent="0.3">
      <c r="A562" s="1">
        <v>45880</v>
      </c>
      <c r="B562" s="2" t="s">
        <v>2520</v>
      </c>
      <c r="C562" s="2" t="s">
        <v>2543</v>
      </c>
      <c r="D562" s="2" t="s">
        <v>2516</v>
      </c>
      <c r="E562" s="2" t="s">
        <v>2529</v>
      </c>
      <c r="F562" s="3">
        <v>66392</v>
      </c>
      <c r="G562" s="3">
        <v>3019</v>
      </c>
      <c r="H562" s="3">
        <v>343</v>
      </c>
      <c r="I562" s="4">
        <v>2949.92</v>
      </c>
      <c r="J562" s="4">
        <v>58734.42</v>
      </c>
      <c r="K562" s="3">
        <v>261</v>
      </c>
      <c r="L562" s="2" t="s">
        <v>2539</v>
      </c>
      <c r="M562" s="2" t="s">
        <v>2524</v>
      </c>
      <c r="N562" t="str">
        <f>TRIM(PROPER(Tabla_auditoría[[#This Row],[ID_Campaña]]))</f>
        <v>Cmp-009</v>
      </c>
      <c r="O562" t="str">
        <f>TRIM(PROPER(Tabla_auditoría[[#This Row],[Canal]]))</f>
        <v>Organic Social</v>
      </c>
      <c r="P562" t="str">
        <f>TRIM(PROPER(Tabla_auditoría[[#This Row],[País]]))</f>
        <v>México</v>
      </c>
      <c r="Q562" t="str">
        <f>TRIM(PROPER(Tabla_auditoría[[#This Row],[Dispositivo]]))</f>
        <v>Mobile</v>
      </c>
      <c r="R562" t="str">
        <f>TRIM(PROPER(Tabla_auditoría[[#This Row],[Tipo_Campaña]]))</f>
        <v>Conversión</v>
      </c>
      <c r="S562" t="str">
        <f>TRIM(PROPER(Tabla_auditoría[[#This Row],[Responsable]]))</f>
        <v>Luis Martín</v>
      </c>
    </row>
    <row r="563" spans="1:19" x14ac:dyDescent="0.3">
      <c r="A563" s="1">
        <v>45985</v>
      </c>
      <c r="B563" s="2" t="s">
        <v>2560</v>
      </c>
      <c r="C563" s="2" t="s">
        <v>2543</v>
      </c>
      <c r="D563" s="2" t="s">
        <v>2528</v>
      </c>
      <c r="E563" s="2" t="s">
        <v>2517</v>
      </c>
      <c r="F563" s="3">
        <v>15386</v>
      </c>
      <c r="G563" s="3">
        <v>172</v>
      </c>
      <c r="H563" s="3">
        <v>23</v>
      </c>
      <c r="I563" s="4">
        <v>349.86</v>
      </c>
      <c r="J563" s="4">
        <v>2274.7399999999998</v>
      </c>
      <c r="K563" s="3">
        <v>18</v>
      </c>
      <c r="L563" s="2" t="s">
        <v>2523</v>
      </c>
      <c r="M563" s="2" t="s">
        <v>2546</v>
      </c>
      <c r="N563" t="str">
        <f>TRIM(PROPER(Tabla_auditoría[[#This Row],[ID_Campaña]]))</f>
        <v>Cmp-027</v>
      </c>
      <c r="O563" t="str">
        <f>TRIM(PROPER(Tabla_auditoría[[#This Row],[Canal]]))</f>
        <v>Organic Social</v>
      </c>
      <c r="P563" t="str">
        <f>TRIM(PROPER(Tabla_auditoría[[#This Row],[País]]))</f>
        <v>España</v>
      </c>
      <c r="Q563" t="str">
        <f>TRIM(PROPER(Tabla_auditoría[[#This Row],[Dispositivo]]))</f>
        <v>Desktop</v>
      </c>
      <c r="R563" t="str">
        <f>TRIM(PROPER(Tabla_auditoría[[#This Row],[Tipo_Campaña]]))</f>
        <v>Retención</v>
      </c>
      <c r="S563" t="str">
        <f>TRIM(PROPER(Tabla_auditoría[[#This Row],[Responsable]]))</f>
        <v>Ana García</v>
      </c>
    </row>
    <row r="564" spans="1:19" x14ac:dyDescent="0.3">
      <c r="A564" s="1">
        <v>45853</v>
      </c>
      <c r="B564" s="2" t="s">
        <v>2549</v>
      </c>
      <c r="C564" s="2" t="s">
        <v>2527</v>
      </c>
      <c r="D564" s="2" t="s">
        <v>2516</v>
      </c>
      <c r="E564" s="2" t="s">
        <v>2517</v>
      </c>
      <c r="F564" s="3">
        <v>8928</v>
      </c>
      <c r="G564" s="3">
        <v>456</v>
      </c>
      <c r="H564" s="3">
        <v>29</v>
      </c>
      <c r="I564" s="4">
        <v>547.5</v>
      </c>
      <c r="J564" s="4">
        <v>2951.23</v>
      </c>
      <c r="K564" s="3">
        <v>19</v>
      </c>
      <c r="L564" s="2" t="s">
        <v>2536</v>
      </c>
      <c r="M564" s="2" t="s">
        <v>2526</v>
      </c>
      <c r="N564" t="str">
        <f>TRIM(PROPER(Tabla_auditoría[[#This Row],[ID_Campaña]]))</f>
        <v>Cmp-007</v>
      </c>
      <c r="O564" t="str">
        <f>TRIM(PROPER(Tabla_auditoría[[#This Row],[Canal]]))</f>
        <v>Affiliate</v>
      </c>
      <c r="P564" t="str">
        <f>TRIM(PROPER(Tabla_auditoría[[#This Row],[País]]))</f>
        <v>México</v>
      </c>
      <c r="Q564" t="str">
        <f>TRIM(PROPER(Tabla_auditoría[[#This Row],[Dispositivo]]))</f>
        <v>Desktop</v>
      </c>
      <c r="R564" t="str">
        <f>TRIM(PROPER(Tabla_auditoría[[#This Row],[Tipo_Campaña]]))</f>
        <v>Reconocimiento</v>
      </c>
      <c r="S564" t="str">
        <f>TRIM(PROPER(Tabla_auditoría[[#This Row],[Responsable]]))</f>
        <v>Laura Pérez</v>
      </c>
    </row>
    <row r="565" spans="1:19" x14ac:dyDescent="0.3">
      <c r="A565" s="1">
        <v>45708</v>
      </c>
      <c r="B565" s="2" t="s">
        <v>2535</v>
      </c>
      <c r="C565" s="2" t="s">
        <v>2533</v>
      </c>
      <c r="D565" s="2" t="s">
        <v>2528</v>
      </c>
      <c r="E565" s="2" t="s">
        <v>2517</v>
      </c>
      <c r="F565" s="3">
        <v>13231</v>
      </c>
      <c r="G565" s="3">
        <v>133</v>
      </c>
      <c r="H565" s="3">
        <v>1</v>
      </c>
      <c r="I565" s="4">
        <v>170.43</v>
      </c>
      <c r="J565" s="4">
        <v>204.54</v>
      </c>
      <c r="K565" s="3">
        <v>0</v>
      </c>
      <c r="L565" s="2" t="s">
        <v>2539</v>
      </c>
      <c r="M565" s="2" t="s">
        <v>2524</v>
      </c>
      <c r="N565" t="str">
        <f>TRIM(PROPER(Tabla_auditoría[[#This Row],[ID_Campaña]]))</f>
        <v>Cmp-015</v>
      </c>
      <c r="O565" t="str">
        <f>TRIM(PROPER(Tabla_auditoría[[#This Row],[Canal]]))</f>
        <v>Paid Social</v>
      </c>
      <c r="P565" t="str">
        <f>TRIM(PROPER(Tabla_auditoría[[#This Row],[País]]))</f>
        <v>España</v>
      </c>
      <c r="Q565" t="str">
        <f>TRIM(PROPER(Tabla_auditoría[[#This Row],[Dispositivo]]))</f>
        <v>Desktop</v>
      </c>
      <c r="R565" t="str">
        <f>TRIM(PROPER(Tabla_auditoría[[#This Row],[Tipo_Campaña]]))</f>
        <v>Conversión</v>
      </c>
      <c r="S565" t="str">
        <f>TRIM(PROPER(Tabla_auditoría[[#This Row],[Responsable]]))</f>
        <v>Luis Martín</v>
      </c>
    </row>
    <row r="566" spans="1:19" x14ac:dyDescent="0.3">
      <c r="A566" s="1">
        <v>45891</v>
      </c>
      <c r="B566" s="2" t="s">
        <v>2568</v>
      </c>
      <c r="C566" s="2" t="s">
        <v>2533</v>
      </c>
      <c r="D566" s="2" t="s">
        <v>2528</v>
      </c>
      <c r="E566" s="2" t="s">
        <v>2517</v>
      </c>
      <c r="F566" s="3">
        <v>66443</v>
      </c>
      <c r="G566" s="3">
        <v>3211</v>
      </c>
      <c r="H566" s="3">
        <v>148</v>
      </c>
      <c r="I566" s="4">
        <v>1750.94</v>
      </c>
      <c r="J566" s="4">
        <v>20683.27</v>
      </c>
      <c r="K566" s="3">
        <v>117</v>
      </c>
      <c r="L566" s="2" t="s">
        <v>2536</v>
      </c>
      <c r="M566" s="2" t="s">
        <v>2524</v>
      </c>
      <c r="N566" t="str">
        <f>TRIM(PROPER(Tabla_auditoría[[#This Row],[ID_Campaña]]))</f>
        <v>Cmp-020</v>
      </c>
      <c r="O566" t="str">
        <f>TRIM(PROPER(Tabla_auditoría[[#This Row],[Canal]]))</f>
        <v>Paid Social</v>
      </c>
      <c r="P566" t="str">
        <f>TRIM(PROPER(Tabla_auditoría[[#This Row],[País]]))</f>
        <v>España</v>
      </c>
      <c r="Q566" t="str">
        <f>TRIM(PROPER(Tabla_auditoría[[#This Row],[Dispositivo]]))</f>
        <v>Desktop</v>
      </c>
      <c r="R566" t="str">
        <f>TRIM(PROPER(Tabla_auditoría[[#This Row],[Tipo_Campaña]]))</f>
        <v>Reconocimiento</v>
      </c>
      <c r="S566" t="str">
        <f>TRIM(PROPER(Tabla_auditoría[[#This Row],[Responsable]]))</f>
        <v>Luis Martín</v>
      </c>
    </row>
    <row r="567" spans="1:19" x14ac:dyDescent="0.3">
      <c r="A567" s="1">
        <v>45759</v>
      </c>
      <c r="B567" s="2" t="s">
        <v>2549</v>
      </c>
      <c r="C567" s="2" t="s">
        <v>2533</v>
      </c>
      <c r="D567" s="2" t="s">
        <v>2531</v>
      </c>
      <c r="E567" s="2" t="s">
        <v>2529</v>
      </c>
      <c r="F567" s="3">
        <v>175647</v>
      </c>
      <c r="G567" s="3">
        <v>9025</v>
      </c>
      <c r="H567" s="3">
        <v>152</v>
      </c>
      <c r="I567" s="4">
        <v>11827.49</v>
      </c>
      <c r="J567" s="4">
        <v>28793.54</v>
      </c>
      <c r="K567" s="3">
        <v>135</v>
      </c>
      <c r="L567" s="2" t="s">
        <v>2536</v>
      </c>
      <c r="M567" s="2" t="s">
        <v>2524</v>
      </c>
      <c r="N567" t="str">
        <f>TRIM(PROPER(Tabla_auditoría[[#This Row],[ID_Campaña]]))</f>
        <v>Cmp-007</v>
      </c>
      <c r="O567" t="str">
        <f>TRIM(PROPER(Tabla_auditoría[[#This Row],[Canal]]))</f>
        <v>Paid Social</v>
      </c>
      <c r="P567" t="str">
        <f>TRIM(PROPER(Tabla_auditoría[[#This Row],[País]]))</f>
        <v>Portugal</v>
      </c>
      <c r="Q567" t="str">
        <f>TRIM(PROPER(Tabla_auditoría[[#This Row],[Dispositivo]]))</f>
        <v>Mobile</v>
      </c>
      <c r="R567" t="str">
        <f>TRIM(PROPER(Tabla_auditoría[[#This Row],[Tipo_Campaña]]))</f>
        <v>Reconocimiento</v>
      </c>
      <c r="S567" t="str">
        <f>TRIM(PROPER(Tabla_auditoría[[#This Row],[Responsable]]))</f>
        <v>Luis Martín</v>
      </c>
    </row>
    <row r="568" spans="1:19" x14ac:dyDescent="0.3">
      <c r="A568" s="1">
        <v>45668</v>
      </c>
      <c r="B568" s="2" t="s">
        <v>2542</v>
      </c>
      <c r="C568" s="2" t="s">
        <v>2527</v>
      </c>
      <c r="D568" s="2" t="s">
        <v>2531</v>
      </c>
      <c r="E568" s="2" t="s">
        <v>2517</v>
      </c>
      <c r="F568" s="3">
        <v>12434</v>
      </c>
      <c r="G568" s="3">
        <v>440</v>
      </c>
      <c r="H568" s="3">
        <v>42</v>
      </c>
      <c r="I568" s="4">
        <v>503.59</v>
      </c>
      <c r="J568" s="4">
        <v>2935.28</v>
      </c>
      <c r="K568" s="3">
        <v>36</v>
      </c>
      <c r="L568" s="2" t="s">
        <v>2518</v>
      </c>
      <c r="M568" s="2" t="s">
        <v>2524</v>
      </c>
      <c r="N568" t="str">
        <f>TRIM(PROPER(Tabla_auditoría[[#This Row],[ID_Campaña]]))</f>
        <v>Cmp-025</v>
      </c>
      <c r="O568" t="str">
        <f>TRIM(PROPER(Tabla_auditoría[[#This Row],[Canal]]))</f>
        <v>Affiliate</v>
      </c>
      <c r="P568" t="str">
        <f>TRIM(PROPER(Tabla_auditoría[[#This Row],[País]]))</f>
        <v>Portugal</v>
      </c>
      <c r="Q568" t="str">
        <f>TRIM(PROPER(Tabla_auditoría[[#This Row],[Dispositivo]]))</f>
        <v>Desktop</v>
      </c>
      <c r="R568" t="str">
        <f>TRIM(PROPER(Tabla_auditoría[[#This Row],[Tipo_Campaña]]))</f>
        <v>Adquisición</v>
      </c>
      <c r="S568" t="str">
        <f>TRIM(PROPER(Tabla_auditoría[[#This Row],[Responsable]]))</f>
        <v>Luis Martín</v>
      </c>
    </row>
    <row r="569" spans="1:19" x14ac:dyDescent="0.3">
      <c r="A569" s="1">
        <v>45806</v>
      </c>
      <c r="B569" s="2" t="s">
        <v>2545</v>
      </c>
      <c r="C569" s="2" t="s">
        <v>2543</v>
      </c>
      <c r="D569" s="2" t="s">
        <v>2516</v>
      </c>
      <c r="E569" s="2" t="s">
        <v>2517</v>
      </c>
      <c r="F569" s="3">
        <v>139195</v>
      </c>
      <c r="G569" s="3">
        <v>7615</v>
      </c>
      <c r="H569" s="3">
        <v>67</v>
      </c>
      <c r="I569" s="4">
        <v>7958.98</v>
      </c>
      <c r="J569" s="4">
        <v>5996.87</v>
      </c>
      <c r="K569" s="3">
        <v>34</v>
      </c>
      <c r="L569" s="2" t="s">
        <v>2539</v>
      </c>
      <c r="M569" s="2" t="s">
        <v>2546</v>
      </c>
      <c r="N569" t="str">
        <f>TRIM(PROPER(Tabla_auditoría[[#This Row],[ID_Campaña]]))</f>
        <v>Cmp-011</v>
      </c>
      <c r="O569" t="str">
        <f>TRIM(PROPER(Tabla_auditoría[[#This Row],[Canal]]))</f>
        <v>Organic Social</v>
      </c>
      <c r="P569" t="str">
        <f>TRIM(PROPER(Tabla_auditoría[[#This Row],[País]]))</f>
        <v>México</v>
      </c>
      <c r="Q569" t="str">
        <f>TRIM(PROPER(Tabla_auditoría[[#This Row],[Dispositivo]]))</f>
        <v>Desktop</v>
      </c>
      <c r="R569" t="str">
        <f>TRIM(PROPER(Tabla_auditoría[[#This Row],[Tipo_Campaña]]))</f>
        <v>Conversión</v>
      </c>
      <c r="S569" t="str">
        <f>TRIM(PROPER(Tabla_auditoría[[#This Row],[Responsable]]))</f>
        <v>Ana García</v>
      </c>
    </row>
    <row r="570" spans="1:19" x14ac:dyDescent="0.3">
      <c r="A570" s="1">
        <v>45692</v>
      </c>
      <c r="B570" s="2" t="s">
        <v>2544</v>
      </c>
      <c r="C570" s="2" t="s">
        <v>2515</v>
      </c>
      <c r="D570" s="2" t="s">
        <v>2528</v>
      </c>
      <c r="E570" s="2" t="s">
        <v>2534</v>
      </c>
      <c r="F570" s="3">
        <v>128819</v>
      </c>
      <c r="G570" s="3">
        <v>5095</v>
      </c>
      <c r="H570" s="3">
        <v>652</v>
      </c>
      <c r="I570" s="4">
        <v>4515.97</v>
      </c>
      <c r="J570" s="4">
        <v>82017.38</v>
      </c>
      <c r="K570" s="3">
        <v>494</v>
      </c>
      <c r="L570" s="2" t="s">
        <v>2523</v>
      </c>
      <c r="M570" s="2" t="s">
        <v>2524</v>
      </c>
      <c r="N570" t="str">
        <f>TRIM(PROPER(Tabla_auditoría[[#This Row],[ID_Campaña]]))</f>
        <v>Cmp-006</v>
      </c>
      <c r="O570" t="str">
        <f>TRIM(PROPER(Tabla_auditoría[[#This Row],[Canal]]))</f>
        <v>Email</v>
      </c>
      <c r="P570" t="str">
        <f>TRIM(PROPER(Tabla_auditoría[[#This Row],[País]]))</f>
        <v>España</v>
      </c>
      <c r="Q570" t="str">
        <f>TRIM(PROPER(Tabla_auditoría[[#This Row],[Dispositivo]]))</f>
        <v>Tablet</v>
      </c>
      <c r="R570" t="str">
        <f>TRIM(PROPER(Tabla_auditoría[[#This Row],[Tipo_Campaña]]))</f>
        <v>Retención</v>
      </c>
      <c r="S570" t="str">
        <f>TRIM(PROPER(Tabla_auditoría[[#This Row],[Responsable]]))</f>
        <v>Luis Martín</v>
      </c>
    </row>
    <row r="571" spans="1:19" x14ac:dyDescent="0.3">
      <c r="A571" s="1">
        <v>45753</v>
      </c>
      <c r="B571" s="2" t="s">
        <v>2556</v>
      </c>
      <c r="C571" s="2" t="s">
        <v>2533</v>
      </c>
      <c r="D571" s="2" t="s">
        <v>2528</v>
      </c>
      <c r="E571" s="2" t="s">
        <v>2517</v>
      </c>
      <c r="F571" s="3">
        <v>170815</v>
      </c>
      <c r="G571" s="3">
        <v>9376</v>
      </c>
      <c r="H571" s="3">
        <v>62</v>
      </c>
      <c r="I571" s="4">
        <v>8088.11</v>
      </c>
      <c r="J571" s="4">
        <v>10101.870000000001</v>
      </c>
      <c r="K571" s="3">
        <v>36</v>
      </c>
      <c r="L571" s="2" t="s">
        <v>2523</v>
      </c>
      <c r="M571" s="2" t="s">
        <v>2524</v>
      </c>
      <c r="N571" t="str">
        <f>TRIM(PROPER(Tabla_auditoría[[#This Row],[ID_Campaña]]))</f>
        <v>Cmp-014</v>
      </c>
      <c r="O571" t="str">
        <f>TRIM(PROPER(Tabla_auditoría[[#This Row],[Canal]]))</f>
        <v>Paid Social</v>
      </c>
      <c r="P571" t="str">
        <f>TRIM(PROPER(Tabla_auditoría[[#This Row],[País]]))</f>
        <v>España</v>
      </c>
      <c r="Q571" t="str">
        <f>TRIM(PROPER(Tabla_auditoría[[#This Row],[Dispositivo]]))</f>
        <v>Desktop</v>
      </c>
      <c r="R571" t="str">
        <f>TRIM(PROPER(Tabla_auditoría[[#This Row],[Tipo_Campaña]]))</f>
        <v>Retención</v>
      </c>
      <c r="S571" t="str">
        <f>TRIM(PROPER(Tabla_auditoría[[#This Row],[Responsable]]))</f>
        <v>Luis Martín</v>
      </c>
    </row>
    <row r="572" spans="1:19" x14ac:dyDescent="0.3">
      <c r="A572" s="1">
        <v>45832</v>
      </c>
      <c r="B572" s="2" t="s">
        <v>2554</v>
      </c>
      <c r="C572" s="2" t="s">
        <v>2541</v>
      </c>
      <c r="D572" s="2" t="s">
        <v>2528</v>
      </c>
      <c r="E572" s="2" t="s">
        <v>2529</v>
      </c>
      <c r="F572" s="3">
        <v>137607</v>
      </c>
      <c r="G572" s="3">
        <v>8845</v>
      </c>
      <c r="H572" s="3">
        <v>435</v>
      </c>
      <c r="I572" s="4">
        <v>4920.1099999999997</v>
      </c>
      <c r="J572" s="4">
        <v>15525.93</v>
      </c>
      <c r="K572" s="3">
        <v>387</v>
      </c>
      <c r="L572" s="2" t="s">
        <v>2518</v>
      </c>
      <c r="M572" s="2" t="s">
        <v>2546</v>
      </c>
      <c r="N572" t="str">
        <f>TRIM(PROPER(Tabla_auditoría[[#This Row],[ID_Campaña]]))</f>
        <v>Cmp-019</v>
      </c>
      <c r="O572" t="str">
        <f>TRIM(PROPER(Tabla_auditoría[[#This Row],[Canal]]))</f>
        <v>Display</v>
      </c>
      <c r="P572" t="str">
        <f>TRIM(PROPER(Tabla_auditoría[[#This Row],[País]]))</f>
        <v>España</v>
      </c>
      <c r="Q572" t="str">
        <f>TRIM(PROPER(Tabla_auditoría[[#This Row],[Dispositivo]]))</f>
        <v>Mobile</v>
      </c>
      <c r="R572" t="str">
        <f>TRIM(PROPER(Tabla_auditoría[[#This Row],[Tipo_Campaña]]))</f>
        <v>Adquisición</v>
      </c>
      <c r="S572" t="str">
        <f>TRIM(PROPER(Tabla_auditoría[[#This Row],[Responsable]]))</f>
        <v>Ana García</v>
      </c>
    </row>
    <row r="573" spans="1:19" x14ac:dyDescent="0.3">
      <c r="A573" s="1">
        <v>45680</v>
      </c>
      <c r="B573" s="2" t="s">
        <v>2542</v>
      </c>
      <c r="C573" s="2" t="s">
        <v>2527</v>
      </c>
      <c r="D573" s="2" t="s">
        <v>2528</v>
      </c>
      <c r="E573" s="2" t="s">
        <v>2529</v>
      </c>
      <c r="F573" s="3">
        <v>170460</v>
      </c>
      <c r="G573" s="3">
        <v>8346</v>
      </c>
      <c r="H573" s="3">
        <v>61</v>
      </c>
      <c r="I573" s="4">
        <v>4775.78</v>
      </c>
      <c r="J573" s="4">
        <v>7127.5</v>
      </c>
      <c r="K573" s="3">
        <v>28</v>
      </c>
      <c r="L573" s="2" t="s">
        <v>2518</v>
      </c>
      <c r="M573" s="2" t="s">
        <v>2524</v>
      </c>
      <c r="N573" t="str">
        <f>TRIM(PROPER(Tabla_auditoría[[#This Row],[ID_Campaña]]))</f>
        <v>Cmp-025</v>
      </c>
      <c r="O573" t="str">
        <f>TRIM(PROPER(Tabla_auditoría[[#This Row],[Canal]]))</f>
        <v>Affiliate</v>
      </c>
      <c r="P573" t="str">
        <f>TRIM(PROPER(Tabla_auditoría[[#This Row],[País]]))</f>
        <v>España</v>
      </c>
      <c r="Q573" t="str">
        <f>TRIM(PROPER(Tabla_auditoría[[#This Row],[Dispositivo]]))</f>
        <v>Mobile</v>
      </c>
      <c r="R573" t="str">
        <f>TRIM(PROPER(Tabla_auditoría[[#This Row],[Tipo_Campaña]]))</f>
        <v>Adquisición</v>
      </c>
      <c r="S573" t="str">
        <f>TRIM(PROPER(Tabla_auditoría[[#This Row],[Responsable]]))</f>
        <v>Luis Martín</v>
      </c>
    </row>
    <row r="574" spans="1:19" x14ac:dyDescent="0.3">
      <c r="A574" s="1">
        <v>45663</v>
      </c>
      <c r="B574" s="2" t="s">
        <v>2557</v>
      </c>
      <c r="C574" s="2" t="s">
        <v>2541</v>
      </c>
      <c r="D574" s="2" t="s">
        <v>2528</v>
      </c>
      <c r="E574" s="2" t="s">
        <v>2529</v>
      </c>
      <c r="F574" s="3">
        <v>8401</v>
      </c>
      <c r="G574" s="3">
        <v>674</v>
      </c>
      <c r="H574" s="3">
        <v>68</v>
      </c>
      <c r="I574" s="4">
        <v>1174.8</v>
      </c>
      <c r="J574" s="4">
        <v>3639.84</v>
      </c>
      <c r="K574" s="3">
        <v>53</v>
      </c>
      <c r="L574" s="2" t="s">
        <v>2518</v>
      </c>
      <c r="M574" s="2" t="s">
        <v>2526</v>
      </c>
      <c r="N574" t="str">
        <f>TRIM(PROPER(Tabla_auditoría[[#This Row],[ID_Campaña]]))</f>
        <v>Cmp-030</v>
      </c>
      <c r="O574" t="str">
        <f>TRIM(PROPER(Tabla_auditoría[[#This Row],[Canal]]))</f>
        <v>Display</v>
      </c>
      <c r="P574" t="str">
        <f>TRIM(PROPER(Tabla_auditoría[[#This Row],[País]]))</f>
        <v>España</v>
      </c>
      <c r="Q574" t="str">
        <f>TRIM(PROPER(Tabla_auditoría[[#This Row],[Dispositivo]]))</f>
        <v>Mobile</v>
      </c>
      <c r="R574" t="str">
        <f>TRIM(PROPER(Tabla_auditoría[[#This Row],[Tipo_Campaña]]))</f>
        <v>Adquisición</v>
      </c>
      <c r="S574" t="str">
        <f>TRIM(PROPER(Tabla_auditoría[[#This Row],[Responsable]]))</f>
        <v>Laura Pérez</v>
      </c>
    </row>
    <row r="575" spans="1:19" x14ac:dyDescent="0.3">
      <c r="A575" s="1">
        <v>45971</v>
      </c>
      <c r="B575" s="2" t="s">
        <v>2570</v>
      </c>
      <c r="C575" s="2" t="s">
        <v>2515</v>
      </c>
      <c r="D575" s="2" t="s">
        <v>2531</v>
      </c>
      <c r="E575" s="2" t="s">
        <v>2529</v>
      </c>
      <c r="F575" s="3">
        <v>54970</v>
      </c>
      <c r="G575" s="3">
        <v>3819</v>
      </c>
      <c r="H575" s="3">
        <v>213</v>
      </c>
      <c r="I575" s="4">
        <v>3752.24</v>
      </c>
      <c r="J575" s="4">
        <v>22328.83</v>
      </c>
      <c r="K575" s="3">
        <v>153</v>
      </c>
      <c r="L575" s="2" t="s">
        <v>2518</v>
      </c>
      <c r="M575" s="2" t="s">
        <v>2519</v>
      </c>
      <c r="N575" t="str">
        <f>TRIM(PROPER(Tabla_auditoría[[#This Row],[ID_Campaña]]))</f>
        <v>Cmp-016</v>
      </c>
      <c r="O575" t="str">
        <f>TRIM(PROPER(Tabla_auditoría[[#This Row],[Canal]]))</f>
        <v>Email</v>
      </c>
      <c r="P575" t="str">
        <f>TRIM(PROPER(Tabla_auditoría[[#This Row],[País]]))</f>
        <v>Portugal</v>
      </c>
      <c r="Q575" t="str">
        <f>TRIM(PROPER(Tabla_auditoría[[#This Row],[Dispositivo]]))</f>
        <v>Mobile</v>
      </c>
      <c r="R575" t="str">
        <f>TRIM(PROPER(Tabla_auditoría[[#This Row],[Tipo_Campaña]]))</f>
        <v>Adquisición</v>
      </c>
      <c r="S575" t="str">
        <f>TRIM(PROPER(Tabla_auditoría[[#This Row],[Responsable]]))</f>
        <v>Carlos Ruiz</v>
      </c>
    </row>
    <row r="576" spans="1:19" x14ac:dyDescent="0.3">
      <c r="A576" s="1">
        <v>45757</v>
      </c>
      <c r="B576" s="2" t="s">
        <v>2514</v>
      </c>
      <c r="C576" s="2" t="s">
        <v>2521</v>
      </c>
      <c r="D576" s="2" t="s">
        <v>2516</v>
      </c>
      <c r="E576" s="2" t="s">
        <v>2529</v>
      </c>
      <c r="F576" s="3">
        <v>144557</v>
      </c>
      <c r="G576" s="3">
        <v>5218</v>
      </c>
      <c r="H576" s="3">
        <v>253</v>
      </c>
      <c r="I576" s="4">
        <v>10918.3</v>
      </c>
      <c r="J576" s="4">
        <v>20059.88</v>
      </c>
      <c r="K576" s="3">
        <v>155</v>
      </c>
      <c r="L576" s="2" t="s">
        <v>2539</v>
      </c>
      <c r="M576" s="2" t="s">
        <v>2546</v>
      </c>
      <c r="N576" t="str">
        <f>TRIM(PROPER(Tabla_auditoría[[#This Row],[ID_Campaña]]))</f>
        <v>Cmp-002</v>
      </c>
      <c r="O576" t="str">
        <f>TRIM(PROPER(Tabla_auditoría[[#This Row],[Canal]]))</f>
        <v>Paid Search</v>
      </c>
      <c r="P576" t="str">
        <f>TRIM(PROPER(Tabla_auditoría[[#This Row],[País]]))</f>
        <v>México</v>
      </c>
      <c r="Q576" t="str">
        <f>TRIM(PROPER(Tabla_auditoría[[#This Row],[Dispositivo]]))</f>
        <v>Mobile</v>
      </c>
      <c r="R576" t="str">
        <f>TRIM(PROPER(Tabla_auditoría[[#This Row],[Tipo_Campaña]]))</f>
        <v>Conversión</v>
      </c>
      <c r="S576" t="str">
        <f>TRIM(PROPER(Tabla_auditoría[[#This Row],[Responsable]]))</f>
        <v>Ana García</v>
      </c>
    </row>
    <row r="577" spans="1:19" x14ac:dyDescent="0.3">
      <c r="A577" s="1">
        <v>45696</v>
      </c>
      <c r="B577" s="2" t="s">
        <v>2552</v>
      </c>
      <c r="C577" s="2" t="s">
        <v>2533</v>
      </c>
      <c r="D577" s="2" t="s">
        <v>2531</v>
      </c>
      <c r="E577" s="2" t="s">
        <v>2529</v>
      </c>
      <c r="F577" s="3">
        <v>26839</v>
      </c>
      <c r="G577" s="3">
        <v>1351</v>
      </c>
      <c r="H577" s="3">
        <v>23</v>
      </c>
      <c r="I577" s="4">
        <v>1225.67</v>
      </c>
      <c r="J577" s="4">
        <v>4264.6099999999997</v>
      </c>
      <c r="K577" s="3">
        <v>12</v>
      </c>
      <c r="L577" s="2" t="s">
        <v>2523</v>
      </c>
      <c r="M577" s="2" t="s">
        <v>2526</v>
      </c>
      <c r="N577" t="str">
        <f>TRIM(PROPER(Tabla_auditoría[[#This Row],[ID_Campaña]]))</f>
        <v>Cmp-012</v>
      </c>
      <c r="O577" t="str">
        <f>TRIM(PROPER(Tabla_auditoría[[#This Row],[Canal]]))</f>
        <v>Paid Social</v>
      </c>
      <c r="P577" t="str">
        <f>TRIM(PROPER(Tabla_auditoría[[#This Row],[País]]))</f>
        <v>Portugal</v>
      </c>
      <c r="Q577" t="str">
        <f>TRIM(PROPER(Tabla_auditoría[[#This Row],[Dispositivo]]))</f>
        <v>Mobile</v>
      </c>
      <c r="R577" t="str">
        <f>TRIM(PROPER(Tabla_auditoría[[#This Row],[Tipo_Campaña]]))</f>
        <v>Retención</v>
      </c>
      <c r="S577" t="str">
        <f>TRIM(PROPER(Tabla_auditoría[[#This Row],[Responsable]]))</f>
        <v>Laura Pérez</v>
      </c>
    </row>
    <row r="578" spans="1:19" x14ac:dyDescent="0.3">
      <c r="A578" s="1">
        <v>45941</v>
      </c>
      <c r="B578" s="2" t="s">
        <v>2547</v>
      </c>
      <c r="C578" s="2" t="s">
        <v>2541</v>
      </c>
      <c r="D578" s="2" t="s">
        <v>2516</v>
      </c>
      <c r="E578" s="2" t="s">
        <v>2529</v>
      </c>
      <c r="F578" s="3">
        <v>173842</v>
      </c>
      <c r="G578" s="3">
        <v>8923</v>
      </c>
      <c r="H578" s="3">
        <v>967</v>
      </c>
      <c r="I578" s="4">
        <v>16989.91</v>
      </c>
      <c r="J578" s="4">
        <v>152473.5</v>
      </c>
      <c r="K578" s="3">
        <v>817</v>
      </c>
      <c r="L578" s="2" t="s">
        <v>2518</v>
      </c>
      <c r="M578" s="2" t="s">
        <v>2519</v>
      </c>
      <c r="N578" t="str">
        <f>TRIM(PROPER(Tabla_auditoría[[#This Row],[ID_Campaña]]))</f>
        <v>Cmp-018</v>
      </c>
      <c r="O578" t="str">
        <f>TRIM(PROPER(Tabla_auditoría[[#This Row],[Canal]]))</f>
        <v>Display</v>
      </c>
      <c r="P578" t="str">
        <f>TRIM(PROPER(Tabla_auditoría[[#This Row],[País]]))</f>
        <v>México</v>
      </c>
      <c r="Q578" t="str">
        <f>TRIM(PROPER(Tabla_auditoría[[#This Row],[Dispositivo]]))</f>
        <v>Mobile</v>
      </c>
      <c r="R578" t="str">
        <f>TRIM(PROPER(Tabla_auditoría[[#This Row],[Tipo_Campaña]]))</f>
        <v>Adquisición</v>
      </c>
      <c r="S578" t="str">
        <f>TRIM(PROPER(Tabla_auditoría[[#This Row],[Responsable]]))</f>
        <v>Carlos Ruiz</v>
      </c>
    </row>
    <row r="579" spans="1:19" x14ac:dyDescent="0.3">
      <c r="A579" s="1">
        <v>45925</v>
      </c>
      <c r="B579" s="2" t="s">
        <v>2560</v>
      </c>
      <c r="C579" s="2" t="s">
        <v>2521</v>
      </c>
      <c r="D579" s="2" t="s">
        <v>2522</v>
      </c>
      <c r="E579" s="2" t="s">
        <v>2517</v>
      </c>
      <c r="F579" s="3">
        <v>79553</v>
      </c>
      <c r="G579" s="3">
        <v>626</v>
      </c>
      <c r="H579" s="3">
        <v>13</v>
      </c>
      <c r="I579" s="4">
        <v>332.47</v>
      </c>
      <c r="J579" s="4">
        <v>621.79999999999995</v>
      </c>
      <c r="K579" s="3">
        <v>10</v>
      </c>
      <c r="L579" s="2" t="s">
        <v>2518</v>
      </c>
      <c r="M579" s="2" t="s">
        <v>2519</v>
      </c>
      <c r="N579" t="str">
        <f>TRIM(PROPER(Tabla_auditoría[[#This Row],[ID_Campaña]]))</f>
        <v>Cmp-027</v>
      </c>
      <c r="O579" t="str">
        <f>TRIM(PROPER(Tabla_auditoría[[#This Row],[Canal]]))</f>
        <v>Paid Search</v>
      </c>
      <c r="P579" t="str">
        <f>TRIM(PROPER(Tabla_auditoría[[#This Row],[País]]))</f>
        <v>Italia</v>
      </c>
      <c r="Q579" t="str">
        <f>TRIM(PROPER(Tabla_auditoría[[#This Row],[Dispositivo]]))</f>
        <v>Desktop</v>
      </c>
      <c r="R579" t="str">
        <f>TRIM(PROPER(Tabla_auditoría[[#This Row],[Tipo_Campaña]]))</f>
        <v>Adquisición</v>
      </c>
      <c r="S579" t="str">
        <f>TRIM(PROPER(Tabla_auditoría[[#This Row],[Responsable]]))</f>
        <v>Carlos Ruiz</v>
      </c>
    </row>
    <row r="580" spans="1:19" x14ac:dyDescent="0.3">
      <c r="A580" s="1">
        <v>45686</v>
      </c>
      <c r="B580" s="2" t="s">
        <v>2556</v>
      </c>
      <c r="C580" s="2" t="s">
        <v>2541</v>
      </c>
      <c r="D580" s="2" t="s">
        <v>2522</v>
      </c>
      <c r="E580" s="2" t="s">
        <v>2529</v>
      </c>
      <c r="F580" s="3">
        <v>161725</v>
      </c>
      <c r="G580" s="3">
        <v>13229</v>
      </c>
      <c r="H580" s="3">
        <v>507</v>
      </c>
      <c r="I580" s="4">
        <v>11992.95</v>
      </c>
      <c r="J580" s="4">
        <v>26635.59</v>
      </c>
      <c r="K580" s="3">
        <v>384</v>
      </c>
      <c r="L580" s="2" t="s">
        <v>2518</v>
      </c>
      <c r="M580" s="2" t="s">
        <v>2519</v>
      </c>
      <c r="N580" t="str">
        <f>TRIM(PROPER(Tabla_auditoría[[#This Row],[ID_Campaña]]))</f>
        <v>Cmp-014</v>
      </c>
      <c r="O580" t="str">
        <f>TRIM(PROPER(Tabla_auditoría[[#This Row],[Canal]]))</f>
        <v>Display</v>
      </c>
      <c r="P580" t="str">
        <f>TRIM(PROPER(Tabla_auditoría[[#This Row],[País]]))</f>
        <v>Italia</v>
      </c>
      <c r="Q580" t="str">
        <f>TRIM(PROPER(Tabla_auditoría[[#This Row],[Dispositivo]]))</f>
        <v>Mobile</v>
      </c>
      <c r="R580" t="str">
        <f>TRIM(PROPER(Tabla_auditoría[[#This Row],[Tipo_Campaña]]))</f>
        <v>Adquisición</v>
      </c>
      <c r="S580" t="str">
        <f>TRIM(PROPER(Tabla_auditoría[[#This Row],[Responsable]]))</f>
        <v>Carlos Ruiz</v>
      </c>
    </row>
    <row r="581" spans="1:19" x14ac:dyDescent="0.3">
      <c r="A581" s="1">
        <v>45831</v>
      </c>
      <c r="B581" s="2" t="s">
        <v>2540</v>
      </c>
      <c r="C581" s="2" t="s">
        <v>2521</v>
      </c>
      <c r="D581" s="2" t="s">
        <v>2528</v>
      </c>
      <c r="E581" s="2" t="s">
        <v>2529</v>
      </c>
      <c r="F581" s="3">
        <v>21844</v>
      </c>
      <c r="G581" s="3">
        <v>147</v>
      </c>
      <c r="H581" s="3">
        <v>16</v>
      </c>
      <c r="I581" s="4">
        <v>54.4</v>
      </c>
      <c r="J581" s="4">
        <v>1948.48</v>
      </c>
      <c r="K581" s="3">
        <v>11</v>
      </c>
      <c r="L581" s="2" t="s">
        <v>2523</v>
      </c>
      <c r="M581" s="2" t="s">
        <v>2519</v>
      </c>
      <c r="N581" t="str">
        <f>TRIM(PROPER(Tabla_auditoría[[#This Row],[ID_Campaña]]))</f>
        <v>Cmp-017</v>
      </c>
      <c r="O581" t="str">
        <f>TRIM(PROPER(Tabla_auditoría[[#This Row],[Canal]]))</f>
        <v>Paid Search</v>
      </c>
      <c r="P581" t="str">
        <f>TRIM(PROPER(Tabla_auditoría[[#This Row],[País]]))</f>
        <v>España</v>
      </c>
      <c r="Q581" t="str">
        <f>TRIM(PROPER(Tabla_auditoría[[#This Row],[Dispositivo]]))</f>
        <v>Mobile</v>
      </c>
      <c r="R581" t="str">
        <f>TRIM(PROPER(Tabla_auditoría[[#This Row],[Tipo_Campaña]]))</f>
        <v>Retención</v>
      </c>
      <c r="S581" t="str">
        <f>TRIM(PROPER(Tabla_auditoría[[#This Row],[Responsable]]))</f>
        <v>Carlos Ruiz</v>
      </c>
    </row>
    <row r="582" spans="1:19" x14ac:dyDescent="0.3">
      <c r="A582" s="1">
        <v>45757</v>
      </c>
      <c r="B582" s="2" t="s">
        <v>2547</v>
      </c>
      <c r="C582" s="2" t="s">
        <v>2521</v>
      </c>
      <c r="D582" s="2" t="s">
        <v>2528</v>
      </c>
      <c r="E582" s="2" t="s">
        <v>2517</v>
      </c>
      <c r="F582" s="3">
        <v>101859</v>
      </c>
      <c r="G582" s="3">
        <v>2279</v>
      </c>
      <c r="H582" s="3">
        <v>50</v>
      </c>
      <c r="I582" s="4">
        <v>2227.21</v>
      </c>
      <c r="J582" s="4">
        <v>2297.36</v>
      </c>
      <c r="K582" s="3">
        <v>40</v>
      </c>
      <c r="L582" s="2" t="s">
        <v>2523</v>
      </c>
      <c r="M582" s="2" t="s">
        <v>2524</v>
      </c>
      <c r="N582" t="str">
        <f>TRIM(PROPER(Tabla_auditoría[[#This Row],[ID_Campaña]]))</f>
        <v>Cmp-018</v>
      </c>
      <c r="O582" t="str">
        <f>TRIM(PROPER(Tabla_auditoría[[#This Row],[Canal]]))</f>
        <v>Paid Search</v>
      </c>
      <c r="P582" t="str">
        <f>TRIM(PROPER(Tabla_auditoría[[#This Row],[País]]))</f>
        <v>España</v>
      </c>
      <c r="Q582" t="str">
        <f>TRIM(PROPER(Tabla_auditoría[[#This Row],[Dispositivo]]))</f>
        <v>Desktop</v>
      </c>
      <c r="R582" t="str">
        <f>TRIM(PROPER(Tabla_auditoría[[#This Row],[Tipo_Campaña]]))</f>
        <v>Retención</v>
      </c>
      <c r="S582" t="str">
        <f>TRIM(PROPER(Tabla_auditoría[[#This Row],[Responsable]]))</f>
        <v>Luis Martín</v>
      </c>
    </row>
    <row r="583" spans="1:19" x14ac:dyDescent="0.3">
      <c r="A583" s="1">
        <v>45819</v>
      </c>
      <c r="B583" s="2" t="s">
        <v>2555</v>
      </c>
      <c r="C583" s="2" t="s">
        <v>2533</v>
      </c>
      <c r="D583" s="2" t="s">
        <v>2531</v>
      </c>
      <c r="E583" s="2" t="s">
        <v>2529</v>
      </c>
      <c r="F583" s="3">
        <v>139582</v>
      </c>
      <c r="G583" s="3">
        <v>5208</v>
      </c>
      <c r="H583" s="3">
        <v>621</v>
      </c>
      <c r="J583" s="4">
        <v>125553.01</v>
      </c>
      <c r="K583" s="3">
        <v>514</v>
      </c>
      <c r="L583" s="2" t="s">
        <v>2539</v>
      </c>
      <c r="M583" s="2" t="s">
        <v>2519</v>
      </c>
      <c r="N583" t="str">
        <f>TRIM(PROPER(Tabla_auditoría[[#This Row],[ID_Campaña]]))</f>
        <v>Cmp-010</v>
      </c>
      <c r="O583" t="str">
        <f>TRIM(PROPER(Tabla_auditoría[[#This Row],[Canal]]))</f>
        <v>Paid Social</v>
      </c>
      <c r="P583" t="str">
        <f>TRIM(PROPER(Tabla_auditoría[[#This Row],[País]]))</f>
        <v>Portugal</v>
      </c>
      <c r="Q583" t="str">
        <f>TRIM(PROPER(Tabla_auditoría[[#This Row],[Dispositivo]]))</f>
        <v>Mobile</v>
      </c>
      <c r="R583" t="str">
        <f>TRIM(PROPER(Tabla_auditoría[[#This Row],[Tipo_Campaña]]))</f>
        <v>Conversión</v>
      </c>
      <c r="S583" t="str">
        <f>TRIM(PROPER(Tabla_auditoría[[#This Row],[Responsable]]))</f>
        <v>Carlos Ruiz</v>
      </c>
    </row>
    <row r="584" spans="1:19" x14ac:dyDescent="0.3">
      <c r="A584" s="1">
        <v>45751</v>
      </c>
      <c r="B584" s="2" t="s">
        <v>2520</v>
      </c>
      <c r="C584" s="2" t="s">
        <v>2541</v>
      </c>
      <c r="D584" s="2" t="s">
        <v>2531</v>
      </c>
      <c r="E584" s="2" t="s">
        <v>2529</v>
      </c>
      <c r="F584" s="3">
        <v>37646</v>
      </c>
      <c r="G584" s="3">
        <v>2476</v>
      </c>
      <c r="H584" s="3">
        <v>217</v>
      </c>
      <c r="I584" s="4">
        <v>2164.7800000000002</v>
      </c>
      <c r="J584" s="4">
        <v>38992.74</v>
      </c>
      <c r="K584" s="3">
        <v>186</v>
      </c>
      <c r="L584" s="2" t="s">
        <v>2518</v>
      </c>
      <c r="M584" s="2" t="s">
        <v>2537</v>
      </c>
      <c r="N584" t="str">
        <f>TRIM(PROPER(Tabla_auditoría[[#This Row],[ID_Campaña]]))</f>
        <v>Cmp-009</v>
      </c>
      <c r="O584" t="str">
        <f>TRIM(PROPER(Tabla_auditoría[[#This Row],[Canal]]))</f>
        <v>Display</v>
      </c>
      <c r="P584" t="str">
        <f>TRIM(PROPER(Tabla_auditoría[[#This Row],[País]]))</f>
        <v>Portugal</v>
      </c>
      <c r="Q584" t="str">
        <f>TRIM(PROPER(Tabla_auditoría[[#This Row],[Dispositivo]]))</f>
        <v>Mobile</v>
      </c>
      <c r="R584" t="str">
        <f>TRIM(PROPER(Tabla_auditoría[[#This Row],[Tipo_Campaña]]))</f>
        <v>Adquisición</v>
      </c>
      <c r="S584" t="str">
        <f>TRIM(PROPER(Tabla_auditoría[[#This Row],[Responsable]]))</f>
        <v>Marta López</v>
      </c>
    </row>
    <row r="585" spans="1:19" x14ac:dyDescent="0.3">
      <c r="A585" s="1">
        <v>45739</v>
      </c>
      <c r="B585" s="2" t="s">
        <v>2555</v>
      </c>
      <c r="C585" s="2" t="s">
        <v>2541</v>
      </c>
      <c r="D585" s="2" t="s">
        <v>2528</v>
      </c>
      <c r="E585" s="2" t="s">
        <v>2529</v>
      </c>
      <c r="F585" s="3">
        <v>160286</v>
      </c>
      <c r="G585" s="3">
        <v>13760</v>
      </c>
      <c r="H585" s="3">
        <v>1345</v>
      </c>
      <c r="I585" s="4">
        <v>14157.43</v>
      </c>
      <c r="J585" s="4">
        <v>75922.850000000006</v>
      </c>
      <c r="K585" s="3">
        <v>627</v>
      </c>
      <c r="L585" s="2" t="s">
        <v>2518</v>
      </c>
      <c r="M585" s="2" t="s">
        <v>2537</v>
      </c>
      <c r="N585" t="str">
        <f>TRIM(PROPER(Tabla_auditoría[[#This Row],[ID_Campaña]]))</f>
        <v>Cmp-010</v>
      </c>
      <c r="O585" t="str">
        <f>TRIM(PROPER(Tabla_auditoría[[#This Row],[Canal]]))</f>
        <v>Display</v>
      </c>
      <c r="P585" t="str">
        <f>TRIM(PROPER(Tabla_auditoría[[#This Row],[País]]))</f>
        <v>España</v>
      </c>
      <c r="Q585" t="str">
        <f>TRIM(PROPER(Tabla_auditoría[[#This Row],[Dispositivo]]))</f>
        <v>Mobile</v>
      </c>
      <c r="R585" t="str">
        <f>TRIM(PROPER(Tabla_auditoría[[#This Row],[Tipo_Campaña]]))</f>
        <v>Adquisición</v>
      </c>
      <c r="S585" t="str">
        <f>TRIM(PROPER(Tabla_auditoría[[#This Row],[Responsable]]))</f>
        <v>Marta López</v>
      </c>
    </row>
    <row r="586" spans="1:19" x14ac:dyDescent="0.3">
      <c r="A586" s="1">
        <v>45949</v>
      </c>
      <c r="B586" s="2" t="s">
        <v>2564</v>
      </c>
      <c r="C586" s="2" t="s">
        <v>2541</v>
      </c>
      <c r="D586" s="2" t="s">
        <v>2528</v>
      </c>
      <c r="E586" s="2" t="s">
        <v>2561</v>
      </c>
      <c r="F586" s="3">
        <v>88940</v>
      </c>
      <c r="G586" s="3">
        <v>4498</v>
      </c>
      <c r="H586" s="3">
        <v>258</v>
      </c>
      <c r="I586" s="4">
        <v>7097.21</v>
      </c>
      <c r="J586" s="4">
        <v>33353.42</v>
      </c>
      <c r="K586" s="3">
        <v>218</v>
      </c>
      <c r="L586" s="2" t="s">
        <v>2523</v>
      </c>
      <c r="M586" s="2" t="s">
        <v>2526</v>
      </c>
      <c r="N586" t="str">
        <f>TRIM(PROPER(Tabla_auditoría[[#This Row],[ID_Campaña]]))</f>
        <v>Cmp-024</v>
      </c>
      <c r="O586" t="str">
        <f>TRIM(PROPER(Tabla_auditoría[[#This Row],[Canal]]))</f>
        <v>Display</v>
      </c>
      <c r="P586" t="str">
        <f>TRIM(PROPER(Tabla_auditoría[[#This Row],[País]]))</f>
        <v>España</v>
      </c>
      <c r="Q586" t="str">
        <f>TRIM(PROPER(Tabla_auditoría[[#This Row],[Dispositivo]]))</f>
        <v>Mobile</v>
      </c>
      <c r="R586" t="str">
        <f>TRIM(PROPER(Tabla_auditoría[[#This Row],[Tipo_Campaña]]))</f>
        <v>Retención</v>
      </c>
      <c r="S586" t="str">
        <f>TRIM(PROPER(Tabla_auditoría[[#This Row],[Responsable]]))</f>
        <v>Laura Pérez</v>
      </c>
    </row>
    <row r="587" spans="1:19" x14ac:dyDescent="0.3">
      <c r="A587" s="1">
        <v>45796</v>
      </c>
      <c r="B587" s="2" t="s">
        <v>2560</v>
      </c>
      <c r="C587" s="2" t="s">
        <v>2521</v>
      </c>
      <c r="D587" s="2" t="s">
        <v>2528</v>
      </c>
      <c r="E587" s="2" t="s">
        <v>2529</v>
      </c>
      <c r="F587" s="3">
        <v>132798</v>
      </c>
      <c r="G587" s="3">
        <v>1396</v>
      </c>
      <c r="H587" s="3">
        <v>176</v>
      </c>
      <c r="I587" s="4">
        <v>2011.16</v>
      </c>
      <c r="J587" s="4">
        <v>22320.79</v>
      </c>
      <c r="K587" s="3">
        <v>109</v>
      </c>
      <c r="L587" s="2" t="s">
        <v>2523</v>
      </c>
      <c r="M587" s="2" t="s">
        <v>2546</v>
      </c>
      <c r="N587" t="str">
        <f>TRIM(PROPER(Tabla_auditoría[[#This Row],[ID_Campaña]]))</f>
        <v>Cmp-027</v>
      </c>
      <c r="O587" t="str">
        <f>TRIM(PROPER(Tabla_auditoría[[#This Row],[Canal]]))</f>
        <v>Paid Search</v>
      </c>
      <c r="P587" t="str">
        <f>TRIM(PROPER(Tabla_auditoría[[#This Row],[País]]))</f>
        <v>España</v>
      </c>
      <c r="Q587" t="str">
        <f>TRIM(PROPER(Tabla_auditoría[[#This Row],[Dispositivo]]))</f>
        <v>Mobile</v>
      </c>
      <c r="R587" t="str">
        <f>TRIM(PROPER(Tabla_auditoría[[#This Row],[Tipo_Campaña]]))</f>
        <v>Retención</v>
      </c>
      <c r="S587" t="str">
        <f>TRIM(PROPER(Tabla_auditoría[[#This Row],[Responsable]]))</f>
        <v>Ana García</v>
      </c>
    </row>
    <row r="588" spans="1:19" x14ac:dyDescent="0.3">
      <c r="A588" s="1">
        <v>45958</v>
      </c>
      <c r="B588" s="2" t="s">
        <v>2560</v>
      </c>
      <c r="C588" s="2" t="s">
        <v>2515</v>
      </c>
      <c r="D588" s="2" t="s">
        <v>2528</v>
      </c>
      <c r="E588" s="2" t="s">
        <v>2561</v>
      </c>
      <c r="F588" s="3">
        <v>46715</v>
      </c>
      <c r="G588" s="3">
        <v>802</v>
      </c>
      <c r="H588" s="3">
        <v>25</v>
      </c>
      <c r="I588" s="4">
        <v>716.66</v>
      </c>
      <c r="J588" s="4">
        <v>381.22</v>
      </c>
      <c r="K588" s="3">
        <v>18</v>
      </c>
      <c r="L588" s="2" t="s">
        <v>2536</v>
      </c>
      <c r="M588" s="2" t="s">
        <v>2524</v>
      </c>
      <c r="N588" t="str">
        <f>TRIM(PROPER(Tabla_auditoría[[#This Row],[ID_Campaña]]))</f>
        <v>Cmp-027</v>
      </c>
      <c r="O588" t="str">
        <f>TRIM(PROPER(Tabla_auditoría[[#This Row],[Canal]]))</f>
        <v>Email</v>
      </c>
      <c r="P588" t="str">
        <f>TRIM(PROPER(Tabla_auditoría[[#This Row],[País]]))</f>
        <v>España</v>
      </c>
      <c r="Q588" t="str">
        <f>TRIM(PROPER(Tabla_auditoría[[#This Row],[Dispositivo]]))</f>
        <v>Mobile</v>
      </c>
      <c r="R588" t="str">
        <f>TRIM(PROPER(Tabla_auditoría[[#This Row],[Tipo_Campaña]]))</f>
        <v>Reconocimiento</v>
      </c>
      <c r="S588" t="str">
        <f>TRIM(PROPER(Tabla_auditoría[[#This Row],[Responsable]]))</f>
        <v>Luis Martín</v>
      </c>
    </row>
    <row r="589" spans="1:19" x14ac:dyDescent="0.3">
      <c r="A589" s="1">
        <v>45754</v>
      </c>
      <c r="B589" s="2" t="s">
        <v>2551</v>
      </c>
      <c r="C589" s="2" t="s">
        <v>2541</v>
      </c>
      <c r="D589" s="2" t="s">
        <v>2528</v>
      </c>
      <c r="E589" s="2" t="s">
        <v>2529</v>
      </c>
      <c r="F589" s="3">
        <v>133242</v>
      </c>
      <c r="G589" s="3">
        <v>7880</v>
      </c>
      <c r="H589" s="3">
        <v>805</v>
      </c>
      <c r="I589" s="4">
        <v>13300.4</v>
      </c>
      <c r="J589" s="4">
        <v>154240.23000000001</v>
      </c>
      <c r="K589" s="3">
        <v>470</v>
      </c>
      <c r="L589" s="2" t="s">
        <v>2539</v>
      </c>
      <c r="M589" s="2" t="s">
        <v>2519</v>
      </c>
      <c r="N589" t="str">
        <f>TRIM(PROPER(Tabla_auditoría[[#This Row],[ID_Campaña]]))</f>
        <v>Cmp-028</v>
      </c>
      <c r="O589" t="str">
        <f>TRIM(PROPER(Tabla_auditoría[[#This Row],[Canal]]))</f>
        <v>Display</v>
      </c>
      <c r="P589" t="str">
        <f>TRIM(PROPER(Tabla_auditoría[[#This Row],[País]]))</f>
        <v>España</v>
      </c>
      <c r="Q589" t="str">
        <f>TRIM(PROPER(Tabla_auditoría[[#This Row],[Dispositivo]]))</f>
        <v>Mobile</v>
      </c>
      <c r="R589" t="str">
        <f>TRIM(PROPER(Tabla_auditoría[[#This Row],[Tipo_Campaña]]))</f>
        <v>Conversión</v>
      </c>
      <c r="S589" t="str">
        <f>TRIM(PROPER(Tabla_auditoría[[#This Row],[Responsable]]))</f>
        <v>Carlos Ruiz</v>
      </c>
    </row>
    <row r="590" spans="1:19" x14ac:dyDescent="0.3">
      <c r="A590" s="1">
        <v>45914</v>
      </c>
      <c r="B590" s="2" t="s">
        <v>2545</v>
      </c>
      <c r="C590" s="2" t="s">
        <v>2541</v>
      </c>
      <c r="D590" s="2" t="s">
        <v>2528</v>
      </c>
      <c r="E590" s="2" t="s">
        <v>2529</v>
      </c>
      <c r="F590" s="3">
        <v>27662</v>
      </c>
      <c r="G590" s="3">
        <v>605</v>
      </c>
      <c r="H590" s="3">
        <v>5</v>
      </c>
      <c r="I590" s="4">
        <v>925.64</v>
      </c>
      <c r="J590" s="4">
        <v>940.04</v>
      </c>
      <c r="K590" s="3">
        <v>4</v>
      </c>
      <c r="L590" s="2" t="s">
        <v>2536</v>
      </c>
      <c r="M590" s="2" t="s">
        <v>2526</v>
      </c>
      <c r="N590" t="str">
        <f>TRIM(PROPER(Tabla_auditoría[[#This Row],[ID_Campaña]]))</f>
        <v>Cmp-011</v>
      </c>
      <c r="O590" t="str">
        <f>TRIM(PROPER(Tabla_auditoría[[#This Row],[Canal]]))</f>
        <v>Display</v>
      </c>
      <c r="P590" t="str">
        <f>TRIM(PROPER(Tabla_auditoría[[#This Row],[País]]))</f>
        <v>España</v>
      </c>
      <c r="Q590" t="str">
        <f>TRIM(PROPER(Tabla_auditoría[[#This Row],[Dispositivo]]))</f>
        <v>Mobile</v>
      </c>
      <c r="R590" t="str">
        <f>TRIM(PROPER(Tabla_auditoría[[#This Row],[Tipo_Campaña]]))</f>
        <v>Reconocimiento</v>
      </c>
      <c r="S590" t="str">
        <f>TRIM(PROPER(Tabla_auditoría[[#This Row],[Responsable]]))</f>
        <v>Laura Pérez</v>
      </c>
    </row>
    <row r="591" spans="1:19" x14ac:dyDescent="0.3">
      <c r="A591" s="1">
        <v>45836</v>
      </c>
      <c r="B591" s="2" t="s">
        <v>2550</v>
      </c>
      <c r="C591" s="2" t="s">
        <v>2541</v>
      </c>
      <c r="D591" s="2" t="s">
        <v>2522</v>
      </c>
      <c r="E591" s="2" t="s">
        <v>2529</v>
      </c>
      <c r="F591" s="3">
        <v>47996</v>
      </c>
      <c r="G591" s="3">
        <v>1707</v>
      </c>
      <c r="H591" s="3">
        <v>63</v>
      </c>
      <c r="I591" s="4">
        <v>3263.03</v>
      </c>
      <c r="J591" s="4">
        <v>13852.21</v>
      </c>
      <c r="K591" s="3">
        <v>39</v>
      </c>
      <c r="L591" s="2" t="s">
        <v>2523</v>
      </c>
      <c r="M591" s="2" t="s">
        <v>2537</v>
      </c>
      <c r="N591" t="str">
        <f>TRIM(PROPER(Tabla_auditoría[[#This Row],[ID_Campaña]]))</f>
        <v>Cmp-008</v>
      </c>
      <c r="O591" t="str">
        <f>TRIM(PROPER(Tabla_auditoría[[#This Row],[Canal]]))</f>
        <v>Display</v>
      </c>
      <c r="P591" t="str">
        <f>TRIM(PROPER(Tabla_auditoría[[#This Row],[País]]))</f>
        <v>Italia</v>
      </c>
      <c r="Q591" t="str">
        <f>TRIM(PROPER(Tabla_auditoría[[#This Row],[Dispositivo]]))</f>
        <v>Mobile</v>
      </c>
      <c r="R591" t="str">
        <f>TRIM(PROPER(Tabla_auditoría[[#This Row],[Tipo_Campaña]]))</f>
        <v>Retención</v>
      </c>
      <c r="S591" t="str">
        <f>TRIM(PROPER(Tabla_auditoría[[#This Row],[Responsable]]))</f>
        <v>Marta López</v>
      </c>
    </row>
    <row r="592" spans="1:19" x14ac:dyDescent="0.3">
      <c r="A592" s="1">
        <v>45782</v>
      </c>
      <c r="B592" s="2" t="s">
        <v>2552</v>
      </c>
      <c r="C592" s="2" t="s">
        <v>2543</v>
      </c>
      <c r="D592" s="2" t="s">
        <v>2516</v>
      </c>
      <c r="E592" s="2" t="s">
        <v>2517</v>
      </c>
      <c r="F592" s="3">
        <v>101857</v>
      </c>
      <c r="G592" s="3">
        <v>415</v>
      </c>
      <c r="H592" s="3">
        <v>52</v>
      </c>
      <c r="I592" s="4">
        <v>255.48</v>
      </c>
      <c r="J592" s="4">
        <v>5174.42</v>
      </c>
      <c r="K592" s="3">
        <v>46</v>
      </c>
      <c r="L592" s="2" t="s">
        <v>2523</v>
      </c>
      <c r="M592" s="2" t="s">
        <v>2526</v>
      </c>
      <c r="N592" t="str">
        <f>TRIM(PROPER(Tabla_auditoría[[#This Row],[ID_Campaña]]))</f>
        <v>Cmp-012</v>
      </c>
      <c r="O592" t="str">
        <f>TRIM(PROPER(Tabla_auditoría[[#This Row],[Canal]]))</f>
        <v>Organic Social</v>
      </c>
      <c r="P592" t="str">
        <f>TRIM(PROPER(Tabla_auditoría[[#This Row],[País]]))</f>
        <v>México</v>
      </c>
      <c r="Q592" t="str">
        <f>TRIM(PROPER(Tabla_auditoría[[#This Row],[Dispositivo]]))</f>
        <v>Desktop</v>
      </c>
      <c r="R592" t="str">
        <f>TRIM(PROPER(Tabla_auditoría[[#This Row],[Tipo_Campaña]]))</f>
        <v>Retención</v>
      </c>
      <c r="S592" t="str">
        <f>TRIM(PROPER(Tabla_auditoría[[#This Row],[Responsable]]))</f>
        <v>Laura Pérez</v>
      </c>
    </row>
    <row r="593" spans="1:19" x14ac:dyDescent="0.3">
      <c r="A593" s="1">
        <v>45725</v>
      </c>
      <c r="B593" s="2" t="s">
        <v>2569</v>
      </c>
      <c r="C593" s="2" t="s">
        <v>2543</v>
      </c>
      <c r="D593" s="2" t="s">
        <v>2525</v>
      </c>
      <c r="E593" s="2" t="s">
        <v>2529</v>
      </c>
      <c r="F593" s="3">
        <v>30438</v>
      </c>
      <c r="G593" s="3">
        <v>2569</v>
      </c>
      <c r="H593" s="3">
        <v>130</v>
      </c>
      <c r="I593" s="4">
        <v>4263.6099999999997</v>
      </c>
      <c r="J593" s="4">
        <v>23248.11</v>
      </c>
      <c r="K593" s="3">
        <v>71</v>
      </c>
      <c r="L593" s="2" t="s">
        <v>2518</v>
      </c>
      <c r="M593" s="2" t="s">
        <v>2537</v>
      </c>
      <c r="N593" t="str">
        <f>TRIM(PROPER(Tabla_auditoría[[#This Row],[ID_Campaña]]))</f>
        <v>Cmp-013</v>
      </c>
      <c r="O593" t="str">
        <f>TRIM(PROPER(Tabla_auditoría[[#This Row],[Canal]]))</f>
        <v>Organic Social</v>
      </c>
      <c r="P593" t="str">
        <f>TRIM(PROPER(Tabla_auditoría[[#This Row],[País]]))</f>
        <v>Francia</v>
      </c>
      <c r="Q593" t="str">
        <f>TRIM(PROPER(Tabla_auditoría[[#This Row],[Dispositivo]]))</f>
        <v>Mobile</v>
      </c>
      <c r="R593" t="str">
        <f>TRIM(PROPER(Tabla_auditoría[[#This Row],[Tipo_Campaña]]))</f>
        <v>Adquisición</v>
      </c>
      <c r="S593" t="str">
        <f>TRIM(PROPER(Tabla_auditoría[[#This Row],[Responsable]]))</f>
        <v>Marta López</v>
      </c>
    </row>
    <row r="594" spans="1:19" x14ac:dyDescent="0.3">
      <c r="A594" s="1">
        <v>45974</v>
      </c>
      <c r="B594" s="2" t="s">
        <v>2560</v>
      </c>
      <c r="C594" s="2" t="s">
        <v>2543</v>
      </c>
      <c r="D594" s="2" t="s">
        <v>2516</v>
      </c>
      <c r="E594" s="2" t="s">
        <v>2534</v>
      </c>
      <c r="F594" s="3">
        <v>91079</v>
      </c>
      <c r="G594" s="3">
        <v>6977</v>
      </c>
      <c r="H594" s="3">
        <v>920</v>
      </c>
      <c r="I594" s="4">
        <v>9778.34</v>
      </c>
      <c r="J594" s="4">
        <v>180286.24</v>
      </c>
      <c r="K594" s="3">
        <v>681</v>
      </c>
      <c r="L594" s="2" t="s">
        <v>2539</v>
      </c>
      <c r="M594" s="2" t="s">
        <v>2524</v>
      </c>
      <c r="N594" t="str">
        <f>TRIM(PROPER(Tabla_auditoría[[#This Row],[ID_Campaña]]))</f>
        <v>Cmp-027</v>
      </c>
      <c r="O594" t="str">
        <f>TRIM(PROPER(Tabla_auditoría[[#This Row],[Canal]]))</f>
        <v>Organic Social</v>
      </c>
      <c r="P594" t="str">
        <f>TRIM(PROPER(Tabla_auditoría[[#This Row],[País]]))</f>
        <v>México</v>
      </c>
      <c r="Q594" t="str">
        <f>TRIM(PROPER(Tabla_auditoría[[#This Row],[Dispositivo]]))</f>
        <v>Tablet</v>
      </c>
      <c r="R594" t="str">
        <f>TRIM(PROPER(Tabla_auditoría[[#This Row],[Tipo_Campaña]]))</f>
        <v>Conversión</v>
      </c>
      <c r="S594" t="str">
        <f>TRIM(PROPER(Tabla_auditoría[[#This Row],[Responsable]]))</f>
        <v>Luis Martín</v>
      </c>
    </row>
    <row r="595" spans="1:19" x14ac:dyDescent="0.3">
      <c r="A595" s="1">
        <v>45943</v>
      </c>
      <c r="B595" s="2" t="s">
        <v>2569</v>
      </c>
      <c r="C595" s="2" t="s">
        <v>2527</v>
      </c>
      <c r="D595" s="2" t="s">
        <v>2516</v>
      </c>
      <c r="E595" s="2" t="s">
        <v>2517</v>
      </c>
      <c r="F595" s="3">
        <v>129946</v>
      </c>
      <c r="G595" s="3">
        <v>10277</v>
      </c>
      <c r="H595" s="3">
        <v>394</v>
      </c>
      <c r="I595" s="4">
        <v>10676.43</v>
      </c>
      <c r="J595" s="4">
        <v>7471.04</v>
      </c>
      <c r="K595" s="3">
        <v>177</v>
      </c>
      <c r="L595" s="2" t="s">
        <v>2523</v>
      </c>
      <c r="M595" s="2" t="s">
        <v>2524</v>
      </c>
      <c r="N595" t="str">
        <f>TRIM(PROPER(Tabla_auditoría[[#This Row],[ID_Campaña]]))</f>
        <v>Cmp-013</v>
      </c>
      <c r="O595" t="str">
        <f>TRIM(PROPER(Tabla_auditoría[[#This Row],[Canal]]))</f>
        <v>Affiliate</v>
      </c>
      <c r="P595" t="str">
        <f>TRIM(PROPER(Tabla_auditoría[[#This Row],[País]]))</f>
        <v>México</v>
      </c>
      <c r="Q595" t="str">
        <f>TRIM(PROPER(Tabla_auditoría[[#This Row],[Dispositivo]]))</f>
        <v>Desktop</v>
      </c>
      <c r="R595" t="str">
        <f>TRIM(PROPER(Tabla_auditoría[[#This Row],[Tipo_Campaña]]))</f>
        <v>Retención</v>
      </c>
      <c r="S595" t="str">
        <f>TRIM(PROPER(Tabla_auditoría[[#This Row],[Responsable]]))</f>
        <v>Luis Martín</v>
      </c>
    </row>
    <row r="596" spans="1:19" x14ac:dyDescent="0.3">
      <c r="A596" s="1">
        <v>45681</v>
      </c>
      <c r="B596" s="2" t="s">
        <v>2514</v>
      </c>
      <c r="C596" s="2" t="s">
        <v>2515</v>
      </c>
      <c r="D596" s="2" t="s">
        <v>2516</v>
      </c>
      <c r="E596" s="2" t="s">
        <v>2529</v>
      </c>
      <c r="F596" s="3">
        <v>90680</v>
      </c>
      <c r="G596" s="3">
        <v>7967</v>
      </c>
      <c r="H596" s="3">
        <v>853</v>
      </c>
      <c r="I596" s="4">
        <v>11879.65</v>
      </c>
      <c r="J596" s="4">
        <v>57024.19</v>
      </c>
      <c r="K596" s="3">
        <v>653</v>
      </c>
      <c r="L596" s="2" t="s">
        <v>2518</v>
      </c>
      <c r="M596" s="2" t="s">
        <v>2537</v>
      </c>
      <c r="N596" t="str">
        <f>TRIM(PROPER(Tabla_auditoría[[#This Row],[ID_Campaña]]))</f>
        <v>Cmp-002</v>
      </c>
      <c r="O596" t="str">
        <f>TRIM(PROPER(Tabla_auditoría[[#This Row],[Canal]]))</f>
        <v>Email</v>
      </c>
      <c r="P596" t="str">
        <f>TRIM(PROPER(Tabla_auditoría[[#This Row],[País]]))</f>
        <v>México</v>
      </c>
      <c r="Q596" t="str">
        <f>TRIM(PROPER(Tabla_auditoría[[#This Row],[Dispositivo]]))</f>
        <v>Mobile</v>
      </c>
      <c r="R596" t="str">
        <f>TRIM(PROPER(Tabla_auditoría[[#This Row],[Tipo_Campaña]]))</f>
        <v>Adquisición</v>
      </c>
      <c r="S596" t="str">
        <f>TRIM(PROPER(Tabla_auditoría[[#This Row],[Responsable]]))</f>
        <v>Marta López</v>
      </c>
    </row>
    <row r="597" spans="1:19" x14ac:dyDescent="0.3">
      <c r="A597" s="1">
        <v>45831</v>
      </c>
      <c r="B597" s="2" t="s">
        <v>2568</v>
      </c>
      <c r="C597" s="2" t="s">
        <v>2541</v>
      </c>
      <c r="D597" s="2" t="s">
        <v>2528</v>
      </c>
      <c r="E597" s="2" t="s">
        <v>2529</v>
      </c>
      <c r="F597" s="3">
        <v>60465</v>
      </c>
      <c r="G597" s="3">
        <v>3682</v>
      </c>
      <c r="H597" s="3">
        <v>229</v>
      </c>
      <c r="I597" s="4">
        <v>876.17</v>
      </c>
      <c r="J597" s="4">
        <v>15289.48</v>
      </c>
      <c r="K597" s="3">
        <v>182</v>
      </c>
      <c r="L597" s="2" t="s">
        <v>2536</v>
      </c>
      <c r="M597" s="2" t="s">
        <v>2524</v>
      </c>
      <c r="N597" t="str">
        <f>TRIM(PROPER(Tabla_auditoría[[#This Row],[ID_Campaña]]))</f>
        <v>Cmp-020</v>
      </c>
      <c r="O597" t="str">
        <f>TRIM(PROPER(Tabla_auditoría[[#This Row],[Canal]]))</f>
        <v>Display</v>
      </c>
      <c r="P597" t="str">
        <f>TRIM(PROPER(Tabla_auditoría[[#This Row],[País]]))</f>
        <v>España</v>
      </c>
      <c r="Q597" t="str">
        <f>TRIM(PROPER(Tabla_auditoría[[#This Row],[Dispositivo]]))</f>
        <v>Mobile</v>
      </c>
      <c r="R597" t="str">
        <f>TRIM(PROPER(Tabla_auditoría[[#This Row],[Tipo_Campaña]]))</f>
        <v>Reconocimiento</v>
      </c>
      <c r="S597" t="str">
        <f>TRIM(PROPER(Tabla_auditoría[[#This Row],[Responsable]]))</f>
        <v>Luis Martín</v>
      </c>
    </row>
    <row r="598" spans="1:19" x14ac:dyDescent="0.3">
      <c r="A598" s="1">
        <v>45767</v>
      </c>
      <c r="B598" s="2" t="s">
        <v>2554</v>
      </c>
      <c r="C598" s="2" t="s">
        <v>2533</v>
      </c>
      <c r="D598" s="2" t="s">
        <v>2528</v>
      </c>
      <c r="E598" s="2" t="s">
        <v>2529</v>
      </c>
      <c r="F598" s="3">
        <v>161407</v>
      </c>
      <c r="G598" s="3">
        <v>1743</v>
      </c>
      <c r="H598" s="3">
        <v>189</v>
      </c>
      <c r="I598" s="4">
        <v>646.80999999999995</v>
      </c>
      <c r="J598" s="4">
        <v>24511.74</v>
      </c>
      <c r="K598" s="3">
        <v>161</v>
      </c>
      <c r="L598" s="2" t="s">
        <v>2536</v>
      </c>
      <c r="M598" s="2" t="s">
        <v>2524</v>
      </c>
      <c r="N598" t="str">
        <f>TRIM(PROPER(Tabla_auditoría[[#This Row],[ID_Campaña]]))</f>
        <v>Cmp-019</v>
      </c>
      <c r="O598" t="str">
        <f>TRIM(PROPER(Tabla_auditoría[[#This Row],[Canal]]))</f>
        <v>Paid Social</v>
      </c>
      <c r="P598" t="str">
        <f>TRIM(PROPER(Tabla_auditoría[[#This Row],[País]]))</f>
        <v>España</v>
      </c>
      <c r="Q598" t="str">
        <f>TRIM(PROPER(Tabla_auditoría[[#This Row],[Dispositivo]]))</f>
        <v>Mobile</v>
      </c>
      <c r="R598" t="str">
        <f>TRIM(PROPER(Tabla_auditoría[[#This Row],[Tipo_Campaña]]))</f>
        <v>Reconocimiento</v>
      </c>
      <c r="S598" t="str">
        <f>TRIM(PROPER(Tabla_auditoría[[#This Row],[Responsable]]))</f>
        <v>Luis Martín</v>
      </c>
    </row>
    <row r="599" spans="1:19" x14ac:dyDescent="0.3">
      <c r="A599" s="1">
        <v>45865</v>
      </c>
      <c r="B599" s="2" t="s">
        <v>2520</v>
      </c>
      <c r="C599" s="2" t="s">
        <v>2541</v>
      </c>
      <c r="D599" s="2" t="s">
        <v>2531</v>
      </c>
      <c r="E599" s="2" t="s">
        <v>2517</v>
      </c>
      <c r="F599" s="3">
        <v>14418</v>
      </c>
      <c r="G599" s="3">
        <v>371</v>
      </c>
      <c r="H599" s="3">
        <v>39</v>
      </c>
      <c r="I599" s="4">
        <v>117.48</v>
      </c>
      <c r="J599" s="4">
        <v>7714.61</v>
      </c>
      <c r="K599" s="3">
        <v>34</v>
      </c>
      <c r="L599" s="2" t="s">
        <v>2539</v>
      </c>
      <c r="M599" s="2" t="s">
        <v>2519</v>
      </c>
      <c r="N599" t="str">
        <f>TRIM(PROPER(Tabla_auditoría[[#This Row],[ID_Campaña]]))</f>
        <v>Cmp-009</v>
      </c>
      <c r="O599" t="str">
        <f>TRIM(PROPER(Tabla_auditoría[[#This Row],[Canal]]))</f>
        <v>Display</v>
      </c>
      <c r="P599" t="str">
        <f>TRIM(PROPER(Tabla_auditoría[[#This Row],[País]]))</f>
        <v>Portugal</v>
      </c>
      <c r="Q599" t="str">
        <f>TRIM(PROPER(Tabla_auditoría[[#This Row],[Dispositivo]]))</f>
        <v>Desktop</v>
      </c>
      <c r="R599" t="str">
        <f>TRIM(PROPER(Tabla_auditoría[[#This Row],[Tipo_Campaña]]))</f>
        <v>Conversión</v>
      </c>
      <c r="S599" t="str">
        <f>TRIM(PROPER(Tabla_auditoría[[#This Row],[Responsable]]))</f>
        <v>Carlos Ruiz</v>
      </c>
    </row>
    <row r="600" spans="1:19" x14ac:dyDescent="0.3">
      <c r="A600" s="1">
        <v>45788</v>
      </c>
      <c r="B600" s="2" t="s">
        <v>2585</v>
      </c>
      <c r="C600" s="2" t="s">
        <v>2533</v>
      </c>
      <c r="D600" s="2" t="s">
        <v>2516</v>
      </c>
      <c r="E600" s="2" t="s">
        <v>2529</v>
      </c>
      <c r="F600" s="3">
        <v>77533</v>
      </c>
      <c r="G600" s="3">
        <v>2047</v>
      </c>
      <c r="H600" s="3">
        <v>118</v>
      </c>
      <c r="I600" s="4">
        <v>291.76</v>
      </c>
      <c r="J600" s="4">
        <v>24594.58</v>
      </c>
      <c r="K600" s="3">
        <v>97</v>
      </c>
      <c r="L600" s="2" t="s">
        <v>2518</v>
      </c>
      <c r="M600" s="2" t="s">
        <v>2526</v>
      </c>
      <c r="N600" t="str">
        <f>TRIM(PROPER(Tabla_auditoría[[#This Row],[ID_Campaña]]))</f>
        <v>Cmp-015</v>
      </c>
      <c r="O600" t="str">
        <f>TRIM(PROPER(Tabla_auditoría[[#This Row],[Canal]]))</f>
        <v>Paid Social</v>
      </c>
      <c r="P600" t="str">
        <f>TRIM(PROPER(Tabla_auditoría[[#This Row],[País]]))</f>
        <v>México</v>
      </c>
      <c r="Q600" t="str">
        <f>TRIM(PROPER(Tabla_auditoría[[#This Row],[Dispositivo]]))</f>
        <v>Mobile</v>
      </c>
      <c r="R600" t="str">
        <f>TRIM(PROPER(Tabla_auditoría[[#This Row],[Tipo_Campaña]]))</f>
        <v>Adquisición</v>
      </c>
      <c r="S600" t="str">
        <f>TRIM(PROPER(Tabla_auditoría[[#This Row],[Responsable]]))</f>
        <v>Laura Pérez</v>
      </c>
    </row>
    <row r="601" spans="1:19" x14ac:dyDescent="0.3">
      <c r="A601" s="1">
        <v>45924</v>
      </c>
      <c r="B601" s="2" t="s">
        <v>2544</v>
      </c>
      <c r="C601" s="2" t="s">
        <v>2553</v>
      </c>
      <c r="D601" s="2" t="s">
        <v>2522</v>
      </c>
      <c r="E601" s="2" t="s">
        <v>2517</v>
      </c>
      <c r="F601" s="3">
        <v>159262</v>
      </c>
      <c r="G601" s="3">
        <v>3347</v>
      </c>
      <c r="H601" s="3">
        <v>291</v>
      </c>
      <c r="I601" s="4">
        <v>3179.13</v>
      </c>
      <c r="J601" s="4">
        <v>34527.14</v>
      </c>
      <c r="K601" s="3">
        <v>209</v>
      </c>
      <c r="L601" s="2" t="s">
        <v>2536</v>
      </c>
      <c r="M601" s="2" t="s">
        <v>2537</v>
      </c>
      <c r="N601" t="str">
        <f>TRIM(PROPER(Tabla_auditoría[[#This Row],[ID_Campaña]]))</f>
        <v>Cmp-006</v>
      </c>
      <c r="O601" t="str">
        <f>TRIM(PROPER(Tabla_auditoría[[#This Row],[Canal]]))</f>
        <v>Email</v>
      </c>
      <c r="P601" t="str">
        <f>TRIM(PROPER(Tabla_auditoría[[#This Row],[País]]))</f>
        <v>Italia</v>
      </c>
      <c r="Q601" t="str">
        <f>TRIM(PROPER(Tabla_auditoría[[#This Row],[Dispositivo]]))</f>
        <v>Desktop</v>
      </c>
      <c r="R601" t="str">
        <f>TRIM(PROPER(Tabla_auditoría[[#This Row],[Tipo_Campaña]]))</f>
        <v>Reconocimiento</v>
      </c>
      <c r="S601" t="str">
        <f>TRIM(PROPER(Tabla_auditoría[[#This Row],[Responsable]]))</f>
        <v>Marta López</v>
      </c>
    </row>
    <row r="602" spans="1:19" x14ac:dyDescent="0.3">
      <c r="A602" s="1">
        <v>45791</v>
      </c>
      <c r="B602" s="2" t="s">
        <v>2567</v>
      </c>
      <c r="C602" s="2" t="s">
        <v>2533</v>
      </c>
      <c r="D602" s="2" t="s">
        <v>2528</v>
      </c>
      <c r="E602" s="2" t="s">
        <v>2529</v>
      </c>
      <c r="F602" s="3">
        <v>101491</v>
      </c>
      <c r="G602" s="3">
        <v>7199</v>
      </c>
      <c r="H602" s="3">
        <v>747</v>
      </c>
      <c r="I602" s="4">
        <v>2510.16</v>
      </c>
      <c r="J602" s="4">
        <v>73824.75</v>
      </c>
      <c r="K602" s="3">
        <v>474</v>
      </c>
      <c r="L602" s="2" t="s">
        <v>2523</v>
      </c>
      <c r="M602" s="2" t="s">
        <v>2546</v>
      </c>
      <c r="N602" t="str">
        <f>TRIM(PROPER(Tabla_auditoría[[#This Row],[ID_Campaña]]))</f>
        <v>Cmp-021</v>
      </c>
      <c r="O602" t="str">
        <f>TRIM(PROPER(Tabla_auditoría[[#This Row],[Canal]]))</f>
        <v>Paid Social</v>
      </c>
      <c r="P602" t="str">
        <f>TRIM(PROPER(Tabla_auditoría[[#This Row],[País]]))</f>
        <v>España</v>
      </c>
      <c r="Q602" t="str">
        <f>TRIM(PROPER(Tabla_auditoría[[#This Row],[Dispositivo]]))</f>
        <v>Mobile</v>
      </c>
      <c r="R602" t="str">
        <f>TRIM(PROPER(Tabla_auditoría[[#This Row],[Tipo_Campaña]]))</f>
        <v>Retención</v>
      </c>
      <c r="S602" t="str">
        <f>TRIM(PROPER(Tabla_auditoría[[#This Row],[Responsable]]))</f>
        <v>Ana García</v>
      </c>
    </row>
    <row r="603" spans="1:19" x14ac:dyDescent="0.3">
      <c r="A603" s="1">
        <v>45928</v>
      </c>
      <c r="B603" s="2" t="s">
        <v>2547</v>
      </c>
      <c r="C603" s="2" t="s">
        <v>2533</v>
      </c>
      <c r="D603" s="2" t="s">
        <v>2525</v>
      </c>
      <c r="E603" s="2" t="s">
        <v>2517</v>
      </c>
      <c r="F603" s="3">
        <v>177457</v>
      </c>
      <c r="G603" s="3">
        <v>1872</v>
      </c>
      <c r="H603" s="3">
        <v>140</v>
      </c>
      <c r="I603" s="4">
        <v>3126.01</v>
      </c>
      <c r="J603" s="4">
        <v>8528.6299999999992</v>
      </c>
      <c r="K603" s="3">
        <v>79</v>
      </c>
      <c r="L603" s="2" t="s">
        <v>2523</v>
      </c>
      <c r="N603" t="str">
        <f>TRIM(PROPER(Tabla_auditoría[[#This Row],[ID_Campaña]]))</f>
        <v>Cmp-018</v>
      </c>
      <c r="O603" t="str">
        <f>TRIM(PROPER(Tabla_auditoría[[#This Row],[Canal]]))</f>
        <v>Paid Social</v>
      </c>
      <c r="P603" t="str">
        <f>TRIM(PROPER(Tabla_auditoría[[#This Row],[País]]))</f>
        <v>Francia</v>
      </c>
      <c r="Q603" t="str">
        <f>TRIM(PROPER(Tabla_auditoría[[#This Row],[Dispositivo]]))</f>
        <v>Desktop</v>
      </c>
      <c r="R603" t="str">
        <f>TRIM(PROPER(Tabla_auditoría[[#This Row],[Tipo_Campaña]]))</f>
        <v>Retención</v>
      </c>
      <c r="S603" t="str">
        <f>TRIM(PROPER(Tabla_auditoría[[#This Row],[Responsable]]))</f>
        <v/>
      </c>
    </row>
    <row r="604" spans="1:19" x14ac:dyDescent="0.3">
      <c r="A604" s="1">
        <v>45771</v>
      </c>
      <c r="B604" s="2" t="s">
        <v>2569</v>
      </c>
      <c r="C604" s="2" t="s">
        <v>2541</v>
      </c>
      <c r="D604" s="2" t="s">
        <v>2528</v>
      </c>
      <c r="E604" s="2" t="s">
        <v>2529</v>
      </c>
      <c r="F604" s="3">
        <v>23455</v>
      </c>
      <c r="G604" s="3">
        <v>2008</v>
      </c>
      <c r="H604" s="3">
        <v>277</v>
      </c>
      <c r="I604" s="4">
        <v>492.11</v>
      </c>
      <c r="J604" s="4">
        <v>47655.86</v>
      </c>
      <c r="K604" s="3">
        <v>128</v>
      </c>
      <c r="L604" s="2" t="s">
        <v>2539</v>
      </c>
      <c r="M604" s="2" t="s">
        <v>2546</v>
      </c>
      <c r="N604" t="str">
        <f>TRIM(PROPER(Tabla_auditoría[[#This Row],[ID_Campaña]]))</f>
        <v>Cmp-013</v>
      </c>
      <c r="O604" t="str">
        <f>TRIM(PROPER(Tabla_auditoría[[#This Row],[Canal]]))</f>
        <v>Display</v>
      </c>
      <c r="P604" t="str">
        <f>TRIM(PROPER(Tabla_auditoría[[#This Row],[País]]))</f>
        <v>España</v>
      </c>
      <c r="Q604" t="str">
        <f>TRIM(PROPER(Tabla_auditoría[[#This Row],[Dispositivo]]))</f>
        <v>Mobile</v>
      </c>
      <c r="R604" t="str">
        <f>TRIM(PROPER(Tabla_auditoría[[#This Row],[Tipo_Campaña]]))</f>
        <v>Conversión</v>
      </c>
      <c r="S604" t="str">
        <f>TRIM(PROPER(Tabla_auditoría[[#This Row],[Responsable]]))</f>
        <v>Ana García</v>
      </c>
    </row>
    <row r="605" spans="1:19" x14ac:dyDescent="0.3">
      <c r="A605" s="1">
        <v>45777</v>
      </c>
      <c r="B605" s="2" t="s">
        <v>2542</v>
      </c>
      <c r="C605" s="2" t="s">
        <v>2541</v>
      </c>
      <c r="D605" s="2" t="s">
        <v>2525</v>
      </c>
      <c r="E605" s="2" t="s">
        <v>2529</v>
      </c>
      <c r="F605" s="3">
        <v>166998</v>
      </c>
      <c r="G605" s="3">
        <v>1308</v>
      </c>
      <c r="H605" s="3">
        <v>133</v>
      </c>
      <c r="I605" s="4">
        <v>1619.03</v>
      </c>
      <c r="J605" s="4">
        <v>23299.06</v>
      </c>
      <c r="K605" s="3">
        <v>109</v>
      </c>
      <c r="L605" s="2" t="s">
        <v>2536</v>
      </c>
      <c r="M605" s="2" t="s">
        <v>2519</v>
      </c>
      <c r="N605" t="str">
        <f>TRIM(PROPER(Tabla_auditoría[[#This Row],[ID_Campaña]]))</f>
        <v>Cmp-025</v>
      </c>
      <c r="O605" t="str">
        <f>TRIM(PROPER(Tabla_auditoría[[#This Row],[Canal]]))</f>
        <v>Display</v>
      </c>
      <c r="P605" t="str">
        <f>TRIM(PROPER(Tabla_auditoría[[#This Row],[País]]))</f>
        <v>Francia</v>
      </c>
      <c r="Q605" t="str">
        <f>TRIM(PROPER(Tabla_auditoría[[#This Row],[Dispositivo]]))</f>
        <v>Mobile</v>
      </c>
      <c r="R605" t="str">
        <f>TRIM(PROPER(Tabla_auditoría[[#This Row],[Tipo_Campaña]]))</f>
        <v>Reconocimiento</v>
      </c>
      <c r="S605" t="str">
        <f>TRIM(PROPER(Tabla_auditoría[[#This Row],[Responsable]]))</f>
        <v>Carlos Ruiz</v>
      </c>
    </row>
    <row r="606" spans="1:19" x14ac:dyDescent="0.3">
      <c r="A606" s="1">
        <v>45872</v>
      </c>
      <c r="B606" s="2" t="s">
        <v>2574</v>
      </c>
      <c r="C606" s="2" t="s">
        <v>2562</v>
      </c>
      <c r="D606" s="2" t="s">
        <v>2528</v>
      </c>
      <c r="E606" s="2" t="s">
        <v>2529</v>
      </c>
      <c r="F606" s="3">
        <v>55672</v>
      </c>
      <c r="G606" s="3">
        <v>2991</v>
      </c>
      <c r="H606" s="3">
        <v>120</v>
      </c>
      <c r="I606" s="4">
        <v>1624.55</v>
      </c>
      <c r="J606" s="4">
        <v>7429.8</v>
      </c>
      <c r="K606" s="3">
        <v>78</v>
      </c>
      <c r="L606" s="2" t="s">
        <v>2518</v>
      </c>
      <c r="M606" s="2" t="s">
        <v>2524</v>
      </c>
      <c r="N606" t="str">
        <f>TRIM(PROPER(Tabla_auditoría[[#This Row],[ID_Campaña]]))</f>
        <v>Cmp-003</v>
      </c>
      <c r="O606" t="str">
        <f>TRIM(PROPER(Tabla_auditoría[[#This Row],[Canal]]))</f>
        <v>Organic Social</v>
      </c>
      <c r="P606" t="str">
        <f>TRIM(PROPER(Tabla_auditoría[[#This Row],[País]]))</f>
        <v>España</v>
      </c>
      <c r="Q606" t="str">
        <f>TRIM(PROPER(Tabla_auditoría[[#This Row],[Dispositivo]]))</f>
        <v>Mobile</v>
      </c>
      <c r="R606" t="str">
        <f>TRIM(PROPER(Tabla_auditoría[[#This Row],[Tipo_Campaña]]))</f>
        <v>Adquisición</v>
      </c>
      <c r="S606" t="str">
        <f>TRIM(PROPER(Tabla_auditoría[[#This Row],[Responsable]]))</f>
        <v>Luis Martín</v>
      </c>
    </row>
    <row r="607" spans="1:19" x14ac:dyDescent="0.3">
      <c r="A607" s="1">
        <v>45951</v>
      </c>
      <c r="B607" s="2" t="s">
        <v>2560</v>
      </c>
      <c r="C607" s="2" t="s">
        <v>2543</v>
      </c>
      <c r="D607" s="2" t="s">
        <v>2525</v>
      </c>
      <c r="E607" s="2" t="s">
        <v>2517</v>
      </c>
      <c r="F607" s="3">
        <v>150544</v>
      </c>
      <c r="G607" s="3">
        <v>10877</v>
      </c>
      <c r="H607" s="3">
        <v>998</v>
      </c>
      <c r="I607" s="4">
        <v>13090.45</v>
      </c>
      <c r="J607" s="4">
        <v>45004.52</v>
      </c>
      <c r="K607" s="3">
        <v>602</v>
      </c>
      <c r="L607" s="2" t="s">
        <v>2536</v>
      </c>
      <c r="M607" s="2" t="s">
        <v>2524</v>
      </c>
      <c r="N607" t="str">
        <f>TRIM(PROPER(Tabla_auditoría[[#This Row],[ID_Campaña]]))</f>
        <v>Cmp-027</v>
      </c>
      <c r="O607" t="str">
        <f>TRIM(PROPER(Tabla_auditoría[[#This Row],[Canal]]))</f>
        <v>Organic Social</v>
      </c>
      <c r="P607" t="str">
        <f>TRIM(PROPER(Tabla_auditoría[[#This Row],[País]]))</f>
        <v>Francia</v>
      </c>
      <c r="Q607" t="str">
        <f>TRIM(PROPER(Tabla_auditoría[[#This Row],[Dispositivo]]))</f>
        <v>Desktop</v>
      </c>
      <c r="R607" t="str">
        <f>TRIM(PROPER(Tabla_auditoría[[#This Row],[Tipo_Campaña]]))</f>
        <v>Reconocimiento</v>
      </c>
      <c r="S607" t="str">
        <f>TRIM(PROPER(Tabla_auditoría[[#This Row],[Responsable]]))</f>
        <v>Luis Martín</v>
      </c>
    </row>
    <row r="608" spans="1:19" x14ac:dyDescent="0.3">
      <c r="A608" s="1">
        <v>45942</v>
      </c>
      <c r="B608" s="2" t="s">
        <v>2535</v>
      </c>
      <c r="C608" s="2" t="s">
        <v>2515</v>
      </c>
      <c r="D608" s="2" t="s">
        <v>2525</v>
      </c>
      <c r="E608" s="2" t="s">
        <v>2529</v>
      </c>
      <c r="F608" s="3">
        <v>151414</v>
      </c>
      <c r="G608" s="3">
        <v>2459</v>
      </c>
      <c r="H608" s="3">
        <v>312</v>
      </c>
      <c r="I608" s="4">
        <v>1466.72</v>
      </c>
      <c r="J608" s="4">
        <v>39785</v>
      </c>
      <c r="K608" s="3">
        <v>184</v>
      </c>
      <c r="L608" s="2" t="s">
        <v>2536</v>
      </c>
      <c r="M608" s="2" t="s">
        <v>2524</v>
      </c>
      <c r="N608" t="str">
        <f>TRIM(PROPER(Tabla_auditoría[[#This Row],[ID_Campaña]]))</f>
        <v>Cmp-015</v>
      </c>
      <c r="O608" t="str">
        <f>TRIM(PROPER(Tabla_auditoría[[#This Row],[Canal]]))</f>
        <v>Email</v>
      </c>
      <c r="P608" t="str">
        <f>TRIM(PROPER(Tabla_auditoría[[#This Row],[País]]))</f>
        <v>Francia</v>
      </c>
      <c r="Q608" t="str">
        <f>TRIM(PROPER(Tabla_auditoría[[#This Row],[Dispositivo]]))</f>
        <v>Mobile</v>
      </c>
      <c r="R608" t="str">
        <f>TRIM(PROPER(Tabla_auditoría[[#This Row],[Tipo_Campaña]]))</f>
        <v>Reconocimiento</v>
      </c>
      <c r="S608" t="str">
        <f>TRIM(PROPER(Tabla_auditoría[[#This Row],[Responsable]]))</f>
        <v>Luis Martín</v>
      </c>
    </row>
    <row r="609" spans="1:19" x14ac:dyDescent="0.3">
      <c r="A609" s="1">
        <v>45697</v>
      </c>
      <c r="B609" s="2" t="s">
        <v>2557</v>
      </c>
      <c r="C609" s="2" t="s">
        <v>2533</v>
      </c>
      <c r="D609" s="2" t="s">
        <v>2573</v>
      </c>
      <c r="E609" s="2" t="s">
        <v>2529</v>
      </c>
      <c r="F609" s="3">
        <v>82511</v>
      </c>
      <c r="G609" s="3">
        <v>4275</v>
      </c>
      <c r="H609" s="3">
        <v>175</v>
      </c>
      <c r="I609" s="4">
        <v>4708.25</v>
      </c>
      <c r="J609" s="4">
        <v>3660.85</v>
      </c>
      <c r="K609" s="3">
        <v>132</v>
      </c>
      <c r="L609" s="2" t="s">
        <v>2539</v>
      </c>
      <c r="M609" s="2" t="s">
        <v>2546</v>
      </c>
      <c r="N609" t="str">
        <f>TRIM(PROPER(Tabla_auditoría[[#This Row],[ID_Campaña]]))</f>
        <v>Cmp-030</v>
      </c>
      <c r="O609" t="str">
        <f>TRIM(PROPER(Tabla_auditoría[[#This Row],[Canal]]))</f>
        <v>Paid Social</v>
      </c>
      <c r="P609" t="str">
        <f>TRIM(PROPER(Tabla_auditoría[[#This Row],[País]]))</f>
        <v>España</v>
      </c>
      <c r="Q609" t="str">
        <f>TRIM(PROPER(Tabla_auditoría[[#This Row],[Dispositivo]]))</f>
        <v>Mobile</v>
      </c>
      <c r="R609" t="str">
        <f>TRIM(PROPER(Tabla_auditoría[[#This Row],[Tipo_Campaña]]))</f>
        <v>Conversión</v>
      </c>
      <c r="S609" t="str">
        <f>TRIM(PROPER(Tabla_auditoría[[#This Row],[Responsable]]))</f>
        <v>Ana García</v>
      </c>
    </row>
    <row r="610" spans="1:19" x14ac:dyDescent="0.3">
      <c r="A610" s="1">
        <v>45709</v>
      </c>
      <c r="B610" s="2" t="s">
        <v>2542</v>
      </c>
      <c r="C610" s="2" t="s">
        <v>2515</v>
      </c>
      <c r="D610" s="2" t="s">
        <v>2522</v>
      </c>
      <c r="E610" s="2" t="s">
        <v>2529</v>
      </c>
      <c r="F610" s="3">
        <v>144122</v>
      </c>
      <c r="G610" s="3">
        <v>4222</v>
      </c>
      <c r="H610" s="3">
        <v>167</v>
      </c>
      <c r="I610" s="4">
        <v>3146.15</v>
      </c>
      <c r="J610" s="4">
        <v>3272.92</v>
      </c>
      <c r="K610" s="3">
        <v>79</v>
      </c>
      <c r="L610" s="2" t="s">
        <v>2523</v>
      </c>
      <c r="M610" s="2" t="s">
        <v>2546</v>
      </c>
      <c r="N610" t="str">
        <f>TRIM(PROPER(Tabla_auditoría[[#This Row],[ID_Campaña]]))</f>
        <v>Cmp-025</v>
      </c>
      <c r="O610" t="str">
        <f>TRIM(PROPER(Tabla_auditoría[[#This Row],[Canal]]))</f>
        <v>Email</v>
      </c>
      <c r="P610" t="str">
        <f>TRIM(PROPER(Tabla_auditoría[[#This Row],[País]]))</f>
        <v>Italia</v>
      </c>
      <c r="Q610" t="str">
        <f>TRIM(PROPER(Tabla_auditoría[[#This Row],[Dispositivo]]))</f>
        <v>Mobile</v>
      </c>
      <c r="R610" t="str">
        <f>TRIM(PROPER(Tabla_auditoría[[#This Row],[Tipo_Campaña]]))</f>
        <v>Retención</v>
      </c>
      <c r="S610" t="str">
        <f>TRIM(PROPER(Tabla_auditoría[[#This Row],[Responsable]]))</f>
        <v>Ana García</v>
      </c>
    </row>
    <row r="611" spans="1:19" x14ac:dyDescent="0.3">
      <c r="A611" s="1">
        <v>45772</v>
      </c>
      <c r="B611" s="2" t="s">
        <v>2535</v>
      </c>
      <c r="C611" s="2" t="s">
        <v>2533</v>
      </c>
      <c r="D611" s="2" t="s">
        <v>2522</v>
      </c>
      <c r="E611" s="2" t="s">
        <v>2517</v>
      </c>
      <c r="F611" s="3">
        <v>51124</v>
      </c>
      <c r="G611" s="3">
        <v>4044</v>
      </c>
      <c r="H611" s="3">
        <v>73</v>
      </c>
      <c r="I611" s="4">
        <v>1393.1</v>
      </c>
      <c r="J611" s="4">
        <v>12949.96</v>
      </c>
      <c r="K611" s="3">
        <v>55</v>
      </c>
      <c r="L611" s="2" t="s">
        <v>2539</v>
      </c>
      <c r="M611" s="2" t="s">
        <v>2526</v>
      </c>
      <c r="N611" t="str">
        <f>TRIM(PROPER(Tabla_auditoría[[#This Row],[ID_Campaña]]))</f>
        <v>Cmp-015</v>
      </c>
      <c r="O611" t="str">
        <f>TRIM(PROPER(Tabla_auditoría[[#This Row],[Canal]]))</f>
        <v>Paid Social</v>
      </c>
      <c r="P611" t="str">
        <f>TRIM(PROPER(Tabla_auditoría[[#This Row],[País]]))</f>
        <v>Italia</v>
      </c>
      <c r="Q611" t="str">
        <f>TRIM(PROPER(Tabla_auditoría[[#This Row],[Dispositivo]]))</f>
        <v>Desktop</v>
      </c>
      <c r="R611" t="str">
        <f>TRIM(PROPER(Tabla_auditoría[[#This Row],[Tipo_Campaña]]))</f>
        <v>Conversión</v>
      </c>
      <c r="S611" t="str">
        <f>TRIM(PROPER(Tabla_auditoría[[#This Row],[Responsable]]))</f>
        <v>Laura Pérez</v>
      </c>
    </row>
    <row r="612" spans="1:19" x14ac:dyDescent="0.3">
      <c r="A612" s="1">
        <v>45947</v>
      </c>
      <c r="B612" s="2" t="s">
        <v>2563</v>
      </c>
      <c r="C612" s="2" t="s">
        <v>2543</v>
      </c>
      <c r="D612" s="2" t="s">
        <v>2528</v>
      </c>
      <c r="E612" s="2" t="s">
        <v>2529</v>
      </c>
      <c r="F612" s="3">
        <v>113540</v>
      </c>
      <c r="G612" s="3">
        <v>6864</v>
      </c>
      <c r="H612" s="3">
        <v>215</v>
      </c>
      <c r="I612" s="4">
        <v>12385.04</v>
      </c>
      <c r="J612" s="4">
        <v>8141.21</v>
      </c>
      <c r="K612" s="3">
        <v>110</v>
      </c>
      <c r="L612" s="2" t="s">
        <v>2518</v>
      </c>
      <c r="M612" s="2" t="s">
        <v>2519</v>
      </c>
      <c r="N612" t="str">
        <f>TRIM(PROPER(Tabla_auditoría[[#This Row],[ID_Campaña]]))</f>
        <v>Cmp-023</v>
      </c>
      <c r="O612" t="str">
        <f>TRIM(PROPER(Tabla_auditoría[[#This Row],[Canal]]))</f>
        <v>Organic Social</v>
      </c>
      <c r="P612" t="str">
        <f>TRIM(PROPER(Tabla_auditoría[[#This Row],[País]]))</f>
        <v>España</v>
      </c>
      <c r="Q612" t="str">
        <f>TRIM(PROPER(Tabla_auditoría[[#This Row],[Dispositivo]]))</f>
        <v>Mobile</v>
      </c>
      <c r="R612" t="str">
        <f>TRIM(PROPER(Tabla_auditoría[[#This Row],[Tipo_Campaña]]))</f>
        <v>Adquisición</v>
      </c>
      <c r="S612" t="str">
        <f>TRIM(PROPER(Tabla_auditoría[[#This Row],[Responsable]]))</f>
        <v>Carlos Ruiz</v>
      </c>
    </row>
    <row r="613" spans="1:19" x14ac:dyDescent="0.3">
      <c r="A613" s="1">
        <v>45794</v>
      </c>
      <c r="B613" s="2" t="s">
        <v>2554</v>
      </c>
      <c r="C613" s="2" t="s">
        <v>2543</v>
      </c>
      <c r="D613" s="2" t="s">
        <v>2522</v>
      </c>
      <c r="E613" s="2" t="s">
        <v>2517</v>
      </c>
      <c r="F613" s="3">
        <v>61818</v>
      </c>
      <c r="G613" s="3">
        <v>2591</v>
      </c>
      <c r="H613" s="3">
        <v>355</v>
      </c>
      <c r="I613" s="4">
        <v>2530.02</v>
      </c>
      <c r="J613" s="4">
        <v>69837.16</v>
      </c>
      <c r="K613" s="3">
        <v>180</v>
      </c>
      <c r="L613" s="2" t="s">
        <v>2539</v>
      </c>
      <c r="M613" s="2" t="s">
        <v>2519</v>
      </c>
      <c r="N613" t="str">
        <f>TRIM(PROPER(Tabla_auditoría[[#This Row],[ID_Campaña]]))</f>
        <v>Cmp-019</v>
      </c>
      <c r="O613" t="str">
        <f>TRIM(PROPER(Tabla_auditoría[[#This Row],[Canal]]))</f>
        <v>Organic Social</v>
      </c>
      <c r="P613" t="str">
        <f>TRIM(PROPER(Tabla_auditoría[[#This Row],[País]]))</f>
        <v>Italia</v>
      </c>
      <c r="Q613" t="str">
        <f>TRIM(PROPER(Tabla_auditoría[[#This Row],[Dispositivo]]))</f>
        <v>Desktop</v>
      </c>
      <c r="R613" t="str">
        <f>TRIM(PROPER(Tabla_auditoría[[#This Row],[Tipo_Campaña]]))</f>
        <v>Conversión</v>
      </c>
      <c r="S613" t="str">
        <f>TRIM(PROPER(Tabla_auditoría[[#This Row],[Responsable]]))</f>
        <v>Carlos Ruiz</v>
      </c>
    </row>
    <row r="614" spans="1:19" x14ac:dyDescent="0.3">
      <c r="A614" s="1">
        <v>45765</v>
      </c>
      <c r="B614" s="2" t="s">
        <v>2538</v>
      </c>
      <c r="C614" s="2" t="s">
        <v>2533</v>
      </c>
      <c r="D614" s="2" t="s">
        <v>2531</v>
      </c>
      <c r="E614" s="2" t="s">
        <v>2517</v>
      </c>
      <c r="F614" s="3">
        <v>55610</v>
      </c>
      <c r="G614" s="3">
        <v>1835</v>
      </c>
      <c r="H614" s="3">
        <v>153</v>
      </c>
      <c r="I614" s="4">
        <v>309.95999999999998</v>
      </c>
      <c r="J614" s="4">
        <v>14800.28</v>
      </c>
      <c r="K614" s="3">
        <v>93</v>
      </c>
      <c r="L614" s="2" t="s">
        <v>2523</v>
      </c>
      <c r="M614" s="2" t="s">
        <v>2519</v>
      </c>
      <c r="N614" t="str">
        <f>TRIM(PROPER(Tabla_auditoría[[#This Row],[ID_Campaña]]))</f>
        <v>Cmp-004</v>
      </c>
      <c r="O614" t="str">
        <f>TRIM(PROPER(Tabla_auditoría[[#This Row],[Canal]]))</f>
        <v>Paid Social</v>
      </c>
      <c r="P614" t="str">
        <f>TRIM(PROPER(Tabla_auditoría[[#This Row],[País]]))</f>
        <v>Portugal</v>
      </c>
      <c r="Q614" t="str">
        <f>TRIM(PROPER(Tabla_auditoría[[#This Row],[Dispositivo]]))</f>
        <v>Desktop</v>
      </c>
      <c r="R614" t="str">
        <f>TRIM(PROPER(Tabla_auditoría[[#This Row],[Tipo_Campaña]]))</f>
        <v>Retención</v>
      </c>
      <c r="S614" t="str">
        <f>TRIM(PROPER(Tabla_auditoría[[#This Row],[Responsable]]))</f>
        <v>Carlos Ruiz</v>
      </c>
    </row>
    <row r="615" spans="1:19" x14ac:dyDescent="0.3">
      <c r="A615" s="1">
        <v>46000</v>
      </c>
      <c r="B615" s="2" t="s">
        <v>2552</v>
      </c>
      <c r="C615" s="2" t="s">
        <v>2541</v>
      </c>
      <c r="D615" s="2" t="s">
        <v>2528</v>
      </c>
      <c r="E615" s="2" t="s">
        <v>2529</v>
      </c>
      <c r="F615" s="3">
        <v>78787</v>
      </c>
      <c r="G615" s="3">
        <v>5643</v>
      </c>
      <c r="H615" s="3">
        <v>396</v>
      </c>
      <c r="I615" s="4">
        <v>9196.9599999999991</v>
      </c>
      <c r="J615" s="4">
        <v>58416.36</v>
      </c>
      <c r="K615" s="3">
        <v>192</v>
      </c>
      <c r="L615" s="2" t="s">
        <v>2536</v>
      </c>
      <c r="M615" s="2" t="s">
        <v>2537</v>
      </c>
      <c r="N615" t="str">
        <f>TRIM(PROPER(Tabla_auditoría[[#This Row],[ID_Campaña]]))</f>
        <v>Cmp-012</v>
      </c>
      <c r="O615" t="str">
        <f>TRIM(PROPER(Tabla_auditoría[[#This Row],[Canal]]))</f>
        <v>Display</v>
      </c>
      <c r="P615" t="str">
        <f>TRIM(PROPER(Tabla_auditoría[[#This Row],[País]]))</f>
        <v>España</v>
      </c>
      <c r="Q615" t="str">
        <f>TRIM(PROPER(Tabla_auditoría[[#This Row],[Dispositivo]]))</f>
        <v>Mobile</v>
      </c>
      <c r="R615" t="str">
        <f>TRIM(PROPER(Tabla_auditoría[[#This Row],[Tipo_Campaña]]))</f>
        <v>Reconocimiento</v>
      </c>
      <c r="S615" t="str">
        <f>TRIM(PROPER(Tabla_auditoría[[#This Row],[Responsable]]))</f>
        <v>Marta López</v>
      </c>
    </row>
    <row r="616" spans="1:19" x14ac:dyDescent="0.3">
      <c r="A616" s="1">
        <v>45806</v>
      </c>
      <c r="B616" s="2" t="s">
        <v>2566</v>
      </c>
      <c r="C616" s="2" t="s">
        <v>2515</v>
      </c>
      <c r="D616" s="2" t="s">
        <v>2528</v>
      </c>
      <c r="E616" s="2" t="s">
        <v>2517</v>
      </c>
      <c r="F616" s="3">
        <v>175408</v>
      </c>
      <c r="G616" s="3">
        <v>7460</v>
      </c>
      <c r="H616" s="3">
        <v>64</v>
      </c>
      <c r="I616" s="4">
        <v>12076.65</v>
      </c>
      <c r="J616" s="4">
        <v>4497</v>
      </c>
      <c r="K616" s="3">
        <v>37</v>
      </c>
      <c r="L616" s="2" t="s">
        <v>2536</v>
      </c>
      <c r="M616" s="2" t="s">
        <v>2526</v>
      </c>
      <c r="N616" t="str">
        <f>TRIM(PROPER(Tabla_auditoría[[#This Row],[ID_Campaña]]))</f>
        <v>Cmp-001</v>
      </c>
      <c r="O616" t="str">
        <f>TRIM(PROPER(Tabla_auditoría[[#This Row],[Canal]]))</f>
        <v>Email</v>
      </c>
      <c r="P616" t="str">
        <f>TRIM(PROPER(Tabla_auditoría[[#This Row],[País]]))</f>
        <v>España</v>
      </c>
      <c r="Q616" t="str">
        <f>TRIM(PROPER(Tabla_auditoría[[#This Row],[Dispositivo]]))</f>
        <v>Desktop</v>
      </c>
      <c r="R616" t="str">
        <f>TRIM(PROPER(Tabla_auditoría[[#This Row],[Tipo_Campaña]]))</f>
        <v>Reconocimiento</v>
      </c>
      <c r="S616" t="str">
        <f>TRIM(PROPER(Tabla_auditoría[[#This Row],[Responsable]]))</f>
        <v>Laura Pérez</v>
      </c>
    </row>
    <row r="617" spans="1:19" x14ac:dyDescent="0.3">
      <c r="A617" s="1">
        <v>45983</v>
      </c>
      <c r="B617" s="2" t="s">
        <v>2586</v>
      </c>
      <c r="C617" s="2" t="s">
        <v>2527</v>
      </c>
      <c r="D617" s="2" t="s">
        <v>2528</v>
      </c>
      <c r="E617" s="2" t="s">
        <v>2529</v>
      </c>
      <c r="F617" s="3">
        <v>6662</v>
      </c>
      <c r="G617" s="3">
        <v>342</v>
      </c>
      <c r="H617" s="3">
        <v>27</v>
      </c>
      <c r="I617" s="4">
        <v>476.43</v>
      </c>
      <c r="J617" s="4">
        <v>868.82</v>
      </c>
      <c r="K617" s="3">
        <v>13</v>
      </c>
      <c r="L617" s="2" t="s">
        <v>2518</v>
      </c>
      <c r="M617" s="2" t="s">
        <v>2519</v>
      </c>
      <c r="N617" t="str">
        <f>TRIM(PROPER(Tabla_auditoría[[#This Row],[ID_Campaña]]))</f>
        <v>Cmp-014</v>
      </c>
      <c r="O617" t="str">
        <f>TRIM(PROPER(Tabla_auditoría[[#This Row],[Canal]]))</f>
        <v>Affiliate</v>
      </c>
      <c r="P617" t="str">
        <f>TRIM(PROPER(Tabla_auditoría[[#This Row],[País]]))</f>
        <v>España</v>
      </c>
      <c r="Q617" t="str">
        <f>TRIM(PROPER(Tabla_auditoría[[#This Row],[Dispositivo]]))</f>
        <v>Mobile</v>
      </c>
      <c r="R617" t="str">
        <f>TRIM(PROPER(Tabla_auditoría[[#This Row],[Tipo_Campaña]]))</f>
        <v>Adquisición</v>
      </c>
      <c r="S617" t="str">
        <f>TRIM(PROPER(Tabla_auditoría[[#This Row],[Responsable]]))</f>
        <v>Carlos Ruiz</v>
      </c>
    </row>
    <row r="618" spans="1:19" x14ac:dyDescent="0.3">
      <c r="A618" s="1">
        <v>45958</v>
      </c>
      <c r="B618" s="2" t="s">
        <v>2566</v>
      </c>
      <c r="C618" s="2" t="s">
        <v>2543</v>
      </c>
      <c r="D618" s="2" t="s">
        <v>2528</v>
      </c>
      <c r="E618" s="2" t="s">
        <v>2517</v>
      </c>
      <c r="F618" s="3">
        <v>19363</v>
      </c>
      <c r="G618" s="3">
        <v>1014</v>
      </c>
      <c r="H618" s="3">
        <v>27</v>
      </c>
      <c r="I618" s="4">
        <v>1853.9</v>
      </c>
      <c r="J618" s="4">
        <v>469.8</v>
      </c>
      <c r="K618" s="3">
        <v>16</v>
      </c>
      <c r="L618" s="2" t="s">
        <v>2523</v>
      </c>
      <c r="M618" s="2" t="s">
        <v>2524</v>
      </c>
      <c r="N618" t="str">
        <f>TRIM(PROPER(Tabla_auditoría[[#This Row],[ID_Campaña]]))</f>
        <v>Cmp-001</v>
      </c>
      <c r="O618" t="str">
        <f>TRIM(PROPER(Tabla_auditoría[[#This Row],[Canal]]))</f>
        <v>Organic Social</v>
      </c>
      <c r="P618" t="str">
        <f>TRIM(PROPER(Tabla_auditoría[[#This Row],[País]]))</f>
        <v>España</v>
      </c>
      <c r="Q618" t="str">
        <f>TRIM(PROPER(Tabla_auditoría[[#This Row],[Dispositivo]]))</f>
        <v>Desktop</v>
      </c>
      <c r="R618" t="str">
        <f>TRIM(PROPER(Tabla_auditoría[[#This Row],[Tipo_Campaña]]))</f>
        <v>Retención</v>
      </c>
      <c r="S618" t="str">
        <f>TRIM(PROPER(Tabla_auditoría[[#This Row],[Responsable]]))</f>
        <v>Luis Martín</v>
      </c>
    </row>
    <row r="619" spans="1:19" x14ac:dyDescent="0.3">
      <c r="A619" s="1">
        <v>45912</v>
      </c>
      <c r="B619" s="2" t="s">
        <v>2552</v>
      </c>
      <c r="C619" s="2" t="s">
        <v>2543</v>
      </c>
      <c r="D619" s="2" t="s">
        <v>2525</v>
      </c>
      <c r="E619" s="2" t="s">
        <v>2529</v>
      </c>
      <c r="F619" s="3">
        <v>125538</v>
      </c>
      <c r="G619" s="3">
        <v>7116</v>
      </c>
      <c r="H619" s="3">
        <v>419</v>
      </c>
      <c r="I619" s="4">
        <v>13150.3</v>
      </c>
      <c r="J619" s="4">
        <v>74135.75</v>
      </c>
      <c r="K619" s="3">
        <v>290</v>
      </c>
      <c r="L619" s="2" t="s">
        <v>2536</v>
      </c>
      <c r="M619" s="2" t="s">
        <v>2519</v>
      </c>
      <c r="N619" t="str">
        <f>TRIM(PROPER(Tabla_auditoría[[#This Row],[ID_Campaña]]))</f>
        <v>Cmp-012</v>
      </c>
      <c r="O619" t="str">
        <f>TRIM(PROPER(Tabla_auditoría[[#This Row],[Canal]]))</f>
        <v>Organic Social</v>
      </c>
      <c r="P619" t="str">
        <f>TRIM(PROPER(Tabla_auditoría[[#This Row],[País]]))</f>
        <v>Francia</v>
      </c>
      <c r="Q619" t="str">
        <f>TRIM(PROPER(Tabla_auditoría[[#This Row],[Dispositivo]]))</f>
        <v>Mobile</v>
      </c>
      <c r="R619" t="str">
        <f>TRIM(PROPER(Tabla_auditoría[[#This Row],[Tipo_Campaña]]))</f>
        <v>Reconocimiento</v>
      </c>
      <c r="S619" t="str">
        <f>TRIM(PROPER(Tabla_auditoría[[#This Row],[Responsable]]))</f>
        <v>Carlos Ruiz</v>
      </c>
    </row>
    <row r="620" spans="1:19" x14ac:dyDescent="0.3">
      <c r="A620" s="1">
        <v>45706</v>
      </c>
      <c r="B620" s="2" t="s">
        <v>2520</v>
      </c>
      <c r="C620" s="2" t="s">
        <v>2543</v>
      </c>
      <c r="D620" s="2" t="s">
        <v>2528</v>
      </c>
      <c r="E620" s="2" t="s">
        <v>2534</v>
      </c>
      <c r="F620" s="3">
        <v>114654</v>
      </c>
      <c r="G620" s="3">
        <v>541</v>
      </c>
      <c r="H620" s="3">
        <v>65</v>
      </c>
      <c r="I620" s="4">
        <v>307.39999999999998</v>
      </c>
      <c r="J620" s="4">
        <v>10923.9</v>
      </c>
      <c r="K620" s="3">
        <v>53</v>
      </c>
      <c r="L620" s="2" t="s">
        <v>2539</v>
      </c>
      <c r="M620" s="2" t="s">
        <v>2546</v>
      </c>
      <c r="N620" t="str">
        <f>TRIM(PROPER(Tabla_auditoría[[#This Row],[ID_Campaña]]))</f>
        <v>Cmp-009</v>
      </c>
      <c r="O620" t="str">
        <f>TRIM(PROPER(Tabla_auditoría[[#This Row],[Canal]]))</f>
        <v>Organic Social</v>
      </c>
      <c r="P620" t="str">
        <f>TRIM(PROPER(Tabla_auditoría[[#This Row],[País]]))</f>
        <v>España</v>
      </c>
      <c r="Q620" t="str">
        <f>TRIM(PROPER(Tabla_auditoría[[#This Row],[Dispositivo]]))</f>
        <v>Tablet</v>
      </c>
      <c r="R620" t="str">
        <f>TRIM(PROPER(Tabla_auditoría[[#This Row],[Tipo_Campaña]]))</f>
        <v>Conversión</v>
      </c>
      <c r="S620" t="str">
        <f>TRIM(PROPER(Tabla_auditoría[[#This Row],[Responsable]]))</f>
        <v>Ana García</v>
      </c>
    </row>
    <row r="621" spans="1:19" x14ac:dyDescent="0.3">
      <c r="A621" s="1">
        <v>45682</v>
      </c>
      <c r="B621" s="2" t="s">
        <v>2532</v>
      </c>
      <c r="C621" s="2" t="s">
        <v>2527</v>
      </c>
      <c r="D621" s="2" t="s">
        <v>2528</v>
      </c>
      <c r="E621" s="2" t="s">
        <v>2517</v>
      </c>
      <c r="F621" s="3">
        <v>61626</v>
      </c>
      <c r="G621" s="3">
        <v>3327</v>
      </c>
      <c r="H621" s="3">
        <v>336</v>
      </c>
      <c r="I621" s="4">
        <v>6464.39</v>
      </c>
      <c r="J621" s="4">
        <v>68355.5</v>
      </c>
      <c r="K621" s="3">
        <v>206</v>
      </c>
      <c r="L621" s="2" t="s">
        <v>2536</v>
      </c>
      <c r="M621" s="2" t="s">
        <v>2519</v>
      </c>
      <c r="N621" t="str">
        <f>TRIM(PROPER(Tabla_auditoría[[#This Row],[ID_Campaña]]))</f>
        <v>Cmp-022</v>
      </c>
      <c r="O621" t="str">
        <f>TRIM(PROPER(Tabla_auditoría[[#This Row],[Canal]]))</f>
        <v>Affiliate</v>
      </c>
      <c r="P621" t="str">
        <f>TRIM(PROPER(Tabla_auditoría[[#This Row],[País]]))</f>
        <v>España</v>
      </c>
      <c r="Q621" t="str">
        <f>TRIM(PROPER(Tabla_auditoría[[#This Row],[Dispositivo]]))</f>
        <v>Desktop</v>
      </c>
      <c r="R621" t="str">
        <f>TRIM(PROPER(Tabla_auditoría[[#This Row],[Tipo_Campaña]]))</f>
        <v>Reconocimiento</v>
      </c>
      <c r="S621" t="str">
        <f>TRIM(PROPER(Tabla_auditoría[[#This Row],[Responsable]]))</f>
        <v>Carlos Ruiz</v>
      </c>
    </row>
    <row r="622" spans="1:19" x14ac:dyDescent="0.3">
      <c r="A622" s="1">
        <v>45964</v>
      </c>
      <c r="B622" s="2" t="s">
        <v>2544</v>
      </c>
      <c r="C622" s="2" t="s">
        <v>2541</v>
      </c>
      <c r="D622" s="2" t="s">
        <v>2516</v>
      </c>
      <c r="E622" s="2" t="s">
        <v>2529</v>
      </c>
      <c r="F622" s="3">
        <v>105283</v>
      </c>
      <c r="G622" s="3">
        <v>1239</v>
      </c>
      <c r="H622" s="3">
        <v>103</v>
      </c>
      <c r="I622" s="4">
        <v>1107.5</v>
      </c>
      <c r="J622" s="4">
        <v>4977.37</v>
      </c>
      <c r="K622" s="3">
        <v>71</v>
      </c>
      <c r="L622" s="2" t="s">
        <v>2518</v>
      </c>
      <c r="M622" s="2" t="s">
        <v>2526</v>
      </c>
      <c r="N622" t="str">
        <f>TRIM(PROPER(Tabla_auditoría[[#This Row],[ID_Campaña]]))</f>
        <v>Cmp-006</v>
      </c>
      <c r="O622" t="str">
        <f>TRIM(PROPER(Tabla_auditoría[[#This Row],[Canal]]))</f>
        <v>Display</v>
      </c>
      <c r="P622" t="str">
        <f>TRIM(PROPER(Tabla_auditoría[[#This Row],[País]]))</f>
        <v>México</v>
      </c>
      <c r="Q622" t="str">
        <f>TRIM(PROPER(Tabla_auditoría[[#This Row],[Dispositivo]]))</f>
        <v>Mobile</v>
      </c>
      <c r="R622" t="str">
        <f>TRIM(PROPER(Tabla_auditoría[[#This Row],[Tipo_Campaña]]))</f>
        <v>Adquisición</v>
      </c>
      <c r="S622" t="str">
        <f>TRIM(PROPER(Tabla_auditoría[[#This Row],[Responsable]]))</f>
        <v>Laura Pérez</v>
      </c>
    </row>
    <row r="623" spans="1:19" x14ac:dyDescent="0.3">
      <c r="A623" s="1">
        <v>45849</v>
      </c>
      <c r="B623" s="2" t="s">
        <v>2560</v>
      </c>
      <c r="C623" s="2" t="s">
        <v>2562</v>
      </c>
      <c r="D623" s="2" t="s">
        <v>2522</v>
      </c>
      <c r="E623" s="2" t="s">
        <v>2517</v>
      </c>
      <c r="F623" s="3">
        <v>74520</v>
      </c>
      <c r="G623" s="3">
        <v>5946</v>
      </c>
      <c r="H623" s="3">
        <v>653</v>
      </c>
      <c r="I623" s="4">
        <v>2725.42</v>
      </c>
      <c r="J623" s="4">
        <v>137235.64000000001</v>
      </c>
      <c r="K623" s="3">
        <v>561</v>
      </c>
      <c r="L623" s="2" t="s">
        <v>2539</v>
      </c>
      <c r="M623" s="2" t="s">
        <v>2519</v>
      </c>
      <c r="N623" t="str">
        <f>TRIM(PROPER(Tabla_auditoría[[#This Row],[ID_Campaña]]))</f>
        <v>Cmp-027</v>
      </c>
      <c r="O623" t="str">
        <f>TRIM(PROPER(Tabla_auditoría[[#This Row],[Canal]]))</f>
        <v>Organic Social</v>
      </c>
      <c r="P623" t="str">
        <f>TRIM(PROPER(Tabla_auditoría[[#This Row],[País]]))</f>
        <v>Italia</v>
      </c>
      <c r="Q623" t="str">
        <f>TRIM(PROPER(Tabla_auditoría[[#This Row],[Dispositivo]]))</f>
        <v>Desktop</v>
      </c>
      <c r="R623" t="str">
        <f>TRIM(PROPER(Tabla_auditoría[[#This Row],[Tipo_Campaña]]))</f>
        <v>Conversión</v>
      </c>
      <c r="S623" t="str">
        <f>TRIM(PROPER(Tabla_auditoría[[#This Row],[Responsable]]))</f>
        <v>Carlos Ruiz</v>
      </c>
    </row>
    <row r="624" spans="1:19" x14ac:dyDescent="0.3">
      <c r="A624" s="1">
        <v>45858</v>
      </c>
      <c r="B624" s="2" t="s">
        <v>2557</v>
      </c>
      <c r="C624" s="2" t="s">
        <v>2543</v>
      </c>
      <c r="D624" s="2" t="s">
        <v>2531</v>
      </c>
      <c r="E624" s="2" t="s">
        <v>2529</v>
      </c>
      <c r="F624" s="3">
        <v>1980</v>
      </c>
      <c r="G624" s="3">
        <v>22</v>
      </c>
      <c r="H624" s="3">
        <v>2</v>
      </c>
      <c r="I624" s="4">
        <v>3.12</v>
      </c>
      <c r="J624" s="4">
        <v>343.43</v>
      </c>
      <c r="K624" s="3">
        <v>1</v>
      </c>
      <c r="L624" s="2" t="s">
        <v>2518</v>
      </c>
      <c r="M624" s="2" t="s">
        <v>2526</v>
      </c>
      <c r="N624" t="str">
        <f>TRIM(PROPER(Tabla_auditoría[[#This Row],[ID_Campaña]]))</f>
        <v>Cmp-030</v>
      </c>
      <c r="O624" t="str">
        <f>TRIM(PROPER(Tabla_auditoría[[#This Row],[Canal]]))</f>
        <v>Organic Social</v>
      </c>
      <c r="P624" t="str">
        <f>TRIM(PROPER(Tabla_auditoría[[#This Row],[País]]))</f>
        <v>Portugal</v>
      </c>
      <c r="Q624" t="str">
        <f>TRIM(PROPER(Tabla_auditoría[[#This Row],[Dispositivo]]))</f>
        <v>Mobile</v>
      </c>
      <c r="R624" t="str">
        <f>TRIM(PROPER(Tabla_auditoría[[#This Row],[Tipo_Campaña]]))</f>
        <v>Adquisición</v>
      </c>
      <c r="S624" t="str">
        <f>TRIM(PROPER(Tabla_auditoría[[#This Row],[Responsable]]))</f>
        <v>Laura Pérez</v>
      </c>
    </row>
    <row r="625" spans="1:19" x14ac:dyDescent="0.3">
      <c r="A625" s="1">
        <v>45846</v>
      </c>
      <c r="B625" s="2" t="s">
        <v>2551</v>
      </c>
      <c r="C625" s="2" t="s">
        <v>2541</v>
      </c>
      <c r="D625" s="2" t="s">
        <v>2525</v>
      </c>
      <c r="E625" s="2" t="s">
        <v>2529</v>
      </c>
      <c r="F625" s="3">
        <v>66873</v>
      </c>
      <c r="G625" s="3">
        <v>1049</v>
      </c>
      <c r="H625" s="3">
        <v>101</v>
      </c>
      <c r="I625" s="4">
        <v>1738.74</v>
      </c>
      <c r="J625" s="4">
        <v>16691.240000000002</v>
      </c>
      <c r="K625" s="3">
        <v>83</v>
      </c>
      <c r="L625" s="2" t="s">
        <v>2523</v>
      </c>
      <c r="M625" s="2" t="s">
        <v>2524</v>
      </c>
      <c r="N625" t="str">
        <f>TRIM(PROPER(Tabla_auditoría[[#This Row],[ID_Campaña]]))</f>
        <v>Cmp-028</v>
      </c>
      <c r="O625" t="str">
        <f>TRIM(PROPER(Tabla_auditoría[[#This Row],[Canal]]))</f>
        <v>Display</v>
      </c>
      <c r="P625" t="str">
        <f>TRIM(PROPER(Tabla_auditoría[[#This Row],[País]]))</f>
        <v>Francia</v>
      </c>
      <c r="Q625" t="str">
        <f>TRIM(PROPER(Tabla_auditoría[[#This Row],[Dispositivo]]))</f>
        <v>Mobile</v>
      </c>
      <c r="R625" t="str">
        <f>TRIM(PROPER(Tabla_auditoría[[#This Row],[Tipo_Campaña]]))</f>
        <v>Retención</v>
      </c>
      <c r="S625" t="str">
        <f>TRIM(PROPER(Tabla_auditoría[[#This Row],[Responsable]]))</f>
        <v>Luis Martín</v>
      </c>
    </row>
    <row r="626" spans="1:19" x14ac:dyDescent="0.3">
      <c r="A626" s="1">
        <v>45715</v>
      </c>
      <c r="B626" s="2" t="s">
        <v>2554</v>
      </c>
      <c r="C626" s="2" t="s">
        <v>2543</v>
      </c>
      <c r="D626" s="2" t="s">
        <v>2528</v>
      </c>
      <c r="E626" s="2" t="s">
        <v>2529</v>
      </c>
      <c r="F626" s="3">
        <v>137541</v>
      </c>
      <c r="G626" s="3">
        <v>5636</v>
      </c>
      <c r="H626" s="3">
        <v>273</v>
      </c>
      <c r="I626" s="4">
        <v>3413.76</v>
      </c>
      <c r="J626" s="4">
        <v>28266.14</v>
      </c>
      <c r="K626" s="3">
        <v>135</v>
      </c>
      <c r="L626" s="2" t="s">
        <v>2523</v>
      </c>
      <c r="M626" s="2" t="s">
        <v>2546</v>
      </c>
      <c r="N626" t="str">
        <f>TRIM(PROPER(Tabla_auditoría[[#This Row],[ID_Campaña]]))</f>
        <v>Cmp-019</v>
      </c>
      <c r="O626" t="str">
        <f>TRIM(PROPER(Tabla_auditoría[[#This Row],[Canal]]))</f>
        <v>Organic Social</v>
      </c>
      <c r="P626" t="str">
        <f>TRIM(PROPER(Tabla_auditoría[[#This Row],[País]]))</f>
        <v>España</v>
      </c>
      <c r="Q626" t="str">
        <f>TRIM(PROPER(Tabla_auditoría[[#This Row],[Dispositivo]]))</f>
        <v>Mobile</v>
      </c>
      <c r="R626" t="str">
        <f>TRIM(PROPER(Tabla_auditoría[[#This Row],[Tipo_Campaña]]))</f>
        <v>Retención</v>
      </c>
      <c r="S626" t="str">
        <f>TRIM(PROPER(Tabla_auditoría[[#This Row],[Responsable]]))</f>
        <v>Ana García</v>
      </c>
    </row>
    <row r="627" spans="1:19" x14ac:dyDescent="0.3">
      <c r="A627" s="1">
        <v>45863</v>
      </c>
      <c r="B627" s="2" t="s">
        <v>2560</v>
      </c>
      <c r="C627" s="2" t="s">
        <v>2527</v>
      </c>
      <c r="D627" s="2" t="s">
        <v>2522</v>
      </c>
      <c r="E627" s="2" t="s">
        <v>2517</v>
      </c>
      <c r="F627" s="3">
        <v>70688</v>
      </c>
      <c r="G627" s="3">
        <v>4949</v>
      </c>
      <c r="H627" s="3">
        <v>409</v>
      </c>
      <c r="I627" s="4">
        <v>3403.11</v>
      </c>
      <c r="J627" s="4">
        <v>53577.93</v>
      </c>
      <c r="K627" s="3">
        <v>210</v>
      </c>
      <c r="L627" s="2" t="s">
        <v>2536</v>
      </c>
      <c r="M627" s="2" t="s">
        <v>2519</v>
      </c>
      <c r="N627" t="str">
        <f>TRIM(PROPER(Tabla_auditoría[[#This Row],[ID_Campaña]]))</f>
        <v>Cmp-027</v>
      </c>
      <c r="O627" t="str">
        <f>TRIM(PROPER(Tabla_auditoría[[#This Row],[Canal]]))</f>
        <v>Affiliate</v>
      </c>
      <c r="P627" t="str">
        <f>TRIM(PROPER(Tabla_auditoría[[#This Row],[País]]))</f>
        <v>Italia</v>
      </c>
      <c r="Q627" t="str">
        <f>TRIM(PROPER(Tabla_auditoría[[#This Row],[Dispositivo]]))</f>
        <v>Desktop</v>
      </c>
      <c r="R627" t="str">
        <f>TRIM(PROPER(Tabla_auditoría[[#This Row],[Tipo_Campaña]]))</f>
        <v>Reconocimiento</v>
      </c>
      <c r="S627" t="str">
        <f>TRIM(PROPER(Tabla_auditoría[[#This Row],[Responsable]]))</f>
        <v>Carlos Ruiz</v>
      </c>
    </row>
    <row r="628" spans="1:19" x14ac:dyDescent="0.3">
      <c r="A628" s="1">
        <v>45665</v>
      </c>
      <c r="B628" s="2" t="s">
        <v>2545</v>
      </c>
      <c r="C628" s="2" t="s">
        <v>2515</v>
      </c>
      <c r="D628" s="2" t="s">
        <v>2516</v>
      </c>
      <c r="E628" s="2" t="s">
        <v>2529</v>
      </c>
      <c r="F628" s="3">
        <v>172846</v>
      </c>
      <c r="G628" s="3">
        <v>6014</v>
      </c>
      <c r="H628" s="3">
        <v>704</v>
      </c>
      <c r="I628" s="4">
        <v>1463.73</v>
      </c>
      <c r="J628" s="4">
        <v>77483.72</v>
      </c>
      <c r="K628" s="3">
        <v>546</v>
      </c>
      <c r="L628" s="2" t="s">
        <v>2518</v>
      </c>
      <c r="M628" s="2" t="s">
        <v>2519</v>
      </c>
      <c r="N628" t="str">
        <f>TRIM(PROPER(Tabla_auditoría[[#This Row],[ID_Campaña]]))</f>
        <v>Cmp-011</v>
      </c>
      <c r="O628" t="str">
        <f>TRIM(PROPER(Tabla_auditoría[[#This Row],[Canal]]))</f>
        <v>Email</v>
      </c>
      <c r="P628" t="str">
        <f>TRIM(PROPER(Tabla_auditoría[[#This Row],[País]]))</f>
        <v>México</v>
      </c>
      <c r="Q628" t="str">
        <f>TRIM(PROPER(Tabla_auditoría[[#This Row],[Dispositivo]]))</f>
        <v>Mobile</v>
      </c>
      <c r="R628" t="str">
        <f>TRIM(PROPER(Tabla_auditoría[[#This Row],[Tipo_Campaña]]))</f>
        <v>Adquisición</v>
      </c>
      <c r="S628" t="str">
        <f>TRIM(PROPER(Tabla_auditoría[[#This Row],[Responsable]]))</f>
        <v>Carlos Ruiz</v>
      </c>
    </row>
    <row r="629" spans="1:19" x14ac:dyDescent="0.3">
      <c r="A629" s="1">
        <v>45865</v>
      </c>
      <c r="B629" s="2" t="s">
        <v>2565</v>
      </c>
      <c r="C629" s="2" t="s">
        <v>2521</v>
      </c>
      <c r="D629" s="2" t="s">
        <v>2525</v>
      </c>
      <c r="E629" s="2" t="s">
        <v>2529</v>
      </c>
      <c r="F629" s="3">
        <v>100849</v>
      </c>
      <c r="G629" s="3">
        <v>5626</v>
      </c>
      <c r="H629" s="3">
        <v>210</v>
      </c>
      <c r="I629" s="4">
        <v>2276.66</v>
      </c>
      <c r="J629" s="4">
        <v>16300.07</v>
      </c>
      <c r="K629" s="3">
        <v>111</v>
      </c>
      <c r="L629" s="2" t="s">
        <v>2523</v>
      </c>
      <c r="M629" s="2" t="s">
        <v>2519</v>
      </c>
      <c r="N629" t="str">
        <f>TRIM(PROPER(Tabla_auditoría[[#This Row],[ID_Campaña]]))</f>
        <v>Cmp-005</v>
      </c>
      <c r="O629" t="str">
        <f>TRIM(PROPER(Tabla_auditoría[[#This Row],[Canal]]))</f>
        <v>Paid Search</v>
      </c>
      <c r="P629" t="str">
        <f>TRIM(PROPER(Tabla_auditoría[[#This Row],[País]]))</f>
        <v>Francia</v>
      </c>
      <c r="Q629" t="str">
        <f>TRIM(PROPER(Tabla_auditoría[[#This Row],[Dispositivo]]))</f>
        <v>Mobile</v>
      </c>
      <c r="R629" t="str">
        <f>TRIM(PROPER(Tabla_auditoría[[#This Row],[Tipo_Campaña]]))</f>
        <v>Retención</v>
      </c>
      <c r="S629" t="str">
        <f>TRIM(PROPER(Tabla_auditoría[[#This Row],[Responsable]]))</f>
        <v>Carlos Ruiz</v>
      </c>
    </row>
    <row r="630" spans="1:19" x14ac:dyDescent="0.3">
      <c r="A630" s="1">
        <v>45765</v>
      </c>
      <c r="B630" s="2" t="s">
        <v>2538</v>
      </c>
      <c r="C630" s="2" t="s">
        <v>2543</v>
      </c>
      <c r="D630" s="2" t="s">
        <v>2528</v>
      </c>
      <c r="E630" s="2" t="s">
        <v>2517</v>
      </c>
      <c r="F630" s="3">
        <v>102532</v>
      </c>
      <c r="G630" s="3">
        <v>9023</v>
      </c>
      <c r="H630" s="3">
        <v>958</v>
      </c>
      <c r="I630" s="4">
        <v>6462.89</v>
      </c>
      <c r="J630" s="4">
        <v>184870.89</v>
      </c>
      <c r="K630" s="3">
        <v>469</v>
      </c>
      <c r="L630" s="2" t="s">
        <v>2536</v>
      </c>
      <c r="M630" s="2" t="s">
        <v>2546</v>
      </c>
      <c r="N630" t="str">
        <f>TRIM(PROPER(Tabla_auditoría[[#This Row],[ID_Campaña]]))</f>
        <v>Cmp-004</v>
      </c>
      <c r="O630" t="str">
        <f>TRIM(PROPER(Tabla_auditoría[[#This Row],[Canal]]))</f>
        <v>Organic Social</v>
      </c>
      <c r="P630" t="str">
        <f>TRIM(PROPER(Tabla_auditoría[[#This Row],[País]]))</f>
        <v>España</v>
      </c>
      <c r="Q630" t="str">
        <f>TRIM(PROPER(Tabla_auditoría[[#This Row],[Dispositivo]]))</f>
        <v>Desktop</v>
      </c>
      <c r="R630" t="str">
        <f>TRIM(PROPER(Tabla_auditoría[[#This Row],[Tipo_Campaña]]))</f>
        <v>Reconocimiento</v>
      </c>
      <c r="S630" t="str">
        <f>TRIM(PROPER(Tabla_auditoría[[#This Row],[Responsable]]))</f>
        <v>Ana García</v>
      </c>
    </row>
    <row r="631" spans="1:19" x14ac:dyDescent="0.3">
      <c r="A631" s="1">
        <v>45863</v>
      </c>
      <c r="B631" s="2" t="s">
        <v>2535</v>
      </c>
      <c r="C631" s="2" t="s">
        <v>2541</v>
      </c>
      <c r="D631" s="2" t="s">
        <v>2528</v>
      </c>
      <c r="E631" s="2" t="s">
        <v>2529</v>
      </c>
      <c r="F631" s="3">
        <v>98413</v>
      </c>
      <c r="G631" s="3">
        <v>2172</v>
      </c>
      <c r="H631" s="3">
        <v>186</v>
      </c>
      <c r="I631" s="4">
        <v>905.11</v>
      </c>
      <c r="J631" s="4">
        <v>12273.46</v>
      </c>
      <c r="K631" s="3">
        <v>115</v>
      </c>
      <c r="L631" s="2" t="s">
        <v>2523</v>
      </c>
      <c r="M631" s="2" t="s">
        <v>2526</v>
      </c>
      <c r="N631" t="str">
        <f>TRIM(PROPER(Tabla_auditoría[[#This Row],[ID_Campaña]]))</f>
        <v>Cmp-015</v>
      </c>
      <c r="O631" t="str">
        <f>TRIM(PROPER(Tabla_auditoría[[#This Row],[Canal]]))</f>
        <v>Display</v>
      </c>
      <c r="P631" t="str">
        <f>TRIM(PROPER(Tabla_auditoría[[#This Row],[País]]))</f>
        <v>España</v>
      </c>
      <c r="Q631" t="str">
        <f>TRIM(PROPER(Tabla_auditoría[[#This Row],[Dispositivo]]))</f>
        <v>Mobile</v>
      </c>
      <c r="R631" t="str">
        <f>TRIM(PROPER(Tabla_auditoría[[#This Row],[Tipo_Campaña]]))</f>
        <v>Retención</v>
      </c>
      <c r="S631" t="str">
        <f>TRIM(PROPER(Tabla_auditoría[[#This Row],[Responsable]]))</f>
        <v>Laura Pérez</v>
      </c>
    </row>
    <row r="632" spans="1:19" x14ac:dyDescent="0.3">
      <c r="A632" s="1">
        <v>45963</v>
      </c>
      <c r="B632" s="2" t="s">
        <v>2545</v>
      </c>
      <c r="C632" s="2" t="s">
        <v>2521</v>
      </c>
      <c r="D632" s="2" t="s">
        <v>2516</v>
      </c>
      <c r="E632" s="2" t="s">
        <v>2529</v>
      </c>
      <c r="F632" s="3">
        <v>77029</v>
      </c>
      <c r="G632" s="3">
        <v>77272</v>
      </c>
      <c r="H632" s="3">
        <v>303</v>
      </c>
      <c r="I632" s="4">
        <v>5239.8900000000003</v>
      </c>
      <c r="J632" s="4">
        <v>12309.36</v>
      </c>
      <c r="K632" s="3">
        <v>204</v>
      </c>
      <c r="L632" s="2" t="s">
        <v>2518</v>
      </c>
      <c r="M632" s="2" t="s">
        <v>2537</v>
      </c>
      <c r="N632" t="str">
        <f>TRIM(PROPER(Tabla_auditoría[[#This Row],[ID_Campaña]]))</f>
        <v>Cmp-011</v>
      </c>
      <c r="O632" t="str">
        <f>TRIM(PROPER(Tabla_auditoría[[#This Row],[Canal]]))</f>
        <v>Paid Search</v>
      </c>
      <c r="P632" t="str">
        <f>TRIM(PROPER(Tabla_auditoría[[#This Row],[País]]))</f>
        <v>México</v>
      </c>
      <c r="Q632" t="str">
        <f>TRIM(PROPER(Tabla_auditoría[[#This Row],[Dispositivo]]))</f>
        <v>Mobile</v>
      </c>
      <c r="R632" t="str">
        <f>TRIM(PROPER(Tabla_auditoría[[#This Row],[Tipo_Campaña]]))</f>
        <v>Adquisición</v>
      </c>
      <c r="S632" t="str">
        <f>TRIM(PROPER(Tabla_auditoría[[#This Row],[Responsable]]))</f>
        <v>Marta López</v>
      </c>
    </row>
    <row r="633" spans="1:19" x14ac:dyDescent="0.3">
      <c r="A633" s="1">
        <v>45678</v>
      </c>
      <c r="B633" s="2" t="s">
        <v>2540</v>
      </c>
      <c r="C633" s="2" t="s">
        <v>2543</v>
      </c>
      <c r="D633" s="2" t="s">
        <v>2522</v>
      </c>
      <c r="E633" s="2" t="s">
        <v>2517</v>
      </c>
      <c r="F633" s="3">
        <v>50949</v>
      </c>
      <c r="G633" s="3">
        <v>2025</v>
      </c>
      <c r="H633" s="3">
        <v>69</v>
      </c>
      <c r="I633" s="4">
        <v>3336.51</v>
      </c>
      <c r="J633" s="4">
        <v>9142.67</v>
      </c>
      <c r="K633" s="3">
        <v>33</v>
      </c>
      <c r="L633" s="2" t="s">
        <v>2536</v>
      </c>
      <c r="M633" s="2" t="s">
        <v>2537</v>
      </c>
      <c r="N633" t="str">
        <f>TRIM(PROPER(Tabla_auditoría[[#This Row],[ID_Campaña]]))</f>
        <v>Cmp-017</v>
      </c>
      <c r="O633" t="str">
        <f>TRIM(PROPER(Tabla_auditoría[[#This Row],[Canal]]))</f>
        <v>Organic Social</v>
      </c>
      <c r="P633" t="str">
        <f>TRIM(PROPER(Tabla_auditoría[[#This Row],[País]]))</f>
        <v>Italia</v>
      </c>
      <c r="Q633" t="str">
        <f>TRIM(PROPER(Tabla_auditoría[[#This Row],[Dispositivo]]))</f>
        <v>Desktop</v>
      </c>
      <c r="R633" t="str">
        <f>TRIM(PROPER(Tabla_auditoría[[#This Row],[Tipo_Campaña]]))</f>
        <v>Reconocimiento</v>
      </c>
      <c r="S633" t="str">
        <f>TRIM(PROPER(Tabla_auditoría[[#This Row],[Responsable]]))</f>
        <v>Marta López</v>
      </c>
    </row>
    <row r="634" spans="1:19" x14ac:dyDescent="0.3">
      <c r="A634" s="1">
        <v>45661</v>
      </c>
      <c r="B634" s="2" t="s">
        <v>2549</v>
      </c>
      <c r="C634" s="2" t="s">
        <v>2521</v>
      </c>
      <c r="D634" s="2" t="s">
        <v>2531</v>
      </c>
      <c r="E634" s="2" t="s">
        <v>2534</v>
      </c>
      <c r="F634" s="3">
        <v>117222</v>
      </c>
      <c r="G634" s="3">
        <v>3792</v>
      </c>
      <c r="H634" s="3">
        <v>377</v>
      </c>
      <c r="I634" s="4">
        <v>4978.53</v>
      </c>
      <c r="J634" s="4">
        <v>54629.07</v>
      </c>
      <c r="K634" s="3">
        <v>232</v>
      </c>
      <c r="L634" s="2" t="s">
        <v>2536</v>
      </c>
      <c r="M634" s="2" t="s">
        <v>2519</v>
      </c>
      <c r="N634" t="str">
        <f>TRIM(PROPER(Tabla_auditoría[[#This Row],[ID_Campaña]]))</f>
        <v>Cmp-007</v>
      </c>
      <c r="O634" t="str">
        <f>TRIM(PROPER(Tabla_auditoría[[#This Row],[Canal]]))</f>
        <v>Paid Search</v>
      </c>
      <c r="P634" t="str">
        <f>TRIM(PROPER(Tabla_auditoría[[#This Row],[País]]))</f>
        <v>Portugal</v>
      </c>
      <c r="Q634" t="str">
        <f>TRIM(PROPER(Tabla_auditoría[[#This Row],[Dispositivo]]))</f>
        <v>Tablet</v>
      </c>
      <c r="R634" t="str">
        <f>TRIM(PROPER(Tabla_auditoría[[#This Row],[Tipo_Campaña]]))</f>
        <v>Reconocimiento</v>
      </c>
      <c r="S634" t="str">
        <f>TRIM(PROPER(Tabla_auditoría[[#This Row],[Responsable]]))</f>
        <v>Carlos Ruiz</v>
      </c>
    </row>
    <row r="635" spans="1:19" x14ac:dyDescent="0.3">
      <c r="A635" s="1">
        <v>45776</v>
      </c>
      <c r="B635" s="2" t="s">
        <v>2530</v>
      </c>
      <c r="C635" s="2" t="s">
        <v>2515</v>
      </c>
      <c r="D635" s="2" t="s">
        <v>2516</v>
      </c>
      <c r="E635" s="2" t="s">
        <v>2529</v>
      </c>
      <c r="F635" s="3">
        <v>9798</v>
      </c>
      <c r="G635" s="3">
        <v>405</v>
      </c>
      <c r="H635" s="3">
        <v>10</v>
      </c>
      <c r="I635" s="4">
        <v>509.77</v>
      </c>
      <c r="J635" s="4">
        <v>1018.24</v>
      </c>
      <c r="K635" s="3">
        <v>7</v>
      </c>
      <c r="L635" s="2" t="s">
        <v>2523</v>
      </c>
      <c r="M635" s="2" t="s">
        <v>2526</v>
      </c>
      <c r="N635" t="str">
        <f>TRIM(PROPER(Tabla_auditoría[[#This Row],[ID_Campaña]]))</f>
        <v>Cmp-026</v>
      </c>
      <c r="O635" t="str">
        <f>TRIM(PROPER(Tabla_auditoría[[#This Row],[Canal]]))</f>
        <v>Email</v>
      </c>
      <c r="P635" t="str">
        <f>TRIM(PROPER(Tabla_auditoría[[#This Row],[País]]))</f>
        <v>México</v>
      </c>
      <c r="Q635" t="str">
        <f>TRIM(PROPER(Tabla_auditoría[[#This Row],[Dispositivo]]))</f>
        <v>Mobile</v>
      </c>
      <c r="R635" t="str">
        <f>TRIM(PROPER(Tabla_auditoría[[#This Row],[Tipo_Campaña]]))</f>
        <v>Retención</v>
      </c>
      <c r="S635" t="str">
        <f>TRIM(PROPER(Tabla_auditoría[[#This Row],[Responsable]]))</f>
        <v>Laura Pérez</v>
      </c>
    </row>
    <row r="636" spans="1:19" x14ac:dyDescent="0.3">
      <c r="A636" s="1">
        <v>45848</v>
      </c>
      <c r="B636" s="2" t="s">
        <v>2551</v>
      </c>
      <c r="C636" s="2" t="s">
        <v>2527</v>
      </c>
      <c r="D636" s="2" t="s">
        <v>2528</v>
      </c>
      <c r="E636" s="2" t="s">
        <v>2534</v>
      </c>
      <c r="F636" s="3">
        <v>50433</v>
      </c>
      <c r="G636" s="3">
        <v>361</v>
      </c>
      <c r="H636" s="3">
        <v>31</v>
      </c>
      <c r="I636" s="4">
        <v>499.36</v>
      </c>
      <c r="J636" s="4">
        <v>4692.1000000000004</v>
      </c>
      <c r="K636" s="3">
        <v>15</v>
      </c>
      <c r="L636" s="2" t="s">
        <v>2539</v>
      </c>
      <c r="M636" s="2" t="s">
        <v>2546</v>
      </c>
      <c r="N636" t="str">
        <f>TRIM(PROPER(Tabla_auditoría[[#This Row],[ID_Campaña]]))</f>
        <v>Cmp-028</v>
      </c>
      <c r="O636" t="str">
        <f>TRIM(PROPER(Tabla_auditoría[[#This Row],[Canal]]))</f>
        <v>Affiliate</v>
      </c>
      <c r="P636" t="str">
        <f>TRIM(PROPER(Tabla_auditoría[[#This Row],[País]]))</f>
        <v>España</v>
      </c>
      <c r="Q636" t="str">
        <f>TRIM(PROPER(Tabla_auditoría[[#This Row],[Dispositivo]]))</f>
        <v>Tablet</v>
      </c>
      <c r="R636" t="str">
        <f>TRIM(PROPER(Tabla_auditoría[[#This Row],[Tipo_Campaña]]))</f>
        <v>Conversión</v>
      </c>
      <c r="S636" t="str">
        <f>TRIM(PROPER(Tabla_auditoría[[#This Row],[Responsable]]))</f>
        <v>Ana García</v>
      </c>
    </row>
    <row r="637" spans="1:19" x14ac:dyDescent="0.3">
      <c r="A637" s="1">
        <v>45673</v>
      </c>
      <c r="B637" s="2" t="s">
        <v>2568</v>
      </c>
      <c r="C637" s="2" t="s">
        <v>2541</v>
      </c>
      <c r="D637" s="2" t="s">
        <v>2528</v>
      </c>
      <c r="E637" s="2" t="s">
        <v>2517</v>
      </c>
      <c r="F637" s="3">
        <v>91198</v>
      </c>
      <c r="G637" s="3">
        <v>1055</v>
      </c>
      <c r="H637" s="3">
        <v>107</v>
      </c>
      <c r="I637" s="4">
        <v>1102.57</v>
      </c>
      <c r="J637" s="4">
        <v>4468.3100000000004</v>
      </c>
      <c r="K637" s="3">
        <v>83</v>
      </c>
      <c r="L637" s="2" t="s">
        <v>2523</v>
      </c>
      <c r="M637" s="2" t="s">
        <v>2519</v>
      </c>
      <c r="N637" t="str">
        <f>TRIM(PROPER(Tabla_auditoría[[#This Row],[ID_Campaña]]))</f>
        <v>Cmp-020</v>
      </c>
      <c r="O637" t="str">
        <f>TRIM(PROPER(Tabla_auditoría[[#This Row],[Canal]]))</f>
        <v>Display</v>
      </c>
      <c r="P637" t="str">
        <f>TRIM(PROPER(Tabla_auditoría[[#This Row],[País]]))</f>
        <v>España</v>
      </c>
      <c r="Q637" t="str">
        <f>TRIM(PROPER(Tabla_auditoría[[#This Row],[Dispositivo]]))</f>
        <v>Desktop</v>
      </c>
      <c r="R637" t="str">
        <f>TRIM(PROPER(Tabla_auditoría[[#This Row],[Tipo_Campaña]]))</f>
        <v>Retención</v>
      </c>
      <c r="S637" t="str">
        <f>TRIM(PROPER(Tabla_auditoría[[#This Row],[Responsable]]))</f>
        <v>Carlos Ruiz</v>
      </c>
    </row>
    <row r="638" spans="1:19" x14ac:dyDescent="0.3">
      <c r="A638" s="1">
        <v>45977</v>
      </c>
      <c r="B638" s="2" t="s">
        <v>2544</v>
      </c>
      <c r="C638" s="2" t="s">
        <v>2521</v>
      </c>
      <c r="D638" s="2" t="s">
        <v>2528</v>
      </c>
      <c r="E638" s="2" t="s">
        <v>2529</v>
      </c>
      <c r="F638" s="3">
        <v>50931</v>
      </c>
      <c r="G638" s="3">
        <v>1955</v>
      </c>
      <c r="H638" s="3">
        <v>166</v>
      </c>
      <c r="I638" s="4">
        <v>3380.33</v>
      </c>
      <c r="J638" s="4">
        <v>28495.71</v>
      </c>
      <c r="K638" s="3">
        <v>101</v>
      </c>
      <c r="L638" s="2" t="s">
        <v>2536</v>
      </c>
      <c r="M638" s="2" t="s">
        <v>2524</v>
      </c>
      <c r="N638" t="str">
        <f>TRIM(PROPER(Tabla_auditoría[[#This Row],[ID_Campaña]]))</f>
        <v>Cmp-006</v>
      </c>
      <c r="O638" t="str">
        <f>TRIM(PROPER(Tabla_auditoría[[#This Row],[Canal]]))</f>
        <v>Paid Search</v>
      </c>
      <c r="P638" t="str">
        <f>TRIM(PROPER(Tabla_auditoría[[#This Row],[País]]))</f>
        <v>España</v>
      </c>
      <c r="Q638" t="str">
        <f>TRIM(PROPER(Tabla_auditoría[[#This Row],[Dispositivo]]))</f>
        <v>Mobile</v>
      </c>
      <c r="R638" t="str">
        <f>TRIM(PROPER(Tabla_auditoría[[#This Row],[Tipo_Campaña]]))</f>
        <v>Reconocimiento</v>
      </c>
      <c r="S638" t="str">
        <f>TRIM(PROPER(Tabla_auditoría[[#This Row],[Responsable]]))</f>
        <v>Luis Martín</v>
      </c>
    </row>
    <row r="639" spans="1:19" x14ac:dyDescent="0.3">
      <c r="A639" s="1">
        <v>45673</v>
      </c>
      <c r="B639" s="2" t="s">
        <v>2560</v>
      </c>
      <c r="C639" s="2" t="s">
        <v>2541</v>
      </c>
      <c r="D639" s="2" t="s">
        <v>2528</v>
      </c>
      <c r="E639" s="2" t="s">
        <v>2529</v>
      </c>
      <c r="F639" s="3">
        <v>131451</v>
      </c>
      <c r="G639" s="3">
        <v>10842</v>
      </c>
      <c r="H639" s="3">
        <v>1200</v>
      </c>
      <c r="I639" s="4">
        <v>22247.11</v>
      </c>
      <c r="J639" s="4">
        <v>246975.73</v>
      </c>
      <c r="K639" s="3">
        <v>947</v>
      </c>
      <c r="L639" s="2" t="s">
        <v>2518</v>
      </c>
      <c r="M639" s="2" t="s">
        <v>2546</v>
      </c>
      <c r="N639" t="str">
        <f>TRIM(PROPER(Tabla_auditoría[[#This Row],[ID_Campaña]]))</f>
        <v>Cmp-027</v>
      </c>
      <c r="O639" t="str">
        <f>TRIM(PROPER(Tabla_auditoría[[#This Row],[Canal]]))</f>
        <v>Display</v>
      </c>
      <c r="P639" t="str">
        <f>TRIM(PROPER(Tabla_auditoría[[#This Row],[País]]))</f>
        <v>España</v>
      </c>
      <c r="Q639" t="str">
        <f>TRIM(PROPER(Tabla_auditoría[[#This Row],[Dispositivo]]))</f>
        <v>Mobile</v>
      </c>
      <c r="R639" t="str">
        <f>TRIM(PROPER(Tabla_auditoría[[#This Row],[Tipo_Campaña]]))</f>
        <v>Adquisición</v>
      </c>
      <c r="S639" t="str">
        <f>TRIM(PROPER(Tabla_auditoría[[#This Row],[Responsable]]))</f>
        <v>Ana García</v>
      </c>
    </row>
    <row r="640" spans="1:19" x14ac:dyDescent="0.3">
      <c r="A640" s="1">
        <v>45933</v>
      </c>
      <c r="B640" s="2" t="s">
        <v>2535</v>
      </c>
      <c r="C640" s="2" t="s">
        <v>2521</v>
      </c>
      <c r="D640" s="2" t="s">
        <v>2516</v>
      </c>
      <c r="E640" s="2" t="s">
        <v>2529</v>
      </c>
      <c r="F640" s="3">
        <v>133990</v>
      </c>
      <c r="G640" s="3">
        <v>1889</v>
      </c>
      <c r="H640" s="3">
        <v>31</v>
      </c>
      <c r="I640" s="4">
        <v>2510.4499999999998</v>
      </c>
      <c r="J640" s="4">
        <v>2879.75</v>
      </c>
      <c r="K640" s="3">
        <v>21</v>
      </c>
      <c r="L640" s="2" t="s">
        <v>2536</v>
      </c>
      <c r="M640" s="2" t="s">
        <v>2524</v>
      </c>
      <c r="N640" t="str">
        <f>TRIM(PROPER(Tabla_auditoría[[#This Row],[ID_Campaña]]))</f>
        <v>Cmp-015</v>
      </c>
      <c r="O640" t="str">
        <f>TRIM(PROPER(Tabla_auditoría[[#This Row],[Canal]]))</f>
        <v>Paid Search</v>
      </c>
      <c r="P640" t="str">
        <f>TRIM(PROPER(Tabla_auditoría[[#This Row],[País]]))</f>
        <v>México</v>
      </c>
      <c r="Q640" t="str">
        <f>TRIM(PROPER(Tabla_auditoría[[#This Row],[Dispositivo]]))</f>
        <v>Mobile</v>
      </c>
      <c r="R640" t="str">
        <f>TRIM(PROPER(Tabla_auditoría[[#This Row],[Tipo_Campaña]]))</f>
        <v>Reconocimiento</v>
      </c>
      <c r="S640" t="str">
        <f>TRIM(PROPER(Tabla_auditoría[[#This Row],[Responsable]]))</f>
        <v>Luis Martín</v>
      </c>
    </row>
    <row r="641" spans="1:19" x14ac:dyDescent="0.3">
      <c r="A641" s="1">
        <v>45782</v>
      </c>
      <c r="B641" s="2" t="s">
        <v>2564</v>
      </c>
      <c r="C641" s="2" t="s">
        <v>2541</v>
      </c>
      <c r="D641" s="2" t="s">
        <v>2528</v>
      </c>
      <c r="E641" s="2" t="s">
        <v>2529</v>
      </c>
      <c r="F641" s="3">
        <v>58227</v>
      </c>
      <c r="G641" s="3">
        <v>1929</v>
      </c>
      <c r="H641" s="3">
        <v>123</v>
      </c>
      <c r="I641" s="4">
        <v>3435.75</v>
      </c>
      <c r="J641" s="4">
        <v>8008.73</v>
      </c>
      <c r="K641" s="3">
        <v>60</v>
      </c>
      <c r="L641" s="2" t="s">
        <v>2518</v>
      </c>
      <c r="M641" s="2" t="s">
        <v>2546</v>
      </c>
      <c r="N641" t="str">
        <f>TRIM(PROPER(Tabla_auditoría[[#This Row],[ID_Campaña]]))</f>
        <v>Cmp-024</v>
      </c>
      <c r="O641" t="str">
        <f>TRIM(PROPER(Tabla_auditoría[[#This Row],[Canal]]))</f>
        <v>Display</v>
      </c>
      <c r="P641" t="str">
        <f>TRIM(PROPER(Tabla_auditoría[[#This Row],[País]]))</f>
        <v>España</v>
      </c>
      <c r="Q641" t="str">
        <f>TRIM(PROPER(Tabla_auditoría[[#This Row],[Dispositivo]]))</f>
        <v>Mobile</v>
      </c>
      <c r="R641" t="str">
        <f>TRIM(PROPER(Tabla_auditoría[[#This Row],[Tipo_Campaña]]))</f>
        <v>Adquisición</v>
      </c>
      <c r="S641" t="str">
        <f>TRIM(PROPER(Tabla_auditoría[[#This Row],[Responsable]]))</f>
        <v>Ana García</v>
      </c>
    </row>
    <row r="642" spans="1:19" x14ac:dyDescent="0.3">
      <c r="A642" s="1">
        <v>45886</v>
      </c>
      <c r="B642" s="2" t="s">
        <v>2551</v>
      </c>
      <c r="C642" s="2" t="s">
        <v>2533</v>
      </c>
      <c r="D642" s="2" t="s">
        <v>2528</v>
      </c>
      <c r="E642" s="2" t="s">
        <v>2517</v>
      </c>
      <c r="F642" s="3">
        <v>81114</v>
      </c>
      <c r="G642" s="3">
        <v>1267</v>
      </c>
      <c r="H642" s="3">
        <v>46</v>
      </c>
      <c r="I642" s="4">
        <v>2487.8000000000002</v>
      </c>
      <c r="J642" s="4">
        <v>1800.26</v>
      </c>
      <c r="K642" s="3">
        <v>40</v>
      </c>
      <c r="L642" s="2" t="s">
        <v>2539</v>
      </c>
      <c r="M642" s="2" t="s">
        <v>2537</v>
      </c>
      <c r="N642" t="str">
        <f>TRIM(PROPER(Tabla_auditoría[[#This Row],[ID_Campaña]]))</f>
        <v>Cmp-028</v>
      </c>
      <c r="O642" t="str">
        <f>TRIM(PROPER(Tabla_auditoría[[#This Row],[Canal]]))</f>
        <v>Paid Social</v>
      </c>
      <c r="P642" t="str">
        <f>TRIM(PROPER(Tabla_auditoría[[#This Row],[País]]))</f>
        <v>España</v>
      </c>
      <c r="Q642" t="str">
        <f>TRIM(PROPER(Tabla_auditoría[[#This Row],[Dispositivo]]))</f>
        <v>Desktop</v>
      </c>
      <c r="R642" t="str">
        <f>TRIM(PROPER(Tabla_auditoría[[#This Row],[Tipo_Campaña]]))</f>
        <v>Conversión</v>
      </c>
      <c r="S642" t="str">
        <f>TRIM(PROPER(Tabla_auditoría[[#This Row],[Responsable]]))</f>
        <v>Marta López</v>
      </c>
    </row>
    <row r="643" spans="1:19" x14ac:dyDescent="0.3">
      <c r="A643" s="1">
        <v>45659</v>
      </c>
      <c r="B643" s="2" t="s">
        <v>2563</v>
      </c>
      <c r="C643" s="2" t="s">
        <v>2533</v>
      </c>
      <c r="D643" s="2" t="s">
        <v>2528</v>
      </c>
      <c r="E643" s="2" t="s">
        <v>2517</v>
      </c>
      <c r="F643" s="3">
        <v>149481</v>
      </c>
      <c r="G643" s="3">
        <v>12168</v>
      </c>
      <c r="H643" s="3">
        <v>743</v>
      </c>
      <c r="I643" s="4">
        <v>14646.37</v>
      </c>
      <c r="J643" s="4">
        <v>91148.79</v>
      </c>
      <c r="K643" s="3">
        <v>633</v>
      </c>
      <c r="L643" s="2" t="s">
        <v>2539</v>
      </c>
      <c r="M643" s="2" t="s">
        <v>2524</v>
      </c>
      <c r="N643" t="str">
        <f>TRIM(PROPER(Tabla_auditoría[[#This Row],[ID_Campaña]]))</f>
        <v>Cmp-023</v>
      </c>
      <c r="O643" t="str">
        <f>TRIM(PROPER(Tabla_auditoría[[#This Row],[Canal]]))</f>
        <v>Paid Social</v>
      </c>
      <c r="P643" t="str">
        <f>TRIM(PROPER(Tabla_auditoría[[#This Row],[País]]))</f>
        <v>España</v>
      </c>
      <c r="Q643" t="str">
        <f>TRIM(PROPER(Tabla_auditoría[[#This Row],[Dispositivo]]))</f>
        <v>Desktop</v>
      </c>
      <c r="R643" t="str">
        <f>TRIM(PROPER(Tabla_auditoría[[#This Row],[Tipo_Campaña]]))</f>
        <v>Conversión</v>
      </c>
      <c r="S643" t="str">
        <f>TRIM(PROPER(Tabla_auditoría[[#This Row],[Responsable]]))</f>
        <v>Luis Martín</v>
      </c>
    </row>
    <row r="644" spans="1:19" x14ac:dyDescent="0.3">
      <c r="A644" s="1">
        <v>45811</v>
      </c>
      <c r="B644" s="2" t="s">
        <v>2545</v>
      </c>
      <c r="C644" s="2" t="s">
        <v>2515</v>
      </c>
      <c r="D644" s="2" t="s">
        <v>2528</v>
      </c>
      <c r="E644" s="2" t="s">
        <v>2517</v>
      </c>
      <c r="F644" s="3">
        <v>33648</v>
      </c>
      <c r="G644" s="3">
        <v>456</v>
      </c>
      <c r="H644" s="3">
        <v>41</v>
      </c>
      <c r="I644" s="4">
        <v>603.47</v>
      </c>
      <c r="J644" s="4">
        <v>1694.01</v>
      </c>
      <c r="K644" s="3">
        <v>28</v>
      </c>
      <c r="L644" s="2" t="s">
        <v>2523</v>
      </c>
      <c r="M644" s="2" t="s">
        <v>2537</v>
      </c>
      <c r="N644" t="str">
        <f>TRIM(PROPER(Tabla_auditoría[[#This Row],[ID_Campaña]]))</f>
        <v>Cmp-011</v>
      </c>
      <c r="O644" t="str">
        <f>TRIM(PROPER(Tabla_auditoría[[#This Row],[Canal]]))</f>
        <v>Email</v>
      </c>
      <c r="P644" t="str">
        <f>TRIM(PROPER(Tabla_auditoría[[#This Row],[País]]))</f>
        <v>España</v>
      </c>
      <c r="Q644" t="str">
        <f>TRIM(PROPER(Tabla_auditoría[[#This Row],[Dispositivo]]))</f>
        <v>Desktop</v>
      </c>
      <c r="R644" t="str">
        <f>TRIM(PROPER(Tabla_auditoría[[#This Row],[Tipo_Campaña]]))</f>
        <v>Retención</v>
      </c>
      <c r="S644" t="str">
        <f>TRIM(PROPER(Tabla_auditoría[[#This Row],[Responsable]]))</f>
        <v>Marta López</v>
      </c>
    </row>
    <row r="645" spans="1:19" x14ac:dyDescent="0.3">
      <c r="A645" s="1">
        <v>45746</v>
      </c>
      <c r="B645" s="2" t="s">
        <v>2550</v>
      </c>
      <c r="C645" s="2" t="s">
        <v>2543</v>
      </c>
      <c r="D645" s="2" t="s">
        <v>2587</v>
      </c>
      <c r="E645" s="2" t="s">
        <v>2529</v>
      </c>
      <c r="F645" s="3">
        <v>53021</v>
      </c>
      <c r="G645" s="3">
        <v>431</v>
      </c>
      <c r="H645" s="3">
        <v>38</v>
      </c>
      <c r="I645" s="4">
        <v>247.25</v>
      </c>
      <c r="J645" s="4">
        <v>1076.1300000000001</v>
      </c>
      <c r="K645" s="3">
        <v>26</v>
      </c>
      <c r="L645" s="2" t="s">
        <v>2539</v>
      </c>
      <c r="M645" s="2" t="s">
        <v>2526</v>
      </c>
      <c r="N645" t="str">
        <f>TRIM(PROPER(Tabla_auditoría[[#This Row],[ID_Campaña]]))</f>
        <v>Cmp-008</v>
      </c>
      <c r="O645" t="str">
        <f>TRIM(PROPER(Tabla_auditoría[[#This Row],[Canal]]))</f>
        <v>Organic Social</v>
      </c>
      <c r="P645" t="str">
        <f>TRIM(PROPER(Tabla_auditoría[[#This Row],[País]]))</f>
        <v>Italia</v>
      </c>
      <c r="Q645" t="str">
        <f>TRIM(PROPER(Tabla_auditoría[[#This Row],[Dispositivo]]))</f>
        <v>Mobile</v>
      </c>
      <c r="R645" t="str">
        <f>TRIM(PROPER(Tabla_auditoría[[#This Row],[Tipo_Campaña]]))</f>
        <v>Conversión</v>
      </c>
      <c r="S645" t="str">
        <f>TRIM(PROPER(Tabla_auditoría[[#This Row],[Responsable]]))</f>
        <v>Laura Pérez</v>
      </c>
    </row>
    <row r="646" spans="1:19" x14ac:dyDescent="0.3">
      <c r="A646" s="1">
        <v>45930</v>
      </c>
      <c r="B646" s="2" t="s">
        <v>2574</v>
      </c>
      <c r="C646" s="2" t="s">
        <v>2521</v>
      </c>
      <c r="D646" s="2" t="s">
        <v>2522</v>
      </c>
      <c r="E646" s="2" t="s">
        <v>2517</v>
      </c>
      <c r="F646" s="3">
        <v>151125</v>
      </c>
      <c r="G646" s="3">
        <v>11249</v>
      </c>
      <c r="H646" s="3">
        <v>1346</v>
      </c>
      <c r="I646" s="4">
        <v>21963.78</v>
      </c>
      <c r="J646" s="4">
        <v>131704.06</v>
      </c>
      <c r="K646" s="3">
        <v>666</v>
      </c>
      <c r="L646" s="2" t="s">
        <v>2518</v>
      </c>
      <c r="M646" s="2" t="s">
        <v>2526</v>
      </c>
      <c r="N646" t="str">
        <f>TRIM(PROPER(Tabla_auditoría[[#This Row],[ID_Campaña]]))</f>
        <v>Cmp-003</v>
      </c>
      <c r="O646" t="str">
        <f>TRIM(PROPER(Tabla_auditoría[[#This Row],[Canal]]))</f>
        <v>Paid Search</v>
      </c>
      <c r="P646" t="str">
        <f>TRIM(PROPER(Tabla_auditoría[[#This Row],[País]]))</f>
        <v>Italia</v>
      </c>
      <c r="Q646" t="str">
        <f>TRIM(PROPER(Tabla_auditoría[[#This Row],[Dispositivo]]))</f>
        <v>Desktop</v>
      </c>
      <c r="R646" t="str">
        <f>TRIM(PROPER(Tabla_auditoría[[#This Row],[Tipo_Campaña]]))</f>
        <v>Adquisición</v>
      </c>
      <c r="S646" t="str">
        <f>TRIM(PROPER(Tabla_auditoría[[#This Row],[Responsable]]))</f>
        <v>Laura Pérez</v>
      </c>
    </row>
    <row r="647" spans="1:19" x14ac:dyDescent="0.3">
      <c r="A647" s="1">
        <v>45928</v>
      </c>
      <c r="B647" s="2" t="s">
        <v>2547</v>
      </c>
      <c r="C647" s="2" t="s">
        <v>2521</v>
      </c>
      <c r="D647" s="2" t="s">
        <v>2528</v>
      </c>
      <c r="E647" s="2" t="s">
        <v>2517</v>
      </c>
      <c r="F647" s="3">
        <v>95160</v>
      </c>
      <c r="G647" s="3">
        <v>3905</v>
      </c>
      <c r="H647" s="3">
        <v>216</v>
      </c>
      <c r="I647" s="4">
        <v>5486.17</v>
      </c>
      <c r="J647" s="4">
        <v>25201.43</v>
      </c>
      <c r="K647" s="3">
        <v>162</v>
      </c>
      <c r="L647" s="2" t="s">
        <v>2523</v>
      </c>
      <c r="M647" s="2" t="s">
        <v>2546</v>
      </c>
      <c r="N647" t="str">
        <f>TRIM(PROPER(Tabla_auditoría[[#This Row],[ID_Campaña]]))</f>
        <v>Cmp-018</v>
      </c>
      <c r="O647" t="str">
        <f>TRIM(PROPER(Tabla_auditoría[[#This Row],[Canal]]))</f>
        <v>Paid Search</v>
      </c>
      <c r="P647" t="str">
        <f>TRIM(PROPER(Tabla_auditoría[[#This Row],[País]]))</f>
        <v>España</v>
      </c>
      <c r="Q647" t="str">
        <f>TRIM(PROPER(Tabla_auditoría[[#This Row],[Dispositivo]]))</f>
        <v>Desktop</v>
      </c>
      <c r="R647" t="str">
        <f>TRIM(PROPER(Tabla_auditoría[[#This Row],[Tipo_Campaña]]))</f>
        <v>Retención</v>
      </c>
      <c r="S647" t="str">
        <f>TRIM(PROPER(Tabla_auditoría[[#This Row],[Responsable]]))</f>
        <v>Ana García</v>
      </c>
    </row>
    <row r="648" spans="1:19" x14ac:dyDescent="0.3">
      <c r="A648" s="1">
        <v>45731</v>
      </c>
      <c r="B648" s="2" t="s">
        <v>2545</v>
      </c>
      <c r="C648" s="2" t="s">
        <v>2533</v>
      </c>
      <c r="D648" s="2" t="s">
        <v>2528</v>
      </c>
      <c r="E648" s="2" t="s">
        <v>2517</v>
      </c>
      <c r="F648" s="3">
        <v>87005</v>
      </c>
      <c r="G648" s="3">
        <v>6512</v>
      </c>
      <c r="H648" s="3">
        <v>713</v>
      </c>
      <c r="I648" s="4">
        <v>12440.06</v>
      </c>
      <c r="J648" s="4">
        <v>115661.44</v>
      </c>
      <c r="K648" s="3">
        <v>353</v>
      </c>
      <c r="L648" s="2" t="s">
        <v>2536</v>
      </c>
      <c r="M648" s="2" t="s">
        <v>2526</v>
      </c>
      <c r="N648" t="str">
        <f>TRIM(PROPER(Tabla_auditoría[[#This Row],[ID_Campaña]]))</f>
        <v>Cmp-011</v>
      </c>
      <c r="O648" t="str">
        <f>TRIM(PROPER(Tabla_auditoría[[#This Row],[Canal]]))</f>
        <v>Paid Social</v>
      </c>
      <c r="P648" t="str">
        <f>TRIM(PROPER(Tabla_auditoría[[#This Row],[País]]))</f>
        <v>España</v>
      </c>
      <c r="Q648" t="str">
        <f>TRIM(PROPER(Tabla_auditoría[[#This Row],[Dispositivo]]))</f>
        <v>Desktop</v>
      </c>
      <c r="R648" t="str">
        <f>TRIM(PROPER(Tabla_auditoría[[#This Row],[Tipo_Campaña]]))</f>
        <v>Reconocimiento</v>
      </c>
      <c r="S648" t="str">
        <f>TRIM(PROPER(Tabla_auditoría[[#This Row],[Responsable]]))</f>
        <v>Laura Pérez</v>
      </c>
    </row>
    <row r="649" spans="1:19" x14ac:dyDescent="0.3">
      <c r="A649" s="1">
        <v>45721</v>
      </c>
      <c r="B649" s="2" t="s">
        <v>2552</v>
      </c>
      <c r="C649" s="2" t="s">
        <v>2515</v>
      </c>
      <c r="D649" s="2" t="s">
        <v>2528</v>
      </c>
      <c r="E649" s="2" t="s">
        <v>2517</v>
      </c>
      <c r="F649" s="3">
        <v>81159</v>
      </c>
      <c r="G649" s="3">
        <v>2594</v>
      </c>
      <c r="H649" s="3">
        <v>281</v>
      </c>
      <c r="I649" s="4">
        <v>1977.55</v>
      </c>
      <c r="J649" s="4">
        <v>16439.189999999999</v>
      </c>
      <c r="K649" s="3">
        <v>140</v>
      </c>
      <c r="L649" s="2" t="s">
        <v>2536</v>
      </c>
      <c r="M649" s="2" t="s">
        <v>2524</v>
      </c>
      <c r="N649" t="str">
        <f>TRIM(PROPER(Tabla_auditoría[[#This Row],[ID_Campaña]]))</f>
        <v>Cmp-012</v>
      </c>
      <c r="O649" t="str">
        <f>TRIM(PROPER(Tabla_auditoría[[#This Row],[Canal]]))</f>
        <v>Email</v>
      </c>
      <c r="P649" t="str">
        <f>TRIM(PROPER(Tabla_auditoría[[#This Row],[País]]))</f>
        <v>España</v>
      </c>
      <c r="Q649" t="str">
        <f>TRIM(PROPER(Tabla_auditoría[[#This Row],[Dispositivo]]))</f>
        <v>Desktop</v>
      </c>
      <c r="R649" t="str">
        <f>TRIM(PROPER(Tabla_auditoría[[#This Row],[Tipo_Campaña]]))</f>
        <v>Reconocimiento</v>
      </c>
      <c r="S649" t="str">
        <f>TRIM(PROPER(Tabla_auditoría[[#This Row],[Responsable]]))</f>
        <v>Luis Martín</v>
      </c>
    </row>
    <row r="650" spans="1:19" x14ac:dyDescent="0.3">
      <c r="A650" s="1">
        <v>46016</v>
      </c>
      <c r="B650" s="2" t="s">
        <v>2530</v>
      </c>
      <c r="C650" s="2" t="s">
        <v>2541</v>
      </c>
      <c r="D650" s="2" t="s">
        <v>2531</v>
      </c>
      <c r="E650" s="2" t="s">
        <v>2534</v>
      </c>
      <c r="F650" s="3">
        <v>146738</v>
      </c>
      <c r="G650" s="3">
        <v>11190</v>
      </c>
      <c r="H650" s="3">
        <v>809</v>
      </c>
      <c r="I650" s="4">
        <v>3671.31</v>
      </c>
      <c r="J650" s="4">
        <v>171892.14</v>
      </c>
      <c r="K650" s="3">
        <v>716</v>
      </c>
      <c r="L650" s="2" t="s">
        <v>2523</v>
      </c>
      <c r="M650" s="2" t="s">
        <v>2519</v>
      </c>
      <c r="N650" t="str">
        <f>TRIM(PROPER(Tabla_auditoría[[#This Row],[ID_Campaña]]))</f>
        <v>Cmp-026</v>
      </c>
      <c r="O650" t="str">
        <f>TRIM(PROPER(Tabla_auditoría[[#This Row],[Canal]]))</f>
        <v>Display</v>
      </c>
      <c r="P650" t="str">
        <f>TRIM(PROPER(Tabla_auditoría[[#This Row],[País]]))</f>
        <v>Portugal</v>
      </c>
      <c r="Q650" t="str">
        <f>TRIM(PROPER(Tabla_auditoría[[#This Row],[Dispositivo]]))</f>
        <v>Tablet</v>
      </c>
      <c r="R650" t="str">
        <f>TRIM(PROPER(Tabla_auditoría[[#This Row],[Tipo_Campaña]]))</f>
        <v>Retención</v>
      </c>
      <c r="S650" t="str">
        <f>TRIM(PROPER(Tabla_auditoría[[#This Row],[Responsable]]))</f>
        <v>Carlos Ruiz</v>
      </c>
    </row>
    <row r="651" spans="1:19" x14ac:dyDescent="0.3">
      <c r="A651" s="1">
        <v>45960</v>
      </c>
      <c r="B651" s="2" t="s">
        <v>2563</v>
      </c>
      <c r="C651" s="2" t="s">
        <v>2521</v>
      </c>
      <c r="D651" s="2" t="s">
        <v>2525</v>
      </c>
      <c r="E651" s="2" t="s">
        <v>2529</v>
      </c>
      <c r="F651" s="3">
        <v>74760</v>
      </c>
      <c r="G651" s="3">
        <v>5526</v>
      </c>
      <c r="H651" s="3">
        <v>276</v>
      </c>
      <c r="I651" s="4">
        <v>10694.04</v>
      </c>
      <c r="J651" s="4">
        <v>54850.02</v>
      </c>
      <c r="K651" s="3">
        <v>149</v>
      </c>
      <c r="L651" s="2" t="s">
        <v>2536</v>
      </c>
      <c r="M651" s="2" t="s">
        <v>2537</v>
      </c>
      <c r="N651" t="str">
        <f>TRIM(PROPER(Tabla_auditoría[[#This Row],[ID_Campaña]]))</f>
        <v>Cmp-023</v>
      </c>
      <c r="O651" t="str">
        <f>TRIM(PROPER(Tabla_auditoría[[#This Row],[Canal]]))</f>
        <v>Paid Search</v>
      </c>
      <c r="P651" t="str">
        <f>TRIM(PROPER(Tabla_auditoría[[#This Row],[País]]))</f>
        <v>Francia</v>
      </c>
      <c r="Q651" t="str">
        <f>TRIM(PROPER(Tabla_auditoría[[#This Row],[Dispositivo]]))</f>
        <v>Mobile</v>
      </c>
      <c r="R651" t="str">
        <f>TRIM(PROPER(Tabla_auditoría[[#This Row],[Tipo_Campaña]]))</f>
        <v>Reconocimiento</v>
      </c>
      <c r="S651" t="str">
        <f>TRIM(PROPER(Tabla_auditoría[[#This Row],[Responsable]]))</f>
        <v>Marta López</v>
      </c>
    </row>
    <row r="652" spans="1:19" x14ac:dyDescent="0.3">
      <c r="A652" s="1">
        <v>45832</v>
      </c>
      <c r="B652" s="2" t="s">
        <v>2545</v>
      </c>
      <c r="C652" s="2" t="s">
        <v>2541</v>
      </c>
      <c r="D652" s="2" t="s">
        <v>2525</v>
      </c>
      <c r="E652" s="2" t="s">
        <v>2534</v>
      </c>
      <c r="F652" s="3">
        <v>86482</v>
      </c>
      <c r="G652" s="3">
        <v>629</v>
      </c>
      <c r="H652" s="3">
        <v>43</v>
      </c>
      <c r="I652" s="4">
        <v>1227.1199999999999</v>
      </c>
      <c r="J652" s="4">
        <v>1018.31</v>
      </c>
      <c r="K652" s="3">
        <v>28</v>
      </c>
      <c r="L652" s="2" t="s">
        <v>2518</v>
      </c>
      <c r="M652" s="2" t="s">
        <v>2519</v>
      </c>
      <c r="N652" t="str">
        <f>TRIM(PROPER(Tabla_auditoría[[#This Row],[ID_Campaña]]))</f>
        <v>Cmp-011</v>
      </c>
      <c r="O652" t="str">
        <f>TRIM(PROPER(Tabla_auditoría[[#This Row],[Canal]]))</f>
        <v>Display</v>
      </c>
      <c r="P652" t="str">
        <f>TRIM(PROPER(Tabla_auditoría[[#This Row],[País]]))</f>
        <v>Francia</v>
      </c>
      <c r="Q652" t="str">
        <f>TRIM(PROPER(Tabla_auditoría[[#This Row],[Dispositivo]]))</f>
        <v>Tablet</v>
      </c>
      <c r="R652" t="str">
        <f>TRIM(PROPER(Tabla_auditoría[[#This Row],[Tipo_Campaña]]))</f>
        <v>Adquisición</v>
      </c>
      <c r="S652" t="str">
        <f>TRIM(PROPER(Tabla_auditoría[[#This Row],[Responsable]]))</f>
        <v>Carlos Ruiz</v>
      </c>
    </row>
    <row r="653" spans="1:19" x14ac:dyDescent="0.3">
      <c r="A653" s="1">
        <v>45677</v>
      </c>
      <c r="B653" s="2" t="s">
        <v>2557</v>
      </c>
      <c r="C653" s="2" t="s">
        <v>2527</v>
      </c>
      <c r="D653" s="2" t="s">
        <v>2531</v>
      </c>
      <c r="E653" s="2" t="s">
        <v>2529</v>
      </c>
      <c r="F653" s="3">
        <v>44918</v>
      </c>
      <c r="G653" s="3">
        <v>1633</v>
      </c>
      <c r="H653" s="3">
        <v>208</v>
      </c>
      <c r="I653" s="4">
        <v>2262.04</v>
      </c>
      <c r="J653" s="4">
        <v>9065.77</v>
      </c>
      <c r="K653" s="3">
        <v>179</v>
      </c>
      <c r="L653" s="2" t="s">
        <v>2518</v>
      </c>
      <c r="M653" s="2" t="s">
        <v>2524</v>
      </c>
      <c r="N653" t="str">
        <f>TRIM(PROPER(Tabla_auditoría[[#This Row],[ID_Campaña]]))</f>
        <v>Cmp-030</v>
      </c>
      <c r="O653" t="str">
        <f>TRIM(PROPER(Tabla_auditoría[[#This Row],[Canal]]))</f>
        <v>Affiliate</v>
      </c>
      <c r="P653" t="str">
        <f>TRIM(PROPER(Tabla_auditoría[[#This Row],[País]]))</f>
        <v>Portugal</v>
      </c>
      <c r="Q653" t="str">
        <f>TRIM(PROPER(Tabla_auditoría[[#This Row],[Dispositivo]]))</f>
        <v>Mobile</v>
      </c>
      <c r="R653" t="str">
        <f>TRIM(PROPER(Tabla_auditoría[[#This Row],[Tipo_Campaña]]))</f>
        <v>Adquisición</v>
      </c>
      <c r="S653" t="str">
        <f>TRIM(PROPER(Tabla_auditoría[[#This Row],[Responsable]]))</f>
        <v>Luis Martín</v>
      </c>
    </row>
    <row r="654" spans="1:19" x14ac:dyDescent="0.3">
      <c r="A654" s="1">
        <v>45893</v>
      </c>
      <c r="B654" s="2" t="s">
        <v>2545</v>
      </c>
      <c r="C654" s="2" t="s">
        <v>2515</v>
      </c>
      <c r="D654" s="2" t="s">
        <v>2525</v>
      </c>
      <c r="E654" s="2" t="s">
        <v>2517</v>
      </c>
      <c r="F654" s="3">
        <v>126350</v>
      </c>
      <c r="G654" s="3">
        <v>6760</v>
      </c>
      <c r="H654" s="3">
        <v>630</v>
      </c>
      <c r="I654" s="4">
        <v>3975.02</v>
      </c>
      <c r="J654" s="4">
        <v>91938.97</v>
      </c>
      <c r="K654" s="3">
        <v>544</v>
      </c>
      <c r="L654" s="2" t="s">
        <v>2523</v>
      </c>
      <c r="N654" t="str">
        <f>TRIM(PROPER(Tabla_auditoría[[#This Row],[ID_Campaña]]))</f>
        <v>Cmp-011</v>
      </c>
      <c r="O654" t="str">
        <f>TRIM(PROPER(Tabla_auditoría[[#This Row],[Canal]]))</f>
        <v>Email</v>
      </c>
      <c r="P654" t="str">
        <f>TRIM(PROPER(Tabla_auditoría[[#This Row],[País]]))</f>
        <v>Francia</v>
      </c>
      <c r="Q654" t="str">
        <f>TRIM(PROPER(Tabla_auditoría[[#This Row],[Dispositivo]]))</f>
        <v>Desktop</v>
      </c>
      <c r="R654" t="str">
        <f>TRIM(PROPER(Tabla_auditoría[[#This Row],[Tipo_Campaña]]))</f>
        <v>Retención</v>
      </c>
      <c r="S654" t="str">
        <f>TRIM(PROPER(Tabla_auditoría[[#This Row],[Responsable]]))</f>
        <v/>
      </c>
    </row>
    <row r="655" spans="1:19" x14ac:dyDescent="0.3">
      <c r="A655" s="1">
        <v>45734</v>
      </c>
      <c r="B655" s="2" t="s">
        <v>2551</v>
      </c>
      <c r="C655" s="2" t="s">
        <v>2543</v>
      </c>
      <c r="D655" s="2" t="s">
        <v>2522</v>
      </c>
      <c r="E655" s="2" t="s">
        <v>2534</v>
      </c>
      <c r="F655" s="3">
        <v>47013</v>
      </c>
      <c r="G655" s="3">
        <v>930</v>
      </c>
      <c r="H655" s="3">
        <v>8</v>
      </c>
      <c r="I655" s="4">
        <v>936.32</v>
      </c>
      <c r="J655" s="4">
        <v>1098.92</v>
      </c>
      <c r="K655" s="3">
        <v>6</v>
      </c>
      <c r="L655" s="2" t="s">
        <v>2523</v>
      </c>
      <c r="M655" s="2" t="s">
        <v>2537</v>
      </c>
      <c r="N655" t="str">
        <f>TRIM(PROPER(Tabla_auditoría[[#This Row],[ID_Campaña]]))</f>
        <v>Cmp-028</v>
      </c>
      <c r="O655" t="str">
        <f>TRIM(PROPER(Tabla_auditoría[[#This Row],[Canal]]))</f>
        <v>Organic Social</v>
      </c>
      <c r="P655" t="str">
        <f>TRIM(PROPER(Tabla_auditoría[[#This Row],[País]]))</f>
        <v>Italia</v>
      </c>
      <c r="Q655" t="str">
        <f>TRIM(PROPER(Tabla_auditoría[[#This Row],[Dispositivo]]))</f>
        <v>Tablet</v>
      </c>
      <c r="R655" t="str">
        <f>TRIM(PROPER(Tabla_auditoría[[#This Row],[Tipo_Campaña]]))</f>
        <v>Retención</v>
      </c>
      <c r="S655" t="str">
        <f>TRIM(PROPER(Tabla_auditoría[[#This Row],[Responsable]]))</f>
        <v>Marta López</v>
      </c>
    </row>
    <row r="656" spans="1:19" x14ac:dyDescent="0.3">
      <c r="A656" s="1">
        <v>45703</v>
      </c>
      <c r="B656" s="2" t="s">
        <v>2542</v>
      </c>
      <c r="C656" s="2" t="s">
        <v>2541</v>
      </c>
      <c r="D656" s="2" t="s">
        <v>2528</v>
      </c>
      <c r="E656" s="2" t="s">
        <v>2529</v>
      </c>
      <c r="F656" s="3">
        <v>161969</v>
      </c>
      <c r="G656" s="3">
        <v>2844</v>
      </c>
      <c r="H656" s="3">
        <v>392</v>
      </c>
      <c r="I656" s="4">
        <v>3952.39</v>
      </c>
      <c r="J656" s="4">
        <v>27562.18</v>
      </c>
      <c r="K656" s="3">
        <v>273</v>
      </c>
      <c r="L656" s="2" t="s">
        <v>2539</v>
      </c>
      <c r="M656" s="2" t="s">
        <v>2546</v>
      </c>
      <c r="N656" t="str">
        <f>TRIM(PROPER(Tabla_auditoría[[#This Row],[ID_Campaña]]))</f>
        <v>Cmp-025</v>
      </c>
      <c r="O656" t="str">
        <f>TRIM(PROPER(Tabla_auditoría[[#This Row],[Canal]]))</f>
        <v>Display</v>
      </c>
      <c r="P656" t="str">
        <f>TRIM(PROPER(Tabla_auditoría[[#This Row],[País]]))</f>
        <v>España</v>
      </c>
      <c r="Q656" t="str">
        <f>TRIM(PROPER(Tabla_auditoría[[#This Row],[Dispositivo]]))</f>
        <v>Mobile</v>
      </c>
      <c r="R656" t="str">
        <f>TRIM(PROPER(Tabla_auditoría[[#This Row],[Tipo_Campaña]]))</f>
        <v>Conversión</v>
      </c>
      <c r="S656" t="str">
        <f>TRIM(PROPER(Tabla_auditoría[[#This Row],[Responsable]]))</f>
        <v>Ana García</v>
      </c>
    </row>
    <row r="657" spans="1:19" x14ac:dyDescent="0.3">
      <c r="A657" s="1">
        <v>45804</v>
      </c>
      <c r="B657" s="2" t="s">
        <v>2569</v>
      </c>
      <c r="C657" s="2" t="s">
        <v>2533</v>
      </c>
      <c r="D657" s="2" t="s">
        <v>2528</v>
      </c>
      <c r="E657" s="2" t="s">
        <v>2529</v>
      </c>
      <c r="F657" s="3">
        <v>159275</v>
      </c>
      <c r="G657" s="3">
        <v>3864</v>
      </c>
      <c r="H657" s="3">
        <v>313</v>
      </c>
      <c r="I657" s="4">
        <v>4832.8900000000003</v>
      </c>
      <c r="J657" s="4">
        <v>39914.720000000001</v>
      </c>
      <c r="K657" s="3">
        <v>224</v>
      </c>
      <c r="L657" s="2" t="s">
        <v>2536</v>
      </c>
      <c r="M657" s="2" t="s">
        <v>2537</v>
      </c>
      <c r="N657" t="str">
        <f>TRIM(PROPER(Tabla_auditoría[[#This Row],[ID_Campaña]]))</f>
        <v>Cmp-013</v>
      </c>
      <c r="O657" t="str">
        <f>TRIM(PROPER(Tabla_auditoría[[#This Row],[Canal]]))</f>
        <v>Paid Social</v>
      </c>
      <c r="P657" t="str">
        <f>TRIM(PROPER(Tabla_auditoría[[#This Row],[País]]))</f>
        <v>España</v>
      </c>
      <c r="Q657" t="str">
        <f>TRIM(PROPER(Tabla_auditoría[[#This Row],[Dispositivo]]))</f>
        <v>Mobile</v>
      </c>
      <c r="R657" t="str">
        <f>TRIM(PROPER(Tabla_auditoría[[#This Row],[Tipo_Campaña]]))</f>
        <v>Reconocimiento</v>
      </c>
      <c r="S657" t="str">
        <f>TRIM(PROPER(Tabla_auditoría[[#This Row],[Responsable]]))</f>
        <v>Marta López</v>
      </c>
    </row>
    <row r="658" spans="1:19" x14ac:dyDescent="0.3">
      <c r="A658" s="1">
        <v>45913</v>
      </c>
      <c r="B658" s="2" t="s">
        <v>2588</v>
      </c>
      <c r="C658" s="2" t="s">
        <v>2521</v>
      </c>
      <c r="D658" s="2" t="s">
        <v>2528</v>
      </c>
      <c r="E658" s="2" t="s">
        <v>2517</v>
      </c>
      <c r="F658" s="3">
        <v>1702</v>
      </c>
      <c r="G658" s="3">
        <v>96</v>
      </c>
      <c r="H658" s="3">
        <v>9</v>
      </c>
      <c r="I658" s="4">
        <v>15.89</v>
      </c>
      <c r="J658" s="4">
        <v>1009.66</v>
      </c>
      <c r="K658" s="3">
        <v>7</v>
      </c>
      <c r="L658" s="2" t="s">
        <v>2518</v>
      </c>
      <c r="M658" s="2" t="s">
        <v>2526</v>
      </c>
      <c r="N658" t="str">
        <f>TRIM(PROPER(Tabla_auditoría[[#This Row],[ID_Campaña]]))</f>
        <v>Cmp-029</v>
      </c>
      <c r="O658" t="str">
        <f>TRIM(PROPER(Tabla_auditoría[[#This Row],[Canal]]))</f>
        <v>Paid Search</v>
      </c>
      <c r="P658" t="str">
        <f>TRIM(PROPER(Tabla_auditoría[[#This Row],[País]]))</f>
        <v>España</v>
      </c>
      <c r="Q658" t="str">
        <f>TRIM(PROPER(Tabla_auditoría[[#This Row],[Dispositivo]]))</f>
        <v>Desktop</v>
      </c>
      <c r="R658" t="str">
        <f>TRIM(PROPER(Tabla_auditoría[[#This Row],[Tipo_Campaña]]))</f>
        <v>Adquisición</v>
      </c>
      <c r="S658" t="str">
        <f>TRIM(PROPER(Tabla_auditoría[[#This Row],[Responsable]]))</f>
        <v>Laura Pérez</v>
      </c>
    </row>
    <row r="659" spans="1:19" x14ac:dyDescent="0.3">
      <c r="A659" s="1">
        <v>45730</v>
      </c>
      <c r="B659" s="2" t="s">
        <v>2564</v>
      </c>
      <c r="C659" s="2" t="s">
        <v>2543</v>
      </c>
      <c r="D659" s="2" t="s">
        <v>2525</v>
      </c>
      <c r="E659" s="2" t="s">
        <v>2517</v>
      </c>
      <c r="F659" s="3">
        <v>135293</v>
      </c>
      <c r="G659" s="3">
        <v>5402</v>
      </c>
      <c r="H659" s="3">
        <v>408</v>
      </c>
      <c r="I659" s="4">
        <v>5556.44</v>
      </c>
      <c r="J659" s="4">
        <v>78557.27</v>
      </c>
      <c r="K659" s="3">
        <v>207</v>
      </c>
      <c r="L659" s="2" t="s">
        <v>2518</v>
      </c>
      <c r="M659" s="2" t="s">
        <v>2546</v>
      </c>
      <c r="N659" t="str">
        <f>TRIM(PROPER(Tabla_auditoría[[#This Row],[ID_Campaña]]))</f>
        <v>Cmp-024</v>
      </c>
      <c r="O659" t="str">
        <f>TRIM(PROPER(Tabla_auditoría[[#This Row],[Canal]]))</f>
        <v>Organic Social</v>
      </c>
      <c r="P659" t="str">
        <f>TRIM(PROPER(Tabla_auditoría[[#This Row],[País]]))</f>
        <v>Francia</v>
      </c>
      <c r="Q659" t="str">
        <f>TRIM(PROPER(Tabla_auditoría[[#This Row],[Dispositivo]]))</f>
        <v>Desktop</v>
      </c>
      <c r="R659" t="str">
        <f>TRIM(PROPER(Tabla_auditoría[[#This Row],[Tipo_Campaña]]))</f>
        <v>Adquisición</v>
      </c>
      <c r="S659" t="str">
        <f>TRIM(PROPER(Tabla_auditoría[[#This Row],[Responsable]]))</f>
        <v>Ana García</v>
      </c>
    </row>
    <row r="660" spans="1:19" x14ac:dyDescent="0.3">
      <c r="A660" s="1">
        <v>45779</v>
      </c>
      <c r="B660" s="2" t="s">
        <v>2566</v>
      </c>
      <c r="C660" s="2" t="s">
        <v>2541</v>
      </c>
      <c r="D660" s="2" t="s">
        <v>2528</v>
      </c>
      <c r="E660" s="2" t="s">
        <v>2517</v>
      </c>
      <c r="F660" s="3">
        <v>44362</v>
      </c>
      <c r="G660" s="3">
        <v>1486</v>
      </c>
      <c r="H660" s="3">
        <v>86</v>
      </c>
      <c r="I660" s="4">
        <v>2994.64</v>
      </c>
      <c r="J660" s="4">
        <v>8399.7099999999991</v>
      </c>
      <c r="K660" s="3">
        <v>70</v>
      </c>
      <c r="L660" s="2" t="s">
        <v>2523</v>
      </c>
      <c r="M660" s="2" t="s">
        <v>2524</v>
      </c>
      <c r="N660" t="str">
        <f>TRIM(PROPER(Tabla_auditoría[[#This Row],[ID_Campaña]]))</f>
        <v>Cmp-001</v>
      </c>
      <c r="O660" t="str">
        <f>TRIM(PROPER(Tabla_auditoría[[#This Row],[Canal]]))</f>
        <v>Display</v>
      </c>
      <c r="P660" t="str">
        <f>TRIM(PROPER(Tabla_auditoría[[#This Row],[País]]))</f>
        <v>España</v>
      </c>
      <c r="Q660" t="str">
        <f>TRIM(PROPER(Tabla_auditoría[[#This Row],[Dispositivo]]))</f>
        <v>Desktop</v>
      </c>
      <c r="R660" t="str">
        <f>TRIM(PROPER(Tabla_auditoría[[#This Row],[Tipo_Campaña]]))</f>
        <v>Retención</v>
      </c>
      <c r="S660" t="str">
        <f>TRIM(PROPER(Tabla_auditoría[[#This Row],[Responsable]]))</f>
        <v>Luis Martín</v>
      </c>
    </row>
    <row r="661" spans="1:19" x14ac:dyDescent="0.3">
      <c r="A661" s="1">
        <v>45922</v>
      </c>
      <c r="B661" s="2" t="s">
        <v>2565</v>
      </c>
      <c r="C661" s="2" t="s">
        <v>2515</v>
      </c>
      <c r="D661" s="2" t="s">
        <v>2528</v>
      </c>
      <c r="E661" s="2" t="s">
        <v>2534</v>
      </c>
      <c r="F661" s="3">
        <v>99175</v>
      </c>
      <c r="G661" s="3">
        <v>7418</v>
      </c>
      <c r="H661" s="3">
        <v>728</v>
      </c>
      <c r="I661" s="4">
        <v>3074.55</v>
      </c>
      <c r="J661" s="4">
        <v>93339.63</v>
      </c>
      <c r="K661" s="3">
        <v>330</v>
      </c>
      <c r="L661" s="2" t="s">
        <v>2518</v>
      </c>
      <c r="M661" s="2" t="s">
        <v>2526</v>
      </c>
      <c r="N661" t="str">
        <f>TRIM(PROPER(Tabla_auditoría[[#This Row],[ID_Campaña]]))</f>
        <v>Cmp-005</v>
      </c>
      <c r="O661" t="str">
        <f>TRIM(PROPER(Tabla_auditoría[[#This Row],[Canal]]))</f>
        <v>Email</v>
      </c>
      <c r="P661" t="str">
        <f>TRIM(PROPER(Tabla_auditoría[[#This Row],[País]]))</f>
        <v>España</v>
      </c>
      <c r="Q661" t="str">
        <f>TRIM(PROPER(Tabla_auditoría[[#This Row],[Dispositivo]]))</f>
        <v>Tablet</v>
      </c>
      <c r="R661" t="str">
        <f>TRIM(PROPER(Tabla_auditoría[[#This Row],[Tipo_Campaña]]))</f>
        <v>Adquisición</v>
      </c>
      <c r="S661" t="str">
        <f>TRIM(PROPER(Tabla_auditoría[[#This Row],[Responsable]]))</f>
        <v>Laura Pérez</v>
      </c>
    </row>
    <row r="662" spans="1:19" x14ac:dyDescent="0.3">
      <c r="A662" s="1">
        <v>46017</v>
      </c>
      <c r="B662" s="2" t="s">
        <v>2567</v>
      </c>
      <c r="C662" s="2" t="s">
        <v>2533</v>
      </c>
      <c r="D662" s="2" t="s">
        <v>2528</v>
      </c>
      <c r="E662" s="2" t="s">
        <v>2529</v>
      </c>
      <c r="F662" s="3">
        <v>109986</v>
      </c>
      <c r="G662" s="3">
        <v>9817</v>
      </c>
      <c r="H662" s="3">
        <v>535</v>
      </c>
      <c r="I662" s="4">
        <v>14561.54</v>
      </c>
      <c r="J662" s="4">
        <v>45881.61</v>
      </c>
      <c r="K662" s="3">
        <v>287</v>
      </c>
      <c r="L662" s="2" t="s">
        <v>2539</v>
      </c>
      <c r="M662" s="2" t="s">
        <v>2526</v>
      </c>
      <c r="N662" t="str">
        <f>TRIM(PROPER(Tabla_auditoría[[#This Row],[ID_Campaña]]))</f>
        <v>Cmp-021</v>
      </c>
      <c r="O662" t="str">
        <f>TRIM(PROPER(Tabla_auditoría[[#This Row],[Canal]]))</f>
        <v>Paid Social</v>
      </c>
      <c r="P662" t="str">
        <f>TRIM(PROPER(Tabla_auditoría[[#This Row],[País]]))</f>
        <v>España</v>
      </c>
      <c r="Q662" t="str">
        <f>TRIM(PROPER(Tabla_auditoría[[#This Row],[Dispositivo]]))</f>
        <v>Mobile</v>
      </c>
      <c r="R662" t="str">
        <f>TRIM(PROPER(Tabla_auditoría[[#This Row],[Tipo_Campaña]]))</f>
        <v>Conversión</v>
      </c>
      <c r="S662" t="str">
        <f>TRIM(PROPER(Tabla_auditoría[[#This Row],[Responsable]]))</f>
        <v>Laura Pérez</v>
      </c>
    </row>
    <row r="663" spans="1:19" x14ac:dyDescent="0.3">
      <c r="A663" s="1">
        <v>45811</v>
      </c>
      <c r="B663" s="2" t="s">
        <v>2571</v>
      </c>
      <c r="C663" s="2" t="s">
        <v>2515</v>
      </c>
      <c r="D663" s="2" t="s">
        <v>2525</v>
      </c>
      <c r="E663" s="2" t="s">
        <v>2517</v>
      </c>
      <c r="F663" s="3">
        <v>135869</v>
      </c>
      <c r="G663" s="3">
        <v>136843</v>
      </c>
      <c r="H663" s="3">
        <v>75</v>
      </c>
      <c r="I663" s="4">
        <v>1587.29</v>
      </c>
      <c r="J663" s="4">
        <v>5593.64</v>
      </c>
      <c r="K663" s="3">
        <v>49</v>
      </c>
      <c r="L663" s="2" t="s">
        <v>2539</v>
      </c>
      <c r="M663" s="2" t="s">
        <v>2526</v>
      </c>
      <c r="N663" t="str">
        <f>TRIM(PROPER(Tabla_auditoría[[#This Row],[ID_Campaña]]))</f>
        <v>Cmp-029</v>
      </c>
      <c r="O663" t="str">
        <f>TRIM(PROPER(Tabla_auditoría[[#This Row],[Canal]]))</f>
        <v>Email</v>
      </c>
      <c r="P663" t="str">
        <f>TRIM(PROPER(Tabla_auditoría[[#This Row],[País]]))</f>
        <v>Francia</v>
      </c>
      <c r="Q663" t="str">
        <f>TRIM(PROPER(Tabla_auditoría[[#This Row],[Dispositivo]]))</f>
        <v>Desktop</v>
      </c>
      <c r="R663" t="str">
        <f>TRIM(PROPER(Tabla_auditoría[[#This Row],[Tipo_Campaña]]))</f>
        <v>Conversión</v>
      </c>
      <c r="S663" t="str">
        <f>TRIM(PROPER(Tabla_auditoría[[#This Row],[Responsable]]))</f>
        <v>Laura Pérez</v>
      </c>
    </row>
    <row r="664" spans="1:19" x14ac:dyDescent="0.3">
      <c r="A664" s="1">
        <v>45895</v>
      </c>
      <c r="B664" s="2" t="s">
        <v>2565</v>
      </c>
      <c r="C664" s="2" t="s">
        <v>2527</v>
      </c>
      <c r="D664" s="2" t="s">
        <v>2528</v>
      </c>
      <c r="E664" s="2" t="s">
        <v>2529</v>
      </c>
      <c r="F664" s="3">
        <v>162662</v>
      </c>
      <c r="G664" s="3">
        <v>4815</v>
      </c>
      <c r="H664" s="3">
        <v>566</v>
      </c>
      <c r="I664" s="4">
        <v>9443.9</v>
      </c>
      <c r="J664" s="4">
        <v>56501.69</v>
      </c>
      <c r="K664" s="3">
        <v>434</v>
      </c>
      <c r="L664" s="2" t="s">
        <v>2539</v>
      </c>
      <c r="M664" s="2" t="s">
        <v>2537</v>
      </c>
      <c r="N664" t="str">
        <f>TRIM(PROPER(Tabla_auditoría[[#This Row],[ID_Campaña]]))</f>
        <v>Cmp-005</v>
      </c>
      <c r="O664" t="str">
        <f>TRIM(PROPER(Tabla_auditoría[[#This Row],[Canal]]))</f>
        <v>Affiliate</v>
      </c>
      <c r="P664" t="str">
        <f>TRIM(PROPER(Tabla_auditoría[[#This Row],[País]]))</f>
        <v>España</v>
      </c>
      <c r="Q664" t="str">
        <f>TRIM(PROPER(Tabla_auditoría[[#This Row],[Dispositivo]]))</f>
        <v>Mobile</v>
      </c>
      <c r="R664" t="str">
        <f>TRIM(PROPER(Tabla_auditoría[[#This Row],[Tipo_Campaña]]))</f>
        <v>Conversión</v>
      </c>
      <c r="S664" t="str">
        <f>TRIM(PROPER(Tabla_auditoría[[#This Row],[Responsable]]))</f>
        <v>Marta López</v>
      </c>
    </row>
    <row r="665" spans="1:19" x14ac:dyDescent="0.3">
      <c r="A665" s="1">
        <v>45842</v>
      </c>
      <c r="B665" s="2" t="s">
        <v>2551</v>
      </c>
      <c r="C665" s="2" t="s">
        <v>2521</v>
      </c>
      <c r="D665" s="2" t="s">
        <v>2525</v>
      </c>
      <c r="E665" s="2" t="s">
        <v>2517</v>
      </c>
      <c r="F665" s="3">
        <v>152078</v>
      </c>
      <c r="G665" s="3">
        <v>3574</v>
      </c>
      <c r="H665" s="3">
        <v>457</v>
      </c>
      <c r="I665" s="4">
        <v>2691.66</v>
      </c>
      <c r="J665" s="4">
        <v>13195.07</v>
      </c>
      <c r="K665" s="3">
        <v>360</v>
      </c>
      <c r="L665" s="2" t="s">
        <v>2523</v>
      </c>
      <c r="M665" s="2" t="s">
        <v>2537</v>
      </c>
      <c r="N665" t="str">
        <f>TRIM(PROPER(Tabla_auditoría[[#This Row],[ID_Campaña]]))</f>
        <v>Cmp-028</v>
      </c>
      <c r="O665" t="str">
        <f>TRIM(PROPER(Tabla_auditoría[[#This Row],[Canal]]))</f>
        <v>Paid Search</v>
      </c>
      <c r="P665" t="str">
        <f>TRIM(PROPER(Tabla_auditoría[[#This Row],[País]]))</f>
        <v>Francia</v>
      </c>
      <c r="Q665" t="str">
        <f>TRIM(PROPER(Tabla_auditoría[[#This Row],[Dispositivo]]))</f>
        <v>Desktop</v>
      </c>
      <c r="R665" t="str">
        <f>TRIM(PROPER(Tabla_auditoría[[#This Row],[Tipo_Campaña]]))</f>
        <v>Retención</v>
      </c>
      <c r="S665" t="str">
        <f>TRIM(PROPER(Tabla_auditoría[[#This Row],[Responsable]]))</f>
        <v>Marta López</v>
      </c>
    </row>
    <row r="666" spans="1:19" x14ac:dyDescent="0.3">
      <c r="A666" s="1">
        <v>45754</v>
      </c>
      <c r="B666" s="2" t="s">
        <v>2564</v>
      </c>
      <c r="C666" s="2" t="s">
        <v>2541</v>
      </c>
      <c r="D666" s="2" t="s">
        <v>2528</v>
      </c>
      <c r="E666" s="2" t="s">
        <v>2529</v>
      </c>
      <c r="F666" s="3">
        <v>148477</v>
      </c>
      <c r="G666" s="3">
        <v>8778</v>
      </c>
      <c r="H666" s="3">
        <v>358</v>
      </c>
      <c r="I666" s="4">
        <v>10750.86</v>
      </c>
      <c r="J666" s="4">
        <v>62423.5</v>
      </c>
      <c r="K666" s="3">
        <v>238</v>
      </c>
      <c r="L666" s="2" t="s">
        <v>2523</v>
      </c>
      <c r="M666" s="2" t="s">
        <v>2537</v>
      </c>
      <c r="N666" t="str">
        <f>TRIM(PROPER(Tabla_auditoría[[#This Row],[ID_Campaña]]))</f>
        <v>Cmp-024</v>
      </c>
      <c r="O666" t="str">
        <f>TRIM(PROPER(Tabla_auditoría[[#This Row],[Canal]]))</f>
        <v>Display</v>
      </c>
      <c r="P666" t="str">
        <f>TRIM(PROPER(Tabla_auditoría[[#This Row],[País]]))</f>
        <v>España</v>
      </c>
      <c r="Q666" t="str">
        <f>TRIM(PROPER(Tabla_auditoría[[#This Row],[Dispositivo]]))</f>
        <v>Mobile</v>
      </c>
      <c r="R666" t="str">
        <f>TRIM(PROPER(Tabla_auditoría[[#This Row],[Tipo_Campaña]]))</f>
        <v>Retención</v>
      </c>
      <c r="S666" t="str">
        <f>TRIM(PROPER(Tabla_auditoría[[#This Row],[Responsable]]))</f>
        <v>Marta López</v>
      </c>
    </row>
    <row r="667" spans="1:19" x14ac:dyDescent="0.3">
      <c r="A667" s="1">
        <v>45834</v>
      </c>
      <c r="B667" s="2" t="s">
        <v>2520</v>
      </c>
      <c r="C667" s="2" t="s">
        <v>2543</v>
      </c>
      <c r="D667" s="2" t="s">
        <v>2525</v>
      </c>
      <c r="E667" s="2" t="s">
        <v>2517</v>
      </c>
      <c r="F667" s="3">
        <v>2680</v>
      </c>
      <c r="G667" s="3">
        <v>179</v>
      </c>
      <c r="H667" s="3">
        <v>15</v>
      </c>
      <c r="I667" s="4">
        <v>76.08</v>
      </c>
      <c r="J667" s="4">
        <v>2679.01</v>
      </c>
      <c r="K667" s="3">
        <v>11</v>
      </c>
      <c r="L667" s="2" t="s">
        <v>2536</v>
      </c>
      <c r="M667" s="2" t="s">
        <v>2524</v>
      </c>
      <c r="N667" t="str">
        <f>TRIM(PROPER(Tabla_auditoría[[#This Row],[ID_Campaña]]))</f>
        <v>Cmp-009</v>
      </c>
      <c r="O667" t="str">
        <f>TRIM(PROPER(Tabla_auditoría[[#This Row],[Canal]]))</f>
        <v>Organic Social</v>
      </c>
      <c r="P667" t="str">
        <f>TRIM(PROPER(Tabla_auditoría[[#This Row],[País]]))</f>
        <v>Francia</v>
      </c>
      <c r="Q667" t="str">
        <f>TRIM(PROPER(Tabla_auditoría[[#This Row],[Dispositivo]]))</f>
        <v>Desktop</v>
      </c>
      <c r="R667" t="str">
        <f>TRIM(PROPER(Tabla_auditoría[[#This Row],[Tipo_Campaña]]))</f>
        <v>Reconocimiento</v>
      </c>
      <c r="S667" t="str">
        <f>TRIM(PROPER(Tabla_auditoría[[#This Row],[Responsable]]))</f>
        <v>Luis Martín</v>
      </c>
    </row>
    <row r="668" spans="1:19" x14ac:dyDescent="0.3">
      <c r="A668" s="1">
        <v>45709</v>
      </c>
      <c r="B668" s="2" t="s">
        <v>2535</v>
      </c>
      <c r="C668" s="2" t="s">
        <v>2543</v>
      </c>
      <c r="D668" s="2" t="s">
        <v>2525</v>
      </c>
      <c r="E668" s="2" t="s">
        <v>2529</v>
      </c>
      <c r="F668" s="3">
        <v>58488</v>
      </c>
      <c r="G668" s="3">
        <v>3347</v>
      </c>
      <c r="H668" s="3">
        <v>142</v>
      </c>
      <c r="I668" s="4">
        <v>2706.93</v>
      </c>
      <c r="J668" s="4">
        <v>14894.22</v>
      </c>
      <c r="K668" s="3">
        <v>85</v>
      </c>
      <c r="L668" s="2" t="s">
        <v>2518</v>
      </c>
      <c r="M668" s="2" t="s">
        <v>2524</v>
      </c>
      <c r="N668" t="str">
        <f>TRIM(PROPER(Tabla_auditoría[[#This Row],[ID_Campaña]]))</f>
        <v>Cmp-015</v>
      </c>
      <c r="O668" t="str">
        <f>TRIM(PROPER(Tabla_auditoría[[#This Row],[Canal]]))</f>
        <v>Organic Social</v>
      </c>
      <c r="P668" t="str">
        <f>TRIM(PROPER(Tabla_auditoría[[#This Row],[País]]))</f>
        <v>Francia</v>
      </c>
      <c r="Q668" t="str">
        <f>TRIM(PROPER(Tabla_auditoría[[#This Row],[Dispositivo]]))</f>
        <v>Mobile</v>
      </c>
      <c r="R668" t="str">
        <f>TRIM(PROPER(Tabla_auditoría[[#This Row],[Tipo_Campaña]]))</f>
        <v>Adquisición</v>
      </c>
      <c r="S668" t="str">
        <f>TRIM(PROPER(Tabla_auditoría[[#This Row],[Responsable]]))</f>
        <v>Luis Martín</v>
      </c>
    </row>
    <row r="669" spans="1:19" x14ac:dyDescent="0.3">
      <c r="A669" s="1">
        <v>45658</v>
      </c>
      <c r="B669" s="2" t="s">
        <v>2549</v>
      </c>
      <c r="C669" s="2" t="s">
        <v>2533</v>
      </c>
      <c r="D669" s="2" t="s">
        <v>2528</v>
      </c>
      <c r="E669" s="2" t="s">
        <v>2529</v>
      </c>
      <c r="F669" s="3">
        <v>147855</v>
      </c>
      <c r="G669" s="3">
        <v>7882</v>
      </c>
      <c r="H669" s="3">
        <v>234</v>
      </c>
      <c r="I669" s="4">
        <v>6499.3</v>
      </c>
      <c r="J669" s="4">
        <v>36565.64</v>
      </c>
      <c r="K669" s="3">
        <v>152</v>
      </c>
      <c r="L669" s="2" t="s">
        <v>2523</v>
      </c>
      <c r="M669" s="2" t="s">
        <v>2546</v>
      </c>
      <c r="N669" t="str">
        <f>TRIM(PROPER(Tabla_auditoría[[#This Row],[ID_Campaña]]))</f>
        <v>Cmp-007</v>
      </c>
      <c r="O669" t="str">
        <f>TRIM(PROPER(Tabla_auditoría[[#This Row],[Canal]]))</f>
        <v>Paid Social</v>
      </c>
      <c r="P669" t="str">
        <f>TRIM(PROPER(Tabla_auditoría[[#This Row],[País]]))</f>
        <v>España</v>
      </c>
      <c r="Q669" t="str">
        <f>TRIM(PROPER(Tabla_auditoría[[#This Row],[Dispositivo]]))</f>
        <v>Mobile</v>
      </c>
      <c r="R669" t="str">
        <f>TRIM(PROPER(Tabla_auditoría[[#This Row],[Tipo_Campaña]]))</f>
        <v>Retención</v>
      </c>
      <c r="S669" t="str">
        <f>TRIM(PROPER(Tabla_auditoría[[#This Row],[Responsable]]))</f>
        <v>Ana García</v>
      </c>
    </row>
    <row r="670" spans="1:19" x14ac:dyDescent="0.3">
      <c r="A670" s="1">
        <v>45830</v>
      </c>
      <c r="B670" s="2" t="s">
        <v>2532</v>
      </c>
      <c r="C670" s="2" t="s">
        <v>2541</v>
      </c>
      <c r="D670" s="2" t="s">
        <v>2522</v>
      </c>
      <c r="E670" s="2" t="s">
        <v>2529</v>
      </c>
      <c r="F670" s="3">
        <v>94806</v>
      </c>
      <c r="G670" s="3">
        <v>6109</v>
      </c>
      <c r="H670" s="3">
        <v>341</v>
      </c>
      <c r="I670" s="4">
        <v>9131.02</v>
      </c>
      <c r="J670" s="4">
        <v>73804.23</v>
      </c>
      <c r="K670" s="3">
        <v>168</v>
      </c>
      <c r="L670" s="2" t="s">
        <v>2518</v>
      </c>
      <c r="M670" s="2" t="s">
        <v>2524</v>
      </c>
      <c r="N670" t="str">
        <f>TRIM(PROPER(Tabla_auditoría[[#This Row],[ID_Campaña]]))</f>
        <v>Cmp-022</v>
      </c>
      <c r="O670" t="str">
        <f>TRIM(PROPER(Tabla_auditoría[[#This Row],[Canal]]))</f>
        <v>Display</v>
      </c>
      <c r="P670" t="str">
        <f>TRIM(PROPER(Tabla_auditoría[[#This Row],[País]]))</f>
        <v>Italia</v>
      </c>
      <c r="Q670" t="str">
        <f>TRIM(PROPER(Tabla_auditoría[[#This Row],[Dispositivo]]))</f>
        <v>Mobile</v>
      </c>
      <c r="R670" t="str">
        <f>TRIM(PROPER(Tabla_auditoría[[#This Row],[Tipo_Campaña]]))</f>
        <v>Adquisición</v>
      </c>
      <c r="S670" t="str">
        <f>TRIM(PROPER(Tabla_auditoría[[#This Row],[Responsable]]))</f>
        <v>Luis Martín</v>
      </c>
    </row>
    <row r="671" spans="1:19" x14ac:dyDescent="0.3">
      <c r="A671" s="1">
        <v>45816</v>
      </c>
      <c r="B671" s="2" t="s">
        <v>2571</v>
      </c>
      <c r="C671" s="2" t="s">
        <v>2541</v>
      </c>
      <c r="D671" s="2" t="s">
        <v>2528</v>
      </c>
      <c r="E671" s="2" t="s">
        <v>2529</v>
      </c>
      <c r="F671" s="3">
        <v>52683</v>
      </c>
      <c r="G671" s="3">
        <v>2255</v>
      </c>
      <c r="H671" s="3">
        <v>83</v>
      </c>
      <c r="I671" s="4">
        <v>3965.47</v>
      </c>
      <c r="J671" s="4">
        <v>11563.97</v>
      </c>
      <c r="K671" s="3">
        <v>39</v>
      </c>
      <c r="L671" s="2" t="s">
        <v>2518</v>
      </c>
      <c r="M671" s="2" t="s">
        <v>2524</v>
      </c>
      <c r="N671" t="str">
        <f>TRIM(PROPER(Tabla_auditoría[[#This Row],[ID_Campaña]]))</f>
        <v>Cmp-029</v>
      </c>
      <c r="O671" t="str">
        <f>TRIM(PROPER(Tabla_auditoría[[#This Row],[Canal]]))</f>
        <v>Display</v>
      </c>
      <c r="P671" t="str">
        <f>TRIM(PROPER(Tabla_auditoría[[#This Row],[País]]))</f>
        <v>España</v>
      </c>
      <c r="Q671" t="str">
        <f>TRIM(PROPER(Tabla_auditoría[[#This Row],[Dispositivo]]))</f>
        <v>Mobile</v>
      </c>
      <c r="R671" t="str">
        <f>TRIM(PROPER(Tabla_auditoría[[#This Row],[Tipo_Campaña]]))</f>
        <v>Adquisición</v>
      </c>
      <c r="S671" t="str">
        <f>TRIM(PROPER(Tabla_auditoría[[#This Row],[Responsable]]))</f>
        <v>Luis Martín</v>
      </c>
    </row>
    <row r="672" spans="1:19" x14ac:dyDescent="0.3">
      <c r="A672" s="1">
        <v>45781</v>
      </c>
      <c r="B672" s="2" t="s">
        <v>2542</v>
      </c>
      <c r="C672" s="2" t="s">
        <v>2527</v>
      </c>
      <c r="D672" s="2" t="s">
        <v>2528</v>
      </c>
      <c r="E672" s="2" t="s">
        <v>2529</v>
      </c>
      <c r="F672" s="3">
        <v>129483</v>
      </c>
      <c r="G672" s="3">
        <v>1420</v>
      </c>
      <c r="H672" s="3">
        <v>186</v>
      </c>
      <c r="I672" s="4">
        <v>1310.1300000000001</v>
      </c>
      <c r="J672" s="4">
        <v>7578.48</v>
      </c>
      <c r="K672" s="3">
        <v>135</v>
      </c>
      <c r="L672" s="2" t="s">
        <v>2539</v>
      </c>
      <c r="M672" s="2" t="s">
        <v>2537</v>
      </c>
      <c r="N672" t="str">
        <f>TRIM(PROPER(Tabla_auditoría[[#This Row],[ID_Campaña]]))</f>
        <v>Cmp-025</v>
      </c>
      <c r="O672" t="str">
        <f>TRIM(PROPER(Tabla_auditoría[[#This Row],[Canal]]))</f>
        <v>Affiliate</v>
      </c>
      <c r="P672" t="str">
        <f>TRIM(PROPER(Tabla_auditoría[[#This Row],[País]]))</f>
        <v>España</v>
      </c>
      <c r="Q672" t="str">
        <f>TRIM(PROPER(Tabla_auditoría[[#This Row],[Dispositivo]]))</f>
        <v>Mobile</v>
      </c>
      <c r="R672" t="str">
        <f>TRIM(PROPER(Tabla_auditoría[[#This Row],[Tipo_Campaña]]))</f>
        <v>Conversión</v>
      </c>
      <c r="S672" t="str">
        <f>TRIM(PROPER(Tabla_auditoría[[#This Row],[Responsable]]))</f>
        <v>Marta López</v>
      </c>
    </row>
    <row r="673" spans="1:19" x14ac:dyDescent="0.3">
      <c r="A673" s="1">
        <v>45960</v>
      </c>
      <c r="B673" s="2" t="s">
        <v>2535</v>
      </c>
      <c r="C673" s="2" t="s">
        <v>2515</v>
      </c>
      <c r="D673" s="2" t="s">
        <v>2516</v>
      </c>
      <c r="E673" s="2" t="s">
        <v>2529</v>
      </c>
      <c r="F673" s="3">
        <v>165650</v>
      </c>
      <c r="G673" s="3">
        <v>5047</v>
      </c>
      <c r="H673" s="3">
        <v>292</v>
      </c>
      <c r="I673" s="4">
        <v>2537.9699999999998</v>
      </c>
      <c r="J673" s="4">
        <v>32206.3</v>
      </c>
      <c r="K673" s="3">
        <v>156</v>
      </c>
      <c r="L673" s="2" t="s">
        <v>2523</v>
      </c>
      <c r="M673" s="2" t="s">
        <v>2524</v>
      </c>
      <c r="N673" t="str">
        <f>TRIM(PROPER(Tabla_auditoría[[#This Row],[ID_Campaña]]))</f>
        <v>Cmp-015</v>
      </c>
      <c r="O673" t="str">
        <f>TRIM(PROPER(Tabla_auditoría[[#This Row],[Canal]]))</f>
        <v>Email</v>
      </c>
      <c r="P673" t="str">
        <f>TRIM(PROPER(Tabla_auditoría[[#This Row],[País]]))</f>
        <v>México</v>
      </c>
      <c r="Q673" t="str">
        <f>TRIM(PROPER(Tabla_auditoría[[#This Row],[Dispositivo]]))</f>
        <v>Mobile</v>
      </c>
      <c r="R673" t="str">
        <f>TRIM(PROPER(Tabla_auditoría[[#This Row],[Tipo_Campaña]]))</f>
        <v>Retención</v>
      </c>
      <c r="S673" t="str">
        <f>TRIM(PROPER(Tabla_auditoría[[#This Row],[Responsable]]))</f>
        <v>Luis Martín</v>
      </c>
    </row>
    <row r="674" spans="1:19" x14ac:dyDescent="0.3">
      <c r="A674" s="1">
        <v>45762</v>
      </c>
      <c r="B674" s="2" t="s">
        <v>2563</v>
      </c>
      <c r="C674" s="2" t="s">
        <v>2515</v>
      </c>
      <c r="D674" s="2" t="s">
        <v>2528</v>
      </c>
      <c r="E674" s="2" t="s">
        <v>2529</v>
      </c>
      <c r="F674" s="3">
        <v>22582</v>
      </c>
      <c r="G674" s="3">
        <v>433</v>
      </c>
      <c r="H674" s="3">
        <v>14</v>
      </c>
      <c r="I674" s="4">
        <v>794.38</v>
      </c>
      <c r="J674" s="4">
        <v>1345.65</v>
      </c>
      <c r="K674" s="3">
        <v>10</v>
      </c>
      <c r="L674" s="2" t="s">
        <v>2523</v>
      </c>
      <c r="M674" s="2" t="s">
        <v>2526</v>
      </c>
      <c r="N674" t="str">
        <f>TRIM(PROPER(Tabla_auditoría[[#This Row],[ID_Campaña]]))</f>
        <v>Cmp-023</v>
      </c>
      <c r="O674" t="str">
        <f>TRIM(PROPER(Tabla_auditoría[[#This Row],[Canal]]))</f>
        <v>Email</v>
      </c>
      <c r="P674" t="str">
        <f>TRIM(PROPER(Tabla_auditoría[[#This Row],[País]]))</f>
        <v>España</v>
      </c>
      <c r="Q674" t="str">
        <f>TRIM(PROPER(Tabla_auditoría[[#This Row],[Dispositivo]]))</f>
        <v>Mobile</v>
      </c>
      <c r="R674" t="str">
        <f>TRIM(PROPER(Tabla_auditoría[[#This Row],[Tipo_Campaña]]))</f>
        <v>Retención</v>
      </c>
      <c r="S674" t="str">
        <f>TRIM(PROPER(Tabla_auditoría[[#This Row],[Responsable]]))</f>
        <v>Laura Pérez</v>
      </c>
    </row>
    <row r="675" spans="1:19" x14ac:dyDescent="0.3">
      <c r="A675" s="1">
        <v>45929</v>
      </c>
      <c r="B675" s="2" t="s">
        <v>2542</v>
      </c>
      <c r="C675" s="2" t="s">
        <v>2515</v>
      </c>
      <c r="D675" s="2" t="s">
        <v>2522</v>
      </c>
      <c r="E675" s="2" t="s">
        <v>2517</v>
      </c>
      <c r="F675" s="3">
        <v>125690</v>
      </c>
      <c r="G675" s="3">
        <v>5482</v>
      </c>
      <c r="H675" s="3">
        <v>432</v>
      </c>
      <c r="I675" s="4">
        <v>9711.41</v>
      </c>
      <c r="J675" s="4">
        <v>21270.66</v>
      </c>
      <c r="K675" s="3">
        <v>347</v>
      </c>
      <c r="L675" s="2" t="s">
        <v>2518</v>
      </c>
      <c r="M675" s="2" t="s">
        <v>2546</v>
      </c>
      <c r="N675" t="str">
        <f>TRIM(PROPER(Tabla_auditoría[[#This Row],[ID_Campaña]]))</f>
        <v>Cmp-025</v>
      </c>
      <c r="O675" t="str">
        <f>TRIM(PROPER(Tabla_auditoría[[#This Row],[Canal]]))</f>
        <v>Email</v>
      </c>
      <c r="P675" t="str">
        <f>TRIM(PROPER(Tabla_auditoría[[#This Row],[País]]))</f>
        <v>Italia</v>
      </c>
      <c r="Q675" t="str">
        <f>TRIM(PROPER(Tabla_auditoría[[#This Row],[Dispositivo]]))</f>
        <v>Desktop</v>
      </c>
      <c r="R675" t="str">
        <f>TRIM(PROPER(Tabla_auditoría[[#This Row],[Tipo_Campaña]]))</f>
        <v>Adquisición</v>
      </c>
      <c r="S675" t="str">
        <f>TRIM(PROPER(Tabla_auditoría[[#This Row],[Responsable]]))</f>
        <v>Ana García</v>
      </c>
    </row>
    <row r="676" spans="1:19" x14ac:dyDescent="0.3">
      <c r="A676" s="1">
        <v>45860</v>
      </c>
      <c r="B676" s="2" t="s">
        <v>2542</v>
      </c>
      <c r="C676" s="2" t="s">
        <v>2541</v>
      </c>
      <c r="D676" s="2" t="s">
        <v>2522</v>
      </c>
      <c r="E676" s="2" t="s">
        <v>2529</v>
      </c>
      <c r="F676" s="3">
        <v>57099</v>
      </c>
      <c r="G676" s="3">
        <v>4595</v>
      </c>
      <c r="H676" s="3">
        <v>242</v>
      </c>
      <c r="I676" s="4">
        <v>8110.22</v>
      </c>
      <c r="J676" s="4">
        <v>21665.16</v>
      </c>
      <c r="K676" s="3">
        <v>121</v>
      </c>
      <c r="L676" s="2" t="s">
        <v>2536</v>
      </c>
      <c r="M676" s="2" t="s">
        <v>2519</v>
      </c>
      <c r="N676" t="str">
        <f>TRIM(PROPER(Tabla_auditoría[[#This Row],[ID_Campaña]]))</f>
        <v>Cmp-025</v>
      </c>
      <c r="O676" t="str">
        <f>TRIM(PROPER(Tabla_auditoría[[#This Row],[Canal]]))</f>
        <v>Display</v>
      </c>
      <c r="P676" t="str">
        <f>TRIM(PROPER(Tabla_auditoría[[#This Row],[País]]))</f>
        <v>Italia</v>
      </c>
      <c r="Q676" t="str">
        <f>TRIM(PROPER(Tabla_auditoría[[#This Row],[Dispositivo]]))</f>
        <v>Mobile</v>
      </c>
      <c r="R676" t="str">
        <f>TRIM(PROPER(Tabla_auditoría[[#This Row],[Tipo_Campaña]]))</f>
        <v>Reconocimiento</v>
      </c>
      <c r="S676" t="str">
        <f>TRIM(PROPER(Tabla_auditoría[[#This Row],[Responsable]]))</f>
        <v>Carlos Ruiz</v>
      </c>
    </row>
    <row r="677" spans="1:19" x14ac:dyDescent="0.3">
      <c r="A677" s="1">
        <v>45672</v>
      </c>
      <c r="B677" s="2" t="s">
        <v>2563</v>
      </c>
      <c r="C677" s="2" t="s">
        <v>2527</v>
      </c>
      <c r="D677" s="2" t="s">
        <v>2531</v>
      </c>
      <c r="E677" s="2" t="s">
        <v>2529</v>
      </c>
      <c r="F677" s="3">
        <v>75640</v>
      </c>
      <c r="G677" s="3">
        <v>4641</v>
      </c>
      <c r="H677" s="3">
        <v>140</v>
      </c>
      <c r="I677" s="4">
        <v>5644.18</v>
      </c>
      <c r="J677" s="4">
        <v>14349.7</v>
      </c>
      <c r="K677" s="3">
        <v>78</v>
      </c>
      <c r="L677" s="2" t="s">
        <v>2539</v>
      </c>
      <c r="M677" s="2" t="s">
        <v>2546</v>
      </c>
      <c r="N677" t="str">
        <f>TRIM(PROPER(Tabla_auditoría[[#This Row],[ID_Campaña]]))</f>
        <v>Cmp-023</v>
      </c>
      <c r="O677" t="str">
        <f>TRIM(PROPER(Tabla_auditoría[[#This Row],[Canal]]))</f>
        <v>Affiliate</v>
      </c>
      <c r="P677" t="str">
        <f>TRIM(PROPER(Tabla_auditoría[[#This Row],[País]]))</f>
        <v>Portugal</v>
      </c>
      <c r="Q677" t="str">
        <f>TRIM(PROPER(Tabla_auditoría[[#This Row],[Dispositivo]]))</f>
        <v>Mobile</v>
      </c>
      <c r="R677" t="str">
        <f>TRIM(PROPER(Tabla_auditoría[[#This Row],[Tipo_Campaña]]))</f>
        <v>Conversión</v>
      </c>
      <c r="S677" t="str">
        <f>TRIM(PROPER(Tabla_auditoría[[#This Row],[Responsable]]))</f>
        <v>Ana García</v>
      </c>
    </row>
    <row r="678" spans="1:19" x14ac:dyDescent="0.3">
      <c r="A678" s="1">
        <v>45849</v>
      </c>
      <c r="B678" s="2" t="s">
        <v>2532</v>
      </c>
      <c r="C678" s="2" t="s">
        <v>2533</v>
      </c>
      <c r="D678" s="2" t="s">
        <v>2531</v>
      </c>
      <c r="E678" s="2" t="s">
        <v>2534</v>
      </c>
      <c r="F678" s="3">
        <v>168003</v>
      </c>
      <c r="G678" s="3">
        <v>8511</v>
      </c>
      <c r="H678" s="3">
        <v>464</v>
      </c>
      <c r="I678" s="4">
        <v>10605.75</v>
      </c>
      <c r="J678" s="4">
        <v>78496.539999999994</v>
      </c>
      <c r="K678" s="3">
        <v>291</v>
      </c>
      <c r="L678" s="2" t="s">
        <v>2518</v>
      </c>
      <c r="M678" s="2" t="s">
        <v>2524</v>
      </c>
      <c r="N678" t="str">
        <f>TRIM(PROPER(Tabla_auditoría[[#This Row],[ID_Campaña]]))</f>
        <v>Cmp-022</v>
      </c>
      <c r="O678" t="str">
        <f>TRIM(PROPER(Tabla_auditoría[[#This Row],[Canal]]))</f>
        <v>Paid Social</v>
      </c>
      <c r="P678" t="str">
        <f>TRIM(PROPER(Tabla_auditoría[[#This Row],[País]]))</f>
        <v>Portugal</v>
      </c>
      <c r="Q678" t="str">
        <f>TRIM(PROPER(Tabla_auditoría[[#This Row],[Dispositivo]]))</f>
        <v>Tablet</v>
      </c>
      <c r="R678" t="str">
        <f>TRIM(PROPER(Tabla_auditoría[[#This Row],[Tipo_Campaña]]))</f>
        <v>Adquisición</v>
      </c>
      <c r="S678" t="str">
        <f>TRIM(PROPER(Tabla_auditoría[[#This Row],[Responsable]]))</f>
        <v>Luis Martín</v>
      </c>
    </row>
    <row r="679" spans="1:19" x14ac:dyDescent="0.3">
      <c r="A679" s="1">
        <v>45980</v>
      </c>
      <c r="B679" s="2" t="s">
        <v>2589</v>
      </c>
      <c r="C679" s="2" t="s">
        <v>2533</v>
      </c>
      <c r="D679" s="2" t="s">
        <v>2528</v>
      </c>
      <c r="E679" s="2" t="s">
        <v>2517</v>
      </c>
      <c r="F679" s="3">
        <v>48844</v>
      </c>
      <c r="G679" s="3">
        <v>1237</v>
      </c>
      <c r="H679" s="3">
        <v>129</v>
      </c>
      <c r="I679" s="4">
        <v>355.96</v>
      </c>
      <c r="J679" s="4">
        <v>16266.25</v>
      </c>
      <c r="K679" s="3">
        <v>93</v>
      </c>
      <c r="L679" s="2" t="s">
        <v>2536</v>
      </c>
      <c r="M679" s="2" t="s">
        <v>2526</v>
      </c>
      <c r="N679" t="str">
        <f>TRIM(PROPER(Tabla_auditoría[[#This Row],[ID_Campaña]]))</f>
        <v>Cmp-024</v>
      </c>
      <c r="O679" t="str">
        <f>TRIM(PROPER(Tabla_auditoría[[#This Row],[Canal]]))</f>
        <v>Paid Social</v>
      </c>
      <c r="P679" t="str">
        <f>TRIM(PROPER(Tabla_auditoría[[#This Row],[País]]))</f>
        <v>España</v>
      </c>
      <c r="Q679" t="str">
        <f>TRIM(PROPER(Tabla_auditoría[[#This Row],[Dispositivo]]))</f>
        <v>Desktop</v>
      </c>
      <c r="R679" t="str">
        <f>TRIM(PROPER(Tabla_auditoría[[#This Row],[Tipo_Campaña]]))</f>
        <v>Reconocimiento</v>
      </c>
      <c r="S679" t="str">
        <f>TRIM(PROPER(Tabla_auditoría[[#This Row],[Responsable]]))</f>
        <v>Laura Pérez</v>
      </c>
    </row>
    <row r="680" spans="1:19" x14ac:dyDescent="0.3">
      <c r="A680" s="1">
        <v>45907</v>
      </c>
      <c r="B680" s="2" t="s">
        <v>2555</v>
      </c>
      <c r="C680" s="2" t="s">
        <v>2527</v>
      </c>
      <c r="D680" s="2" t="s">
        <v>2528</v>
      </c>
      <c r="E680" s="2" t="s">
        <v>2529</v>
      </c>
      <c r="F680" s="3">
        <v>157605</v>
      </c>
      <c r="G680" s="3">
        <v>10945</v>
      </c>
      <c r="H680" s="3">
        <v>753</v>
      </c>
      <c r="I680" s="4">
        <v>7928.79</v>
      </c>
      <c r="J680" s="4">
        <v>147210.54999999999</v>
      </c>
      <c r="K680" s="3">
        <v>493</v>
      </c>
      <c r="L680" s="2" t="s">
        <v>2518</v>
      </c>
      <c r="M680" s="2" t="s">
        <v>2537</v>
      </c>
      <c r="N680" t="str">
        <f>TRIM(PROPER(Tabla_auditoría[[#This Row],[ID_Campaña]]))</f>
        <v>Cmp-010</v>
      </c>
      <c r="O680" t="str">
        <f>TRIM(PROPER(Tabla_auditoría[[#This Row],[Canal]]))</f>
        <v>Affiliate</v>
      </c>
      <c r="P680" t="str">
        <f>TRIM(PROPER(Tabla_auditoría[[#This Row],[País]]))</f>
        <v>España</v>
      </c>
      <c r="Q680" t="str">
        <f>TRIM(PROPER(Tabla_auditoría[[#This Row],[Dispositivo]]))</f>
        <v>Mobile</v>
      </c>
      <c r="R680" t="str">
        <f>TRIM(PROPER(Tabla_auditoría[[#This Row],[Tipo_Campaña]]))</f>
        <v>Adquisición</v>
      </c>
      <c r="S680" t="str">
        <f>TRIM(PROPER(Tabla_auditoría[[#This Row],[Responsable]]))</f>
        <v>Marta López</v>
      </c>
    </row>
    <row r="681" spans="1:19" x14ac:dyDescent="0.3">
      <c r="A681" s="1">
        <v>45879</v>
      </c>
      <c r="B681" s="2" t="s">
        <v>2547</v>
      </c>
      <c r="C681" s="2" t="s">
        <v>2521</v>
      </c>
      <c r="D681" s="2" t="s">
        <v>2522</v>
      </c>
      <c r="E681" s="2" t="s">
        <v>2529</v>
      </c>
      <c r="F681" s="3">
        <v>117821</v>
      </c>
      <c r="G681" s="3">
        <v>1769</v>
      </c>
      <c r="H681" s="3">
        <v>134</v>
      </c>
      <c r="I681" s="4">
        <v>559</v>
      </c>
      <c r="J681" s="4">
        <v>3711</v>
      </c>
      <c r="K681" s="3">
        <v>117</v>
      </c>
      <c r="L681" s="2" t="s">
        <v>2539</v>
      </c>
      <c r="M681" s="2" t="s">
        <v>2537</v>
      </c>
      <c r="N681" t="str">
        <f>TRIM(PROPER(Tabla_auditoría[[#This Row],[ID_Campaña]]))</f>
        <v>Cmp-018</v>
      </c>
      <c r="O681" t="str">
        <f>TRIM(PROPER(Tabla_auditoría[[#This Row],[Canal]]))</f>
        <v>Paid Search</v>
      </c>
      <c r="P681" t="str">
        <f>TRIM(PROPER(Tabla_auditoría[[#This Row],[País]]))</f>
        <v>Italia</v>
      </c>
      <c r="Q681" t="str">
        <f>TRIM(PROPER(Tabla_auditoría[[#This Row],[Dispositivo]]))</f>
        <v>Mobile</v>
      </c>
      <c r="R681" t="str">
        <f>TRIM(PROPER(Tabla_auditoría[[#This Row],[Tipo_Campaña]]))</f>
        <v>Conversión</v>
      </c>
      <c r="S681" t="str">
        <f>TRIM(PROPER(Tabla_auditoría[[#This Row],[Responsable]]))</f>
        <v>Marta López</v>
      </c>
    </row>
    <row r="682" spans="1:19" x14ac:dyDescent="0.3">
      <c r="A682" s="1">
        <v>45950</v>
      </c>
      <c r="B682" s="2" t="s">
        <v>2554</v>
      </c>
      <c r="C682" s="2" t="s">
        <v>2521</v>
      </c>
      <c r="D682" s="2" t="s">
        <v>2531</v>
      </c>
      <c r="E682" s="2" t="s">
        <v>2517</v>
      </c>
      <c r="F682" s="3">
        <v>90138</v>
      </c>
      <c r="G682" s="3">
        <v>1952</v>
      </c>
      <c r="H682" s="3">
        <v>182</v>
      </c>
      <c r="I682" s="4">
        <v>3510.27</v>
      </c>
      <c r="J682" s="4">
        <v>29254.3</v>
      </c>
      <c r="K682" s="3">
        <v>145</v>
      </c>
      <c r="L682" s="2" t="s">
        <v>2539</v>
      </c>
      <c r="M682" s="2" t="s">
        <v>2546</v>
      </c>
      <c r="N682" t="str">
        <f>TRIM(PROPER(Tabla_auditoría[[#This Row],[ID_Campaña]]))</f>
        <v>Cmp-019</v>
      </c>
      <c r="O682" t="str">
        <f>TRIM(PROPER(Tabla_auditoría[[#This Row],[Canal]]))</f>
        <v>Paid Search</v>
      </c>
      <c r="P682" t="str">
        <f>TRIM(PROPER(Tabla_auditoría[[#This Row],[País]]))</f>
        <v>Portugal</v>
      </c>
      <c r="Q682" t="str">
        <f>TRIM(PROPER(Tabla_auditoría[[#This Row],[Dispositivo]]))</f>
        <v>Desktop</v>
      </c>
      <c r="R682" t="str">
        <f>TRIM(PROPER(Tabla_auditoría[[#This Row],[Tipo_Campaña]]))</f>
        <v>Conversión</v>
      </c>
      <c r="S682" t="str">
        <f>TRIM(PROPER(Tabla_auditoría[[#This Row],[Responsable]]))</f>
        <v>Ana García</v>
      </c>
    </row>
    <row r="683" spans="1:19" x14ac:dyDescent="0.3">
      <c r="A683" s="1">
        <v>45877</v>
      </c>
      <c r="B683" s="2" t="s">
        <v>2551</v>
      </c>
      <c r="D683" s="2" t="s">
        <v>2516</v>
      </c>
      <c r="E683" s="2" t="s">
        <v>2529</v>
      </c>
      <c r="F683" s="3">
        <v>96911</v>
      </c>
      <c r="G683" s="3">
        <v>4918</v>
      </c>
      <c r="H683" s="3">
        <v>612</v>
      </c>
      <c r="I683" s="4">
        <v>8914.11</v>
      </c>
      <c r="J683" s="4">
        <v>66408.649999999994</v>
      </c>
      <c r="K683" s="3">
        <v>543</v>
      </c>
      <c r="L683" s="2" t="s">
        <v>2536</v>
      </c>
      <c r="M683" s="2" t="s">
        <v>2526</v>
      </c>
      <c r="N683" t="str">
        <f>TRIM(PROPER(Tabla_auditoría[[#This Row],[ID_Campaña]]))</f>
        <v>Cmp-028</v>
      </c>
      <c r="O683" t="str">
        <f>TRIM(PROPER(Tabla_auditoría[[#This Row],[Canal]]))</f>
        <v/>
      </c>
      <c r="P683" t="str">
        <f>TRIM(PROPER(Tabla_auditoría[[#This Row],[País]]))</f>
        <v>México</v>
      </c>
      <c r="Q683" t="str">
        <f>TRIM(PROPER(Tabla_auditoría[[#This Row],[Dispositivo]]))</f>
        <v>Mobile</v>
      </c>
      <c r="R683" t="str">
        <f>TRIM(PROPER(Tabla_auditoría[[#This Row],[Tipo_Campaña]]))</f>
        <v>Reconocimiento</v>
      </c>
      <c r="S683" t="str">
        <f>TRIM(PROPER(Tabla_auditoría[[#This Row],[Responsable]]))</f>
        <v>Laura Pérez</v>
      </c>
    </row>
    <row r="684" spans="1:19" x14ac:dyDescent="0.3">
      <c r="A684" s="1">
        <v>45891</v>
      </c>
      <c r="B684" s="2" t="s">
        <v>2563</v>
      </c>
      <c r="C684" s="2" t="s">
        <v>2527</v>
      </c>
      <c r="D684" s="2" t="s">
        <v>2528</v>
      </c>
      <c r="E684" s="2" t="s">
        <v>2534</v>
      </c>
      <c r="F684" s="3">
        <v>124883</v>
      </c>
      <c r="G684" s="3">
        <v>2655</v>
      </c>
      <c r="H684" s="3">
        <v>19</v>
      </c>
      <c r="I684" s="4">
        <v>3617.88</v>
      </c>
      <c r="J684" s="4">
        <v>3756.92</v>
      </c>
      <c r="K684" s="3">
        <v>15</v>
      </c>
      <c r="L684" s="2" t="s">
        <v>2518</v>
      </c>
      <c r="M684" s="2" t="s">
        <v>2546</v>
      </c>
      <c r="N684" t="str">
        <f>TRIM(PROPER(Tabla_auditoría[[#This Row],[ID_Campaña]]))</f>
        <v>Cmp-023</v>
      </c>
      <c r="O684" t="str">
        <f>TRIM(PROPER(Tabla_auditoría[[#This Row],[Canal]]))</f>
        <v>Affiliate</v>
      </c>
      <c r="P684" t="str">
        <f>TRIM(PROPER(Tabla_auditoría[[#This Row],[País]]))</f>
        <v>España</v>
      </c>
      <c r="Q684" t="str">
        <f>TRIM(PROPER(Tabla_auditoría[[#This Row],[Dispositivo]]))</f>
        <v>Tablet</v>
      </c>
      <c r="R684" t="str">
        <f>TRIM(PROPER(Tabla_auditoría[[#This Row],[Tipo_Campaña]]))</f>
        <v>Adquisición</v>
      </c>
      <c r="S684" t="str">
        <f>TRIM(PROPER(Tabla_auditoría[[#This Row],[Responsable]]))</f>
        <v>Ana García</v>
      </c>
    </row>
    <row r="685" spans="1:19" x14ac:dyDescent="0.3">
      <c r="A685" s="1">
        <v>45662</v>
      </c>
      <c r="B685" s="2" t="s">
        <v>2544</v>
      </c>
      <c r="C685" s="2" t="s">
        <v>2541</v>
      </c>
      <c r="D685" s="2" t="s">
        <v>2516</v>
      </c>
      <c r="E685" s="2" t="s">
        <v>2517</v>
      </c>
      <c r="F685" s="3">
        <v>162176</v>
      </c>
      <c r="G685" s="3">
        <v>7106</v>
      </c>
      <c r="H685" s="3">
        <v>872</v>
      </c>
      <c r="I685" s="4">
        <v>5250.62</v>
      </c>
      <c r="J685" s="4">
        <v>63653.01</v>
      </c>
      <c r="K685" s="3">
        <v>685</v>
      </c>
      <c r="L685" s="2" t="s">
        <v>2536</v>
      </c>
      <c r="M685" s="2" t="s">
        <v>2524</v>
      </c>
      <c r="N685" t="str">
        <f>TRIM(PROPER(Tabla_auditoría[[#This Row],[ID_Campaña]]))</f>
        <v>Cmp-006</v>
      </c>
      <c r="O685" t="str">
        <f>TRIM(PROPER(Tabla_auditoría[[#This Row],[Canal]]))</f>
        <v>Display</v>
      </c>
      <c r="P685" t="str">
        <f>TRIM(PROPER(Tabla_auditoría[[#This Row],[País]]))</f>
        <v>México</v>
      </c>
      <c r="Q685" t="str">
        <f>TRIM(PROPER(Tabla_auditoría[[#This Row],[Dispositivo]]))</f>
        <v>Desktop</v>
      </c>
      <c r="R685" t="str">
        <f>TRIM(PROPER(Tabla_auditoría[[#This Row],[Tipo_Campaña]]))</f>
        <v>Reconocimiento</v>
      </c>
      <c r="S685" t="str">
        <f>TRIM(PROPER(Tabla_auditoría[[#This Row],[Responsable]]))</f>
        <v>Luis Martín</v>
      </c>
    </row>
    <row r="686" spans="1:19" x14ac:dyDescent="0.3">
      <c r="A686" s="1">
        <v>45980</v>
      </c>
      <c r="B686" s="2" t="s">
        <v>2544</v>
      </c>
      <c r="C686" s="2" t="s">
        <v>2521</v>
      </c>
      <c r="D686" s="2" t="s">
        <v>2528</v>
      </c>
      <c r="E686" s="2" t="s">
        <v>2529</v>
      </c>
      <c r="F686" s="3">
        <v>8595</v>
      </c>
      <c r="G686" s="3">
        <v>237</v>
      </c>
      <c r="H686" s="3">
        <v>13</v>
      </c>
      <c r="I686" s="4">
        <v>217.65</v>
      </c>
      <c r="J686" s="4">
        <v>241.9</v>
      </c>
      <c r="K686" s="3">
        <v>6</v>
      </c>
      <c r="L686" s="2" t="s">
        <v>2539</v>
      </c>
      <c r="M686" s="2" t="s">
        <v>2526</v>
      </c>
      <c r="N686" t="str">
        <f>TRIM(PROPER(Tabla_auditoría[[#This Row],[ID_Campaña]]))</f>
        <v>Cmp-006</v>
      </c>
      <c r="O686" t="str">
        <f>TRIM(PROPER(Tabla_auditoría[[#This Row],[Canal]]))</f>
        <v>Paid Search</v>
      </c>
      <c r="P686" t="str">
        <f>TRIM(PROPER(Tabla_auditoría[[#This Row],[País]]))</f>
        <v>España</v>
      </c>
      <c r="Q686" t="str">
        <f>TRIM(PROPER(Tabla_auditoría[[#This Row],[Dispositivo]]))</f>
        <v>Mobile</v>
      </c>
      <c r="R686" t="str">
        <f>TRIM(PROPER(Tabla_auditoría[[#This Row],[Tipo_Campaña]]))</f>
        <v>Conversión</v>
      </c>
      <c r="S686" t="str">
        <f>TRIM(PROPER(Tabla_auditoría[[#This Row],[Responsable]]))</f>
        <v>Laura Pérez</v>
      </c>
    </row>
    <row r="687" spans="1:19" x14ac:dyDescent="0.3">
      <c r="A687" s="1">
        <v>45705</v>
      </c>
      <c r="B687" s="2" t="s">
        <v>2540</v>
      </c>
      <c r="C687" s="2" t="s">
        <v>2553</v>
      </c>
      <c r="D687" s="2" t="s">
        <v>2516</v>
      </c>
      <c r="E687" s="2" t="s">
        <v>2529</v>
      </c>
      <c r="F687" s="3">
        <v>44692</v>
      </c>
      <c r="G687" s="3">
        <v>1730</v>
      </c>
      <c r="H687" s="3">
        <v>54</v>
      </c>
      <c r="I687" s="4">
        <v>1823.76</v>
      </c>
      <c r="J687" s="4">
        <v>8757.1299999999992</v>
      </c>
      <c r="K687" s="3">
        <v>26</v>
      </c>
      <c r="L687" s="2" t="s">
        <v>2536</v>
      </c>
      <c r="M687" s="2" t="s">
        <v>2519</v>
      </c>
      <c r="N687" t="str">
        <f>TRIM(PROPER(Tabla_auditoría[[#This Row],[ID_Campaña]]))</f>
        <v>Cmp-017</v>
      </c>
      <c r="O687" t="str">
        <f>TRIM(PROPER(Tabla_auditoría[[#This Row],[Canal]]))</f>
        <v>Email</v>
      </c>
      <c r="P687" t="str">
        <f>TRIM(PROPER(Tabla_auditoría[[#This Row],[País]]))</f>
        <v>México</v>
      </c>
      <c r="Q687" t="str">
        <f>TRIM(PROPER(Tabla_auditoría[[#This Row],[Dispositivo]]))</f>
        <v>Mobile</v>
      </c>
      <c r="R687" t="str">
        <f>TRIM(PROPER(Tabla_auditoría[[#This Row],[Tipo_Campaña]]))</f>
        <v>Reconocimiento</v>
      </c>
      <c r="S687" t="str">
        <f>TRIM(PROPER(Tabla_auditoría[[#This Row],[Responsable]]))</f>
        <v>Carlos Ruiz</v>
      </c>
    </row>
    <row r="688" spans="1:19" x14ac:dyDescent="0.3">
      <c r="A688" s="1">
        <v>45966</v>
      </c>
      <c r="B688" s="2" t="s">
        <v>2574</v>
      </c>
      <c r="C688" s="2" t="s">
        <v>2541</v>
      </c>
      <c r="D688" s="2" t="s">
        <v>2528</v>
      </c>
      <c r="E688" s="2" t="s">
        <v>2529</v>
      </c>
      <c r="F688" s="3">
        <v>169276</v>
      </c>
      <c r="G688" s="3">
        <v>1538</v>
      </c>
      <c r="H688" s="3">
        <v>200</v>
      </c>
      <c r="I688" s="4">
        <v>993.49</v>
      </c>
      <c r="J688" s="4">
        <v>27118.27</v>
      </c>
      <c r="K688" s="3">
        <v>95</v>
      </c>
      <c r="L688" s="2" t="s">
        <v>2536</v>
      </c>
      <c r="M688" s="2" t="s">
        <v>2537</v>
      </c>
      <c r="N688" t="str">
        <f>TRIM(PROPER(Tabla_auditoría[[#This Row],[ID_Campaña]]))</f>
        <v>Cmp-003</v>
      </c>
      <c r="O688" t="str">
        <f>TRIM(PROPER(Tabla_auditoría[[#This Row],[Canal]]))</f>
        <v>Display</v>
      </c>
      <c r="P688" t="str">
        <f>TRIM(PROPER(Tabla_auditoría[[#This Row],[País]]))</f>
        <v>España</v>
      </c>
      <c r="Q688" t="str">
        <f>TRIM(PROPER(Tabla_auditoría[[#This Row],[Dispositivo]]))</f>
        <v>Mobile</v>
      </c>
      <c r="R688" t="str">
        <f>TRIM(PROPER(Tabla_auditoría[[#This Row],[Tipo_Campaña]]))</f>
        <v>Reconocimiento</v>
      </c>
      <c r="S688" t="str">
        <f>TRIM(PROPER(Tabla_auditoría[[#This Row],[Responsable]]))</f>
        <v>Marta López</v>
      </c>
    </row>
    <row r="689" spans="1:19" x14ac:dyDescent="0.3">
      <c r="A689" s="1">
        <v>45677</v>
      </c>
      <c r="B689" s="2" t="s">
        <v>2574</v>
      </c>
      <c r="C689" s="2" t="s">
        <v>2521</v>
      </c>
      <c r="D689" s="2" t="s">
        <v>2528</v>
      </c>
      <c r="E689" s="2" t="s">
        <v>2517</v>
      </c>
      <c r="F689" s="3">
        <v>152530</v>
      </c>
      <c r="G689" s="3">
        <v>7322</v>
      </c>
      <c r="H689" s="3">
        <v>373</v>
      </c>
      <c r="I689" s="4">
        <v>14004.51</v>
      </c>
      <c r="J689" s="4">
        <v>41976.75</v>
      </c>
      <c r="K689" s="3">
        <v>235</v>
      </c>
      <c r="L689" s="2" t="s">
        <v>2523</v>
      </c>
      <c r="M689" s="2" t="s">
        <v>2537</v>
      </c>
      <c r="N689" t="str">
        <f>TRIM(PROPER(Tabla_auditoría[[#This Row],[ID_Campaña]]))</f>
        <v>Cmp-003</v>
      </c>
      <c r="O689" t="str">
        <f>TRIM(PROPER(Tabla_auditoría[[#This Row],[Canal]]))</f>
        <v>Paid Search</v>
      </c>
      <c r="P689" t="str">
        <f>TRIM(PROPER(Tabla_auditoría[[#This Row],[País]]))</f>
        <v>España</v>
      </c>
      <c r="Q689" t="str">
        <f>TRIM(PROPER(Tabla_auditoría[[#This Row],[Dispositivo]]))</f>
        <v>Desktop</v>
      </c>
      <c r="R689" t="str">
        <f>TRIM(PROPER(Tabla_auditoría[[#This Row],[Tipo_Campaña]]))</f>
        <v>Retención</v>
      </c>
      <c r="S689" t="str">
        <f>TRIM(PROPER(Tabla_auditoría[[#This Row],[Responsable]]))</f>
        <v>Marta López</v>
      </c>
    </row>
    <row r="690" spans="1:19" x14ac:dyDescent="0.3">
      <c r="A690" s="1">
        <v>45821</v>
      </c>
      <c r="B690" s="2" t="s">
        <v>2514</v>
      </c>
      <c r="C690" s="2" t="s">
        <v>2533</v>
      </c>
      <c r="D690" s="2" t="s">
        <v>2528</v>
      </c>
      <c r="E690" s="2" t="s">
        <v>2529</v>
      </c>
      <c r="F690" s="3">
        <v>140560</v>
      </c>
      <c r="G690" s="3">
        <v>9208</v>
      </c>
      <c r="H690" s="3">
        <v>1003</v>
      </c>
      <c r="I690" s="4">
        <v>10197.780000000001</v>
      </c>
      <c r="J690" s="4">
        <v>175123.41</v>
      </c>
      <c r="K690" s="3">
        <v>501</v>
      </c>
      <c r="L690" s="2" t="s">
        <v>2523</v>
      </c>
      <c r="M690" s="2" t="s">
        <v>2519</v>
      </c>
      <c r="N690" t="str">
        <f>TRIM(PROPER(Tabla_auditoría[[#This Row],[ID_Campaña]]))</f>
        <v>Cmp-002</v>
      </c>
      <c r="O690" t="str">
        <f>TRIM(PROPER(Tabla_auditoría[[#This Row],[Canal]]))</f>
        <v>Paid Social</v>
      </c>
      <c r="P690" t="str">
        <f>TRIM(PROPER(Tabla_auditoría[[#This Row],[País]]))</f>
        <v>España</v>
      </c>
      <c r="Q690" t="str">
        <f>TRIM(PROPER(Tabla_auditoría[[#This Row],[Dispositivo]]))</f>
        <v>Mobile</v>
      </c>
      <c r="R690" t="str">
        <f>TRIM(PROPER(Tabla_auditoría[[#This Row],[Tipo_Campaña]]))</f>
        <v>Retención</v>
      </c>
      <c r="S690" t="str">
        <f>TRIM(PROPER(Tabla_auditoría[[#This Row],[Responsable]]))</f>
        <v>Carlos Ruiz</v>
      </c>
    </row>
    <row r="691" spans="1:19" x14ac:dyDescent="0.3">
      <c r="A691" s="1">
        <v>45812</v>
      </c>
      <c r="B691" s="2" t="s">
        <v>2568</v>
      </c>
      <c r="C691" s="2" t="s">
        <v>2527</v>
      </c>
      <c r="D691" s="2" t="s">
        <v>2516</v>
      </c>
      <c r="E691" s="2" t="s">
        <v>2529</v>
      </c>
      <c r="F691" s="3">
        <v>83050</v>
      </c>
      <c r="G691" s="3">
        <v>4655</v>
      </c>
      <c r="H691" s="3">
        <v>43</v>
      </c>
      <c r="I691" s="4">
        <v>6003.72</v>
      </c>
      <c r="J691" s="4">
        <v>5642.28</v>
      </c>
      <c r="K691" s="3">
        <v>20</v>
      </c>
      <c r="L691" s="2" t="s">
        <v>2518</v>
      </c>
      <c r="M691" s="2" t="s">
        <v>2519</v>
      </c>
      <c r="N691" t="str">
        <f>TRIM(PROPER(Tabla_auditoría[[#This Row],[ID_Campaña]]))</f>
        <v>Cmp-020</v>
      </c>
      <c r="O691" t="str">
        <f>TRIM(PROPER(Tabla_auditoría[[#This Row],[Canal]]))</f>
        <v>Affiliate</v>
      </c>
      <c r="P691" t="str">
        <f>TRIM(PROPER(Tabla_auditoría[[#This Row],[País]]))</f>
        <v>México</v>
      </c>
      <c r="Q691" t="str">
        <f>TRIM(PROPER(Tabla_auditoría[[#This Row],[Dispositivo]]))</f>
        <v>Mobile</v>
      </c>
      <c r="R691" t="str">
        <f>TRIM(PROPER(Tabla_auditoría[[#This Row],[Tipo_Campaña]]))</f>
        <v>Adquisición</v>
      </c>
      <c r="S691" t="str">
        <f>TRIM(PROPER(Tabla_auditoría[[#This Row],[Responsable]]))</f>
        <v>Carlos Ruiz</v>
      </c>
    </row>
    <row r="692" spans="1:19" x14ac:dyDescent="0.3">
      <c r="A692" s="1">
        <v>45673</v>
      </c>
      <c r="B692" s="2" t="s">
        <v>2520</v>
      </c>
      <c r="C692" s="2" t="s">
        <v>2543</v>
      </c>
      <c r="D692" s="2" t="s">
        <v>2522</v>
      </c>
      <c r="E692" s="2" t="s">
        <v>2517</v>
      </c>
      <c r="F692" s="3">
        <v>50916</v>
      </c>
      <c r="G692" s="3">
        <v>2977</v>
      </c>
      <c r="H692" s="3">
        <v>256</v>
      </c>
      <c r="I692" s="4">
        <v>3954.53</v>
      </c>
      <c r="J692" s="4">
        <v>15565.99</v>
      </c>
      <c r="K692" s="3">
        <v>197</v>
      </c>
      <c r="L692" s="2" t="s">
        <v>2536</v>
      </c>
      <c r="M692" s="2" t="s">
        <v>2519</v>
      </c>
      <c r="N692" t="str">
        <f>TRIM(PROPER(Tabla_auditoría[[#This Row],[ID_Campaña]]))</f>
        <v>Cmp-009</v>
      </c>
      <c r="O692" t="str">
        <f>TRIM(PROPER(Tabla_auditoría[[#This Row],[Canal]]))</f>
        <v>Organic Social</v>
      </c>
      <c r="P692" t="str">
        <f>TRIM(PROPER(Tabla_auditoría[[#This Row],[País]]))</f>
        <v>Italia</v>
      </c>
      <c r="Q692" t="str">
        <f>TRIM(PROPER(Tabla_auditoría[[#This Row],[Dispositivo]]))</f>
        <v>Desktop</v>
      </c>
      <c r="R692" t="str">
        <f>TRIM(PROPER(Tabla_auditoría[[#This Row],[Tipo_Campaña]]))</f>
        <v>Reconocimiento</v>
      </c>
      <c r="S692" t="str">
        <f>TRIM(PROPER(Tabla_auditoría[[#This Row],[Responsable]]))</f>
        <v>Carlos Ruiz</v>
      </c>
    </row>
    <row r="693" spans="1:19" x14ac:dyDescent="0.3">
      <c r="A693" s="1">
        <v>45871</v>
      </c>
      <c r="B693" s="2" t="s">
        <v>2568</v>
      </c>
      <c r="C693" s="2" t="s">
        <v>2533</v>
      </c>
      <c r="D693" s="2" t="s">
        <v>2528</v>
      </c>
      <c r="E693" s="2" t="s">
        <v>2517</v>
      </c>
      <c r="F693" s="3">
        <v>122929</v>
      </c>
      <c r="G693" s="3">
        <v>9675</v>
      </c>
      <c r="H693" s="3">
        <v>765</v>
      </c>
      <c r="I693" s="4">
        <v>18052.349999999999</v>
      </c>
      <c r="J693" s="4">
        <v>164213.48000000001</v>
      </c>
      <c r="K693" s="3">
        <v>670</v>
      </c>
      <c r="L693" s="2" t="s">
        <v>2539</v>
      </c>
      <c r="M693" s="2" t="s">
        <v>2537</v>
      </c>
      <c r="N693" t="str">
        <f>TRIM(PROPER(Tabla_auditoría[[#This Row],[ID_Campaña]]))</f>
        <v>Cmp-020</v>
      </c>
      <c r="O693" t="str">
        <f>TRIM(PROPER(Tabla_auditoría[[#This Row],[Canal]]))</f>
        <v>Paid Social</v>
      </c>
      <c r="P693" t="str">
        <f>TRIM(PROPER(Tabla_auditoría[[#This Row],[País]]))</f>
        <v>España</v>
      </c>
      <c r="Q693" t="str">
        <f>TRIM(PROPER(Tabla_auditoría[[#This Row],[Dispositivo]]))</f>
        <v>Desktop</v>
      </c>
      <c r="R693" t="str">
        <f>TRIM(PROPER(Tabla_auditoría[[#This Row],[Tipo_Campaña]]))</f>
        <v>Conversión</v>
      </c>
      <c r="S693" t="str">
        <f>TRIM(PROPER(Tabla_auditoría[[#This Row],[Responsable]]))</f>
        <v>Marta López</v>
      </c>
    </row>
    <row r="694" spans="1:19" x14ac:dyDescent="0.3">
      <c r="A694" s="1">
        <v>46011</v>
      </c>
      <c r="B694" s="2" t="s">
        <v>2565</v>
      </c>
      <c r="C694" s="2" t="s">
        <v>2558</v>
      </c>
      <c r="D694" s="2" t="s">
        <v>2516</v>
      </c>
      <c r="E694" s="2" t="s">
        <v>2529</v>
      </c>
      <c r="F694" s="3">
        <v>132460</v>
      </c>
      <c r="G694" s="3">
        <v>9522</v>
      </c>
      <c r="H694" s="3">
        <v>930</v>
      </c>
      <c r="I694" s="4">
        <v>3561.49</v>
      </c>
      <c r="J694" s="4">
        <v>188777.57</v>
      </c>
      <c r="K694" s="3">
        <v>461</v>
      </c>
      <c r="L694" s="2" t="s">
        <v>2536</v>
      </c>
      <c r="M694" s="2" t="s">
        <v>2519</v>
      </c>
      <c r="N694" t="str">
        <f>TRIM(PROPER(Tabla_auditoría[[#This Row],[ID_Campaña]]))</f>
        <v>Cmp-005</v>
      </c>
      <c r="O694" t="str">
        <f>TRIM(PROPER(Tabla_auditoría[[#This Row],[Canal]]))</f>
        <v>Paid Social</v>
      </c>
      <c r="P694" t="str">
        <f>TRIM(PROPER(Tabla_auditoría[[#This Row],[País]]))</f>
        <v>México</v>
      </c>
      <c r="Q694" t="str">
        <f>TRIM(PROPER(Tabla_auditoría[[#This Row],[Dispositivo]]))</f>
        <v>Mobile</v>
      </c>
      <c r="R694" t="str">
        <f>TRIM(PROPER(Tabla_auditoría[[#This Row],[Tipo_Campaña]]))</f>
        <v>Reconocimiento</v>
      </c>
      <c r="S694" t="str">
        <f>TRIM(PROPER(Tabla_auditoría[[#This Row],[Responsable]]))</f>
        <v>Carlos Ruiz</v>
      </c>
    </row>
    <row r="695" spans="1:19" x14ac:dyDescent="0.3">
      <c r="A695" s="1">
        <v>45695</v>
      </c>
      <c r="B695" s="2" t="s">
        <v>2568</v>
      </c>
      <c r="D695" s="2" t="s">
        <v>2516</v>
      </c>
      <c r="E695" s="2" t="s">
        <v>2529</v>
      </c>
      <c r="F695" s="3">
        <v>22543</v>
      </c>
      <c r="G695" s="3">
        <v>1542</v>
      </c>
      <c r="H695" s="3">
        <v>135</v>
      </c>
      <c r="I695" s="4">
        <v>1832.85</v>
      </c>
      <c r="J695" s="4">
        <v>24155.74</v>
      </c>
      <c r="K695" s="3">
        <v>82</v>
      </c>
      <c r="L695" s="2" t="s">
        <v>2523</v>
      </c>
      <c r="N695" t="str">
        <f>TRIM(PROPER(Tabla_auditoría[[#This Row],[ID_Campaña]]))</f>
        <v>Cmp-020</v>
      </c>
      <c r="O695" t="str">
        <f>TRIM(PROPER(Tabla_auditoría[[#This Row],[Canal]]))</f>
        <v/>
      </c>
      <c r="P695" t="str">
        <f>TRIM(PROPER(Tabla_auditoría[[#This Row],[País]]))</f>
        <v>México</v>
      </c>
      <c r="Q695" t="str">
        <f>TRIM(PROPER(Tabla_auditoría[[#This Row],[Dispositivo]]))</f>
        <v>Mobile</v>
      </c>
      <c r="R695" t="str">
        <f>TRIM(PROPER(Tabla_auditoría[[#This Row],[Tipo_Campaña]]))</f>
        <v>Retención</v>
      </c>
      <c r="S695" t="str">
        <f>TRIM(PROPER(Tabla_auditoría[[#This Row],[Responsable]]))</f>
        <v/>
      </c>
    </row>
    <row r="696" spans="1:19" x14ac:dyDescent="0.3">
      <c r="A696" s="1">
        <v>45867</v>
      </c>
      <c r="B696" s="2" t="s">
        <v>2568</v>
      </c>
      <c r="C696" s="2" t="s">
        <v>2515</v>
      </c>
      <c r="D696" s="2" t="s">
        <v>2528</v>
      </c>
      <c r="E696" s="2" t="s">
        <v>2534</v>
      </c>
      <c r="F696" s="3">
        <v>123717</v>
      </c>
      <c r="G696" s="3">
        <v>1968</v>
      </c>
      <c r="H696" s="3">
        <v>256</v>
      </c>
      <c r="I696" s="4">
        <v>4074.84</v>
      </c>
      <c r="J696" s="4">
        <v>23475.75</v>
      </c>
      <c r="K696" s="3">
        <v>218</v>
      </c>
      <c r="L696" s="2" t="s">
        <v>2523</v>
      </c>
      <c r="M696" s="2" t="s">
        <v>2524</v>
      </c>
      <c r="N696" t="str">
        <f>TRIM(PROPER(Tabla_auditoría[[#This Row],[ID_Campaña]]))</f>
        <v>Cmp-020</v>
      </c>
      <c r="O696" t="str">
        <f>TRIM(PROPER(Tabla_auditoría[[#This Row],[Canal]]))</f>
        <v>Email</v>
      </c>
      <c r="P696" t="str">
        <f>TRIM(PROPER(Tabla_auditoría[[#This Row],[País]]))</f>
        <v>España</v>
      </c>
      <c r="Q696" t="str">
        <f>TRIM(PROPER(Tabla_auditoría[[#This Row],[Dispositivo]]))</f>
        <v>Tablet</v>
      </c>
      <c r="R696" t="str">
        <f>TRIM(PROPER(Tabla_auditoría[[#This Row],[Tipo_Campaña]]))</f>
        <v>Retención</v>
      </c>
      <c r="S696" t="str">
        <f>TRIM(PROPER(Tabla_auditoría[[#This Row],[Responsable]]))</f>
        <v>Luis Martín</v>
      </c>
    </row>
    <row r="697" spans="1:19" x14ac:dyDescent="0.3">
      <c r="A697" s="1">
        <v>45729</v>
      </c>
      <c r="B697" s="2" t="s">
        <v>2542</v>
      </c>
      <c r="C697" s="2" t="s">
        <v>2541</v>
      </c>
      <c r="D697" s="2" t="s">
        <v>2528</v>
      </c>
      <c r="E697" s="2" t="s">
        <v>2517</v>
      </c>
      <c r="F697" s="3">
        <v>40808</v>
      </c>
      <c r="G697" s="3">
        <v>1997</v>
      </c>
      <c r="H697" s="3">
        <v>245</v>
      </c>
      <c r="I697" s="4">
        <v>1451.18</v>
      </c>
      <c r="J697" s="4">
        <v>22368.11</v>
      </c>
      <c r="K697" s="3">
        <v>150</v>
      </c>
      <c r="L697" s="2" t="s">
        <v>2539</v>
      </c>
      <c r="M697" s="2" t="s">
        <v>2519</v>
      </c>
      <c r="N697" t="str">
        <f>TRIM(PROPER(Tabla_auditoría[[#This Row],[ID_Campaña]]))</f>
        <v>Cmp-025</v>
      </c>
      <c r="O697" t="str">
        <f>TRIM(PROPER(Tabla_auditoría[[#This Row],[Canal]]))</f>
        <v>Display</v>
      </c>
      <c r="P697" t="str">
        <f>TRIM(PROPER(Tabla_auditoría[[#This Row],[País]]))</f>
        <v>España</v>
      </c>
      <c r="Q697" t="str">
        <f>TRIM(PROPER(Tabla_auditoría[[#This Row],[Dispositivo]]))</f>
        <v>Desktop</v>
      </c>
      <c r="R697" t="str">
        <f>TRIM(PROPER(Tabla_auditoría[[#This Row],[Tipo_Campaña]]))</f>
        <v>Conversión</v>
      </c>
      <c r="S697" t="str">
        <f>TRIM(PROPER(Tabla_auditoría[[#This Row],[Responsable]]))</f>
        <v>Carlos Ruiz</v>
      </c>
    </row>
    <row r="698" spans="1:19" x14ac:dyDescent="0.3">
      <c r="A698" s="1">
        <v>45981</v>
      </c>
      <c r="B698" s="2" t="s">
        <v>2564</v>
      </c>
      <c r="C698" s="2" t="s">
        <v>2553</v>
      </c>
      <c r="D698" s="2" t="s">
        <v>2528</v>
      </c>
      <c r="E698" s="2" t="s">
        <v>2517</v>
      </c>
      <c r="F698" s="3">
        <v>4453</v>
      </c>
      <c r="G698" s="3">
        <v>258</v>
      </c>
      <c r="H698" s="3">
        <v>30</v>
      </c>
      <c r="I698" s="4">
        <v>469.78</v>
      </c>
      <c r="J698" s="4">
        <v>1241.54</v>
      </c>
      <c r="K698" s="3">
        <v>14</v>
      </c>
      <c r="L698" s="2" t="s">
        <v>2518</v>
      </c>
      <c r="M698" s="2" t="s">
        <v>2526</v>
      </c>
      <c r="N698" t="str">
        <f>TRIM(PROPER(Tabla_auditoría[[#This Row],[ID_Campaña]]))</f>
        <v>Cmp-024</v>
      </c>
      <c r="O698" t="str">
        <f>TRIM(PROPER(Tabla_auditoría[[#This Row],[Canal]]))</f>
        <v>Email</v>
      </c>
      <c r="P698" t="str">
        <f>TRIM(PROPER(Tabla_auditoría[[#This Row],[País]]))</f>
        <v>España</v>
      </c>
      <c r="Q698" t="str">
        <f>TRIM(PROPER(Tabla_auditoría[[#This Row],[Dispositivo]]))</f>
        <v>Desktop</v>
      </c>
      <c r="R698" t="str">
        <f>TRIM(PROPER(Tabla_auditoría[[#This Row],[Tipo_Campaña]]))</f>
        <v>Adquisición</v>
      </c>
      <c r="S698" t="str">
        <f>TRIM(PROPER(Tabla_auditoría[[#This Row],[Responsable]]))</f>
        <v>Laura Pérez</v>
      </c>
    </row>
    <row r="699" spans="1:19" x14ac:dyDescent="0.3">
      <c r="A699" s="1">
        <v>45952</v>
      </c>
      <c r="B699" s="2" t="s">
        <v>2570</v>
      </c>
      <c r="C699" s="2" t="s">
        <v>2541</v>
      </c>
      <c r="D699" s="2" t="s">
        <v>2528</v>
      </c>
      <c r="E699" s="2" t="s">
        <v>2529</v>
      </c>
      <c r="F699" s="3">
        <v>86311</v>
      </c>
      <c r="G699" s="3">
        <v>4893</v>
      </c>
      <c r="H699" s="3">
        <v>91</v>
      </c>
      <c r="I699" s="4">
        <v>8967.0499999999993</v>
      </c>
      <c r="J699" s="4">
        <v>17490.52</v>
      </c>
      <c r="K699" s="3">
        <v>46</v>
      </c>
      <c r="L699" s="2" t="s">
        <v>2539</v>
      </c>
      <c r="M699" s="2" t="s">
        <v>2519</v>
      </c>
      <c r="N699" t="str">
        <f>TRIM(PROPER(Tabla_auditoría[[#This Row],[ID_Campaña]]))</f>
        <v>Cmp-016</v>
      </c>
      <c r="O699" t="str">
        <f>TRIM(PROPER(Tabla_auditoría[[#This Row],[Canal]]))</f>
        <v>Display</v>
      </c>
      <c r="P699" t="str">
        <f>TRIM(PROPER(Tabla_auditoría[[#This Row],[País]]))</f>
        <v>España</v>
      </c>
      <c r="Q699" t="str">
        <f>TRIM(PROPER(Tabla_auditoría[[#This Row],[Dispositivo]]))</f>
        <v>Mobile</v>
      </c>
      <c r="R699" t="str">
        <f>TRIM(PROPER(Tabla_auditoría[[#This Row],[Tipo_Campaña]]))</f>
        <v>Conversión</v>
      </c>
      <c r="S699" t="str">
        <f>TRIM(PROPER(Tabla_auditoría[[#This Row],[Responsable]]))</f>
        <v>Carlos Ruiz</v>
      </c>
    </row>
    <row r="700" spans="1:19" x14ac:dyDescent="0.3">
      <c r="A700" s="1">
        <v>45826</v>
      </c>
      <c r="B700" s="2" t="s">
        <v>2551</v>
      </c>
      <c r="C700" s="2" t="s">
        <v>2521</v>
      </c>
      <c r="D700" s="2" t="s">
        <v>2525</v>
      </c>
      <c r="E700" s="2" t="s">
        <v>2534</v>
      </c>
      <c r="F700" s="3">
        <v>135061</v>
      </c>
      <c r="G700" s="3">
        <v>9589</v>
      </c>
      <c r="H700" s="3">
        <v>243</v>
      </c>
      <c r="I700" s="4">
        <v>10952.39</v>
      </c>
      <c r="J700" s="4">
        <v>15138.07</v>
      </c>
      <c r="K700" s="3">
        <v>113</v>
      </c>
      <c r="L700" s="2" t="s">
        <v>2518</v>
      </c>
      <c r="M700" s="2" t="s">
        <v>2546</v>
      </c>
      <c r="N700" t="str">
        <f>TRIM(PROPER(Tabla_auditoría[[#This Row],[ID_Campaña]]))</f>
        <v>Cmp-028</v>
      </c>
      <c r="O700" t="str">
        <f>TRIM(PROPER(Tabla_auditoría[[#This Row],[Canal]]))</f>
        <v>Paid Search</v>
      </c>
      <c r="P700" t="str">
        <f>TRIM(PROPER(Tabla_auditoría[[#This Row],[País]]))</f>
        <v>Francia</v>
      </c>
      <c r="Q700" t="str">
        <f>TRIM(PROPER(Tabla_auditoría[[#This Row],[Dispositivo]]))</f>
        <v>Tablet</v>
      </c>
      <c r="R700" t="str">
        <f>TRIM(PROPER(Tabla_auditoría[[#This Row],[Tipo_Campaña]]))</f>
        <v>Adquisición</v>
      </c>
      <c r="S700" t="str">
        <f>TRIM(PROPER(Tabla_auditoría[[#This Row],[Responsable]]))</f>
        <v>Ana García</v>
      </c>
    </row>
    <row r="701" spans="1:19" x14ac:dyDescent="0.3">
      <c r="A701" s="1">
        <v>45852</v>
      </c>
      <c r="B701" s="2" t="s">
        <v>2567</v>
      </c>
      <c r="C701" s="2" t="s">
        <v>2541</v>
      </c>
      <c r="D701" s="2" t="s">
        <v>2528</v>
      </c>
      <c r="E701" s="2" t="s">
        <v>2517</v>
      </c>
      <c r="F701" s="3">
        <v>140482</v>
      </c>
      <c r="G701" s="3">
        <v>7004</v>
      </c>
      <c r="H701" s="3">
        <v>317</v>
      </c>
      <c r="I701" s="4">
        <v>6340.18</v>
      </c>
      <c r="J701" s="4">
        <v>68644.59</v>
      </c>
      <c r="K701" s="3">
        <v>237</v>
      </c>
      <c r="L701" s="2" t="s">
        <v>2518</v>
      </c>
      <c r="M701" s="2" t="s">
        <v>2524</v>
      </c>
      <c r="N701" t="str">
        <f>TRIM(PROPER(Tabla_auditoría[[#This Row],[ID_Campaña]]))</f>
        <v>Cmp-021</v>
      </c>
      <c r="O701" t="str">
        <f>TRIM(PROPER(Tabla_auditoría[[#This Row],[Canal]]))</f>
        <v>Display</v>
      </c>
      <c r="P701" t="str">
        <f>TRIM(PROPER(Tabla_auditoría[[#This Row],[País]]))</f>
        <v>España</v>
      </c>
      <c r="Q701" t="str">
        <f>TRIM(PROPER(Tabla_auditoría[[#This Row],[Dispositivo]]))</f>
        <v>Desktop</v>
      </c>
      <c r="R701" t="str">
        <f>TRIM(PROPER(Tabla_auditoría[[#This Row],[Tipo_Campaña]]))</f>
        <v>Adquisición</v>
      </c>
      <c r="S701" t="str">
        <f>TRIM(PROPER(Tabla_auditoría[[#This Row],[Responsable]]))</f>
        <v>Luis Martín</v>
      </c>
    </row>
    <row r="702" spans="1:19" x14ac:dyDescent="0.3">
      <c r="A702" s="1">
        <v>45758</v>
      </c>
      <c r="B702" s="2" t="s">
        <v>2530</v>
      </c>
      <c r="C702" s="2" t="s">
        <v>2533</v>
      </c>
      <c r="D702" s="2" t="s">
        <v>2528</v>
      </c>
      <c r="E702" s="2" t="s">
        <v>2517</v>
      </c>
      <c r="F702" s="3">
        <v>103816</v>
      </c>
      <c r="G702" s="3">
        <v>4253</v>
      </c>
      <c r="H702" s="3">
        <v>423</v>
      </c>
      <c r="I702" s="4">
        <v>5951.44</v>
      </c>
      <c r="J702" s="4">
        <v>64888.19</v>
      </c>
      <c r="K702" s="3">
        <v>222</v>
      </c>
      <c r="L702" s="2" t="s">
        <v>2539</v>
      </c>
      <c r="M702" s="2" t="s">
        <v>2524</v>
      </c>
      <c r="N702" t="str">
        <f>TRIM(PROPER(Tabla_auditoría[[#This Row],[ID_Campaña]]))</f>
        <v>Cmp-026</v>
      </c>
      <c r="O702" t="str">
        <f>TRIM(PROPER(Tabla_auditoría[[#This Row],[Canal]]))</f>
        <v>Paid Social</v>
      </c>
      <c r="P702" t="str">
        <f>TRIM(PROPER(Tabla_auditoría[[#This Row],[País]]))</f>
        <v>España</v>
      </c>
      <c r="Q702" t="str">
        <f>TRIM(PROPER(Tabla_auditoría[[#This Row],[Dispositivo]]))</f>
        <v>Desktop</v>
      </c>
      <c r="R702" t="str">
        <f>TRIM(PROPER(Tabla_auditoría[[#This Row],[Tipo_Campaña]]))</f>
        <v>Conversión</v>
      </c>
      <c r="S702" t="str">
        <f>TRIM(PROPER(Tabla_auditoría[[#This Row],[Responsable]]))</f>
        <v>Luis Martín</v>
      </c>
    </row>
    <row r="703" spans="1:19" x14ac:dyDescent="0.3">
      <c r="A703" s="1">
        <v>45854</v>
      </c>
      <c r="B703" s="2" t="s">
        <v>2554</v>
      </c>
      <c r="C703" s="2" t="s">
        <v>2543</v>
      </c>
      <c r="D703" s="2" t="s">
        <v>2525</v>
      </c>
      <c r="E703" s="2" t="s">
        <v>2517</v>
      </c>
      <c r="F703" s="3">
        <v>41550</v>
      </c>
      <c r="G703" s="3">
        <v>2067</v>
      </c>
      <c r="H703" s="3">
        <v>177</v>
      </c>
      <c r="I703" s="4">
        <v>4241.22</v>
      </c>
      <c r="J703" s="4">
        <v>8388.51</v>
      </c>
      <c r="K703" s="3">
        <v>90</v>
      </c>
      <c r="L703" s="2" t="s">
        <v>2536</v>
      </c>
      <c r="M703" s="2" t="s">
        <v>2524</v>
      </c>
      <c r="N703" t="str">
        <f>TRIM(PROPER(Tabla_auditoría[[#This Row],[ID_Campaña]]))</f>
        <v>Cmp-019</v>
      </c>
      <c r="O703" t="str">
        <f>TRIM(PROPER(Tabla_auditoría[[#This Row],[Canal]]))</f>
        <v>Organic Social</v>
      </c>
      <c r="P703" t="str">
        <f>TRIM(PROPER(Tabla_auditoría[[#This Row],[País]]))</f>
        <v>Francia</v>
      </c>
      <c r="Q703" t="str">
        <f>TRIM(PROPER(Tabla_auditoría[[#This Row],[Dispositivo]]))</f>
        <v>Desktop</v>
      </c>
      <c r="R703" t="str">
        <f>TRIM(PROPER(Tabla_auditoría[[#This Row],[Tipo_Campaña]]))</f>
        <v>Reconocimiento</v>
      </c>
      <c r="S703" t="str">
        <f>TRIM(PROPER(Tabla_auditoría[[#This Row],[Responsable]]))</f>
        <v>Luis Martín</v>
      </c>
    </row>
    <row r="704" spans="1:19" x14ac:dyDescent="0.3">
      <c r="A704" s="1">
        <v>45793</v>
      </c>
      <c r="B704" s="2" t="s">
        <v>2563</v>
      </c>
      <c r="C704" s="2" t="s">
        <v>2515</v>
      </c>
      <c r="D704" s="2" t="s">
        <v>2528</v>
      </c>
      <c r="E704" s="2" t="s">
        <v>2529</v>
      </c>
      <c r="F704" s="3">
        <v>133765</v>
      </c>
      <c r="G704" s="3">
        <v>2011</v>
      </c>
      <c r="H704" s="3">
        <v>194</v>
      </c>
      <c r="I704" s="4">
        <v>3295.87</v>
      </c>
      <c r="J704" s="4">
        <v>18557.849999999999</v>
      </c>
      <c r="K704" s="3">
        <v>142</v>
      </c>
      <c r="L704" s="2" t="s">
        <v>2536</v>
      </c>
      <c r="M704" s="2" t="s">
        <v>2524</v>
      </c>
      <c r="N704" t="str">
        <f>TRIM(PROPER(Tabla_auditoría[[#This Row],[ID_Campaña]]))</f>
        <v>Cmp-023</v>
      </c>
      <c r="O704" t="str">
        <f>TRIM(PROPER(Tabla_auditoría[[#This Row],[Canal]]))</f>
        <v>Email</v>
      </c>
      <c r="P704" t="str">
        <f>TRIM(PROPER(Tabla_auditoría[[#This Row],[País]]))</f>
        <v>España</v>
      </c>
      <c r="Q704" t="str">
        <f>TRIM(PROPER(Tabla_auditoría[[#This Row],[Dispositivo]]))</f>
        <v>Mobile</v>
      </c>
      <c r="R704" t="str">
        <f>TRIM(PROPER(Tabla_auditoría[[#This Row],[Tipo_Campaña]]))</f>
        <v>Reconocimiento</v>
      </c>
      <c r="S704" t="str">
        <f>TRIM(PROPER(Tabla_auditoría[[#This Row],[Responsable]]))</f>
        <v>Luis Martín</v>
      </c>
    </row>
    <row r="705" spans="1:19" x14ac:dyDescent="0.3">
      <c r="A705" s="1">
        <v>45824</v>
      </c>
      <c r="B705" s="2" t="s">
        <v>2567</v>
      </c>
      <c r="C705" s="2" t="s">
        <v>2541</v>
      </c>
      <c r="D705" s="2" t="s">
        <v>2528</v>
      </c>
      <c r="E705" s="2" t="s">
        <v>2517</v>
      </c>
      <c r="F705" s="3">
        <v>17060</v>
      </c>
      <c r="G705" s="3">
        <v>1013</v>
      </c>
      <c r="H705" s="3">
        <v>108</v>
      </c>
      <c r="I705" s="4">
        <v>1567.57</v>
      </c>
      <c r="J705" s="4">
        <v>3655.69</v>
      </c>
      <c r="K705" s="3">
        <v>50</v>
      </c>
      <c r="L705" s="2" t="s">
        <v>2539</v>
      </c>
      <c r="M705" s="2" t="s">
        <v>2524</v>
      </c>
      <c r="N705" t="str">
        <f>TRIM(PROPER(Tabla_auditoría[[#This Row],[ID_Campaña]]))</f>
        <v>Cmp-021</v>
      </c>
      <c r="O705" t="str">
        <f>TRIM(PROPER(Tabla_auditoría[[#This Row],[Canal]]))</f>
        <v>Display</v>
      </c>
      <c r="P705" t="str">
        <f>TRIM(PROPER(Tabla_auditoría[[#This Row],[País]]))</f>
        <v>España</v>
      </c>
      <c r="Q705" t="str">
        <f>TRIM(PROPER(Tabla_auditoría[[#This Row],[Dispositivo]]))</f>
        <v>Desktop</v>
      </c>
      <c r="R705" t="str">
        <f>TRIM(PROPER(Tabla_auditoría[[#This Row],[Tipo_Campaña]]))</f>
        <v>Conversión</v>
      </c>
      <c r="S705" t="str">
        <f>TRIM(PROPER(Tabla_auditoría[[#This Row],[Responsable]]))</f>
        <v>Luis Martín</v>
      </c>
    </row>
    <row r="706" spans="1:19" x14ac:dyDescent="0.3">
      <c r="A706" s="1">
        <v>45888</v>
      </c>
      <c r="B706" s="2" t="s">
        <v>2570</v>
      </c>
      <c r="C706" s="2" t="s">
        <v>2515</v>
      </c>
      <c r="D706" s="2" t="s">
        <v>2528</v>
      </c>
      <c r="E706" s="2" t="s">
        <v>2529</v>
      </c>
      <c r="F706" s="3">
        <v>4683</v>
      </c>
      <c r="G706" s="3">
        <v>222</v>
      </c>
      <c r="H706" s="3">
        <v>26</v>
      </c>
      <c r="I706" s="4">
        <v>317.05</v>
      </c>
      <c r="J706" s="4">
        <v>5622.11</v>
      </c>
      <c r="K706" s="3">
        <v>21</v>
      </c>
      <c r="L706" s="2" t="s">
        <v>2539</v>
      </c>
      <c r="M706" s="2" t="s">
        <v>2524</v>
      </c>
      <c r="N706" t="str">
        <f>TRIM(PROPER(Tabla_auditoría[[#This Row],[ID_Campaña]]))</f>
        <v>Cmp-016</v>
      </c>
      <c r="O706" t="str">
        <f>TRIM(PROPER(Tabla_auditoría[[#This Row],[Canal]]))</f>
        <v>Email</v>
      </c>
      <c r="P706" t="str">
        <f>TRIM(PROPER(Tabla_auditoría[[#This Row],[País]]))</f>
        <v>España</v>
      </c>
      <c r="Q706" t="str">
        <f>TRIM(PROPER(Tabla_auditoría[[#This Row],[Dispositivo]]))</f>
        <v>Mobile</v>
      </c>
      <c r="R706" t="str">
        <f>TRIM(PROPER(Tabla_auditoría[[#This Row],[Tipo_Campaña]]))</f>
        <v>Conversión</v>
      </c>
      <c r="S706" t="str">
        <f>TRIM(PROPER(Tabla_auditoría[[#This Row],[Responsable]]))</f>
        <v>Luis Martín</v>
      </c>
    </row>
    <row r="707" spans="1:19" x14ac:dyDescent="0.3">
      <c r="A707" s="1">
        <v>45870</v>
      </c>
      <c r="B707" s="2" t="s">
        <v>2565</v>
      </c>
      <c r="C707" s="2" t="s">
        <v>2543</v>
      </c>
      <c r="D707" s="2" t="s">
        <v>2525</v>
      </c>
      <c r="E707" s="2" t="s">
        <v>2529</v>
      </c>
      <c r="F707" s="3">
        <v>8037</v>
      </c>
      <c r="G707" s="3">
        <v>663</v>
      </c>
      <c r="H707" s="3">
        <v>62</v>
      </c>
      <c r="I707" s="4">
        <v>96.2</v>
      </c>
      <c r="J707" s="4">
        <v>11757.49</v>
      </c>
      <c r="K707" s="3">
        <v>37</v>
      </c>
      <c r="L707" s="2" t="s">
        <v>2518</v>
      </c>
      <c r="M707" s="2" t="s">
        <v>2537</v>
      </c>
      <c r="N707" t="str">
        <f>TRIM(PROPER(Tabla_auditoría[[#This Row],[ID_Campaña]]))</f>
        <v>Cmp-005</v>
      </c>
      <c r="O707" t="str">
        <f>TRIM(PROPER(Tabla_auditoría[[#This Row],[Canal]]))</f>
        <v>Organic Social</v>
      </c>
      <c r="P707" t="str">
        <f>TRIM(PROPER(Tabla_auditoría[[#This Row],[País]]))</f>
        <v>Francia</v>
      </c>
      <c r="Q707" t="str">
        <f>TRIM(PROPER(Tabla_auditoría[[#This Row],[Dispositivo]]))</f>
        <v>Mobile</v>
      </c>
      <c r="R707" t="str">
        <f>TRIM(PROPER(Tabla_auditoría[[#This Row],[Tipo_Campaña]]))</f>
        <v>Adquisición</v>
      </c>
      <c r="S707" t="str">
        <f>TRIM(PROPER(Tabla_auditoría[[#This Row],[Responsable]]))</f>
        <v>Marta López</v>
      </c>
    </row>
    <row r="708" spans="1:19" x14ac:dyDescent="0.3">
      <c r="A708" s="1">
        <v>45661</v>
      </c>
      <c r="B708" s="2" t="s">
        <v>2520</v>
      </c>
      <c r="C708" s="2" t="s">
        <v>2521</v>
      </c>
      <c r="D708" s="2" t="s">
        <v>2531</v>
      </c>
      <c r="E708" s="2" t="s">
        <v>2529</v>
      </c>
      <c r="F708" s="3">
        <v>100711</v>
      </c>
      <c r="G708" s="3">
        <v>1307</v>
      </c>
      <c r="H708" s="3">
        <v>141</v>
      </c>
      <c r="I708" s="4">
        <v>569.47</v>
      </c>
      <c r="J708" s="4">
        <v>20151.16</v>
      </c>
      <c r="K708" s="3">
        <v>106</v>
      </c>
      <c r="L708" s="2" t="s">
        <v>2539</v>
      </c>
      <c r="M708" s="2" t="s">
        <v>2519</v>
      </c>
      <c r="N708" t="str">
        <f>TRIM(PROPER(Tabla_auditoría[[#This Row],[ID_Campaña]]))</f>
        <v>Cmp-009</v>
      </c>
      <c r="O708" t="str">
        <f>TRIM(PROPER(Tabla_auditoría[[#This Row],[Canal]]))</f>
        <v>Paid Search</v>
      </c>
      <c r="P708" t="str">
        <f>TRIM(PROPER(Tabla_auditoría[[#This Row],[País]]))</f>
        <v>Portugal</v>
      </c>
      <c r="Q708" t="str">
        <f>TRIM(PROPER(Tabla_auditoría[[#This Row],[Dispositivo]]))</f>
        <v>Mobile</v>
      </c>
      <c r="R708" t="str">
        <f>TRIM(PROPER(Tabla_auditoría[[#This Row],[Tipo_Campaña]]))</f>
        <v>Conversión</v>
      </c>
      <c r="S708" t="str">
        <f>TRIM(PROPER(Tabla_auditoría[[#This Row],[Responsable]]))</f>
        <v>Carlos Ruiz</v>
      </c>
    </row>
    <row r="709" spans="1:19" x14ac:dyDescent="0.3">
      <c r="A709" s="1">
        <v>45994</v>
      </c>
      <c r="B709" s="2" t="s">
        <v>2555</v>
      </c>
      <c r="C709" s="2" t="s">
        <v>2533</v>
      </c>
      <c r="D709" s="2" t="s">
        <v>2528</v>
      </c>
      <c r="E709" s="2" t="s">
        <v>2517</v>
      </c>
      <c r="F709" s="3">
        <v>138259</v>
      </c>
      <c r="G709" s="3">
        <v>6040</v>
      </c>
      <c r="H709" s="3">
        <v>417</v>
      </c>
      <c r="I709" s="4">
        <v>718.58</v>
      </c>
      <c r="J709" s="4">
        <v>91241.69</v>
      </c>
      <c r="K709" s="3">
        <v>188</v>
      </c>
      <c r="L709" s="2" t="s">
        <v>2523</v>
      </c>
      <c r="M709" s="2" t="s">
        <v>2537</v>
      </c>
      <c r="N709" t="str">
        <f>TRIM(PROPER(Tabla_auditoría[[#This Row],[ID_Campaña]]))</f>
        <v>Cmp-010</v>
      </c>
      <c r="O709" t="str">
        <f>TRIM(PROPER(Tabla_auditoría[[#This Row],[Canal]]))</f>
        <v>Paid Social</v>
      </c>
      <c r="P709" t="str">
        <f>TRIM(PROPER(Tabla_auditoría[[#This Row],[País]]))</f>
        <v>España</v>
      </c>
      <c r="Q709" t="str">
        <f>TRIM(PROPER(Tabla_auditoría[[#This Row],[Dispositivo]]))</f>
        <v>Desktop</v>
      </c>
      <c r="R709" t="str">
        <f>TRIM(PROPER(Tabla_auditoría[[#This Row],[Tipo_Campaña]]))</f>
        <v>Retención</v>
      </c>
      <c r="S709" t="str">
        <f>TRIM(PROPER(Tabla_auditoría[[#This Row],[Responsable]]))</f>
        <v>Marta López</v>
      </c>
    </row>
    <row r="710" spans="1:19" x14ac:dyDescent="0.3">
      <c r="A710" s="1">
        <v>45746</v>
      </c>
      <c r="B710" s="2" t="s">
        <v>2560</v>
      </c>
      <c r="C710" s="2" t="s">
        <v>2521</v>
      </c>
      <c r="D710" s="2" t="s">
        <v>2531</v>
      </c>
      <c r="E710" s="2" t="s">
        <v>2517</v>
      </c>
      <c r="F710" s="3">
        <v>69919</v>
      </c>
      <c r="G710" s="3">
        <v>1287</v>
      </c>
      <c r="H710" s="3">
        <v>69</v>
      </c>
      <c r="I710" s="4">
        <v>1184.23</v>
      </c>
      <c r="J710" s="4">
        <v>4859.4399999999996</v>
      </c>
      <c r="K710" s="3">
        <v>37</v>
      </c>
      <c r="L710" s="2" t="s">
        <v>2536</v>
      </c>
      <c r="M710" s="2" t="s">
        <v>2524</v>
      </c>
      <c r="N710" t="str">
        <f>TRIM(PROPER(Tabla_auditoría[[#This Row],[ID_Campaña]]))</f>
        <v>Cmp-027</v>
      </c>
      <c r="O710" t="str">
        <f>TRIM(PROPER(Tabla_auditoría[[#This Row],[Canal]]))</f>
        <v>Paid Search</v>
      </c>
      <c r="P710" t="str">
        <f>TRIM(PROPER(Tabla_auditoría[[#This Row],[País]]))</f>
        <v>Portugal</v>
      </c>
      <c r="Q710" t="str">
        <f>TRIM(PROPER(Tabla_auditoría[[#This Row],[Dispositivo]]))</f>
        <v>Desktop</v>
      </c>
      <c r="R710" t="str">
        <f>TRIM(PROPER(Tabla_auditoría[[#This Row],[Tipo_Campaña]]))</f>
        <v>Reconocimiento</v>
      </c>
      <c r="S710" t="str">
        <f>TRIM(PROPER(Tabla_auditoría[[#This Row],[Responsable]]))</f>
        <v>Luis Martín</v>
      </c>
    </row>
    <row r="711" spans="1:19" x14ac:dyDescent="0.3">
      <c r="A711" s="1">
        <v>45688</v>
      </c>
      <c r="B711" s="2" t="s">
        <v>2563</v>
      </c>
      <c r="C711" s="2" t="s">
        <v>2527</v>
      </c>
      <c r="D711" s="2" t="s">
        <v>2528</v>
      </c>
      <c r="E711" s="2" t="s">
        <v>2529</v>
      </c>
      <c r="F711" s="3">
        <v>165022</v>
      </c>
      <c r="G711" s="3">
        <v>2044</v>
      </c>
      <c r="H711" s="3">
        <v>174</v>
      </c>
      <c r="I711" s="4">
        <v>2422.5300000000002</v>
      </c>
      <c r="J711" s="4">
        <v>30348.91</v>
      </c>
      <c r="K711" s="3">
        <v>140</v>
      </c>
      <c r="L711" s="2" t="s">
        <v>2523</v>
      </c>
      <c r="M711" s="2" t="s">
        <v>2524</v>
      </c>
      <c r="N711" t="str">
        <f>TRIM(PROPER(Tabla_auditoría[[#This Row],[ID_Campaña]]))</f>
        <v>Cmp-023</v>
      </c>
      <c r="O711" t="str">
        <f>TRIM(PROPER(Tabla_auditoría[[#This Row],[Canal]]))</f>
        <v>Affiliate</v>
      </c>
      <c r="P711" t="str">
        <f>TRIM(PROPER(Tabla_auditoría[[#This Row],[País]]))</f>
        <v>España</v>
      </c>
      <c r="Q711" t="str">
        <f>TRIM(PROPER(Tabla_auditoría[[#This Row],[Dispositivo]]))</f>
        <v>Mobile</v>
      </c>
      <c r="R711" t="str">
        <f>TRIM(PROPER(Tabla_auditoría[[#This Row],[Tipo_Campaña]]))</f>
        <v>Retención</v>
      </c>
      <c r="S711" t="str">
        <f>TRIM(PROPER(Tabla_auditoría[[#This Row],[Responsable]]))</f>
        <v>Luis Martín</v>
      </c>
    </row>
    <row r="712" spans="1:19" x14ac:dyDescent="0.3">
      <c r="A712" s="1">
        <v>45690</v>
      </c>
      <c r="B712" s="2" t="s">
        <v>2549</v>
      </c>
      <c r="C712" s="2" t="s">
        <v>2527</v>
      </c>
      <c r="D712" s="2" t="s">
        <v>2516</v>
      </c>
      <c r="E712" s="2" t="s">
        <v>2529</v>
      </c>
      <c r="F712" s="3">
        <v>163084</v>
      </c>
      <c r="G712" s="3">
        <v>1315</v>
      </c>
      <c r="H712" s="3">
        <v>83</v>
      </c>
      <c r="I712" s="4">
        <v>516.35</v>
      </c>
      <c r="J712" s="4">
        <v>9630.57</v>
      </c>
      <c r="K712" s="3">
        <v>57</v>
      </c>
      <c r="L712" s="2" t="s">
        <v>2539</v>
      </c>
      <c r="M712" s="2" t="s">
        <v>2526</v>
      </c>
      <c r="N712" t="str">
        <f>TRIM(PROPER(Tabla_auditoría[[#This Row],[ID_Campaña]]))</f>
        <v>Cmp-007</v>
      </c>
      <c r="O712" t="str">
        <f>TRIM(PROPER(Tabla_auditoría[[#This Row],[Canal]]))</f>
        <v>Affiliate</v>
      </c>
      <c r="P712" t="str">
        <f>TRIM(PROPER(Tabla_auditoría[[#This Row],[País]]))</f>
        <v>México</v>
      </c>
      <c r="Q712" t="str">
        <f>TRIM(PROPER(Tabla_auditoría[[#This Row],[Dispositivo]]))</f>
        <v>Mobile</v>
      </c>
      <c r="R712" t="str">
        <f>TRIM(PROPER(Tabla_auditoría[[#This Row],[Tipo_Campaña]]))</f>
        <v>Conversión</v>
      </c>
      <c r="S712" t="str">
        <f>TRIM(PROPER(Tabla_auditoría[[#This Row],[Responsable]]))</f>
        <v>Laura Pérez</v>
      </c>
    </row>
    <row r="713" spans="1:19" x14ac:dyDescent="0.3">
      <c r="A713" s="1">
        <v>45920</v>
      </c>
      <c r="B713" s="2" t="s">
        <v>2545</v>
      </c>
      <c r="C713" s="2" t="s">
        <v>2543</v>
      </c>
      <c r="D713" s="2" t="s">
        <v>2516</v>
      </c>
      <c r="E713" s="2" t="s">
        <v>2529</v>
      </c>
      <c r="F713" s="3">
        <v>16201</v>
      </c>
      <c r="G713" s="3">
        <v>973</v>
      </c>
      <c r="H713" s="3">
        <v>102</v>
      </c>
      <c r="I713" s="4">
        <v>576.88</v>
      </c>
      <c r="J713" s="4">
        <v>10063.280000000001</v>
      </c>
      <c r="K713" s="3">
        <v>81</v>
      </c>
      <c r="L713" s="2" t="s">
        <v>2518</v>
      </c>
      <c r="M713" s="2" t="s">
        <v>2519</v>
      </c>
      <c r="N713" t="str">
        <f>TRIM(PROPER(Tabla_auditoría[[#This Row],[ID_Campaña]]))</f>
        <v>Cmp-011</v>
      </c>
      <c r="O713" t="str">
        <f>TRIM(PROPER(Tabla_auditoría[[#This Row],[Canal]]))</f>
        <v>Organic Social</v>
      </c>
      <c r="P713" t="str">
        <f>TRIM(PROPER(Tabla_auditoría[[#This Row],[País]]))</f>
        <v>México</v>
      </c>
      <c r="Q713" t="str">
        <f>TRIM(PROPER(Tabla_auditoría[[#This Row],[Dispositivo]]))</f>
        <v>Mobile</v>
      </c>
      <c r="R713" t="str">
        <f>TRIM(PROPER(Tabla_auditoría[[#This Row],[Tipo_Campaña]]))</f>
        <v>Adquisición</v>
      </c>
      <c r="S713" t="str">
        <f>TRIM(PROPER(Tabla_auditoría[[#This Row],[Responsable]]))</f>
        <v>Carlos Ruiz</v>
      </c>
    </row>
    <row r="714" spans="1:19" x14ac:dyDescent="0.3">
      <c r="A714" s="1">
        <v>45956</v>
      </c>
      <c r="B714" s="2" t="s">
        <v>2557</v>
      </c>
      <c r="C714" s="2" t="s">
        <v>2515</v>
      </c>
      <c r="D714" s="2" t="s">
        <v>2531</v>
      </c>
      <c r="E714" s="2" t="s">
        <v>2529</v>
      </c>
      <c r="F714" s="3">
        <v>77018</v>
      </c>
      <c r="G714" s="3">
        <v>522</v>
      </c>
      <c r="H714" s="3">
        <v>24</v>
      </c>
      <c r="I714" s="4">
        <v>272.86</v>
      </c>
      <c r="J714" s="4">
        <v>4052.72</v>
      </c>
      <c r="K714" s="3">
        <v>18</v>
      </c>
      <c r="L714" s="2" t="s">
        <v>2536</v>
      </c>
      <c r="M714" s="2" t="s">
        <v>2519</v>
      </c>
      <c r="N714" t="str">
        <f>TRIM(PROPER(Tabla_auditoría[[#This Row],[ID_Campaña]]))</f>
        <v>Cmp-030</v>
      </c>
      <c r="O714" t="str">
        <f>TRIM(PROPER(Tabla_auditoría[[#This Row],[Canal]]))</f>
        <v>Email</v>
      </c>
      <c r="P714" t="str">
        <f>TRIM(PROPER(Tabla_auditoría[[#This Row],[País]]))</f>
        <v>Portugal</v>
      </c>
      <c r="Q714" t="str">
        <f>TRIM(PROPER(Tabla_auditoría[[#This Row],[Dispositivo]]))</f>
        <v>Mobile</v>
      </c>
      <c r="R714" t="str">
        <f>TRIM(PROPER(Tabla_auditoría[[#This Row],[Tipo_Campaña]]))</f>
        <v>Reconocimiento</v>
      </c>
      <c r="S714" t="str">
        <f>TRIM(PROPER(Tabla_auditoría[[#This Row],[Responsable]]))</f>
        <v>Carlos Ruiz</v>
      </c>
    </row>
    <row r="715" spans="1:19" x14ac:dyDescent="0.3">
      <c r="A715" s="1">
        <v>45674</v>
      </c>
      <c r="B715" s="2" t="s">
        <v>2554</v>
      </c>
      <c r="C715" s="2" t="s">
        <v>2533</v>
      </c>
      <c r="D715" s="2" t="s">
        <v>2531</v>
      </c>
      <c r="E715" s="2" t="s">
        <v>2517</v>
      </c>
      <c r="F715" s="3">
        <v>108937</v>
      </c>
      <c r="G715" s="3">
        <v>3881</v>
      </c>
      <c r="H715" s="3">
        <v>453</v>
      </c>
      <c r="I715" s="4">
        <v>3823.58</v>
      </c>
      <c r="J715" s="4">
        <v>62221.98</v>
      </c>
      <c r="K715" s="3">
        <v>204</v>
      </c>
      <c r="L715" s="2" t="s">
        <v>2518</v>
      </c>
      <c r="M715" s="2" t="s">
        <v>2526</v>
      </c>
      <c r="N715" t="str">
        <f>TRIM(PROPER(Tabla_auditoría[[#This Row],[ID_Campaña]]))</f>
        <v>Cmp-019</v>
      </c>
      <c r="O715" t="str">
        <f>TRIM(PROPER(Tabla_auditoría[[#This Row],[Canal]]))</f>
        <v>Paid Social</v>
      </c>
      <c r="P715" t="str">
        <f>TRIM(PROPER(Tabla_auditoría[[#This Row],[País]]))</f>
        <v>Portugal</v>
      </c>
      <c r="Q715" t="str">
        <f>TRIM(PROPER(Tabla_auditoría[[#This Row],[Dispositivo]]))</f>
        <v>Desktop</v>
      </c>
      <c r="R715" t="str">
        <f>TRIM(PROPER(Tabla_auditoría[[#This Row],[Tipo_Campaña]]))</f>
        <v>Adquisición</v>
      </c>
      <c r="S715" t="str">
        <f>TRIM(PROPER(Tabla_auditoría[[#This Row],[Responsable]]))</f>
        <v>Laura Pérez</v>
      </c>
    </row>
    <row r="716" spans="1:19" x14ac:dyDescent="0.3">
      <c r="A716" s="1">
        <v>45826</v>
      </c>
      <c r="B716" s="2" t="s">
        <v>2568</v>
      </c>
      <c r="C716" s="2" t="s">
        <v>2543</v>
      </c>
      <c r="D716" s="2" t="s">
        <v>2516</v>
      </c>
      <c r="E716" s="2" t="s">
        <v>2534</v>
      </c>
      <c r="F716" s="3">
        <v>122451</v>
      </c>
      <c r="G716" s="3">
        <v>836</v>
      </c>
      <c r="H716" s="3">
        <v>30</v>
      </c>
      <c r="I716" s="4">
        <v>841.1</v>
      </c>
      <c r="J716" s="4">
        <v>2204.09</v>
      </c>
      <c r="K716" s="3">
        <v>15</v>
      </c>
      <c r="L716" s="2" t="s">
        <v>2536</v>
      </c>
      <c r="M716" s="2" t="s">
        <v>2526</v>
      </c>
      <c r="N716" t="str">
        <f>TRIM(PROPER(Tabla_auditoría[[#This Row],[ID_Campaña]]))</f>
        <v>Cmp-020</v>
      </c>
      <c r="O716" t="str">
        <f>TRIM(PROPER(Tabla_auditoría[[#This Row],[Canal]]))</f>
        <v>Organic Social</v>
      </c>
      <c r="P716" t="str">
        <f>TRIM(PROPER(Tabla_auditoría[[#This Row],[País]]))</f>
        <v>México</v>
      </c>
      <c r="Q716" t="str">
        <f>TRIM(PROPER(Tabla_auditoría[[#This Row],[Dispositivo]]))</f>
        <v>Tablet</v>
      </c>
      <c r="R716" t="str">
        <f>TRIM(PROPER(Tabla_auditoría[[#This Row],[Tipo_Campaña]]))</f>
        <v>Reconocimiento</v>
      </c>
      <c r="S716" t="str">
        <f>TRIM(PROPER(Tabla_auditoría[[#This Row],[Responsable]]))</f>
        <v>Laura Pérez</v>
      </c>
    </row>
    <row r="717" spans="1:19" x14ac:dyDescent="0.3">
      <c r="A717" s="1">
        <v>45860</v>
      </c>
      <c r="B717" s="2" t="s">
        <v>2590</v>
      </c>
      <c r="C717" s="2" t="s">
        <v>2541</v>
      </c>
      <c r="D717" s="2" t="s">
        <v>2528</v>
      </c>
      <c r="E717" s="2" t="s">
        <v>2517</v>
      </c>
      <c r="F717" s="3">
        <v>47533</v>
      </c>
      <c r="G717" s="3">
        <v>3471</v>
      </c>
      <c r="H717" s="3">
        <v>226</v>
      </c>
      <c r="I717" s="4">
        <v>4610.2</v>
      </c>
      <c r="J717" s="4">
        <v>22228.51</v>
      </c>
      <c r="K717" s="3">
        <v>123</v>
      </c>
      <c r="L717" s="2" t="s">
        <v>2539</v>
      </c>
      <c r="M717" s="2" t="s">
        <v>2537</v>
      </c>
      <c r="N717" t="str">
        <f>TRIM(PROPER(Tabla_auditoría[[#This Row],[ID_Campaña]]))</f>
        <v>Cmp-005</v>
      </c>
      <c r="O717" t="str">
        <f>TRIM(PROPER(Tabla_auditoría[[#This Row],[Canal]]))</f>
        <v>Display</v>
      </c>
      <c r="P717" t="str">
        <f>TRIM(PROPER(Tabla_auditoría[[#This Row],[País]]))</f>
        <v>España</v>
      </c>
      <c r="Q717" t="str">
        <f>TRIM(PROPER(Tabla_auditoría[[#This Row],[Dispositivo]]))</f>
        <v>Desktop</v>
      </c>
      <c r="R717" t="str">
        <f>TRIM(PROPER(Tabla_auditoría[[#This Row],[Tipo_Campaña]]))</f>
        <v>Conversión</v>
      </c>
      <c r="S717" t="str">
        <f>TRIM(PROPER(Tabla_auditoría[[#This Row],[Responsable]]))</f>
        <v>Marta López</v>
      </c>
    </row>
    <row r="718" spans="1:19" x14ac:dyDescent="0.3">
      <c r="A718" s="1">
        <v>45880</v>
      </c>
      <c r="B718" s="2" t="s">
        <v>2557</v>
      </c>
      <c r="C718" s="2" t="s">
        <v>2533</v>
      </c>
      <c r="D718" s="2" t="s">
        <v>2528</v>
      </c>
      <c r="E718" s="2" t="s">
        <v>2529</v>
      </c>
      <c r="F718" s="3">
        <v>150117</v>
      </c>
      <c r="G718" s="3">
        <v>8309</v>
      </c>
      <c r="H718" s="3">
        <v>450</v>
      </c>
      <c r="I718" s="4">
        <v>7578.69</v>
      </c>
      <c r="J718" s="4">
        <v>81946.09</v>
      </c>
      <c r="K718" s="3">
        <v>226</v>
      </c>
      <c r="L718" s="2" t="s">
        <v>2539</v>
      </c>
      <c r="M718" s="2" t="s">
        <v>2519</v>
      </c>
      <c r="N718" t="str">
        <f>TRIM(PROPER(Tabla_auditoría[[#This Row],[ID_Campaña]]))</f>
        <v>Cmp-030</v>
      </c>
      <c r="O718" t="str">
        <f>TRIM(PROPER(Tabla_auditoría[[#This Row],[Canal]]))</f>
        <v>Paid Social</v>
      </c>
      <c r="P718" t="str">
        <f>TRIM(PROPER(Tabla_auditoría[[#This Row],[País]]))</f>
        <v>España</v>
      </c>
      <c r="Q718" t="str">
        <f>TRIM(PROPER(Tabla_auditoría[[#This Row],[Dispositivo]]))</f>
        <v>Mobile</v>
      </c>
      <c r="R718" t="str">
        <f>TRIM(PROPER(Tabla_auditoría[[#This Row],[Tipo_Campaña]]))</f>
        <v>Conversión</v>
      </c>
      <c r="S718" t="str">
        <f>TRIM(PROPER(Tabla_auditoría[[#This Row],[Responsable]]))</f>
        <v>Carlos Ruiz</v>
      </c>
    </row>
    <row r="719" spans="1:19" x14ac:dyDescent="0.3">
      <c r="A719" s="1">
        <v>45853</v>
      </c>
      <c r="B719" s="2" t="s">
        <v>2568</v>
      </c>
      <c r="C719" s="2" t="s">
        <v>2541</v>
      </c>
      <c r="D719" s="2" t="s">
        <v>2525</v>
      </c>
      <c r="E719" s="2" t="s">
        <v>2534</v>
      </c>
      <c r="F719" s="3">
        <v>82120</v>
      </c>
      <c r="G719" s="3">
        <v>4611</v>
      </c>
      <c r="H719" s="3">
        <v>272</v>
      </c>
      <c r="I719" s="4">
        <v>2313.8000000000002</v>
      </c>
      <c r="J719" s="4">
        <v>4159.42</v>
      </c>
      <c r="K719" s="3">
        <v>142</v>
      </c>
      <c r="L719" s="2" t="s">
        <v>2518</v>
      </c>
      <c r="M719" s="2" t="s">
        <v>2546</v>
      </c>
      <c r="N719" t="str">
        <f>TRIM(PROPER(Tabla_auditoría[[#This Row],[ID_Campaña]]))</f>
        <v>Cmp-020</v>
      </c>
      <c r="O719" t="str">
        <f>TRIM(PROPER(Tabla_auditoría[[#This Row],[Canal]]))</f>
        <v>Display</v>
      </c>
      <c r="P719" t="str">
        <f>TRIM(PROPER(Tabla_auditoría[[#This Row],[País]]))</f>
        <v>Francia</v>
      </c>
      <c r="Q719" t="str">
        <f>TRIM(PROPER(Tabla_auditoría[[#This Row],[Dispositivo]]))</f>
        <v>Tablet</v>
      </c>
      <c r="R719" t="str">
        <f>TRIM(PROPER(Tabla_auditoría[[#This Row],[Tipo_Campaña]]))</f>
        <v>Adquisición</v>
      </c>
      <c r="S719" t="str">
        <f>TRIM(PROPER(Tabla_auditoría[[#This Row],[Responsable]]))</f>
        <v>Ana García</v>
      </c>
    </row>
    <row r="720" spans="1:19" x14ac:dyDescent="0.3">
      <c r="A720" s="1">
        <v>45771</v>
      </c>
      <c r="B720" s="2" t="s">
        <v>2563</v>
      </c>
      <c r="C720" s="2" t="s">
        <v>2515</v>
      </c>
      <c r="D720" s="2" t="s">
        <v>2528</v>
      </c>
      <c r="E720" s="2" t="s">
        <v>2529</v>
      </c>
      <c r="F720" s="3">
        <v>38503</v>
      </c>
      <c r="G720" s="3">
        <v>1614</v>
      </c>
      <c r="H720" s="3">
        <v>117</v>
      </c>
      <c r="I720" s="4">
        <v>3054.19</v>
      </c>
      <c r="J720" s="4">
        <v>9729.19</v>
      </c>
      <c r="K720" s="3">
        <v>54</v>
      </c>
      <c r="L720" s="2" t="s">
        <v>2539</v>
      </c>
      <c r="M720" s="2" t="s">
        <v>2519</v>
      </c>
      <c r="N720" t="str">
        <f>TRIM(PROPER(Tabla_auditoría[[#This Row],[ID_Campaña]]))</f>
        <v>Cmp-023</v>
      </c>
      <c r="O720" t="str">
        <f>TRIM(PROPER(Tabla_auditoría[[#This Row],[Canal]]))</f>
        <v>Email</v>
      </c>
      <c r="P720" t="str">
        <f>TRIM(PROPER(Tabla_auditoría[[#This Row],[País]]))</f>
        <v>España</v>
      </c>
      <c r="Q720" t="str">
        <f>TRIM(PROPER(Tabla_auditoría[[#This Row],[Dispositivo]]))</f>
        <v>Mobile</v>
      </c>
      <c r="R720" t="str">
        <f>TRIM(PROPER(Tabla_auditoría[[#This Row],[Tipo_Campaña]]))</f>
        <v>Conversión</v>
      </c>
      <c r="S720" t="str">
        <f>TRIM(PROPER(Tabla_auditoría[[#This Row],[Responsable]]))</f>
        <v>Carlos Ruiz</v>
      </c>
    </row>
    <row r="721" spans="1:19" x14ac:dyDescent="0.3">
      <c r="A721" s="1">
        <v>46008</v>
      </c>
      <c r="B721" s="2" t="s">
        <v>2591</v>
      </c>
      <c r="C721" s="2" t="s">
        <v>2533</v>
      </c>
      <c r="D721" s="2" t="s">
        <v>2528</v>
      </c>
      <c r="E721" s="2" t="s">
        <v>2529</v>
      </c>
      <c r="F721" s="3">
        <v>11744</v>
      </c>
      <c r="G721" s="3">
        <v>897</v>
      </c>
      <c r="H721" s="3">
        <v>120</v>
      </c>
      <c r="I721" s="4">
        <v>1453.94</v>
      </c>
      <c r="J721" s="4">
        <v>3353.92</v>
      </c>
      <c r="K721" s="3">
        <v>96</v>
      </c>
      <c r="L721" s="2" t="s">
        <v>2536</v>
      </c>
      <c r="M721" s="2" t="s">
        <v>2537</v>
      </c>
      <c r="N721" t="str">
        <f>TRIM(PROPER(Tabla_auditoría[[#This Row],[ID_Campaña]]))</f>
        <v>Cmp-019</v>
      </c>
      <c r="O721" t="str">
        <f>TRIM(PROPER(Tabla_auditoría[[#This Row],[Canal]]))</f>
        <v>Paid Social</v>
      </c>
      <c r="P721" t="str">
        <f>TRIM(PROPER(Tabla_auditoría[[#This Row],[País]]))</f>
        <v>España</v>
      </c>
      <c r="Q721" t="str">
        <f>TRIM(PROPER(Tabla_auditoría[[#This Row],[Dispositivo]]))</f>
        <v>Mobile</v>
      </c>
      <c r="R721" t="str">
        <f>TRIM(PROPER(Tabla_auditoría[[#This Row],[Tipo_Campaña]]))</f>
        <v>Reconocimiento</v>
      </c>
      <c r="S721" t="str">
        <f>TRIM(PROPER(Tabla_auditoría[[#This Row],[Responsable]]))</f>
        <v>Marta López</v>
      </c>
    </row>
    <row r="722" spans="1:19" x14ac:dyDescent="0.3">
      <c r="A722" s="1">
        <v>45757</v>
      </c>
      <c r="B722" s="2" t="s">
        <v>2550</v>
      </c>
      <c r="C722" s="2" t="s">
        <v>2541</v>
      </c>
      <c r="D722" s="2" t="s">
        <v>2531</v>
      </c>
      <c r="E722" s="2" t="s">
        <v>2529</v>
      </c>
      <c r="F722" s="3">
        <v>158762</v>
      </c>
      <c r="G722" s="3">
        <v>2877</v>
      </c>
      <c r="H722" s="3">
        <v>394</v>
      </c>
      <c r="I722" s="4">
        <v>2254.1999999999998</v>
      </c>
      <c r="J722" s="4">
        <v>9774.61</v>
      </c>
      <c r="K722" s="3">
        <v>238</v>
      </c>
      <c r="L722" s="2" t="s">
        <v>2536</v>
      </c>
      <c r="M722" s="2" t="s">
        <v>2537</v>
      </c>
      <c r="N722" t="str">
        <f>TRIM(PROPER(Tabla_auditoría[[#This Row],[ID_Campaña]]))</f>
        <v>Cmp-008</v>
      </c>
      <c r="O722" t="str">
        <f>TRIM(PROPER(Tabla_auditoría[[#This Row],[Canal]]))</f>
        <v>Display</v>
      </c>
      <c r="P722" t="str">
        <f>TRIM(PROPER(Tabla_auditoría[[#This Row],[País]]))</f>
        <v>Portugal</v>
      </c>
      <c r="Q722" t="str">
        <f>TRIM(PROPER(Tabla_auditoría[[#This Row],[Dispositivo]]))</f>
        <v>Mobile</v>
      </c>
      <c r="R722" t="str">
        <f>TRIM(PROPER(Tabla_auditoría[[#This Row],[Tipo_Campaña]]))</f>
        <v>Reconocimiento</v>
      </c>
      <c r="S722" t="str">
        <f>TRIM(PROPER(Tabla_auditoría[[#This Row],[Responsable]]))</f>
        <v>Marta López</v>
      </c>
    </row>
    <row r="723" spans="1:19" x14ac:dyDescent="0.3">
      <c r="A723" s="1">
        <v>45816</v>
      </c>
      <c r="B723" s="2" t="s">
        <v>2557</v>
      </c>
      <c r="C723" s="2" t="s">
        <v>2533</v>
      </c>
      <c r="D723" s="2" t="s">
        <v>2525</v>
      </c>
      <c r="E723" s="2" t="s">
        <v>2517</v>
      </c>
      <c r="F723" s="3">
        <v>70439</v>
      </c>
      <c r="G723" s="3">
        <v>3020</v>
      </c>
      <c r="H723" s="3">
        <v>285</v>
      </c>
      <c r="I723" s="4">
        <v>3072.76</v>
      </c>
      <c r="J723" s="4">
        <v>50081.89</v>
      </c>
      <c r="K723" s="3">
        <v>216</v>
      </c>
      <c r="L723" s="2" t="s">
        <v>2523</v>
      </c>
      <c r="M723" s="2" t="s">
        <v>2546</v>
      </c>
      <c r="N723" t="str">
        <f>TRIM(PROPER(Tabla_auditoría[[#This Row],[ID_Campaña]]))</f>
        <v>Cmp-030</v>
      </c>
      <c r="O723" t="str">
        <f>TRIM(PROPER(Tabla_auditoría[[#This Row],[Canal]]))</f>
        <v>Paid Social</v>
      </c>
      <c r="P723" t="str">
        <f>TRIM(PROPER(Tabla_auditoría[[#This Row],[País]]))</f>
        <v>Francia</v>
      </c>
      <c r="Q723" t="str">
        <f>TRIM(PROPER(Tabla_auditoría[[#This Row],[Dispositivo]]))</f>
        <v>Desktop</v>
      </c>
      <c r="R723" t="str">
        <f>TRIM(PROPER(Tabla_auditoría[[#This Row],[Tipo_Campaña]]))</f>
        <v>Retención</v>
      </c>
      <c r="S723" t="str">
        <f>TRIM(PROPER(Tabla_auditoría[[#This Row],[Responsable]]))</f>
        <v>Ana García</v>
      </c>
    </row>
    <row r="724" spans="1:19" x14ac:dyDescent="0.3">
      <c r="A724" s="1">
        <v>45698</v>
      </c>
      <c r="B724" s="2" t="s">
        <v>2571</v>
      </c>
      <c r="C724" s="2" t="s">
        <v>2515</v>
      </c>
      <c r="D724" s="2" t="s">
        <v>2525</v>
      </c>
      <c r="E724" s="2" t="s">
        <v>2529</v>
      </c>
      <c r="F724" s="3">
        <v>139390</v>
      </c>
      <c r="G724" s="3">
        <v>2428</v>
      </c>
      <c r="H724" s="3">
        <v>282</v>
      </c>
      <c r="I724" s="4">
        <v>798.42</v>
      </c>
      <c r="J724" s="4">
        <v>60827.41</v>
      </c>
      <c r="K724" s="3">
        <v>204</v>
      </c>
      <c r="L724" s="2" t="s">
        <v>2536</v>
      </c>
      <c r="M724" s="2" t="s">
        <v>2546</v>
      </c>
      <c r="N724" t="str">
        <f>TRIM(PROPER(Tabla_auditoría[[#This Row],[ID_Campaña]]))</f>
        <v>Cmp-029</v>
      </c>
      <c r="O724" t="str">
        <f>TRIM(PROPER(Tabla_auditoría[[#This Row],[Canal]]))</f>
        <v>Email</v>
      </c>
      <c r="P724" t="str">
        <f>TRIM(PROPER(Tabla_auditoría[[#This Row],[País]]))</f>
        <v>Francia</v>
      </c>
      <c r="Q724" t="str">
        <f>TRIM(PROPER(Tabla_auditoría[[#This Row],[Dispositivo]]))</f>
        <v>Mobile</v>
      </c>
      <c r="R724" t="str">
        <f>TRIM(PROPER(Tabla_auditoría[[#This Row],[Tipo_Campaña]]))</f>
        <v>Reconocimiento</v>
      </c>
      <c r="S724" t="str">
        <f>TRIM(PROPER(Tabla_auditoría[[#This Row],[Responsable]]))</f>
        <v>Ana García</v>
      </c>
    </row>
    <row r="725" spans="1:19" x14ac:dyDescent="0.3">
      <c r="A725" s="1">
        <v>45931</v>
      </c>
      <c r="B725" s="2" t="s">
        <v>2535</v>
      </c>
      <c r="C725" s="2" t="s">
        <v>2527</v>
      </c>
      <c r="D725" s="2" t="s">
        <v>2522</v>
      </c>
      <c r="E725" s="2" t="s">
        <v>2517</v>
      </c>
      <c r="F725" s="3">
        <v>83329</v>
      </c>
      <c r="G725" s="3">
        <v>4118</v>
      </c>
      <c r="H725" s="3">
        <v>295</v>
      </c>
      <c r="I725" s="4">
        <v>5296.06</v>
      </c>
      <c r="J725" s="4">
        <v>64681.17</v>
      </c>
      <c r="K725" s="3">
        <v>175</v>
      </c>
      <c r="L725" s="2" t="s">
        <v>2536</v>
      </c>
      <c r="M725" s="2" t="s">
        <v>2526</v>
      </c>
      <c r="N725" t="str">
        <f>TRIM(PROPER(Tabla_auditoría[[#This Row],[ID_Campaña]]))</f>
        <v>Cmp-015</v>
      </c>
      <c r="O725" t="str">
        <f>TRIM(PROPER(Tabla_auditoría[[#This Row],[Canal]]))</f>
        <v>Affiliate</v>
      </c>
      <c r="P725" t="str">
        <f>TRIM(PROPER(Tabla_auditoría[[#This Row],[País]]))</f>
        <v>Italia</v>
      </c>
      <c r="Q725" t="str">
        <f>TRIM(PROPER(Tabla_auditoría[[#This Row],[Dispositivo]]))</f>
        <v>Desktop</v>
      </c>
      <c r="R725" t="str">
        <f>TRIM(PROPER(Tabla_auditoría[[#This Row],[Tipo_Campaña]]))</f>
        <v>Reconocimiento</v>
      </c>
      <c r="S725" t="str">
        <f>TRIM(PROPER(Tabla_auditoría[[#This Row],[Responsable]]))</f>
        <v>Laura Pérez</v>
      </c>
    </row>
    <row r="726" spans="1:19" x14ac:dyDescent="0.3">
      <c r="A726" s="1">
        <v>45924</v>
      </c>
      <c r="B726" s="2" t="s">
        <v>2556</v>
      </c>
      <c r="C726" s="2" t="s">
        <v>2527</v>
      </c>
      <c r="D726" s="2" t="s">
        <v>2516</v>
      </c>
      <c r="E726" s="2" t="s">
        <v>2517</v>
      </c>
      <c r="F726" s="3">
        <v>144675</v>
      </c>
      <c r="G726" s="3">
        <v>2845</v>
      </c>
      <c r="H726" s="3">
        <v>294</v>
      </c>
      <c r="I726" s="4">
        <v>4611.5</v>
      </c>
      <c r="J726" s="4">
        <v>27756.52</v>
      </c>
      <c r="K726" s="3">
        <v>142</v>
      </c>
      <c r="L726" s="2" t="s">
        <v>2523</v>
      </c>
      <c r="M726" s="2" t="s">
        <v>2519</v>
      </c>
      <c r="N726" t="str">
        <f>TRIM(PROPER(Tabla_auditoría[[#This Row],[ID_Campaña]]))</f>
        <v>Cmp-014</v>
      </c>
      <c r="O726" t="str">
        <f>TRIM(PROPER(Tabla_auditoría[[#This Row],[Canal]]))</f>
        <v>Affiliate</v>
      </c>
      <c r="P726" t="str">
        <f>TRIM(PROPER(Tabla_auditoría[[#This Row],[País]]))</f>
        <v>México</v>
      </c>
      <c r="Q726" t="str">
        <f>TRIM(PROPER(Tabla_auditoría[[#This Row],[Dispositivo]]))</f>
        <v>Desktop</v>
      </c>
      <c r="R726" t="str">
        <f>TRIM(PROPER(Tabla_auditoría[[#This Row],[Tipo_Campaña]]))</f>
        <v>Retención</v>
      </c>
      <c r="S726" t="str">
        <f>TRIM(PROPER(Tabla_auditoría[[#This Row],[Responsable]]))</f>
        <v>Carlos Ruiz</v>
      </c>
    </row>
    <row r="727" spans="1:19" x14ac:dyDescent="0.3">
      <c r="A727" s="1">
        <v>45799</v>
      </c>
      <c r="B727" s="2" t="s">
        <v>2552</v>
      </c>
      <c r="C727" s="2" t="s">
        <v>2527</v>
      </c>
      <c r="D727" s="2" t="s">
        <v>2531</v>
      </c>
      <c r="E727" s="2" t="s">
        <v>2517</v>
      </c>
      <c r="F727" s="3">
        <v>25946</v>
      </c>
      <c r="G727" s="3">
        <v>679</v>
      </c>
      <c r="H727" s="3">
        <v>94</v>
      </c>
      <c r="I727" s="4">
        <v>785.09</v>
      </c>
      <c r="J727" s="4">
        <v>14844.03</v>
      </c>
      <c r="K727" s="3">
        <v>48</v>
      </c>
      <c r="L727" s="2" t="s">
        <v>2518</v>
      </c>
      <c r="M727" s="2" t="s">
        <v>2537</v>
      </c>
      <c r="N727" t="str">
        <f>TRIM(PROPER(Tabla_auditoría[[#This Row],[ID_Campaña]]))</f>
        <v>Cmp-012</v>
      </c>
      <c r="O727" t="str">
        <f>TRIM(PROPER(Tabla_auditoría[[#This Row],[Canal]]))</f>
        <v>Affiliate</v>
      </c>
      <c r="P727" t="str">
        <f>TRIM(PROPER(Tabla_auditoría[[#This Row],[País]]))</f>
        <v>Portugal</v>
      </c>
      <c r="Q727" t="str">
        <f>TRIM(PROPER(Tabla_auditoría[[#This Row],[Dispositivo]]))</f>
        <v>Desktop</v>
      </c>
      <c r="R727" t="str">
        <f>TRIM(PROPER(Tabla_auditoría[[#This Row],[Tipo_Campaña]]))</f>
        <v>Adquisición</v>
      </c>
      <c r="S727" t="str">
        <f>TRIM(PROPER(Tabla_auditoría[[#This Row],[Responsable]]))</f>
        <v>Marta López</v>
      </c>
    </row>
    <row r="728" spans="1:19" x14ac:dyDescent="0.3">
      <c r="A728" s="1">
        <v>45959</v>
      </c>
      <c r="B728" s="2" t="s">
        <v>2514</v>
      </c>
      <c r="C728" s="2" t="s">
        <v>2533</v>
      </c>
      <c r="D728" s="2" t="s">
        <v>2516</v>
      </c>
      <c r="E728" s="2" t="s">
        <v>2529</v>
      </c>
      <c r="F728" s="3">
        <v>143247</v>
      </c>
      <c r="G728" s="3">
        <v>3851</v>
      </c>
      <c r="H728" s="3">
        <v>426</v>
      </c>
      <c r="I728" s="4">
        <v>6567.88</v>
      </c>
      <c r="J728" s="4">
        <v>66057.87</v>
      </c>
      <c r="K728" s="3">
        <v>360</v>
      </c>
      <c r="L728" s="2" t="s">
        <v>2536</v>
      </c>
      <c r="M728" s="2" t="s">
        <v>2519</v>
      </c>
      <c r="N728" t="str">
        <f>TRIM(PROPER(Tabla_auditoría[[#This Row],[ID_Campaña]]))</f>
        <v>Cmp-002</v>
      </c>
      <c r="O728" t="str">
        <f>TRIM(PROPER(Tabla_auditoría[[#This Row],[Canal]]))</f>
        <v>Paid Social</v>
      </c>
      <c r="P728" t="str">
        <f>TRIM(PROPER(Tabla_auditoría[[#This Row],[País]]))</f>
        <v>México</v>
      </c>
      <c r="Q728" t="str">
        <f>TRIM(PROPER(Tabla_auditoría[[#This Row],[Dispositivo]]))</f>
        <v>Mobile</v>
      </c>
      <c r="R728" t="str">
        <f>TRIM(PROPER(Tabla_auditoría[[#This Row],[Tipo_Campaña]]))</f>
        <v>Reconocimiento</v>
      </c>
      <c r="S728" t="str">
        <f>TRIM(PROPER(Tabla_auditoría[[#This Row],[Responsable]]))</f>
        <v>Carlos Ruiz</v>
      </c>
    </row>
    <row r="729" spans="1:19" x14ac:dyDescent="0.3">
      <c r="A729" s="1">
        <v>45992</v>
      </c>
      <c r="B729" s="2" t="s">
        <v>2565</v>
      </c>
      <c r="C729" s="2" t="s">
        <v>2543</v>
      </c>
      <c r="D729" s="2" t="s">
        <v>2525</v>
      </c>
      <c r="E729" s="2" t="s">
        <v>2529</v>
      </c>
      <c r="F729" s="3">
        <v>46246</v>
      </c>
      <c r="G729" s="3">
        <v>3300</v>
      </c>
      <c r="H729" s="3">
        <v>92</v>
      </c>
      <c r="I729" s="4">
        <v>6353.65</v>
      </c>
      <c r="J729" s="4">
        <v>18476.07</v>
      </c>
      <c r="K729" s="3">
        <v>45</v>
      </c>
      <c r="L729" s="2" t="s">
        <v>2523</v>
      </c>
      <c r="M729" s="2" t="s">
        <v>2524</v>
      </c>
      <c r="N729" t="str">
        <f>TRIM(PROPER(Tabla_auditoría[[#This Row],[ID_Campaña]]))</f>
        <v>Cmp-005</v>
      </c>
      <c r="O729" t="str">
        <f>TRIM(PROPER(Tabla_auditoría[[#This Row],[Canal]]))</f>
        <v>Organic Social</v>
      </c>
      <c r="P729" t="str">
        <f>TRIM(PROPER(Tabla_auditoría[[#This Row],[País]]))</f>
        <v>Francia</v>
      </c>
      <c r="Q729" t="str">
        <f>TRIM(PROPER(Tabla_auditoría[[#This Row],[Dispositivo]]))</f>
        <v>Mobile</v>
      </c>
      <c r="R729" t="str">
        <f>TRIM(PROPER(Tabla_auditoría[[#This Row],[Tipo_Campaña]]))</f>
        <v>Retención</v>
      </c>
      <c r="S729" t="str">
        <f>TRIM(PROPER(Tabla_auditoría[[#This Row],[Responsable]]))</f>
        <v>Luis Martín</v>
      </c>
    </row>
    <row r="730" spans="1:19" x14ac:dyDescent="0.3">
      <c r="A730" s="1">
        <v>45861</v>
      </c>
      <c r="B730" s="2" t="s">
        <v>2544</v>
      </c>
      <c r="C730" s="2" t="s">
        <v>2533</v>
      </c>
      <c r="D730" s="2" t="s">
        <v>2528</v>
      </c>
      <c r="E730" s="2" t="s">
        <v>2529</v>
      </c>
      <c r="F730" s="3">
        <v>101042</v>
      </c>
      <c r="G730" s="3">
        <v>3646</v>
      </c>
      <c r="H730" s="3">
        <v>68</v>
      </c>
      <c r="I730" s="4">
        <v>1267.02</v>
      </c>
      <c r="J730" s="4">
        <v>6990.29</v>
      </c>
      <c r="K730" s="3">
        <v>51</v>
      </c>
      <c r="L730" s="2" t="s">
        <v>2523</v>
      </c>
      <c r="M730" s="2" t="s">
        <v>2526</v>
      </c>
      <c r="N730" t="str">
        <f>TRIM(PROPER(Tabla_auditoría[[#This Row],[ID_Campaña]]))</f>
        <v>Cmp-006</v>
      </c>
      <c r="O730" t="str">
        <f>TRIM(PROPER(Tabla_auditoría[[#This Row],[Canal]]))</f>
        <v>Paid Social</v>
      </c>
      <c r="P730" t="str">
        <f>TRIM(PROPER(Tabla_auditoría[[#This Row],[País]]))</f>
        <v>España</v>
      </c>
      <c r="Q730" t="str">
        <f>TRIM(PROPER(Tabla_auditoría[[#This Row],[Dispositivo]]))</f>
        <v>Mobile</v>
      </c>
      <c r="R730" t="str">
        <f>TRIM(PROPER(Tabla_auditoría[[#This Row],[Tipo_Campaña]]))</f>
        <v>Retención</v>
      </c>
      <c r="S730" t="str">
        <f>TRIM(PROPER(Tabla_auditoría[[#This Row],[Responsable]]))</f>
        <v>Laura Pérez</v>
      </c>
    </row>
    <row r="731" spans="1:19" x14ac:dyDescent="0.3">
      <c r="A731" s="1">
        <v>45843</v>
      </c>
      <c r="B731" s="2" t="s">
        <v>2542</v>
      </c>
      <c r="C731" s="2" t="s">
        <v>2543</v>
      </c>
      <c r="D731" s="2" t="s">
        <v>2516</v>
      </c>
      <c r="E731" s="2" t="s">
        <v>2517</v>
      </c>
      <c r="F731" s="3">
        <v>50040</v>
      </c>
      <c r="G731" s="3">
        <v>1259</v>
      </c>
      <c r="H731" s="3">
        <v>139</v>
      </c>
      <c r="I731" s="4">
        <v>1706.27</v>
      </c>
      <c r="J731" s="4">
        <v>10810.01</v>
      </c>
      <c r="K731" s="3">
        <v>95</v>
      </c>
      <c r="L731" s="2" t="s">
        <v>2536</v>
      </c>
      <c r="M731" s="2" t="s">
        <v>2519</v>
      </c>
      <c r="N731" t="str">
        <f>TRIM(PROPER(Tabla_auditoría[[#This Row],[ID_Campaña]]))</f>
        <v>Cmp-025</v>
      </c>
      <c r="O731" t="str">
        <f>TRIM(PROPER(Tabla_auditoría[[#This Row],[Canal]]))</f>
        <v>Organic Social</v>
      </c>
      <c r="P731" t="str">
        <f>TRIM(PROPER(Tabla_auditoría[[#This Row],[País]]))</f>
        <v>México</v>
      </c>
      <c r="Q731" t="str">
        <f>TRIM(PROPER(Tabla_auditoría[[#This Row],[Dispositivo]]))</f>
        <v>Desktop</v>
      </c>
      <c r="R731" t="str">
        <f>TRIM(PROPER(Tabla_auditoría[[#This Row],[Tipo_Campaña]]))</f>
        <v>Reconocimiento</v>
      </c>
      <c r="S731" t="str">
        <f>TRIM(PROPER(Tabla_auditoría[[#This Row],[Responsable]]))</f>
        <v>Carlos Ruiz</v>
      </c>
    </row>
    <row r="732" spans="1:19" x14ac:dyDescent="0.3">
      <c r="A732" s="1">
        <v>45909</v>
      </c>
      <c r="B732" s="2" t="s">
        <v>2571</v>
      </c>
      <c r="C732" s="2" t="s">
        <v>2533</v>
      </c>
      <c r="D732" s="2" t="s">
        <v>2528</v>
      </c>
      <c r="E732" s="2" t="s">
        <v>2517</v>
      </c>
      <c r="F732" s="3">
        <v>27535</v>
      </c>
      <c r="G732" s="3">
        <v>1096</v>
      </c>
      <c r="H732" s="3">
        <v>102</v>
      </c>
      <c r="I732" s="4">
        <v>2110.41</v>
      </c>
      <c r="J732" s="4">
        <v>14556.7</v>
      </c>
      <c r="K732" s="3">
        <v>88</v>
      </c>
      <c r="L732" s="2" t="s">
        <v>2539</v>
      </c>
      <c r="M732" s="2" t="s">
        <v>2546</v>
      </c>
      <c r="N732" t="str">
        <f>TRIM(PROPER(Tabla_auditoría[[#This Row],[ID_Campaña]]))</f>
        <v>Cmp-029</v>
      </c>
      <c r="O732" t="str">
        <f>TRIM(PROPER(Tabla_auditoría[[#This Row],[Canal]]))</f>
        <v>Paid Social</v>
      </c>
      <c r="P732" t="str">
        <f>TRIM(PROPER(Tabla_auditoría[[#This Row],[País]]))</f>
        <v>España</v>
      </c>
      <c r="Q732" t="str">
        <f>TRIM(PROPER(Tabla_auditoría[[#This Row],[Dispositivo]]))</f>
        <v>Desktop</v>
      </c>
      <c r="R732" t="str">
        <f>TRIM(PROPER(Tabla_auditoría[[#This Row],[Tipo_Campaña]]))</f>
        <v>Conversión</v>
      </c>
      <c r="S732" t="str">
        <f>TRIM(PROPER(Tabla_auditoría[[#This Row],[Responsable]]))</f>
        <v>Ana García</v>
      </c>
    </row>
    <row r="733" spans="1:19" x14ac:dyDescent="0.3">
      <c r="A733" s="1">
        <v>45770</v>
      </c>
      <c r="B733" s="2" t="s">
        <v>2547</v>
      </c>
      <c r="C733" s="2" t="s">
        <v>2543</v>
      </c>
      <c r="D733" s="2" t="s">
        <v>2528</v>
      </c>
      <c r="E733" s="2" t="s">
        <v>2534</v>
      </c>
      <c r="F733" s="3">
        <v>135863</v>
      </c>
      <c r="G733" s="3">
        <v>7737</v>
      </c>
      <c r="H733" s="3">
        <v>610</v>
      </c>
      <c r="I733" s="4">
        <v>3671.31</v>
      </c>
      <c r="J733" s="4">
        <v>102362.6</v>
      </c>
      <c r="K733" s="3">
        <v>296</v>
      </c>
      <c r="L733" s="2" t="s">
        <v>2539</v>
      </c>
      <c r="M733" s="2" t="s">
        <v>2537</v>
      </c>
      <c r="N733" t="str">
        <f>TRIM(PROPER(Tabla_auditoría[[#This Row],[ID_Campaña]]))</f>
        <v>Cmp-018</v>
      </c>
      <c r="O733" t="str">
        <f>TRIM(PROPER(Tabla_auditoría[[#This Row],[Canal]]))</f>
        <v>Organic Social</v>
      </c>
      <c r="P733" t="str">
        <f>TRIM(PROPER(Tabla_auditoría[[#This Row],[País]]))</f>
        <v>España</v>
      </c>
      <c r="Q733" t="str">
        <f>TRIM(PROPER(Tabla_auditoría[[#This Row],[Dispositivo]]))</f>
        <v>Tablet</v>
      </c>
      <c r="R733" t="str">
        <f>TRIM(PROPER(Tabla_auditoría[[#This Row],[Tipo_Campaña]]))</f>
        <v>Conversión</v>
      </c>
      <c r="S733" t="str">
        <f>TRIM(PROPER(Tabla_auditoría[[#This Row],[Responsable]]))</f>
        <v>Marta López</v>
      </c>
    </row>
    <row r="734" spans="1:19" x14ac:dyDescent="0.3">
      <c r="A734" s="1">
        <v>45922</v>
      </c>
      <c r="B734" s="2" t="s">
        <v>2560</v>
      </c>
      <c r="C734" s="2" t="s">
        <v>2543</v>
      </c>
      <c r="D734" s="2" t="s">
        <v>2531</v>
      </c>
      <c r="E734" s="2" t="s">
        <v>2534</v>
      </c>
      <c r="F734" s="3">
        <v>65094</v>
      </c>
      <c r="G734" s="3">
        <v>1450</v>
      </c>
      <c r="H734" s="3">
        <v>191</v>
      </c>
      <c r="I734" s="4">
        <v>1850.3</v>
      </c>
      <c r="J734" s="4">
        <v>15422.98</v>
      </c>
      <c r="K734" s="3">
        <v>163</v>
      </c>
      <c r="L734" s="2" t="s">
        <v>2539</v>
      </c>
      <c r="M734" s="2" t="s">
        <v>2526</v>
      </c>
      <c r="N734" t="str">
        <f>TRIM(PROPER(Tabla_auditoría[[#This Row],[ID_Campaña]]))</f>
        <v>Cmp-027</v>
      </c>
      <c r="O734" t="str">
        <f>TRIM(PROPER(Tabla_auditoría[[#This Row],[Canal]]))</f>
        <v>Organic Social</v>
      </c>
      <c r="P734" t="str">
        <f>TRIM(PROPER(Tabla_auditoría[[#This Row],[País]]))</f>
        <v>Portugal</v>
      </c>
      <c r="Q734" t="str">
        <f>TRIM(PROPER(Tabla_auditoría[[#This Row],[Dispositivo]]))</f>
        <v>Tablet</v>
      </c>
      <c r="R734" t="str">
        <f>TRIM(PROPER(Tabla_auditoría[[#This Row],[Tipo_Campaña]]))</f>
        <v>Conversión</v>
      </c>
      <c r="S734" t="str">
        <f>TRIM(PROPER(Tabla_auditoría[[#This Row],[Responsable]]))</f>
        <v>Laura Pérez</v>
      </c>
    </row>
    <row r="735" spans="1:19" x14ac:dyDescent="0.3">
      <c r="A735" s="1">
        <v>45956</v>
      </c>
      <c r="B735" s="2" t="s">
        <v>2567</v>
      </c>
      <c r="C735" s="2" t="s">
        <v>2541</v>
      </c>
      <c r="D735" s="2" t="s">
        <v>2516</v>
      </c>
      <c r="E735" s="2" t="s">
        <v>2534</v>
      </c>
      <c r="F735" s="3">
        <v>46578</v>
      </c>
      <c r="G735" s="3">
        <v>1781</v>
      </c>
      <c r="H735" s="3">
        <v>113</v>
      </c>
      <c r="I735" s="4">
        <v>3522.64</v>
      </c>
      <c r="J735" s="4">
        <v>10737.39</v>
      </c>
      <c r="K735" s="3">
        <v>66</v>
      </c>
      <c r="L735" s="2" t="s">
        <v>2518</v>
      </c>
      <c r="M735" s="2" t="s">
        <v>2519</v>
      </c>
      <c r="N735" t="str">
        <f>TRIM(PROPER(Tabla_auditoría[[#This Row],[ID_Campaña]]))</f>
        <v>Cmp-021</v>
      </c>
      <c r="O735" t="str">
        <f>TRIM(PROPER(Tabla_auditoría[[#This Row],[Canal]]))</f>
        <v>Display</v>
      </c>
      <c r="P735" t="str">
        <f>TRIM(PROPER(Tabla_auditoría[[#This Row],[País]]))</f>
        <v>México</v>
      </c>
      <c r="Q735" t="str">
        <f>TRIM(PROPER(Tabla_auditoría[[#This Row],[Dispositivo]]))</f>
        <v>Tablet</v>
      </c>
      <c r="R735" t="str">
        <f>TRIM(PROPER(Tabla_auditoría[[#This Row],[Tipo_Campaña]]))</f>
        <v>Adquisición</v>
      </c>
      <c r="S735" t="str">
        <f>TRIM(PROPER(Tabla_auditoría[[#This Row],[Responsable]]))</f>
        <v>Carlos Ruiz</v>
      </c>
    </row>
    <row r="736" spans="1:19" x14ac:dyDescent="0.3">
      <c r="A736" s="1">
        <v>45768</v>
      </c>
      <c r="B736" s="2" t="s">
        <v>2557</v>
      </c>
      <c r="C736" s="2" t="s">
        <v>2527</v>
      </c>
      <c r="D736" s="2" t="s">
        <v>2516</v>
      </c>
      <c r="E736" s="2" t="s">
        <v>2517</v>
      </c>
      <c r="F736" s="3">
        <v>49899</v>
      </c>
      <c r="G736" s="3">
        <v>1109</v>
      </c>
      <c r="H736" s="3">
        <v>37</v>
      </c>
      <c r="I736" s="4">
        <v>406.24</v>
      </c>
      <c r="J736" s="4">
        <v>989.68</v>
      </c>
      <c r="K736" s="3">
        <v>18</v>
      </c>
      <c r="L736" s="2" t="s">
        <v>2518</v>
      </c>
      <c r="M736" s="2" t="s">
        <v>2546</v>
      </c>
      <c r="N736" t="str">
        <f>TRIM(PROPER(Tabla_auditoría[[#This Row],[ID_Campaña]]))</f>
        <v>Cmp-030</v>
      </c>
      <c r="O736" t="str">
        <f>TRIM(PROPER(Tabla_auditoría[[#This Row],[Canal]]))</f>
        <v>Affiliate</v>
      </c>
      <c r="P736" t="str">
        <f>TRIM(PROPER(Tabla_auditoría[[#This Row],[País]]))</f>
        <v>México</v>
      </c>
      <c r="Q736" t="str">
        <f>TRIM(PROPER(Tabla_auditoría[[#This Row],[Dispositivo]]))</f>
        <v>Desktop</v>
      </c>
      <c r="R736" t="str">
        <f>TRIM(PROPER(Tabla_auditoría[[#This Row],[Tipo_Campaña]]))</f>
        <v>Adquisición</v>
      </c>
      <c r="S736" t="str">
        <f>TRIM(PROPER(Tabla_auditoría[[#This Row],[Responsable]]))</f>
        <v>Ana García</v>
      </c>
    </row>
    <row r="737" spans="1:19" x14ac:dyDescent="0.3">
      <c r="A737" s="1">
        <v>45801</v>
      </c>
      <c r="B737" s="2" t="s">
        <v>2563</v>
      </c>
      <c r="C737" s="2" t="s">
        <v>2533</v>
      </c>
      <c r="D737" s="2" t="s">
        <v>2516</v>
      </c>
      <c r="E737" s="2" t="s">
        <v>2517</v>
      </c>
      <c r="F737" s="3">
        <v>63818</v>
      </c>
      <c r="G737" s="3">
        <v>3546</v>
      </c>
      <c r="H737" s="3">
        <v>188</v>
      </c>
      <c r="I737" s="4">
        <v>5263.57</v>
      </c>
      <c r="J737" s="4">
        <v>12005.05</v>
      </c>
      <c r="K737" s="3">
        <v>135</v>
      </c>
      <c r="L737" s="2" t="s">
        <v>2523</v>
      </c>
      <c r="M737" s="2" t="s">
        <v>2524</v>
      </c>
      <c r="N737" t="str">
        <f>TRIM(PROPER(Tabla_auditoría[[#This Row],[ID_Campaña]]))</f>
        <v>Cmp-023</v>
      </c>
      <c r="O737" t="str">
        <f>TRIM(PROPER(Tabla_auditoría[[#This Row],[Canal]]))</f>
        <v>Paid Social</v>
      </c>
      <c r="P737" t="str">
        <f>TRIM(PROPER(Tabla_auditoría[[#This Row],[País]]))</f>
        <v>México</v>
      </c>
      <c r="Q737" t="str">
        <f>TRIM(PROPER(Tabla_auditoría[[#This Row],[Dispositivo]]))</f>
        <v>Desktop</v>
      </c>
      <c r="R737" t="str">
        <f>TRIM(PROPER(Tabla_auditoría[[#This Row],[Tipo_Campaña]]))</f>
        <v>Retención</v>
      </c>
      <c r="S737" t="str">
        <f>TRIM(PROPER(Tabla_auditoría[[#This Row],[Responsable]]))</f>
        <v>Luis Martín</v>
      </c>
    </row>
    <row r="738" spans="1:19" x14ac:dyDescent="0.3">
      <c r="A738" s="1">
        <v>45894</v>
      </c>
      <c r="B738" s="2" t="s">
        <v>2552</v>
      </c>
      <c r="C738" s="2" t="s">
        <v>2527</v>
      </c>
      <c r="D738" s="2" t="s">
        <v>2525</v>
      </c>
      <c r="E738" s="2" t="s">
        <v>2529</v>
      </c>
      <c r="F738" s="3">
        <v>30638</v>
      </c>
      <c r="G738" s="3">
        <v>532</v>
      </c>
      <c r="H738" s="3">
        <v>68</v>
      </c>
      <c r="I738" s="4">
        <v>1091.68</v>
      </c>
      <c r="J738" s="4">
        <v>13486.37</v>
      </c>
      <c r="K738" s="3">
        <v>55</v>
      </c>
      <c r="L738" s="2" t="s">
        <v>2539</v>
      </c>
      <c r="M738" s="2" t="s">
        <v>2524</v>
      </c>
      <c r="N738" t="str">
        <f>TRIM(PROPER(Tabla_auditoría[[#This Row],[ID_Campaña]]))</f>
        <v>Cmp-012</v>
      </c>
      <c r="O738" t="str">
        <f>TRIM(PROPER(Tabla_auditoría[[#This Row],[Canal]]))</f>
        <v>Affiliate</v>
      </c>
      <c r="P738" t="str">
        <f>TRIM(PROPER(Tabla_auditoría[[#This Row],[País]]))</f>
        <v>Francia</v>
      </c>
      <c r="Q738" t="str">
        <f>TRIM(PROPER(Tabla_auditoría[[#This Row],[Dispositivo]]))</f>
        <v>Mobile</v>
      </c>
      <c r="R738" t="str">
        <f>TRIM(PROPER(Tabla_auditoría[[#This Row],[Tipo_Campaña]]))</f>
        <v>Conversión</v>
      </c>
      <c r="S738" t="str">
        <f>TRIM(PROPER(Tabla_auditoría[[#This Row],[Responsable]]))</f>
        <v>Luis Martín</v>
      </c>
    </row>
    <row r="739" spans="1:19" x14ac:dyDescent="0.3">
      <c r="A739" s="1">
        <v>46003</v>
      </c>
      <c r="B739" s="2" t="s">
        <v>2568</v>
      </c>
      <c r="C739" s="2" t="s">
        <v>2515</v>
      </c>
      <c r="D739" s="2" t="s">
        <v>2516</v>
      </c>
      <c r="E739" s="2" t="s">
        <v>2517</v>
      </c>
      <c r="F739" s="3">
        <v>16480</v>
      </c>
      <c r="G739" s="3">
        <v>1002</v>
      </c>
      <c r="H739" s="3">
        <v>103</v>
      </c>
      <c r="I739" s="4">
        <v>269.98</v>
      </c>
      <c r="J739" s="4">
        <v>20077.27</v>
      </c>
      <c r="K739" s="3">
        <v>67</v>
      </c>
      <c r="L739" s="2" t="s">
        <v>2523</v>
      </c>
      <c r="M739" s="2" t="s">
        <v>2546</v>
      </c>
      <c r="N739" t="str">
        <f>TRIM(PROPER(Tabla_auditoría[[#This Row],[ID_Campaña]]))</f>
        <v>Cmp-020</v>
      </c>
      <c r="O739" t="str">
        <f>TRIM(PROPER(Tabla_auditoría[[#This Row],[Canal]]))</f>
        <v>Email</v>
      </c>
      <c r="P739" t="str">
        <f>TRIM(PROPER(Tabla_auditoría[[#This Row],[País]]))</f>
        <v>México</v>
      </c>
      <c r="Q739" t="str">
        <f>TRIM(PROPER(Tabla_auditoría[[#This Row],[Dispositivo]]))</f>
        <v>Desktop</v>
      </c>
      <c r="R739" t="str">
        <f>TRIM(PROPER(Tabla_auditoría[[#This Row],[Tipo_Campaña]]))</f>
        <v>Retención</v>
      </c>
      <c r="S739" t="str">
        <f>TRIM(PROPER(Tabla_auditoría[[#This Row],[Responsable]]))</f>
        <v>Ana García</v>
      </c>
    </row>
    <row r="740" spans="1:19" x14ac:dyDescent="0.3">
      <c r="A740" s="1">
        <v>45716</v>
      </c>
      <c r="B740" s="2" t="s">
        <v>2532</v>
      </c>
      <c r="C740" s="2" t="s">
        <v>2533</v>
      </c>
      <c r="D740" s="2" t="s">
        <v>2528</v>
      </c>
      <c r="E740" s="2" t="s">
        <v>2517</v>
      </c>
      <c r="F740" s="3">
        <v>119149</v>
      </c>
      <c r="G740" s="3">
        <v>1015</v>
      </c>
      <c r="H740" s="3">
        <v>118</v>
      </c>
      <c r="I740" s="4">
        <v>1161.76</v>
      </c>
      <c r="J740" s="4">
        <v>10503.91</v>
      </c>
      <c r="K740" s="3">
        <v>83</v>
      </c>
      <c r="L740" s="2" t="s">
        <v>2518</v>
      </c>
      <c r="M740" s="2" t="s">
        <v>2537</v>
      </c>
      <c r="N740" t="str">
        <f>TRIM(PROPER(Tabla_auditoría[[#This Row],[ID_Campaña]]))</f>
        <v>Cmp-022</v>
      </c>
      <c r="O740" t="str">
        <f>TRIM(PROPER(Tabla_auditoría[[#This Row],[Canal]]))</f>
        <v>Paid Social</v>
      </c>
      <c r="P740" t="str">
        <f>TRIM(PROPER(Tabla_auditoría[[#This Row],[País]]))</f>
        <v>España</v>
      </c>
      <c r="Q740" t="str">
        <f>TRIM(PROPER(Tabla_auditoría[[#This Row],[Dispositivo]]))</f>
        <v>Desktop</v>
      </c>
      <c r="R740" t="str">
        <f>TRIM(PROPER(Tabla_auditoría[[#This Row],[Tipo_Campaña]]))</f>
        <v>Adquisición</v>
      </c>
      <c r="S740" t="str">
        <f>TRIM(PROPER(Tabla_auditoría[[#This Row],[Responsable]]))</f>
        <v>Marta López</v>
      </c>
    </row>
    <row r="741" spans="1:19" x14ac:dyDescent="0.3">
      <c r="A741" s="1">
        <v>45871</v>
      </c>
      <c r="B741" s="2" t="s">
        <v>2556</v>
      </c>
      <c r="C741" s="2" t="s">
        <v>2541</v>
      </c>
      <c r="D741" s="2" t="s">
        <v>2516</v>
      </c>
      <c r="E741" s="2" t="s">
        <v>2517</v>
      </c>
      <c r="F741" s="3">
        <v>116079</v>
      </c>
      <c r="G741" s="3">
        <v>4906</v>
      </c>
      <c r="H741" s="3">
        <v>626</v>
      </c>
      <c r="I741" s="4">
        <v>6054.74</v>
      </c>
      <c r="J741" s="4">
        <v>33695.96</v>
      </c>
      <c r="K741" s="3">
        <v>411</v>
      </c>
      <c r="L741" s="2" t="s">
        <v>2518</v>
      </c>
      <c r="M741" s="2" t="s">
        <v>2537</v>
      </c>
      <c r="N741" t="str">
        <f>TRIM(PROPER(Tabla_auditoría[[#This Row],[ID_Campaña]]))</f>
        <v>Cmp-014</v>
      </c>
      <c r="O741" t="str">
        <f>TRIM(PROPER(Tabla_auditoría[[#This Row],[Canal]]))</f>
        <v>Display</v>
      </c>
      <c r="P741" t="str">
        <f>TRIM(PROPER(Tabla_auditoría[[#This Row],[País]]))</f>
        <v>México</v>
      </c>
      <c r="Q741" t="str">
        <f>TRIM(PROPER(Tabla_auditoría[[#This Row],[Dispositivo]]))</f>
        <v>Desktop</v>
      </c>
      <c r="R741" t="str">
        <f>TRIM(PROPER(Tabla_auditoría[[#This Row],[Tipo_Campaña]]))</f>
        <v>Adquisición</v>
      </c>
      <c r="S741" t="str">
        <f>TRIM(PROPER(Tabla_auditoría[[#This Row],[Responsable]]))</f>
        <v>Marta López</v>
      </c>
    </row>
    <row r="742" spans="1:19" x14ac:dyDescent="0.3">
      <c r="A742" s="1">
        <v>45773</v>
      </c>
      <c r="B742" s="2" t="s">
        <v>2563</v>
      </c>
      <c r="C742" s="2" t="s">
        <v>2521</v>
      </c>
      <c r="D742" s="2" t="s">
        <v>2528</v>
      </c>
      <c r="E742" s="2" t="s">
        <v>2529</v>
      </c>
      <c r="F742" s="3">
        <v>163278</v>
      </c>
      <c r="G742" s="3">
        <v>6742</v>
      </c>
      <c r="H742" s="3">
        <v>120</v>
      </c>
      <c r="I742" s="4">
        <v>2803.16</v>
      </c>
      <c r="J742" s="4">
        <v>24446.27</v>
      </c>
      <c r="K742" s="3">
        <v>57</v>
      </c>
      <c r="L742" s="2" t="s">
        <v>2536</v>
      </c>
      <c r="M742" s="2" t="s">
        <v>2524</v>
      </c>
      <c r="N742" t="str">
        <f>TRIM(PROPER(Tabla_auditoría[[#This Row],[ID_Campaña]]))</f>
        <v>Cmp-023</v>
      </c>
      <c r="O742" t="str">
        <f>TRIM(PROPER(Tabla_auditoría[[#This Row],[Canal]]))</f>
        <v>Paid Search</v>
      </c>
      <c r="P742" t="str">
        <f>TRIM(PROPER(Tabla_auditoría[[#This Row],[País]]))</f>
        <v>España</v>
      </c>
      <c r="Q742" t="str">
        <f>TRIM(PROPER(Tabla_auditoría[[#This Row],[Dispositivo]]))</f>
        <v>Mobile</v>
      </c>
      <c r="R742" t="str">
        <f>TRIM(PROPER(Tabla_auditoría[[#This Row],[Tipo_Campaña]]))</f>
        <v>Reconocimiento</v>
      </c>
      <c r="S742" t="str">
        <f>TRIM(PROPER(Tabla_auditoría[[#This Row],[Responsable]]))</f>
        <v>Luis Martín</v>
      </c>
    </row>
    <row r="743" spans="1:19" x14ac:dyDescent="0.3">
      <c r="A743" s="1">
        <v>45681</v>
      </c>
      <c r="B743" s="2" t="s">
        <v>2549</v>
      </c>
      <c r="C743" s="2" t="s">
        <v>2541</v>
      </c>
      <c r="D743" s="2" t="s">
        <v>2522</v>
      </c>
      <c r="E743" s="2" t="s">
        <v>2517</v>
      </c>
      <c r="F743" s="3">
        <v>9002</v>
      </c>
      <c r="G743" s="3">
        <v>182</v>
      </c>
      <c r="H743" s="3">
        <v>2</v>
      </c>
      <c r="I743" s="4">
        <v>261.54000000000002</v>
      </c>
      <c r="J743" s="4">
        <v>116.36</v>
      </c>
      <c r="K743" s="3">
        <v>1</v>
      </c>
      <c r="L743" s="2" t="s">
        <v>2536</v>
      </c>
      <c r="M743" s="2" t="s">
        <v>2519</v>
      </c>
      <c r="N743" t="str">
        <f>TRIM(PROPER(Tabla_auditoría[[#This Row],[ID_Campaña]]))</f>
        <v>Cmp-007</v>
      </c>
      <c r="O743" t="str">
        <f>TRIM(PROPER(Tabla_auditoría[[#This Row],[Canal]]))</f>
        <v>Display</v>
      </c>
      <c r="P743" t="str">
        <f>TRIM(PROPER(Tabla_auditoría[[#This Row],[País]]))</f>
        <v>Italia</v>
      </c>
      <c r="Q743" t="str">
        <f>TRIM(PROPER(Tabla_auditoría[[#This Row],[Dispositivo]]))</f>
        <v>Desktop</v>
      </c>
      <c r="R743" t="str">
        <f>TRIM(PROPER(Tabla_auditoría[[#This Row],[Tipo_Campaña]]))</f>
        <v>Reconocimiento</v>
      </c>
      <c r="S743" t="str">
        <f>TRIM(PROPER(Tabla_auditoría[[#This Row],[Responsable]]))</f>
        <v>Carlos Ruiz</v>
      </c>
    </row>
    <row r="744" spans="1:19" x14ac:dyDescent="0.3">
      <c r="A744" s="1">
        <v>45954</v>
      </c>
      <c r="B744" s="2" t="s">
        <v>2551</v>
      </c>
      <c r="C744" s="2" t="s">
        <v>2543</v>
      </c>
      <c r="D744" s="2" t="s">
        <v>2528</v>
      </c>
      <c r="E744" s="2" t="s">
        <v>2529</v>
      </c>
      <c r="F744" s="3">
        <v>167184</v>
      </c>
      <c r="G744" s="3">
        <v>8796</v>
      </c>
      <c r="H744" s="3">
        <v>254</v>
      </c>
      <c r="I744" s="4">
        <v>7287.67</v>
      </c>
      <c r="J744" s="4">
        <v>52424.67</v>
      </c>
      <c r="K744" s="3">
        <v>165</v>
      </c>
      <c r="L744" s="2" t="s">
        <v>2539</v>
      </c>
      <c r="M744" s="2" t="s">
        <v>2526</v>
      </c>
      <c r="N744" t="str">
        <f>TRIM(PROPER(Tabla_auditoría[[#This Row],[ID_Campaña]]))</f>
        <v>Cmp-028</v>
      </c>
      <c r="O744" t="str">
        <f>TRIM(PROPER(Tabla_auditoría[[#This Row],[Canal]]))</f>
        <v>Organic Social</v>
      </c>
      <c r="P744" t="str">
        <f>TRIM(PROPER(Tabla_auditoría[[#This Row],[País]]))</f>
        <v>España</v>
      </c>
      <c r="Q744" t="str">
        <f>TRIM(PROPER(Tabla_auditoría[[#This Row],[Dispositivo]]))</f>
        <v>Mobile</v>
      </c>
      <c r="R744" t="str">
        <f>TRIM(PROPER(Tabla_auditoría[[#This Row],[Tipo_Campaña]]))</f>
        <v>Conversión</v>
      </c>
      <c r="S744" t="str">
        <f>TRIM(PROPER(Tabla_auditoría[[#This Row],[Responsable]]))</f>
        <v>Laura Pérez</v>
      </c>
    </row>
    <row r="745" spans="1:19" x14ac:dyDescent="0.3">
      <c r="A745" s="1">
        <v>45897</v>
      </c>
      <c r="B745" s="2" t="s">
        <v>2568</v>
      </c>
      <c r="C745" s="2" t="s">
        <v>2541</v>
      </c>
      <c r="D745" s="2" t="s">
        <v>2516</v>
      </c>
      <c r="E745" s="2" t="s">
        <v>2529</v>
      </c>
      <c r="F745" s="3">
        <v>165266</v>
      </c>
      <c r="G745" s="3">
        <v>12817</v>
      </c>
      <c r="H745" s="3">
        <v>101</v>
      </c>
      <c r="I745" s="4">
        <v>8409.6299999999992</v>
      </c>
      <c r="J745" s="4">
        <v>17234.509999999998</v>
      </c>
      <c r="K745" s="3">
        <v>74</v>
      </c>
      <c r="L745" s="2" t="s">
        <v>2539</v>
      </c>
      <c r="M745" s="2" t="s">
        <v>2519</v>
      </c>
      <c r="N745" t="str">
        <f>TRIM(PROPER(Tabla_auditoría[[#This Row],[ID_Campaña]]))</f>
        <v>Cmp-020</v>
      </c>
      <c r="O745" t="str">
        <f>TRIM(PROPER(Tabla_auditoría[[#This Row],[Canal]]))</f>
        <v>Display</v>
      </c>
      <c r="P745" t="str">
        <f>TRIM(PROPER(Tabla_auditoría[[#This Row],[País]]))</f>
        <v>México</v>
      </c>
      <c r="Q745" t="str">
        <f>TRIM(PROPER(Tabla_auditoría[[#This Row],[Dispositivo]]))</f>
        <v>Mobile</v>
      </c>
      <c r="R745" t="str">
        <f>TRIM(PROPER(Tabla_auditoría[[#This Row],[Tipo_Campaña]]))</f>
        <v>Conversión</v>
      </c>
      <c r="S745" t="str">
        <f>TRIM(PROPER(Tabla_auditoría[[#This Row],[Responsable]]))</f>
        <v>Carlos Ruiz</v>
      </c>
    </row>
    <row r="746" spans="1:19" x14ac:dyDescent="0.3">
      <c r="A746" s="1">
        <v>45667</v>
      </c>
      <c r="B746" s="2" t="s">
        <v>2554</v>
      </c>
      <c r="D746" s="2" t="s">
        <v>2528</v>
      </c>
      <c r="E746" s="2" t="s">
        <v>2529</v>
      </c>
      <c r="F746" s="3">
        <v>151425</v>
      </c>
      <c r="G746" s="3">
        <v>6267</v>
      </c>
      <c r="H746" s="3">
        <v>732</v>
      </c>
      <c r="I746" s="4">
        <v>9867.48</v>
      </c>
      <c r="J746" s="4">
        <v>40433.919999999998</v>
      </c>
      <c r="K746" s="3">
        <v>512</v>
      </c>
      <c r="L746" s="2" t="s">
        <v>2518</v>
      </c>
      <c r="M746" s="2" t="s">
        <v>2526</v>
      </c>
      <c r="N746" t="str">
        <f>TRIM(PROPER(Tabla_auditoría[[#This Row],[ID_Campaña]]))</f>
        <v>Cmp-019</v>
      </c>
      <c r="O746" t="str">
        <f>TRIM(PROPER(Tabla_auditoría[[#This Row],[Canal]]))</f>
        <v/>
      </c>
      <c r="P746" t="str">
        <f>TRIM(PROPER(Tabla_auditoría[[#This Row],[País]]))</f>
        <v>España</v>
      </c>
      <c r="Q746" t="str">
        <f>TRIM(PROPER(Tabla_auditoría[[#This Row],[Dispositivo]]))</f>
        <v>Mobile</v>
      </c>
      <c r="R746" t="str">
        <f>TRIM(PROPER(Tabla_auditoría[[#This Row],[Tipo_Campaña]]))</f>
        <v>Adquisición</v>
      </c>
      <c r="S746" t="str">
        <f>TRIM(PROPER(Tabla_auditoría[[#This Row],[Responsable]]))</f>
        <v>Laura Pérez</v>
      </c>
    </row>
    <row r="747" spans="1:19" x14ac:dyDescent="0.3">
      <c r="A747" s="1">
        <v>45972</v>
      </c>
      <c r="B747" s="2" t="s">
        <v>2549</v>
      </c>
      <c r="C747" s="2" t="s">
        <v>2527</v>
      </c>
      <c r="D747" s="2" t="s">
        <v>2528</v>
      </c>
      <c r="E747" s="2" t="s">
        <v>2529</v>
      </c>
      <c r="F747" s="3">
        <v>54088</v>
      </c>
      <c r="G747" s="3">
        <v>790</v>
      </c>
      <c r="H747" s="3">
        <v>106</v>
      </c>
      <c r="I747" s="4">
        <v>732.9</v>
      </c>
      <c r="J747" s="4">
        <v>12409.69</v>
      </c>
      <c r="K747" s="3">
        <v>85</v>
      </c>
      <c r="L747" s="2" t="s">
        <v>2536</v>
      </c>
      <c r="M747" s="2" t="s">
        <v>2537</v>
      </c>
      <c r="N747" t="str">
        <f>TRIM(PROPER(Tabla_auditoría[[#This Row],[ID_Campaña]]))</f>
        <v>Cmp-007</v>
      </c>
      <c r="O747" t="str">
        <f>TRIM(PROPER(Tabla_auditoría[[#This Row],[Canal]]))</f>
        <v>Affiliate</v>
      </c>
      <c r="P747" t="str">
        <f>TRIM(PROPER(Tabla_auditoría[[#This Row],[País]]))</f>
        <v>España</v>
      </c>
      <c r="Q747" t="str">
        <f>TRIM(PROPER(Tabla_auditoría[[#This Row],[Dispositivo]]))</f>
        <v>Mobile</v>
      </c>
      <c r="R747" t="str">
        <f>TRIM(PROPER(Tabla_auditoría[[#This Row],[Tipo_Campaña]]))</f>
        <v>Reconocimiento</v>
      </c>
      <c r="S747" t="str">
        <f>TRIM(PROPER(Tabla_auditoría[[#This Row],[Responsable]]))</f>
        <v>Marta López</v>
      </c>
    </row>
    <row r="748" spans="1:19" x14ac:dyDescent="0.3">
      <c r="A748" s="1">
        <v>45752</v>
      </c>
      <c r="B748" s="2" t="s">
        <v>2547</v>
      </c>
      <c r="C748" s="2" t="s">
        <v>2533</v>
      </c>
      <c r="D748" s="2" t="s">
        <v>2516</v>
      </c>
      <c r="E748" s="2" t="s">
        <v>2517</v>
      </c>
      <c r="F748" s="3">
        <v>54678</v>
      </c>
      <c r="G748" s="3">
        <v>2415</v>
      </c>
      <c r="H748" s="3">
        <v>68</v>
      </c>
      <c r="I748" s="4">
        <v>2038.76</v>
      </c>
      <c r="J748" s="4">
        <v>5177.91</v>
      </c>
      <c r="K748" s="3">
        <v>36</v>
      </c>
      <c r="L748" s="2" t="s">
        <v>2518</v>
      </c>
      <c r="M748" s="2" t="s">
        <v>2537</v>
      </c>
      <c r="N748" t="str">
        <f>TRIM(PROPER(Tabla_auditoría[[#This Row],[ID_Campaña]]))</f>
        <v>Cmp-018</v>
      </c>
      <c r="O748" t="str">
        <f>TRIM(PROPER(Tabla_auditoría[[#This Row],[Canal]]))</f>
        <v>Paid Social</v>
      </c>
      <c r="P748" t="str">
        <f>TRIM(PROPER(Tabla_auditoría[[#This Row],[País]]))</f>
        <v>México</v>
      </c>
      <c r="Q748" t="str">
        <f>TRIM(PROPER(Tabla_auditoría[[#This Row],[Dispositivo]]))</f>
        <v>Desktop</v>
      </c>
      <c r="R748" t="str">
        <f>TRIM(PROPER(Tabla_auditoría[[#This Row],[Tipo_Campaña]]))</f>
        <v>Adquisición</v>
      </c>
      <c r="S748" t="str">
        <f>TRIM(PROPER(Tabla_auditoría[[#This Row],[Responsable]]))</f>
        <v>Marta López</v>
      </c>
    </row>
    <row r="749" spans="1:19" x14ac:dyDescent="0.3">
      <c r="A749" s="1">
        <v>46013</v>
      </c>
      <c r="B749" s="2" t="s">
        <v>2547</v>
      </c>
      <c r="C749" s="2" t="s">
        <v>2533</v>
      </c>
      <c r="D749" s="2" t="s">
        <v>2528</v>
      </c>
      <c r="E749" s="2" t="s">
        <v>2517</v>
      </c>
      <c r="F749" s="3">
        <v>65088</v>
      </c>
      <c r="G749" s="3">
        <v>3003</v>
      </c>
      <c r="H749" s="3">
        <v>21</v>
      </c>
      <c r="I749" s="4">
        <v>2878.21</v>
      </c>
      <c r="J749" s="4">
        <v>1777.93</v>
      </c>
      <c r="K749" s="3">
        <v>13</v>
      </c>
      <c r="L749" s="2" t="s">
        <v>2518</v>
      </c>
      <c r="M749" s="2" t="s">
        <v>2524</v>
      </c>
      <c r="N749" t="str">
        <f>TRIM(PROPER(Tabla_auditoría[[#This Row],[ID_Campaña]]))</f>
        <v>Cmp-018</v>
      </c>
      <c r="O749" t="str">
        <f>TRIM(PROPER(Tabla_auditoría[[#This Row],[Canal]]))</f>
        <v>Paid Social</v>
      </c>
      <c r="P749" t="str">
        <f>TRIM(PROPER(Tabla_auditoría[[#This Row],[País]]))</f>
        <v>España</v>
      </c>
      <c r="Q749" t="str">
        <f>TRIM(PROPER(Tabla_auditoría[[#This Row],[Dispositivo]]))</f>
        <v>Desktop</v>
      </c>
      <c r="R749" t="str">
        <f>TRIM(PROPER(Tabla_auditoría[[#This Row],[Tipo_Campaña]]))</f>
        <v>Adquisición</v>
      </c>
      <c r="S749" t="str">
        <f>TRIM(PROPER(Tabla_auditoría[[#This Row],[Responsable]]))</f>
        <v>Luis Martín</v>
      </c>
    </row>
    <row r="750" spans="1:19" x14ac:dyDescent="0.3">
      <c r="A750" s="1">
        <v>45714</v>
      </c>
      <c r="B750" s="2" t="s">
        <v>2569</v>
      </c>
      <c r="C750" s="2" t="s">
        <v>2541</v>
      </c>
      <c r="D750" s="2" t="s">
        <v>2525</v>
      </c>
      <c r="E750" s="2" t="s">
        <v>2561</v>
      </c>
      <c r="F750" s="3">
        <v>42796</v>
      </c>
      <c r="G750" s="3">
        <v>1696</v>
      </c>
      <c r="H750" s="3">
        <v>150</v>
      </c>
      <c r="I750" s="4">
        <v>3534.31</v>
      </c>
      <c r="J750" s="4">
        <v>32902.639999999999</v>
      </c>
      <c r="K750" s="3">
        <v>125</v>
      </c>
      <c r="L750" s="2" t="s">
        <v>2539</v>
      </c>
      <c r="M750" s="2" t="s">
        <v>2546</v>
      </c>
      <c r="N750" t="str">
        <f>TRIM(PROPER(Tabla_auditoría[[#This Row],[ID_Campaña]]))</f>
        <v>Cmp-013</v>
      </c>
      <c r="O750" t="str">
        <f>TRIM(PROPER(Tabla_auditoría[[#This Row],[Canal]]))</f>
        <v>Display</v>
      </c>
      <c r="P750" t="str">
        <f>TRIM(PROPER(Tabla_auditoría[[#This Row],[País]]))</f>
        <v>Francia</v>
      </c>
      <c r="Q750" t="str">
        <f>TRIM(PROPER(Tabla_auditoría[[#This Row],[Dispositivo]]))</f>
        <v>Mobile</v>
      </c>
      <c r="R750" t="str">
        <f>TRIM(PROPER(Tabla_auditoría[[#This Row],[Tipo_Campaña]]))</f>
        <v>Conversión</v>
      </c>
      <c r="S750" t="str">
        <f>TRIM(PROPER(Tabla_auditoría[[#This Row],[Responsable]]))</f>
        <v>Ana García</v>
      </c>
    </row>
    <row r="751" spans="1:19" x14ac:dyDescent="0.3">
      <c r="A751" s="1">
        <v>46012</v>
      </c>
      <c r="B751" s="2" t="s">
        <v>2566</v>
      </c>
      <c r="C751" s="2" t="s">
        <v>2533</v>
      </c>
      <c r="D751" s="2" t="s">
        <v>2522</v>
      </c>
      <c r="E751" s="2" t="s">
        <v>2517</v>
      </c>
      <c r="F751" s="3">
        <v>91944</v>
      </c>
      <c r="G751" s="3">
        <v>6325</v>
      </c>
      <c r="H751" s="3">
        <v>96</v>
      </c>
      <c r="I751" s="4">
        <v>4317.38</v>
      </c>
      <c r="J751" s="4">
        <v>11882.21</v>
      </c>
      <c r="K751" s="3">
        <v>47</v>
      </c>
      <c r="L751" s="2" t="s">
        <v>2518</v>
      </c>
      <c r="M751" s="2" t="s">
        <v>2526</v>
      </c>
      <c r="N751" t="str">
        <f>TRIM(PROPER(Tabla_auditoría[[#This Row],[ID_Campaña]]))</f>
        <v>Cmp-001</v>
      </c>
      <c r="O751" t="str">
        <f>TRIM(PROPER(Tabla_auditoría[[#This Row],[Canal]]))</f>
        <v>Paid Social</v>
      </c>
      <c r="P751" t="str">
        <f>TRIM(PROPER(Tabla_auditoría[[#This Row],[País]]))</f>
        <v>Italia</v>
      </c>
      <c r="Q751" t="str">
        <f>TRIM(PROPER(Tabla_auditoría[[#This Row],[Dispositivo]]))</f>
        <v>Desktop</v>
      </c>
      <c r="R751" t="str">
        <f>TRIM(PROPER(Tabla_auditoría[[#This Row],[Tipo_Campaña]]))</f>
        <v>Adquisición</v>
      </c>
      <c r="S751" t="str">
        <f>TRIM(PROPER(Tabla_auditoría[[#This Row],[Responsable]]))</f>
        <v>Laura Pérez</v>
      </c>
    </row>
    <row r="752" spans="1:19" x14ac:dyDescent="0.3">
      <c r="A752" s="1">
        <v>45893</v>
      </c>
      <c r="B752" s="2" t="s">
        <v>2535</v>
      </c>
      <c r="C752" s="2" t="s">
        <v>2527</v>
      </c>
      <c r="D752" s="2" t="s">
        <v>2528</v>
      </c>
      <c r="E752" s="2" t="s">
        <v>2517</v>
      </c>
      <c r="F752" s="3">
        <v>82054</v>
      </c>
      <c r="G752" s="3">
        <v>7351</v>
      </c>
      <c r="H752" s="3">
        <v>551</v>
      </c>
      <c r="I752" s="4">
        <v>4641.66</v>
      </c>
      <c r="J752" s="4">
        <v>93199.89</v>
      </c>
      <c r="K752" s="3">
        <v>388</v>
      </c>
      <c r="L752" s="2" t="s">
        <v>2518</v>
      </c>
      <c r="M752" s="2" t="s">
        <v>2526</v>
      </c>
      <c r="N752" t="str">
        <f>TRIM(PROPER(Tabla_auditoría[[#This Row],[ID_Campaña]]))</f>
        <v>Cmp-015</v>
      </c>
      <c r="O752" t="str">
        <f>TRIM(PROPER(Tabla_auditoría[[#This Row],[Canal]]))</f>
        <v>Affiliate</v>
      </c>
      <c r="P752" t="str">
        <f>TRIM(PROPER(Tabla_auditoría[[#This Row],[País]]))</f>
        <v>España</v>
      </c>
      <c r="Q752" t="str">
        <f>TRIM(PROPER(Tabla_auditoría[[#This Row],[Dispositivo]]))</f>
        <v>Desktop</v>
      </c>
      <c r="R752" t="str">
        <f>TRIM(PROPER(Tabla_auditoría[[#This Row],[Tipo_Campaña]]))</f>
        <v>Adquisición</v>
      </c>
      <c r="S752" t="str">
        <f>TRIM(PROPER(Tabla_auditoría[[#This Row],[Responsable]]))</f>
        <v>Laura Pérez</v>
      </c>
    </row>
    <row r="753" spans="1:19" x14ac:dyDescent="0.3">
      <c r="A753" s="1">
        <v>45743</v>
      </c>
      <c r="B753" s="2" t="s">
        <v>2563</v>
      </c>
      <c r="C753" s="2" t="s">
        <v>2515</v>
      </c>
      <c r="D753" s="2" t="s">
        <v>2528</v>
      </c>
      <c r="E753" s="2" t="s">
        <v>2529</v>
      </c>
      <c r="F753" s="3">
        <v>120467</v>
      </c>
      <c r="G753" s="3">
        <v>7430</v>
      </c>
      <c r="H753" s="3">
        <v>464</v>
      </c>
      <c r="I753" s="4">
        <v>8519.35</v>
      </c>
      <c r="J753" s="4">
        <v>89816.69</v>
      </c>
      <c r="K753" s="3">
        <v>240</v>
      </c>
      <c r="L753" s="2" t="s">
        <v>2539</v>
      </c>
      <c r="M753" s="2" t="s">
        <v>2519</v>
      </c>
      <c r="N753" t="str">
        <f>TRIM(PROPER(Tabla_auditoría[[#This Row],[ID_Campaña]]))</f>
        <v>Cmp-023</v>
      </c>
      <c r="O753" t="str">
        <f>TRIM(PROPER(Tabla_auditoría[[#This Row],[Canal]]))</f>
        <v>Email</v>
      </c>
      <c r="P753" t="str">
        <f>TRIM(PROPER(Tabla_auditoría[[#This Row],[País]]))</f>
        <v>España</v>
      </c>
      <c r="Q753" t="str">
        <f>TRIM(PROPER(Tabla_auditoría[[#This Row],[Dispositivo]]))</f>
        <v>Mobile</v>
      </c>
      <c r="R753" t="str">
        <f>TRIM(PROPER(Tabla_auditoría[[#This Row],[Tipo_Campaña]]))</f>
        <v>Conversión</v>
      </c>
      <c r="S753" t="str">
        <f>TRIM(PROPER(Tabla_auditoría[[#This Row],[Responsable]]))</f>
        <v>Carlos Ruiz</v>
      </c>
    </row>
    <row r="754" spans="1:19" x14ac:dyDescent="0.3">
      <c r="A754" s="1">
        <v>45956</v>
      </c>
      <c r="B754" s="2" t="s">
        <v>2557</v>
      </c>
      <c r="C754" s="2" t="s">
        <v>2527</v>
      </c>
      <c r="D754" s="2" t="s">
        <v>2525</v>
      </c>
      <c r="E754" s="2" t="s">
        <v>2517</v>
      </c>
      <c r="F754" s="3">
        <v>102121</v>
      </c>
      <c r="G754" s="3">
        <v>3387</v>
      </c>
      <c r="H754" s="3">
        <v>80</v>
      </c>
      <c r="I754" s="4">
        <v>1947.51</v>
      </c>
      <c r="J754" s="4">
        <v>15005.61</v>
      </c>
      <c r="K754" s="3">
        <v>64</v>
      </c>
      <c r="L754" s="2" t="s">
        <v>2539</v>
      </c>
      <c r="M754" s="2" t="s">
        <v>2519</v>
      </c>
      <c r="N754" t="str">
        <f>TRIM(PROPER(Tabla_auditoría[[#This Row],[ID_Campaña]]))</f>
        <v>Cmp-030</v>
      </c>
      <c r="O754" t="str">
        <f>TRIM(PROPER(Tabla_auditoría[[#This Row],[Canal]]))</f>
        <v>Affiliate</v>
      </c>
      <c r="P754" t="str">
        <f>TRIM(PROPER(Tabla_auditoría[[#This Row],[País]]))</f>
        <v>Francia</v>
      </c>
      <c r="Q754" t="str">
        <f>TRIM(PROPER(Tabla_auditoría[[#This Row],[Dispositivo]]))</f>
        <v>Desktop</v>
      </c>
      <c r="R754" t="str">
        <f>TRIM(PROPER(Tabla_auditoría[[#This Row],[Tipo_Campaña]]))</f>
        <v>Conversión</v>
      </c>
      <c r="S754" t="str">
        <f>TRIM(PROPER(Tabla_auditoría[[#This Row],[Responsable]]))</f>
        <v>Carlos Ruiz</v>
      </c>
    </row>
    <row r="755" spans="1:19" x14ac:dyDescent="0.3">
      <c r="A755" s="1">
        <v>46013</v>
      </c>
      <c r="B755" s="2" t="s">
        <v>2540</v>
      </c>
      <c r="C755" s="2" t="s">
        <v>2515</v>
      </c>
      <c r="D755" s="2" t="s">
        <v>2528</v>
      </c>
      <c r="E755" s="2" t="s">
        <v>2517</v>
      </c>
      <c r="F755" s="3">
        <v>53461</v>
      </c>
      <c r="G755" s="3">
        <v>1511</v>
      </c>
      <c r="H755" s="3">
        <v>99</v>
      </c>
      <c r="I755" s="4">
        <v>1560.39</v>
      </c>
      <c r="J755" s="4">
        <v>3052.32</v>
      </c>
      <c r="K755" s="3">
        <v>64</v>
      </c>
      <c r="L755" s="2" t="s">
        <v>2518</v>
      </c>
      <c r="M755" s="2" t="s">
        <v>2526</v>
      </c>
      <c r="N755" t="str">
        <f>TRIM(PROPER(Tabla_auditoría[[#This Row],[ID_Campaña]]))</f>
        <v>Cmp-017</v>
      </c>
      <c r="O755" t="str">
        <f>TRIM(PROPER(Tabla_auditoría[[#This Row],[Canal]]))</f>
        <v>Email</v>
      </c>
      <c r="P755" t="str">
        <f>TRIM(PROPER(Tabla_auditoría[[#This Row],[País]]))</f>
        <v>España</v>
      </c>
      <c r="Q755" t="str">
        <f>TRIM(PROPER(Tabla_auditoría[[#This Row],[Dispositivo]]))</f>
        <v>Desktop</v>
      </c>
      <c r="R755" t="str">
        <f>TRIM(PROPER(Tabla_auditoría[[#This Row],[Tipo_Campaña]]))</f>
        <v>Adquisición</v>
      </c>
      <c r="S755" t="str">
        <f>TRIM(PROPER(Tabla_auditoría[[#This Row],[Responsable]]))</f>
        <v>Laura Pérez</v>
      </c>
    </row>
    <row r="756" spans="1:19" x14ac:dyDescent="0.3">
      <c r="A756" s="1">
        <v>45866</v>
      </c>
      <c r="B756" s="2" t="s">
        <v>2520</v>
      </c>
      <c r="C756" s="2" t="s">
        <v>2527</v>
      </c>
      <c r="D756" s="2" t="s">
        <v>2528</v>
      </c>
      <c r="E756" s="2" t="s">
        <v>2561</v>
      </c>
      <c r="F756" s="3">
        <v>22283</v>
      </c>
      <c r="G756" s="3">
        <v>888</v>
      </c>
      <c r="H756" s="3">
        <v>69</v>
      </c>
      <c r="I756" s="4">
        <v>1735.99</v>
      </c>
      <c r="J756" s="4">
        <v>14236.12</v>
      </c>
      <c r="K756" s="3">
        <v>45</v>
      </c>
      <c r="L756" s="2" t="s">
        <v>2539</v>
      </c>
      <c r="M756" s="2" t="s">
        <v>2519</v>
      </c>
      <c r="N756" t="str">
        <f>TRIM(PROPER(Tabla_auditoría[[#This Row],[ID_Campaña]]))</f>
        <v>Cmp-009</v>
      </c>
      <c r="O756" t="str">
        <f>TRIM(PROPER(Tabla_auditoría[[#This Row],[Canal]]))</f>
        <v>Affiliate</v>
      </c>
      <c r="P756" t="str">
        <f>TRIM(PROPER(Tabla_auditoría[[#This Row],[País]]))</f>
        <v>España</v>
      </c>
      <c r="Q756" t="str">
        <f>TRIM(PROPER(Tabla_auditoría[[#This Row],[Dispositivo]]))</f>
        <v>Mobile</v>
      </c>
      <c r="R756" t="str">
        <f>TRIM(PROPER(Tabla_auditoría[[#This Row],[Tipo_Campaña]]))</f>
        <v>Conversión</v>
      </c>
      <c r="S756" t="str">
        <f>TRIM(PROPER(Tabla_auditoría[[#This Row],[Responsable]]))</f>
        <v>Carlos Ruiz</v>
      </c>
    </row>
    <row r="757" spans="1:19" x14ac:dyDescent="0.3">
      <c r="A757" s="1">
        <v>45978</v>
      </c>
      <c r="B757" s="2" t="s">
        <v>2571</v>
      </c>
      <c r="C757" s="2" t="s">
        <v>2543</v>
      </c>
      <c r="D757" s="2" t="s">
        <v>2525</v>
      </c>
      <c r="E757" s="2" t="s">
        <v>2529</v>
      </c>
      <c r="F757" s="3">
        <v>28046</v>
      </c>
      <c r="G757" s="3">
        <v>765</v>
      </c>
      <c r="H757" s="3">
        <v>87</v>
      </c>
      <c r="I757" s="4">
        <v>1081.6199999999999</v>
      </c>
      <c r="J757" s="4">
        <v>10782.28</v>
      </c>
      <c r="K757" s="3">
        <v>76</v>
      </c>
      <c r="L757" s="2" t="s">
        <v>2518</v>
      </c>
      <c r="M757" s="2" t="s">
        <v>2519</v>
      </c>
      <c r="N757" t="str">
        <f>TRIM(PROPER(Tabla_auditoría[[#This Row],[ID_Campaña]]))</f>
        <v>Cmp-029</v>
      </c>
      <c r="O757" t="str">
        <f>TRIM(PROPER(Tabla_auditoría[[#This Row],[Canal]]))</f>
        <v>Organic Social</v>
      </c>
      <c r="P757" t="str">
        <f>TRIM(PROPER(Tabla_auditoría[[#This Row],[País]]))</f>
        <v>Francia</v>
      </c>
      <c r="Q757" t="str">
        <f>TRIM(PROPER(Tabla_auditoría[[#This Row],[Dispositivo]]))</f>
        <v>Mobile</v>
      </c>
      <c r="R757" t="str">
        <f>TRIM(PROPER(Tabla_auditoría[[#This Row],[Tipo_Campaña]]))</f>
        <v>Adquisición</v>
      </c>
      <c r="S757" t="str">
        <f>TRIM(PROPER(Tabla_auditoría[[#This Row],[Responsable]]))</f>
        <v>Carlos Ruiz</v>
      </c>
    </row>
    <row r="758" spans="1:19" x14ac:dyDescent="0.3">
      <c r="A758" s="1">
        <v>45911</v>
      </c>
      <c r="B758" s="2" t="s">
        <v>2563</v>
      </c>
      <c r="C758" s="2" t="s">
        <v>2527</v>
      </c>
      <c r="D758" s="2" t="s">
        <v>2528</v>
      </c>
      <c r="E758" s="2" t="s">
        <v>2517</v>
      </c>
      <c r="F758" s="3">
        <v>27301</v>
      </c>
      <c r="G758" s="3">
        <v>2196</v>
      </c>
      <c r="H758" s="3">
        <v>18</v>
      </c>
      <c r="I758" s="4">
        <v>2795.96</v>
      </c>
      <c r="J758" s="4">
        <v>1053.48</v>
      </c>
      <c r="K758" s="3">
        <v>9</v>
      </c>
      <c r="L758" s="2" t="s">
        <v>2539</v>
      </c>
      <c r="M758" s="2" t="s">
        <v>2526</v>
      </c>
      <c r="N758" t="str">
        <f>TRIM(PROPER(Tabla_auditoría[[#This Row],[ID_Campaña]]))</f>
        <v>Cmp-023</v>
      </c>
      <c r="O758" t="str">
        <f>TRIM(PROPER(Tabla_auditoría[[#This Row],[Canal]]))</f>
        <v>Affiliate</v>
      </c>
      <c r="P758" t="str">
        <f>TRIM(PROPER(Tabla_auditoría[[#This Row],[País]]))</f>
        <v>España</v>
      </c>
      <c r="Q758" t="str">
        <f>TRIM(PROPER(Tabla_auditoría[[#This Row],[Dispositivo]]))</f>
        <v>Desktop</v>
      </c>
      <c r="R758" t="str">
        <f>TRIM(PROPER(Tabla_auditoría[[#This Row],[Tipo_Campaña]]))</f>
        <v>Conversión</v>
      </c>
      <c r="S758" t="str">
        <f>TRIM(PROPER(Tabla_auditoría[[#This Row],[Responsable]]))</f>
        <v>Laura Pérez</v>
      </c>
    </row>
    <row r="759" spans="1:19" x14ac:dyDescent="0.3">
      <c r="A759" s="1">
        <v>45911</v>
      </c>
      <c r="B759" s="2" t="s">
        <v>2514</v>
      </c>
      <c r="C759" s="2" t="s">
        <v>2543</v>
      </c>
      <c r="D759" s="2" t="s">
        <v>2525</v>
      </c>
      <c r="E759" s="2" t="s">
        <v>2529</v>
      </c>
      <c r="F759" s="3">
        <v>21900</v>
      </c>
      <c r="G759" s="3">
        <v>1871</v>
      </c>
      <c r="H759" s="3">
        <v>46</v>
      </c>
      <c r="I759" s="4">
        <v>3152.95</v>
      </c>
      <c r="J759" s="4">
        <v>2841.2</v>
      </c>
      <c r="K759" s="3">
        <v>35</v>
      </c>
      <c r="L759" s="2" t="s">
        <v>2536</v>
      </c>
      <c r="M759" s="2" t="s">
        <v>2546</v>
      </c>
      <c r="N759" t="str">
        <f>TRIM(PROPER(Tabla_auditoría[[#This Row],[ID_Campaña]]))</f>
        <v>Cmp-002</v>
      </c>
      <c r="O759" t="str">
        <f>TRIM(PROPER(Tabla_auditoría[[#This Row],[Canal]]))</f>
        <v>Organic Social</v>
      </c>
      <c r="P759" t="str">
        <f>TRIM(PROPER(Tabla_auditoría[[#This Row],[País]]))</f>
        <v>Francia</v>
      </c>
      <c r="Q759" t="str">
        <f>TRIM(PROPER(Tabla_auditoría[[#This Row],[Dispositivo]]))</f>
        <v>Mobile</v>
      </c>
      <c r="R759" t="str">
        <f>TRIM(PROPER(Tabla_auditoría[[#This Row],[Tipo_Campaña]]))</f>
        <v>Reconocimiento</v>
      </c>
      <c r="S759" t="str">
        <f>TRIM(PROPER(Tabla_auditoría[[#This Row],[Responsable]]))</f>
        <v>Ana García</v>
      </c>
    </row>
    <row r="760" spans="1:19" x14ac:dyDescent="0.3">
      <c r="A760" s="1">
        <v>45884</v>
      </c>
      <c r="B760" s="2" t="s">
        <v>2551</v>
      </c>
      <c r="C760" s="2" t="s">
        <v>2558</v>
      </c>
      <c r="D760" s="2" t="s">
        <v>2528</v>
      </c>
      <c r="E760" s="2" t="s">
        <v>2517</v>
      </c>
      <c r="F760" s="3">
        <v>21145</v>
      </c>
      <c r="G760" s="3">
        <v>312</v>
      </c>
      <c r="H760" s="3">
        <v>37</v>
      </c>
      <c r="I760" s="4">
        <v>95.27</v>
      </c>
      <c r="J760" s="4">
        <v>1987.06</v>
      </c>
      <c r="K760" s="3">
        <v>32</v>
      </c>
      <c r="L760" s="2" t="s">
        <v>2539</v>
      </c>
      <c r="M760" s="2" t="s">
        <v>2526</v>
      </c>
      <c r="N760" t="str">
        <f>TRIM(PROPER(Tabla_auditoría[[#This Row],[ID_Campaña]]))</f>
        <v>Cmp-028</v>
      </c>
      <c r="O760" t="str">
        <f>TRIM(PROPER(Tabla_auditoría[[#This Row],[Canal]]))</f>
        <v>Paid Social</v>
      </c>
      <c r="P760" t="str">
        <f>TRIM(PROPER(Tabla_auditoría[[#This Row],[País]]))</f>
        <v>España</v>
      </c>
      <c r="Q760" t="str">
        <f>TRIM(PROPER(Tabla_auditoría[[#This Row],[Dispositivo]]))</f>
        <v>Desktop</v>
      </c>
      <c r="R760" t="str">
        <f>TRIM(PROPER(Tabla_auditoría[[#This Row],[Tipo_Campaña]]))</f>
        <v>Conversión</v>
      </c>
      <c r="S760" t="str">
        <f>TRIM(PROPER(Tabla_auditoría[[#This Row],[Responsable]]))</f>
        <v>Laura Pérez</v>
      </c>
    </row>
    <row r="761" spans="1:19" x14ac:dyDescent="0.3">
      <c r="A761" s="1">
        <v>45985</v>
      </c>
      <c r="B761" s="2" t="s">
        <v>2542</v>
      </c>
      <c r="C761" s="2" t="s">
        <v>2541</v>
      </c>
      <c r="D761" s="2" t="s">
        <v>2528</v>
      </c>
      <c r="E761" s="2" t="s">
        <v>2529</v>
      </c>
      <c r="F761" s="3">
        <v>99270</v>
      </c>
      <c r="G761" s="3">
        <v>5091</v>
      </c>
      <c r="H761" s="3">
        <v>479</v>
      </c>
      <c r="I761" s="4">
        <v>9174.77</v>
      </c>
      <c r="J761" s="4">
        <v>95271.37</v>
      </c>
      <c r="K761" s="3">
        <v>300</v>
      </c>
      <c r="L761" s="2" t="s">
        <v>2536</v>
      </c>
      <c r="M761" s="2" t="s">
        <v>2537</v>
      </c>
      <c r="N761" t="str">
        <f>TRIM(PROPER(Tabla_auditoría[[#This Row],[ID_Campaña]]))</f>
        <v>Cmp-025</v>
      </c>
      <c r="O761" t="str">
        <f>TRIM(PROPER(Tabla_auditoría[[#This Row],[Canal]]))</f>
        <v>Display</v>
      </c>
      <c r="P761" t="str">
        <f>TRIM(PROPER(Tabla_auditoría[[#This Row],[País]]))</f>
        <v>España</v>
      </c>
      <c r="Q761" t="str">
        <f>TRIM(PROPER(Tabla_auditoría[[#This Row],[Dispositivo]]))</f>
        <v>Mobile</v>
      </c>
      <c r="R761" t="str">
        <f>TRIM(PROPER(Tabla_auditoría[[#This Row],[Tipo_Campaña]]))</f>
        <v>Reconocimiento</v>
      </c>
      <c r="S761" t="str">
        <f>TRIM(PROPER(Tabla_auditoría[[#This Row],[Responsable]]))</f>
        <v>Marta López</v>
      </c>
    </row>
    <row r="762" spans="1:19" x14ac:dyDescent="0.3">
      <c r="A762" s="1">
        <v>45728</v>
      </c>
      <c r="B762" s="2" t="s">
        <v>2540</v>
      </c>
      <c r="C762" s="2" t="s">
        <v>2541</v>
      </c>
      <c r="D762" s="2" t="s">
        <v>2531</v>
      </c>
      <c r="E762" s="2" t="s">
        <v>2517</v>
      </c>
      <c r="F762" s="3">
        <v>34220</v>
      </c>
      <c r="G762" s="3">
        <v>1476</v>
      </c>
      <c r="H762" s="3">
        <v>119</v>
      </c>
      <c r="I762" s="4">
        <v>2550.65</v>
      </c>
      <c r="J762" s="4">
        <v>3059.4</v>
      </c>
      <c r="K762" s="3">
        <v>89</v>
      </c>
      <c r="L762" s="2" t="s">
        <v>2518</v>
      </c>
      <c r="M762" s="2" t="s">
        <v>2519</v>
      </c>
      <c r="N762" t="str">
        <f>TRIM(PROPER(Tabla_auditoría[[#This Row],[ID_Campaña]]))</f>
        <v>Cmp-017</v>
      </c>
      <c r="O762" t="str">
        <f>TRIM(PROPER(Tabla_auditoría[[#This Row],[Canal]]))</f>
        <v>Display</v>
      </c>
      <c r="P762" t="str">
        <f>TRIM(PROPER(Tabla_auditoría[[#This Row],[País]]))</f>
        <v>Portugal</v>
      </c>
      <c r="Q762" t="str">
        <f>TRIM(PROPER(Tabla_auditoría[[#This Row],[Dispositivo]]))</f>
        <v>Desktop</v>
      </c>
      <c r="R762" t="str">
        <f>TRIM(PROPER(Tabla_auditoría[[#This Row],[Tipo_Campaña]]))</f>
        <v>Adquisición</v>
      </c>
      <c r="S762" t="str">
        <f>TRIM(PROPER(Tabla_auditoría[[#This Row],[Responsable]]))</f>
        <v>Carlos Ruiz</v>
      </c>
    </row>
    <row r="763" spans="1:19" x14ac:dyDescent="0.3">
      <c r="A763" s="1">
        <v>46013</v>
      </c>
      <c r="B763" s="2" t="s">
        <v>2542</v>
      </c>
      <c r="C763" s="2" t="s">
        <v>2543</v>
      </c>
      <c r="D763" s="2" t="s">
        <v>2531</v>
      </c>
      <c r="E763" s="2" t="s">
        <v>2529</v>
      </c>
      <c r="F763" s="3">
        <v>28165</v>
      </c>
      <c r="G763" s="3">
        <v>782</v>
      </c>
      <c r="H763" s="3">
        <v>82</v>
      </c>
      <c r="I763" s="4">
        <v>827.74</v>
      </c>
      <c r="J763" s="4">
        <v>12117.77</v>
      </c>
      <c r="K763" s="3">
        <v>41</v>
      </c>
      <c r="L763" s="2" t="s">
        <v>2539</v>
      </c>
      <c r="M763" s="2" t="s">
        <v>2546</v>
      </c>
      <c r="N763" t="str">
        <f>TRIM(PROPER(Tabla_auditoría[[#This Row],[ID_Campaña]]))</f>
        <v>Cmp-025</v>
      </c>
      <c r="O763" t="str">
        <f>TRIM(PROPER(Tabla_auditoría[[#This Row],[Canal]]))</f>
        <v>Organic Social</v>
      </c>
      <c r="P763" t="str">
        <f>TRIM(PROPER(Tabla_auditoría[[#This Row],[País]]))</f>
        <v>Portugal</v>
      </c>
      <c r="Q763" t="str">
        <f>TRIM(PROPER(Tabla_auditoría[[#This Row],[Dispositivo]]))</f>
        <v>Mobile</v>
      </c>
      <c r="R763" t="str">
        <f>TRIM(PROPER(Tabla_auditoría[[#This Row],[Tipo_Campaña]]))</f>
        <v>Conversión</v>
      </c>
      <c r="S763" t="str">
        <f>TRIM(PROPER(Tabla_auditoría[[#This Row],[Responsable]]))</f>
        <v>Ana García</v>
      </c>
    </row>
    <row r="764" spans="1:19" x14ac:dyDescent="0.3">
      <c r="A764" s="1">
        <v>45815</v>
      </c>
      <c r="B764" s="2" t="s">
        <v>2569</v>
      </c>
      <c r="C764" s="2" t="s">
        <v>2527</v>
      </c>
      <c r="D764" s="2" t="s">
        <v>2522</v>
      </c>
      <c r="E764" s="2" t="s">
        <v>2517</v>
      </c>
      <c r="F764" s="3">
        <v>160813</v>
      </c>
      <c r="G764" s="3">
        <v>11849</v>
      </c>
      <c r="H764" s="3">
        <v>1514</v>
      </c>
      <c r="I764" s="4">
        <v>20480.599999999999</v>
      </c>
      <c r="J764" s="4">
        <v>71723.09</v>
      </c>
      <c r="K764" s="3">
        <v>731</v>
      </c>
      <c r="L764" s="2" t="s">
        <v>2518</v>
      </c>
      <c r="M764" s="2" t="s">
        <v>2537</v>
      </c>
      <c r="N764" t="str">
        <f>TRIM(PROPER(Tabla_auditoría[[#This Row],[ID_Campaña]]))</f>
        <v>Cmp-013</v>
      </c>
      <c r="O764" t="str">
        <f>TRIM(PROPER(Tabla_auditoría[[#This Row],[Canal]]))</f>
        <v>Affiliate</v>
      </c>
      <c r="P764" t="str">
        <f>TRIM(PROPER(Tabla_auditoría[[#This Row],[País]]))</f>
        <v>Italia</v>
      </c>
      <c r="Q764" t="str">
        <f>TRIM(PROPER(Tabla_auditoría[[#This Row],[Dispositivo]]))</f>
        <v>Desktop</v>
      </c>
      <c r="R764" t="str">
        <f>TRIM(PROPER(Tabla_auditoría[[#This Row],[Tipo_Campaña]]))</f>
        <v>Adquisición</v>
      </c>
      <c r="S764" t="str">
        <f>TRIM(PROPER(Tabla_auditoría[[#This Row],[Responsable]]))</f>
        <v>Marta López</v>
      </c>
    </row>
    <row r="765" spans="1:19" x14ac:dyDescent="0.3">
      <c r="A765" s="1">
        <v>45662</v>
      </c>
      <c r="B765" s="2" t="s">
        <v>2571</v>
      </c>
      <c r="C765" s="2" t="s">
        <v>2521</v>
      </c>
      <c r="D765" s="2" t="s">
        <v>2516</v>
      </c>
      <c r="E765" s="2" t="s">
        <v>2517</v>
      </c>
      <c r="F765" s="3">
        <v>17559</v>
      </c>
      <c r="G765" s="3">
        <v>1552</v>
      </c>
      <c r="H765" s="3">
        <v>47</v>
      </c>
      <c r="I765" s="4">
        <v>2773.89</v>
      </c>
      <c r="J765" s="4">
        <v>7527.78</v>
      </c>
      <c r="K765" s="3">
        <v>21</v>
      </c>
      <c r="L765" s="2" t="s">
        <v>2518</v>
      </c>
      <c r="M765" s="2" t="s">
        <v>2524</v>
      </c>
      <c r="N765" t="str">
        <f>TRIM(PROPER(Tabla_auditoría[[#This Row],[ID_Campaña]]))</f>
        <v>Cmp-029</v>
      </c>
      <c r="O765" t="str">
        <f>TRIM(PROPER(Tabla_auditoría[[#This Row],[Canal]]))</f>
        <v>Paid Search</v>
      </c>
      <c r="P765" t="str">
        <f>TRIM(PROPER(Tabla_auditoría[[#This Row],[País]]))</f>
        <v>México</v>
      </c>
      <c r="Q765" t="str">
        <f>TRIM(PROPER(Tabla_auditoría[[#This Row],[Dispositivo]]))</f>
        <v>Desktop</v>
      </c>
      <c r="R765" t="str">
        <f>TRIM(PROPER(Tabla_auditoría[[#This Row],[Tipo_Campaña]]))</f>
        <v>Adquisición</v>
      </c>
      <c r="S765" t="str">
        <f>TRIM(PROPER(Tabla_auditoría[[#This Row],[Responsable]]))</f>
        <v>Luis Martín</v>
      </c>
    </row>
    <row r="766" spans="1:19" x14ac:dyDescent="0.3">
      <c r="A766" s="1">
        <v>45849</v>
      </c>
      <c r="B766" s="2" t="s">
        <v>2550</v>
      </c>
      <c r="C766" s="2" t="s">
        <v>2515</v>
      </c>
      <c r="D766" s="2" t="s">
        <v>2516</v>
      </c>
      <c r="E766" s="2" t="s">
        <v>2561</v>
      </c>
      <c r="F766" s="3">
        <v>31244</v>
      </c>
      <c r="G766" s="3">
        <v>1928</v>
      </c>
      <c r="H766" s="3">
        <v>121</v>
      </c>
      <c r="I766" s="4">
        <v>1116.72</v>
      </c>
      <c r="J766" s="4">
        <v>4479.5200000000004</v>
      </c>
      <c r="K766" s="3">
        <v>70</v>
      </c>
      <c r="L766" s="2" t="s">
        <v>2518</v>
      </c>
      <c r="M766" s="2" t="s">
        <v>2546</v>
      </c>
      <c r="N766" t="str">
        <f>TRIM(PROPER(Tabla_auditoría[[#This Row],[ID_Campaña]]))</f>
        <v>Cmp-008</v>
      </c>
      <c r="O766" t="str">
        <f>TRIM(PROPER(Tabla_auditoría[[#This Row],[Canal]]))</f>
        <v>Email</v>
      </c>
      <c r="P766" t="str">
        <f>TRIM(PROPER(Tabla_auditoría[[#This Row],[País]]))</f>
        <v>México</v>
      </c>
      <c r="Q766" t="str">
        <f>TRIM(PROPER(Tabla_auditoría[[#This Row],[Dispositivo]]))</f>
        <v>Mobile</v>
      </c>
      <c r="R766" t="str">
        <f>TRIM(PROPER(Tabla_auditoría[[#This Row],[Tipo_Campaña]]))</f>
        <v>Adquisición</v>
      </c>
      <c r="S766" t="str">
        <f>TRIM(PROPER(Tabla_auditoría[[#This Row],[Responsable]]))</f>
        <v>Ana García</v>
      </c>
    </row>
    <row r="767" spans="1:19" x14ac:dyDescent="0.3">
      <c r="A767" s="1">
        <v>45949</v>
      </c>
      <c r="B767" s="2" t="s">
        <v>2574</v>
      </c>
      <c r="C767" s="2" t="s">
        <v>2541</v>
      </c>
      <c r="D767" s="2" t="s">
        <v>2528</v>
      </c>
      <c r="E767" s="2" t="s">
        <v>2517</v>
      </c>
      <c r="F767" s="3">
        <v>38829</v>
      </c>
      <c r="G767" s="3">
        <v>447</v>
      </c>
      <c r="H767" s="3">
        <v>61</v>
      </c>
      <c r="I767" s="4">
        <v>477.42</v>
      </c>
      <c r="J767" s="4">
        <v>8526.36</v>
      </c>
      <c r="K767" s="3">
        <v>53</v>
      </c>
      <c r="L767" s="2" t="s">
        <v>2518</v>
      </c>
      <c r="M767" s="2" t="s">
        <v>2524</v>
      </c>
      <c r="N767" t="str">
        <f>TRIM(PROPER(Tabla_auditoría[[#This Row],[ID_Campaña]]))</f>
        <v>Cmp-003</v>
      </c>
      <c r="O767" t="str">
        <f>TRIM(PROPER(Tabla_auditoría[[#This Row],[Canal]]))</f>
        <v>Display</v>
      </c>
      <c r="P767" t="str">
        <f>TRIM(PROPER(Tabla_auditoría[[#This Row],[País]]))</f>
        <v>España</v>
      </c>
      <c r="Q767" t="str">
        <f>TRIM(PROPER(Tabla_auditoría[[#This Row],[Dispositivo]]))</f>
        <v>Desktop</v>
      </c>
      <c r="R767" t="str">
        <f>TRIM(PROPER(Tabla_auditoría[[#This Row],[Tipo_Campaña]]))</f>
        <v>Adquisición</v>
      </c>
      <c r="S767" t="str">
        <f>TRIM(PROPER(Tabla_auditoría[[#This Row],[Responsable]]))</f>
        <v>Luis Martín</v>
      </c>
    </row>
    <row r="768" spans="1:19" x14ac:dyDescent="0.3">
      <c r="A768" s="1">
        <v>45806</v>
      </c>
      <c r="B768" s="2" t="s">
        <v>2547</v>
      </c>
      <c r="C768" s="2" t="s">
        <v>2533</v>
      </c>
      <c r="D768" s="2" t="s">
        <v>2516</v>
      </c>
      <c r="E768" s="2" t="s">
        <v>2517</v>
      </c>
      <c r="F768" s="3">
        <v>92328</v>
      </c>
      <c r="G768" s="3">
        <v>620</v>
      </c>
      <c r="H768" s="3">
        <v>55</v>
      </c>
      <c r="I768" s="4">
        <v>813.04</v>
      </c>
      <c r="J768" s="4">
        <v>11242.87</v>
      </c>
      <c r="K768" s="3">
        <v>26</v>
      </c>
      <c r="L768" s="2" t="s">
        <v>2539</v>
      </c>
      <c r="M768" s="2" t="s">
        <v>2524</v>
      </c>
      <c r="N768" t="str">
        <f>TRIM(PROPER(Tabla_auditoría[[#This Row],[ID_Campaña]]))</f>
        <v>Cmp-018</v>
      </c>
      <c r="O768" t="str">
        <f>TRIM(PROPER(Tabla_auditoría[[#This Row],[Canal]]))</f>
        <v>Paid Social</v>
      </c>
      <c r="P768" t="str">
        <f>TRIM(PROPER(Tabla_auditoría[[#This Row],[País]]))</f>
        <v>México</v>
      </c>
      <c r="Q768" t="str">
        <f>TRIM(PROPER(Tabla_auditoría[[#This Row],[Dispositivo]]))</f>
        <v>Desktop</v>
      </c>
      <c r="R768" t="str">
        <f>TRIM(PROPER(Tabla_auditoría[[#This Row],[Tipo_Campaña]]))</f>
        <v>Conversión</v>
      </c>
      <c r="S768" t="str">
        <f>TRIM(PROPER(Tabla_auditoría[[#This Row],[Responsable]]))</f>
        <v>Luis Martín</v>
      </c>
    </row>
    <row r="769" spans="1:19" x14ac:dyDescent="0.3">
      <c r="A769" s="1">
        <v>45908</v>
      </c>
      <c r="B769" s="2" t="s">
        <v>2552</v>
      </c>
      <c r="C769" s="2" t="s">
        <v>2541</v>
      </c>
      <c r="D769" s="2" t="s">
        <v>2531</v>
      </c>
      <c r="E769" s="2" t="s">
        <v>2529</v>
      </c>
      <c r="F769" s="3">
        <v>150675</v>
      </c>
      <c r="G769" s="3">
        <v>2762</v>
      </c>
      <c r="H769" s="3">
        <v>140</v>
      </c>
      <c r="I769" s="4">
        <v>4660.5600000000004</v>
      </c>
      <c r="J769" s="4">
        <v>21888.61</v>
      </c>
      <c r="K769" s="3">
        <v>89</v>
      </c>
      <c r="L769" s="2" t="s">
        <v>2523</v>
      </c>
      <c r="M769" s="2" t="s">
        <v>2519</v>
      </c>
      <c r="N769" t="str">
        <f>TRIM(PROPER(Tabla_auditoría[[#This Row],[ID_Campaña]]))</f>
        <v>Cmp-012</v>
      </c>
      <c r="O769" t="str">
        <f>TRIM(PROPER(Tabla_auditoría[[#This Row],[Canal]]))</f>
        <v>Display</v>
      </c>
      <c r="P769" t="str">
        <f>TRIM(PROPER(Tabla_auditoría[[#This Row],[País]]))</f>
        <v>Portugal</v>
      </c>
      <c r="Q769" t="str">
        <f>TRIM(PROPER(Tabla_auditoría[[#This Row],[Dispositivo]]))</f>
        <v>Mobile</v>
      </c>
      <c r="R769" t="str">
        <f>TRIM(PROPER(Tabla_auditoría[[#This Row],[Tipo_Campaña]]))</f>
        <v>Retención</v>
      </c>
      <c r="S769" t="str">
        <f>TRIM(PROPER(Tabla_auditoría[[#This Row],[Responsable]]))</f>
        <v>Carlos Ruiz</v>
      </c>
    </row>
    <row r="770" spans="1:19" x14ac:dyDescent="0.3">
      <c r="A770" s="1">
        <v>45830</v>
      </c>
      <c r="B770" s="2" t="s">
        <v>2530</v>
      </c>
      <c r="C770" s="2" t="s">
        <v>2543</v>
      </c>
      <c r="D770" s="2" t="s">
        <v>2525</v>
      </c>
      <c r="E770" s="2" t="s">
        <v>2517</v>
      </c>
      <c r="F770" s="3">
        <v>150489</v>
      </c>
      <c r="G770" s="3">
        <v>12127</v>
      </c>
      <c r="H770" s="3">
        <v>1038</v>
      </c>
      <c r="I770" s="4">
        <v>14823.38</v>
      </c>
      <c r="J770" s="4">
        <v>147547.07</v>
      </c>
      <c r="K770" s="3">
        <v>817</v>
      </c>
      <c r="L770" s="2" t="s">
        <v>2539</v>
      </c>
      <c r="M770" s="2" t="s">
        <v>2524</v>
      </c>
      <c r="N770" t="str">
        <f>TRIM(PROPER(Tabla_auditoría[[#This Row],[ID_Campaña]]))</f>
        <v>Cmp-026</v>
      </c>
      <c r="O770" t="str">
        <f>TRIM(PROPER(Tabla_auditoría[[#This Row],[Canal]]))</f>
        <v>Organic Social</v>
      </c>
      <c r="P770" t="str">
        <f>TRIM(PROPER(Tabla_auditoría[[#This Row],[País]]))</f>
        <v>Francia</v>
      </c>
      <c r="Q770" t="str">
        <f>TRIM(PROPER(Tabla_auditoría[[#This Row],[Dispositivo]]))</f>
        <v>Desktop</v>
      </c>
      <c r="R770" t="str">
        <f>TRIM(PROPER(Tabla_auditoría[[#This Row],[Tipo_Campaña]]))</f>
        <v>Conversión</v>
      </c>
      <c r="S770" t="str">
        <f>TRIM(PROPER(Tabla_auditoría[[#This Row],[Responsable]]))</f>
        <v>Luis Martín</v>
      </c>
    </row>
    <row r="771" spans="1:19" x14ac:dyDescent="0.3">
      <c r="A771" s="1">
        <v>45983</v>
      </c>
      <c r="B771" s="2" t="s">
        <v>2565</v>
      </c>
      <c r="C771" s="2" t="s">
        <v>2541</v>
      </c>
      <c r="D771" s="2" t="s">
        <v>2528</v>
      </c>
      <c r="E771" s="2" t="s">
        <v>2517</v>
      </c>
      <c r="F771" s="3">
        <v>8118</v>
      </c>
      <c r="G771" s="3">
        <v>86</v>
      </c>
      <c r="H771" s="3">
        <v>8</v>
      </c>
      <c r="I771" s="4">
        <v>47.61</v>
      </c>
      <c r="J771" s="4">
        <v>1384.94</v>
      </c>
      <c r="K771" s="3">
        <v>4</v>
      </c>
      <c r="L771" s="2" t="s">
        <v>2536</v>
      </c>
      <c r="M771" s="2" t="s">
        <v>2546</v>
      </c>
      <c r="N771" t="str">
        <f>TRIM(PROPER(Tabla_auditoría[[#This Row],[ID_Campaña]]))</f>
        <v>Cmp-005</v>
      </c>
      <c r="O771" t="str">
        <f>TRIM(PROPER(Tabla_auditoría[[#This Row],[Canal]]))</f>
        <v>Display</v>
      </c>
      <c r="P771" t="str">
        <f>TRIM(PROPER(Tabla_auditoría[[#This Row],[País]]))</f>
        <v>España</v>
      </c>
      <c r="Q771" t="str">
        <f>TRIM(PROPER(Tabla_auditoría[[#This Row],[Dispositivo]]))</f>
        <v>Desktop</v>
      </c>
      <c r="R771" t="str">
        <f>TRIM(PROPER(Tabla_auditoría[[#This Row],[Tipo_Campaña]]))</f>
        <v>Reconocimiento</v>
      </c>
      <c r="S771" t="str">
        <f>TRIM(PROPER(Tabla_auditoría[[#This Row],[Responsable]]))</f>
        <v>Ana García</v>
      </c>
    </row>
    <row r="772" spans="1:19" x14ac:dyDescent="0.3">
      <c r="A772" s="1">
        <v>45737</v>
      </c>
      <c r="B772" s="2" t="s">
        <v>2557</v>
      </c>
      <c r="C772" s="2" t="s">
        <v>2543</v>
      </c>
      <c r="D772" s="2" t="s">
        <v>2525</v>
      </c>
      <c r="E772" s="2" t="s">
        <v>2529</v>
      </c>
      <c r="F772" s="3">
        <v>37879</v>
      </c>
      <c r="G772" s="3">
        <v>406</v>
      </c>
      <c r="H772" s="3">
        <v>40</v>
      </c>
      <c r="I772" s="4">
        <v>123.6</v>
      </c>
      <c r="J772" s="4">
        <v>975.87</v>
      </c>
      <c r="K772" s="3">
        <v>25</v>
      </c>
      <c r="L772" s="2" t="s">
        <v>2539</v>
      </c>
      <c r="M772" s="2" t="s">
        <v>2519</v>
      </c>
      <c r="N772" t="str">
        <f>TRIM(PROPER(Tabla_auditoría[[#This Row],[ID_Campaña]]))</f>
        <v>Cmp-030</v>
      </c>
      <c r="O772" t="str">
        <f>TRIM(PROPER(Tabla_auditoría[[#This Row],[Canal]]))</f>
        <v>Organic Social</v>
      </c>
      <c r="P772" t="str">
        <f>TRIM(PROPER(Tabla_auditoría[[#This Row],[País]]))</f>
        <v>Francia</v>
      </c>
      <c r="Q772" t="str">
        <f>TRIM(PROPER(Tabla_auditoría[[#This Row],[Dispositivo]]))</f>
        <v>Mobile</v>
      </c>
      <c r="R772" t="str">
        <f>TRIM(PROPER(Tabla_auditoría[[#This Row],[Tipo_Campaña]]))</f>
        <v>Conversión</v>
      </c>
      <c r="S772" t="str">
        <f>TRIM(PROPER(Tabla_auditoría[[#This Row],[Responsable]]))</f>
        <v>Carlos Ruiz</v>
      </c>
    </row>
    <row r="773" spans="1:19" x14ac:dyDescent="0.3">
      <c r="A773" s="1">
        <v>45663</v>
      </c>
      <c r="B773" s="2" t="s">
        <v>2542</v>
      </c>
      <c r="C773" s="2" t="s">
        <v>2521</v>
      </c>
      <c r="D773" s="2" t="s">
        <v>2528</v>
      </c>
      <c r="E773" s="2" t="s">
        <v>2529</v>
      </c>
      <c r="F773" s="3">
        <v>24633</v>
      </c>
      <c r="G773" s="3">
        <v>854</v>
      </c>
      <c r="H773" s="3">
        <v>43</v>
      </c>
      <c r="I773" s="4">
        <v>445.47</v>
      </c>
      <c r="J773" s="4">
        <v>9288.15</v>
      </c>
      <c r="K773" s="3">
        <v>25</v>
      </c>
      <c r="L773" s="2" t="s">
        <v>2518</v>
      </c>
      <c r="M773" s="2" t="s">
        <v>2546</v>
      </c>
      <c r="N773" t="str">
        <f>TRIM(PROPER(Tabla_auditoría[[#This Row],[ID_Campaña]]))</f>
        <v>Cmp-025</v>
      </c>
      <c r="O773" t="str">
        <f>TRIM(PROPER(Tabla_auditoría[[#This Row],[Canal]]))</f>
        <v>Paid Search</v>
      </c>
      <c r="P773" t="str">
        <f>TRIM(PROPER(Tabla_auditoría[[#This Row],[País]]))</f>
        <v>España</v>
      </c>
      <c r="Q773" t="str">
        <f>TRIM(PROPER(Tabla_auditoría[[#This Row],[Dispositivo]]))</f>
        <v>Mobile</v>
      </c>
      <c r="R773" t="str">
        <f>TRIM(PROPER(Tabla_auditoría[[#This Row],[Tipo_Campaña]]))</f>
        <v>Adquisición</v>
      </c>
      <c r="S773" t="str">
        <f>TRIM(PROPER(Tabla_auditoría[[#This Row],[Responsable]]))</f>
        <v>Ana García</v>
      </c>
    </row>
    <row r="774" spans="1:19" x14ac:dyDescent="0.3">
      <c r="A774" s="1">
        <v>45732</v>
      </c>
      <c r="B774" s="2" t="s">
        <v>2542</v>
      </c>
      <c r="C774" s="2" t="s">
        <v>2521</v>
      </c>
      <c r="D774" s="2" t="s">
        <v>2516</v>
      </c>
      <c r="E774" s="2" t="s">
        <v>2529</v>
      </c>
      <c r="F774" s="3">
        <v>49234</v>
      </c>
      <c r="G774" s="3">
        <v>1641</v>
      </c>
      <c r="H774" s="3">
        <v>150</v>
      </c>
      <c r="I774" s="4">
        <v>1635.05</v>
      </c>
      <c r="J774" s="4">
        <v>7538.28</v>
      </c>
      <c r="K774" s="3">
        <v>81</v>
      </c>
      <c r="L774" s="2" t="s">
        <v>2539</v>
      </c>
      <c r="M774" s="2" t="s">
        <v>2546</v>
      </c>
      <c r="N774" t="str">
        <f>TRIM(PROPER(Tabla_auditoría[[#This Row],[ID_Campaña]]))</f>
        <v>Cmp-025</v>
      </c>
      <c r="O774" t="str">
        <f>TRIM(PROPER(Tabla_auditoría[[#This Row],[Canal]]))</f>
        <v>Paid Search</v>
      </c>
      <c r="P774" t="str">
        <f>TRIM(PROPER(Tabla_auditoría[[#This Row],[País]]))</f>
        <v>México</v>
      </c>
      <c r="Q774" t="str">
        <f>TRIM(PROPER(Tabla_auditoría[[#This Row],[Dispositivo]]))</f>
        <v>Mobile</v>
      </c>
      <c r="R774" t="str">
        <f>TRIM(PROPER(Tabla_auditoría[[#This Row],[Tipo_Campaña]]))</f>
        <v>Conversión</v>
      </c>
      <c r="S774" t="str">
        <f>TRIM(PROPER(Tabla_auditoría[[#This Row],[Responsable]]))</f>
        <v>Ana García</v>
      </c>
    </row>
    <row r="775" spans="1:19" x14ac:dyDescent="0.3">
      <c r="A775" s="1">
        <v>45920</v>
      </c>
      <c r="B775" s="2" t="s">
        <v>2540</v>
      </c>
      <c r="C775" s="2" t="s">
        <v>2541</v>
      </c>
      <c r="D775" s="2" t="s">
        <v>2528</v>
      </c>
      <c r="E775" s="2" t="s">
        <v>2529</v>
      </c>
      <c r="F775" s="3">
        <v>73196</v>
      </c>
      <c r="G775" s="3">
        <v>5815</v>
      </c>
      <c r="H775" s="3">
        <v>610</v>
      </c>
      <c r="I775" s="4">
        <v>10601.46</v>
      </c>
      <c r="J775" s="4">
        <v>11783.54</v>
      </c>
      <c r="K775" s="3">
        <v>372</v>
      </c>
      <c r="L775" s="2" t="s">
        <v>2539</v>
      </c>
      <c r="M775" s="2" t="s">
        <v>2546</v>
      </c>
      <c r="N775" t="str">
        <f>TRIM(PROPER(Tabla_auditoría[[#This Row],[ID_Campaña]]))</f>
        <v>Cmp-017</v>
      </c>
      <c r="O775" t="str">
        <f>TRIM(PROPER(Tabla_auditoría[[#This Row],[Canal]]))</f>
        <v>Display</v>
      </c>
      <c r="P775" t="str">
        <f>TRIM(PROPER(Tabla_auditoría[[#This Row],[País]]))</f>
        <v>España</v>
      </c>
      <c r="Q775" t="str">
        <f>TRIM(PROPER(Tabla_auditoría[[#This Row],[Dispositivo]]))</f>
        <v>Mobile</v>
      </c>
      <c r="R775" t="str">
        <f>TRIM(PROPER(Tabla_auditoría[[#This Row],[Tipo_Campaña]]))</f>
        <v>Conversión</v>
      </c>
      <c r="S775" t="str">
        <f>TRIM(PROPER(Tabla_auditoría[[#This Row],[Responsable]]))</f>
        <v>Ana García</v>
      </c>
    </row>
    <row r="776" spans="1:19" x14ac:dyDescent="0.3">
      <c r="A776" s="1">
        <v>45988</v>
      </c>
      <c r="B776" s="2" t="s">
        <v>2552</v>
      </c>
      <c r="C776" s="2" t="s">
        <v>2533</v>
      </c>
      <c r="D776" s="2" t="s">
        <v>2525</v>
      </c>
      <c r="E776" s="2" t="s">
        <v>2529</v>
      </c>
      <c r="F776" s="3">
        <v>101646</v>
      </c>
      <c r="G776" s="3">
        <v>5125</v>
      </c>
      <c r="H776" s="3">
        <v>653</v>
      </c>
      <c r="I776" s="4">
        <v>1100.9100000000001</v>
      </c>
      <c r="J776" s="4">
        <v>130268.63</v>
      </c>
      <c r="K776" s="3">
        <v>459</v>
      </c>
      <c r="L776" s="2" t="s">
        <v>2523</v>
      </c>
      <c r="M776" s="2" t="s">
        <v>2537</v>
      </c>
      <c r="N776" t="str">
        <f>TRIM(PROPER(Tabla_auditoría[[#This Row],[ID_Campaña]]))</f>
        <v>Cmp-012</v>
      </c>
      <c r="O776" t="str">
        <f>TRIM(PROPER(Tabla_auditoría[[#This Row],[Canal]]))</f>
        <v>Paid Social</v>
      </c>
      <c r="P776" t="str">
        <f>TRIM(PROPER(Tabla_auditoría[[#This Row],[País]]))</f>
        <v>Francia</v>
      </c>
      <c r="Q776" t="str">
        <f>TRIM(PROPER(Tabla_auditoría[[#This Row],[Dispositivo]]))</f>
        <v>Mobile</v>
      </c>
      <c r="R776" t="str">
        <f>TRIM(PROPER(Tabla_auditoría[[#This Row],[Tipo_Campaña]]))</f>
        <v>Retención</v>
      </c>
      <c r="S776" t="str">
        <f>TRIM(PROPER(Tabla_auditoría[[#This Row],[Responsable]]))</f>
        <v>Marta López</v>
      </c>
    </row>
    <row r="777" spans="1:19" x14ac:dyDescent="0.3">
      <c r="A777" s="1">
        <v>45859</v>
      </c>
      <c r="B777" s="2" t="s">
        <v>2542</v>
      </c>
      <c r="C777" s="2" t="s">
        <v>2521</v>
      </c>
      <c r="D777" s="2" t="s">
        <v>2516</v>
      </c>
      <c r="E777" s="2" t="s">
        <v>2529</v>
      </c>
      <c r="F777" s="3">
        <v>128452</v>
      </c>
      <c r="G777" s="3">
        <v>11301</v>
      </c>
      <c r="H777" s="3">
        <v>1108</v>
      </c>
      <c r="I777" s="4">
        <v>16753.939999999999</v>
      </c>
      <c r="J777" s="4">
        <v>173037.04</v>
      </c>
      <c r="K777" s="3">
        <v>674</v>
      </c>
      <c r="L777" s="2" t="s">
        <v>2518</v>
      </c>
      <c r="M777" s="2" t="s">
        <v>2524</v>
      </c>
      <c r="N777" t="str">
        <f>TRIM(PROPER(Tabla_auditoría[[#This Row],[ID_Campaña]]))</f>
        <v>Cmp-025</v>
      </c>
      <c r="O777" t="str">
        <f>TRIM(PROPER(Tabla_auditoría[[#This Row],[Canal]]))</f>
        <v>Paid Search</v>
      </c>
      <c r="P777" t="str">
        <f>TRIM(PROPER(Tabla_auditoría[[#This Row],[País]]))</f>
        <v>México</v>
      </c>
      <c r="Q777" t="str">
        <f>TRIM(PROPER(Tabla_auditoría[[#This Row],[Dispositivo]]))</f>
        <v>Mobile</v>
      </c>
      <c r="R777" t="str">
        <f>TRIM(PROPER(Tabla_auditoría[[#This Row],[Tipo_Campaña]]))</f>
        <v>Adquisición</v>
      </c>
      <c r="S777" t="str">
        <f>TRIM(PROPER(Tabla_auditoría[[#This Row],[Responsable]]))</f>
        <v>Luis Martín</v>
      </c>
    </row>
    <row r="778" spans="1:19" x14ac:dyDescent="0.3">
      <c r="A778" s="1">
        <v>45916</v>
      </c>
      <c r="B778" s="2" t="s">
        <v>2565</v>
      </c>
      <c r="C778" s="2" t="s">
        <v>2515</v>
      </c>
      <c r="D778" s="2" t="s">
        <v>2528</v>
      </c>
      <c r="E778" s="2" t="s">
        <v>2517</v>
      </c>
      <c r="F778" s="3">
        <v>85155</v>
      </c>
      <c r="G778" s="3">
        <v>6228</v>
      </c>
      <c r="H778" s="3">
        <v>491</v>
      </c>
      <c r="I778" s="4">
        <v>6653.61</v>
      </c>
      <c r="J778" s="4">
        <v>31486.41</v>
      </c>
      <c r="K778" s="3">
        <v>249</v>
      </c>
      <c r="L778" s="2" t="s">
        <v>2539</v>
      </c>
      <c r="M778" s="2" t="s">
        <v>2537</v>
      </c>
      <c r="N778" t="str">
        <f>TRIM(PROPER(Tabla_auditoría[[#This Row],[ID_Campaña]]))</f>
        <v>Cmp-005</v>
      </c>
      <c r="O778" t="str">
        <f>TRIM(PROPER(Tabla_auditoría[[#This Row],[Canal]]))</f>
        <v>Email</v>
      </c>
      <c r="P778" t="str">
        <f>TRIM(PROPER(Tabla_auditoría[[#This Row],[País]]))</f>
        <v>España</v>
      </c>
      <c r="Q778" t="str">
        <f>TRIM(PROPER(Tabla_auditoría[[#This Row],[Dispositivo]]))</f>
        <v>Desktop</v>
      </c>
      <c r="R778" t="str">
        <f>TRIM(PROPER(Tabla_auditoría[[#This Row],[Tipo_Campaña]]))</f>
        <v>Conversión</v>
      </c>
      <c r="S778" t="str">
        <f>TRIM(PROPER(Tabla_auditoría[[#This Row],[Responsable]]))</f>
        <v>Marta López</v>
      </c>
    </row>
    <row r="779" spans="1:19" x14ac:dyDescent="0.3">
      <c r="A779" s="1">
        <v>45832</v>
      </c>
      <c r="B779" s="2" t="s">
        <v>2557</v>
      </c>
      <c r="C779" s="2" t="s">
        <v>2527</v>
      </c>
      <c r="D779" s="2" t="s">
        <v>2528</v>
      </c>
      <c r="E779" s="2" t="s">
        <v>2529</v>
      </c>
      <c r="F779" s="3">
        <v>139134</v>
      </c>
      <c r="G779" s="3">
        <v>985</v>
      </c>
      <c r="H779" s="3">
        <v>9</v>
      </c>
      <c r="I779" s="4">
        <v>183.45</v>
      </c>
      <c r="J779" s="4">
        <v>641.09</v>
      </c>
      <c r="K779" s="3">
        <v>4</v>
      </c>
      <c r="L779" s="2" t="s">
        <v>2539</v>
      </c>
      <c r="M779" s="2" t="s">
        <v>2537</v>
      </c>
      <c r="N779" t="str">
        <f>TRIM(PROPER(Tabla_auditoría[[#This Row],[ID_Campaña]]))</f>
        <v>Cmp-030</v>
      </c>
      <c r="O779" t="str">
        <f>TRIM(PROPER(Tabla_auditoría[[#This Row],[Canal]]))</f>
        <v>Affiliate</v>
      </c>
      <c r="P779" t="str">
        <f>TRIM(PROPER(Tabla_auditoría[[#This Row],[País]]))</f>
        <v>España</v>
      </c>
      <c r="Q779" t="str">
        <f>TRIM(PROPER(Tabla_auditoría[[#This Row],[Dispositivo]]))</f>
        <v>Mobile</v>
      </c>
      <c r="R779" t="str">
        <f>TRIM(PROPER(Tabla_auditoría[[#This Row],[Tipo_Campaña]]))</f>
        <v>Conversión</v>
      </c>
      <c r="S779" t="str">
        <f>TRIM(PROPER(Tabla_auditoría[[#This Row],[Responsable]]))</f>
        <v>Marta López</v>
      </c>
    </row>
    <row r="780" spans="1:19" x14ac:dyDescent="0.3">
      <c r="A780" s="1">
        <v>45691</v>
      </c>
      <c r="B780" s="2" t="s">
        <v>2520</v>
      </c>
      <c r="C780" s="2" t="s">
        <v>2541</v>
      </c>
      <c r="D780" s="2" t="s">
        <v>2528</v>
      </c>
      <c r="E780" s="2" t="s">
        <v>2517</v>
      </c>
      <c r="F780" s="3">
        <v>74707</v>
      </c>
      <c r="G780" s="3">
        <v>4255</v>
      </c>
      <c r="H780" s="3">
        <v>363</v>
      </c>
      <c r="I780" s="4">
        <v>7191.6</v>
      </c>
      <c r="J780" s="4">
        <v>66107.460000000006</v>
      </c>
      <c r="K780" s="3">
        <v>208</v>
      </c>
      <c r="L780" s="2" t="s">
        <v>2536</v>
      </c>
      <c r="M780" s="2" t="s">
        <v>2519</v>
      </c>
      <c r="N780" t="str">
        <f>TRIM(PROPER(Tabla_auditoría[[#This Row],[ID_Campaña]]))</f>
        <v>Cmp-009</v>
      </c>
      <c r="O780" t="str">
        <f>TRIM(PROPER(Tabla_auditoría[[#This Row],[Canal]]))</f>
        <v>Display</v>
      </c>
      <c r="P780" t="str">
        <f>TRIM(PROPER(Tabla_auditoría[[#This Row],[País]]))</f>
        <v>España</v>
      </c>
      <c r="Q780" t="str">
        <f>TRIM(PROPER(Tabla_auditoría[[#This Row],[Dispositivo]]))</f>
        <v>Desktop</v>
      </c>
      <c r="R780" t="str">
        <f>TRIM(PROPER(Tabla_auditoría[[#This Row],[Tipo_Campaña]]))</f>
        <v>Reconocimiento</v>
      </c>
      <c r="S780" t="str">
        <f>TRIM(PROPER(Tabla_auditoría[[#This Row],[Responsable]]))</f>
        <v>Carlos Ruiz</v>
      </c>
    </row>
    <row r="781" spans="1:19" x14ac:dyDescent="0.3">
      <c r="A781" s="1">
        <v>45731</v>
      </c>
      <c r="B781" s="2" t="s">
        <v>2535</v>
      </c>
      <c r="C781" s="2" t="s">
        <v>2541</v>
      </c>
      <c r="D781" s="2" t="s">
        <v>2528</v>
      </c>
      <c r="E781" s="2" t="s">
        <v>2529</v>
      </c>
      <c r="F781" s="3">
        <v>166112</v>
      </c>
      <c r="G781" s="3">
        <v>3732</v>
      </c>
      <c r="H781" s="3">
        <v>143</v>
      </c>
      <c r="I781" s="4">
        <v>490.92</v>
      </c>
      <c r="J781" s="4">
        <v>25789.09</v>
      </c>
      <c r="K781" s="3">
        <v>126</v>
      </c>
      <c r="L781" s="2" t="s">
        <v>2539</v>
      </c>
      <c r="M781" s="2" t="s">
        <v>2519</v>
      </c>
      <c r="N781" t="str">
        <f>TRIM(PROPER(Tabla_auditoría[[#This Row],[ID_Campaña]]))</f>
        <v>Cmp-015</v>
      </c>
      <c r="O781" t="str">
        <f>TRIM(PROPER(Tabla_auditoría[[#This Row],[Canal]]))</f>
        <v>Display</v>
      </c>
      <c r="P781" t="str">
        <f>TRIM(PROPER(Tabla_auditoría[[#This Row],[País]]))</f>
        <v>España</v>
      </c>
      <c r="Q781" t="str">
        <f>TRIM(PROPER(Tabla_auditoría[[#This Row],[Dispositivo]]))</f>
        <v>Mobile</v>
      </c>
      <c r="R781" t="str">
        <f>TRIM(PROPER(Tabla_auditoría[[#This Row],[Tipo_Campaña]]))</f>
        <v>Conversión</v>
      </c>
      <c r="S781" t="str">
        <f>TRIM(PROPER(Tabla_auditoría[[#This Row],[Responsable]]))</f>
        <v>Carlos Ruiz</v>
      </c>
    </row>
    <row r="782" spans="1:19" x14ac:dyDescent="0.3">
      <c r="A782" s="1">
        <v>45827</v>
      </c>
      <c r="B782" s="2" t="s">
        <v>2552</v>
      </c>
      <c r="C782" s="2" t="s">
        <v>2543</v>
      </c>
      <c r="D782" s="2" t="s">
        <v>2516</v>
      </c>
      <c r="E782" s="2" t="s">
        <v>2517</v>
      </c>
      <c r="F782" s="3">
        <v>61091</v>
      </c>
      <c r="G782" s="3">
        <v>1135</v>
      </c>
      <c r="H782" s="3">
        <v>154</v>
      </c>
      <c r="I782" s="4">
        <v>1348.65</v>
      </c>
      <c r="J782" s="4">
        <v>18227.86</v>
      </c>
      <c r="K782" s="3">
        <v>123</v>
      </c>
      <c r="L782" s="2" t="s">
        <v>2536</v>
      </c>
      <c r="M782" s="2" t="s">
        <v>2524</v>
      </c>
      <c r="N782" t="str">
        <f>TRIM(PROPER(Tabla_auditoría[[#This Row],[ID_Campaña]]))</f>
        <v>Cmp-012</v>
      </c>
      <c r="O782" t="str">
        <f>TRIM(PROPER(Tabla_auditoría[[#This Row],[Canal]]))</f>
        <v>Organic Social</v>
      </c>
      <c r="P782" t="str">
        <f>TRIM(PROPER(Tabla_auditoría[[#This Row],[País]]))</f>
        <v>México</v>
      </c>
      <c r="Q782" t="str">
        <f>TRIM(PROPER(Tabla_auditoría[[#This Row],[Dispositivo]]))</f>
        <v>Desktop</v>
      </c>
      <c r="R782" t="str">
        <f>TRIM(PROPER(Tabla_auditoría[[#This Row],[Tipo_Campaña]]))</f>
        <v>Reconocimiento</v>
      </c>
      <c r="S782" t="str">
        <f>TRIM(PROPER(Tabla_auditoría[[#This Row],[Responsable]]))</f>
        <v>Luis Martín</v>
      </c>
    </row>
    <row r="783" spans="1:19" x14ac:dyDescent="0.3">
      <c r="A783" s="1">
        <v>45725</v>
      </c>
      <c r="B783" s="2" t="s">
        <v>2538</v>
      </c>
      <c r="C783" s="2" t="s">
        <v>2533</v>
      </c>
      <c r="D783" s="2" t="s">
        <v>2528</v>
      </c>
      <c r="E783" s="2" t="s">
        <v>2517</v>
      </c>
      <c r="F783" s="3">
        <v>90473</v>
      </c>
      <c r="G783" s="3">
        <v>7819</v>
      </c>
      <c r="H783" s="3">
        <v>864</v>
      </c>
      <c r="I783" s="4">
        <v>5021.29</v>
      </c>
      <c r="J783" s="4">
        <v>68341.570000000007</v>
      </c>
      <c r="K783" s="3">
        <v>390</v>
      </c>
      <c r="L783" s="2" t="s">
        <v>2523</v>
      </c>
      <c r="M783" s="2" t="s">
        <v>2524</v>
      </c>
      <c r="N783" t="str">
        <f>TRIM(PROPER(Tabla_auditoría[[#This Row],[ID_Campaña]]))</f>
        <v>Cmp-004</v>
      </c>
      <c r="O783" t="str">
        <f>TRIM(PROPER(Tabla_auditoría[[#This Row],[Canal]]))</f>
        <v>Paid Social</v>
      </c>
      <c r="P783" t="str">
        <f>TRIM(PROPER(Tabla_auditoría[[#This Row],[País]]))</f>
        <v>España</v>
      </c>
      <c r="Q783" t="str">
        <f>TRIM(PROPER(Tabla_auditoría[[#This Row],[Dispositivo]]))</f>
        <v>Desktop</v>
      </c>
      <c r="R783" t="str">
        <f>TRIM(PROPER(Tabla_auditoría[[#This Row],[Tipo_Campaña]]))</f>
        <v>Retención</v>
      </c>
      <c r="S783" t="str">
        <f>TRIM(PROPER(Tabla_auditoría[[#This Row],[Responsable]]))</f>
        <v>Luis Martín</v>
      </c>
    </row>
    <row r="784" spans="1:19" x14ac:dyDescent="0.3">
      <c r="A784" s="1">
        <v>46004</v>
      </c>
      <c r="B784" s="2" t="s">
        <v>2550</v>
      </c>
      <c r="C784" s="2" t="s">
        <v>2541</v>
      </c>
      <c r="D784" s="2" t="s">
        <v>2516</v>
      </c>
      <c r="E784" s="2" t="s">
        <v>2529</v>
      </c>
      <c r="F784" s="3">
        <v>23565</v>
      </c>
      <c r="G784" s="3">
        <v>1207</v>
      </c>
      <c r="H784" s="3">
        <v>136</v>
      </c>
      <c r="I784" s="4">
        <v>1109.26</v>
      </c>
      <c r="J784" s="4">
        <v>26944.22</v>
      </c>
      <c r="K784" s="3">
        <v>104</v>
      </c>
      <c r="L784" s="2" t="s">
        <v>2523</v>
      </c>
      <c r="M784" s="2" t="s">
        <v>2546</v>
      </c>
      <c r="N784" t="str">
        <f>TRIM(PROPER(Tabla_auditoría[[#This Row],[ID_Campaña]]))</f>
        <v>Cmp-008</v>
      </c>
      <c r="O784" t="str">
        <f>TRIM(PROPER(Tabla_auditoría[[#This Row],[Canal]]))</f>
        <v>Display</v>
      </c>
      <c r="P784" t="str">
        <f>TRIM(PROPER(Tabla_auditoría[[#This Row],[País]]))</f>
        <v>México</v>
      </c>
      <c r="Q784" t="str">
        <f>TRIM(PROPER(Tabla_auditoría[[#This Row],[Dispositivo]]))</f>
        <v>Mobile</v>
      </c>
      <c r="R784" t="str">
        <f>TRIM(PROPER(Tabla_auditoría[[#This Row],[Tipo_Campaña]]))</f>
        <v>Retención</v>
      </c>
      <c r="S784" t="str">
        <f>TRIM(PROPER(Tabla_auditoría[[#This Row],[Responsable]]))</f>
        <v>Ana García</v>
      </c>
    </row>
    <row r="785" spans="1:19" x14ac:dyDescent="0.3">
      <c r="A785" s="1">
        <v>45745</v>
      </c>
      <c r="B785" s="2" t="s">
        <v>2566</v>
      </c>
      <c r="C785" s="2" t="s">
        <v>2521</v>
      </c>
      <c r="D785" s="2" t="s">
        <v>2528</v>
      </c>
      <c r="E785" s="2" t="s">
        <v>2517</v>
      </c>
      <c r="F785" s="3">
        <v>111367</v>
      </c>
      <c r="G785" s="3">
        <v>8081</v>
      </c>
      <c r="H785" s="3">
        <v>1093</v>
      </c>
      <c r="I785" s="4">
        <v>6697.16</v>
      </c>
      <c r="J785" s="4">
        <v>232412.6</v>
      </c>
      <c r="K785" s="3">
        <v>814</v>
      </c>
      <c r="L785" s="2" t="s">
        <v>2539</v>
      </c>
      <c r="M785" s="2" t="s">
        <v>2524</v>
      </c>
      <c r="N785" t="str">
        <f>TRIM(PROPER(Tabla_auditoría[[#This Row],[ID_Campaña]]))</f>
        <v>Cmp-001</v>
      </c>
      <c r="O785" t="str">
        <f>TRIM(PROPER(Tabla_auditoría[[#This Row],[Canal]]))</f>
        <v>Paid Search</v>
      </c>
      <c r="P785" t="str">
        <f>TRIM(PROPER(Tabla_auditoría[[#This Row],[País]]))</f>
        <v>España</v>
      </c>
      <c r="Q785" t="str">
        <f>TRIM(PROPER(Tabla_auditoría[[#This Row],[Dispositivo]]))</f>
        <v>Desktop</v>
      </c>
      <c r="R785" t="str">
        <f>TRIM(PROPER(Tabla_auditoría[[#This Row],[Tipo_Campaña]]))</f>
        <v>Conversión</v>
      </c>
      <c r="S785" t="str">
        <f>TRIM(PROPER(Tabla_auditoría[[#This Row],[Responsable]]))</f>
        <v>Luis Martín</v>
      </c>
    </row>
    <row r="786" spans="1:19" x14ac:dyDescent="0.3">
      <c r="A786" s="1">
        <v>45675</v>
      </c>
      <c r="B786" s="2" t="s">
        <v>2544</v>
      </c>
      <c r="C786" s="2" t="s">
        <v>2515</v>
      </c>
      <c r="D786" s="2" t="s">
        <v>2522</v>
      </c>
      <c r="E786" s="2" t="s">
        <v>2517</v>
      </c>
      <c r="F786" s="3">
        <v>24110</v>
      </c>
      <c r="G786" s="3">
        <v>698</v>
      </c>
      <c r="H786" s="3">
        <v>66</v>
      </c>
      <c r="I786" s="4">
        <v>364.85</v>
      </c>
      <c r="J786" s="4">
        <v>11852.83</v>
      </c>
      <c r="K786" s="3">
        <v>58</v>
      </c>
      <c r="L786" s="2" t="s">
        <v>2539</v>
      </c>
      <c r="M786" s="2" t="s">
        <v>2519</v>
      </c>
      <c r="N786" t="str">
        <f>TRIM(PROPER(Tabla_auditoría[[#This Row],[ID_Campaña]]))</f>
        <v>Cmp-006</v>
      </c>
      <c r="O786" t="str">
        <f>TRIM(PROPER(Tabla_auditoría[[#This Row],[Canal]]))</f>
        <v>Email</v>
      </c>
      <c r="P786" t="str">
        <f>TRIM(PROPER(Tabla_auditoría[[#This Row],[País]]))</f>
        <v>Italia</v>
      </c>
      <c r="Q786" t="str">
        <f>TRIM(PROPER(Tabla_auditoría[[#This Row],[Dispositivo]]))</f>
        <v>Desktop</v>
      </c>
      <c r="R786" t="str">
        <f>TRIM(PROPER(Tabla_auditoría[[#This Row],[Tipo_Campaña]]))</f>
        <v>Conversión</v>
      </c>
      <c r="S786" t="str">
        <f>TRIM(PROPER(Tabla_auditoría[[#This Row],[Responsable]]))</f>
        <v>Carlos Ruiz</v>
      </c>
    </row>
    <row r="787" spans="1:19" x14ac:dyDescent="0.3">
      <c r="A787" s="1">
        <v>45786</v>
      </c>
      <c r="B787" s="2" t="s">
        <v>2592</v>
      </c>
      <c r="C787" s="2" t="s">
        <v>2543</v>
      </c>
      <c r="D787" s="2" t="s">
        <v>2516</v>
      </c>
      <c r="E787" s="2" t="s">
        <v>2529</v>
      </c>
      <c r="F787" s="3">
        <v>44502</v>
      </c>
      <c r="G787" s="3">
        <v>3149</v>
      </c>
      <c r="H787" s="3">
        <v>411</v>
      </c>
      <c r="I787" s="4">
        <v>4510.66</v>
      </c>
      <c r="J787" s="4">
        <v>40680.639999999999</v>
      </c>
      <c r="K787" s="3">
        <v>349</v>
      </c>
      <c r="L787" s="2" t="s">
        <v>2518</v>
      </c>
      <c r="M787" s="2" t="s">
        <v>2519</v>
      </c>
      <c r="N787" t="str">
        <f>TRIM(PROPER(Tabla_auditoría[[#This Row],[ID_Campaña]]))</f>
        <v>Cmp-018</v>
      </c>
      <c r="O787" t="str">
        <f>TRIM(PROPER(Tabla_auditoría[[#This Row],[Canal]]))</f>
        <v>Organic Social</v>
      </c>
      <c r="P787" t="str">
        <f>TRIM(PROPER(Tabla_auditoría[[#This Row],[País]]))</f>
        <v>México</v>
      </c>
      <c r="Q787" t="str">
        <f>TRIM(PROPER(Tabla_auditoría[[#This Row],[Dispositivo]]))</f>
        <v>Mobile</v>
      </c>
      <c r="R787" t="str">
        <f>TRIM(PROPER(Tabla_auditoría[[#This Row],[Tipo_Campaña]]))</f>
        <v>Adquisición</v>
      </c>
      <c r="S787" t="str">
        <f>TRIM(PROPER(Tabla_auditoría[[#This Row],[Responsable]]))</f>
        <v>Carlos Ruiz</v>
      </c>
    </row>
    <row r="788" spans="1:19" x14ac:dyDescent="0.3">
      <c r="A788" s="1">
        <v>45700</v>
      </c>
      <c r="B788" s="2" t="s">
        <v>2530</v>
      </c>
      <c r="C788" s="2" t="s">
        <v>2541</v>
      </c>
      <c r="D788" s="2" t="s">
        <v>2525</v>
      </c>
      <c r="E788" s="2" t="s">
        <v>2529</v>
      </c>
      <c r="F788" s="3">
        <v>140942</v>
      </c>
      <c r="G788" s="3">
        <v>11107</v>
      </c>
      <c r="H788" s="3">
        <v>185</v>
      </c>
      <c r="I788" s="4">
        <v>16890.669999999998</v>
      </c>
      <c r="J788" s="4">
        <v>12826</v>
      </c>
      <c r="K788" s="3">
        <v>115</v>
      </c>
      <c r="L788" s="2" t="s">
        <v>2518</v>
      </c>
      <c r="M788" s="2" t="s">
        <v>2526</v>
      </c>
      <c r="N788" t="str">
        <f>TRIM(PROPER(Tabla_auditoría[[#This Row],[ID_Campaña]]))</f>
        <v>Cmp-026</v>
      </c>
      <c r="O788" t="str">
        <f>TRIM(PROPER(Tabla_auditoría[[#This Row],[Canal]]))</f>
        <v>Display</v>
      </c>
      <c r="P788" t="str">
        <f>TRIM(PROPER(Tabla_auditoría[[#This Row],[País]]))</f>
        <v>Francia</v>
      </c>
      <c r="Q788" t="str">
        <f>TRIM(PROPER(Tabla_auditoría[[#This Row],[Dispositivo]]))</f>
        <v>Mobile</v>
      </c>
      <c r="R788" t="str">
        <f>TRIM(PROPER(Tabla_auditoría[[#This Row],[Tipo_Campaña]]))</f>
        <v>Adquisición</v>
      </c>
      <c r="S788" t="str">
        <f>TRIM(PROPER(Tabla_auditoría[[#This Row],[Responsable]]))</f>
        <v>Laura Pérez</v>
      </c>
    </row>
    <row r="789" spans="1:19" x14ac:dyDescent="0.3">
      <c r="A789" s="1">
        <v>45818</v>
      </c>
      <c r="B789" s="2" t="s">
        <v>2514</v>
      </c>
      <c r="C789" s="2" t="s">
        <v>2521</v>
      </c>
      <c r="D789" s="2" t="s">
        <v>2528</v>
      </c>
      <c r="E789" s="2" t="s">
        <v>2529</v>
      </c>
      <c r="F789" s="3">
        <v>44849</v>
      </c>
      <c r="G789" s="3">
        <v>2804</v>
      </c>
      <c r="H789" s="3">
        <v>187</v>
      </c>
      <c r="I789" s="4">
        <v>3166.17</v>
      </c>
      <c r="J789" s="4">
        <v>20693.62</v>
      </c>
      <c r="K789" s="3">
        <v>121</v>
      </c>
      <c r="L789" s="2" t="s">
        <v>2518</v>
      </c>
      <c r="M789" s="2" t="s">
        <v>2526</v>
      </c>
      <c r="N789" t="str">
        <f>TRIM(PROPER(Tabla_auditoría[[#This Row],[ID_Campaña]]))</f>
        <v>Cmp-002</v>
      </c>
      <c r="O789" t="str">
        <f>TRIM(PROPER(Tabla_auditoría[[#This Row],[Canal]]))</f>
        <v>Paid Search</v>
      </c>
      <c r="P789" t="str">
        <f>TRIM(PROPER(Tabla_auditoría[[#This Row],[País]]))</f>
        <v>España</v>
      </c>
      <c r="Q789" t="str">
        <f>TRIM(PROPER(Tabla_auditoría[[#This Row],[Dispositivo]]))</f>
        <v>Mobile</v>
      </c>
      <c r="R789" t="str">
        <f>TRIM(PROPER(Tabla_auditoría[[#This Row],[Tipo_Campaña]]))</f>
        <v>Adquisición</v>
      </c>
      <c r="S789" t="str">
        <f>TRIM(PROPER(Tabla_auditoría[[#This Row],[Responsable]]))</f>
        <v>Laura Pérez</v>
      </c>
    </row>
    <row r="790" spans="1:19" x14ac:dyDescent="0.3">
      <c r="A790" s="1">
        <v>45757</v>
      </c>
      <c r="B790" s="2" t="s">
        <v>2544</v>
      </c>
      <c r="C790" s="2" t="s">
        <v>2541</v>
      </c>
      <c r="D790" s="2" t="s">
        <v>2528</v>
      </c>
      <c r="E790" s="2" t="s">
        <v>2529</v>
      </c>
      <c r="F790" s="3">
        <v>13075</v>
      </c>
      <c r="G790" s="3">
        <v>230</v>
      </c>
      <c r="H790" s="3">
        <v>8</v>
      </c>
      <c r="I790" s="4">
        <v>214.45</v>
      </c>
      <c r="J790" s="4">
        <v>1124.6099999999999</v>
      </c>
      <c r="K790" s="3">
        <v>6</v>
      </c>
      <c r="L790" s="2" t="s">
        <v>2536</v>
      </c>
      <c r="M790" s="2" t="s">
        <v>2526</v>
      </c>
      <c r="N790" t="str">
        <f>TRIM(PROPER(Tabla_auditoría[[#This Row],[ID_Campaña]]))</f>
        <v>Cmp-006</v>
      </c>
      <c r="O790" t="str">
        <f>TRIM(PROPER(Tabla_auditoría[[#This Row],[Canal]]))</f>
        <v>Display</v>
      </c>
      <c r="P790" t="str">
        <f>TRIM(PROPER(Tabla_auditoría[[#This Row],[País]]))</f>
        <v>España</v>
      </c>
      <c r="Q790" t="str">
        <f>TRIM(PROPER(Tabla_auditoría[[#This Row],[Dispositivo]]))</f>
        <v>Mobile</v>
      </c>
      <c r="R790" t="str">
        <f>TRIM(PROPER(Tabla_auditoría[[#This Row],[Tipo_Campaña]]))</f>
        <v>Reconocimiento</v>
      </c>
      <c r="S790" t="str">
        <f>TRIM(PROPER(Tabla_auditoría[[#This Row],[Responsable]]))</f>
        <v>Laura Pérez</v>
      </c>
    </row>
    <row r="791" spans="1:19" x14ac:dyDescent="0.3">
      <c r="A791" s="1">
        <v>45849</v>
      </c>
      <c r="B791" s="2" t="s">
        <v>2552</v>
      </c>
      <c r="C791" s="2" t="s">
        <v>2527</v>
      </c>
      <c r="E791" s="2" t="s">
        <v>2517</v>
      </c>
      <c r="F791" s="3">
        <v>22870</v>
      </c>
      <c r="G791" s="3">
        <v>214</v>
      </c>
      <c r="H791" s="3">
        <v>7</v>
      </c>
      <c r="I791" s="4">
        <v>349.93</v>
      </c>
      <c r="J791" s="4">
        <v>1066.1099999999999</v>
      </c>
      <c r="K791" s="3">
        <v>3</v>
      </c>
      <c r="L791" s="2" t="s">
        <v>2536</v>
      </c>
      <c r="M791" s="2" t="s">
        <v>2537</v>
      </c>
      <c r="N791" t="str">
        <f>TRIM(PROPER(Tabla_auditoría[[#This Row],[ID_Campaña]]))</f>
        <v>Cmp-012</v>
      </c>
      <c r="O791" t="str">
        <f>TRIM(PROPER(Tabla_auditoría[[#This Row],[Canal]]))</f>
        <v>Affiliate</v>
      </c>
      <c r="P791" t="str">
        <f>TRIM(PROPER(Tabla_auditoría[[#This Row],[País]]))</f>
        <v/>
      </c>
      <c r="Q791" t="str">
        <f>TRIM(PROPER(Tabla_auditoría[[#This Row],[Dispositivo]]))</f>
        <v>Desktop</v>
      </c>
      <c r="R791" t="str">
        <f>TRIM(PROPER(Tabla_auditoría[[#This Row],[Tipo_Campaña]]))</f>
        <v>Reconocimiento</v>
      </c>
      <c r="S791" t="str">
        <f>TRIM(PROPER(Tabla_auditoría[[#This Row],[Responsable]]))</f>
        <v>Marta López</v>
      </c>
    </row>
    <row r="792" spans="1:19" x14ac:dyDescent="0.3">
      <c r="A792" s="1">
        <v>45982</v>
      </c>
      <c r="B792" s="2" t="s">
        <v>2574</v>
      </c>
      <c r="C792" s="2" t="s">
        <v>2515</v>
      </c>
      <c r="D792" s="2" t="s">
        <v>2528</v>
      </c>
      <c r="E792" s="2" t="s">
        <v>2529</v>
      </c>
      <c r="F792" s="3">
        <v>146245</v>
      </c>
      <c r="G792" s="3">
        <v>12457</v>
      </c>
      <c r="H792" s="3">
        <v>754</v>
      </c>
      <c r="I792" s="4">
        <v>12507.71</v>
      </c>
      <c r="J792" s="4">
        <v>28733.69</v>
      </c>
      <c r="K792" s="3">
        <v>530</v>
      </c>
      <c r="L792" s="2" t="s">
        <v>2523</v>
      </c>
      <c r="M792" s="2" t="s">
        <v>2519</v>
      </c>
      <c r="N792" t="str">
        <f>TRIM(PROPER(Tabla_auditoría[[#This Row],[ID_Campaña]]))</f>
        <v>Cmp-003</v>
      </c>
      <c r="O792" t="str">
        <f>TRIM(PROPER(Tabla_auditoría[[#This Row],[Canal]]))</f>
        <v>Email</v>
      </c>
      <c r="P792" t="str">
        <f>TRIM(PROPER(Tabla_auditoría[[#This Row],[País]]))</f>
        <v>España</v>
      </c>
      <c r="Q792" t="str">
        <f>TRIM(PROPER(Tabla_auditoría[[#This Row],[Dispositivo]]))</f>
        <v>Mobile</v>
      </c>
      <c r="R792" t="str">
        <f>TRIM(PROPER(Tabla_auditoría[[#This Row],[Tipo_Campaña]]))</f>
        <v>Retención</v>
      </c>
      <c r="S792" t="str">
        <f>TRIM(PROPER(Tabla_auditoría[[#This Row],[Responsable]]))</f>
        <v>Carlos Ruiz</v>
      </c>
    </row>
    <row r="793" spans="1:19" x14ac:dyDescent="0.3">
      <c r="A793" s="1">
        <v>45816</v>
      </c>
      <c r="B793" s="2" t="s">
        <v>2564</v>
      </c>
      <c r="C793" s="2" t="s">
        <v>2515</v>
      </c>
      <c r="D793" s="2" t="s">
        <v>2528</v>
      </c>
      <c r="E793" s="2" t="s">
        <v>2529</v>
      </c>
      <c r="F793" s="3">
        <v>166468</v>
      </c>
      <c r="G793" s="3">
        <v>13944</v>
      </c>
      <c r="H793" s="3">
        <v>634</v>
      </c>
      <c r="I793" s="4">
        <v>13976.1</v>
      </c>
      <c r="J793" s="4">
        <v>112922.56</v>
      </c>
      <c r="K793" s="3">
        <v>368</v>
      </c>
      <c r="L793" s="2" t="s">
        <v>2518</v>
      </c>
      <c r="M793" s="2" t="s">
        <v>2519</v>
      </c>
      <c r="N793" t="str">
        <f>TRIM(PROPER(Tabla_auditoría[[#This Row],[ID_Campaña]]))</f>
        <v>Cmp-024</v>
      </c>
      <c r="O793" t="str">
        <f>TRIM(PROPER(Tabla_auditoría[[#This Row],[Canal]]))</f>
        <v>Email</v>
      </c>
      <c r="P793" t="str">
        <f>TRIM(PROPER(Tabla_auditoría[[#This Row],[País]]))</f>
        <v>España</v>
      </c>
      <c r="Q793" t="str">
        <f>TRIM(PROPER(Tabla_auditoría[[#This Row],[Dispositivo]]))</f>
        <v>Mobile</v>
      </c>
      <c r="R793" t="str">
        <f>TRIM(PROPER(Tabla_auditoría[[#This Row],[Tipo_Campaña]]))</f>
        <v>Adquisición</v>
      </c>
      <c r="S793" t="str">
        <f>TRIM(PROPER(Tabla_auditoría[[#This Row],[Responsable]]))</f>
        <v>Carlos Ruiz</v>
      </c>
    </row>
    <row r="794" spans="1:19" x14ac:dyDescent="0.3">
      <c r="A794" s="1">
        <v>45979</v>
      </c>
      <c r="B794" s="2" t="s">
        <v>2564</v>
      </c>
      <c r="C794" s="2" t="s">
        <v>2541</v>
      </c>
      <c r="D794" s="2" t="s">
        <v>2522</v>
      </c>
      <c r="E794" s="2" t="s">
        <v>2529</v>
      </c>
      <c r="F794" s="3">
        <v>154129</v>
      </c>
      <c r="G794" s="3">
        <v>6600</v>
      </c>
      <c r="H794" s="3">
        <v>564</v>
      </c>
      <c r="I794" s="4">
        <v>7428.07</v>
      </c>
      <c r="J794" s="4">
        <v>31628.29</v>
      </c>
      <c r="K794" s="3">
        <v>454</v>
      </c>
      <c r="L794" s="2" t="s">
        <v>2539</v>
      </c>
      <c r="M794" s="2" t="s">
        <v>2546</v>
      </c>
      <c r="N794" t="str">
        <f>TRIM(PROPER(Tabla_auditoría[[#This Row],[ID_Campaña]]))</f>
        <v>Cmp-024</v>
      </c>
      <c r="O794" t="str">
        <f>TRIM(PROPER(Tabla_auditoría[[#This Row],[Canal]]))</f>
        <v>Display</v>
      </c>
      <c r="P794" t="str">
        <f>TRIM(PROPER(Tabla_auditoría[[#This Row],[País]]))</f>
        <v>Italia</v>
      </c>
      <c r="Q794" t="str">
        <f>TRIM(PROPER(Tabla_auditoría[[#This Row],[Dispositivo]]))</f>
        <v>Mobile</v>
      </c>
      <c r="R794" t="str">
        <f>TRIM(PROPER(Tabla_auditoría[[#This Row],[Tipo_Campaña]]))</f>
        <v>Conversión</v>
      </c>
      <c r="S794" t="str">
        <f>TRIM(PROPER(Tabla_auditoría[[#This Row],[Responsable]]))</f>
        <v>Ana García</v>
      </c>
    </row>
    <row r="795" spans="1:19" x14ac:dyDescent="0.3">
      <c r="A795" s="1">
        <v>45736</v>
      </c>
      <c r="B795" s="2" t="s">
        <v>2569</v>
      </c>
      <c r="C795" s="2" t="s">
        <v>2543</v>
      </c>
      <c r="D795" s="2" t="s">
        <v>2528</v>
      </c>
      <c r="E795" s="2" t="s">
        <v>2517</v>
      </c>
      <c r="F795" s="3">
        <v>33319</v>
      </c>
      <c r="G795" s="3">
        <v>2866</v>
      </c>
      <c r="H795" s="3">
        <v>202</v>
      </c>
      <c r="I795" s="4">
        <v>2578.2199999999998</v>
      </c>
      <c r="J795" s="4">
        <v>39447.24</v>
      </c>
      <c r="K795" s="3">
        <v>181</v>
      </c>
      <c r="L795" s="2" t="s">
        <v>2518</v>
      </c>
      <c r="M795" s="2" t="s">
        <v>2524</v>
      </c>
      <c r="N795" t="str">
        <f>TRIM(PROPER(Tabla_auditoría[[#This Row],[ID_Campaña]]))</f>
        <v>Cmp-013</v>
      </c>
      <c r="O795" t="str">
        <f>TRIM(PROPER(Tabla_auditoría[[#This Row],[Canal]]))</f>
        <v>Organic Social</v>
      </c>
      <c r="P795" t="str">
        <f>TRIM(PROPER(Tabla_auditoría[[#This Row],[País]]))</f>
        <v>España</v>
      </c>
      <c r="Q795" t="str">
        <f>TRIM(PROPER(Tabla_auditoría[[#This Row],[Dispositivo]]))</f>
        <v>Desktop</v>
      </c>
      <c r="R795" t="str">
        <f>TRIM(PROPER(Tabla_auditoría[[#This Row],[Tipo_Campaña]]))</f>
        <v>Adquisición</v>
      </c>
      <c r="S795" t="str">
        <f>TRIM(PROPER(Tabla_auditoría[[#This Row],[Responsable]]))</f>
        <v>Luis Martín</v>
      </c>
    </row>
    <row r="796" spans="1:19" x14ac:dyDescent="0.3">
      <c r="A796" s="1">
        <v>45976</v>
      </c>
      <c r="B796" s="2" t="s">
        <v>2545</v>
      </c>
      <c r="C796" s="2" t="s">
        <v>2543</v>
      </c>
      <c r="D796" s="2" t="s">
        <v>2525</v>
      </c>
      <c r="E796" s="2" t="s">
        <v>2534</v>
      </c>
      <c r="F796" s="3">
        <v>23608</v>
      </c>
      <c r="G796" s="3">
        <v>1929</v>
      </c>
      <c r="H796" s="3">
        <v>185</v>
      </c>
      <c r="I796" s="4">
        <v>1847.95</v>
      </c>
      <c r="J796" s="4">
        <v>11708.83</v>
      </c>
      <c r="K796" s="3">
        <v>148</v>
      </c>
      <c r="L796" s="2" t="s">
        <v>2539</v>
      </c>
      <c r="M796" s="2" t="s">
        <v>2546</v>
      </c>
      <c r="N796" t="str">
        <f>TRIM(PROPER(Tabla_auditoría[[#This Row],[ID_Campaña]]))</f>
        <v>Cmp-011</v>
      </c>
      <c r="O796" t="str">
        <f>TRIM(PROPER(Tabla_auditoría[[#This Row],[Canal]]))</f>
        <v>Organic Social</v>
      </c>
      <c r="P796" t="str">
        <f>TRIM(PROPER(Tabla_auditoría[[#This Row],[País]]))</f>
        <v>Francia</v>
      </c>
      <c r="Q796" t="str">
        <f>TRIM(PROPER(Tabla_auditoría[[#This Row],[Dispositivo]]))</f>
        <v>Tablet</v>
      </c>
      <c r="R796" t="str">
        <f>TRIM(PROPER(Tabla_auditoría[[#This Row],[Tipo_Campaña]]))</f>
        <v>Conversión</v>
      </c>
      <c r="S796" t="str">
        <f>TRIM(PROPER(Tabla_auditoría[[#This Row],[Responsable]]))</f>
        <v>Ana García</v>
      </c>
    </row>
    <row r="797" spans="1:19" x14ac:dyDescent="0.3">
      <c r="A797" s="1">
        <v>45928</v>
      </c>
      <c r="B797" s="2" t="s">
        <v>2547</v>
      </c>
      <c r="C797" s="2" t="s">
        <v>2543</v>
      </c>
      <c r="D797" s="2" t="s">
        <v>2528</v>
      </c>
      <c r="E797" s="2" t="s">
        <v>2517</v>
      </c>
      <c r="F797" s="3">
        <v>131546</v>
      </c>
      <c r="G797" s="3">
        <v>3414</v>
      </c>
      <c r="H797" s="3">
        <v>30</v>
      </c>
      <c r="I797" s="4">
        <v>2943.15</v>
      </c>
      <c r="J797" s="4">
        <v>1661.82</v>
      </c>
      <c r="K797" s="3">
        <v>19</v>
      </c>
      <c r="L797" s="2" t="s">
        <v>2523</v>
      </c>
      <c r="N797" t="str">
        <f>TRIM(PROPER(Tabla_auditoría[[#This Row],[ID_Campaña]]))</f>
        <v>Cmp-018</v>
      </c>
      <c r="O797" t="str">
        <f>TRIM(PROPER(Tabla_auditoría[[#This Row],[Canal]]))</f>
        <v>Organic Social</v>
      </c>
      <c r="P797" t="str">
        <f>TRIM(PROPER(Tabla_auditoría[[#This Row],[País]]))</f>
        <v>España</v>
      </c>
      <c r="Q797" t="str">
        <f>TRIM(PROPER(Tabla_auditoría[[#This Row],[Dispositivo]]))</f>
        <v>Desktop</v>
      </c>
      <c r="R797" t="str">
        <f>TRIM(PROPER(Tabla_auditoría[[#This Row],[Tipo_Campaña]]))</f>
        <v>Retención</v>
      </c>
      <c r="S797" t="str">
        <f>TRIM(PROPER(Tabla_auditoría[[#This Row],[Responsable]]))</f>
        <v/>
      </c>
    </row>
    <row r="798" spans="1:19" x14ac:dyDescent="0.3">
      <c r="A798" s="1">
        <v>45749</v>
      </c>
      <c r="B798" s="2" t="s">
        <v>2564</v>
      </c>
      <c r="C798" s="2" t="s">
        <v>2515</v>
      </c>
      <c r="D798" s="2" t="s">
        <v>2522</v>
      </c>
      <c r="E798" s="2" t="s">
        <v>2517</v>
      </c>
      <c r="F798" s="3">
        <v>152028</v>
      </c>
      <c r="G798" s="3">
        <v>3505</v>
      </c>
      <c r="H798" s="3">
        <v>371</v>
      </c>
      <c r="I798" s="4">
        <v>5857.92</v>
      </c>
      <c r="J798" s="4">
        <v>78320.37</v>
      </c>
      <c r="K798" s="3">
        <v>299</v>
      </c>
      <c r="L798" s="2" t="s">
        <v>2518</v>
      </c>
      <c r="M798" s="2" t="s">
        <v>2524</v>
      </c>
      <c r="N798" t="str">
        <f>TRIM(PROPER(Tabla_auditoría[[#This Row],[ID_Campaña]]))</f>
        <v>Cmp-024</v>
      </c>
      <c r="O798" t="str">
        <f>TRIM(PROPER(Tabla_auditoría[[#This Row],[Canal]]))</f>
        <v>Email</v>
      </c>
      <c r="P798" t="str">
        <f>TRIM(PROPER(Tabla_auditoría[[#This Row],[País]]))</f>
        <v>Italia</v>
      </c>
      <c r="Q798" t="str">
        <f>TRIM(PROPER(Tabla_auditoría[[#This Row],[Dispositivo]]))</f>
        <v>Desktop</v>
      </c>
      <c r="R798" t="str">
        <f>TRIM(PROPER(Tabla_auditoría[[#This Row],[Tipo_Campaña]]))</f>
        <v>Adquisición</v>
      </c>
      <c r="S798" t="str">
        <f>TRIM(PROPER(Tabla_auditoría[[#This Row],[Responsable]]))</f>
        <v>Luis Martín</v>
      </c>
    </row>
    <row r="799" spans="1:19" x14ac:dyDescent="0.3">
      <c r="A799" s="1">
        <v>45750</v>
      </c>
      <c r="B799" s="2" t="s">
        <v>2569</v>
      </c>
      <c r="C799" s="2" t="s">
        <v>2541</v>
      </c>
      <c r="D799" s="2" t="s">
        <v>2522</v>
      </c>
      <c r="E799" s="2" t="s">
        <v>2529</v>
      </c>
      <c r="F799" s="3">
        <v>131220</v>
      </c>
      <c r="G799" s="3">
        <v>6584</v>
      </c>
      <c r="H799" s="3">
        <v>662</v>
      </c>
      <c r="I799" s="4">
        <v>11019.72</v>
      </c>
      <c r="J799" s="4">
        <v>23343.39</v>
      </c>
      <c r="K799" s="3">
        <v>467</v>
      </c>
      <c r="L799" s="2" t="s">
        <v>2536</v>
      </c>
      <c r="M799" s="2" t="s">
        <v>2546</v>
      </c>
      <c r="N799" t="str">
        <f>TRIM(PROPER(Tabla_auditoría[[#This Row],[ID_Campaña]]))</f>
        <v>Cmp-013</v>
      </c>
      <c r="O799" t="str">
        <f>TRIM(PROPER(Tabla_auditoría[[#This Row],[Canal]]))</f>
        <v>Display</v>
      </c>
      <c r="P799" t="str">
        <f>TRIM(PROPER(Tabla_auditoría[[#This Row],[País]]))</f>
        <v>Italia</v>
      </c>
      <c r="Q799" t="str">
        <f>TRIM(PROPER(Tabla_auditoría[[#This Row],[Dispositivo]]))</f>
        <v>Mobile</v>
      </c>
      <c r="R799" t="str">
        <f>TRIM(PROPER(Tabla_auditoría[[#This Row],[Tipo_Campaña]]))</f>
        <v>Reconocimiento</v>
      </c>
      <c r="S799" t="str">
        <f>TRIM(PROPER(Tabla_auditoría[[#This Row],[Responsable]]))</f>
        <v>Ana García</v>
      </c>
    </row>
    <row r="800" spans="1:19" x14ac:dyDescent="0.3">
      <c r="A800" s="1">
        <v>45982</v>
      </c>
      <c r="B800" s="2" t="s">
        <v>2520</v>
      </c>
      <c r="C800" s="2" t="s">
        <v>2543</v>
      </c>
      <c r="D800" s="2" t="s">
        <v>2516</v>
      </c>
      <c r="E800" s="2" t="s">
        <v>2517</v>
      </c>
      <c r="F800" s="3">
        <v>24772</v>
      </c>
      <c r="G800" s="3">
        <v>1537</v>
      </c>
      <c r="H800" s="3">
        <v>31</v>
      </c>
      <c r="I800" s="4">
        <v>2294.42</v>
      </c>
      <c r="J800" s="4">
        <v>5516.44</v>
      </c>
      <c r="K800" s="3">
        <v>21</v>
      </c>
      <c r="L800" s="2" t="s">
        <v>2518</v>
      </c>
      <c r="M800" s="2" t="s">
        <v>2524</v>
      </c>
      <c r="N800" t="str">
        <f>TRIM(PROPER(Tabla_auditoría[[#This Row],[ID_Campaña]]))</f>
        <v>Cmp-009</v>
      </c>
      <c r="O800" t="str">
        <f>TRIM(PROPER(Tabla_auditoría[[#This Row],[Canal]]))</f>
        <v>Organic Social</v>
      </c>
      <c r="P800" t="str">
        <f>TRIM(PROPER(Tabla_auditoría[[#This Row],[País]]))</f>
        <v>México</v>
      </c>
      <c r="Q800" t="str">
        <f>TRIM(PROPER(Tabla_auditoría[[#This Row],[Dispositivo]]))</f>
        <v>Desktop</v>
      </c>
      <c r="R800" t="str">
        <f>TRIM(PROPER(Tabla_auditoría[[#This Row],[Tipo_Campaña]]))</f>
        <v>Adquisición</v>
      </c>
      <c r="S800" t="str">
        <f>TRIM(PROPER(Tabla_auditoría[[#This Row],[Responsable]]))</f>
        <v>Luis Martín</v>
      </c>
    </row>
    <row r="801" spans="1:19" x14ac:dyDescent="0.3">
      <c r="A801" s="1">
        <v>45805</v>
      </c>
      <c r="B801" s="2" t="s">
        <v>2540</v>
      </c>
      <c r="C801" s="2" t="s">
        <v>2541</v>
      </c>
      <c r="D801" s="2" t="s">
        <v>2516</v>
      </c>
      <c r="E801" s="2" t="s">
        <v>2529</v>
      </c>
      <c r="F801" s="3">
        <v>120912</v>
      </c>
      <c r="G801" s="3">
        <v>8607</v>
      </c>
      <c r="H801" s="3">
        <v>534</v>
      </c>
      <c r="I801" s="4">
        <v>14050.5</v>
      </c>
      <c r="J801" s="4">
        <v>76264.33</v>
      </c>
      <c r="K801" s="3">
        <v>368</v>
      </c>
      <c r="L801" s="2" t="s">
        <v>2539</v>
      </c>
      <c r="M801" s="2" t="s">
        <v>2524</v>
      </c>
      <c r="N801" t="str">
        <f>TRIM(PROPER(Tabla_auditoría[[#This Row],[ID_Campaña]]))</f>
        <v>Cmp-017</v>
      </c>
      <c r="O801" t="str">
        <f>TRIM(PROPER(Tabla_auditoría[[#This Row],[Canal]]))</f>
        <v>Display</v>
      </c>
      <c r="P801" t="str">
        <f>TRIM(PROPER(Tabla_auditoría[[#This Row],[País]]))</f>
        <v>México</v>
      </c>
      <c r="Q801" t="str">
        <f>TRIM(PROPER(Tabla_auditoría[[#This Row],[Dispositivo]]))</f>
        <v>Mobile</v>
      </c>
      <c r="R801" t="str">
        <f>TRIM(PROPER(Tabla_auditoría[[#This Row],[Tipo_Campaña]]))</f>
        <v>Conversión</v>
      </c>
      <c r="S801" t="str">
        <f>TRIM(PROPER(Tabla_auditoría[[#This Row],[Responsable]]))</f>
        <v>Luis Martín</v>
      </c>
    </row>
    <row r="802" spans="1:19" x14ac:dyDescent="0.3">
      <c r="A802" s="1">
        <v>45688</v>
      </c>
      <c r="B802" s="2" t="s">
        <v>2514</v>
      </c>
      <c r="C802" s="2" t="s">
        <v>2515</v>
      </c>
      <c r="D802" s="2" t="s">
        <v>2528</v>
      </c>
      <c r="E802" s="2" t="s">
        <v>2529</v>
      </c>
      <c r="F802" s="3">
        <v>146442</v>
      </c>
      <c r="G802" s="3">
        <v>6907</v>
      </c>
      <c r="H802" s="3">
        <v>54</v>
      </c>
      <c r="I802" s="4">
        <v>3280.12</v>
      </c>
      <c r="J802" s="4">
        <v>1785.87</v>
      </c>
      <c r="K802" s="3">
        <v>42</v>
      </c>
      <c r="L802" s="2" t="s">
        <v>2539</v>
      </c>
      <c r="M802" s="2" t="s">
        <v>2519</v>
      </c>
      <c r="N802" t="str">
        <f>TRIM(PROPER(Tabla_auditoría[[#This Row],[ID_Campaña]]))</f>
        <v>Cmp-002</v>
      </c>
      <c r="O802" t="str">
        <f>TRIM(PROPER(Tabla_auditoría[[#This Row],[Canal]]))</f>
        <v>Email</v>
      </c>
      <c r="P802" t="str">
        <f>TRIM(PROPER(Tabla_auditoría[[#This Row],[País]]))</f>
        <v>España</v>
      </c>
      <c r="Q802" t="str">
        <f>TRIM(PROPER(Tabla_auditoría[[#This Row],[Dispositivo]]))</f>
        <v>Mobile</v>
      </c>
      <c r="R802" t="str">
        <f>TRIM(PROPER(Tabla_auditoría[[#This Row],[Tipo_Campaña]]))</f>
        <v>Conversión</v>
      </c>
      <c r="S802" t="str">
        <f>TRIM(PROPER(Tabla_auditoría[[#This Row],[Responsable]]))</f>
        <v>Carlos Ruiz</v>
      </c>
    </row>
    <row r="803" spans="1:19" x14ac:dyDescent="0.3">
      <c r="A803" s="1">
        <v>45903</v>
      </c>
      <c r="B803" s="2" t="s">
        <v>2552</v>
      </c>
      <c r="C803" s="2" t="s">
        <v>2521</v>
      </c>
      <c r="D803" s="2" t="s">
        <v>2522</v>
      </c>
      <c r="E803" s="2" t="s">
        <v>2517</v>
      </c>
      <c r="F803" s="3">
        <v>128707</v>
      </c>
      <c r="G803" s="3">
        <v>900</v>
      </c>
      <c r="H803" s="3">
        <v>61</v>
      </c>
      <c r="I803" s="4">
        <v>874.97</v>
      </c>
      <c r="J803" s="4">
        <v>8820.36</v>
      </c>
      <c r="K803" s="3">
        <v>32</v>
      </c>
      <c r="L803" s="2" t="s">
        <v>2536</v>
      </c>
      <c r="M803" s="2" t="s">
        <v>2526</v>
      </c>
      <c r="N803" t="str">
        <f>TRIM(PROPER(Tabla_auditoría[[#This Row],[ID_Campaña]]))</f>
        <v>Cmp-012</v>
      </c>
      <c r="O803" t="str">
        <f>TRIM(PROPER(Tabla_auditoría[[#This Row],[Canal]]))</f>
        <v>Paid Search</v>
      </c>
      <c r="P803" t="str">
        <f>TRIM(PROPER(Tabla_auditoría[[#This Row],[País]]))</f>
        <v>Italia</v>
      </c>
      <c r="Q803" t="str">
        <f>TRIM(PROPER(Tabla_auditoría[[#This Row],[Dispositivo]]))</f>
        <v>Desktop</v>
      </c>
      <c r="R803" t="str">
        <f>TRIM(PROPER(Tabla_auditoría[[#This Row],[Tipo_Campaña]]))</f>
        <v>Reconocimiento</v>
      </c>
      <c r="S803" t="str">
        <f>TRIM(PROPER(Tabla_auditoría[[#This Row],[Responsable]]))</f>
        <v>Laura Pérez</v>
      </c>
    </row>
    <row r="804" spans="1:19" x14ac:dyDescent="0.3">
      <c r="A804" s="1">
        <v>45785</v>
      </c>
      <c r="B804" s="2" t="s">
        <v>2551</v>
      </c>
      <c r="C804" s="2" t="s">
        <v>2543</v>
      </c>
      <c r="D804" s="2" t="s">
        <v>2528</v>
      </c>
      <c r="E804" s="2" t="s">
        <v>2517</v>
      </c>
      <c r="F804" s="3">
        <v>150475</v>
      </c>
      <c r="G804" s="3">
        <v>6716</v>
      </c>
      <c r="H804" s="3">
        <v>759</v>
      </c>
      <c r="I804" s="4">
        <v>4173.28</v>
      </c>
      <c r="J804" s="4">
        <v>114798.74</v>
      </c>
      <c r="K804" s="3">
        <v>607</v>
      </c>
      <c r="L804" s="2" t="s">
        <v>2539</v>
      </c>
      <c r="M804" s="2" t="s">
        <v>2546</v>
      </c>
      <c r="N804" t="str">
        <f>TRIM(PROPER(Tabla_auditoría[[#This Row],[ID_Campaña]]))</f>
        <v>Cmp-028</v>
      </c>
      <c r="O804" t="str">
        <f>TRIM(PROPER(Tabla_auditoría[[#This Row],[Canal]]))</f>
        <v>Organic Social</v>
      </c>
      <c r="P804" t="str">
        <f>TRIM(PROPER(Tabla_auditoría[[#This Row],[País]]))</f>
        <v>España</v>
      </c>
      <c r="Q804" t="str">
        <f>TRIM(PROPER(Tabla_auditoría[[#This Row],[Dispositivo]]))</f>
        <v>Desktop</v>
      </c>
      <c r="R804" t="str">
        <f>TRIM(PROPER(Tabla_auditoría[[#This Row],[Tipo_Campaña]]))</f>
        <v>Conversión</v>
      </c>
      <c r="S804" t="str">
        <f>TRIM(PROPER(Tabla_auditoría[[#This Row],[Responsable]]))</f>
        <v>Ana García</v>
      </c>
    </row>
    <row r="805" spans="1:19" x14ac:dyDescent="0.3">
      <c r="A805" s="1">
        <v>45770</v>
      </c>
      <c r="B805" s="2" t="s">
        <v>2542</v>
      </c>
      <c r="C805" s="2" t="s">
        <v>2541</v>
      </c>
      <c r="D805" s="2" t="s">
        <v>2525</v>
      </c>
      <c r="E805" s="2" t="s">
        <v>2529</v>
      </c>
      <c r="F805" s="3">
        <v>60947</v>
      </c>
      <c r="G805" s="3">
        <v>3338</v>
      </c>
      <c r="H805" s="3">
        <v>85</v>
      </c>
      <c r="I805" s="4">
        <v>6638.56</v>
      </c>
      <c r="J805" s="4">
        <v>17689.5</v>
      </c>
      <c r="K805" s="3">
        <v>51</v>
      </c>
      <c r="L805" s="2" t="s">
        <v>2523</v>
      </c>
      <c r="M805" s="2" t="s">
        <v>2524</v>
      </c>
      <c r="N805" t="str">
        <f>TRIM(PROPER(Tabla_auditoría[[#This Row],[ID_Campaña]]))</f>
        <v>Cmp-025</v>
      </c>
      <c r="O805" t="str">
        <f>TRIM(PROPER(Tabla_auditoría[[#This Row],[Canal]]))</f>
        <v>Display</v>
      </c>
      <c r="P805" t="str">
        <f>TRIM(PROPER(Tabla_auditoría[[#This Row],[País]]))</f>
        <v>Francia</v>
      </c>
      <c r="Q805" t="str">
        <f>TRIM(PROPER(Tabla_auditoría[[#This Row],[Dispositivo]]))</f>
        <v>Mobile</v>
      </c>
      <c r="R805" t="str">
        <f>TRIM(PROPER(Tabla_auditoría[[#This Row],[Tipo_Campaña]]))</f>
        <v>Retención</v>
      </c>
      <c r="S805" t="str">
        <f>TRIM(PROPER(Tabla_auditoría[[#This Row],[Responsable]]))</f>
        <v>Luis Martín</v>
      </c>
    </row>
    <row r="806" spans="1:19" x14ac:dyDescent="0.3">
      <c r="A806" s="1">
        <v>45672</v>
      </c>
      <c r="B806" s="2" t="s">
        <v>2530</v>
      </c>
      <c r="C806" s="2" t="s">
        <v>2515</v>
      </c>
      <c r="D806" s="2" t="s">
        <v>2593</v>
      </c>
      <c r="E806" s="2" t="s">
        <v>2529</v>
      </c>
      <c r="F806" s="3">
        <v>110843</v>
      </c>
      <c r="G806" s="3">
        <v>7620</v>
      </c>
      <c r="H806" s="3">
        <v>962</v>
      </c>
      <c r="I806" s="4">
        <v>11595.39</v>
      </c>
      <c r="J806" s="4">
        <v>122173.73</v>
      </c>
      <c r="K806" s="3">
        <v>692</v>
      </c>
      <c r="L806" s="2" t="s">
        <v>2539</v>
      </c>
      <c r="M806" s="2" t="s">
        <v>2526</v>
      </c>
      <c r="N806" t="str">
        <f>TRIM(PROPER(Tabla_auditoría[[#This Row],[ID_Campaña]]))</f>
        <v>Cmp-026</v>
      </c>
      <c r="O806" t="str">
        <f>TRIM(PROPER(Tabla_auditoría[[#This Row],[Canal]]))</f>
        <v>Email</v>
      </c>
      <c r="P806" t="str">
        <f>TRIM(PROPER(Tabla_auditoría[[#This Row],[País]]))</f>
        <v>Francia</v>
      </c>
      <c r="Q806" t="str">
        <f>TRIM(PROPER(Tabla_auditoría[[#This Row],[Dispositivo]]))</f>
        <v>Mobile</v>
      </c>
      <c r="R806" t="str">
        <f>TRIM(PROPER(Tabla_auditoría[[#This Row],[Tipo_Campaña]]))</f>
        <v>Conversión</v>
      </c>
      <c r="S806" t="str">
        <f>TRIM(PROPER(Tabla_auditoría[[#This Row],[Responsable]]))</f>
        <v>Laura Pérez</v>
      </c>
    </row>
    <row r="807" spans="1:19" x14ac:dyDescent="0.3">
      <c r="A807" s="1">
        <v>45851</v>
      </c>
      <c r="B807" s="2" t="s">
        <v>2550</v>
      </c>
      <c r="C807" s="2" t="s">
        <v>2527</v>
      </c>
      <c r="D807" s="2" t="s">
        <v>2531</v>
      </c>
      <c r="E807" s="2" t="s">
        <v>2517</v>
      </c>
      <c r="F807" s="3">
        <v>62894</v>
      </c>
      <c r="G807" s="3">
        <v>4378</v>
      </c>
      <c r="H807" s="3">
        <v>36</v>
      </c>
      <c r="I807" s="4">
        <v>7185.74</v>
      </c>
      <c r="J807" s="4">
        <v>3293.5</v>
      </c>
      <c r="K807" s="3">
        <v>19</v>
      </c>
      <c r="L807" s="2" t="s">
        <v>2536</v>
      </c>
      <c r="M807" s="2" t="s">
        <v>2546</v>
      </c>
      <c r="N807" t="str">
        <f>TRIM(PROPER(Tabla_auditoría[[#This Row],[ID_Campaña]]))</f>
        <v>Cmp-008</v>
      </c>
      <c r="O807" t="str">
        <f>TRIM(PROPER(Tabla_auditoría[[#This Row],[Canal]]))</f>
        <v>Affiliate</v>
      </c>
      <c r="P807" t="str">
        <f>TRIM(PROPER(Tabla_auditoría[[#This Row],[País]]))</f>
        <v>Portugal</v>
      </c>
      <c r="Q807" t="str">
        <f>TRIM(PROPER(Tabla_auditoría[[#This Row],[Dispositivo]]))</f>
        <v>Desktop</v>
      </c>
      <c r="R807" t="str">
        <f>TRIM(PROPER(Tabla_auditoría[[#This Row],[Tipo_Campaña]]))</f>
        <v>Reconocimiento</v>
      </c>
      <c r="S807" t="str">
        <f>TRIM(PROPER(Tabla_auditoría[[#This Row],[Responsable]]))</f>
        <v>Ana García</v>
      </c>
    </row>
    <row r="808" spans="1:19" x14ac:dyDescent="0.3">
      <c r="A808" s="1">
        <v>45757</v>
      </c>
      <c r="B808" s="2" t="s">
        <v>2520</v>
      </c>
      <c r="C808" s="2" t="s">
        <v>2515</v>
      </c>
      <c r="D808" s="2" t="s">
        <v>2516</v>
      </c>
      <c r="E808" s="2" t="s">
        <v>2517</v>
      </c>
      <c r="F808" s="3">
        <v>160226</v>
      </c>
      <c r="G808" s="3">
        <v>9087</v>
      </c>
      <c r="H808" s="3">
        <v>475</v>
      </c>
      <c r="I808" s="4">
        <v>2377.0100000000002</v>
      </c>
      <c r="J808" s="4">
        <v>98767.83</v>
      </c>
      <c r="K808" s="3">
        <v>331</v>
      </c>
      <c r="L808" s="2" t="s">
        <v>2539</v>
      </c>
      <c r="M808" s="2" t="s">
        <v>2519</v>
      </c>
      <c r="N808" t="str">
        <f>TRIM(PROPER(Tabla_auditoría[[#This Row],[ID_Campaña]]))</f>
        <v>Cmp-009</v>
      </c>
      <c r="O808" t="str">
        <f>TRIM(PROPER(Tabla_auditoría[[#This Row],[Canal]]))</f>
        <v>Email</v>
      </c>
      <c r="P808" t="str">
        <f>TRIM(PROPER(Tabla_auditoría[[#This Row],[País]]))</f>
        <v>México</v>
      </c>
      <c r="Q808" t="str">
        <f>TRIM(PROPER(Tabla_auditoría[[#This Row],[Dispositivo]]))</f>
        <v>Desktop</v>
      </c>
      <c r="R808" t="str">
        <f>TRIM(PROPER(Tabla_auditoría[[#This Row],[Tipo_Campaña]]))</f>
        <v>Conversión</v>
      </c>
      <c r="S808" t="str">
        <f>TRIM(PROPER(Tabla_auditoría[[#This Row],[Responsable]]))</f>
        <v>Carlos Ruiz</v>
      </c>
    </row>
    <row r="809" spans="1:19" x14ac:dyDescent="0.3">
      <c r="A809" s="1">
        <v>45765</v>
      </c>
      <c r="B809" s="2" t="s">
        <v>2520</v>
      </c>
      <c r="C809" s="2" t="s">
        <v>2527</v>
      </c>
      <c r="D809" s="2" t="s">
        <v>2528</v>
      </c>
      <c r="E809" s="2" t="s">
        <v>2529</v>
      </c>
      <c r="F809" s="3">
        <v>143313</v>
      </c>
      <c r="G809" s="3">
        <v>3134</v>
      </c>
      <c r="H809" s="3">
        <v>221</v>
      </c>
      <c r="I809" s="4">
        <v>5028.5200000000004</v>
      </c>
      <c r="J809" s="4">
        <v>7892</v>
      </c>
      <c r="K809" s="3">
        <v>188</v>
      </c>
      <c r="L809" s="2" t="s">
        <v>2523</v>
      </c>
      <c r="M809" s="2" t="s">
        <v>2526</v>
      </c>
      <c r="N809" t="str">
        <f>TRIM(PROPER(Tabla_auditoría[[#This Row],[ID_Campaña]]))</f>
        <v>Cmp-009</v>
      </c>
      <c r="O809" t="str">
        <f>TRIM(PROPER(Tabla_auditoría[[#This Row],[Canal]]))</f>
        <v>Affiliate</v>
      </c>
      <c r="P809" t="str">
        <f>TRIM(PROPER(Tabla_auditoría[[#This Row],[País]]))</f>
        <v>España</v>
      </c>
      <c r="Q809" t="str">
        <f>TRIM(PROPER(Tabla_auditoría[[#This Row],[Dispositivo]]))</f>
        <v>Mobile</v>
      </c>
      <c r="R809" t="str">
        <f>TRIM(PROPER(Tabla_auditoría[[#This Row],[Tipo_Campaña]]))</f>
        <v>Retención</v>
      </c>
      <c r="S809" t="str">
        <f>TRIM(PROPER(Tabla_auditoría[[#This Row],[Responsable]]))</f>
        <v>Laura Pérez</v>
      </c>
    </row>
    <row r="810" spans="1:19" x14ac:dyDescent="0.3">
      <c r="A810" s="1">
        <v>45945</v>
      </c>
      <c r="B810" s="2" t="s">
        <v>2556</v>
      </c>
      <c r="C810" s="2" t="s">
        <v>2533</v>
      </c>
      <c r="D810" s="2" t="s">
        <v>2531</v>
      </c>
      <c r="E810" s="2" t="s">
        <v>2529</v>
      </c>
      <c r="F810" s="3">
        <v>142471</v>
      </c>
      <c r="G810" s="3">
        <v>10962</v>
      </c>
      <c r="H810" s="3">
        <v>1448</v>
      </c>
      <c r="I810" s="4">
        <v>5700.32</v>
      </c>
      <c r="J810" s="4">
        <v>278741.78999999998</v>
      </c>
      <c r="K810" s="3">
        <v>657</v>
      </c>
      <c r="L810" s="2" t="s">
        <v>2536</v>
      </c>
      <c r="M810" s="2" t="s">
        <v>2524</v>
      </c>
      <c r="N810" t="str">
        <f>TRIM(PROPER(Tabla_auditoría[[#This Row],[ID_Campaña]]))</f>
        <v>Cmp-014</v>
      </c>
      <c r="O810" t="str">
        <f>TRIM(PROPER(Tabla_auditoría[[#This Row],[Canal]]))</f>
        <v>Paid Social</v>
      </c>
      <c r="P810" t="str">
        <f>TRIM(PROPER(Tabla_auditoría[[#This Row],[País]]))</f>
        <v>Portugal</v>
      </c>
      <c r="Q810" t="str">
        <f>TRIM(PROPER(Tabla_auditoría[[#This Row],[Dispositivo]]))</f>
        <v>Mobile</v>
      </c>
      <c r="R810" t="str">
        <f>TRIM(PROPER(Tabla_auditoría[[#This Row],[Tipo_Campaña]]))</f>
        <v>Reconocimiento</v>
      </c>
      <c r="S810" t="str">
        <f>TRIM(PROPER(Tabla_auditoría[[#This Row],[Responsable]]))</f>
        <v>Luis Martín</v>
      </c>
    </row>
    <row r="811" spans="1:19" x14ac:dyDescent="0.3">
      <c r="A811" s="1">
        <v>46012</v>
      </c>
      <c r="B811" s="2" t="s">
        <v>2542</v>
      </c>
      <c r="C811" s="2" t="s">
        <v>2527</v>
      </c>
      <c r="D811" s="2" t="s">
        <v>2528</v>
      </c>
      <c r="E811" s="2" t="s">
        <v>2529</v>
      </c>
      <c r="F811" s="3">
        <v>122646</v>
      </c>
      <c r="G811" s="3">
        <v>8307</v>
      </c>
      <c r="H811" s="3">
        <v>862</v>
      </c>
      <c r="I811" s="4">
        <v>8828.2099999999991</v>
      </c>
      <c r="J811" s="4">
        <v>117170.78</v>
      </c>
      <c r="K811" s="3">
        <v>681</v>
      </c>
      <c r="L811" s="2" t="s">
        <v>2539</v>
      </c>
      <c r="M811" s="2" t="s">
        <v>2546</v>
      </c>
      <c r="N811" t="str">
        <f>TRIM(PROPER(Tabla_auditoría[[#This Row],[ID_Campaña]]))</f>
        <v>Cmp-025</v>
      </c>
      <c r="O811" t="str">
        <f>TRIM(PROPER(Tabla_auditoría[[#This Row],[Canal]]))</f>
        <v>Affiliate</v>
      </c>
      <c r="P811" t="str">
        <f>TRIM(PROPER(Tabla_auditoría[[#This Row],[País]]))</f>
        <v>España</v>
      </c>
      <c r="Q811" t="str">
        <f>TRIM(PROPER(Tabla_auditoría[[#This Row],[Dispositivo]]))</f>
        <v>Mobile</v>
      </c>
      <c r="R811" t="str">
        <f>TRIM(PROPER(Tabla_auditoría[[#This Row],[Tipo_Campaña]]))</f>
        <v>Conversión</v>
      </c>
      <c r="S811" t="str">
        <f>TRIM(PROPER(Tabla_auditoría[[#This Row],[Responsable]]))</f>
        <v>Ana García</v>
      </c>
    </row>
    <row r="812" spans="1:19" x14ac:dyDescent="0.3">
      <c r="A812" s="1">
        <v>46017</v>
      </c>
      <c r="B812" s="2" t="s">
        <v>2551</v>
      </c>
      <c r="C812" s="2" t="s">
        <v>2541</v>
      </c>
      <c r="D812" s="2" t="s">
        <v>2528</v>
      </c>
      <c r="E812" s="2" t="s">
        <v>2517</v>
      </c>
      <c r="F812" s="3">
        <v>63278</v>
      </c>
      <c r="G812" s="3">
        <v>5025</v>
      </c>
      <c r="H812" s="3">
        <v>332</v>
      </c>
      <c r="I812" s="4">
        <v>6610</v>
      </c>
      <c r="J812" s="4">
        <v>67554.97</v>
      </c>
      <c r="K812" s="3">
        <v>297</v>
      </c>
      <c r="L812" s="2" t="s">
        <v>2518</v>
      </c>
      <c r="M812" s="2" t="s">
        <v>2537</v>
      </c>
      <c r="N812" t="str">
        <f>TRIM(PROPER(Tabla_auditoría[[#This Row],[ID_Campaña]]))</f>
        <v>Cmp-028</v>
      </c>
      <c r="O812" t="str">
        <f>TRIM(PROPER(Tabla_auditoría[[#This Row],[Canal]]))</f>
        <v>Display</v>
      </c>
      <c r="P812" t="str">
        <f>TRIM(PROPER(Tabla_auditoría[[#This Row],[País]]))</f>
        <v>España</v>
      </c>
      <c r="Q812" t="str">
        <f>TRIM(PROPER(Tabla_auditoría[[#This Row],[Dispositivo]]))</f>
        <v>Desktop</v>
      </c>
      <c r="R812" t="str">
        <f>TRIM(PROPER(Tabla_auditoría[[#This Row],[Tipo_Campaña]]))</f>
        <v>Adquisición</v>
      </c>
      <c r="S812" t="str">
        <f>TRIM(PROPER(Tabla_auditoría[[#This Row],[Responsable]]))</f>
        <v>Marta López</v>
      </c>
    </row>
    <row r="813" spans="1:19" x14ac:dyDescent="0.3">
      <c r="A813" s="1">
        <v>45748</v>
      </c>
      <c r="B813" s="2" t="s">
        <v>2520</v>
      </c>
      <c r="C813" s="2" t="s">
        <v>2548</v>
      </c>
      <c r="D813" s="2" t="s">
        <v>2528</v>
      </c>
      <c r="E813" s="2" t="s">
        <v>2529</v>
      </c>
      <c r="F813" s="3">
        <v>174044</v>
      </c>
      <c r="G813" s="3">
        <v>14856</v>
      </c>
      <c r="H813" s="3">
        <v>405</v>
      </c>
      <c r="I813" s="4">
        <v>7078.96</v>
      </c>
      <c r="J813" s="4">
        <v>70701.649999999994</v>
      </c>
      <c r="K813" s="3">
        <v>319</v>
      </c>
      <c r="L813" s="2" t="s">
        <v>2523</v>
      </c>
      <c r="M813" s="2" t="s">
        <v>2537</v>
      </c>
      <c r="N813" t="str">
        <f>TRIM(PROPER(Tabla_auditoría[[#This Row],[ID_Campaña]]))</f>
        <v>Cmp-009</v>
      </c>
      <c r="O813" t="str">
        <f>TRIM(PROPER(Tabla_auditoría[[#This Row],[Canal]]))</f>
        <v>Display</v>
      </c>
      <c r="P813" t="str">
        <f>TRIM(PROPER(Tabla_auditoría[[#This Row],[País]]))</f>
        <v>España</v>
      </c>
      <c r="Q813" t="str">
        <f>TRIM(PROPER(Tabla_auditoría[[#This Row],[Dispositivo]]))</f>
        <v>Mobile</v>
      </c>
      <c r="R813" t="str">
        <f>TRIM(PROPER(Tabla_auditoría[[#This Row],[Tipo_Campaña]]))</f>
        <v>Retención</v>
      </c>
      <c r="S813" t="str">
        <f>TRIM(PROPER(Tabla_auditoría[[#This Row],[Responsable]]))</f>
        <v>Marta López</v>
      </c>
    </row>
    <row r="814" spans="1:19" x14ac:dyDescent="0.3">
      <c r="A814" s="1">
        <v>45941</v>
      </c>
      <c r="B814" s="2" t="s">
        <v>2568</v>
      </c>
      <c r="C814" s="2" t="s">
        <v>2533</v>
      </c>
      <c r="D814" s="2" t="s">
        <v>2516</v>
      </c>
      <c r="E814" s="2" t="s">
        <v>2517</v>
      </c>
      <c r="F814" s="3">
        <v>59959</v>
      </c>
      <c r="G814" s="3">
        <v>931</v>
      </c>
      <c r="H814" s="3">
        <v>127</v>
      </c>
      <c r="I814" s="4">
        <v>262.22000000000003</v>
      </c>
      <c r="J814" s="4">
        <v>26172.18</v>
      </c>
      <c r="K814" s="3">
        <v>88</v>
      </c>
      <c r="L814" s="2" t="s">
        <v>2523</v>
      </c>
      <c r="M814" s="2" t="s">
        <v>2546</v>
      </c>
      <c r="N814" t="str">
        <f>TRIM(PROPER(Tabla_auditoría[[#This Row],[ID_Campaña]]))</f>
        <v>Cmp-020</v>
      </c>
      <c r="O814" t="str">
        <f>TRIM(PROPER(Tabla_auditoría[[#This Row],[Canal]]))</f>
        <v>Paid Social</v>
      </c>
      <c r="P814" t="str">
        <f>TRIM(PROPER(Tabla_auditoría[[#This Row],[País]]))</f>
        <v>México</v>
      </c>
      <c r="Q814" t="str">
        <f>TRIM(PROPER(Tabla_auditoría[[#This Row],[Dispositivo]]))</f>
        <v>Desktop</v>
      </c>
      <c r="R814" t="str">
        <f>TRIM(PROPER(Tabla_auditoría[[#This Row],[Tipo_Campaña]]))</f>
        <v>Retención</v>
      </c>
      <c r="S814" t="str">
        <f>TRIM(PROPER(Tabla_auditoría[[#This Row],[Responsable]]))</f>
        <v>Ana García</v>
      </c>
    </row>
    <row r="815" spans="1:19" x14ac:dyDescent="0.3">
      <c r="A815" s="1">
        <v>45934</v>
      </c>
      <c r="B815" s="2" t="s">
        <v>2554</v>
      </c>
      <c r="C815" s="2" t="s">
        <v>2541</v>
      </c>
      <c r="D815" s="2" t="s">
        <v>2525</v>
      </c>
      <c r="E815" s="2" t="s">
        <v>2529</v>
      </c>
      <c r="F815" s="3">
        <v>60952</v>
      </c>
      <c r="G815" s="3">
        <v>3572</v>
      </c>
      <c r="H815" s="3">
        <v>412</v>
      </c>
      <c r="I815" s="4">
        <v>1488.23</v>
      </c>
      <c r="J815" s="4">
        <v>78504.13</v>
      </c>
      <c r="K815" s="3">
        <v>370</v>
      </c>
      <c r="L815" s="2" t="s">
        <v>2539</v>
      </c>
      <c r="M815" s="2" t="s">
        <v>2519</v>
      </c>
      <c r="N815" t="str">
        <f>TRIM(PROPER(Tabla_auditoría[[#This Row],[ID_Campaña]]))</f>
        <v>Cmp-019</v>
      </c>
      <c r="O815" t="str">
        <f>TRIM(PROPER(Tabla_auditoría[[#This Row],[Canal]]))</f>
        <v>Display</v>
      </c>
      <c r="P815" t="str">
        <f>TRIM(PROPER(Tabla_auditoría[[#This Row],[País]]))</f>
        <v>Francia</v>
      </c>
      <c r="Q815" t="str">
        <f>TRIM(PROPER(Tabla_auditoría[[#This Row],[Dispositivo]]))</f>
        <v>Mobile</v>
      </c>
      <c r="R815" t="str">
        <f>TRIM(PROPER(Tabla_auditoría[[#This Row],[Tipo_Campaña]]))</f>
        <v>Conversión</v>
      </c>
      <c r="S815" t="str">
        <f>TRIM(PROPER(Tabla_auditoría[[#This Row],[Responsable]]))</f>
        <v>Carlos Ruiz</v>
      </c>
    </row>
    <row r="816" spans="1:19" x14ac:dyDescent="0.3">
      <c r="A816" s="1">
        <v>45860</v>
      </c>
      <c r="B816" s="2" t="s">
        <v>2542</v>
      </c>
      <c r="C816" s="2" t="s">
        <v>2521</v>
      </c>
      <c r="D816" s="2" t="s">
        <v>2528</v>
      </c>
      <c r="E816" s="2" t="s">
        <v>2517</v>
      </c>
      <c r="F816" s="3">
        <v>166131</v>
      </c>
      <c r="G816" s="3">
        <v>1106</v>
      </c>
      <c r="H816" s="3">
        <v>143</v>
      </c>
      <c r="I816" s="4">
        <v>-1896.6</v>
      </c>
      <c r="J816" s="4">
        <v>10315.93</v>
      </c>
      <c r="K816" s="3">
        <v>88</v>
      </c>
      <c r="L816" s="2" t="s">
        <v>2536</v>
      </c>
      <c r="M816" s="2" t="s">
        <v>2546</v>
      </c>
      <c r="N816" t="str">
        <f>TRIM(PROPER(Tabla_auditoría[[#This Row],[ID_Campaña]]))</f>
        <v>Cmp-025</v>
      </c>
      <c r="O816" t="str">
        <f>TRIM(PROPER(Tabla_auditoría[[#This Row],[Canal]]))</f>
        <v>Paid Search</v>
      </c>
      <c r="P816" t="str">
        <f>TRIM(PROPER(Tabla_auditoría[[#This Row],[País]]))</f>
        <v>España</v>
      </c>
      <c r="Q816" t="str">
        <f>TRIM(PROPER(Tabla_auditoría[[#This Row],[Dispositivo]]))</f>
        <v>Desktop</v>
      </c>
      <c r="R816" t="str">
        <f>TRIM(PROPER(Tabla_auditoría[[#This Row],[Tipo_Campaña]]))</f>
        <v>Reconocimiento</v>
      </c>
      <c r="S816" t="str">
        <f>TRIM(PROPER(Tabla_auditoría[[#This Row],[Responsable]]))</f>
        <v>Ana García</v>
      </c>
    </row>
    <row r="817" spans="1:19" x14ac:dyDescent="0.3">
      <c r="A817" s="1">
        <v>45938</v>
      </c>
      <c r="B817" s="2" t="s">
        <v>2538</v>
      </c>
      <c r="C817" s="2" t="s">
        <v>2515</v>
      </c>
      <c r="D817" s="2" t="s">
        <v>2573</v>
      </c>
      <c r="E817" s="2" t="s">
        <v>2529</v>
      </c>
      <c r="F817" s="3">
        <v>34957</v>
      </c>
      <c r="G817" s="3">
        <v>399</v>
      </c>
      <c r="H817" s="3">
        <v>39</v>
      </c>
      <c r="I817" s="4">
        <v>238.01</v>
      </c>
      <c r="J817" s="4">
        <v>7306.67</v>
      </c>
      <c r="K817" s="3">
        <v>28</v>
      </c>
      <c r="L817" s="2" t="s">
        <v>2523</v>
      </c>
      <c r="M817" s="2" t="s">
        <v>2537</v>
      </c>
      <c r="N817" t="str">
        <f>TRIM(PROPER(Tabla_auditoría[[#This Row],[ID_Campaña]]))</f>
        <v>Cmp-004</v>
      </c>
      <c r="O817" t="str">
        <f>TRIM(PROPER(Tabla_auditoría[[#This Row],[Canal]]))</f>
        <v>Email</v>
      </c>
      <c r="P817" t="str">
        <f>TRIM(PROPER(Tabla_auditoría[[#This Row],[País]]))</f>
        <v>España</v>
      </c>
      <c r="Q817" t="str">
        <f>TRIM(PROPER(Tabla_auditoría[[#This Row],[Dispositivo]]))</f>
        <v>Mobile</v>
      </c>
      <c r="R817" t="str">
        <f>TRIM(PROPER(Tabla_auditoría[[#This Row],[Tipo_Campaña]]))</f>
        <v>Retención</v>
      </c>
      <c r="S817" t="str">
        <f>TRIM(PROPER(Tabla_auditoría[[#This Row],[Responsable]]))</f>
        <v>Marta López</v>
      </c>
    </row>
    <row r="818" spans="1:19" x14ac:dyDescent="0.3">
      <c r="A818" s="1">
        <v>45719</v>
      </c>
      <c r="B818" s="2" t="s">
        <v>2574</v>
      </c>
      <c r="C818" s="2" t="s">
        <v>2541</v>
      </c>
      <c r="D818" s="2" t="s">
        <v>2528</v>
      </c>
      <c r="E818" s="2" t="s">
        <v>2529</v>
      </c>
      <c r="F818" s="3">
        <v>81329</v>
      </c>
      <c r="G818" s="3">
        <v>3572</v>
      </c>
      <c r="H818" s="3">
        <v>228</v>
      </c>
      <c r="I818" s="4">
        <v>5803.43</v>
      </c>
      <c r="J818" s="4">
        <v>12192.68</v>
      </c>
      <c r="K818" s="3">
        <v>164</v>
      </c>
      <c r="L818" s="2" t="s">
        <v>2536</v>
      </c>
      <c r="M818" s="2" t="s">
        <v>2524</v>
      </c>
      <c r="N818" t="str">
        <f>TRIM(PROPER(Tabla_auditoría[[#This Row],[ID_Campaña]]))</f>
        <v>Cmp-003</v>
      </c>
      <c r="O818" t="str">
        <f>TRIM(PROPER(Tabla_auditoría[[#This Row],[Canal]]))</f>
        <v>Display</v>
      </c>
      <c r="P818" t="str">
        <f>TRIM(PROPER(Tabla_auditoría[[#This Row],[País]]))</f>
        <v>España</v>
      </c>
      <c r="Q818" t="str">
        <f>TRIM(PROPER(Tabla_auditoría[[#This Row],[Dispositivo]]))</f>
        <v>Mobile</v>
      </c>
      <c r="R818" t="str">
        <f>TRIM(PROPER(Tabla_auditoría[[#This Row],[Tipo_Campaña]]))</f>
        <v>Reconocimiento</v>
      </c>
      <c r="S818" t="str">
        <f>TRIM(PROPER(Tabla_auditoría[[#This Row],[Responsable]]))</f>
        <v>Luis Martín</v>
      </c>
    </row>
    <row r="819" spans="1:19" x14ac:dyDescent="0.3">
      <c r="A819" s="1">
        <v>45741</v>
      </c>
      <c r="B819" s="2" t="s">
        <v>2551</v>
      </c>
      <c r="C819" s="2" t="s">
        <v>2527</v>
      </c>
      <c r="D819" s="2" t="s">
        <v>2528</v>
      </c>
      <c r="E819" s="2" t="s">
        <v>2529</v>
      </c>
      <c r="F819" s="3">
        <v>34362</v>
      </c>
      <c r="G819" s="3">
        <v>213</v>
      </c>
      <c r="H819" s="3">
        <v>16</v>
      </c>
      <c r="I819" s="4">
        <v>60.36</v>
      </c>
      <c r="J819" s="4">
        <v>2183.71</v>
      </c>
      <c r="K819" s="3">
        <v>13</v>
      </c>
      <c r="L819" s="2" t="s">
        <v>2539</v>
      </c>
      <c r="M819" s="2" t="s">
        <v>2519</v>
      </c>
      <c r="N819" t="str">
        <f>TRIM(PROPER(Tabla_auditoría[[#This Row],[ID_Campaña]]))</f>
        <v>Cmp-028</v>
      </c>
      <c r="O819" t="str">
        <f>TRIM(PROPER(Tabla_auditoría[[#This Row],[Canal]]))</f>
        <v>Affiliate</v>
      </c>
      <c r="P819" t="str">
        <f>TRIM(PROPER(Tabla_auditoría[[#This Row],[País]]))</f>
        <v>España</v>
      </c>
      <c r="Q819" t="str">
        <f>TRIM(PROPER(Tabla_auditoría[[#This Row],[Dispositivo]]))</f>
        <v>Mobile</v>
      </c>
      <c r="R819" t="str">
        <f>TRIM(PROPER(Tabla_auditoría[[#This Row],[Tipo_Campaña]]))</f>
        <v>Conversión</v>
      </c>
      <c r="S819" t="str">
        <f>TRIM(PROPER(Tabla_auditoría[[#This Row],[Responsable]]))</f>
        <v>Carlos Ruiz</v>
      </c>
    </row>
    <row r="820" spans="1:19" x14ac:dyDescent="0.3">
      <c r="A820" s="1">
        <v>45942</v>
      </c>
      <c r="B820" s="2" t="s">
        <v>2569</v>
      </c>
      <c r="C820" s="2" t="s">
        <v>2575</v>
      </c>
      <c r="D820" s="2" t="s">
        <v>2516</v>
      </c>
      <c r="E820" s="2" t="s">
        <v>2529</v>
      </c>
      <c r="F820" s="3">
        <v>114352</v>
      </c>
      <c r="G820" s="3">
        <v>3496</v>
      </c>
      <c r="H820" s="3">
        <v>404</v>
      </c>
      <c r="I820" s="4">
        <v>4254.88</v>
      </c>
      <c r="J820" s="4">
        <v>24303.26</v>
      </c>
      <c r="K820" s="3">
        <v>311</v>
      </c>
      <c r="L820" s="2" t="s">
        <v>2518</v>
      </c>
      <c r="M820" s="2" t="s">
        <v>2537</v>
      </c>
      <c r="N820" t="str">
        <f>TRIM(PROPER(Tabla_auditoría[[#This Row],[ID_Campaña]]))</f>
        <v>Cmp-013</v>
      </c>
      <c r="O820" t="str">
        <f>TRIM(PROPER(Tabla_auditoría[[#This Row],[Canal]]))</f>
        <v>Paid Search</v>
      </c>
      <c r="P820" t="str">
        <f>TRIM(PROPER(Tabla_auditoría[[#This Row],[País]]))</f>
        <v>México</v>
      </c>
      <c r="Q820" t="str">
        <f>TRIM(PROPER(Tabla_auditoría[[#This Row],[Dispositivo]]))</f>
        <v>Mobile</v>
      </c>
      <c r="R820" t="str">
        <f>TRIM(PROPER(Tabla_auditoría[[#This Row],[Tipo_Campaña]]))</f>
        <v>Adquisición</v>
      </c>
      <c r="S820" t="str">
        <f>TRIM(PROPER(Tabla_auditoría[[#This Row],[Responsable]]))</f>
        <v>Marta López</v>
      </c>
    </row>
    <row r="821" spans="1:19" x14ac:dyDescent="0.3">
      <c r="A821" s="1">
        <v>45966</v>
      </c>
      <c r="B821" s="2" t="s">
        <v>2549</v>
      </c>
      <c r="C821" s="2" t="s">
        <v>2521</v>
      </c>
      <c r="D821" s="2" t="s">
        <v>2525</v>
      </c>
      <c r="E821" s="2" t="s">
        <v>2517</v>
      </c>
      <c r="F821" s="3">
        <v>10378</v>
      </c>
      <c r="G821" s="3">
        <v>865</v>
      </c>
      <c r="H821" s="3">
        <v>59</v>
      </c>
      <c r="I821" s="4">
        <v>1378.02</v>
      </c>
      <c r="J821" s="4">
        <v>1778.6</v>
      </c>
      <c r="K821" s="3">
        <v>44</v>
      </c>
      <c r="L821" s="2" t="s">
        <v>2536</v>
      </c>
      <c r="M821" s="2" t="s">
        <v>2526</v>
      </c>
      <c r="N821" t="str">
        <f>TRIM(PROPER(Tabla_auditoría[[#This Row],[ID_Campaña]]))</f>
        <v>Cmp-007</v>
      </c>
      <c r="O821" t="str">
        <f>TRIM(PROPER(Tabla_auditoría[[#This Row],[Canal]]))</f>
        <v>Paid Search</v>
      </c>
      <c r="P821" t="str">
        <f>TRIM(PROPER(Tabla_auditoría[[#This Row],[País]]))</f>
        <v>Francia</v>
      </c>
      <c r="Q821" t="str">
        <f>TRIM(PROPER(Tabla_auditoría[[#This Row],[Dispositivo]]))</f>
        <v>Desktop</v>
      </c>
      <c r="R821" t="str">
        <f>TRIM(PROPER(Tabla_auditoría[[#This Row],[Tipo_Campaña]]))</f>
        <v>Reconocimiento</v>
      </c>
      <c r="S821" t="str">
        <f>TRIM(PROPER(Tabla_auditoría[[#This Row],[Responsable]]))</f>
        <v>Laura Pérez</v>
      </c>
    </row>
    <row r="822" spans="1:19" x14ac:dyDescent="0.3">
      <c r="A822" s="1">
        <v>45820</v>
      </c>
      <c r="B822" s="2" t="s">
        <v>2547</v>
      </c>
      <c r="C822" s="2" t="s">
        <v>2521</v>
      </c>
      <c r="D822" s="2" t="s">
        <v>2587</v>
      </c>
      <c r="E822" s="2" t="s">
        <v>2517</v>
      </c>
      <c r="F822" s="3">
        <v>116481</v>
      </c>
      <c r="G822" s="3">
        <v>9251</v>
      </c>
      <c r="H822" s="3">
        <v>1043</v>
      </c>
      <c r="I822" s="4">
        <v>7793.73</v>
      </c>
      <c r="J822" s="4">
        <v>46258.8</v>
      </c>
      <c r="K822" s="3">
        <v>854</v>
      </c>
      <c r="L822" s="2" t="s">
        <v>2523</v>
      </c>
      <c r="M822" s="2" t="s">
        <v>2537</v>
      </c>
      <c r="N822" t="str">
        <f>TRIM(PROPER(Tabla_auditoría[[#This Row],[ID_Campaña]]))</f>
        <v>Cmp-018</v>
      </c>
      <c r="O822" t="str">
        <f>TRIM(PROPER(Tabla_auditoría[[#This Row],[Canal]]))</f>
        <v>Paid Search</v>
      </c>
      <c r="P822" t="str">
        <f>TRIM(PROPER(Tabla_auditoría[[#This Row],[País]]))</f>
        <v>Italia</v>
      </c>
      <c r="Q822" t="str">
        <f>TRIM(PROPER(Tabla_auditoría[[#This Row],[Dispositivo]]))</f>
        <v>Desktop</v>
      </c>
      <c r="R822" t="str">
        <f>TRIM(PROPER(Tabla_auditoría[[#This Row],[Tipo_Campaña]]))</f>
        <v>Retención</v>
      </c>
      <c r="S822" t="str">
        <f>TRIM(PROPER(Tabla_auditoría[[#This Row],[Responsable]]))</f>
        <v>Marta López</v>
      </c>
    </row>
    <row r="823" spans="1:19" x14ac:dyDescent="0.3">
      <c r="A823" s="1">
        <v>45894</v>
      </c>
      <c r="B823" s="2" t="s">
        <v>2569</v>
      </c>
      <c r="C823" s="2" t="s">
        <v>2533</v>
      </c>
      <c r="D823" s="2" t="s">
        <v>2531</v>
      </c>
      <c r="E823" s="2" t="s">
        <v>2517</v>
      </c>
      <c r="F823" s="3">
        <v>149412</v>
      </c>
      <c r="G823" s="3">
        <v>8711</v>
      </c>
      <c r="H823" s="3">
        <v>724</v>
      </c>
      <c r="I823" s="4">
        <v>7475.95</v>
      </c>
      <c r="J823" s="4">
        <v>91341.68</v>
      </c>
      <c r="K823" s="3">
        <v>612</v>
      </c>
      <c r="L823" s="2" t="s">
        <v>2518</v>
      </c>
      <c r="M823" s="2" t="s">
        <v>2537</v>
      </c>
      <c r="N823" t="str">
        <f>TRIM(PROPER(Tabla_auditoría[[#This Row],[ID_Campaña]]))</f>
        <v>Cmp-013</v>
      </c>
      <c r="O823" t="str">
        <f>TRIM(PROPER(Tabla_auditoría[[#This Row],[Canal]]))</f>
        <v>Paid Social</v>
      </c>
      <c r="P823" t="str">
        <f>TRIM(PROPER(Tabla_auditoría[[#This Row],[País]]))</f>
        <v>Portugal</v>
      </c>
      <c r="Q823" t="str">
        <f>TRIM(PROPER(Tabla_auditoría[[#This Row],[Dispositivo]]))</f>
        <v>Desktop</v>
      </c>
      <c r="R823" t="str">
        <f>TRIM(PROPER(Tabla_auditoría[[#This Row],[Tipo_Campaña]]))</f>
        <v>Adquisición</v>
      </c>
      <c r="S823" t="str">
        <f>TRIM(PROPER(Tabla_auditoría[[#This Row],[Responsable]]))</f>
        <v>Marta López</v>
      </c>
    </row>
    <row r="824" spans="1:19" x14ac:dyDescent="0.3">
      <c r="A824" s="1">
        <v>45726</v>
      </c>
      <c r="B824" s="2" t="s">
        <v>2514</v>
      </c>
      <c r="C824" s="2" t="s">
        <v>2533</v>
      </c>
      <c r="D824" s="2" t="s">
        <v>2516</v>
      </c>
      <c r="E824" s="2" t="s">
        <v>2534</v>
      </c>
      <c r="F824" s="3">
        <v>106161</v>
      </c>
      <c r="G824" s="3">
        <v>3887</v>
      </c>
      <c r="H824" s="3">
        <v>154</v>
      </c>
      <c r="I824" s="4">
        <v>5573.03</v>
      </c>
      <c r="J824" s="4">
        <v>23791.43</v>
      </c>
      <c r="K824" s="3">
        <v>81</v>
      </c>
      <c r="L824" s="2" t="s">
        <v>2539</v>
      </c>
      <c r="M824" s="2" t="s">
        <v>2546</v>
      </c>
      <c r="N824" t="str">
        <f>TRIM(PROPER(Tabla_auditoría[[#This Row],[ID_Campaña]]))</f>
        <v>Cmp-002</v>
      </c>
      <c r="O824" t="str">
        <f>TRIM(PROPER(Tabla_auditoría[[#This Row],[Canal]]))</f>
        <v>Paid Social</v>
      </c>
      <c r="P824" t="str">
        <f>TRIM(PROPER(Tabla_auditoría[[#This Row],[País]]))</f>
        <v>México</v>
      </c>
      <c r="Q824" t="str">
        <f>TRIM(PROPER(Tabla_auditoría[[#This Row],[Dispositivo]]))</f>
        <v>Tablet</v>
      </c>
      <c r="R824" t="str">
        <f>TRIM(PROPER(Tabla_auditoría[[#This Row],[Tipo_Campaña]]))</f>
        <v>Conversión</v>
      </c>
      <c r="S824" t="str">
        <f>TRIM(PROPER(Tabla_auditoría[[#This Row],[Responsable]]))</f>
        <v>Ana García</v>
      </c>
    </row>
    <row r="825" spans="1:19" x14ac:dyDescent="0.3">
      <c r="A825" s="1">
        <v>45885</v>
      </c>
      <c r="B825" s="2" t="s">
        <v>2594</v>
      </c>
      <c r="C825" s="2" t="s">
        <v>2541</v>
      </c>
      <c r="D825" s="2" t="s">
        <v>2528</v>
      </c>
      <c r="E825" s="2" t="s">
        <v>2517</v>
      </c>
      <c r="F825" s="3">
        <v>169442</v>
      </c>
      <c r="G825" s="3">
        <v>12259</v>
      </c>
      <c r="H825" s="3">
        <v>183</v>
      </c>
      <c r="I825" s="4">
        <v>11671.66</v>
      </c>
      <c r="J825" s="4">
        <v>26088.82</v>
      </c>
      <c r="K825" s="3">
        <v>157</v>
      </c>
      <c r="L825" s="2" t="s">
        <v>2536</v>
      </c>
      <c r="M825" s="2" t="s">
        <v>2524</v>
      </c>
      <c r="N825" t="str">
        <f>TRIM(PROPER(Tabla_auditoría[[#This Row],[ID_Campaña]]))</f>
        <v>Cmp-030</v>
      </c>
      <c r="O825" t="str">
        <f>TRIM(PROPER(Tabla_auditoría[[#This Row],[Canal]]))</f>
        <v>Display</v>
      </c>
      <c r="P825" t="str">
        <f>TRIM(PROPER(Tabla_auditoría[[#This Row],[País]]))</f>
        <v>España</v>
      </c>
      <c r="Q825" t="str">
        <f>TRIM(PROPER(Tabla_auditoría[[#This Row],[Dispositivo]]))</f>
        <v>Desktop</v>
      </c>
      <c r="R825" t="str">
        <f>TRIM(PROPER(Tabla_auditoría[[#This Row],[Tipo_Campaña]]))</f>
        <v>Reconocimiento</v>
      </c>
      <c r="S825" t="str">
        <f>TRIM(PROPER(Tabla_auditoría[[#This Row],[Responsable]]))</f>
        <v>Luis Martín</v>
      </c>
    </row>
    <row r="826" spans="1:19" x14ac:dyDescent="0.3">
      <c r="A826" s="1">
        <v>45983</v>
      </c>
      <c r="B826" s="2" t="s">
        <v>2549</v>
      </c>
      <c r="C826" s="2" t="s">
        <v>2515</v>
      </c>
      <c r="D826" s="2" t="s">
        <v>2528</v>
      </c>
      <c r="E826" s="2" t="s">
        <v>2529</v>
      </c>
      <c r="F826" s="3">
        <v>129396</v>
      </c>
      <c r="G826" s="3">
        <v>2635</v>
      </c>
      <c r="H826" s="3">
        <v>360</v>
      </c>
      <c r="I826" s="4">
        <v>4937.34</v>
      </c>
      <c r="J826" s="4">
        <v>67845.22</v>
      </c>
      <c r="K826" s="3">
        <v>221</v>
      </c>
      <c r="L826" s="2" t="s">
        <v>2523</v>
      </c>
      <c r="M826" s="2" t="s">
        <v>2526</v>
      </c>
      <c r="N826" t="str">
        <f>TRIM(PROPER(Tabla_auditoría[[#This Row],[ID_Campaña]]))</f>
        <v>Cmp-007</v>
      </c>
      <c r="O826" t="str">
        <f>TRIM(PROPER(Tabla_auditoría[[#This Row],[Canal]]))</f>
        <v>Email</v>
      </c>
      <c r="P826" t="str">
        <f>TRIM(PROPER(Tabla_auditoría[[#This Row],[País]]))</f>
        <v>España</v>
      </c>
      <c r="Q826" t="str">
        <f>TRIM(PROPER(Tabla_auditoría[[#This Row],[Dispositivo]]))</f>
        <v>Mobile</v>
      </c>
      <c r="R826" t="str">
        <f>TRIM(PROPER(Tabla_auditoría[[#This Row],[Tipo_Campaña]]))</f>
        <v>Retención</v>
      </c>
      <c r="S826" t="str">
        <f>TRIM(PROPER(Tabla_auditoría[[#This Row],[Responsable]]))</f>
        <v>Laura Pérez</v>
      </c>
    </row>
    <row r="827" spans="1:19" x14ac:dyDescent="0.3">
      <c r="A827" s="1">
        <v>45720</v>
      </c>
      <c r="B827" s="2" t="s">
        <v>2544</v>
      </c>
      <c r="C827" s="2" t="s">
        <v>2515</v>
      </c>
      <c r="D827" s="2" t="s">
        <v>2528</v>
      </c>
      <c r="E827" s="2" t="s">
        <v>2529</v>
      </c>
      <c r="F827" s="3">
        <v>77325</v>
      </c>
      <c r="G827" s="3">
        <v>6145</v>
      </c>
      <c r="H827" s="3">
        <v>61</v>
      </c>
      <c r="I827" s="4">
        <v>8498.1299999999992</v>
      </c>
      <c r="J827" s="4">
        <v>12125.94</v>
      </c>
      <c r="K827" s="3">
        <v>34</v>
      </c>
      <c r="L827" s="2" t="s">
        <v>2523</v>
      </c>
      <c r="M827" s="2" t="s">
        <v>2519</v>
      </c>
      <c r="N827" t="str">
        <f>TRIM(PROPER(Tabla_auditoría[[#This Row],[ID_Campaña]]))</f>
        <v>Cmp-006</v>
      </c>
      <c r="O827" t="str">
        <f>TRIM(PROPER(Tabla_auditoría[[#This Row],[Canal]]))</f>
        <v>Email</v>
      </c>
      <c r="P827" t="str">
        <f>TRIM(PROPER(Tabla_auditoría[[#This Row],[País]]))</f>
        <v>España</v>
      </c>
      <c r="Q827" t="str">
        <f>TRIM(PROPER(Tabla_auditoría[[#This Row],[Dispositivo]]))</f>
        <v>Mobile</v>
      </c>
      <c r="R827" t="str">
        <f>TRIM(PROPER(Tabla_auditoría[[#This Row],[Tipo_Campaña]]))</f>
        <v>Retención</v>
      </c>
      <c r="S827" t="str">
        <f>TRIM(PROPER(Tabla_auditoría[[#This Row],[Responsable]]))</f>
        <v>Carlos Ruiz</v>
      </c>
    </row>
    <row r="828" spans="1:19" x14ac:dyDescent="0.3">
      <c r="A828" s="1">
        <v>45769</v>
      </c>
      <c r="B828" s="2" t="s">
        <v>2574</v>
      </c>
      <c r="C828" s="2" t="s">
        <v>2533</v>
      </c>
      <c r="D828" s="2" t="s">
        <v>2528</v>
      </c>
      <c r="E828" s="2" t="s">
        <v>2517</v>
      </c>
      <c r="F828" s="3">
        <v>108296</v>
      </c>
      <c r="G828" s="3">
        <v>3870</v>
      </c>
      <c r="H828" s="3">
        <v>198</v>
      </c>
      <c r="I828" s="4">
        <v>708.28</v>
      </c>
      <c r="J828" s="4">
        <v>38705.94</v>
      </c>
      <c r="K828" s="3">
        <v>167</v>
      </c>
      <c r="L828" s="2" t="s">
        <v>2518</v>
      </c>
      <c r="M828" s="2" t="s">
        <v>2519</v>
      </c>
      <c r="N828" t="str">
        <f>TRIM(PROPER(Tabla_auditoría[[#This Row],[ID_Campaña]]))</f>
        <v>Cmp-003</v>
      </c>
      <c r="O828" t="str">
        <f>TRIM(PROPER(Tabla_auditoría[[#This Row],[Canal]]))</f>
        <v>Paid Social</v>
      </c>
      <c r="P828" t="str">
        <f>TRIM(PROPER(Tabla_auditoría[[#This Row],[País]]))</f>
        <v>España</v>
      </c>
      <c r="Q828" t="str">
        <f>TRIM(PROPER(Tabla_auditoría[[#This Row],[Dispositivo]]))</f>
        <v>Desktop</v>
      </c>
      <c r="R828" t="str">
        <f>TRIM(PROPER(Tabla_auditoría[[#This Row],[Tipo_Campaña]]))</f>
        <v>Adquisición</v>
      </c>
      <c r="S828" t="str">
        <f>TRIM(PROPER(Tabla_auditoría[[#This Row],[Responsable]]))</f>
        <v>Carlos Ruiz</v>
      </c>
    </row>
    <row r="829" spans="1:19" x14ac:dyDescent="0.3">
      <c r="A829" s="1">
        <v>45881</v>
      </c>
      <c r="B829" s="2" t="s">
        <v>2552</v>
      </c>
      <c r="C829" s="2" t="s">
        <v>2515</v>
      </c>
      <c r="D829" s="2" t="s">
        <v>2528</v>
      </c>
      <c r="E829" s="2" t="s">
        <v>2534</v>
      </c>
      <c r="F829" s="3">
        <v>92190</v>
      </c>
      <c r="G829" s="3">
        <v>3343</v>
      </c>
      <c r="H829" s="3">
        <v>101</v>
      </c>
      <c r="I829" s="4">
        <v>6911.16</v>
      </c>
      <c r="J829" s="4">
        <v>18808.75</v>
      </c>
      <c r="K829" s="3">
        <v>76</v>
      </c>
      <c r="L829" s="2" t="s">
        <v>2539</v>
      </c>
      <c r="M829" s="2" t="s">
        <v>2526</v>
      </c>
      <c r="N829" t="str">
        <f>TRIM(PROPER(Tabla_auditoría[[#This Row],[ID_Campaña]]))</f>
        <v>Cmp-012</v>
      </c>
      <c r="O829" t="str">
        <f>TRIM(PROPER(Tabla_auditoría[[#This Row],[Canal]]))</f>
        <v>Email</v>
      </c>
      <c r="P829" t="str">
        <f>TRIM(PROPER(Tabla_auditoría[[#This Row],[País]]))</f>
        <v>España</v>
      </c>
      <c r="Q829" t="str">
        <f>TRIM(PROPER(Tabla_auditoría[[#This Row],[Dispositivo]]))</f>
        <v>Tablet</v>
      </c>
      <c r="R829" t="str">
        <f>TRIM(PROPER(Tabla_auditoría[[#This Row],[Tipo_Campaña]]))</f>
        <v>Conversión</v>
      </c>
      <c r="S829" t="str">
        <f>TRIM(PROPER(Tabla_auditoría[[#This Row],[Responsable]]))</f>
        <v>Laura Pérez</v>
      </c>
    </row>
    <row r="830" spans="1:19" x14ac:dyDescent="0.3">
      <c r="A830" s="1">
        <v>45960</v>
      </c>
      <c r="B830" s="2" t="s">
        <v>2549</v>
      </c>
      <c r="C830" s="2" t="s">
        <v>2521</v>
      </c>
      <c r="D830" s="2" t="s">
        <v>2528</v>
      </c>
      <c r="E830" s="2" t="s">
        <v>2529</v>
      </c>
      <c r="F830" s="3">
        <v>145614</v>
      </c>
      <c r="G830" s="3">
        <v>11489</v>
      </c>
      <c r="H830" s="3">
        <v>673</v>
      </c>
      <c r="I830" s="4">
        <v>18880.11</v>
      </c>
      <c r="J830" s="4">
        <v>76757.77</v>
      </c>
      <c r="K830" s="3">
        <v>354</v>
      </c>
      <c r="L830" s="2" t="s">
        <v>2518</v>
      </c>
      <c r="M830" s="2" t="s">
        <v>2526</v>
      </c>
      <c r="N830" t="str">
        <f>TRIM(PROPER(Tabla_auditoría[[#This Row],[ID_Campaña]]))</f>
        <v>Cmp-007</v>
      </c>
      <c r="O830" t="str">
        <f>TRIM(PROPER(Tabla_auditoría[[#This Row],[Canal]]))</f>
        <v>Paid Search</v>
      </c>
      <c r="P830" t="str">
        <f>TRIM(PROPER(Tabla_auditoría[[#This Row],[País]]))</f>
        <v>España</v>
      </c>
      <c r="Q830" t="str">
        <f>TRIM(PROPER(Tabla_auditoría[[#This Row],[Dispositivo]]))</f>
        <v>Mobile</v>
      </c>
      <c r="R830" t="str">
        <f>TRIM(PROPER(Tabla_auditoría[[#This Row],[Tipo_Campaña]]))</f>
        <v>Adquisición</v>
      </c>
      <c r="S830" t="str">
        <f>TRIM(PROPER(Tabla_auditoría[[#This Row],[Responsable]]))</f>
        <v>Laura Pérez</v>
      </c>
    </row>
    <row r="831" spans="1:19" x14ac:dyDescent="0.3">
      <c r="A831" s="1">
        <v>45685</v>
      </c>
      <c r="B831" s="2" t="s">
        <v>2568</v>
      </c>
      <c r="C831" s="2" t="s">
        <v>2521</v>
      </c>
      <c r="D831" s="2" t="s">
        <v>2528</v>
      </c>
      <c r="E831" s="2" t="s">
        <v>2517</v>
      </c>
      <c r="F831" s="3">
        <v>109628</v>
      </c>
      <c r="G831" s="3">
        <v>5201</v>
      </c>
      <c r="H831" s="3">
        <v>666</v>
      </c>
      <c r="I831" s="4">
        <v>7105.83</v>
      </c>
      <c r="J831" s="4">
        <v>14306.76</v>
      </c>
      <c r="K831" s="3">
        <v>594</v>
      </c>
      <c r="L831" s="2" t="s">
        <v>2536</v>
      </c>
      <c r="M831" s="2" t="s">
        <v>2537</v>
      </c>
      <c r="N831" t="str">
        <f>TRIM(PROPER(Tabla_auditoría[[#This Row],[ID_Campaña]]))</f>
        <v>Cmp-020</v>
      </c>
      <c r="O831" t="str">
        <f>TRIM(PROPER(Tabla_auditoría[[#This Row],[Canal]]))</f>
        <v>Paid Search</v>
      </c>
      <c r="P831" t="str">
        <f>TRIM(PROPER(Tabla_auditoría[[#This Row],[País]]))</f>
        <v>España</v>
      </c>
      <c r="Q831" t="str">
        <f>TRIM(PROPER(Tabla_auditoría[[#This Row],[Dispositivo]]))</f>
        <v>Desktop</v>
      </c>
      <c r="R831" t="str">
        <f>TRIM(PROPER(Tabla_auditoría[[#This Row],[Tipo_Campaña]]))</f>
        <v>Reconocimiento</v>
      </c>
      <c r="S831" t="str">
        <f>TRIM(PROPER(Tabla_auditoría[[#This Row],[Responsable]]))</f>
        <v>Marta López</v>
      </c>
    </row>
    <row r="832" spans="1:19" x14ac:dyDescent="0.3">
      <c r="A832" s="1">
        <v>45777</v>
      </c>
      <c r="B832" s="2" t="s">
        <v>2564</v>
      </c>
      <c r="C832" s="2" t="s">
        <v>2533</v>
      </c>
      <c r="D832" s="2" t="s">
        <v>2525</v>
      </c>
      <c r="E832" s="2" t="s">
        <v>2517</v>
      </c>
      <c r="F832" s="3">
        <v>158005</v>
      </c>
      <c r="G832" s="3">
        <v>10564</v>
      </c>
      <c r="H832" s="3">
        <v>875</v>
      </c>
      <c r="I832" s="4">
        <v>20563.59</v>
      </c>
      <c r="J832" s="4">
        <v>136576.22</v>
      </c>
      <c r="K832" s="3">
        <v>596</v>
      </c>
      <c r="L832" s="2" t="s">
        <v>2523</v>
      </c>
      <c r="M832" s="2" t="s">
        <v>2526</v>
      </c>
      <c r="N832" t="str">
        <f>TRIM(PROPER(Tabla_auditoría[[#This Row],[ID_Campaña]]))</f>
        <v>Cmp-024</v>
      </c>
      <c r="O832" t="str">
        <f>TRIM(PROPER(Tabla_auditoría[[#This Row],[Canal]]))</f>
        <v>Paid Social</v>
      </c>
      <c r="P832" t="str">
        <f>TRIM(PROPER(Tabla_auditoría[[#This Row],[País]]))</f>
        <v>Francia</v>
      </c>
      <c r="Q832" t="str">
        <f>TRIM(PROPER(Tabla_auditoría[[#This Row],[Dispositivo]]))</f>
        <v>Desktop</v>
      </c>
      <c r="R832" t="str">
        <f>TRIM(PROPER(Tabla_auditoría[[#This Row],[Tipo_Campaña]]))</f>
        <v>Retención</v>
      </c>
      <c r="S832" t="str">
        <f>TRIM(PROPER(Tabla_auditoría[[#This Row],[Responsable]]))</f>
        <v>Laura Pérez</v>
      </c>
    </row>
    <row r="833" spans="1:19" x14ac:dyDescent="0.3">
      <c r="A833" s="1">
        <v>45805</v>
      </c>
      <c r="B833" s="2" t="s">
        <v>2545</v>
      </c>
      <c r="C833" s="2" t="s">
        <v>2527</v>
      </c>
      <c r="D833" s="2" t="s">
        <v>2528</v>
      </c>
      <c r="E833" s="2" t="s">
        <v>2517</v>
      </c>
      <c r="F833" s="3">
        <v>126790</v>
      </c>
      <c r="G833" s="3">
        <v>5145</v>
      </c>
      <c r="H833" s="3">
        <v>349</v>
      </c>
      <c r="I833" s="4">
        <v>5111.76</v>
      </c>
      <c r="J833" s="4">
        <v>19216.990000000002</v>
      </c>
      <c r="K833" s="3">
        <v>167</v>
      </c>
      <c r="L833" s="2" t="s">
        <v>2536</v>
      </c>
      <c r="M833" s="2" t="s">
        <v>2524</v>
      </c>
      <c r="N833" t="str">
        <f>TRIM(PROPER(Tabla_auditoría[[#This Row],[ID_Campaña]]))</f>
        <v>Cmp-011</v>
      </c>
      <c r="O833" t="str">
        <f>TRIM(PROPER(Tabla_auditoría[[#This Row],[Canal]]))</f>
        <v>Affiliate</v>
      </c>
      <c r="P833" t="str">
        <f>TRIM(PROPER(Tabla_auditoría[[#This Row],[País]]))</f>
        <v>España</v>
      </c>
      <c r="Q833" t="str">
        <f>TRIM(PROPER(Tabla_auditoría[[#This Row],[Dispositivo]]))</f>
        <v>Desktop</v>
      </c>
      <c r="R833" t="str">
        <f>TRIM(PROPER(Tabla_auditoría[[#This Row],[Tipo_Campaña]]))</f>
        <v>Reconocimiento</v>
      </c>
      <c r="S833" t="str">
        <f>TRIM(PROPER(Tabla_auditoría[[#This Row],[Responsable]]))</f>
        <v>Luis Martín</v>
      </c>
    </row>
    <row r="834" spans="1:19" x14ac:dyDescent="0.3">
      <c r="A834" s="1">
        <v>45711</v>
      </c>
      <c r="B834" s="2" t="s">
        <v>2550</v>
      </c>
      <c r="C834" s="2" t="s">
        <v>2515</v>
      </c>
      <c r="D834" s="2" t="s">
        <v>2516</v>
      </c>
      <c r="E834" s="2" t="s">
        <v>2529</v>
      </c>
      <c r="F834" s="3">
        <v>26134</v>
      </c>
      <c r="G834" s="3">
        <v>1126</v>
      </c>
      <c r="H834" s="3">
        <v>35</v>
      </c>
      <c r="I834" s="4">
        <v>1107.51</v>
      </c>
      <c r="J834" s="4">
        <v>819.26</v>
      </c>
      <c r="K834" s="3">
        <v>29</v>
      </c>
      <c r="L834" s="2" t="s">
        <v>2518</v>
      </c>
      <c r="M834" s="2" t="s">
        <v>2546</v>
      </c>
      <c r="N834" t="str">
        <f>TRIM(PROPER(Tabla_auditoría[[#This Row],[ID_Campaña]]))</f>
        <v>Cmp-008</v>
      </c>
      <c r="O834" t="str">
        <f>TRIM(PROPER(Tabla_auditoría[[#This Row],[Canal]]))</f>
        <v>Email</v>
      </c>
      <c r="P834" t="str">
        <f>TRIM(PROPER(Tabla_auditoría[[#This Row],[País]]))</f>
        <v>México</v>
      </c>
      <c r="Q834" t="str">
        <f>TRIM(PROPER(Tabla_auditoría[[#This Row],[Dispositivo]]))</f>
        <v>Mobile</v>
      </c>
      <c r="R834" t="str">
        <f>TRIM(PROPER(Tabla_auditoría[[#This Row],[Tipo_Campaña]]))</f>
        <v>Adquisición</v>
      </c>
      <c r="S834" t="str">
        <f>TRIM(PROPER(Tabla_auditoría[[#This Row],[Responsable]]))</f>
        <v>Ana García</v>
      </c>
    </row>
    <row r="835" spans="1:19" x14ac:dyDescent="0.3">
      <c r="A835" s="1">
        <v>45771</v>
      </c>
      <c r="B835" s="2" t="s">
        <v>2560</v>
      </c>
      <c r="C835" s="2" t="s">
        <v>2527</v>
      </c>
      <c r="D835" s="2" t="s">
        <v>2528</v>
      </c>
      <c r="E835" s="2" t="s">
        <v>2529</v>
      </c>
      <c r="F835" s="3">
        <v>23511</v>
      </c>
      <c r="G835" s="3">
        <v>1184</v>
      </c>
      <c r="H835" s="3">
        <v>148</v>
      </c>
      <c r="I835" s="4">
        <v>2090.86</v>
      </c>
      <c r="J835" s="4">
        <v>11158.78</v>
      </c>
      <c r="K835" s="3">
        <v>131</v>
      </c>
      <c r="L835" s="2" t="s">
        <v>2518</v>
      </c>
      <c r="M835" s="2" t="s">
        <v>2526</v>
      </c>
      <c r="N835" t="str">
        <f>TRIM(PROPER(Tabla_auditoría[[#This Row],[ID_Campaña]]))</f>
        <v>Cmp-027</v>
      </c>
      <c r="O835" t="str">
        <f>TRIM(PROPER(Tabla_auditoría[[#This Row],[Canal]]))</f>
        <v>Affiliate</v>
      </c>
      <c r="P835" t="str">
        <f>TRIM(PROPER(Tabla_auditoría[[#This Row],[País]]))</f>
        <v>España</v>
      </c>
      <c r="Q835" t="str">
        <f>TRIM(PROPER(Tabla_auditoría[[#This Row],[Dispositivo]]))</f>
        <v>Mobile</v>
      </c>
      <c r="R835" t="str">
        <f>TRIM(PROPER(Tabla_auditoría[[#This Row],[Tipo_Campaña]]))</f>
        <v>Adquisición</v>
      </c>
      <c r="S835" t="str">
        <f>TRIM(PROPER(Tabla_auditoría[[#This Row],[Responsable]]))</f>
        <v>Laura Pérez</v>
      </c>
    </row>
    <row r="836" spans="1:19" x14ac:dyDescent="0.3">
      <c r="A836" s="1">
        <v>45899</v>
      </c>
      <c r="B836" s="2" t="s">
        <v>2545</v>
      </c>
      <c r="C836" s="2" t="s">
        <v>2521</v>
      </c>
      <c r="D836" s="2" t="s">
        <v>2516</v>
      </c>
      <c r="E836" s="2" t="s">
        <v>2517</v>
      </c>
      <c r="F836" s="3">
        <v>30910</v>
      </c>
      <c r="G836" s="3">
        <v>1883</v>
      </c>
      <c r="H836" s="3">
        <v>138</v>
      </c>
      <c r="I836" s="4">
        <v>2608.61</v>
      </c>
      <c r="J836" s="4">
        <v>28008.3</v>
      </c>
      <c r="K836" s="3">
        <v>81</v>
      </c>
      <c r="L836" s="2" t="s">
        <v>2539</v>
      </c>
      <c r="M836" s="2" t="s">
        <v>2526</v>
      </c>
      <c r="N836" t="str">
        <f>TRIM(PROPER(Tabla_auditoría[[#This Row],[ID_Campaña]]))</f>
        <v>Cmp-011</v>
      </c>
      <c r="O836" t="str">
        <f>TRIM(PROPER(Tabla_auditoría[[#This Row],[Canal]]))</f>
        <v>Paid Search</v>
      </c>
      <c r="P836" t="str">
        <f>TRIM(PROPER(Tabla_auditoría[[#This Row],[País]]))</f>
        <v>México</v>
      </c>
      <c r="Q836" t="str">
        <f>TRIM(PROPER(Tabla_auditoría[[#This Row],[Dispositivo]]))</f>
        <v>Desktop</v>
      </c>
      <c r="R836" t="str">
        <f>TRIM(PROPER(Tabla_auditoría[[#This Row],[Tipo_Campaña]]))</f>
        <v>Conversión</v>
      </c>
      <c r="S836" t="str">
        <f>TRIM(PROPER(Tabla_auditoría[[#This Row],[Responsable]]))</f>
        <v>Laura Pérez</v>
      </c>
    </row>
    <row r="837" spans="1:19" x14ac:dyDescent="0.3">
      <c r="A837" s="1">
        <v>45816</v>
      </c>
      <c r="B837" s="2" t="s">
        <v>2560</v>
      </c>
      <c r="C837" s="2" t="s">
        <v>2521</v>
      </c>
      <c r="D837" s="2" t="s">
        <v>2525</v>
      </c>
      <c r="E837" s="2" t="s">
        <v>2529</v>
      </c>
      <c r="F837" s="3">
        <v>149544</v>
      </c>
      <c r="G837" s="3">
        <v>10208</v>
      </c>
      <c r="H837" s="3">
        <v>1016</v>
      </c>
      <c r="I837" s="4">
        <v>13261.09</v>
      </c>
      <c r="J837" s="4">
        <v>51645.3</v>
      </c>
      <c r="K837" s="3">
        <v>486</v>
      </c>
      <c r="L837" s="2" t="s">
        <v>2518</v>
      </c>
      <c r="M837" s="2" t="s">
        <v>2537</v>
      </c>
      <c r="N837" t="str">
        <f>TRIM(PROPER(Tabla_auditoría[[#This Row],[ID_Campaña]]))</f>
        <v>Cmp-027</v>
      </c>
      <c r="O837" t="str">
        <f>TRIM(PROPER(Tabla_auditoría[[#This Row],[Canal]]))</f>
        <v>Paid Search</v>
      </c>
      <c r="P837" t="str">
        <f>TRIM(PROPER(Tabla_auditoría[[#This Row],[País]]))</f>
        <v>Francia</v>
      </c>
      <c r="Q837" t="str">
        <f>TRIM(PROPER(Tabla_auditoría[[#This Row],[Dispositivo]]))</f>
        <v>Mobile</v>
      </c>
      <c r="R837" t="str">
        <f>TRIM(PROPER(Tabla_auditoría[[#This Row],[Tipo_Campaña]]))</f>
        <v>Adquisición</v>
      </c>
      <c r="S837" t="str">
        <f>TRIM(PROPER(Tabla_auditoría[[#This Row],[Responsable]]))</f>
        <v>Marta López</v>
      </c>
    </row>
    <row r="838" spans="1:19" x14ac:dyDescent="0.3">
      <c r="A838" s="1">
        <v>45927</v>
      </c>
      <c r="B838" s="2" t="s">
        <v>2552</v>
      </c>
      <c r="C838" s="2" t="s">
        <v>2543</v>
      </c>
      <c r="D838" s="2" t="s">
        <v>2522</v>
      </c>
      <c r="E838" s="2" t="s">
        <v>2529</v>
      </c>
      <c r="F838" s="3">
        <v>14381</v>
      </c>
      <c r="G838" s="3">
        <v>927</v>
      </c>
      <c r="H838" s="3">
        <v>91</v>
      </c>
      <c r="I838" s="4">
        <v>1659.73</v>
      </c>
      <c r="J838" s="4">
        <v>13029.68</v>
      </c>
      <c r="K838" s="3">
        <v>48</v>
      </c>
      <c r="L838" s="2" t="s">
        <v>2518</v>
      </c>
      <c r="M838" s="2" t="s">
        <v>2546</v>
      </c>
      <c r="N838" t="str">
        <f>TRIM(PROPER(Tabla_auditoría[[#This Row],[ID_Campaña]]))</f>
        <v>Cmp-012</v>
      </c>
      <c r="O838" t="str">
        <f>TRIM(PROPER(Tabla_auditoría[[#This Row],[Canal]]))</f>
        <v>Organic Social</v>
      </c>
      <c r="P838" t="str">
        <f>TRIM(PROPER(Tabla_auditoría[[#This Row],[País]]))</f>
        <v>Italia</v>
      </c>
      <c r="Q838" t="str">
        <f>TRIM(PROPER(Tabla_auditoría[[#This Row],[Dispositivo]]))</f>
        <v>Mobile</v>
      </c>
      <c r="R838" t="str">
        <f>TRIM(PROPER(Tabla_auditoría[[#This Row],[Tipo_Campaña]]))</f>
        <v>Adquisición</v>
      </c>
      <c r="S838" t="str">
        <f>TRIM(PROPER(Tabla_auditoría[[#This Row],[Responsable]]))</f>
        <v>Ana García</v>
      </c>
    </row>
    <row r="839" spans="1:19" x14ac:dyDescent="0.3">
      <c r="A839" s="1">
        <v>45735</v>
      </c>
      <c r="B839" s="2" t="s">
        <v>2547</v>
      </c>
      <c r="C839" s="2" t="s">
        <v>2543</v>
      </c>
      <c r="D839" s="2" t="s">
        <v>2528</v>
      </c>
      <c r="E839" s="2" t="s">
        <v>2517</v>
      </c>
      <c r="F839" s="3">
        <v>111545</v>
      </c>
      <c r="G839" s="3">
        <v>8352</v>
      </c>
      <c r="H839" s="3">
        <v>1004</v>
      </c>
      <c r="I839" s="4">
        <v>4492.0200000000004</v>
      </c>
      <c r="J839" s="4">
        <v>71953.429999999993</v>
      </c>
      <c r="K839" s="3">
        <v>566</v>
      </c>
      <c r="L839" s="2" t="s">
        <v>2518</v>
      </c>
      <c r="M839" s="2" t="s">
        <v>2526</v>
      </c>
      <c r="N839" t="str">
        <f>TRIM(PROPER(Tabla_auditoría[[#This Row],[ID_Campaña]]))</f>
        <v>Cmp-018</v>
      </c>
      <c r="O839" t="str">
        <f>TRIM(PROPER(Tabla_auditoría[[#This Row],[Canal]]))</f>
        <v>Organic Social</v>
      </c>
      <c r="P839" t="str">
        <f>TRIM(PROPER(Tabla_auditoría[[#This Row],[País]]))</f>
        <v>España</v>
      </c>
      <c r="Q839" t="str">
        <f>TRIM(PROPER(Tabla_auditoría[[#This Row],[Dispositivo]]))</f>
        <v>Desktop</v>
      </c>
      <c r="R839" t="str">
        <f>TRIM(PROPER(Tabla_auditoría[[#This Row],[Tipo_Campaña]]))</f>
        <v>Adquisición</v>
      </c>
      <c r="S839" t="str">
        <f>TRIM(PROPER(Tabla_auditoría[[#This Row],[Responsable]]))</f>
        <v>Laura Pérez</v>
      </c>
    </row>
    <row r="840" spans="1:19" x14ac:dyDescent="0.3">
      <c r="A840" s="1">
        <v>45807</v>
      </c>
      <c r="B840" s="2" t="s">
        <v>2554</v>
      </c>
      <c r="C840" s="2" t="s">
        <v>2515</v>
      </c>
      <c r="D840" s="2" t="s">
        <v>2531</v>
      </c>
      <c r="E840" s="2" t="s">
        <v>2517</v>
      </c>
      <c r="F840" s="3">
        <v>119496</v>
      </c>
      <c r="G840" s="3">
        <v>1559</v>
      </c>
      <c r="H840" s="3">
        <v>62</v>
      </c>
      <c r="I840" s="4">
        <v>506.81</v>
      </c>
      <c r="J840" s="4">
        <v>1201.55</v>
      </c>
      <c r="K840" s="3">
        <v>47</v>
      </c>
      <c r="L840" s="2" t="s">
        <v>2523</v>
      </c>
      <c r="M840" s="2" t="s">
        <v>2537</v>
      </c>
      <c r="N840" t="str">
        <f>TRIM(PROPER(Tabla_auditoría[[#This Row],[ID_Campaña]]))</f>
        <v>Cmp-019</v>
      </c>
      <c r="O840" t="str">
        <f>TRIM(PROPER(Tabla_auditoría[[#This Row],[Canal]]))</f>
        <v>Email</v>
      </c>
      <c r="P840" t="str">
        <f>TRIM(PROPER(Tabla_auditoría[[#This Row],[País]]))</f>
        <v>Portugal</v>
      </c>
      <c r="Q840" t="str">
        <f>TRIM(PROPER(Tabla_auditoría[[#This Row],[Dispositivo]]))</f>
        <v>Desktop</v>
      </c>
      <c r="R840" t="str">
        <f>TRIM(PROPER(Tabla_auditoría[[#This Row],[Tipo_Campaña]]))</f>
        <v>Retención</v>
      </c>
      <c r="S840" t="str">
        <f>TRIM(PROPER(Tabla_auditoría[[#This Row],[Responsable]]))</f>
        <v>Marta López</v>
      </c>
    </row>
    <row r="841" spans="1:19" x14ac:dyDescent="0.3">
      <c r="A841" s="1">
        <v>45756</v>
      </c>
      <c r="B841" s="2" t="s">
        <v>2566</v>
      </c>
      <c r="C841" s="2" t="s">
        <v>2515</v>
      </c>
      <c r="D841" s="2" t="s">
        <v>2531</v>
      </c>
      <c r="E841" s="2" t="s">
        <v>2517</v>
      </c>
      <c r="F841" s="3">
        <v>118451</v>
      </c>
      <c r="G841" s="3">
        <v>5581</v>
      </c>
      <c r="H841" s="3">
        <v>768</v>
      </c>
      <c r="I841" s="4">
        <v>822.81</v>
      </c>
      <c r="J841" s="4">
        <v>23073.84</v>
      </c>
      <c r="K841" s="3">
        <v>669</v>
      </c>
      <c r="L841" s="2" t="s">
        <v>2523</v>
      </c>
      <c r="M841" s="2" t="s">
        <v>2524</v>
      </c>
      <c r="N841" t="str">
        <f>TRIM(PROPER(Tabla_auditoría[[#This Row],[ID_Campaña]]))</f>
        <v>Cmp-001</v>
      </c>
      <c r="O841" t="str">
        <f>TRIM(PROPER(Tabla_auditoría[[#This Row],[Canal]]))</f>
        <v>Email</v>
      </c>
      <c r="P841" t="str">
        <f>TRIM(PROPER(Tabla_auditoría[[#This Row],[País]]))</f>
        <v>Portugal</v>
      </c>
      <c r="Q841" t="str">
        <f>TRIM(PROPER(Tabla_auditoría[[#This Row],[Dispositivo]]))</f>
        <v>Desktop</v>
      </c>
      <c r="R841" t="str">
        <f>TRIM(PROPER(Tabla_auditoría[[#This Row],[Tipo_Campaña]]))</f>
        <v>Retención</v>
      </c>
      <c r="S841" t="str">
        <f>TRIM(PROPER(Tabla_auditoría[[#This Row],[Responsable]]))</f>
        <v>Luis Martín</v>
      </c>
    </row>
    <row r="842" spans="1:19" x14ac:dyDescent="0.3">
      <c r="A842" s="1">
        <v>46015</v>
      </c>
      <c r="B842" s="2" t="s">
        <v>2545</v>
      </c>
      <c r="C842" s="2" t="s">
        <v>2515</v>
      </c>
      <c r="D842" s="2" t="s">
        <v>2531</v>
      </c>
      <c r="E842" s="2" t="s">
        <v>2529</v>
      </c>
      <c r="F842" s="3">
        <v>90953</v>
      </c>
      <c r="G842" s="3">
        <v>5395</v>
      </c>
      <c r="H842" s="3">
        <v>715</v>
      </c>
      <c r="I842" s="4">
        <v>11158.91</v>
      </c>
      <c r="J842" s="4">
        <v>37462.21</v>
      </c>
      <c r="K842" s="3">
        <v>639</v>
      </c>
      <c r="L842" s="2" t="s">
        <v>2536</v>
      </c>
      <c r="M842" s="2" t="s">
        <v>2526</v>
      </c>
      <c r="N842" t="str">
        <f>TRIM(PROPER(Tabla_auditoría[[#This Row],[ID_Campaña]]))</f>
        <v>Cmp-011</v>
      </c>
      <c r="O842" t="str">
        <f>TRIM(PROPER(Tabla_auditoría[[#This Row],[Canal]]))</f>
        <v>Email</v>
      </c>
      <c r="P842" t="str">
        <f>TRIM(PROPER(Tabla_auditoría[[#This Row],[País]]))</f>
        <v>Portugal</v>
      </c>
      <c r="Q842" t="str">
        <f>TRIM(PROPER(Tabla_auditoría[[#This Row],[Dispositivo]]))</f>
        <v>Mobile</v>
      </c>
      <c r="R842" t="str">
        <f>TRIM(PROPER(Tabla_auditoría[[#This Row],[Tipo_Campaña]]))</f>
        <v>Reconocimiento</v>
      </c>
      <c r="S842" t="str">
        <f>TRIM(PROPER(Tabla_auditoría[[#This Row],[Responsable]]))</f>
        <v>Laura Pérez</v>
      </c>
    </row>
    <row r="843" spans="1:19" x14ac:dyDescent="0.3">
      <c r="A843" s="1">
        <v>45777</v>
      </c>
      <c r="B843" s="2" t="s">
        <v>2535</v>
      </c>
      <c r="C843" s="2" t="s">
        <v>2515</v>
      </c>
      <c r="D843" s="2" t="s">
        <v>2531</v>
      </c>
      <c r="E843" s="2" t="s">
        <v>2517</v>
      </c>
      <c r="F843" s="3">
        <v>136154</v>
      </c>
      <c r="G843" s="3">
        <v>11781</v>
      </c>
      <c r="H843" s="3">
        <v>1109</v>
      </c>
      <c r="I843" s="4">
        <v>13673.61</v>
      </c>
      <c r="J843" s="4">
        <v>227706.76</v>
      </c>
      <c r="K843" s="3">
        <v>554</v>
      </c>
      <c r="L843" s="2" t="s">
        <v>2539</v>
      </c>
      <c r="M843" s="2" t="s">
        <v>2526</v>
      </c>
      <c r="N843" t="str">
        <f>TRIM(PROPER(Tabla_auditoría[[#This Row],[ID_Campaña]]))</f>
        <v>Cmp-015</v>
      </c>
      <c r="O843" t="str">
        <f>TRIM(PROPER(Tabla_auditoría[[#This Row],[Canal]]))</f>
        <v>Email</v>
      </c>
      <c r="P843" t="str">
        <f>TRIM(PROPER(Tabla_auditoría[[#This Row],[País]]))</f>
        <v>Portugal</v>
      </c>
      <c r="Q843" t="str">
        <f>TRIM(PROPER(Tabla_auditoría[[#This Row],[Dispositivo]]))</f>
        <v>Desktop</v>
      </c>
      <c r="R843" t="str">
        <f>TRIM(PROPER(Tabla_auditoría[[#This Row],[Tipo_Campaña]]))</f>
        <v>Conversión</v>
      </c>
      <c r="S843" t="str">
        <f>TRIM(PROPER(Tabla_auditoría[[#This Row],[Responsable]]))</f>
        <v>Laura Pérez</v>
      </c>
    </row>
    <row r="844" spans="1:19" x14ac:dyDescent="0.3">
      <c r="A844" s="1">
        <v>46005</v>
      </c>
      <c r="B844" s="2" t="s">
        <v>2556</v>
      </c>
      <c r="C844" s="2" t="s">
        <v>2515</v>
      </c>
      <c r="D844" s="2" t="s">
        <v>2528</v>
      </c>
      <c r="E844" s="2" t="s">
        <v>2517</v>
      </c>
      <c r="F844" s="3">
        <v>36173</v>
      </c>
      <c r="G844" s="3">
        <v>2830</v>
      </c>
      <c r="H844" s="3">
        <v>67</v>
      </c>
      <c r="I844" s="4">
        <v>2190.9299999999998</v>
      </c>
      <c r="J844" s="4">
        <v>13302.99</v>
      </c>
      <c r="K844" s="3">
        <v>45</v>
      </c>
      <c r="L844" s="2" t="s">
        <v>2536</v>
      </c>
      <c r="M844" s="2" t="s">
        <v>2537</v>
      </c>
      <c r="N844" t="str">
        <f>TRIM(PROPER(Tabla_auditoría[[#This Row],[ID_Campaña]]))</f>
        <v>Cmp-014</v>
      </c>
      <c r="O844" t="str">
        <f>TRIM(PROPER(Tabla_auditoría[[#This Row],[Canal]]))</f>
        <v>Email</v>
      </c>
      <c r="P844" t="str">
        <f>TRIM(PROPER(Tabla_auditoría[[#This Row],[País]]))</f>
        <v>España</v>
      </c>
      <c r="Q844" t="str">
        <f>TRIM(PROPER(Tabla_auditoría[[#This Row],[Dispositivo]]))</f>
        <v>Desktop</v>
      </c>
      <c r="R844" t="str">
        <f>TRIM(PROPER(Tabla_auditoría[[#This Row],[Tipo_Campaña]]))</f>
        <v>Reconocimiento</v>
      </c>
      <c r="S844" t="str">
        <f>TRIM(PROPER(Tabla_auditoría[[#This Row],[Responsable]]))</f>
        <v>Marta López</v>
      </c>
    </row>
    <row r="845" spans="1:19" x14ac:dyDescent="0.3">
      <c r="A845" s="1">
        <v>45893</v>
      </c>
      <c r="B845" s="2" t="s">
        <v>2530</v>
      </c>
      <c r="C845" s="2" t="s">
        <v>2521</v>
      </c>
      <c r="D845" s="2" t="s">
        <v>2522</v>
      </c>
      <c r="E845" s="2" t="s">
        <v>2561</v>
      </c>
      <c r="F845" s="3">
        <v>11146</v>
      </c>
      <c r="G845" s="3">
        <v>296</v>
      </c>
      <c r="H845" s="3">
        <v>35</v>
      </c>
      <c r="I845" s="4">
        <v>276.81</v>
      </c>
      <c r="J845" s="4">
        <v>1864.13</v>
      </c>
      <c r="K845" s="3">
        <v>24</v>
      </c>
      <c r="L845" s="2" t="s">
        <v>2518</v>
      </c>
      <c r="M845" s="2" t="s">
        <v>2537</v>
      </c>
      <c r="N845" t="str">
        <f>TRIM(PROPER(Tabla_auditoría[[#This Row],[ID_Campaña]]))</f>
        <v>Cmp-026</v>
      </c>
      <c r="O845" t="str">
        <f>TRIM(PROPER(Tabla_auditoría[[#This Row],[Canal]]))</f>
        <v>Paid Search</v>
      </c>
      <c r="P845" t="str">
        <f>TRIM(PROPER(Tabla_auditoría[[#This Row],[País]]))</f>
        <v>Italia</v>
      </c>
      <c r="Q845" t="str">
        <f>TRIM(PROPER(Tabla_auditoría[[#This Row],[Dispositivo]]))</f>
        <v>Mobile</v>
      </c>
      <c r="R845" t="str">
        <f>TRIM(PROPER(Tabla_auditoría[[#This Row],[Tipo_Campaña]]))</f>
        <v>Adquisición</v>
      </c>
      <c r="S845" t="str">
        <f>TRIM(PROPER(Tabla_auditoría[[#This Row],[Responsable]]))</f>
        <v>Marta López</v>
      </c>
    </row>
    <row r="846" spans="1:19" x14ac:dyDescent="0.3">
      <c r="A846" s="1">
        <v>45798</v>
      </c>
      <c r="B846" s="2" t="s">
        <v>2530</v>
      </c>
      <c r="C846" s="2" t="s">
        <v>2543</v>
      </c>
      <c r="D846" s="2" t="s">
        <v>2531</v>
      </c>
      <c r="E846" s="2" t="s">
        <v>2517</v>
      </c>
      <c r="F846" s="3">
        <v>66119</v>
      </c>
      <c r="G846" s="3">
        <v>3177</v>
      </c>
      <c r="H846" s="3">
        <v>153</v>
      </c>
      <c r="I846" s="4">
        <v>897.84</v>
      </c>
      <c r="J846" s="4">
        <v>14228.85</v>
      </c>
      <c r="K846" s="3">
        <v>117</v>
      </c>
      <c r="L846" s="2" t="s">
        <v>2518</v>
      </c>
      <c r="M846" s="2" t="s">
        <v>2546</v>
      </c>
      <c r="N846" t="str">
        <f>TRIM(PROPER(Tabla_auditoría[[#This Row],[ID_Campaña]]))</f>
        <v>Cmp-026</v>
      </c>
      <c r="O846" t="str">
        <f>TRIM(PROPER(Tabla_auditoría[[#This Row],[Canal]]))</f>
        <v>Organic Social</v>
      </c>
      <c r="P846" t="str">
        <f>TRIM(PROPER(Tabla_auditoría[[#This Row],[País]]))</f>
        <v>Portugal</v>
      </c>
      <c r="Q846" t="str">
        <f>TRIM(PROPER(Tabla_auditoría[[#This Row],[Dispositivo]]))</f>
        <v>Desktop</v>
      </c>
      <c r="R846" t="str">
        <f>TRIM(PROPER(Tabla_auditoría[[#This Row],[Tipo_Campaña]]))</f>
        <v>Adquisición</v>
      </c>
      <c r="S846" t="str">
        <f>TRIM(PROPER(Tabla_auditoría[[#This Row],[Responsable]]))</f>
        <v>Ana García</v>
      </c>
    </row>
    <row r="847" spans="1:19" x14ac:dyDescent="0.3">
      <c r="A847" s="1">
        <v>45950</v>
      </c>
      <c r="B847" s="2" t="s">
        <v>2514</v>
      </c>
      <c r="C847" s="2" t="s">
        <v>2533</v>
      </c>
      <c r="D847" s="2" t="s">
        <v>2516</v>
      </c>
      <c r="E847" s="2" t="s">
        <v>2517</v>
      </c>
      <c r="F847" s="3">
        <v>1675</v>
      </c>
      <c r="G847" s="3">
        <v>59</v>
      </c>
      <c r="H847" s="3">
        <v>3</v>
      </c>
      <c r="I847" s="4">
        <v>17.07</v>
      </c>
      <c r="J847" s="4">
        <v>592.82000000000005</v>
      </c>
      <c r="K847" s="3">
        <v>2</v>
      </c>
      <c r="L847" s="2" t="s">
        <v>2523</v>
      </c>
      <c r="N847" t="str">
        <f>TRIM(PROPER(Tabla_auditoría[[#This Row],[ID_Campaña]]))</f>
        <v>Cmp-002</v>
      </c>
      <c r="O847" t="str">
        <f>TRIM(PROPER(Tabla_auditoría[[#This Row],[Canal]]))</f>
        <v>Paid Social</v>
      </c>
      <c r="P847" t="str">
        <f>TRIM(PROPER(Tabla_auditoría[[#This Row],[País]]))</f>
        <v>México</v>
      </c>
      <c r="Q847" t="str">
        <f>TRIM(PROPER(Tabla_auditoría[[#This Row],[Dispositivo]]))</f>
        <v>Desktop</v>
      </c>
      <c r="R847" t="str">
        <f>TRIM(PROPER(Tabla_auditoría[[#This Row],[Tipo_Campaña]]))</f>
        <v>Retención</v>
      </c>
      <c r="S847" t="str">
        <f>TRIM(PROPER(Tabla_auditoría[[#This Row],[Responsable]]))</f>
        <v/>
      </c>
    </row>
    <row r="848" spans="1:19" x14ac:dyDescent="0.3">
      <c r="A848" s="1">
        <v>45818</v>
      </c>
      <c r="B848" s="2" t="s">
        <v>2530</v>
      </c>
      <c r="C848" s="2" t="s">
        <v>2527</v>
      </c>
      <c r="D848" s="2" t="s">
        <v>2531</v>
      </c>
      <c r="E848" s="2" t="s">
        <v>2517</v>
      </c>
      <c r="F848" s="3">
        <v>77309</v>
      </c>
      <c r="G848" s="3">
        <v>3137</v>
      </c>
      <c r="H848" s="3">
        <v>244</v>
      </c>
      <c r="I848" s="4">
        <v>5708.27</v>
      </c>
      <c r="J848" s="4">
        <v>8405.91</v>
      </c>
      <c r="K848" s="3">
        <v>138</v>
      </c>
      <c r="L848" s="2" t="s">
        <v>2523</v>
      </c>
      <c r="M848" s="2" t="s">
        <v>2519</v>
      </c>
      <c r="N848" t="str">
        <f>TRIM(PROPER(Tabla_auditoría[[#This Row],[ID_Campaña]]))</f>
        <v>Cmp-026</v>
      </c>
      <c r="O848" t="str">
        <f>TRIM(PROPER(Tabla_auditoría[[#This Row],[Canal]]))</f>
        <v>Affiliate</v>
      </c>
      <c r="P848" t="str">
        <f>TRIM(PROPER(Tabla_auditoría[[#This Row],[País]]))</f>
        <v>Portugal</v>
      </c>
      <c r="Q848" t="str">
        <f>TRIM(PROPER(Tabla_auditoría[[#This Row],[Dispositivo]]))</f>
        <v>Desktop</v>
      </c>
      <c r="R848" t="str">
        <f>TRIM(PROPER(Tabla_auditoría[[#This Row],[Tipo_Campaña]]))</f>
        <v>Retención</v>
      </c>
      <c r="S848" t="str">
        <f>TRIM(PROPER(Tabla_auditoría[[#This Row],[Responsable]]))</f>
        <v>Carlos Ruiz</v>
      </c>
    </row>
    <row r="849" spans="1:19" x14ac:dyDescent="0.3">
      <c r="A849" s="1">
        <v>45722</v>
      </c>
      <c r="B849" s="2" t="s">
        <v>2552</v>
      </c>
      <c r="C849" s="2" t="s">
        <v>2543</v>
      </c>
      <c r="D849" s="2" t="s">
        <v>2528</v>
      </c>
      <c r="E849" s="2" t="s">
        <v>2529</v>
      </c>
      <c r="F849" s="3">
        <v>88180</v>
      </c>
      <c r="G849" s="3">
        <v>6410</v>
      </c>
      <c r="H849" s="3">
        <v>757</v>
      </c>
      <c r="I849" s="4">
        <v>6071.06</v>
      </c>
      <c r="J849" s="4">
        <v>97118.14</v>
      </c>
      <c r="K849" s="3">
        <v>610</v>
      </c>
      <c r="L849" s="2" t="s">
        <v>2536</v>
      </c>
      <c r="M849" s="2" t="s">
        <v>2524</v>
      </c>
      <c r="N849" t="str">
        <f>TRIM(PROPER(Tabla_auditoría[[#This Row],[ID_Campaña]]))</f>
        <v>Cmp-012</v>
      </c>
      <c r="O849" t="str">
        <f>TRIM(PROPER(Tabla_auditoría[[#This Row],[Canal]]))</f>
        <v>Organic Social</v>
      </c>
      <c r="P849" t="str">
        <f>TRIM(PROPER(Tabla_auditoría[[#This Row],[País]]))</f>
        <v>España</v>
      </c>
      <c r="Q849" t="str">
        <f>TRIM(PROPER(Tabla_auditoría[[#This Row],[Dispositivo]]))</f>
        <v>Mobile</v>
      </c>
      <c r="R849" t="str">
        <f>TRIM(PROPER(Tabla_auditoría[[#This Row],[Tipo_Campaña]]))</f>
        <v>Reconocimiento</v>
      </c>
      <c r="S849" t="str">
        <f>TRIM(PROPER(Tabla_auditoría[[#This Row],[Responsable]]))</f>
        <v>Luis Martín</v>
      </c>
    </row>
    <row r="850" spans="1:19" x14ac:dyDescent="0.3">
      <c r="A850" s="1">
        <v>45900</v>
      </c>
      <c r="B850" s="2" t="s">
        <v>2556</v>
      </c>
      <c r="C850" s="2" t="s">
        <v>2541</v>
      </c>
      <c r="D850" s="2" t="s">
        <v>2522</v>
      </c>
      <c r="E850" s="2" t="s">
        <v>2529</v>
      </c>
      <c r="F850" s="3">
        <v>37982</v>
      </c>
      <c r="G850" s="3">
        <v>1902</v>
      </c>
      <c r="H850" s="3">
        <v>150</v>
      </c>
      <c r="I850" s="4">
        <v>1068.92</v>
      </c>
      <c r="J850" s="4">
        <v>16097.51</v>
      </c>
      <c r="K850" s="3">
        <v>92</v>
      </c>
      <c r="L850" s="2" t="s">
        <v>2523</v>
      </c>
      <c r="N850" t="str">
        <f>TRIM(PROPER(Tabla_auditoría[[#This Row],[ID_Campaña]]))</f>
        <v>Cmp-014</v>
      </c>
      <c r="O850" t="str">
        <f>TRIM(PROPER(Tabla_auditoría[[#This Row],[Canal]]))</f>
        <v>Display</v>
      </c>
      <c r="P850" t="str">
        <f>TRIM(PROPER(Tabla_auditoría[[#This Row],[País]]))</f>
        <v>Italia</v>
      </c>
      <c r="Q850" t="str">
        <f>TRIM(PROPER(Tabla_auditoría[[#This Row],[Dispositivo]]))</f>
        <v>Mobile</v>
      </c>
      <c r="R850" t="str">
        <f>TRIM(PROPER(Tabla_auditoría[[#This Row],[Tipo_Campaña]]))</f>
        <v>Retención</v>
      </c>
      <c r="S850" t="str">
        <f>TRIM(PROPER(Tabla_auditoría[[#This Row],[Responsable]]))</f>
        <v/>
      </c>
    </row>
    <row r="851" spans="1:19" x14ac:dyDescent="0.3">
      <c r="A851" s="1">
        <v>45724</v>
      </c>
      <c r="B851" s="2" t="s">
        <v>2538</v>
      </c>
      <c r="C851" s="2" t="s">
        <v>2527</v>
      </c>
      <c r="D851" s="2" t="s">
        <v>2528</v>
      </c>
      <c r="E851" s="2" t="s">
        <v>2529</v>
      </c>
      <c r="F851" s="3">
        <v>9246</v>
      </c>
      <c r="G851" s="3">
        <v>562</v>
      </c>
      <c r="H851" s="3">
        <v>42</v>
      </c>
      <c r="I851" s="4">
        <v>1126.03</v>
      </c>
      <c r="J851" s="4">
        <v>3841.58</v>
      </c>
      <c r="K851" s="3">
        <v>28</v>
      </c>
      <c r="L851" s="2" t="s">
        <v>2539</v>
      </c>
      <c r="M851" s="2" t="s">
        <v>2537</v>
      </c>
      <c r="N851" t="str">
        <f>TRIM(PROPER(Tabla_auditoría[[#This Row],[ID_Campaña]]))</f>
        <v>Cmp-004</v>
      </c>
      <c r="O851" t="str">
        <f>TRIM(PROPER(Tabla_auditoría[[#This Row],[Canal]]))</f>
        <v>Affiliate</v>
      </c>
      <c r="P851" t="str">
        <f>TRIM(PROPER(Tabla_auditoría[[#This Row],[País]]))</f>
        <v>España</v>
      </c>
      <c r="Q851" t="str">
        <f>TRIM(PROPER(Tabla_auditoría[[#This Row],[Dispositivo]]))</f>
        <v>Mobile</v>
      </c>
      <c r="R851" t="str">
        <f>TRIM(PROPER(Tabla_auditoría[[#This Row],[Tipo_Campaña]]))</f>
        <v>Conversión</v>
      </c>
      <c r="S851" t="str">
        <f>TRIM(PROPER(Tabla_auditoría[[#This Row],[Responsable]]))</f>
        <v>Marta López</v>
      </c>
    </row>
    <row r="852" spans="1:19" x14ac:dyDescent="0.3">
      <c r="A852" s="1">
        <v>45762</v>
      </c>
      <c r="B852" s="2" t="s">
        <v>2574</v>
      </c>
      <c r="C852" s="2" t="s">
        <v>2543</v>
      </c>
      <c r="D852" s="2" t="s">
        <v>2516</v>
      </c>
      <c r="E852" s="2" t="s">
        <v>2529</v>
      </c>
      <c r="F852" s="3">
        <v>44820</v>
      </c>
      <c r="G852" s="3">
        <v>1043</v>
      </c>
      <c r="H852" s="3">
        <v>139</v>
      </c>
      <c r="I852" s="4">
        <v>1558.12</v>
      </c>
      <c r="J852" s="4">
        <v>10402.969999999999</v>
      </c>
      <c r="K852" s="3">
        <v>77</v>
      </c>
      <c r="L852" s="2" t="s">
        <v>2536</v>
      </c>
      <c r="M852" s="2" t="s">
        <v>2519</v>
      </c>
      <c r="N852" t="str">
        <f>TRIM(PROPER(Tabla_auditoría[[#This Row],[ID_Campaña]]))</f>
        <v>Cmp-003</v>
      </c>
      <c r="O852" t="str">
        <f>TRIM(PROPER(Tabla_auditoría[[#This Row],[Canal]]))</f>
        <v>Organic Social</v>
      </c>
      <c r="P852" t="str">
        <f>TRIM(PROPER(Tabla_auditoría[[#This Row],[País]]))</f>
        <v>México</v>
      </c>
      <c r="Q852" t="str">
        <f>TRIM(PROPER(Tabla_auditoría[[#This Row],[Dispositivo]]))</f>
        <v>Mobile</v>
      </c>
      <c r="R852" t="str">
        <f>TRIM(PROPER(Tabla_auditoría[[#This Row],[Tipo_Campaña]]))</f>
        <v>Reconocimiento</v>
      </c>
      <c r="S852" t="str">
        <f>TRIM(PROPER(Tabla_auditoría[[#This Row],[Responsable]]))</f>
        <v>Carlos Ruiz</v>
      </c>
    </row>
    <row r="853" spans="1:19" x14ac:dyDescent="0.3">
      <c r="A853" s="1">
        <v>45832</v>
      </c>
      <c r="B853" s="2" t="s">
        <v>2540</v>
      </c>
      <c r="C853" s="2" t="s">
        <v>2543</v>
      </c>
      <c r="D853" s="2" t="s">
        <v>2528</v>
      </c>
      <c r="E853" s="2" t="s">
        <v>2529</v>
      </c>
      <c r="F853" s="3">
        <v>54112</v>
      </c>
      <c r="G853" s="3">
        <v>1455</v>
      </c>
      <c r="H853" s="3">
        <v>50</v>
      </c>
      <c r="I853" s="4">
        <v>1043.8699999999999</v>
      </c>
      <c r="J853" s="4">
        <v>7731.54</v>
      </c>
      <c r="K853" s="3">
        <v>23</v>
      </c>
      <c r="L853" s="2" t="s">
        <v>2536</v>
      </c>
      <c r="M853" s="2" t="s">
        <v>2546</v>
      </c>
      <c r="N853" t="str">
        <f>TRIM(PROPER(Tabla_auditoría[[#This Row],[ID_Campaña]]))</f>
        <v>Cmp-017</v>
      </c>
      <c r="O853" t="str">
        <f>TRIM(PROPER(Tabla_auditoría[[#This Row],[Canal]]))</f>
        <v>Organic Social</v>
      </c>
      <c r="P853" t="str">
        <f>TRIM(PROPER(Tabla_auditoría[[#This Row],[País]]))</f>
        <v>España</v>
      </c>
      <c r="Q853" t="str">
        <f>TRIM(PROPER(Tabla_auditoría[[#This Row],[Dispositivo]]))</f>
        <v>Mobile</v>
      </c>
      <c r="R853" t="str">
        <f>TRIM(PROPER(Tabla_auditoría[[#This Row],[Tipo_Campaña]]))</f>
        <v>Reconocimiento</v>
      </c>
      <c r="S853" t="str">
        <f>TRIM(PROPER(Tabla_auditoría[[#This Row],[Responsable]]))</f>
        <v>Ana García</v>
      </c>
    </row>
    <row r="854" spans="1:19" x14ac:dyDescent="0.3">
      <c r="A854" s="1">
        <v>45791</v>
      </c>
      <c r="B854" s="2" t="s">
        <v>2544</v>
      </c>
      <c r="C854" s="2" t="s">
        <v>2543</v>
      </c>
      <c r="D854" s="2" t="s">
        <v>2522</v>
      </c>
      <c r="E854" s="2" t="s">
        <v>2517</v>
      </c>
      <c r="F854" s="3">
        <v>131864</v>
      </c>
      <c r="G854" s="3">
        <v>1760</v>
      </c>
      <c r="H854" s="3">
        <v>141</v>
      </c>
      <c r="I854" s="4">
        <v>1242.8599999999999</v>
      </c>
      <c r="J854" s="4">
        <v>10347.379999999999</v>
      </c>
      <c r="K854" s="3">
        <v>65</v>
      </c>
      <c r="L854" s="2" t="s">
        <v>2523</v>
      </c>
      <c r="M854" s="2" t="s">
        <v>2519</v>
      </c>
      <c r="N854" t="str">
        <f>TRIM(PROPER(Tabla_auditoría[[#This Row],[ID_Campaña]]))</f>
        <v>Cmp-006</v>
      </c>
      <c r="O854" t="str">
        <f>TRIM(PROPER(Tabla_auditoría[[#This Row],[Canal]]))</f>
        <v>Organic Social</v>
      </c>
      <c r="P854" t="str">
        <f>TRIM(PROPER(Tabla_auditoría[[#This Row],[País]]))</f>
        <v>Italia</v>
      </c>
      <c r="Q854" t="str">
        <f>TRIM(PROPER(Tabla_auditoría[[#This Row],[Dispositivo]]))</f>
        <v>Desktop</v>
      </c>
      <c r="R854" t="str">
        <f>TRIM(PROPER(Tabla_auditoría[[#This Row],[Tipo_Campaña]]))</f>
        <v>Retención</v>
      </c>
      <c r="S854" t="str">
        <f>TRIM(PROPER(Tabla_auditoría[[#This Row],[Responsable]]))</f>
        <v>Carlos Ruiz</v>
      </c>
    </row>
    <row r="855" spans="1:19" x14ac:dyDescent="0.3">
      <c r="A855" s="1">
        <v>46009</v>
      </c>
      <c r="B855" s="2" t="s">
        <v>2551</v>
      </c>
      <c r="C855" s="2" t="s">
        <v>2521</v>
      </c>
      <c r="D855" s="2" t="s">
        <v>2525</v>
      </c>
      <c r="E855" s="2" t="s">
        <v>2517</v>
      </c>
      <c r="F855" s="3">
        <v>4759</v>
      </c>
      <c r="G855" s="3">
        <v>234</v>
      </c>
      <c r="H855" s="3">
        <v>22</v>
      </c>
      <c r="I855" s="4">
        <v>333.25</v>
      </c>
      <c r="J855" s="4">
        <v>2425.61</v>
      </c>
      <c r="K855" s="3">
        <v>13</v>
      </c>
      <c r="L855" s="2" t="s">
        <v>2523</v>
      </c>
      <c r="M855" s="2" t="s">
        <v>2546</v>
      </c>
      <c r="N855" t="str">
        <f>TRIM(PROPER(Tabla_auditoría[[#This Row],[ID_Campaña]]))</f>
        <v>Cmp-028</v>
      </c>
      <c r="O855" t="str">
        <f>TRIM(PROPER(Tabla_auditoría[[#This Row],[Canal]]))</f>
        <v>Paid Search</v>
      </c>
      <c r="P855" t="str">
        <f>TRIM(PROPER(Tabla_auditoría[[#This Row],[País]]))</f>
        <v>Francia</v>
      </c>
      <c r="Q855" t="str">
        <f>TRIM(PROPER(Tabla_auditoría[[#This Row],[Dispositivo]]))</f>
        <v>Desktop</v>
      </c>
      <c r="R855" t="str">
        <f>TRIM(PROPER(Tabla_auditoría[[#This Row],[Tipo_Campaña]]))</f>
        <v>Retención</v>
      </c>
      <c r="S855" t="str">
        <f>TRIM(PROPER(Tabla_auditoría[[#This Row],[Responsable]]))</f>
        <v>Ana García</v>
      </c>
    </row>
    <row r="856" spans="1:19" x14ac:dyDescent="0.3">
      <c r="A856" s="1">
        <v>45975</v>
      </c>
      <c r="B856" s="2" t="s">
        <v>2544</v>
      </c>
      <c r="C856" s="2" t="s">
        <v>2515</v>
      </c>
      <c r="D856" s="2" t="s">
        <v>2531</v>
      </c>
      <c r="E856" s="2" t="s">
        <v>2517</v>
      </c>
      <c r="F856" s="3">
        <v>19051</v>
      </c>
      <c r="G856" s="3">
        <v>1662</v>
      </c>
      <c r="H856" s="3">
        <v>166</v>
      </c>
      <c r="I856" s="4">
        <v>2489.13</v>
      </c>
      <c r="J856" s="4">
        <v>29045.29</v>
      </c>
      <c r="K856" s="3">
        <v>91</v>
      </c>
      <c r="L856" s="2" t="s">
        <v>2539</v>
      </c>
      <c r="M856" s="2" t="s">
        <v>2519</v>
      </c>
      <c r="N856" t="str">
        <f>TRIM(PROPER(Tabla_auditoría[[#This Row],[ID_Campaña]]))</f>
        <v>Cmp-006</v>
      </c>
      <c r="O856" t="str">
        <f>TRIM(PROPER(Tabla_auditoría[[#This Row],[Canal]]))</f>
        <v>Email</v>
      </c>
      <c r="P856" t="str">
        <f>TRIM(PROPER(Tabla_auditoría[[#This Row],[País]]))</f>
        <v>Portugal</v>
      </c>
      <c r="Q856" t="str">
        <f>TRIM(PROPER(Tabla_auditoría[[#This Row],[Dispositivo]]))</f>
        <v>Desktop</v>
      </c>
      <c r="R856" t="str">
        <f>TRIM(PROPER(Tabla_auditoría[[#This Row],[Tipo_Campaña]]))</f>
        <v>Conversión</v>
      </c>
      <c r="S856" t="str">
        <f>TRIM(PROPER(Tabla_auditoría[[#This Row],[Responsable]]))</f>
        <v>Carlos Ruiz</v>
      </c>
    </row>
    <row r="857" spans="1:19" x14ac:dyDescent="0.3">
      <c r="A857" s="1">
        <v>45904</v>
      </c>
      <c r="B857" s="2" t="s">
        <v>2555</v>
      </c>
      <c r="C857" s="2" t="s">
        <v>2543</v>
      </c>
      <c r="D857" s="2" t="s">
        <v>2528</v>
      </c>
      <c r="E857" s="2" t="s">
        <v>2517</v>
      </c>
      <c r="F857" s="3">
        <v>57687</v>
      </c>
      <c r="G857" s="3">
        <v>5019</v>
      </c>
      <c r="H857" s="3">
        <v>428</v>
      </c>
      <c r="I857" s="4">
        <v>5643.36</v>
      </c>
      <c r="J857" s="4">
        <v>53885.3</v>
      </c>
      <c r="K857" s="3">
        <v>220</v>
      </c>
      <c r="L857" s="2" t="s">
        <v>2518</v>
      </c>
      <c r="M857" s="2" t="s">
        <v>2537</v>
      </c>
      <c r="N857" t="str">
        <f>TRIM(PROPER(Tabla_auditoría[[#This Row],[ID_Campaña]]))</f>
        <v>Cmp-010</v>
      </c>
      <c r="O857" t="str">
        <f>TRIM(PROPER(Tabla_auditoría[[#This Row],[Canal]]))</f>
        <v>Organic Social</v>
      </c>
      <c r="P857" t="str">
        <f>TRIM(PROPER(Tabla_auditoría[[#This Row],[País]]))</f>
        <v>España</v>
      </c>
      <c r="Q857" t="str">
        <f>TRIM(PROPER(Tabla_auditoría[[#This Row],[Dispositivo]]))</f>
        <v>Desktop</v>
      </c>
      <c r="R857" t="str">
        <f>TRIM(PROPER(Tabla_auditoría[[#This Row],[Tipo_Campaña]]))</f>
        <v>Adquisición</v>
      </c>
      <c r="S857" t="str">
        <f>TRIM(PROPER(Tabla_auditoría[[#This Row],[Responsable]]))</f>
        <v>Marta López</v>
      </c>
    </row>
    <row r="858" spans="1:19" x14ac:dyDescent="0.3">
      <c r="A858" s="1">
        <v>46016</v>
      </c>
      <c r="B858" s="2" t="s">
        <v>2547</v>
      </c>
      <c r="C858" s="2" t="s">
        <v>2553</v>
      </c>
      <c r="D858" s="2" t="s">
        <v>2528</v>
      </c>
      <c r="E858" s="2" t="s">
        <v>2517</v>
      </c>
      <c r="F858" s="3">
        <v>33775</v>
      </c>
      <c r="G858" s="3">
        <v>1718</v>
      </c>
      <c r="H858" s="3">
        <v>33</v>
      </c>
      <c r="I858" s="4">
        <v>3476.24</v>
      </c>
      <c r="J858" s="4">
        <v>5848.22</v>
      </c>
      <c r="K858" s="3">
        <v>29</v>
      </c>
      <c r="L858" s="2" t="s">
        <v>2518</v>
      </c>
      <c r="M858" s="2" t="s">
        <v>2546</v>
      </c>
      <c r="N858" t="str">
        <f>TRIM(PROPER(Tabla_auditoría[[#This Row],[ID_Campaña]]))</f>
        <v>Cmp-018</v>
      </c>
      <c r="O858" t="str">
        <f>TRIM(PROPER(Tabla_auditoría[[#This Row],[Canal]]))</f>
        <v>Email</v>
      </c>
      <c r="P858" t="str">
        <f>TRIM(PROPER(Tabla_auditoría[[#This Row],[País]]))</f>
        <v>España</v>
      </c>
      <c r="Q858" t="str">
        <f>TRIM(PROPER(Tabla_auditoría[[#This Row],[Dispositivo]]))</f>
        <v>Desktop</v>
      </c>
      <c r="R858" t="str">
        <f>TRIM(PROPER(Tabla_auditoría[[#This Row],[Tipo_Campaña]]))</f>
        <v>Adquisición</v>
      </c>
      <c r="S858" t="str">
        <f>TRIM(PROPER(Tabla_auditoría[[#This Row],[Responsable]]))</f>
        <v>Ana García</v>
      </c>
    </row>
    <row r="859" spans="1:19" x14ac:dyDescent="0.3">
      <c r="A859" s="1">
        <v>45729</v>
      </c>
      <c r="B859" s="2" t="s">
        <v>2520</v>
      </c>
      <c r="C859" s="2" t="s">
        <v>2527</v>
      </c>
      <c r="D859" s="2" t="s">
        <v>2516</v>
      </c>
      <c r="E859" s="2" t="s">
        <v>2517</v>
      </c>
      <c r="F859" s="3">
        <v>38937</v>
      </c>
      <c r="G859" s="3">
        <v>1630</v>
      </c>
      <c r="H859" s="3">
        <v>140</v>
      </c>
      <c r="I859" s="4">
        <v>1328.45</v>
      </c>
      <c r="J859" s="4">
        <v>6274.01</v>
      </c>
      <c r="K859" s="3">
        <v>104</v>
      </c>
      <c r="L859" s="2" t="s">
        <v>2523</v>
      </c>
      <c r="M859" s="2" t="s">
        <v>2524</v>
      </c>
      <c r="N859" t="str">
        <f>TRIM(PROPER(Tabla_auditoría[[#This Row],[ID_Campaña]]))</f>
        <v>Cmp-009</v>
      </c>
      <c r="O859" t="str">
        <f>TRIM(PROPER(Tabla_auditoría[[#This Row],[Canal]]))</f>
        <v>Affiliate</v>
      </c>
      <c r="P859" t="str">
        <f>TRIM(PROPER(Tabla_auditoría[[#This Row],[País]]))</f>
        <v>México</v>
      </c>
      <c r="Q859" t="str">
        <f>TRIM(PROPER(Tabla_auditoría[[#This Row],[Dispositivo]]))</f>
        <v>Desktop</v>
      </c>
      <c r="R859" t="str">
        <f>TRIM(PROPER(Tabla_auditoría[[#This Row],[Tipo_Campaña]]))</f>
        <v>Retención</v>
      </c>
      <c r="S859" t="str">
        <f>TRIM(PROPER(Tabla_auditoría[[#This Row],[Responsable]]))</f>
        <v>Luis Martín</v>
      </c>
    </row>
    <row r="860" spans="1:19" x14ac:dyDescent="0.3">
      <c r="A860" s="1">
        <v>45865</v>
      </c>
      <c r="B860" s="2" t="s">
        <v>2566</v>
      </c>
      <c r="C860" s="2" t="s">
        <v>2527</v>
      </c>
      <c r="D860" s="2" t="s">
        <v>2522</v>
      </c>
      <c r="E860" s="2" t="s">
        <v>2534</v>
      </c>
      <c r="F860" s="3">
        <v>147535</v>
      </c>
      <c r="G860" s="3">
        <v>3996</v>
      </c>
      <c r="H860" s="3">
        <v>335</v>
      </c>
      <c r="I860" s="4">
        <v>3653.16</v>
      </c>
      <c r="J860" s="4">
        <v>29614.720000000001</v>
      </c>
      <c r="K860" s="3">
        <v>165</v>
      </c>
      <c r="L860" s="2" t="s">
        <v>2523</v>
      </c>
      <c r="M860" s="2" t="s">
        <v>2526</v>
      </c>
      <c r="N860" t="str">
        <f>TRIM(PROPER(Tabla_auditoría[[#This Row],[ID_Campaña]]))</f>
        <v>Cmp-001</v>
      </c>
      <c r="O860" t="str">
        <f>TRIM(PROPER(Tabla_auditoría[[#This Row],[Canal]]))</f>
        <v>Affiliate</v>
      </c>
      <c r="P860" t="str">
        <f>TRIM(PROPER(Tabla_auditoría[[#This Row],[País]]))</f>
        <v>Italia</v>
      </c>
      <c r="Q860" t="str">
        <f>TRIM(PROPER(Tabla_auditoría[[#This Row],[Dispositivo]]))</f>
        <v>Tablet</v>
      </c>
      <c r="R860" t="str">
        <f>TRIM(PROPER(Tabla_auditoría[[#This Row],[Tipo_Campaña]]))</f>
        <v>Retención</v>
      </c>
      <c r="S860" t="str">
        <f>TRIM(PROPER(Tabla_auditoría[[#This Row],[Responsable]]))</f>
        <v>Laura Pérez</v>
      </c>
    </row>
    <row r="861" spans="1:19" x14ac:dyDescent="0.3">
      <c r="A861" s="1">
        <v>45791</v>
      </c>
      <c r="B861" s="2" t="s">
        <v>2535</v>
      </c>
      <c r="C861" s="2" t="s">
        <v>2543</v>
      </c>
      <c r="D861" s="2" t="s">
        <v>2528</v>
      </c>
      <c r="E861" s="2" t="s">
        <v>2517</v>
      </c>
      <c r="F861" s="3">
        <v>178702</v>
      </c>
      <c r="G861" s="3">
        <v>6034</v>
      </c>
      <c r="H861" s="3">
        <v>164</v>
      </c>
      <c r="I861" s="4">
        <v>11602.18</v>
      </c>
      <c r="J861" s="4">
        <v>8990.69</v>
      </c>
      <c r="K861" s="3">
        <v>104</v>
      </c>
      <c r="L861" s="2" t="s">
        <v>2539</v>
      </c>
      <c r="M861" s="2" t="s">
        <v>2537</v>
      </c>
      <c r="N861" t="str">
        <f>TRIM(PROPER(Tabla_auditoría[[#This Row],[ID_Campaña]]))</f>
        <v>Cmp-015</v>
      </c>
      <c r="O861" t="str">
        <f>TRIM(PROPER(Tabla_auditoría[[#This Row],[Canal]]))</f>
        <v>Organic Social</v>
      </c>
      <c r="P861" t="str">
        <f>TRIM(PROPER(Tabla_auditoría[[#This Row],[País]]))</f>
        <v>España</v>
      </c>
      <c r="Q861" t="str">
        <f>TRIM(PROPER(Tabla_auditoría[[#This Row],[Dispositivo]]))</f>
        <v>Desktop</v>
      </c>
      <c r="R861" t="str">
        <f>TRIM(PROPER(Tabla_auditoría[[#This Row],[Tipo_Campaña]]))</f>
        <v>Conversión</v>
      </c>
      <c r="S861" t="str">
        <f>TRIM(PROPER(Tabla_auditoría[[#This Row],[Responsable]]))</f>
        <v>Marta López</v>
      </c>
    </row>
    <row r="862" spans="1:19" x14ac:dyDescent="0.3">
      <c r="A862" s="1">
        <v>45871</v>
      </c>
      <c r="B862" s="2" t="s">
        <v>2557</v>
      </c>
      <c r="C862" s="2" t="s">
        <v>2533</v>
      </c>
      <c r="D862" s="2" t="s">
        <v>2528</v>
      </c>
      <c r="E862" s="2" t="s">
        <v>2534</v>
      </c>
      <c r="F862" s="3">
        <v>154858</v>
      </c>
      <c r="G862" s="3">
        <v>2889</v>
      </c>
      <c r="H862" s="3">
        <v>362</v>
      </c>
      <c r="I862" s="4">
        <v>5689.72</v>
      </c>
      <c r="J862" s="4">
        <v>62113.33</v>
      </c>
      <c r="K862" s="3">
        <v>295</v>
      </c>
      <c r="L862" s="2" t="s">
        <v>2539</v>
      </c>
      <c r="M862" s="2" t="s">
        <v>2526</v>
      </c>
      <c r="N862" t="str">
        <f>TRIM(PROPER(Tabla_auditoría[[#This Row],[ID_Campaña]]))</f>
        <v>Cmp-030</v>
      </c>
      <c r="O862" t="str">
        <f>TRIM(PROPER(Tabla_auditoría[[#This Row],[Canal]]))</f>
        <v>Paid Social</v>
      </c>
      <c r="P862" t="str">
        <f>TRIM(PROPER(Tabla_auditoría[[#This Row],[País]]))</f>
        <v>España</v>
      </c>
      <c r="Q862" t="str">
        <f>TRIM(PROPER(Tabla_auditoría[[#This Row],[Dispositivo]]))</f>
        <v>Tablet</v>
      </c>
      <c r="R862" t="str">
        <f>TRIM(PROPER(Tabla_auditoría[[#This Row],[Tipo_Campaña]]))</f>
        <v>Conversión</v>
      </c>
      <c r="S862" t="str">
        <f>TRIM(PROPER(Tabla_auditoría[[#This Row],[Responsable]]))</f>
        <v>Laura Pérez</v>
      </c>
    </row>
    <row r="863" spans="1:19" x14ac:dyDescent="0.3">
      <c r="A863" s="1">
        <v>45836</v>
      </c>
      <c r="B863" s="2" t="s">
        <v>2545</v>
      </c>
      <c r="C863" s="2" t="s">
        <v>2527</v>
      </c>
      <c r="D863" s="2" t="s">
        <v>2525</v>
      </c>
      <c r="E863" s="2" t="s">
        <v>2534</v>
      </c>
      <c r="F863" s="3">
        <v>66071</v>
      </c>
      <c r="G863" s="3">
        <v>336</v>
      </c>
      <c r="H863" s="3">
        <v>25</v>
      </c>
      <c r="I863" s="4">
        <v>508.95</v>
      </c>
      <c r="J863" s="4">
        <v>1467.86</v>
      </c>
      <c r="K863" s="3">
        <v>21</v>
      </c>
      <c r="L863" s="2" t="s">
        <v>2518</v>
      </c>
      <c r="M863" s="2" t="s">
        <v>2519</v>
      </c>
      <c r="N863" t="str">
        <f>TRIM(PROPER(Tabla_auditoría[[#This Row],[ID_Campaña]]))</f>
        <v>Cmp-011</v>
      </c>
      <c r="O863" t="str">
        <f>TRIM(PROPER(Tabla_auditoría[[#This Row],[Canal]]))</f>
        <v>Affiliate</v>
      </c>
      <c r="P863" t="str">
        <f>TRIM(PROPER(Tabla_auditoría[[#This Row],[País]]))</f>
        <v>Francia</v>
      </c>
      <c r="Q863" t="str">
        <f>TRIM(PROPER(Tabla_auditoría[[#This Row],[Dispositivo]]))</f>
        <v>Tablet</v>
      </c>
      <c r="R863" t="str">
        <f>TRIM(PROPER(Tabla_auditoría[[#This Row],[Tipo_Campaña]]))</f>
        <v>Adquisición</v>
      </c>
      <c r="S863" t="str">
        <f>TRIM(PROPER(Tabla_auditoría[[#This Row],[Responsable]]))</f>
        <v>Carlos Ruiz</v>
      </c>
    </row>
    <row r="864" spans="1:19" x14ac:dyDescent="0.3">
      <c r="A864" s="1">
        <v>45748</v>
      </c>
      <c r="B864" s="2" t="s">
        <v>2520</v>
      </c>
      <c r="C864" s="2" t="s">
        <v>2527</v>
      </c>
      <c r="D864" s="2" t="s">
        <v>2531</v>
      </c>
      <c r="E864" s="2" t="s">
        <v>2534</v>
      </c>
      <c r="F864" s="3">
        <v>42619</v>
      </c>
      <c r="G864" s="3">
        <v>2924</v>
      </c>
      <c r="H864" s="3">
        <v>260</v>
      </c>
      <c r="I864" s="4">
        <v>4454.91</v>
      </c>
      <c r="J864" s="4">
        <v>26043.49</v>
      </c>
      <c r="K864" s="3">
        <v>201</v>
      </c>
      <c r="L864" s="2" t="s">
        <v>2523</v>
      </c>
      <c r="M864" s="2" t="s">
        <v>2526</v>
      </c>
      <c r="N864" t="str">
        <f>TRIM(PROPER(Tabla_auditoría[[#This Row],[ID_Campaña]]))</f>
        <v>Cmp-009</v>
      </c>
      <c r="O864" t="str">
        <f>TRIM(PROPER(Tabla_auditoría[[#This Row],[Canal]]))</f>
        <v>Affiliate</v>
      </c>
      <c r="P864" t="str">
        <f>TRIM(PROPER(Tabla_auditoría[[#This Row],[País]]))</f>
        <v>Portugal</v>
      </c>
      <c r="Q864" t="str">
        <f>TRIM(PROPER(Tabla_auditoría[[#This Row],[Dispositivo]]))</f>
        <v>Tablet</v>
      </c>
      <c r="R864" t="str">
        <f>TRIM(PROPER(Tabla_auditoría[[#This Row],[Tipo_Campaña]]))</f>
        <v>Retención</v>
      </c>
      <c r="S864" t="str">
        <f>TRIM(PROPER(Tabla_auditoría[[#This Row],[Responsable]]))</f>
        <v>Laura Pérez</v>
      </c>
    </row>
    <row r="865" spans="1:19" x14ac:dyDescent="0.3">
      <c r="A865" s="1">
        <v>45985</v>
      </c>
      <c r="B865" s="2" t="s">
        <v>2530</v>
      </c>
      <c r="C865" s="2" t="s">
        <v>2527</v>
      </c>
      <c r="D865" s="2" t="s">
        <v>2525</v>
      </c>
      <c r="E865" s="2" t="s">
        <v>2529</v>
      </c>
      <c r="F865" s="3">
        <v>121158</v>
      </c>
      <c r="G865" s="3">
        <v>7911</v>
      </c>
      <c r="H865" s="3">
        <v>118</v>
      </c>
      <c r="I865" s="4">
        <v>16233.36</v>
      </c>
      <c r="J865" s="4">
        <v>5614.42</v>
      </c>
      <c r="K865" s="3">
        <v>72</v>
      </c>
      <c r="L865" s="2" t="s">
        <v>2518</v>
      </c>
      <c r="M865" s="2" t="s">
        <v>2526</v>
      </c>
      <c r="N865" t="str">
        <f>TRIM(PROPER(Tabla_auditoría[[#This Row],[ID_Campaña]]))</f>
        <v>Cmp-026</v>
      </c>
      <c r="O865" t="str">
        <f>TRIM(PROPER(Tabla_auditoría[[#This Row],[Canal]]))</f>
        <v>Affiliate</v>
      </c>
      <c r="P865" t="str">
        <f>TRIM(PROPER(Tabla_auditoría[[#This Row],[País]]))</f>
        <v>Francia</v>
      </c>
      <c r="Q865" t="str">
        <f>TRIM(PROPER(Tabla_auditoría[[#This Row],[Dispositivo]]))</f>
        <v>Mobile</v>
      </c>
      <c r="R865" t="str">
        <f>TRIM(PROPER(Tabla_auditoría[[#This Row],[Tipo_Campaña]]))</f>
        <v>Adquisición</v>
      </c>
      <c r="S865" t="str">
        <f>TRIM(PROPER(Tabla_auditoría[[#This Row],[Responsable]]))</f>
        <v>Laura Pérez</v>
      </c>
    </row>
    <row r="866" spans="1:19" x14ac:dyDescent="0.3">
      <c r="A866" s="1">
        <v>45914</v>
      </c>
      <c r="B866" s="2" t="s">
        <v>2563</v>
      </c>
      <c r="C866" s="2" t="s">
        <v>2541</v>
      </c>
      <c r="D866" s="2" t="s">
        <v>2528</v>
      </c>
      <c r="E866" s="2" t="s">
        <v>2517</v>
      </c>
      <c r="F866" s="3">
        <v>147443</v>
      </c>
      <c r="G866" s="3">
        <v>8139</v>
      </c>
      <c r="H866" s="3">
        <v>136</v>
      </c>
      <c r="I866" s="4">
        <v>15875.64</v>
      </c>
      <c r="J866" s="4">
        <v>22015.39</v>
      </c>
      <c r="K866" s="3">
        <v>84</v>
      </c>
      <c r="L866" s="2" t="s">
        <v>2523</v>
      </c>
      <c r="M866" s="2" t="s">
        <v>2537</v>
      </c>
      <c r="N866" t="str">
        <f>TRIM(PROPER(Tabla_auditoría[[#This Row],[ID_Campaña]]))</f>
        <v>Cmp-023</v>
      </c>
      <c r="O866" t="str">
        <f>TRIM(PROPER(Tabla_auditoría[[#This Row],[Canal]]))</f>
        <v>Display</v>
      </c>
      <c r="P866" t="str">
        <f>TRIM(PROPER(Tabla_auditoría[[#This Row],[País]]))</f>
        <v>España</v>
      </c>
      <c r="Q866" t="str">
        <f>TRIM(PROPER(Tabla_auditoría[[#This Row],[Dispositivo]]))</f>
        <v>Desktop</v>
      </c>
      <c r="R866" t="str">
        <f>TRIM(PROPER(Tabla_auditoría[[#This Row],[Tipo_Campaña]]))</f>
        <v>Retención</v>
      </c>
      <c r="S866" t="str">
        <f>TRIM(PROPER(Tabla_auditoría[[#This Row],[Responsable]]))</f>
        <v>Marta López</v>
      </c>
    </row>
    <row r="867" spans="1:19" x14ac:dyDescent="0.3">
      <c r="A867" s="1">
        <v>46017</v>
      </c>
      <c r="B867" s="2" t="s">
        <v>2563</v>
      </c>
      <c r="C867" s="2" t="s">
        <v>2521</v>
      </c>
      <c r="D867" s="2" t="s">
        <v>2528</v>
      </c>
      <c r="E867" s="2" t="s">
        <v>2529</v>
      </c>
      <c r="F867" s="3">
        <v>125507</v>
      </c>
      <c r="G867" s="3">
        <v>3304</v>
      </c>
      <c r="H867" s="3">
        <v>184</v>
      </c>
      <c r="I867" s="4">
        <v>2361.98</v>
      </c>
      <c r="J867" s="4">
        <v>33066.79</v>
      </c>
      <c r="K867" s="3">
        <v>123</v>
      </c>
      <c r="L867" s="2" t="s">
        <v>2539</v>
      </c>
      <c r="M867" s="2" t="s">
        <v>2519</v>
      </c>
      <c r="N867" t="str">
        <f>TRIM(PROPER(Tabla_auditoría[[#This Row],[ID_Campaña]]))</f>
        <v>Cmp-023</v>
      </c>
      <c r="O867" t="str">
        <f>TRIM(PROPER(Tabla_auditoría[[#This Row],[Canal]]))</f>
        <v>Paid Search</v>
      </c>
      <c r="P867" t="str">
        <f>TRIM(PROPER(Tabla_auditoría[[#This Row],[País]]))</f>
        <v>España</v>
      </c>
      <c r="Q867" t="str">
        <f>TRIM(PROPER(Tabla_auditoría[[#This Row],[Dispositivo]]))</f>
        <v>Mobile</v>
      </c>
      <c r="R867" t="str">
        <f>TRIM(PROPER(Tabla_auditoría[[#This Row],[Tipo_Campaña]]))</f>
        <v>Conversión</v>
      </c>
      <c r="S867" t="str">
        <f>TRIM(PROPER(Tabla_auditoría[[#This Row],[Responsable]]))</f>
        <v>Carlos Ruiz</v>
      </c>
    </row>
    <row r="868" spans="1:19" x14ac:dyDescent="0.3">
      <c r="A868" s="1">
        <v>45706</v>
      </c>
      <c r="B868" s="2" t="s">
        <v>2566</v>
      </c>
      <c r="C868" s="2" t="s">
        <v>2533</v>
      </c>
      <c r="D868" s="2" t="s">
        <v>2522</v>
      </c>
      <c r="E868" s="2" t="s">
        <v>2529</v>
      </c>
      <c r="F868" s="3">
        <v>111274</v>
      </c>
      <c r="G868" s="3">
        <v>501</v>
      </c>
      <c r="H868" s="3">
        <v>51</v>
      </c>
      <c r="I868" s="4">
        <v>716.03</v>
      </c>
      <c r="J868" s="4">
        <v>8260.9699999999993</v>
      </c>
      <c r="K868" s="3">
        <v>41</v>
      </c>
      <c r="L868" s="2" t="s">
        <v>2539</v>
      </c>
      <c r="M868" s="2" t="s">
        <v>2546</v>
      </c>
      <c r="N868" t="str">
        <f>TRIM(PROPER(Tabla_auditoría[[#This Row],[ID_Campaña]]))</f>
        <v>Cmp-001</v>
      </c>
      <c r="O868" t="str">
        <f>TRIM(PROPER(Tabla_auditoría[[#This Row],[Canal]]))</f>
        <v>Paid Social</v>
      </c>
      <c r="P868" t="str">
        <f>TRIM(PROPER(Tabla_auditoría[[#This Row],[País]]))</f>
        <v>Italia</v>
      </c>
      <c r="Q868" t="str">
        <f>TRIM(PROPER(Tabla_auditoría[[#This Row],[Dispositivo]]))</f>
        <v>Mobile</v>
      </c>
      <c r="R868" t="str">
        <f>TRIM(PROPER(Tabla_auditoría[[#This Row],[Tipo_Campaña]]))</f>
        <v>Conversión</v>
      </c>
      <c r="S868" t="str">
        <f>TRIM(PROPER(Tabla_auditoría[[#This Row],[Responsable]]))</f>
        <v>Ana García</v>
      </c>
    </row>
    <row r="869" spans="1:19" x14ac:dyDescent="0.3">
      <c r="A869" s="1">
        <v>45736</v>
      </c>
      <c r="B869" s="2" t="s">
        <v>2554</v>
      </c>
      <c r="C869" s="2" t="s">
        <v>2527</v>
      </c>
      <c r="D869" s="2" t="s">
        <v>2525</v>
      </c>
      <c r="E869" s="2" t="s">
        <v>2517</v>
      </c>
      <c r="F869" s="3">
        <v>101070</v>
      </c>
      <c r="G869" s="3">
        <v>3692</v>
      </c>
      <c r="H869" s="3">
        <v>323</v>
      </c>
      <c r="I869" s="4">
        <v>1152.3</v>
      </c>
      <c r="J869" s="4">
        <v>41834.160000000003</v>
      </c>
      <c r="K869" s="3">
        <v>190</v>
      </c>
      <c r="L869" s="2" t="s">
        <v>2536</v>
      </c>
      <c r="M869" s="2" t="s">
        <v>2526</v>
      </c>
      <c r="N869" t="str">
        <f>TRIM(PROPER(Tabla_auditoría[[#This Row],[ID_Campaña]]))</f>
        <v>Cmp-019</v>
      </c>
      <c r="O869" t="str">
        <f>TRIM(PROPER(Tabla_auditoría[[#This Row],[Canal]]))</f>
        <v>Affiliate</v>
      </c>
      <c r="P869" t="str">
        <f>TRIM(PROPER(Tabla_auditoría[[#This Row],[País]]))</f>
        <v>Francia</v>
      </c>
      <c r="Q869" t="str">
        <f>TRIM(PROPER(Tabla_auditoría[[#This Row],[Dispositivo]]))</f>
        <v>Desktop</v>
      </c>
      <c r="R869" t="str">
        <f>TRIM(PROPER(Tabla_auditoría[[#This Row],[Tipo_Campaña]]))</f>
        <v>Reconocimiento</v>
      </c>
      <c r="S869" t="str">
        <f>TRIM(PROPER(Tabla_auditoría[[#This Row],[Responsable]]))</f>
        <v>Laura Pérez</v>
      </c>
    </row>
    <row r="870" spans="1:19" x14ac:dyDescent="0.3">
      <c r="A870" s="1">
        <v>45759</v>
      </c>
      <c r="B870" s="2" t="s">
        <v>2514</v>
      </c>
      <c r="C870" s="2" t="s">
        <v>2543</v>
      </c>
      <c r="D870" s="2" t="s">
        <v>2528</v>
      </c>
      <c r="E870" s="2" t="s">
        <v>2529</v>
      </c>
      <c r="F870" s="3">
        <v>84771</v>
      </c>
      <c r="G870" s="3">
        <v>85082</v>
      </c>
      <c r="H870" s="3">
        <v>72</v>
      </c>
      <c r="I870" s="4">
        <v>1261.51</v>
      </c>
      <c r="J870" s="4">
        <v>13755.87</v>
      </c>
      <c r="K870" s="3">
        <v>45</v>
      </c>
      <c r="L870" s="2" t="s">
        <v>2539</v>
      </c>
      <c r="M870" s="2" t="s">
        <v>2526</v>
      </c>
      <c r="N870" t="str">
        <f>TRIM(PROPER(Tabla_auditoría[[#This Row],[ID_Campaña]]))</f>
        <v>Cmp-002</v>
      </c>
      <c r="O870" t="str">
        <f>TRIM(PROPER(Tabla_auditoría[[#This Row],[Canal]]))</f>
        <v>Organic Social</v>
      </c>
      <c r="P870" t="str">
        <f>TRIM(PROPER(Tabla_auditoría[[#This Row],[País]]))</f>
        <v>España</v>
      </c>
      <c r="Q870" t="str">
        <f>TRIM(PROPER(Tabla_auditoría[[#This Row],[Dispositivo]]))</f>
        <v>Mobile</v>
      </c>
      <c r="R870" t="str">
        <f>TRIM(PROPER(Tabla_auditoría[[#This Row],[Tipo_Campaña]]))</f>
        <v>Conversión</v>
      </c>
      <c r="S870" t="str">
        <f>TRIM(PROPER(Tabla_auditoría[[#This Row],[Responsable]]))</f>
        <v>Laura Pérez</v>
      </c>
    </row>
    <row r="871" spans="1:19" x14ac:dyDescent="0.3">
      <c r="A871" s="1">
        <v>45811</v>
      </c>
      <c r="B871" s="2" t="s">
        <v>2514</v>
      </c>
      <c r="C871" s="2" t="s">
        <v>2533</v>
      </c>
      <c r="D871" s="2" t="s">
        <v>2531</v>
      </c>
      <c r="E871" s="2" t="s">
        <v>2529</v>
      </c>
      <c r="F871" s="3">
        <v>112075</v>
      </c>
      <c r="G871" s="3">
        <v>5382</v>
      </c>
      <c r="H871" s="3">
        <v>570</v>
      </c>
      <c r="I871" s="4">
        <v>9300.31</v>
      </c>
      <c r="J871" s="4">
        <v>94507.98</v>
      </c>
      <c r="K871" s="3">
        <v>419</v>
      </c>
      <c r="L871" s="2" t="s">
        <v>2523</v>
      </c>
      <c r="M871" s="2" t="s">
        <v>2526</v>
      </c>
      <c r="N871" t="str">
        <f>TRIM(PROPER(Tabla_auditoría[[#This Row],[ID_Campaña]]))</f>
        <v>Cmp-002</v>
      </c>
      <c r="O871" t="str">
        <f>TRIM(PROPER(Tabla_auditoría[[#This Row],[Canal]]))</f>
        <v>Paid Social</v>
      </c>
      <c r="P871" t="str">
        <f>TRIM(PROPER(Tabla_auditoría[[#This Row],[País]]))</f>
        <v>Portugal</v>
      </c>
      <c r="Q871" t="str">
        <f>TRIM(PROPER(Tabla_auditoría[[#This Row],[Dispositivo]]))</f>
        <v>Mobile</v>
      </c>
      <c r="R871" t="str">
        <f>TRIM(PROPER(Tabla_auditoría[[#This Row],[Tipo_Campaña]]))</f>
        <v>Retención</v>
      </c>
      <c r="S871" t="str">
        <f>TRIM(PROPER(Tabla_auditoría[[#This Row],[Responsable]]))</f>
        <v>Laura Pérez</v>
      </c>
    </row>
    <row r="872" spans="1:19" x14ac:dyDescent="0.3">
      <c r="A872" s="1">
        <v>45813</v>
      </c>
      <c r="B872" s="2" t="s">
        <v>2571</v>
      </c>
      <c r="C872" s="2" t="s">
        <v>2543</v>
      </c>
      <c r="D872" s="2" t="s">
        <v>2528</v>
      </c>
      <c r="E872" s="2" t="s">
        <v>2517</v>
      </c>
      <c r="F872" s="3">
        <v>32250</v>
      </c>
      <c r="G872" s="3">
        <v>811</v>
      </c>
      <c r="H872" s="3">
        <v>28</v>
      </c>
      <c r="I872" s="4">
        <v>1091.82</v>
      </c>
      <c r="J872" s="4">
        <v>4038.89</v>
      </c>
      <c r="K872" s="3">
        <v>14</v>
      </c>
      <c r="L872" s="2" t="s">
        <v>2523</v>
      </c>
      <c r="M872" s="2" t="s">
        <v>2546</v>
      </c>
      <c r="N872" t="str">
        <f>TRIM(PROPER(Tabla_auditoría[[#This Row],[ID_Campaña]]))</f>
        <v>Cmp-029</v>
      </c>
      <c r="O872" t="str">
        <f>TRIM(PROPER(Tabla_auditoría[[#This Row],[Canal]]))</f>
        <v>Organic Social</v>
      </c>
      <c r="P872" t="str">
        <f>TRIM(PROPER(Tabla_auditoría[[#This Row],[País]]))</f>
        <v>España</v>
      </c>
      <c r="Q872" t="str">
        <f>TRIM(PROPER(Tabla_auditoría[[#This Row],[Dispositivo]]))</f>
        <v>Desktop</v>
      </c>
      <c r="R872" t="str">
        <f>TRIM(PROPER(Tabla_auditoría[[#This Row],[Tipo_Campaña]]))</f>
        <v>Retención</v>
      </c>
      <c r="S872" t="str">
        <f>TRIM(PROPER(Tabla_auditoría[[#This Row],[Responsable]]))</f>
        <v>Ana García</v>
      </c>
    </row>
    <row r="873" spans="1:19" x14ac:dyDescent="0.3">
      <c r="A873" s="1">
        <v>45939</v>
      </c>
      <c r="B873" s="2" t="s">
        <v>2555</v>
      </c>
      <c r="C873" s="2" t="s">
        <v>2527</v>
      </c>
      <c r="D873" s="2" t="s">
        <v>2525</v>
      </c>
      <c r="E873" s="2" t="s">
        <v>2517</v>
      </c>
      <c r="F873" s="3">
        <v>47345</v>
      </c>
      <c r="G873" s="3">
        <v>787</v>
      </c>
      <c r="H873" s="3">
        <v>16</v>
      </c>
      <c r="I873" s="4">
        <v>501.39</v>
      </c>
      <c r="J873" s="4">
        <v>2941.71</v>
      </c>
      <c r="K873" s="3">
        <v>10</v>
      </c>
      <c r="L873" s="2" t="s">
        <v>2523</v>
      </c>
      <c r="M873" s="2" t="s">
        <v>2526</v>
      </c>
      <c r="N873" t="str">
        <f>TRIM(PROPER(Tabla_auditoría[[#This Row],[ID_Campaña]]))</f>
        <v>Cmp-010</v>
      </c>
      <c r="O873" t="str">
        <f>TRIM(PROPER(Tabla_auditoría[[#This Row],[Canal]]))</f>
        <v>Affiliate</v>
      </c>
      <c r="P873" t="str">
        <f>TRIM(PROPER(Tabla_auditoría[[#This Row],[País]]))</f>
        <v>Francia</v>
      </c>
      <c r="Q873" t="str">
        <f>TRIM(PROPER(Tabla_auditoría[[#This Row],[Dispositivo]]))</f>
        <v>Desktop</v>
      </c>
      <c r="R873" t="str">
        <f>TRIM(PROPER(Tabla_auditoría[[#This Row],[Tipo_Campaña]]))</f>
        <v>Retención</v>
      </c>
      <c r="S873" t="str">
        <f>TRIM(PROPER(Tabla_auditoría[[#This Row],[Responsable]]))</f>
        <v>Laura Pérez</v>
      </c>
    </row>
    <row r="874" spans="1:19" x14ac:dyDescent="0.3">
      <c r="A874" s="1">
        <v>45756</v>
      </c>
      <c r="B874" s="2" t="s">
        <v>2532</v>
      </c>
      <c r="C874" s="2" t="s">
        <v>2543</v>
      </c>
      <c r="D874" s="2" t="s">
        <v>2516</v>
      </c>
      <c r="E874" s="2" t="s">
        <v>2529</v>
      </c>
      <c r="F874" s="3">
        <v>170369</v>
      </c>
      <c r="G874" s="3">
        <v>11510</v>
      </c>
      <c r="H874" s="3">
        <v>1080</v>
      </c>
      <c r="I874" s="4">
        <v>4435.8999999999996</v>
      </c>
      <c r="J874" s="4">
        <v>74907.839999999997</v>
      </c>
      <c r="K874" s="3">
        <v>689</v>
      </c>
      <c r="L874" s="2" t="s">
        <v>2536</v>
      </c>
      <c r="M874" s="2" t="s">
        <v>2537</v>
      </c>
      <c r="N874" t="str">
        <f>TRIM(PROPER(Tabla_auditoría[[#This Row],[ID_Campaña]]))</f>
        <v>Cmp-022</v>
      </c>
      <c r="O874" t="str">
        <f>TRIM(PROPER(Tabla_auditoría[[#This Row],[Canal]]))</f>
        <v>Organic Social</v>
      </c>
      <c r="P874" t="str">
        <f>TRIM(PROPER(Tabla_auditoría[[#This Row],[País]]))</f>
        <v>México</v>
      </c>
      <c r="Q874" t="str">
        <f>TRIM(PROPER(Tabla_auditoría[[#This Row],[Dispositivo]]))</f>
        <v>Mobile</v>
      </c>
      <c r="R874" t="str">
        <f>TRIM(PROPER(Tabla_auditoría[[#This Row],[Tipo_Campaña]]))</f>
        <v>Reconocimiento</v>
      </c>
      <c r="S874" t="str">
        <f>TRIM(PROPER(Tabla_auditoría[[#This Row],[Responsable]]))</f>
        <v>Marta López</v>
      </c>
    </row>
    <row r="875" spans="1:19" x14ac:dyDescent="0.3">
      <c r="A875" s="1">
        <v>45658</v>
      </c>
      <c r="B875" s="2" t="s">
        <v>2542</v>
      </c>
      <c r="C875" s="2" t="s">
        <v>2533</v>
      </c>
      <c r="D875" s="2" t="s">
        <v>2528</v>
      </c>
      <c r="E875" s="2" t="s">
        <v>2517</v>
      </c>
      <c r="F875" s="3">
        <v>37988</v>
      </c>
      <c r="G875" s="3">
        <v>2755</v>
      </c>
      <c r="H875" s="3">
        <v>108</v>
      </c>
      <c r="I875" s="4">
        <v>4772.68</v>
      </c>
      <c r="J875" s="4">
        <v>16713.490000000002</v>
      </c>
      <c r="K875" s="3">
        <v>75</v>
      </c>
      <c r="L875" s="2" t="s">
        <v>2536</v>
      </c>
      <c r="M875" s="2" t="s">
        <v>2546</v>
      </c>
      <c r="N875" t="str">
        <f>TRIM(PROPER(Tabla_auditoría[[#This Row],[ID_Campaña]]))</f>
        <v>Cmp-025</v>
      </c>
      <c r="O875" t="str">
        <f>TRIM(PROPER(Tabla_auditoría[[#This Row],[Canal]]))</f>
        <v>Paid Social</v>
      </c>
      <c r="P875" t="str">
        <f>TRIM(PROPER(Tabla_auditoría[[#This Row],[País]]))</f>
        <v>España</v>
      </c>
      <c r="Q875" t="str">
        <f>TRIM(PROPER(Tabla_auditoría[[#This Row],[Dispositivo]]))</f>
        <v>Desktop</v>
      </c>
      <c r="R875" t="str">
        <f>TRIM(PROPER(Tabla_auditoría[[#This Row],[Tipo_Campaña]]))</f>
        <v>Reconocimiento</v>
      </c>
      <c r="S875" t="str">
        <f>TRIM(PROPER(Tabla_auditoría[[#This Row],[Responsable]]))</f>
        <v>Ana García</v>
      </c>
    </row>
    <row r="876" spans="1:19" x14ac:dyDescent="0.3">
      <c r="A876" s="1">
        <v>45946</v>
      </c>
      <c r="B876" s="2" t="s">
        <v>2566</v>
      </c>
      <c r="C876" s="2" t="s">
        <v>2521</v>
      </c>
      <c r="D876" s="2" t="s">
        <v>2531</v>
      </c>
      <c r="E876" s="2" t="s">
        <v>2534</v>
      </c>
      <c r="F876" s="3">
        <v>174433</v>
      </c>
      <c r="G876" s="3">
        <v>5788</v>
      </c>
      <c r="H876" s="3">
        <v>203</v>
      </c>
      <c r="I876" s="4">
        <v>2419.35</v>
      </c>
      <c r="J876" s="4">
        <v>18187.61</v>
      </c>
      <c r="K876" s="3">
        <v>140</v>
      </c>
      <c r="L876" s="2" t="s">
        <v>2523</v>
      </c>
      <c r="M876" s="2" t="s">
        <v>2546</v>
      </c>
      <c r="N876" t="str">
        <f>TRIM(PROPER(Tabla_auditoría[[#This Row],[ID_Campaña]]))</f>
        <v>Cmp-001</v>
      </c>
      <c r="O876" t="str">
        <f>TRIM(PROPER(Tabla_auditoría[[#This Row],[Canal]]))</f>
        <v>Paid Search</v>
      </c>
      <c r="P876" t="str">
        <f>TRIM(PROPER(Tabla_auditoría[[#This Row],[País]]))</f>
        <v>Portugal</v>
      </c>
      <c r="Q876" t="str">
        <f>TRIM(PROPER(Tabla_auditoría[[#This Row],[Dispositivo]]))</f>
        <v>Tablet</v>
      </c>
      <c r="R876" t="str">
        <f>TRIM(PROPER(Tabla_auditoría[[#This Row],[Tipo_Campaña]]))</f>
        <v>Retención</v>
      </c>
      <c r="S876" t="str">
        <f>TRIM(PROPER(Tabla_auditoría[[#This Row],[Responsable]]))</f>
        <v>Ana García</v>
      </c>
    </row>
    <row r="877" spans="1:19" x14ac:dyDescent="0.3">
      <c r="A877" s="1">
        <v>45742</v>
      </c>
      <c r="B877" s="2" t="s">
        <v>2530</v>
      </c>
      <c r="C877" s="2" t="s">
        <v>2562</v>
      </c>
      <c r="D877" s="2" t="s">
        <v>2528</v>
      </c>
      <c r="E877" s="2" t="s">
        <v>2534</v>
      </c>
      <c r="F877" s="3">
        <v>135956</v>
      </c>
      <c r="G877" s="3">
        <v>11039</v>
      </c>
      <c r="H877" s="3">
        <v>1530</v>
      </c>
      <c r="I877" s="4">
        <v>13536.84</v>
      </c>
      <c r="J877" s="4">
        <v>266167.69</v>
      </c>
      <c r="K877" s="3">
        <v>1090</v>
      </c>
      <c r="L877" s="2" t="s">
        <v>2536</v>
      </c>
      <c r="M877" s="2" t="s">
        <v>2546</v>
      </c>
      <c r="N877" t="str">
        <f>TRIM(PROPER(Tabla_auditoría[[#This Row],[ID_Campaña]]))</f>
        <v>Cmp-026</v>
      </c>
      <c r="O877" t="str">
        <f>TRIM(PROPER(Tabla_auditoría[[#This Row],[Canal]]))</f>
        <v>Organic Social</v>
      </c>
      <c r="P877" t="str">
        <f>TRIM(PROPER(Tabla_auditoría[[#This Row],[País]]))</f>
        <v>España</v>
      </c>
      <c r="Q877" t="str">
        <f>TRIM(PROPER(Tabla_auditoría[[#This Row],[Dispositivo]]))</f>
        <v>Tablet</v>
      </c>
      <c r="R877" t="str">
        <f>TRIM(PROPER(Tabla_auditoría[[#This Row],[Tipo_Campaña]]))</f>
        <v>Reconocimiento</v>
      </c>
      <c r="S877" t="str">
        <f>TRIM(PROPER(Tabla_auditoría[[#This Row],[Responsable]]))</f>
        <v>Ana García</v>
      </c>
    </row>
    <row r="878" spans="1:19" x14ac:dyDescent="0.3">
      <c r="A878" s="1">
        <v>45881</v>
      </c>
      <c r="B878" s="2" t="s">
        <v>2535</v>
      </c>
      <c r="C878" s="2" t="s">
        <v>2521</v>
      </c>
      <c r="D878" s="2" t="s">
        <v>2528</v>
      </c>
      <c r="E878" s="2" t="s">
        <v>2529</v>
      </c>
      <c r="F878" s="3">
        <v>144620</v>
      </c>
      <c r="G878" s="3">
        <v>7523</v>
      </c>
      <c r="H878" s="3">
        <v>393</v>
      </c>
      <c r="I878" s="4">
        <v>2867.27</v>
      </c>
      <c r="J878" s="4">
        <v>51533.42</v>
      </c>
      <c r="K878" s="3">
        <v>279</v>
      </c>
      <c r="L878" s="2" t="s">
        <v>2518</v>
      </c>
      <c r="M878" s="2" t="s">
        <v>2537</v>
      </c>
      <c r="N878" t="str">
        <f>TRIM(PROPER(Tabla_auditoría[[#This Row],[ID_Campaña]]))</f>
        <v>Cmp-015</v>
      </c>
      <c r="O878" t="str">
        <f>TRIM(PROPER(Tabla_auditoría[[#This Row],[Canal]]))</f>
        <v>Paid Search</v>
      </c>
      <c r="P878" t="str">
        <f>TRIM(PROPER(Tabla_auditoría[[#This Row],[País]]))</f>
        <v>España</v>
      </c>
      <c r="Q878" t="str">
        <f>TRIM(PROPER(Tabla_auditoría[[#This Row],[Dispositivo]]))</f>
        <v>Mobile</v>
      </c>
      <c r="R878" t="str">
        <f>TRIM(PROPER(Tabla_auditoría[[#This Row],[Tipo_Campaña]]))</f>
        <v>Adquisición</v>
      </c>
      <c r="S878" t="str">
        <f>TRIM(PROPER(Tabla_auditoría[[#This Row],[Responsable]]))</f>
        <v>Marta López</v>
      </c>
    </row>
    <row r="879" spans="1:19" x14ac:dyDescent="0.3">
      <c r="A879" s="1">
        <v>45883</v>
      </c>
      <c r="B879" s="2" t="s">
        <v>2568</v>
      </c>
      <c r="C879" s="2" t="s">
        <v>2541</v>
      </c>
      <c r="D879" s="2" t="s">
        <v>2516</v>
      </c>
      <c r="E879" s="2" t="s">
        <v>2517</v>
      </c>
      <c r="F879" s="3">
        <v>40244</v>
      </c>
      <c r="G879" s="3">
        <v>2878</v>
      </c>
      <c r="H879" s="3">
        <v>351</v>
      </c>
      <c r="I879" s="4">
        <v>4327.83</v>
      </c>
      <c r="J879" s="4">
        <v>76803.34</v>
      </c>
      <c r="K879" s="3">
        <v>278</v>
      </c>
      <c r="L879" s="2" t="s">
        <v>2518</v>
      </c>
      <c r="M879" s="2" t="s">
        <v>2546</v>
      </c>
      <c r="N879" t="str">
        <f>TRIM(PROPER(Tabla_auditoría[[#This Row],[ID_Campaña]]))</f>
        <v>Cmp-020</v>
      </c>
      <c r="O879" t="str">
        <f>TRIM(PROPER(Tabla_auditoría[[#This Row],[Canal]]))</f>
        <v>Display</v>
      </c>
      <c r="P879" t="str">
        <f>TRIM(PROPER(Tabla_auditoría[[#This Row],[País]]))</f>
        <v>México</v>
      </c>
      <c r="Q879" t="str">
        <f>TRIM(PROPER(Tabla_auditoría[[#This Row],[Dispositivo]]))</f>
        <v>Desktop</v>
      </c>
      <c r="R879" t="str">
        <f>TRIM(PROPER(Tabla_auditoría[[#This Row],[Tipo_Campaña]]))</f>
        <v>Adquisición</v>
      </c>
      <c r="S879" t="str">
        <f>TRIM(PROPER(Tabla_auditoría[[#This Row],[Responsable]]))</f>
        <v>Ana García</v>
      </c>
    </row>
    <row r="880" spans="1:19" x14ac:dyDescent="0.3">
      <c r="A880" s="1">
        <v>45939</v>
      </c>
      <c r="B880" s="2" t="s">
        <v>2540</v>
      </c>
      <c r="C880" s="2" t="s">
        <v>2527</v>
      </c>
      <c r="D880" s="2" t="s">
        <v>2525</v>
      </c>
      <c r="E880" s="2" t="s">
        <v>2517</v>
      </c>
      <c r="F880" s="3">
        <v>139912</v>
      </c>
      <c r="G880" s="3">
        <v>10432</v>
      </c>
      <c r="H880" s="3">
        <v>1290</v>
      </c>
      <c r="I880" s="4">
        <v>4170.63</v>
      </c>
      <c r="J880" s="4">
        <v>111491.1</v>
      </c>
      <c r="K880" s="3">
        <v>1099</v>
      </c>
      <c r="L880" s="2" t="s">
        <v>2518</v>
      </c>
      <c r="M880" s="2" t="s">
        <v>2537</v>
      </c>
      <c r="N880" t="str">
        <f>TRIM(PROPER(Tabla_auditoría[[#This Row],[ID_Campaña]]))</f>
        <v>Cmp-017</v>
      </c>
      <c r="O880" t="str">
        <f>TRIM(PROPER(Tabla_auditoría[[#This Row],[Canal]]))</f>
        <v>Affiliate</v>
      </c>
      <c r="P880" t="str">
        <f>TRIM(PROPER(Tabla_auditoría[[#This Row],[País]]))</f>
        <v>Francia</v>
      </c>
      <c r="Q880" t="str">
        <f>TRIM(PROPER(Tabla_auditoría[[#This Row],[Dispositivo]]))</f>
        <v>Desktop</v>
      </c>
      <c r="R880" t="str">
        <f>TRIM(PROPER(Tabla_auditoría[[#This Row],[Tipo_Campaña]]))</f>
        <v>Adquisición</v>
      </c>
      <c r="S880" t="str">
        <f>TRIM(PROPER(Tabla_auditoría[[#This Row],[Responsable]]))</f>
        <v>Marta López</v>
      </c>
    </row>
    <row r="881" spans="1:19" x14ac:dyDescent="0.3">
      <c r="A881" s="1">
        <v>45926</v>
      </c>
      <c r="B881" s="2" t="s">
        <v>2560</v>
      </c>
      <c r="C881" s="2" t="s">
        <v>2515</v>
      </c>
      <c r="D881" s="2" t="s">
        <v>2516</v>
      </c>
      <c r="E881" s="2" t="s">
        <v>2529</v>
      </c>
      <c r="F881" s="3">
        <v>131083</v>
      </c>
      <c r="G881" s="3">
        <v>8065</v>
      </c>
      <c r="H881" s="3">
        <v>195</v>
      </c>
      <c r="I881" s="4">
        <v>4988.8999999999996</v>
      </c>
      <c r="J881" s="4">
        <v>21649.29</v>
      </c>
      <c r="K881" s="3">
        <v>148</v>
      </c>
      <c r="L881" s="2" t="s">
        <v>2518</v>
      </c>
      <c r="M881" s="2" t="s">
        <v>2519</v>
      </c>
      <c r="N881" t="str">
        <f>TRIM(PROPER(Tabla_auditoría[[#This Row],[ID_Campaña]]))</f>
        <v>Cmp-027</v>
      </c>
      <c r="O881" t="str">
        <f>TRIM(PROPER(Tabla_auditoría[[#This Row],[Canal]]))</f>
        <v>Email</v>
      </c>
      <c r="P881" t="str">
        <f>TRIM(PROPER(Tabla_auditoría[[#This Row],[País]]))</f>
        <v>México</v>
      </c>
      <c r="Q881" t="str">
        <f>TRIM(PROPER(Tabla_auditoría[[#This Row],[Dispositivo]]))</f>
        <v>Mobile</v>
      </c>
      <c r="R881" t="str">
        <f>TRIM(PROPER(Tabla_auditoría[[#This Row],[Tipo_Campaña]]))</f>
        <v>Adquisición</v>
      </c>
      <c r="S881" t="str">
        <f>TRIM(PROPER(Tabla_auditoría[[#This Row],[Responsable]]))</f>
        <v>Carlos Ruiz</v>
      </c>
    </row>
    <row r="882" spans="1:19" x14ac:dyDescent="0.3">
      <c r="A882" s="1">
        <v>45857</v>
      </c>
      <c r="B882" s="2" t="s">
        <v>2571</v>
      </c>
      <c r="C882" s="2" t="s">
        <v>2533</v>
      </c>
      <c r="D882" s="2" t="s">
        <v>2528</v>
      </c>
      <c r="E882" s="2" t="s">
        <v>2534</v>
      </c>
      <c r="F882" s="3">
        <v>133441</v>
      </c>
      <c r="G882" s="3">
        <v>8231</v>
      </c>
      <c r="H882" s="3">
        <v>1073</v>
      </c>
      <c r="I882" s="4">
        <v>11903.41</v>
      </c>
      <c r="J882" s="4">
        <v>21680.87</v>
      </c>
      <c r="K882" s="3">
        <v>803</v>
      </c>
      <c r="L882" s="2" t="s">
        <v>2518</v>
      </c>
      <c r="M882" s="2" t="s">
        <v>2537</v>
      </c>
      <c r="N882" t="str">
        <f>TRIM(PROPER(Tabla_auditoría[[#This Row],[ID_Campaña]]))</f>
        <v>Cmp-029</v>
      </c>
      <c r="O882" t="str">
        <f>TRIM(PROPER(Tabla_auditoría[[#This Row],[Canal]]))</f>
        <v>Paid Social</v>
      </c>
      <c r="P882" t="str">
        <f>TRIM(PROPER(Tabla_auditoría[[#This Row],[País]]))</f>
        <v>España</v>
      </c>
      <c r="Q882" t="str">
        <f>TRIM(PROPER(Tabla_auditoría[[#This Row],[Dispositivo]]))</f>
        <v>Tablet</v>
      </c>
      <c r="R882" t="str">
        <f>TRIM(PROPER(Tabla_auditoría[[#This Row],[Tipo_Campaña]]))</f>
        <v>Adquisición</v>
      </c>
      <c r="S882" t="str">
        <f>TRIM(PROPER(Tabla_auditoría[[#This Row],[Responsable]]))</f>
        <v>Marta López</v>
      </c>
    </row>
    <row r="883" spans="1:19" x14ac:dyDescent="0.3">
      <c r="A883" s="1">
        <v>45721</v>
      </c>
      <c r="B883" s="2" t="s">
        <v>2565</v>
      </c>
      <c r="C883" s="2" t="s">
        <v>2527</v>
      </c>
      <c r="D883" s="2" t="s">
        <v>2525</v>
      </c>
      <c r="E883" s="2" t="s">
        <v>2529</v>
      </c>
      <c r="F883" s="3">
        <v>165722</v>
      </c>
      <c r="G883" s="3">
        <v>12887</v>
      </c>
      <c r="H883" s="3">
        <v>1523</v>
      </c>
      <c r="I883" s="4">
        <v>22763.51</v>
      </c>
      <c r="J883" s="4">
        <v>68647.350000000006</v>
      </c>
      <c r="K883" s="3">
        <v>891</v>
      </c>
      <c r="L883" s="2" t="s">
        <v>2518</v>
      </c>
      <c r="M883" s="2" t="s">
        <v>2526</v>
      </c>
      <c r="N883" t="str">
        <f>TRIM(PROPER(Tabla_auditoría[[#This Row],[ID_Campaña]]))</f>
        <v>Cmp-005</v>
      </c>
      <c r="O883" t="str">
        <f>TRIM(PROPER(Tabla_auditoría[[#This Row],[Canal]]))</f>
        <v>Affiliate</v>
      </c>
      <c r="P883" t="str">
        <f>TRIM(PROPER(Tabla_auditoría[[#This Row],[País]]))</f>
        <v>Francia</v>
      </c>
      <c r="Q883" t="str">
        <f>TRIM(PROPER(Tabla_auditoría[[#This Row],[Dispositivo]]))</f>
        <v>Mobile</v>
      </c>
      <c r="R883" t="str">
        <f>TRIM(PROPER(Tabla_auditoría[[#This Row],[Tipo_Campaña]]))</f>
        <v>Adquisición</v>
      </c>
      <c r="S883" t="str">
        <f>TRIM(PROPER(Tabla_auditoría[[#This Row],[Responsable]]))</f>
        <v>Laura Pérez</v>
      </c>
    </row>
    <row r="884" spans="1:19" x14ac:dyDescent="0.3">
      <c r="A884" s="1">
        <v>45696</v>
      </c>
      <c r="B884" s="2" t="s">
        <v>2567</v>
      </c>
      <c r="C884" s="2" t="s">
        <v>2527</v>
      </c>
      <c r="D884" s="2" t="s">
        <v>2516</v>
      </c>
      <c r="E884" s="2" t="s">
        <v>2529</v>
      </c>
      <c r="F884" s="3">
        <v>69940</v>
      </c>
      <c r="G884" s="3">
        <v>489</v>
      </c>
      <c r="H884" s="3">
        <v>48</v>
      </c>
      <c r="I884" s="4">
        <v>635.96</v>
      </c>
      <c r="J884" s="4">
        <v>2811.83</v>
      </c>
      <c r="K884" s="3">
        <v>37</v>
      </c>
      <c r="L884" s="2" t="s">
        <v>2539</v>
      </c>
      <c r="M884" s="2" t="s">
        <v>2526</v>
      </c>
      <c r="N884" t="str">
        <f>TRIM(PROPER(Tabla_auditoría[[#This Row],[ID_Campaña]]))</f>
        <v>Cmp-021</v>
      </c>
      <c r="O884" t="str">
        <f>TRIM(PROPER(Tabla_auditoría[[#This Row],[Canal]]))</f>
        <v>Affiliate</v>
      </c>
      <c r="P884" t="str">
        <f>TRIM(PROPER(Tabla_auditoría[[#This Row],[País]]))</f>
        <v>México</v>
      </c>
      <c r="Q884" t="str">
        <f>TRIM(PROPER(Tabla_auditoría[[#This Row],[Dispositivo]]))</f>
        <v>Mobile</v>
      </c>
      <c r="R884" t="str">
        <f>TRIM(PROPER(Tabla_auditoría[[#This Row],[Tipo_Campaña]]))</f>
        <v>Conversión</v>
      </c>
      <c r="S884" t="str">
        <f>TRIM(PROPER(Tabla_auditoría[[#This Row],[Responsable]]))</f>
        <v>Laura Pérez</v>
      </c>
    </row>
    <row r="885" spans="1:19" x14ac:dyDescent="0.3">
      <c r="A885" s="1">
        <v>45983</v>
      </c>
      <c r="B885" s="2" t="s">
        <v>2532</v>
      </c>
      <c r="C885" s="2" t="s">
        <v>2533</v>
      </c>
      <c r="D885" s="2" t="s">
        <v>2573</v>
      </c>
      <c r="E885" s="2" t="s">
        <v>2529</v>
      </c>
      <c r="F885" s="3">
        <v>24125</v>
      </c>
      <c r="G885" s="3">
        <v>782</v>
      </c>
      <c r="H885" s="3">
        <v>97</v>
      </c>
      <c r="I885" s="4">
        <v>902.64</v>
      </c>
      <c r="J885" s="4">
        <v>15290.48</v>
      </c>
      <c r="K885" s="3">
        <v>60</v>
      </c>
      <c r="L885" s="2" t="s">
        <v>2539</v>
      </c>
      <c r="M885" s="2" t="s">
        <v>2519</v>
      </c>
      <c r="N885" t="str">
        <f>TRIM(PROPER(Tabla_auditoría[[#This Row],[ID_Campaña]]))</f>
        <v>Cmp-022</v>
      </c>
      <c r="O885" t="str">
        <f>TRIM(PROPER(Tabla_auditoría[[#This Row],[Canal]]))</f>
        <v>Paid Social</v>
      </c>
      <c r="P885" t="str">
        <f>TRIM(PROPER(Tabla_auditoría[[#This Row],[País]]))</f>
        <v>España</v>
      </c>
      <c r="Q885" t="str">
        <f>TRIM(PROPER(Tabla_auditoría[[#This Row],[Dispositivo]]))</f>
        <v>Mobile</v>
      </c>
      <c r="R885" t="str">
        <f>TRIM(PROPER(Tabla_auditoría[[#This Row],[Tipo_Campaña]]))</f>
        <v>Conversión</v>
      </c>
      <c r="S885" t="str">
        <f>TRIM(PROPER(Tabla_auditoría[[#This Row],[Responsable]]))</f>
        <v>Carlos Ruiz</v>
      </c>
    </row>
    <row r="886" spans="1:19" x14ac:dyDescent="0.3">
      <c r="A886" s="1">
        <v>45779</v>
      </c>
      <c r="B886" s="2" t="s">
        <v>2547</v>
      </c>
      <c r="C886" s="2" t="s">
        <v>2515</v>
      </c>
      <c r="D886" s="2" t="s">
        <v>2516</v>
      </c>
      <c r="E886" s="2" t="s">
        <v>2517</v>
      </c>
      <c r="F886" s="3">
        <v>50091</v>
      </c>
      <c r="G886" s="3">
        <v>4205</v>
      </c>
      <c r="H886" s="3">
        <v>204</v>
      </c>
      <c r="I886" s="4">
        <v>2534</v>
      </c>
      <c r="J886" s="4">
        <v>36782.6</v>
      </c>
      <c r="K886" s="3">
        <v>139</v>
      </c>
      <c r="L886" s="2" t="s">
        <v>2518</v>
      </c>
      <c r="M886" s="2" t="s">
        <v>2519</v>
      </c>
      <c r="N886" t="str">
        <f>TRIM(PROPER(Tabla_auditoría[[#This Row],[ID_Campaña]]))</f>
        <v>Cmp-018</v>
      </c>
      <c r="O886" t="str">
        <f>TRIM(PROPER(Tabla_auditoría[[#This Row],[Canal]]))</f>
        <v>Email</v>
      </c>
      <c r="P886" t="str">
        <f>TRIM(PROPER(Tabla_auditoría[[#This Row],[País]]))</f>
        <v>México</v>
      </c>
      <c r="Q886" t="str">
        <f>TRIM(PROPER(Tabla_auditoría[[#This Row],[Dispositivo]]))</f>
        <v>Desktop</v>
      </c>
      <c r="R886" t="str">
        <f>TRIM(PROPER(Tabla_auditoría[[#This Row],[Tipo_Campaña]]))</f>
        <v>Adquisición</v>
      </c>
      <c r="S886" t="str">
        <f>TRIM(PROPER(Tabla_auditoría[[#This Row],[Responsable]]))</f>
        <v>Carlos Ruiz</v>
      </c>
    </row>
    <row r="887" spans="1:19" x14ac:dyDescent="0.3">
      <c r="A887" s="1">
        <v>45679</v>
      </c>
      <c r="B887" s="2" t="s">
        <v>2574</v>
      </c>
      <c r="C887" s="2" t="s">
        <v>2527</v>
      </c>
      <c r="D887" s="2" t="s">
        <v>2528</v>
      </c>
      <c r="E887" s="2" t="s">
        <v>2517</v>
      </c>
      <c r="F887" s="3">
        <v>173256</v>
      </c>
      <c r="G887" s="3">
        <v>7586</v>
      </c>
      <c r="H887" s="3">
        <v>652</v>
      </c>
      <c r="I887" s="4">
        <v>11764.93</v>
      </c>
      <c r="J887" s="4">
        <v>30093.16</v>
      </c>
      <c r="K887" s="3">
        <v>559</v>
      </c>
      <c r="L887" s="2" t="s">
        <v>2518</v>
      </c>
      <c r="M887" s="2" t="s">
        <v>2526</v>
      </c>
      <c r="N887" t="str">
        <f>TRIM(PROPER(Tabla_auditoría[[#This Row],[ID_Campaña]]))</f>
        <v>Cmp-003</v>
      </c>
      <c r="O887" t="str">
        <f>TRIM(PROPER(Tabla_auditoría[[#This Row],[Canal]]))</f>
        <v>Affiliate</v>
      </c>
      <c r="P887" t="str">
        <f>TRIM(PROPER(Tabla_auditoría[[#This Row],[País]]))</f>
        <v>España</v>
      </c>
      <c r="Q887" t="str">
        <f>TRIM(PROPER(Tabla_auditoría[[#This Row],[Dispositivo]]))</f>
        <v>Desktop</v>
      </c>
      <c r="R887" t="str">
        <f>TRIM(PROPER(Tabla_auditoría[[#This Row],[Tipo_Campaña]]))</f>
        <v>Adquisición</v>
      </c>
      <c r="S887" t="str">
        <f>TRIM(PROPER(Tabla_auditoría[[#This Row],[Responsable]]))</f>
        <v>Laura Pérez</v>
      </c>
    </row>
    <row r="888" spans="1:19" x14ac:dyDescent="0.3">
      <c r="A888" s="1">
        <v>46016</v>
      </c>
      <c r="B888" s="2" t="s">
        <v>2564</v>
      </c>
      <c r="C888" s="2" t="s">
        <v>2533</v>
      </c>
      <c r="D888" s="2" t="s">
        <v>2525</v>
      </c>
      <c r="E888" s="2" t="s">
        <v>2529</v>
      </c>
      <c r="F888" s="3">
        <v>39456</v>
      </c>
      <c r="G888" s="3">
        <v>975</v>
      </c>
      <c r="H888" s="3">
        <v>121</v>
      </c>
      <c r="I888" s="4">
        <v>1770.75</v>
      </c>
      <c r="J888" s="4">
        <v>25361.75</v>
      </c>
      <c r="K888" s="3">
        <v>92</v>
      </c>
      <c r="L888" s="2" t="s">
        <v>2518</v>
      </c>
      <c r="M888" s="2" t="s">
        <v>2519</v>
      </c>
      <c r="N888" t="str">
        <f>TRIM(PROPER(Tabla_auditoría[[#This Row],[ID_Campaña]]))</f>
        <v>Cmp-024</v>
      </c>
      <c r="O888" t="str">
        <f>TRIM(PROPER(Tabla_auditoría[[#This Row],[Canal]]))</f>
        <v>Paid Social</v>
      </c>
      <c r="P888" t="str">
        <f>TRIM(PROPER(Tabla_auditoría[[#This Row],[País]]))</f>
        <v>Francia</v>
      </c>
      <c r="Q888" t="str">
        <f>TRIM(PROPER(Tabla_auditoría[[#This Row],[Dispositivo]]))</f>
        <v>Mobile</v>
      </c>
      <c r="R888" t="str">
        <f>TRIM(PROPER(Tabla_auditoría[[#This Row],[Tipo_Campaña]]))</f>
        <v>Adquisición</v>
      </c>
      <c r="S888" t="str">
        <f>TRIM(PROPER(Tabla_auditoría[[#This Row],[Responsable]]))</f>
        <v>Carlos Ruiz</v>
      </c>
    </row>
    <row r="889" spans="1:19" x14ac:dyDescent="0.3">
      <c r="A889" s="1">
        <v>45780</v>
      </c>
      <c r="B889" s="2" t="s">
        <v>2569</v>
      </c>
      <c r="C889" s="2" t="s">
        <v>2541</v>
      </c>
      <c r="D889" s="2" t="s">
        <v>2528</v>
      </c>
      <c r="E889" s="2" t="s">
        <v>2517</v>
      </c>
      <c r="F889" s="3">
        <v>57755</v>
      </c>
      <c r="G889" s="3">
        <v>3798</v>
      </c>
      <c r="H889" s="3">
        <v>154</v>
      </c>
      <c r="I889" s="4">
        <v>2098.4499999999998</v>
      </c>
      <c r="J889" s="4">
        <v>28133.58</v>
      </c>
      <c r="K889" s="3">
        <v>79</v>
      </c>
      <c r="L889" s="2" t="s">
        <v>2518</v>
      </c>
      <c r="M889" s="2" t="s">
        <v>2519</v>
      </c>
      <c r="N889" t="str">
        <f>TRIM(PROPER(Tabla_auditoría[[#This Row],[ID_Campaña]]))</f>
        <v>Cmp-013</v>
      </c>
      <c r="O889" t="str">
        <f>TRIM(PROPER(Tabla_auditoría[[#This Row],[Canal]]))</f>
        <v>Display</v>
      </c>
      <c r="P889" t="str">
        <f>TRIM(PROPER(Tabla_auditoría[[#This Row],[País]]))</f>
        <v>España</v>
      </c>
      <c r="Q889" t="str">
        <f>TRIM(PROPER(Tabla_auditoría[[#This Row],[Dispositivo]]))</f>
        <v>Desktop</v>
      </c>
      <c r="R889" t="str">
        <f>TRIM(PROPER(Tabla_auditoría[[#This Row],[Tipo_Campaña]]))</f>
        <v>Adquisición</v>
      </c>
      <c r="S889" t="str">
        <f>TRIM(PROPER(Tabla_auditoría[[#This Row],[Responsable]]))</f>
        <v>Carlos Ruiz</v>
      </c>
    </row>
    <row r="890" spans="1:19" x14ac:dyDescent="0.3">
      <c r="A890" s="1">
        <v>45796</v>
      </c>
      <c r="B890" s="2" t="s">
        <v>2569</v>
      </c>
      <c r="C890" s="2" t="s">
        <v>2543</v>
      </c>
      <c r="D890" s="2" t="s">
        <v>2522</v>
      </c>
      <c r="E890" s="2" t="s">
        <v>2529</v>
      </c>
      <c r="F890" s="3">
        <v>103561</v>
      </c>
      <c r="G890" s="3">
        <v>2641</v>
      </c>
      <c r="H890" s="3">
        <v>329</v>
      </c>
      <c r="I890" s="4">
        <v>4108.5</v>
      </c>
      <c r="J890" s="4">
        <v>67225.850000000006</v>
      </c>
      <c r="K890" s="3">
        <v>212</v>
      </c>
      <c r="L890" s="2" t="s">
        <v>2536</v>
      </c>
      <c r="M890" s="2" t="s">
        <v>2519</v>
      </c>
      <c r="N890" t="str">
        <f>TRIM(PROPER(Tabla_auditoría[[#This Row],[ID_Campaña]]))</f>
        <v>Cmp-013</v>
      </c>
      <c r="O890" t="str">
        <f>TRIM(PROPER(Tabla_auditoría[[#This Row],[Canal]]))</f>
        <v>Organic Social</v>
      </c>
      <c r="P890" t="str">
        <f>TRIM(PROPER(Tabla_auditoría[[#This Row],[País]]))</f>
        <v>Italia</v>
      </c>
      <c r="Q890" t="str">
        <f>TRIM(PROPER(Tabla_auditoría[[#This Row],[Dispositivo]]))</f>
        <v>Mobile</v>
      </c>
      <c r="R890" t="str">
        <f>TRIM(PROPER(Tabla_auditoría[[#This Row],[Tipo_Campaña]]))</f>
        <v>Reconocimiento</v>
      </c>
      <c r="S890" t="str">
        <f>TRIM(PROPER(Tabla_auditoría[[#This Row],[Responsable]]))</f>
        <v>Carlos Ruiz</v>
      </c>
    </row>
    <row r="891" spans="1:19" x14ac:dyDescent="0.3">
      <c r="A891" s="1">
        <v>45671</v>
      </c>
      <c r="B891" s="2" t="s">
        <v>2567</v>
      </c>
      <c r="C891" s="2" t="s">
        <v>2521</v>
      </c>
      <c r="D891" s="2" t="s">
        <v>2528</v>
      </c>
      <c r="E891" s="2" t="s">
        <v>2529</v>
      </c>
      <c r="F891" s="3">
        <v>41693</v>
      </c>
      <c r="G891" s="3">
        <v>1507</v>
      </c>
      <c r="H891" s="3">
        <v>75</v>
      </c>
      <c r="I891" s="4">
        <v>184.82</v>
      </c>
      <c r="J891" s="4">
        <v>14243.84</v>
      </c>
      <c r="K891" s="3">
        <v>64</v>
      </c>
      <c r="L891" s="2" t="s">
        <v>2539</v>
      </c>
      <c r="M891" s="2" t="s">
        <v>2524</v>
      </c>
      <c r="N891" t="str">
        <f>TRIM(PROPER(Tabla_auditoría[[#This Row],[ID_Campaña]]))</f>
        <v>Cmp-021</v>
      </c>
      <c r="O891" t="str">
        <f>TRIM(PROPER(Tabla_auditoría[[#This Row],[Canal]]))</f>
        <v>Paid Search</v>
      </c>
      <c r="P891" t="str">
        <f>TRIM(PROPER(Tabla_auditoría[[#This Row],[País]]))</f>
        <v>España</v>
      </c>
      <c r="Q891" t="str">
        <f>TRIM(PROPER(Tabla_auditoría[[#This Row],[Dispositivo]]))</f>
        <v>Mobile</v>
      </c>
      <c r="R891" t="str">
        <f>TRIM(PROPER(Tabla_auditoría[[#This Row],[Tipo_Campaña]]))</f>
        <v>Conversión</v>
      </c>
      <c r="S891" t="str">
        <f>TRIM(PROPER(Tabla_auditoría[[#This Row],[Responsable]]))</f>
        <v>Luis Martín</v>
      </c>
    </row>
    <row r="892" spans="1:19" x14ac:dyDescent="0.3">
      <c r="A892" s="1">
        <v>45788</v>
      </c>
      <c r="B892" s="2" t="s">
        <v>2544</v>
      </c>
      <c r="C892" s="2" t="s">
        <v>2527</v>
      </c>
      <c r="D892" s="2" t="s">
        <v>2522</v>
      </c>
      <c r="E892" s="2" t="s">
        <v>2529</v>
      </c>
      <c r="F892" s="3">
        <v>125464</v>
      </c>
      <c r="G892" s="3">
        <v>4355</v>
      </c>
      <c r="H892" s="3">
        <v>209</v>
      </c>
      <c r="I892" s="4">
        <v>8971.16</v>
      </c>
      <c r="J892" s="4">
        <v>23296.400000000001</v>
      </c>
      <c r="K892" s="3">
        <v>101</v>
      </c>
      <c r="L892" s="2" t="s">
        <v>2539</v>
      </c>
      <c r="M892" s="2" t="s">
        <v>2524</v>
      </c>
      <c r="N892" t="str">
        <f>TRIM(PROPER(Tabla_auditoría[[#This Row],[ID_Campaña]]))</f>
        <v>Cmp-006</v>
      </c>
      <c r="O892" t="str">
        <f>TRIM(PROPER(Tabla_auditoría[[#This Row],[Canal]]))</f>
        <v>Affiliate</v>
      </c>
      <c r="P892" t="str">
        <f>TRIM(PROPER(Tabla_auditoría[[#This Row],[País]]))</f>
        <v>Italia</v>
      </c>
      <c r="Q892" t="str">
        <f>TRIM(PROPER(Tabla_auditoría[[#This Row],[Dispositivo]]))</f>
        <v>Mobile</v>
      </c>
      <c r="R892" t="str">
        <f>TRIM(PROPER(Tabla_auditoría[[#This Row],[Tipo_Campaña]]))</f>
        <v>Conversión</v>
      </c>
      <c r="S892" t="str">
        <f>TRIM(PROPER(Tabla_auditoría[[#This Row],[Responsable]]))</f>
        <v>Luis Martín</v>
      </c>
    </row>
    <row r="893" spans="1:19" x14ac:dyDescent="0.3">
      <c r="A893" s="1">
        <v>45742</v>
      </c>
      <c r="B893" s="2" t="s">
        <v>2566</v>
      </c>
      <c r="C893" s="2" t="s">
        <v>2527</v>
      </c>
      <c r="D893" s="2" t="s">
        <v>2528</v>
      </c>
      <c r="E893" s="2" t="s">
        <v>2529</v>
      </c>
      <c r="F893" s="3">
        <v>3407</v>
      </c>
      <c r="G893" s="3">
        <v>263</v>
      </c>
      <c r="H893" s="3">
        <v>28</v>
      </c>
      <c r="I893" s="4">
        <v>538.49</v>
      </c>
      <c r="J893" s="4">
        <v>3168.29</v>
      </c>
      <c r="K893" s="3">
        <v>13</v>
      </c>
      <c r="L893" s="2" t="s">
        <v>2539</v>
      </c>
      <c r="M893" s="2" t="s">
        <v>2524</v>
      </c>
      <c r="N893" t="str">
        <f>TRIM(PROPER(Tabla_auditoría[[#This Row],[ID_Campaña]]))</f>
        <v>Cmp-001</v>
      </c>
      <c r="O893" t="str">
        <f>TRIM(PROPER(Tabla_auditoría[[#This Row],[Canal]]))</f>
        <v>Affiliate</v>
      </c>
      <c r="P893" t="str">
        <f>TRIM(PROPER(Tabla_auditoría[[#This Row],[País]]))</f>
        <v>España</v>
      </c>
      <c r="Q893" t="str">
        <f>TRIM(PROPER(Tabla_auditoría[[#This Row],[Dispositivo]]))</f>
        <v>Mobile</v>
      </c>
      <c r="R893" t="str">
        <f>TRIM(PROPER(Tabla_auditoría[[#This Row],[Tipo_Campaña]]))</f>
        <v>Conversión</v>
      </c>
      <c r="S893" t="str">
        <f>TRIM(PROPER(Tabla_auditoría[[#This Row],[Responsable]]))</f>
        <v>Luis Martín</v>
      </c>
    </row>
    <row r="894" spans="1:19" x14ac:dyDescent="0.3">
      <c r="A894" s="1">
        <v>45930</v>
      </c>
      <c r="B894" s="2" t="s">
        <v>2570</v>
      </c>
      <c r="C894" s="2" t="s">
        <v>2527</v>
      </c>
      <c r="D894" s="2" t="s">
        <v>2528</v>
      </c>
      <c r="E894" s="2" t="s">
        <v>2517</v>
      </c>
      <c r="F894" s="3">
        <v>53660</v>
      </c>
      <c r="G894" s="3">
        <v>1329</v>
      </c>
      <c r="H894" s="3">
        <v>38</v>
      </c>
      <c r="I894" s="4">
        <v>165.94</v>
      </c>
      <c r="J894" s="4">
        <v>1833.31</v>
      </c>
      <c r="K894" s="3">
        <v>33</v>
      </c>
      <c r="L894" s="2" t="s">
        <v>2536</v>
      </c>
      <c r="M894" s="2" t="s">
        <v>2526</v>
      </c>
      <c r="N894" t="str">
        <f>TRIM(PROPER(Tabla_auditoría[[#This Row],[ID_Campaña]]))</f>
        <v>Cmp-016</v>
      </c>
      <c r="O894" t="str">
        <f>TRIM(PROPER(Tabla_auditoría[[#This Row],[Canal]]))</f>
        <v>Affiliate</v>
      </c>
      <c r="P894" t="str">
        <f>TRIM(PROPER(Tabla_auditoría[[#This Row],[País]]))</f>
        <v>España</v>
      </c>
      <c r="Q894" t="str">
        <f>TRIM(PROPER(Tabla_auditoría[[#This Row],[Dispositivo]]))</f>
        <v>Desktop</v>
      </c>
      <c r="R894" t="str">
        <f>TRIM(PROPER(Tabla_auditoría[[#This Row],[Tipo_Campaña]]))</f>
        <v>Reconocimiento</v>
      </c>
      <c r="S894" t="str">
        <f>TRIM(PROPER(Tabla_auditoría[[#This Row],[Responsable]]))</f>
        <v>Laura Pérez</v>
      </c>
    </row>
    <row r="895" spans="1:19" x14ac:dyDescent="0.3">
      <c r="A895" s="1">
        <v>45960</v>
      </c>
      <c r="B895" s="2" t="s">
        <v>2552</v>
      </c>
      <c r="C895" s="2" t="s">
        <v>2521</v>
      </c>
      <c r="D895" s="2" t="s">
        <v>2522</v>
      </c>
      <c r="E895" s="2" t="s">
        <v>2529</v>
      </c>
      <c r="F895" s="3">
        <v>67113</v>
      </c>
      <c r="G895" s="3">
        <v>5250</v>
      </c>
      <c r="H895" s="3">
        <v>27</v>
      </c>
      <c r="I895" s="4">
        <v>1943.68</v>
      </c>
      <c r="J895" s="4">
        <v>3153.04</v>
      </c>
      <c r="K895" s="3">
        <v>14</v>
      </c>
      <c r="L895" s="2" t="s">
        <v>2518</v>
      </c>
      <c r="M895" s="2" t="s">
        <v>2519</v>
      </c>
      <c r="N895" t="str">
        <f>TRIM(PROPER(Tabla_auditoría[[#This Row],[ID_Campaña]]))</f>
        <v>Cmp-012</v>
      </c>
      <c r="O895" t="str">
        <f>TRIM(PROPER(Tabla_auditoría[[#This Row],[Canal]]))</f>
        <v>Paid Search</v>
      </c>
      <c r="P895" t="str">
        <f>TRIM(PROPER(Tabla_auditoría[[#This Row],[País]]))</f>
        <v>Italia</v>
      </c>
      <c r="Q895" t="str">
        <f>TRIM(PROPER(Tabla_auditoría[[#This Row],[Dispositivo]]))</f>
        <v>Mobile</v>
      </c>
      <c r="R895" t="str">
        <f>TRIM(PROPER(Tabla_auditoría[[#This Row],[Tipo_Campaña]]))</f>
        <v>Adquisición</v>
      </c>
      <c r="S895" t="str">
        <f>TRIM(PROPER(Tabla_auditoría[[#This Row],[Responsable]]))</f>
        <v>Carlos Ruiz</v>
      </c>
    </row>
    <row r="896" spans="1:19" x14ac:dyDescent="0.3">
      <c r="A896" s="1">
        <v>45804</v>
      </c>
      <c r="B896" s="2" t="s">
        <v>2574</v>
      </c>
      <c r="C896" s="2" t="s">
        <v>2533</v>
      </c>
      <c r="D896" s="2" t="s">
        <v>2528</v>
      </c>
      <c r="E896" s="2" t="s">
        <v>2529</v>
      </c>
      <c r="F896" s="3">
        <v>12994</v>
      </c>
      <c r="G896" s="3">
        <v>1084</v>
      </c>
      <c r="H896" s="3">
        <v>106</v>
      </c>
      <c r="I896" s="4">
        <v>335.52</v>
      </c>
      <c r="J896" s="4">
        <v>1740.41</v>
      </c>
      <c r="K896" s="3">
        <v>80</v>
      </c>
      <c r="L896" s="2" t="s">
        <v>2523</v>
      </c>
      <c r="M896" s="2" t="s">
        <v>2526</v>
      </c>
      <c r="N896" t="str">
        <f>TRIM(PROPER(Tabla_auditoría[[#This Row],[ID_Campaña]]))</f>
        <v>Cmp-003</v>
      </c>
      <c r="O896" t="str">
        <f>TRIM(PROPER(Tabla_auditoría[[#This Row],[Canal]]))</f>
        <v>Paid Social</v>
      </c>
      <c r="P896" t="str">
        <f>TRIM(PROPER(Tabla_auditoría[[#This Row],[País]]))</f>
        <v>España</v>
      </c>
      <c r="Q896" t="str">
        <f>TRIM(PROPER(Tabla_auditoría[[#This Row],[Dispositivo]]))</f>
        <v>Mobile</v>
      </c>
      <c r="R896" t="str">
        <f>TRIM(PROPER(Tabla_auditoría[[#This Row],[Tipo_Campaña]]))</f>
        <v>Retención</v>
      </c>
      <c r="S896" t="str">
        <f>TRIM(PROPER(Tabla_auditoría[[#This Row],[Responsable]]))</f>
        <v>Laura Pérez</v>
      </c>
    </row>
    <row r="897" spans="1:19" x14ac:dyDescent="0.3">
      <c r="A897" s="1">
        <v>45687</v>
      </c>
      <c r="B897" s="2" t="s">
        <v>2564</v>
      </c>
      <c r="C897" s="2" t="s">
        <v>2521</v>
      </c>
      <c r="D897" s="2" t="s">
        <v>2528</v>
      </c>
      <c r="E897" s="2" t="s">
        <v>2529</v>
      </c>
      <c r="F897" s="3">
        <v>160257</v>
      </c>
      <c r="G897" s="3">
        <v>5835</v>
      </c>
      <c r="H897" s="3">
        <v>732</v>
      </c>
      <c r="I897" s="4">
        <v>11258.43</v>
      </c>
      <c r="J897" s="4">
        <v>68587.91</v>
      </c>
      <c r="K897" s="3">
        <v>376</v>
      </c>
      <c r="L897" s="2" t="s">
        <v>2539</v>
      </c>
      <c r="M897" s="2" t="s">
        <v>2524</v>
      </c>
      <c r="N897" t="str">
        <f>TRIM(PROPER(Tabla_auditoría[[#This Row],[ID_Campaña]]))</f>
        <v>Cmp-024</v>
      </c>
      <c r="O897" t="str">
        <f>TRIM(PROPER(Tabla_auditoría[[#This Row],[Canal]]))</f>
        <v>Paid Search</v>
      </c>
      <c r="P897" t="str">
        <f>TRIM(PROPER(Tabla_auditoría[[#This Row],[País]]))</f>
        <v>España</v>
      </c>
      <c r="Q897" t="str">
        <f>TRIM(PROPER(Tabla_auditoría[[#This Row],[Dispositivo]]))</f>
        <v>Mobile</v>
      </c>
      <c r="R897" t="str">
        <f>TRIM(PROPER(Tabla_auditoría[[#This Row],[Tipo_Campaña]]))</f>
        <v>Conversión</v>
      </c>
      <c r="S897" t="str">
        <f>TRIM(PROPER(Tabla_auditoría[[#This Row],[Responsable]]))</f>
        <v>Luis Martín</v>
      </c>
    </row>
    <row r="898" spans="1:19" x14ac:dyDescent="0.3">
      <c r="A898" s="1">
        <v>45975</v>
      </c>
      <c r="B898" s="2" t="s">
        <v>2549</v>
      </c>
      <c r="C898" s="2" t="s">
        <v>2521</v>
      </c>
      <c r="D898" s="2" t="s">
        <v>2528</v>
      </c>
      <c r="E898" s="2" t="s">
        <v>2534</v>
      </c>
      <c r="F898" s="3">
        <v>16244</v>
      </c>
      <c r="G898" s="3">
        <v>1329</v>
      </c>
      <c r="H898" s="3">
        <v>30</v>
      </c>
      <c r="I898" s="4">
        <v>1386.6</v>
      </c>
      <c r="J898" s="4">
        <v>5550.58</v>
      </c>
      <c r="K898" s="3">
        <v>23</v>
      </c>
      <c r="L898" s="2" t="s">
        <v>2536</v>
      </c>
      <c r="M898" s="2" t="s">
        <v>2537</v>
      </c>
      <c r="N898" t="str">
        <f>TRIM(PROPER(Tabla_auditoría[[#This Row],[ID_Campaña]]))</f>
        <v>Cmp-007</v>
      </c>
      <c r="O898" t="str">
        <f>TRIM(PROPER(Tabla_auditoría[[#This Row],[Canal]]))</f>
        <v>Paid Search</v>
      </c>
      <c r="P898" t="str">
        <f>TRIM(PROPER(Tabla_auditoría[[#This Row],[País]]))</f>
        <v>España</v>
      </c>
      <c r="Q898" t="str">
        <f>TRIM(PROPER(Tabla_auditoría[[#This Row],[Dispositivo]]))</f>
        <v>Tablet</v>
      </c>
      <c r="R898" t="str">
        <f>TRIM(PROPER(Tabla_auditoría[[#This Row],[Tipo_Campaña]]))</f>
        <v>Reconocimiento</v>
      </c>
      <c r="S898" t="str">
        <f>TRIM(PROPER(Tabla_auditoría[[#This Row],[Responsable]]))</f>
        <v>Marta López</v>
      </c>
    </row>
    <row r="899" spans="1:19" x14ac:dyDescent="0.3">
      <c r="A899" s="1">
        <v>45893</v>
      </c>
      <c r="B899" s="2" t="s">
        <v>2520</v>
      </c>
      <c r="C899" s="2" t="s">
        <v>2521</v>
      </c>
      <c r="D899" s="2" t="s">
        <v>2528</v>
      </c>
      <c r="E899" s="2" t="s">
        <v>2517</v>
      </c>
      <c r="F899" s="3">
        <v>6619</v>
      </c>
      <c r="G899" s="3">
        <v>50</v>
      </c>
      <c r="H899" s="3">
        <v>1</v>
      </c>
      <c r="I899" s="4">
        <v>22.64</v>
      </c>
      <c r="J899" s="4">
        <v>61.86</v>
      </c>
      <c r="K899" s="3">
        <v>0</v>
      </c>
      <c r="L899" s="2" t="s">
        <v>2523</v>
      </c>
      <c r="M899" s="2" t="s">
        <v>2526</v>
      </c>
      <c r="N899" t="str">
        <f>TRIM(PROPER(Tabla_auditoría[[#This Row],[ID_Campaña]]))</f>
        <v>Cmp-009</v>
      </c>
      <c r="O899" t="str">
        <f>TRIM(PROPER(Tabla_auditoría[[#This Row],[Canal]]))</f>
        <v>Paid Search</v>
      </c>
      <c r="P899" t="str">
        <f>TRIM(PROPER(Tabla_auditoría[[#This Row],[País]]))</f>
        <v>España</v>
      </c>
      <c r="Q899" t="str">
        <f>TRIM(PROPER(Tabla_auditoría[[#This Row],[Dispositivo]]))</f>
        <v>Desktop</v>
      </c>
      <c r="R899" t="str">
        <f>TRIM(PROPER(Tabla_auditoría[[#This Row],[Tipo_Campaña]]))</f>
        <v>Retención</v>
      </c>
      <c r="S899" t="str">
        <f>TRIM(PROPER(Tabla_auditoría[[#This Row],[Responsable]]))</f>
        <v>Laura Pérez</v>
      </c>
    </row>
    <row r="900" spans="1:19" x14ac:dyDescent="0.3">
      <c r="A900" s="1">
        <v>45875</v>
      </c>
      <c r="B900" s="2" t="s">
        <v>2542</v>
      </c>
      <c r="C900" s="2" t="s">
        <v>2515</v>
      </c>
      <c r="D900" s="2" t="s">
        <v>2531</v>
      </c>
      <c r="E900" s="2" t="s">
        <v>2517</v>
      </c>
      <c r="F900" s="3">
        <v>151208</v>
      </c>
      <c r="G900" s="3">
        <v>3658</v>
      </c>
      <c r="H900" s="3">
        <v>101</v>
      </c>
      <c r="I900" s="4">
        <v>5920.5</v>
      </c>
      <c r="J900" s="4">
        <v>10129.379999999999</v>
      </c>
      <c r="K900" s="3">
        <v>53</v>
      </c>
      <c r="L900" s="2" t="s">
        <v>2536</v>
      </c>
      <c r="M900" s="2" t="s">
        <v>2524</v>
      </c>
      <c r="N900" t="str">
        <f>TRIM(PROPER(Tabla_auditoría[[#This Row],[ID_Campaña]]))</f>
        <v>Cmp-025</v>
      </c>
      <c r="O900" t="str">
        <f>TRIM(PROPER(Tabla_auditoría[[#This Row],[Canal]]))</f>
        <v>Email</v>
      </c>
      <c r="P900" t="str">
        <f>TRIM(PROPER(Tabla_auditoría[[#This Row],[País]]))</f>
        <v>Portugal</v>
      </c>
      <c r="Q900" t="str">
        <f>TRIM(PROPER(Tabla_auditoría[[#This Row],[Dispositivo]]))</f>
        <v>Desktop</v>
      </c>
      <c r="R900" t="str">
        <f>TRIM(PROPER(Tabla_auditoría[[#This Row],[Tipo_Campaña]]))</f>
        <v>Reconocimiento</v>
      </c>
      <c r="S900" t="str">
        <f>TRIM(PROPER(Tabla_auditoría[[#This Row],[Responsable]]))</f>
        <v>Luis Martín</v>
      </c>
    </row>
    <row r="901" spans="1:19" x14ac:dyDescent="0.3">
      <c r="A901" s="1">
        <v>45723</v>
      </c>
      <c r="B901" s="2" t="s">
        <v>2564</v>
      </c>
      <c r="C901" s="2" t="s">
        <v>2543</v>
      </c>
      <c r="D901" s="2" t="s">
        <v>2531</v>
      </c>
      <c r="E901" s="2" t="s">
        <v>2517</v>
      </c>
      <c r="F901" s="3">
        <v>10518</v>
      </c>
      <c r="G901" s="3">
        <v>228</v>
      </c>
      <c r="H901" s="3">
        <v>4</v>
      </c>
      <c r="I901" s="4">
        <v>456.54</v>
      </c>
      <c r="J901" s="4">
        <v>592.45000000000005</v>
      </c>
      <c r="K901" s="3">
        <v>2</v>
      </c>
      <c r="L901" s="2" t="s">
        <v>2518</v>
      </c>
      <c r="M901" s="2" t="s">
        <v>2519</v>
      </c>
      <c r="N901" t="str">
        <f>TRIM(PROPER(Tabla_auditoría[[#This Row],[ID_Campaña]]))</f>
        <v>Cmp-024</v>
      </c>
      <c r="O901" t="str">
        <f>TRIM(PROPER(Tabla_auditoría[[#This Row],[Canal]]))</f>
        <v>Organic Social</v>
      </c>
      <c r="P901" t="str">
        <f>TRIM(PROPER(Tabla_auditoría[[#This Row],[País]]))</f>
        <v>Portugal</v>
      </c>
      <c r="Q901" t="str">
        <f>TRIM(PROPER(Tabla_auditoría[[#This Row],[Dispositivo]]))</f>
        <v>Desktop</v>
      </c>
      <c r="R901" t="str">
        <f>TRIM(PROPER(Tabla_auditoría[[#This Row],[Tipo_Campaña]]))</f>
        <v>Adquisición</v>
      </c>
      <c r="S901" t="str">
        <f>TRIM(PROPER(Tabla_auditoría[[#This Row],[Responsable]]))</f>
        <v>Carlos Ruiz</v>
      </c>
    </row>
    <row r="902" spans="1:19" x14ac:dyDescent="0.3">
      <c r="A902" s="1">
        <v>45860</v>
      </c>
      <c r="B902" s="2" t="s">
        <v>2542</v>
      </c>
      <c r="C902" s="2" t="s">
        <v>2541</v>
      </c>
      <c r="D902" s="2" t="s">
        <v>2522</v>
      </c>
      <c r="E902" s="2" t="s">
        <v>2529</v>
      </c>
      <c r="F902" s="3">
        <v>57099</v>
      </c>
      <c r="G902" s="3">
        <v>4595</v>
      </c>
      <c r="H902" s="3">
        <v>242</v>
      </c>
      <c r="I902" s="4">
        <v>8110.22</v>
      </c>
      <c r="J902" s="4">
        <v>21665.16</v>
      </c>
      <c r="K902" s="3">
        <v>121</v>
      </c>
      <c r="L902" s="2" t="s">
        <v>2536</v>
      </c>
      <c r="M902" s="2" t="s">
        <v>2519</v>
      </c>
      <c r="N902" t="str">
        <f>TRIM(PROPER(Tabla_auditoría[[#This Row],[ID_Campaña]]))</f>
        <v>Cmp-025</v>
      </c>
      <c r="O902" t="str">
        <f>TRIM(PROPER(Tabla_auditoría[[#This Row],[Canal]]))</f>
        <v>Display</v>
      </c>
      <c r="P902" t="str">
        <f>TRIM(PROPER(Tabla_auditoría[[#This Row],[País]]))</f>
        <v>Italia</v>
      </c>
      <c r="Q902" t="str">
        <f>TRIM(PROPER(Tabla_auditoría[[#This Row],[Dispositivo]]))</f>
        <v>Mobile</v>
      </c>
      <c r="R902" t="str">
        <f>TRIM(PROPER(Tabla_auditoría[[#This Row],[Tipo_Campaña]]))</f>
        <v>Reconocimiento</v>
      </c>
      <c r="S902" t="str">
        <f>TRIM(PROPER(Tabla_auditoría[[#This Row],[Responsable]]))</f>
        <v>Carlos Ruiz</v>
      </c>
    </row>
    <row r="903" spans="1:19" x14ac:dyDescent="0.3">
      <c r="A903" s="1">
        <v>45983</v>
      </c>
      <c r="B903" s="2" t="s">
        <v>2540</v>
      </c>
      <c r="C903" s="2" t="s">
        <v>2533</v>
      </c>
      <c r="D903" s="2" t="s">
        <v>2528</v>
      </c>
      <c r="E903" s="2" t="s">
        <v>2529</v>
      </c>
      <c r="F903" s="3">
        <v>126702</v>
      </c>
      <c r="G903" s="3">
        <v>8077</v>
      </c>
      <c r="H903" s="3">
        <v>468</v>
      </c>
      <c r="I903" s="4">
        <v>10547.52</v>
      </c>
      <c r="J903" s="4">
        <v>41953.11</v>
      </c>
      <c r="K903" s="3">
        <v>301</v>
      </c>
      <c r="L903" s="2" t="s">
        <v>2536</v>
      </c>
      <c r="M903" s="2" t="s">
        <v>2519</v>
      </c>
      <c r="N903" t="str">
        <f>TRIM(PROPER(Tabla_auditoría[[#This Row],[ID_Campaña]]))</f>
        <v>Cmp-017</v>
      </c>
      <c r="O903" t="str">
        <f>TRIM(PROPER(Tabla_auditoría[[#This Row],[Canal]]))</f>
        <v>Paid Social</v>
      </c>
      <c r="P903" t="str">
        <f>TRIM(PROPER(Tabla_auditoría[[#This Row],[País]]))</f>
        <v>España</v>
      </c>
      <c r="Q903" t="str">
        <f>TRIM(PROPER(Tabla_auditoría[[#This Row],[Dispositivo]]))</f>
        <v>Mobile</v>
      </c>
      <c r="R903" t="str">
        <f>TRIM(PROPER(Tabla_auditoría[[#This Row],[Tipo_Campaña]]))</f>
        <v>Reconocimiento</v>
      </c>
      <c r="S903" t="str">
        <f>TRIM(PROPER(Tabla_auditoría[[#This Row],[Responsable]]))</f>
        <v>Carlos Ruiz</v>
      </c>
    </row>
    <row r="904" spans="1:19" x14ac:dyDescent="0.3">
      <c r="A904" s="1">
        <v>45768</v>
      </c>
      <c r="B904" s="2" t="s">
        <v>2551</v>
      </c>
      <c r="C904" s="2" t="s">
        <v>2527</v>
      </c>
      <c r="D904" s="2" t="s">
        <v>2516</v>
      </c>
      <c r="E904" s="2" t="s">
        <v>2529</v>
      </c>
      <c r="F904" s="3">
        <v>146066</v>
      </c>
      <c r="G904" s="3">
        <v>9997</v>
      </c>
      <c r="H904" s="3">
        <v>668</v>
      </c>
      <c r="I904" s="4">
        <v>1639.59</v>
      </c>
      <c r="J904" s="4">
        <v>60687.9</v>
      </c>
      <c r="K904" s="3">
        <v>501</v>
      </c>
      <c r="L904" s="2" t="s">
        <v>2539</v>
      </c>
      <c r="M904" s="2" t="s">
        <v>2524</v>
      </c>
      <c r="N904" t="str">
        <f>TRIM(PROPER(Tabla_auditoría[[#This Row],[ID_Campaña]]))</f>
        <v>Cmp-028</v>
      </c>
      <c r="O904" t="str">
        <f>TRIM(PROPER(Tabla_auditoría[[#This Row],[Canal]]))</f>
        <v>Affiliate</v>
      </c>
      <c r="P904" t="str">
        <f>TRIM(PROPER(Tabla_auditoría[[#This Row],[País]]))</f>
        <v>México</v>
      </c>
      <c r="Q904" t="str">
        <f>TRIM(PROPER(Tabla_auditoría[[#This Row],[Dispositivo]]))</f>
        <v>Mobile</v>
      </c>
      <c r="R904" t="str">
        <f>TRIM(PROPER(Tabla_auditoría[[#This Row],[Tipo_Campaña]]))</f>
        <v>Conversión</v>
      </c>
      <c r="S904" t="str">
        <f>TRIM(PROPER(Tabla_auditoría[[#This Row],[Responsable]]))</f>
        <v>Luis Martín</v>
      </c>
    </row>
    <row r="905" spans="1:19" x14ac:dyDescent="0.3">
      <c r="A905" s="1">
        <v>45748</v>
      </c>
      <c r="B905" s="2" t="s">
        <v>2551</v>
      </c>
      <c r="C905" s="2" t="s">
        <v>2521</v>
      </c>
      <c r="D905" s="2" t="s">
        <v>2528</v>
      </c>
      <c r="E905" s="2" t="s">
        <v>2529</v>
      </c>
      <c r="F905" s="3">
        <v>55512</v>
      </c>
      <c r="G905" s="3">
        <v>393</v>
      </c>
      <c r="H905" s="3">
        <v>9</v>
      </c>
      <c r="I905" s="4">
        <v>530.29999999999995</v>
      </c>
      <c r="J905" s="4">
        <v>1904.01</v>
      </c>
      <c r="K905" s="3">
        <v>7</v>
      </c>
      <c r="L905" s="2" t="s">
        <v>2523</v>
      </c>
      <c r="M905" s="2" t="s">
        <v>2537</v>
      </c>
      <c r="N905" t="str">
        <f>TRIM(PROPER(Tabla_auditoría[[#This Row],[ID_Campaña]]))</f>
        <v>Cmp-028</v>
      </c>
      <c r="O905" t="str">
        <f>TRIM(PROPER(Tabla_auditoría[[#This Row],[Canal]]))</f>
        <v>Paid Search</v>
      </c>
      <c r="P905" t="str">
        <f>TRIM(PROPER(Tabla_auditoría[[#This Row],[País]]))</f>
        <v>España</v>
      </c>
      <c r="Q905" t="str">
        <f>TRIM(PROPER(Tabla_auditoría[[#This Row],[Dispositivo]]))</f>
        <v>Mobile</v>
      </c>
      <c r="R905" t="str">
        <f>TRIM(PROPER(Tabla_auditoría[[#This Row],[Tipo_Campaña]]))</f>
        <v>Retención</v>
      </c>
      <c r="S905" t="str">
        <f>TRIM(PROPER(Tabla_auditoría[[#This Row],[Responsable]]))</f>
        <v>Marta López</v>
      </c>
    </row>
    <row r="906" spans="1:19" x14ac:dyDescent="0.3">
      <c r="A906" s="1">
        <v>45761</v>
      </c>
      <c r="B906" s="2" t="s">
        <v>2514</v>
      </c>
      <c r="C906" s="2" t="s">
        <v>2533</v>
      </c>
      <c r="D906" s="2" t="s">
        <v>2528</v>
      </c>
      <c r="E906" s="2" t="s">
        <v>2529</v>
      </c>
      <c r="F906" s="3">
        <v>110027</v>
      </c>
      <c r="G906" s="3">
        <v>4061</v>
      </c>
      <c r="H906" s="3">
        <v>356</v>
      </c>
      <c r="I906" s="4">
        <v>7120.13</v>
      </c>
      <c r="J906" s="4">
        <v>66660.7</v>
      </c>
      <c r="K906" s="3">
        <v>243</v>
      </c>
      <c r="L906" s="2" t="s">
        <v>2523</v>
      </c>
      <c r="M906" s="2" t="s">
        <v>2524</v>
      </c>
      <c r="N906" t="str">
        <f>TRIM(PROPER(Tabla_auditoría[[#This Row],[ID_Campaña]]))</f>
        <v>Cmp-002</v>
      </c>
      <c r="O906" t="str">
        <f>TRIM(PROPER(Tabla_auditoría[[#This Row],[Canal]]))</f>
        <v>Paid Social</v>
      </c>
      <c r="P906" t="str">
        <f>TRIM(PROPER(Tabla_auditoría[[#This Row],[País]]))</f>
        <v>España</v>
      </c>
      <c r="Q906" t="str">
        <f>TRIM(PROPER(Tabla_auditoría[[#This Row],[Dispositivo]]))</f>
        <v>Mobile</v>
      </c>
      <c r="R906" t="str">
        <f>TRIM(PROPER(Tabla_auditoría[[#This Row],[Tipo_Campaña]]))</f>
        <v>Retención</v>
      </c>
      <c r="S906" t="str">
        <f>TRIM(PROPER(Tabla_auditoría[[#This Row],[Responsable]]))</f>
        <v>Luis Martín</v>
      </c>
    </row>
    <row r="907" spans="1:19" x14ac:dyDescent="0.3">
      <c r="A907" s="1">
        <v>45661</v>
      </c>
      <c r="B907" s="2" t="s">
        <v>2540</v>
      </c>
      <c r="C907" s="2" t="s">
        <v>2543</v>
      </c>
      <c r="D907" s="2" t="s">
        <v>2522</v>
      </c>
      <c r="E907" s="2" t="s">
        <v>2529</v>
      </c>
      <c r="F907" s="3">
        <v>176961</v>
      </c>
      <c r="G907" s="3">
        <v>7019</v>
      </c>
      <c r="H907" s="3">
        <v>901</v>
      </c>
      <c r="I907" s="4">
        <v>3594.73</v>
      </c>
      <c r="J907" s="4">
        <v>131335.76</v>
      </c>
      <c r="K907" s="3">
        <v>613</v>
      </c>
      <c r="L907" s="2" t="s">
        <v>2536</v>
      </c>
      <c r="M907" s="2" t="s">
        <v>2537</v>
      </c>
      <c r="N907" t="str">
        <f>TRIM(PROPER(Tabla_auditoría[[#This Row],[ID_Campaña]]))</f>
        <v>Cmp-017</v>
      </c>
      <c r="O907" t="str">
        <f>TRIM(PROPER(Tabla_auditoría[[#This Row],[Canal]]))</f>
        <v>Organic Social</v>
      </c>
      <c r="P907" t="str">
        <f>TRIM(PROPER(Tabla_auditoría[[#This Row],[País]]))</f>
        <v>Italia</v>
      </c>
      <c r="Q907" t="str">
        <f>TRIM(PROPER(Tabla_auditoría[[#This Row],[Dispositivo]]))</f>
        <v>Mobile</v>
      </c>
      <c r="R907" t="str">
        <f>TRIM(PROPER(Tabla_auditoría[[#This Row],[Tipo_Campaña]]))</f>
        <v>Reconocimiento</v>
      </c>
      <c r="S907" t="str">
        <f>TRIM(PROPER(Tabla_auditoría[[#This Row],[Responsable]]))</f>
        <v>Marta López</v>
      </c>
    </row>
    <row r="908" spans="1:19" x14ac:dyDescent="0.3">
      <c r="A908" s="1">
        <v>45789</v>
      </c>
      <c r="B908" s="2" t="s">
        <v>2540</v>
      </c>
      <c r="D908" s="2" t="s">
        <v>2528</v>
      </c>
      <c r="E908" s="2" t="s">
        <v>2517</v>
      </c>
      <c r="F908" s="3">
        <v>178864</v>
      </c>
      <c r="G908" s="3">
        <v>7632</v>
      </c>
      <c r="H908" s="3">
        <v>550</v>
      </c>
      <c r="I908" s="4">
        <v>14618.85</v>
      </c>
      <c r="J908" s="4">
        <v>117026.47</v>
      </c>
      <c r="K908" s="3">
        <v>373</v>
      </c>
      <c r="L908" s="2" t="s">
        <v>2539</v>
      </c>
      <c r="M908" s="2" t="s">
        <v>2526</v>
      </c>
      <c r="N908" t="str">
        <f>TRIM(PROPER(Tabla_auditoría[[#This Row],[ID_Campaña]]))</f>
        <v>Cmp-017</v>
      </c>
      <c r="O908" t="str">
        <f>TRIM(PROPER(Tabla_auditoría[[#This Row],[Canal]]))</f>
        <v/>
      </c>
      <c r="P908" t="str">
        <f>TRIM(PROPER(Tabla_auditoría[[#This Row],[País]]))</f>
        <v>España</v>
      </c>
      <c r="Q908" t="str">
        <f>TRIM(PROPER(Tabla_auditoría[[#This Row],[Dispositivo]]))</f>
        <v>Desktop</v>
      </c>
      <c r="R908" t="str">
        <f>TRIM(PROPER(Tabla_auditoría[[#This Row],[Tipo_Campaña]]))</f>
        <v>Conversión</v>
      </c>
      <c r="S908" t="str">
        <f>TRIM(PROPER(Tabla_auditoría[[#This Row],[Responsable]]))</f>
        <v>Laura Pérez</v>
      </c>
    </row>
    <row r="909" spans="1:19" x14ac:dyDescent="0.3">
      <c r="A909" s="1">
        <v>45822</v>
      </c>
      <c r="B909" s="2" t="s">
        <v>2570</v>
      </c>
      <c r="C909" s="2" t="s">
        <v>2533</v>
      </c>
      <c r="D909" s="2" t="s">
        <v>2528</v>
      </c>
      <c r="E909" s="2" t="s">
        <v>2529</v>
      </c>
      <c r="F909" s="3">
        <v>53750</v>
      </c>
      <c r="G909" s="3">
        <v>405</v>
      </c>
      <c r="H909" s="3">
        <v>48</v>
      </c>
      <c r="I909" s="4">
        <v>484.88</v>
      </c>
      <c r="J909" s="4">
        <v>5727.46</v>
      </c>
      <c r="K909" s="3">
        <v>33</v>
      </c>
      <c r="L909" s="2" t="s">
        <v>2518</v>
      </c>
      <c r="M909" s="2" t="s">
        <v>2546</v>
      </c>
      <c r="N909" t="str">
        <f>TRIM(PROPER(Tabla_auditoría[[#This Row],[ID_Campaña]]))</f>
        <v>Cmp-016</v>
      </c>
      <c r="O909" t="str">
        <f>TRIM(PROPER(Tabla_auditoría[[#This Row],[Canal]]))</f>
        <v>Paid Social</v>
      </c>
      <c r="P909" t="str">
        <f>TRIM(PROPER(Tabla_auditoría[[#This Row],[País]]))</f>
        <v>España</v>
      </c>
      <c r="Q909" t="str">
        <f>TRIM(PROPER(Tabla_auditoría[[#This Row],[Dispositivo]]))</f>
        <v>Mobile</v>
      </c>
      <c r="R909" t="str">
        <f>TRIM(PROPER(Tabla_auditoría[[#This Row],[Tipo_Campaña]]))</f>
        <v>Adquisición</v>
      </c>
      <c r="S909" t="str">
        <f>TRIM(PROPER(Tabla_auditoría[[#This Row],[Responsable]]))</f>
        <v>Ana García</v>
      </c>
    </row>
    <row r="910" spans="1:19" x14ac:dyDescent="0.3">
      <c r="A910" s="1">
        <v>45909</v>
      </c>
      <c r="B910" s="2" t="s">
        <v>2560</v>
      </c>
      <c r="C910" s="2" t="s">
        <v>2527</v>
      </c>
      <c r="D910" s="2" t="s">
        <v>2516</v>
      </c>
      <c r="E910" s="2" t="s">
        <v>2529</v>
      </c>
      <c r="F910" s="3">
        <v>45842</v>
      </c>
      <c r="G910" s="3">
        <v>2244</v>
      </c>
      <c r="H910" s="3">
        <v>156</v>
      </c>
      <c r="I910" s="4">
        <v>4483.9399999999996</v>
      </c>
      <c r="J910" s="4">
        <v>32579.8</v>
      </c>
      <c r="K910" s="3">
        <v>127</v>
      </c>
      <c r="L910" s="2" t="s">
        <v>2539</v>
      </c>
      <c r="M910" s="2" t="s">
        <v>2546</v>
      </c>
      <c r="N910" t="str">
        <f>TRIM(PROPER(Tabla_auditoría[[#This Row],[ID_Campaña]]))</f>
        <v>Cmp-027</v>
      </c>
      <c r="O910" t="str">
        <f>TRIM(PROPER(Tabla_auditoría[[#This Row],[Canal]]))</f>
        <v>Affiliate</v>
      </c>
      <c r="P910" t="str">
        <f>TRIM(PROPER(Tabla_auditoría[[#This Row],[País]]))</f>
        <v>México</v>
      </c>
      <c r="Q910" t="str">
        <f>TRIM(PROPER(Tabla_auditoría[[#This Row],[Dispositivo]]))</f>
        <v>Mobile</v>
      </c>
      <c r="R910" t="str">
        <f>TRIM(PROPER(Tabla_auditoría[[#This Row],[Tipo_Campaña]]))</f>
        <v>Conversión</v>
      </c>
      <c r="S910" t="str">
        <f>TRIM(PROPER(Tabla_auditoría[[#This Row],[Responsable]]))</f>
        <v>Ana García</v>
      </c>
    </row>
    <row r="911" spans="1:19" x14ac:dyDescent="0.3">
      <c r="A911" s="1">
        <v>45841</v>
      </c>
      <c r="B911" s="2" t="s">
        <v>2547</v>
      </c>
      <c r="C911" s="2" t="s">
        <v>2553</v>
      </c>
      <c r="D911" s="2" t="s">
        <v>2528</v>
      </c>
      <c r="E911" s="2" t="s">
        <v>2517</v>
      </c>
      <c r="F911" s="3">
        <v>29592</v>
      </c>
      <c r="G911" s="3">
        <v>386</v>
      </c>
      <c r="H911" s="3">
        <v>43</v>
      </c>
      <c r="I911" s="4">
        <v>349.73</v>
      </c>
      <c r="J911" s="4">
        <v>1037.7</v>
      </c>
      <c r="K911" s="3">
        <v>36</v>
      </c>
      <c r="L911" s="2" t="s">
        <v>2536</v>
      </c>
      <c r="M911" s="2" t="s">
        <v>2546</v>
      </c>
      <c r="N911" t="str">
        <f>TRIM(PROPER(Tabla_auditoría[[#This Row],[ID_Campaña]]))</f>
        <v>Cmp-018</v>
      </c>
      <c r="O911" t="str">
        <f>TRIM(PROPER(Tabla_auditoría[[#This Row],[Canal]]))</f>
        <v>Email</v>
      </c>
      <c r="P911" t="str">
        <f>TRIM(PROPER(Tabla_auditoría[[#This Row],[País]]))</f>
        <v>España</v>
      </c>
      <c r="Q911" t="str">
        <f>TRIM(PROPER(Tabla_auditoría[[#This Row],[Dispositivo]]))</f>
        <v>Desktop</v>
      </c>
      <c r="R911" t="str">
        <f>TRIM(PROPER(Tabla_auditoría[[#This Row],[Tipo_Campaña]]))</f>
        <v>Reconocimiento</v>
      </c>
      <c r="S911" t="str">
        <f>TRIM(PROPER(Tabla_auditoría[[#This Row],[Responsable]]))</f>
        <v>Ana García</v>
      </c>
    </row>
    <row r="912" spans="1:19" x14ac:dyDescent="0.3">
      <c r="A912" s="1">
        <v>45690</v>
      </c>
      <c r="B912" s="2" t="s">
        <v>2520</v>
      </c>
      <c r="C912" s="2" t="s">
        <v>2533</v>
      </c>
      <c r="D912" s="2" t="s">
        <v>2516</v>
      </c>
      <c r="E912" s="2" t="s">
        <v>2517</v>
      </c>
      <c r="F912" s="3">
        <v>1939</v>
      </c>
      <c r="G912" s="3">
        <v>61</v>
      </c>
      <c r="H912" s="3">
        <v>7</v>
      </c>
      <c r="I912" s="4">
        <v>27.37</v>
      </c>
      <c r="J912" s="4">
        <v>717.61</v>
      </c>
      <c r="K912" s="3">
        <v>5</v>
      </c>
      <c r="L912" s="2" t="s">
        <v>2523</v>
      </c>
      <c r="M912" s="2" t="s">
        <v>2537</v>
      </c>
      <c r="N912" t="str">
        <f>TRIM(PROPER(Tabla_auditoría[[#This Row],[ID_Campaña]]))</f>
        <v>Cmp-009</v>
      </c>
      <c r="O912" t="str">
        <f>TRIM(PROPER(Tabla_auditoría[[#This Row],[Canal]]))</f>
        <v>Paid Social</v>
      </c>
      <c r="P912" t="str">
        <f>TRIM(PROPER(Tabla_auditoría[[#This Row],[País]]))</f>
        <v>México</v>
      </c>
      <c r="Q912" t="str">
        <f>TRIM(PROPER(Tabla_auditoría[[#This Row],[Dispositivo]]))</f>
        <v>Desktop</v>
      </c>
      <c r="R912" t="str">
        <f>TRIM(PROPER(Tabla_auditoría[[#This Row],[Tipo_Campaña]]))</f>
        <v>Retención</v>
      </c>
      <c r="S912" t="str">
        <f>TRIM(PROPER(Tabla_auditoría[[#This Row],[Responsable]]))</f>
        <v>Marta López</v>
      </c>
    </row>
    <row r="913" spans="1:19" x14ac:dyDescent="0.3">
      <c r="A913" s="1">
        <v>45908</v>
      </c>
      <c r="B913" s="2" t="s">
        <v>2554</v>
      </c>
      <c r="C913" s="2" t="s">
        <v>2515</v>
      </c>
      <c r="D913" s="2" t="s">
        <v>2516</v>
      </c>
      <c r="E913" s="2" t="s">
        <v>2529</v>
      </c>
      <c r="F913" s="3">
        <v>67678</v>
      </c>
      <c r="G913" s="3">
        <v>5109</v>
      </c>
      <c r="H913" s="3">
        <v>365</v>
      </c>
      <c r="I913" s="4">
        <v>5524.71</v>
      </c>
      <c r="J913" s="4">
        <v>60169.55</v>
      </c>
      <c r="K913" s="3">
        <v>187</v>
      </c>
      <c r="L913" s="2" t="s">
        <v>2539</v>
      </c>
      <c r="M913" s="2" t="s">
        <v>2524</v>
      </c>
      <c r="N913" t="str">
        <f>TRIM(PROPER(Tabla_auditoría[[#This Row],[ID_Campaña]]))</f>
        <v>Cmp-019</v>
      </c>
      <c r="O913" t="str">
        <f>TRIM(PROPER(Tabla_auditoría[[#This Row],[Canal]]))</f>
        <v>Email</v>
      </c>
      <c r="P913" t="str">
        <f>TRIM(PROPER(Tabla_auditoría[[#This Row],[País]]))</f>
        <v>México</v>
      </c>
      <c r="Q913" t="str">
        <f>TRIM(PROPER(Tabla_auditoría[[#This Row],[Dispositivo]]))</f>
        <v>Mobile</v>
      </c>
      <c r="R913" t="str">
        <f>TRIM(PROPER(Tabla_auditoría[[#This Row],[Tipo_Campaña]]))</f>
        <v>Conversión</v>
      </c>
      <c r="S913" t="str">
        <f>TRIM(PROPER(Tabla_auditoría[[#This Row],[Responsable]]))</f>
        <v>Luis Martín</v>
      </c>
    </row>
    <row r="914" spans="1:19" x14ac:dyDescent="0.3">
      <c r="A914" s="1">
        <v>45820</v>
      </c>
      <c r="B914" s="2" t="s">
        <v>2544</v>
      </c>
      <c r="C914" s="2" t="s">
        <v>2533</v>
      </c>
      <c r="D914" s="2" t="s">
        <v>2528</v>
      </c>
      <c r="E914" s="2" t="s">
        <v>2517</v>
      </c>
      <c r="F914" s="3">
        <v>108168</v>
      </c>
      <c r="G914" s="3">
        <v>2481</v>
      </c>
      <c r="H914" s="3">
        <v>241</v>
      </c>
      <c r="I914" s="4">
        <v>4824.9799999999996</v>
      </c>
      <c r="J914" s="4">
        <v>18509.439999999999</v>
      </c>
      <c r="K914" s="3">
        <v>149</v>
      </c>
      <c r="L914" s="2" t="s">
        <v>2523</v>
      </c>
      <c r="M914" s="2" t="s">
        <v>2526</v>
      </c>
      <c r="N914" t="str">
        <f>TRIM(PROPER(Tabla_auditoría[[#This Row],[ID_Campaña]]))</f>
        <v>Cmp-006</v>
      </c>
      <c r="O914" t="str">
        <f>TRIM(PROPER(Tabla_auditoría[[#This Row],[Canal]]))</f>
        <v>Paid Social</v>
      </c>
      <c r="P914" t="str">
        <f>TRIM(PROPER(Tabla_auditoría[[#This Row],[País]]))</f>
        <v>España</v>
      </c>
      <c r="Q914" t="str">
        <f>TRIM(PROPER(Tabla_auditoría[[#This Row],[Dispositivo]]))</f>
        <v>Desktop</v>
      </c>
      <c r="R914" t="str">
        <f>TRIM(PROPER(Tabla_auditoría[[#This Row],[Tipo_Campaña]]))</f>
        <v>Retención</v>
      </c>
      <c r="S914" t="str">
        <f>TRIM(PROPER(Tabla_auditoría[[#This Row],[Responsable]]))</f>
        <v>Laura Pérez</v>
      </c>
    </row>
    <row r="915" spans="1:19" x14ac:dyDescent="0.3">
      <c r="A915" s="1">
        <v>45953</v>
      </c>
      <c r="B915" s="2" t="s">
        <v>2564</v>
      </c>
      <c r="C915" s="2" t="s">
        <v>2541</v>
      </c>
      <c r="D915" s="2" t="s">
        <v>2522</v>
      </c>
      <c r="E915" s="2" t="s">
        <v>2517</v>
      </c>
      <c r="F915" s="3">
        <v>43572</v>
      </c>
      <c r="G915" s="3">
        <v>855</v>
      </c>
      <c r="H915" s="3">
        <v>27</v>
      </c>
      <c r="I915" s="4">
        <v>541.9</v>
      </c>
      <c r="J915" s="4">
        <v>745.3</v>
      </c>
      <c r="K915" s="3">
        <v>12</v>
      </c>
      <c r="L915" s="2" t="s">
        <v>2536</v>
      </c>
      <c r="M915" s="2" t="s">
        <v>2519</v>
      </c>
      <c r="N915" t="str">
        <f>TRIM(PROPER(Tabla_auditoría[[#This Row],[ID_Campaña]]))</f>
        <v>Cmp-024</v>
      </c>
      <c r="O915" t="str">
        <f>TRIM(PROPER(Tabla_auditoría[[#This Row],[Canal]]))</f>
        <v>Display</v>
      </c>
      <c r="P915" t="str">
        <f>TRIM(PROPER(Tabla_auditoría[[#This Row],[País]]))</f>
        <v>Italia</v>
      </c>
      <c r="Q915" t="str">
        <f>TRIM(PROPER(Tabla_auditoría[[#This Row],[Dispositivo]]))</f>
        <v>Desktop</v>
      </c>
      <c r="R915" t="str">
        <f>TRIM(PROPER(Tabla_auditoría[[#This Row],[Tipo_Campaña]]))</f>
        <v>Reconocimiento</v>
      </c>
      <c r="S915" t="str">
        <f>TRIM(PROPER(Tabla_auditoría[[#This Row],[Responsable]]))</f>
        <v>Carlos Ruiz</v>
      </c>
    </row>
    <row r="916" spans="1:19" x14ac:dyDescent="0.3">
      <c r="A916" s="1">
        <v>45748</v>
      </c>
      <c r="B916" s="2" t="s">
        <v>2547</v>
      </c>
      <c r="C916" s="2" t="s">
        <v>2553</v>
      </c>
      <c r="D916" s="2" t="s">
        <v>2531</v>
      </c>
      <c r="E916" s="2" t="s">
        <v>2529</v>
      </c>
      <c r="F916" s="3">
        <v>16376</v>
      </c>
      <c r="G916" s="3">
        <v>747</v>
      </c>
      <c r="H916" s="3">
        <v>95</v>
      </c>
      <c r="I916" s="4">
        <v>1162.71</v>
      </c>
      <c r="J916" s="4">
        <v>4441.5</v>
      </c>
      <c r="K916" s="3">
        <v>51</v>
      </c>
      <c r="L916" s="2" t="s">
        <v>2518</v>
      </c>
      <c r="M916" s="2" t="s">
        <v>2519</v>
      </c>
      <c r="N916" t="str">
        <f>TRIM(PROPER(Tabla_auditoría[[#This Row],[ID_Campaña]]))</f>
        <v>Cmp-018</v>
      </c>
      <c r="O916" t="str">
        <f>TRIM(PROPER(Tabla_auditoría[[#This Row],[Canal]]))</f>
        <v>Email</v>
      </c>
      <c r="P916" t="str">
        <f>TRIM(PROPER(Tabla_auditoría[[#This Row],[País]]))</f>
        <v>Portugal</v>
      </c>
      <c r="Q916" t="str">
        <f>TRIM(PROPER(Tabla_auditoría[[#This Row],[Dispositivo]]))</f>
        <v>Mobile</v>
      </c>
      <c r="R916" t="str">
        <f>TRIM(PROPER(Tabla_auditoría[[#This Row],[Tipo_Campaña]]))</f>
        <v>Adquisición</v>
      </c>
      <c r="S916" t="str">
        <f>TRIM(PROPER(Tabla_auditoría[[#This Row],[Responsable]]))</f>
        <v>Carlos Ruiz</v>
      </c>
    </row>
    <row r="917" spans="1:19" x14ac:dyDescent="0.3">
      <c r="A917" s="1">
        <v>45664</v>
      </c>
      <c r="B917" s="2" t="s">
        <v>2555</v>
      </c>
      <c r="C917" s="2" t="s">
        <v>2521</v>
      </c>
      <c r="D917" s="2" t="s">
        <v>2528</v>
      </c>
      <c r="E917" s="2" t="s">
        <v>2529</v>
      </c>
      <c r="F917" s="3">
        <v>135844</v>
      </c>
      <c r="G917" s="3">
        <v>5901</v>
      </c>
      <c r="H917" s="3">
        <v>428</v>
      </c>
      <c r="I917" s="4">
        <v>6080.53</v>
      </c>
      <c r="J917" s="4">
        <v>83659.13</v>
      </c>
      <c r="K917" s="3">
        <v>336</v>
      </c>
      <c r="L917" s="2" t="s">
        <v>2539</v>
      </c>
      <c r="M917" s="2" t="s">
        <v>2524</v>
      </c>
      <c r="N917" t="str">
        <f>TRIM(PROPER(Tabla_auditoría[[#This Row],[ID_Campaña]]))</f>
        <v>Cmp-010</v>
      </c>
      <c r="O917" t="str">
        <f>TRIM(PROPER(Tabla_auditoría[[#This Row],[Canal]]))</f>
        <v>Paid Search</v>
      </c>
      <c r="P917" t="str">
        <f>TRIM(PROPER(Tabla_auditoría[[#This Row],[País]]))</f>
        <v>España</v>
      </c>
      <c r="Q917" t="str">
        <f>TRIM(PROPER(Tabla_auditoría[[#This Row],[Dispositivo]]))</f>
        <v>Mobile</v>
      </c>
      <c r="R917" t="str">
        <f>TRIM(PROPER(Tabla_auditoría[[#This Row],[Tipo_Campaña]]))</f>
        <v>Conversión</v>
      </c>
      <c r="S917" t="str">
        <f>TRIM(PROPER(Tabla_auditoría[[#This Row],[Responsable]]))</f>
        <v>Luis Martín</v>
      </c>
    </row>
    <row r="918" spans="1:19" x14ac:dyDescent="0.3">
      <c r="A918" s="1">
        <v>46015</v>
      </c>
      <c r="B918" s="2" t="s">
        <v>2552</v>
      </c>
      <c r="C918" s="2" t="s">
        <v>2533</v>
      </c>
      <c r="D918" s="2" t="s">
        <v>2528</v>
      </c>
      <c r="E918" s="2" t="s">
        <v>2517</v>
      </c>
      <c r="F918" s="3">
        <v>119856</v>
      </c>
      <c r="G918" s="3">
        <v>4321</v>
      </c>
      <c r="H918" s="3">
        <v>120</v>
      </c>
      <c r="I918" s="4">
        <v>3274.3</v>
      </c>
      <c r="J918" s="4">
        <v>25285.24</v>
      </c>
      <c r="K918" s="3">
        <v>93</v>
      </c>
      <c r="L918" s="2" t="s">
        <v>2518</v>
      </c>
      <c r="M918" s="2" t="s">
        <v>2519</v>
      </c>
      <c r="N918" t="str">
        <f>TRIM(PROPER(Tabla_auditoría[[#This Row],[ID_Campaña]]))</f>
        <v>Cmp-012</v>
      </c>
      <c r="O918" t="str">
        <f>TRIM(PROPER(Tabla_auditoría[[#This Row],[Canal]]))</f>
        <v>Paid Social</v>
      </c>
      <c r="P918" t="str">
        <f>TRIM(PROPER(Tabla_auditoría[[#This Row],[País]]))</f>
        <v>España</v>
      </c>
      <c r="Q918" t="str">
        <f>TRIM(PROPER(Tabla_auditoría[[#This Row],[Dispositivo]]))</f>
        <v>Desktop</v>
      </c>
      <c r="R918" t="str">
        <f>TRIM(PROPER(Tabla_auditoría[[#This Row],[Tipo_Campaña]]))</f>
        <v>Adquisición</v>
      </c>
      <c r="S918" t="str">
        <f>TRIM(PROPER(Tabla_auditoría[[#This Row],[Responsable]]))</f>
        <v>Carlos Ruiz</v>
      </c>
    </row>
    <row r="919" spans="1:19" x14ac:dyDescent="0.3">
      <c r="A919" s="1">
        <v>45720</v>
      </c>
      <c r="B919" s="2" t="s">
        <v>2570</v>
      </c>
      <c r="C919" s="2" t="s">
        <v>2533</v>
      </c>
      <c r="D919" s="2" t="s">
        <v>2522</v>
      </c>
      <c r="E919" s="2" t="s">
        <v>2517</v>
      </c>
      <c r="F919" s="3">
        <v>56129</v>
      </c>
      <c r="G919" s="3">
        <v>2143</v>
      </c>
      <c r="H919" s="3">
        <v>276</v>
      </c>
      <c r="I919" s="4">
        <v>1240.8399999999999</v>
      </c>
      <c r="J919" s="4">
        <v>33875.72</v>
      </c>
      <c r="K919" s="3">
        <v>233</v>
      </c>
      <c r="L919" s="2" t="s">
        <v>2523</v>
      </c>
      <c r="M919" s="2" t="s">
        <v>2519</v>
      </c>
      <c r="N919" t="str">
        <f>TRIM(PROPER(Tabla_auditoría[[#This Row],[ID_Campaña]]))</f>
        <v>Cmp-016</v>
      </c>
      <c r="O919" t="str">
        <f>TRIM(PROPER(Tabla_auditoría[[#This Row],[Canal]]))</f>
        <v>Paid Social</v>
      </c>
      <c r="P919" t="str">
        <f>TRIM(PROPER(Tabla_auditoría[[#This Row],[País]]))</f>
        <v>Italia</v>
      </c>
      <c r="Q919" t="str">
        <f>TRIM(PROPER(Tabla_auditoría[[#This Row],[Dispositivo]]))</f>
        <v>Desktop</v>
      </c>
      <c r="R919" t="str">
        <f>TRIM(PROPER(Tabla_auditoría[[#This Row],[Tipo_Campaña]]))</f>
        <v>Retención</v>
      </c>
      <c r="S919" t="str">
        <f>TRIM(PROPER(Tabla_auditoría[[#This Row],[Responsable]]))</f>
        <v>Carlos Ruiz</v>
      </c>
    </row>
    <row r="920" spans="1:19" x14ac:dyDescent="0.3">
      <c r="A920" s="1">
        <v>45972</v>
      </c>
      <c r="B920" s="2" t="s">
        <v>2555</v>
      </c>
      <c r="C920" s="2" t="s">
        <v>2521</v>
      </c>
      <c r="D920" s="2" t="s">
        <v>2516</v>
      </c>
      <c r="E920" s="2" t="s">
        <v>2517</v>
      </c>
      <c r="F920" s="3">
        <v>102749</v>
      </c>
      <c r="G920" s="3">
        <v>2923</v>
      </c>
      <c r="H920" s="3">
        <v>174</v>
      </c>
      <c r="I920" s="4">
        <v>2753.92</v>
      </c>
      <c r="J920" s="4">
        <v>19133.05</v>
      </c>
      <c r="K920" s="3">
        <v>121</v>
      </c>
      <c r="L920" s="2" t="s">
        <v>2539</v>
      </c>
      <c r="M920" s="2" t="s">
        <v>2546</v>
      </c>
      <c r="N920" t="str">
        <f>TRIM(PROPER(Tabla_auditoría[[#This Row],[ID_Campaña]]))</f>
        <v>Cmp-010</v>
      </c>
      <c r="O920" t="str">
        <f>TRIM(PROPER(Tabla_auditoría[[#This Row],[Canal]]))</f>
        <v>Paid Search</v>
      </c>
      <c r="P920" t="str">
        <f>TRIM(PROPER(Tabla_auditoría[[#This Row],[País]]))</f>
        <v>México</v>
      </c>
      <c r="Q920" t="str">
        <f>TRIM(PROPER(Tabla_auditoría[[#This Row],[Dispositivo]]))</f>
        <v>Desktop</v>
      </c>
      <c r="R920" t="str">
        <f>TRIM(PROPER(Tabla_auditoría[[#This Row],[Tipo_Campaña]]))</f>
        <v>Conversión</v>
      </c>
      <c r="S920" t="str">
        <f>TRIM(PROPER(Tabla_auditoría[[#This Row],[Responsable]]))</f>
        <v>Ana García</v>
      </c>
    </row>
    <row r="921" spans="1:19" x14ac:dyDescent="0.3">
      <c r="A921" s="1">
        <v>45816</v>
      </c>
      <c r="B921" s="2" t="s">
        <v>2542</v>
      </c>
      <c r="C921" s="2" t="s">
        <v>2543</v>
      </c>
      <c r="D921" s="2" t="s">
        <v>2528</v>
      </c>
      <c r="E921" s="2" t="s">
        <v>2529</v>
      </c>
      <c r="F921" s="3">
        <v>65327</v>
      </c>
      <c r="G921" s="3">
        <v>853</v>
      </c>
      <c r="H921" s="3">
        <v>68</v>
      </c>
      <c r="I921" s="4">
        <v>299.35000000000002</v>
      </c>
      <c r="J921" s="4">
        <v>2223.89</v>
      </c>
      <c r="K921" s="3">
        <v>33</v>
      </c>
      <c r="L921" s="2" t="s">
        <v>2523</v>
      </c>
      <c r="M921" s="2" t="s">
        <v>2519</v>
      </c>
      <c r="N921" t="str">
        <f>TRIM(PROPER(Tabla_auditoría[[#This Row],[ID_Campaña]]))</f>
        <v>Cmp-025</v>
      </c>
      <c r="O921" t="str">
        <f>TRIM(PROPER(Tabla_auditoría[[#This Row],[Canal]]))</f>
        <v>Organic Social</v>
      </c>
      <c r="P921" t="str">
        <f>TRIM(PROPER(Tabla_auditoría[[#This Row],[País]]))</f>
        <v>España</v>
      </c>
      <c r="Q921" t="str">
        <f>TRIM(PROPER(Tabla_auditoría[[#This Row],[Dispositivo]]))</f>
        <v>Mobile</v>
      </c>
      <c r="R921" t="str">
        <f>TRIM(PROPER(Tabla_auditoría[[#This Row],[Tipo_Campaña]]))</f>
        <v>Retención</v>
      </c>
      <c r="S921" t="str">
        <f>TRIM(PROPER(Tabla_auditoría[[#This Row],[Responsable]]))</f>
        <v>Carlos Ruiz</v>
      </c>
    </row>
    <row r="922" spans="1:19" x14ac:dyDescent="0.3">
      <c r="A922" s="1">
        <v>45827</v>
      </c>
      <c r="B922" s="2" t="s">
        <v>2564</v>
      </c>
      <c r="C922" s="2" t="s">
        <v>2543</v>
      </c>
      <c r="D922" s="2" t="s">
        <v>2522</v>
      </c>
      <c r="E922" s="2" t="s">
        <v>2529</v>
      </c>
      <c r="F922" s="3">
        <v>20180</v>
      </c>
      <c r="G922" s="3">
        <v>1525</v>
      </c>
      <c r="H922" s="3">
        <v>134</v>
      </c>
      <c r="I922" s="4">
        <v>1631.74</v>
      </c>
      <c r="J922" s="4">
        <v>5491.03</v>
      </c>
      <c r="K922" s="3">
        <v>88</v>
      </c>
      <c r="L922" s="2" t="s">
        <v>2536</v>
      </c>
      <c r="M922" s="2" t="s">
        <v>2524</v>
      </c>
      <c r="N922" t="str">
        <f>TRIM(PROPER(Tabla_auditoría[[#This Row],[ID_Campaña]]))</f>
        <v>Cmp-024</v>
      </c>
      <c r="O922" t="str">
        <f>TRIM(PROPER(Tabla_auditoría[[#This Row],[Canal]]))</f>
        <v>Organic Social</v>
      </c>
      <c r="P922" t="str">
        <f>TRIM(PROPER(Tabla_auditoría[[#This Row],[País]]))</f>
        <v>Italia</v>
      </c>
      <c r="Q922" t="str">
        <f>TRIM(PROPER(Tabla_auditoría[[#This Row],[Dispositivo]]))</f>
        <v>Mobile</v>
      </c>
      <c r="R922" t="str">
        <f>TRIM(PROPER(Tabla_auditoría[[#This Row],[Tipo_Campaña]]))</f>
        <v>Reconocimiento</v>
      </c>
      <c r="S922" t="str">
        <f>TRIM(PROPER(Tabla_auditoría[[#This Row],[Responsable]]))</f>
        <v>Luis Martín</v>
      </c>
    </row>
    <row r="923" spans="1:19" x14ac:dyDescent="0.3">
      <c r="A923" s="1">
        <v>45686</v>
      </c>
      <c r="B923" s="2" t="s">
        <v>2549</v>
      </c>
      <c r="C923" s="2" t="s">
        <v>2533</v>
      </c>
      <c r="D923" s="2" t="s">
        <v>2516</v>
      </c>
      <c r="E923" s="2" t="s">
        <v>2529</v>
      </c>
      <c r="F923" s="3">
        <v>127695</v>
      </c>
      <c r="G923" s="3">
        <v>2682</v>
      </c>
      <c r="H923" s="3">
        <v>371</v>
      </c>
      <c r="I923" s="4">
        <v>2925.87</v>
      </c>
      <c r="J923" s="4">
        <v>79919.12</v>
      </c>
      <c r="K923" s="3">
        <v>184</v>
      </c>
      <c r="L923" s="2" t="s">
        <v>2523</v>
      </c>
      <c r="M923" s="2" t="s">
        <v>2519</v>
      </c>
      <c r="N923" t="str">
        <f>TRIM(PROPER(Tabla_auditoría[[#This Row],[ID_Campaña]]))</f>
        <v>Cmp-007</v>
      </c>
      <c r="O923" t="str">
        <f>TRIM(PROPER(Tabla_auditoría[[#This Row],[Canal]]))</f>
        <v>Paid Social</v>
      </c>
      <c r="P923" t="str">
        <f>TRIM(PROPER(Tabla_auditoría[[#This Row],[País]]))</f>
        <v>México</v>
      </c>
      <c r="Q923" t="str">
        <f>TRIM(PROPER(Tabla_auditoría[[#This Row],[Dispositivo]]))</f>
        <v>Mobile</v>
      </c>
      <c r="R923" t="str">
        <f>TRIM(PROPER(Tabla_auditoría[[#This Row],[Tipo_Campaña]]))</f>
        <v>Retención</v>
      </c>
      <c r="S923" t="str">
        <f>TRIM(PROPER(Tabla_auditoría[[#This Row],[Responsable]]))</f>
        <v>Carlos Ruiz</v>
      </c>
    </row>
    <row r="924" spans="1:19" x14ac:dyDescent="0.3">
      <c r="A924" s="1">
        <v>45967</v>
      </c>
      <c r="B924" s="2" t="s">
        <v>2574</v>
      </c>
      <c r="C924" s="2" t="s">
        <v>2527</v>
      </c>
      <c r="D924" s="2" t="s">
        <v>2516</v>
      </c>
      <c r="E924" s="2" t="s">
        <v>2529</v>
      </c>
      <c r="F924" s="3">
        <v>43676</v>
      </c>
      <c r="G924" s="3">
        <v>502</v>
      </c>
      <c r="H924" s="3">
        <v>49</v>
      </c>
      <c r="I924" s="4">
        <v>1034.0899999999999</v>
      </c>
      <c r="J924" s="4">
        <v>5107.08</v>
      </c>
      <c r="K924" s="3">
        <v>39</v>
      </c>
      <c r="L924" s="2" t="s">
        <v>2539</v>
      </c>
      <c r="M924" s="2" t="s">
        <v>2546</v>
      </c>
      <c r="N924" t="str">
        <f>TRIM(PROPER(Tabla_auditoría[[#This Row],[ID_Campaña]]))</f>
        <v>Cmp-003</v>
      </c>
      <c r="O924" t="str">
        <f>TRIM(PROPER(Tabla_auditoría[[#This Row],[Canal]]))</f>
        <v>Affiliate</v>
      </c>
      <c r="P924" t="str">
        <f>TRIM(PROPER(Tabla_auditoría[[#This Row],[País]]))</f>
        <v>México</v>
      </c>
      <c r="Q924" t="str">
        <f>TRIM(PROPER(Tabla_auditoría[[#This Row],[Dispositivo]]))</f>
        <v>Mobile</v>
      </c>
      <c r="R924" t="str">
        <f>TRIM(PROPER(Tabla_auditoría[[#This Row],[Tipo_Campaña]]))</f>
        <v>Conversión</v>
      </c>
      <c r="S924" t="str">
        <f>TRIM(PROPER(Tabla_auditoría[[#This Row],[Responsable]]))</f>
        <v>Ana García</v>
      </c>
    </row>
    <row r="925" spans="1:19" x14ac:dyDescent="0.3">
      <c r="A925" s="1">
        <v>45714</v>
      </c>
      <c r="B925" s="2" t="s">
        <v>2568</v>
      </c>
      <c r="C925" s="2" t="s">
        <v>2541</v>
      </c>
      <c r="D925" s="2" t="s">
        <v>2525</v>
      </c>
      <c r="E925" s="2" t="s">
        <v>2517</v>
      </c>
      <c r="F925" s="3">
        <v>118766</v>
      </c>
      <c r="G925" s="3">
        <v>4593</v>
      </c>
      <c r="H925" s="3">
        <v>520</v>
      </c>
      <c r="I925" s="4">
        <v>4356.34</v>
      </c>
      <c r="J925" s="4">
        <v>89118.87</v>
      </c>
      <c r="K925" s="3">
        <v>320</v>
      </c>
      <c r="L925" s="2" t="s">
        <v>2536</v>
      </c>
      <c r="M925" s="2" t="s">
        <v>2524</v>
      </c>
      <c r="N925" t="str">
        <f>TRIM(PROPER(Tabla_auditoría[[#This Row],[ID_Campaña]]))</f>
        <v>Cmp-020</v>
      </c>
      <c r="O925" t="str">
        <f>TRIM(PROPER(Tabla_auditoría[[#This Row],[Canal]]))</f>
        <v>Display</v>
      </c>
      <c r="P925" t="str">
        <f>TRIM(PROPER(Tabla_auditoría[[#This Row],[País]]))</f>
        <v>Francia</v>
      </c>
      <c r="Q925" t="str">
        <f>TRIM(PROPER(Tabla_auditoría[[#This Row],[Dispositivo]]))</f>
        <v>Desktop</v>
      </c>
      <c r="R925" t="str">
        <f>TRIM(PROPER(Tabla_auditoría[[#This Row],[Tipo_Campaña]]))</f>
        <v>Reconocimiento</v>
      </c>
      <c r="S925" t="str">
        <f>TRIM(PROPER(Tabla_auditoría[[#This Row],[Responsable]]))</f>
        <v>Luis Martín</v>
      </c>
    </row>
    <row r="926" spans="1:19" x14ac:dyDescent="0.3">
      <c r="A926" s="1">
        <v>45768</v>
      </c>
      <c r="B926" s="2" t="s">
        <v>2549</v>
      </c>
      <c r="C926" s="2" t="s">
        <v>2527</v>
      </c>
      <c r="D926" s="2" t="s">
        <v>2516</v>
      </c>
      <c r="E926" s="2" t="s">
        <v>2529</v>
      </c>
      <c r="F926" s="3">
        <v>84095</v>
      </c>
      <c r="G926" s="3">
        <v>6867</v>
      </c>
      <c r="H926" s="3">
        <v>237</v>
      </c>
      <c r="I926" s="4">
        <v>5383.68</v>
      </c>
      <c r="J926" s="4">
        <v>5268.54</v>
      </c>
      <c r="K926" s="3">
        <v>138</v>
      </c>
      <c r="L926" s="2" t="s">
        <v>2539</v>
      </c>
      <c r="M926" s="2" t="s">
        <v>2526</v>
      </c>
      <c r="N926" t="str">
        <f>TRIM(PROPER(Tabla_auditoría[[#This Row],[ID_Campaña]]))</f>
        <v>Cmp-007</v>
      </c>
      <c r="O926" t="str">
        <f>TRIM(PROPER(Tabla_auditoría[[#This Row],[Canal]]))</f>
        <v>Affiliate</v>
      </c>
      <c r="P926" t="str">
        <f>TRIM(PROPER(Tabla_auditoría[[#This Row],[País]]))</f>
        <v>México</v>
      </c>
      <c r="Q926" t="str">
        <f>TRIM(PROPER(Tabla_auditoría[[#This Row],[Dispositivo]]))</f>
        <v>Mobile</v>
      </c>
      <c r="R926" t="str">
        <f>TRIM(PROPER(Tabla_auditoría[[#This Row],[Tipo_Campaña]]))</f>
        <v>Conversión</v>
      </c>
      <c r="S926" t="str">
        <f>TRIM(PROPER(Tabla_auditoría[[#This Row],[Responsable]]))</f>
        <v>Laura Pérez</v>
      </c>
    </row>
    <row r="927" spans="1:19" x14ac:dyDescent="0.3">
      <c r="A927" s="1">
        <v>45829</v>
      </c>
      <c r="B927" s="2" t="s">
        <v>2567</v>
      </c>
      <c r="C927" s="2" t="s">
        <v>2521</v>
      </c>
      <c r="D927" s="2" t="s">
        <v>2525</v>
      </c>
      <c r="E927" s="2" t="s">
        <v>2517</v>
      </c>
      <c r="F927" s="3">
        <v>135724</v>
      </c>
      <c r="G927" s="3">
        <v>9134</v>
      </c>
      <c r="H927" s="3">
        <v>795</v>
      </c>
      <c r="I927" s="4">
        <v>11725.82</v>
      </c>
      <c r="J927" s="4">
        <v>82149.09</v>
      </c>
      <c r="K927" s="3">
        <v>663</v>
      </c>
      <c r="L927" s="2" t="s">
        <v>2518</v>
      </c>
      <c r="M927" s="2" t="s">
        <v>2537</v>
      </c>
      <c r="N927" t="str">
        <f>TRIM(PROPER(Tabla_auditoría[[#This Row],[ID_Campaña]]))</f>
        <v>Cmp-021</v>
      </c>
      <c r="O927" t="str">
        <f>TRIM(PROPER(Tabla_auditoría[[#This Row],[Canal]]))</f>
        <v>Paid Search</v>
      </c>
      <c r="P927" t="str">
        <f>TRIM(PROPER(Tabla_auditoría[[#This Row],[País]]))</f>
        <v>Francia</v>
      </c>
      <c r="Q927" t="str">
        <f>TRIM(PROPER(Tabla_auditoría[[#This Row],[Dispositivo]]))</f>
        <v>Desktop</v>
      </c>
      <c r="R927" t="str">
        <f>TRIM(PROPER(Tabla_auditoría[[#This Row],[Tipo_Campaña]]))</f>
        <v>Adquisición</v>
      </c>
      <c r="S927" t="str">
        <f>TRIM(PROPER(Tabla_auditoría[[#This Row],[Responsable]]))</f>
        <v>Marta López</v>
      </c>
    </row>
    <row r="928" spans="1:19" x14ac:dyDescent="0.3">
      <c r="A928" s="1">
        <v>46004</v>
      </c>
      <c r="B928" s="2" t="s">
        <v>2564</v>
      </c>
      <c r="C928" s="2" t="s">
        <v>2543</v>
      </c>
      <c r="D928" s="2" t="s">
        <v>2528</v>
      </c>
      <c r="E928" s="2" t="s">
        <v>2517</v>
      </c>
      <c r="F928" s="3">
        <v>16260</v>
      </c>
      <c r="G928" s="3">
        <v>600</v>
      </c>
      <c r="H928" s="3">
        <v>62</v>
      </c>
      <c r="I928" s="4">
        <v>564.33000000000004</v>
      </c>
      <c r="J928" s="4">
        <v>2334.1</v>
      </c>
      <c r="K928" s="3">
        <v>47</v>
      </c>
      <c r="L928" s="2" t="s">
        <v>2539</v>
      </c>
      <c r="M928" s="2" t="s">
        <v>2524</v>
      </c>
      <c r="N928" t="str">
        <f>TRIM(PROPER(Tabla_auditoría[[#This Row],[ID_Campaña]]))</f>
        <v>Cmp-024</v>
      </c>
      <c r="O928" t="str">
        <f>TRIM(PROPER(Tabla_auditoría[[#This Row],[Canal]]))</f>
        <v>Organic Social</v>
      </c>
      <c r="P928" t="str">
        <f>TRIM(PROPER(Tabla_auditoría[[#This Row],[País]]))</f>
        <v>España</v>
      </c>
      <c r="Q928" t="str">
        <f>TRIM(PROPER(Tabla_auditoría[[#This Row],[Dispositivo]]))</f>
        <v>Desktop</v>
      </c>
      <c r="R928" t="str">
        <f>TRIM(PROPER(Tabla_auditoría[[#This Row],[Tipo_Campaña]]))</f>
        <v>Conversión</v>
      </c>
      <c r="S928" t="str">
        <f>TRIM(PROPER(Tabla_auditoría[[#This Row],[Responsable]]))</f>
        <v>Luis Martín</v>
      </c>
    </row>
    <row r="929" spans="1:19" x14ac:dyDescent="0.3">
      <c r="A929" s="1">
        <v>45997</v>
      </c>
      <c r="B929" s="2" t="s">
        <v>2560</v>
      </c>
      <c r="C929" s="2" t="s">
        <v>2541</v>
      </c>
      <c r="D929" s="2" t="s">
        <v>2531</v>
      </c>
      <c r="E929" s="2" t="s">
        <v>2517</v>
      </c>
      <c r="F929" s="3">
        <v>67299</v>
      </c>
      <c r="G929" s="3">
        <v>4163</v>
      </c>
      <c r="H929" s="3">
        <v>551</v>
      </c>
      <c r="I929" s="4">
        <v>6208.27</v>
      </c>
      <c r="J929" s="4">
        <v>105171.1</v>
      </c>
      <c r="K929" s="3">
        <v>380</v>
      </c>
      <c r="L929" s="2" t="s">
        <v>2523</v>
      </c>
      <c r="M929" s="2" t="s">
        <v>2526</v>
      </c>
      <c r="N929" t="str">
        <f>TRIM(PROPER(Tabla_auditoría[[#This Row],[ID_Campaña]]))</f>
        <v>Cmp-027</v>
      </c>
      <c r="O929" t="str">
        <f>TRIM(PROPER(Tabla_auditoría[[#This Row],[Canal]]))</f>
        <v>Display</v>
      </c>
      <c r="P929" t="str">
        <f>TRIM(PROPER(Tabla_auditoría[[#This Row],[País]]))</f>
        <v>Portugal</v>
      </c>
      <c r="Q929" t="str">
        <f>TRIM(PROPER(Tabla_auditoría[[#This Row],[Dispositivo]]))</f>
        <v>Desktop</v>
      </c>
      <c r="R929" t="str">
        <f>TRIM(PROPER(Tabla_auditoría[[#This Row],[Tipo_Campaña]]))</f>
        <v>Retención</v>
      </c>
      <c r="S929" t="str">
        <f>TRIM(PROPER(Tabla_auditoría[[#This Row],[Responsable]]))</f>
        <v>Laura Pérez</v>
      </c>
    </row>
    <row r="930" spans="1:19" x14ac:dyDescent="0.3">
      <c r="A930" s="1">
        <v>45904</v>
      </c>
      <c r="B930" s="2" t="s">
        <v>2540</v>
      </c>
      <c r="C930" s="2" t="s">
        <v>2521</v>
      </c>
      <c r="D930" s="2" t="s">
        <v>2525</v>
      </c>
      <c r="E930" s="2" t="s">
        <v>2517</v>
      </c>
      <c r="F930" s="3">
        <v>145595</v>
      </c>
      <c r="G930" s="3">
        <v>10086</v>
      </c>
      <c r="H930" s="3">
        <v>289</v>
      </c>
      <c r="I930" s="4">
        <v>11230.84</v>
      </c>
      <c r="J930" s="4">
        <v>51346.75</v>
      </c>
      <c r="K930" s="3">
        <v>206</v>
      </c>
      <c r="L930" s="2" t="s">
        <v>2536</v>
      </c>
      <c r="M930" s="2" t="s">
        <v>2524</v>
      </c>
      <c r="N930" t="str">
        <f>TRIM(PROPER(Tabla_auditoría[[#This Row],[ID_Campaña]]))</f>
        <v>Cmp-017</v>
      </c>
      <c r="O930" t="str">
        <f>TRIM(PROPER(Tabla_auditoría[[#This Row],[Canal]]))</f>
        <v>Paid Search</v>
      </c>
      <c r="P930" t="str">
        <f>TRIM(PROPER(Tabla_auditoría[[#This Row],[País]]))</f>
        <v>Francia</v>
      </c>
      <c r="Q930" t="str">
        <f>TRIM(PROPER(Tabla_auditoría[[#This Row],[Dispositivo]]))</f>
        <v>Desktop</v>
      </c>
      <c r="R930" t="str">
        <f>TRIM(PROPER(Tabla_auditoría[[#This Row],[Tipo_Campaña]]))</f>
        <v>Reconocimiento</v>
      </c>
      <c r="S930" t="str">
        <f>TRIM(PROPER(Tabla_auditoría[[#This Row],[Responsable]]))</f>
        <v>Luis Martín</v>
      </c>
    </row>
    <row r="931" spans="1:19" x14ac:dyDescent="0.3">
      <c r="A931" s="1">
        <v>45831</v>
      </c>
      <c r="B931" s="2" t="s">
        <v>2514</v>
      </c>
      <c r="C931" s="2" t="s">
        <v>2527</v>
      </c>
      <c r="D931" s="2" t="s">
        <v>2516</v>
      </c>
      <c r="E931" s="2" t="s">
        <v>2529</v>
      </c>
      <c r="F931" s="3">
        <v>43054</v>
      </c>
      <c r="G931" s="3">
        <v>3746</v>
      </c>
      <c r="H931" s="3">
        <v>329</v>
      </c>
      <c r="I931" s="4">
        <v>1758.72</v>
      </c>
      <c r="J931" s="4">
        <v>34222.61</v>
      </c>
      <c r="K931" s="3">
        <v>241</v>
      </c>
      <c r="L931" s="2" t="s">
        <v>2518</v>
      </c>
      <c r="M931" s="2" t="s">
        <v>2519</v>
      </c>
      <c r="N931" t="str">
        <f>TRIM(PROPER(Tabla_auditoría[[#This Row],[ID_Campaña]]))</f>
        <v>Cmp-002</v>
      </c>
      <c r="O931" t="str">
        <f>TRIM(PROPER(Tabla_auditoría[[#This Row],[Canal]]))</f>
        <v>Affiliate</v>
      </c>
      <c r="P931" t="str">
        <f>TRIM(PROPER(Tabla_auditoría[[#This Row],[País]]))</f>
        <v>México</v>
      </c>
      <c r="Q931" t="str">
        <f>TRIM(PROPER(Tabla_auditoría[[#This Row],[Dispositivo]]))</f>
        <v>Mobile</v>
      </c>
      <c r="R931" t="str">
        <f>TRIM(PROPER(Tabla_auditoría[[#This Row],[Tipo_Campaña]]))</f>
        <v>Adquisición</v>
      </c>
      <c r="S931" t="str">
        <f>TRIM(PROPER(Tabla_auditoría[[#This Row],[Responsable]]))</f>
        <v>Carlos Ruiz</v>
      </c>
    </row>
    <row r="932" spans="1:19" x14ac:dyDescent="0.3">
      <c r="A932" s="1">
        <v>46019</v>
      </c>
      <c r="B932" s="2" t="s">
        <v>2557</v>
      </c>
      <c r="C932" s="2" t="s">
        <v>2515</v>
      </c>
      <c r="D932" s="2" t="s">
        <v>2528</v>
      </c>
      <c r="E932" s="2" t="s">
        <v>2517</v>
      </c>
      <c r="F932" s="3">
        <v>86400</v>
      </c>
      <c r="G932" s="3">
        <v>5532</v>
      </c>
      <c r="H932" s="3">
        <v>49</v>
      </c>
      <c r="I932" s="4">
        <v>7536.52</v>
      </c>
      <c r="J932" s="4">
        <v>875.85</v>
      </c>
      <c r="K932" s="3">
        <v>38</v>
      </c>
      <c r="L932" s="2" t="s">
        <v>2536</v>
      </c>
      <c r="M932" s="2" t="s">
        <v>2524</v>
      </c>
      <c r="N932" t="str">
        <f>TRIM(PROPER(Tabla_auditoría[[#This Row],[ID_Campaña]]))</f>
        <v>Cmp-030</v>
      </c>
      <c r="O932" t="str">
        <f>TRIM(PROPER(Tabla_auditoría[[#This Row],[Canal]]))</f>
        <v>Email</v>
      </c>
      <c r="P932" t="str">
        <f>TRIM(PROPER(Tabla_auditoría[[#This Row],[País]]))</f>
        <v>España</v>
      </c>
      <c r="Q932" t="str">
        <f>TRIM(PROPER(Tabla_auditoría[[#This Row],[Dispositivo]]))</f>
        <v>Desktop</v>
      </c>
      <c r="R932" t="str">
        <f>TRIM(PROPER(Tabla_auditoría[[#This Row],[Tipo_Campaña]]))</f>
        <v>Reconocimiento</v>
      </c>
      <c r="S932" t="str">
        <f>TRIM(PROPER(Tabla_auditoría[[#This Row],[Responsable]]))</f>
        <v>Luis Martín</v>
      </c>
    </row>
    <row r="933" spans="1:19" x14ac:dyDescent="0.3">
      <c r="A933" s="1">
        <v>45859</v>
      </c>
      <c r="B933" s="2" t="s">
        <v>2556</v>
      </c>
      <c r="C933" s="2" t="s">
        <v>2533</v>
      </c>
      <c r="D933" s="2" t="s">
        <v>2525</v>
      </c>
      <c r="E933" s="2" t="s">
        <v>2517</v>
      </c>
      <c r="F933" s="3">
        <v>28562</v>
      </c>
      <c r="G933" s="3">
        <v>288</v>
      </c>
      <c r="H933" s="3">
        <v>38</v>
      </c>
      <c r="I933" s="4">
        <v>92.28</v>
      </c>
      <c r="J933" s="4">
        <v>7097.44</v>
      </c>
      <c r="K933" s="3">
        <v>29</v>
      </c>
      <c r="L933" s="2" t="s">
        <v>2536</v>
      </c>
      <c r="M933" s="2" t="s">
        <v>2524</v>
      </c>
      <c r="N933" t="str">
        <f>TRIM(PROPER(Tabla_auditoría[[#This Row],[ID_Campaña]]))</f>
        <v>Cmp-014</v>
      </c>
      <c r="O933" t="str">
        <f>TRIM(PROPER(Tabla_auditoría[[#This Row],[Canal]]))</f>
        <v>Paid Social</v>
      </c>
      <c r="P933" t="str">
        <f>TRIM(PROPER(Tabla_auditoría[[#This Row],[País]]))</f>
        <v>Francia</v>
      </c>
      <c r="Q933" t="str">
        <f>TRIM(PROPER(Tabla_auditoría[[#This Row],[Dispositivo]]))</f>
        <v>Desktop</v>
      </c>
      <c r="R933" t="str">
        <f>TRIM(PROPER(Tabla_auditoría[[#This Row],[Tipo_Campaña]]))</f>
        <v>Reconocimiento</v>
      </c>
      <c r="S933" t="str">
        <f>TRIM(PROPER(Tabla_auditoría[[#This Row],[Responsable]]))</f>
        <v>Luis Martín</v>
      </c>
    </row>
    <row r="934" spans="1:19" x14ac:dyDescent="0.3">
      <c r="A934" s="1">
        <v>45915</v>
      </c>
      <c r="B934" s="2" t="s">
        <v>2563</v>
      </c>
      <c r="C934" s="2" t="s">
        <v>2515</v>
      </c>
      <c r="D934" s="2" t="s">
        <v>2516</v>
      </c>
      <c r="E934" s="2" t="s">
        <v>2517</v>
      </c>
      <c r="F934" s="3">
        <v>27834</v>
      </c>
      <c r="G934" s="3">
        <v>124</v>
      </c>
      <c r="H934" s="3">
        <v>3</v>
      </c>
      <c r="I934" s="4">
        <v>68.680000000000007</v>
      </c>
      <c r="J934" s="4">
        <v>329.74</v>
      </c>
      <c r="K934" s="3">
        <v>2</v>
      </c>
      <c r="L934" s="2" t="s">
        <v>2518</v>
      </c>
      <c r="M934" s="2" t="s">
        <v>2524</v>
      </c>
      <c r="N934" t="str">
        <f>TRIM(PROPER(Tabla_auditoría[[#This Row],[ID_Campaña]]))</f>
        <v>Cmp-023</v>
      </c>
      <c r="O934" t="str">
        <f>TRIM(PROPER(Tabla_auditoría[[#This Row],[Canal]]))</f>
        <v>Email</v>
      </c>
      <c r="P934" t="str">
        <f>TRIM(PROPER(Tabla_auditoría[[#This Row],[País]]))</f>
        <v>México</v>
      </c>
      <c r="Q934" t="str">
        <f>TRIM(PROPER(Tabla_auditoría[[#This Row],[Dispositivo]]))</f>
        <v>Desktop</v>
      </c>
      <c r="R934" t="str">
        <f>TRIM(PROPER(Tabla_auditoría[[#This Row],[Tipo_Campaña]]))</f>
        <v>Adquisición</v>
      </c>
      <c r="S934" t="str">
        <f>TRIM(PROPER(Tabla_auditoría[[#This Row],[Responsable]]))</f>
        <v>Luis Martín</v>
      </c>
    </row>
    <row r="935" spans="1:19" x14ac:dyDescent="0.3">
      <c r="A935" s="1">
        <v>45990</v>
      </c>
      <c r="B935" s="2" t="s">
        <v>2520</v>
      </c>
      <c r="C935" s="2" t="s">
        <v>2515</v>
      </c>
      <c r="D935" s="2" t="s">
        <v>2531</v>
      </c>
      <c r="E935" s="2" t="s">
        <v>2517</v>
      </c>
      <c r="F935" s="3">
        <v>126225</v>
      </c>
      <c r="G935" s="3">
        <v>2091</v>
      </c>
      <c r="H935" s="3">
        <v>78</v>
      </c>
      <c r="I935" s="4">
        <v>309.26</v>
      </c>
      <c r="J935" s="4">
        <v>15427.43</v>
      </c>
      <c r="K935" s="3">
        <v>44</v>
      </c>
      <c r="L935" s="2" t="s">
        <v>2539</v>
      </c>
      <c r="M935" s="2" t="s">
        <v>2526</v>
      </c>
      <c r="N935" t="str">
        <f>TRIM(PROPER(Tabla_auditoría[[#This Row],[ID_Campaña]]))</f>
        <v>Cmp-009</v>
      </c>
      <c r="O935" t="str">
        <f>TRIM(PROPER(Tabla_auditoría[[#This Row],[Canal]]))</f>
        <v>Email</v>
      </c>
      <c r="P935" t="str">
        <f>TRIM(PROPER(Tabla_auditoría[[#This Row],[País]]))</f>
        <v>Portugal</v>
      </c>
      <c r="Q935" t="str">
        <f>TRIM(PROPER(Tabla_auditoría[[#This Row],[Dispositivo]]))</f>
        <v>Desktop</v>
      </c>
      <c r="R935" t="str">
        <f>TRIM(PROPER(Tabla_auditoría[[#This Row],[Tipo_Campaña]]))</f>
        <v>Conversión</v>
      </c>
      <c r="S935" t="str">
        <f>TRIM(PROPER(Tabla_auditoría[[#This Row],[Responsable]]))</f>
        <v>Laura Pérez</v>
      </c>
    </row>
    <row r="936" spans="1:19" x14ac:dyDescent="0.3">
      <c r="A936" s="1">
        <v>45675</v>
      </c>
      <c r="B936" s="2" t="s">
        <v>2542</v>
      </c>
      <c r="C936" s="2" t="s">
        <v>2515</v>
      </c>
      <c r="D936" s="2" t="s">
        <v>2528</v>
      </c>
      <c r="E936" s="2" t="s">
        <v>2517</v>
      </c>
      <c r="F936" s="3">
        <v>43543</v>
      </c>
      <c r="G936" s="3">
        <v>407</v>
      </c>
      <c r="H936" s="3">
        <v>11</v>
      </c>
      <c r="I936" s="4">
        <v>209.21</v>
      </c>
      <c r="J936" s="4">
        <v>1788.62</v>
      </c>
      <c r="K936" s="3">
        <v>7</v>
      </c>
      <c r="L936" s="2" t="s">
        <v>2536</v>
      </c>
      <c r="M936" s="2" t="s">
        <v>2519</v>
      </c>
      <c r="N936" t="str">
        <f>TRIM(PROPER(Tabla_auditoría[[#This Row],[ID_Campaña]]))</f>
        <v>Cmp-025</v>
      </c>
      <c r="O936" t="str">
        <f>TRIM(PROPER(Tabla_auditoría[[#This Row],[Canal]]))</f>
        <v>Email</v>
      </c>
      <c r="P936" t="str">
        <f>TRIM(PROPER(Tabla_auditoría[[#This Row],[País]]))</f>
        <v>España</v>
      </c>
      <c r="Q936" t="str">
        <f>TRIM(PROPER(Tabla_auditoría[[#This Row],[Dispositivo]]))</f>
        <v>Desktop</v>
      </c>
      <c r="R936" t="str">
        <f>TRIM(PROPER(Tabla_auditoría[[#This Row],[Tipo_Campaña]]))</f>
        <v>Reconocimiento</v>
      </c>
      <c r="S936" t="str">
        <f>TRIM(PROPER(Tabla_auditoría[[#This Row],[Responsable]]))</f>
        <v>Carlos Ruiz</v>
      </c>
    </row>
    <row r="937" spans="1:19" x14ac:dyDescent="0.3">
      <c r="A937" s="1">
        <v>45731</v>
      </c>
      <c r="B937" s="2" t="s">
        <v>2568</v>
      </c>
      <c r="C937" s="2" t="s">
        <v>2527</v>
      </c>
      <c r="D937" s="2" t="s">
        <v>2531</v>
      </c>
      <c r="E937" s="2" t="s">
        <v>2517</v>
      </c>
      <c r="F937" s="3">
        <v>87149</v>
      </c>
      <c r="G937" s="3">
        <v>3476</v>
      </c>
      <c r="H937" s="3">
        <v>87</v>
      </c>
      <c r="I937" s="4">
        <v>664.47</v>
      </c>
      <c r="J937" s="4">
        <v>18720.68</v>
      </c>
      <c r="K937" s="3">
        <v>49</v>
      </c>
      <c r="L937" s="2" t="s">
        <v>2539</v>
      </c>
      <c r="M937" s="2" t="s">
        <v>2524</v>
      </c>
      <c r="N937" t="str">
        <f>TRIM(PROPER(Tabla_auditoría[[#This Row],[ID_Campaña]]))</f>
        <v>Cmp-020</v>
      </c>
      <c r="O937" t="str">
        <f>TRIM(PROPER(Tabla_auditoría[[#This Row],[Canal]]))</f>
        <v>Affiliate</v>
      </c>
      <c r="P937" t="str">
        <f>TRIM(PROPER(Tabla_auditoría[[#This Row],[País]]))</f>
        <v>Portugal</v>
      </c>
      <c r="Q937" t="str">
        <f>TRIM(PROPER(Tabla_auditoría[[#This Row],[Dispositivo]]))</f>
        <v>Desktop</v>
      </c>
      <c r="R937" t="str">
        <f>TRIM(PROPER(Tabla_auditoría[[#This Row],[Tipo_Campaña]]))</f>
        <v>Conversión</v>
      </c>
      <c r="S937" t="str">
        <f>TRIM(PROPER(Tabla_auditoría[[#This Row],[Responsable]]))</f>
        <v>Luis Martín</v>
      </c>
    </row>
    <row r="938" spans="1:19" x14ac:dyDescent="0.3">
      <c r="A938" s="1">
        <v>45790</v>
      </c>
      <c r="B938" s="2" t="s">
        <v>2540</v>
      </c>
      <c r="C938" s="2" t="s">
        <v>2543</v>
      </c>
      <c r="D938" s="2" t="s">
        <v>2531</v>
      </c>
      <c r="E938" s="2" t="s">
        <v>2529</v>
      </c>
      <c r="F938" s="3">
        <v>150274</v>
      </c>
      <c r="G938" s="3">
        <v>5376</v>
      </c>
      <c r="H938" s="3">
        <v>284</v>
      </c>
      <c r="I938" s="4">
        <v>8397.02</v>
      </c>
      <c r="J938" s="4">
        <v>9422.52</v>
      </c>
      <c r="K938" s="3">
        <v>237</v>
      </c>
      <c r="L938" s="2" t="s">
        <v>2523</v>
      </c>
      <c r="M938" s="2" t="s">
        <v>2546</v>
      </c>
      <c r="N938" t="str">
        <f>TRIM(PROPER(Tabla_auditoría[[#This Row],[ID_Campaña]]))</f>
        <v>Cmp-017</v>
      </c>
      <c r="O938" t="str">
        <f>TRIM(PROPER(Tabla_auditoría[[#This Row],[Canal]]))</f>
        <v>Organic Social</v>
      </c>
      <c r="P938" t="str">
        <f>TRIM(PROPER(Tabla_auditoría[[#This Row],[País]]))</f>
        <v>Portugal</v>
      </c>
      <c r="Q938" t="str">
        <f>TRIM(PROPER(Tabla_auditoría[[#This Row],[Dispositivo]]))</f>
        <v>Mobile</v>
      </c>
      <c r="R938" t="str">
        <f>TRIM(PROPER(Tabla_auditoría[[#This Row],[Tipo_Campaña]]))</f>
        <v>Retención</v>
      </c>
      <c r="S938" t="str">
        <f>TRIM(PROPER(Tabla_auditoría[[#This Row],[Responsable]]))</f>
        <v>Ana García</v>
      </c>
    </row>
    <row r="939" spans="1:19" x14ac:dyDescent="0.3">
      <c r="A939" s="1">
        <v>45779</v>
      </c>
      <c r="B939" s="2" t="s">
        <v>2520</v>
      </c>
      <c r="C939" s="2" t="s">
        <v>2521</v>
      </c>
      <c r="D939" s="2" t="s">
        <v>2522</v>
      </c>
      <c r="E939" s="2" t="s">
        <v>2517</v>
      </c>
      <c r="F939" s="3">
        <v>50677</v>
      </c>
      <c r="G939" s="3">
        <v>4047</v>
      </c>
      <c r="H939" s="3">
        <v>409</v>
      </c>
      <c r="I939" s="4">
        <v>6481.73</v>
      </c>
      <c r="J939" s="4">
        <v>65100.85</v>
      </c>
      <c r="K939" s="3">
        <v>249</v>
      </c>
      <c r="L939" s="2" t="s">
        <v>2523</v>
      </c>
      <c r="M939" s="2" t="s">
        <v>2524</v>
      </c>
      <c r="N939" t="str">
        <f>TRIM(PROPER(Tabla_auditoría[[#This Row],[ID_Campaña]]))</f>
        <v>Cmp-009</v>
      </c>
      <c r="O939" t="str">
        <f>TRIM(PROPER(Tabla_auditoría[[#This Row],[Canal]]))</f>
        <v>Paid Search</v>
      </c>
      <c r="P939" t="str">
        <f>TRIM(PROPER(Tabla_auditoría[[#This Row],[País]]))</f>
        <v>Italia</v>
      </c>
      <c r="Q939" t="str">
        <f>TRIM(PROPER(Tabla_auditoría[[#This Row],[Dispositivo]]))</f>
        <v>Desktop</v>
      </c>
      <c r="R939" t="str">
        <f>TRIM(PROPER(Tabla_auditoría[[#This Row],[Tipo_Campaña]]))</f>
        <v>Retención</v>
      </c>
      <c r="S939" t="str">
        <f>TRIM(PROPER(Tabla_auditoría[[#This Row],[Responsable]]))</f>
        <v>Luis Martín</v>
      </c>
    </row>
    <row r="940" spans="1:19" x14ac:dyDescent="0.3">
      <c r="A940" s="1">
        <v>46008</v>
      </c>
      <c r="B940" s="2" t="s">
        <v>2555</v>
      </c>
      <c r="C940" s="2" t="s">
        <v>2521</v>
      </c>
      <c r="D940" s="2" t="s">
        <v>2531</v>
      </c>
      <c r="E940" s="2" t="s">
        <v>2517</v>
      </c>
      <c r="F940" s="3">
        <v>70942</v>
      </c>
      <c r="G940" s="3">
        <v>5234</v>
      </c>
      <c r="H940" s="3">
        <v>164</v>
      </c>
      <c r="I940" s="4">
        <v>5681.36</v>
      </c>
      <c r="J940" s="4">
        <v>29659.279999999999</v>
      </c>
      <c r="K940" s="3">
        <v>117</v>
      </c>
      <c r="L940" s="2" t="s">
        <v>2536</v>
      </c>
      <c r="M940" s="2" t="s">
        <v>2537</v>
      </c>
      <c r="N940" t="str">
        <f>TRIM(PROPER(Tabla_auditoría[[#This Row],[ID_Campaña]]))</f>
        <v>Cmp-010</v>
      </c>
      <c r="O940" t="str">
        <f>TRIM(PROPER(Tabla_auditoría[[#This Row],[Canal]]))</f>
        <v>Paid Search</v>
      </c>
      <c r="P940" t="str">
        <f>TRIM(PROPER(Tabla_auditoría[[#This Row],[País]]))</f>
        <v>Portugal</v>
      </c>
      <c r="Q940" t="str">
        <f>TRIM(PROPER(Tabla_auditoría[[#This Row],[Dispositivo]]))</f>
        <v>Desktop</v>
      </c>
      <c r="R940" t="str">
        <f>TRIM(PROPER(Tabla_auditoría[[#This Row],[Tipo_Campaña]]))</f>
        <v>Reconocimiento</v>
      </c>
      <c r="S940" t="str">
        <f>TRIM(PROPER(Tabla_auditoría[[#This Row],[Responsable]]))</f>
        <v>Marta López</v>
      </c>
    </row>
    <row r="941" spans="1:19" x14ac:dyDescent="0.3">
      <c r="A941" s="1">
        <v>45721</v>
      </c>
      <c r="B941" s="2" t="s">
        <v>2568</v>
      </c>
      <c r="C941" s="2" t="s">
        <v>2533</v>
      </c>
      <c r="D941" s="2" t="s">
        <v>2522</v>
      </c>
      <c r="E941" s="2" t="s">
        <v>2529</v>
      </c>
      <c r="F941" s="3">
        <v>178176</v>
      </c>
      <c r="G941" s="3">
        <v>8003</v>
      </c>
      <c r="H941" s="3">
        <v>267</v>
      </c>
      <c r="I941" s="4">
        <v>14030.13</v>
      </c>
      <c r="J941" s="4">
        <v>8134.46</v>
      </c>
      <c r="K941" s="3">
        <v>188</v>
      </c>
      <c r="L941" s="2" t="s">
        <v>2536</v>
      </c>
      <c r="M941" s="2" t="s">
        <v>2546</v>
      </c>
      <c r="N941" t="str">
        <f>TRIM(PROPER(Tabla_auditoría[[#This Row],[ID_Campaña]]))</f>
        <v>Cmp-020</v>
      </c>
      <c r="O941" t="str">
        <f>TRIM(PROPER(Tabla_auditoría[[#This Row],[Canal]]))</f>
        <v>Paid Social</v>
      </c>
      <c r="P941" t="str">
        <f>TRIM(PROPER(Tabla_auditoría[[#This Row],[País]]))</f>
        <v>Italia</v>
      </c>
      <c r="Q941" t="str">
        <f>TRIM(PROPER(Tabla_auditoría[[#This Row],[Dispositivo]]))</f>
        <v>Mobile</v>
      </c>
      <c r="R941" t="str">
        <f>TRIM(PROPER(Tabla_auditoría[[#This Row],[Tipo_Campaña]]))</f>
        <v>Reconocimiento</v>
      </c>
      <c r="S941" t="str">
        <f>TRIM(PROPER(Tabla_auditoría[[#This Row],[Responsable]]))</f>
        <v>Ana García</v>
      </c>
    </row>
    <row r="942" spans="1:19" x14ac:dyDescent="0.3">
      <c r="A942" s="1">
        <v>45870</v>
      </c>
      <c r="B942" s="2" t="s">
        <v>2556</v>
      </c>
      <c r="C942" s="2" t="s">
        <v>2533</v>
      </c>
      <c r="D942" s="2" t="s">
        <v>2516</v>
      </c>
      <c r="E942" s="2" t="s">
        <v>2517</v>
      </c>
      <c r="F942" s="3">
        <v>77656</v>
      </c>
      <c r="G942" s="3">
        <v>4164</v>
      </c>
      <c r="H942" s="3">
        <v>568</v>
      </c>
      <c r="I942" s="4">
        <v>539.6</v>
      </c>
      <c r="J942" s="4">
        <v>19345.48</v>
      </c>
      <c r="K942" s="3">
        <v>364</v>
      </c>
      <c r="L942" s="2" t="s">
        <v>2523</v>
      </c>
      <c r="M942" s="2" t="s">
        <v>2526</v>
      </c>
      <c r="N942" t="str">
        <f>TRIM(PROPER(Tabla_auditoría[[#This Row],[ID_Campaña]]))</f>
        <v>Cmp-014</v>
      </c>
      <c r="O942" t="str">
        <f>TRIM(PROPER(Tabla_auditoría[[#This Row],[Canal]]))</f>
        <v>Paid Social</v>
      </c>
      <c r="P942" t="str">
        <f>TRIM(PROPER(Tabla_auditoría[[#This Row],[País]]))</f>
        <v>México</v>
      </c>
      <c r="Q942" t="str">
        <f>TRIM(PROPER(Tabla_auditoría[[#This Row],[Dispositivo]]))</f>
        <v>Desktop</v>
      </c>
      <c r="R942" t="str">
        <f>TRIM(PROPER(Tabla_auditoría[[#This Row],[Tipo_Campaña]]))</f>
        <v>Retención</v>
      </c>
      <c r="S942" t="str">
        <f>TRIM(PROPER(Tabla_auditoría[[#This Row],[Responsable]]))</f>
        <v>Laura Pérez</v>
      </c>
    </row>
    <row r="943" spans="1:19" x14ac:dyDescent="0.3">
      <c r="A943" s="1">
        <v>45686</v>
      </c>
      <c r="B943" s="2" t="s">
        <v>2520</v>
      </c>
      <c r="C943" s="2" t="s">
        <v>2533</v>
      </c>
      <c r="D943" s="2" t="s">
        <v>2525</v>
      </c>
      <c r="E943" s="2" t="s">
        <v>2534</v>
      </c>
      <c r="F943" s="3">
        <v>75147</v>
      </c>
      <c r="G943" s="3">
        <v>2390</v>
      </c>
      <c r="H943" s="3">
        <v>163</v>
      </c>
      <c r="I943" s="4">
        <v>1813.95</v>
      </c>
      <c r="J943" s="4">
        <v>25154.79</v>
      </c>
      <c r="K943" s="3">
        <v>88</v>
      </c>
      <c r="L943" s="2" t="s">
        <v>2539</v>
      </c>
      <c r="M943" s="2" t="s">
        <v>2519</v>
      </c>
      <c r="N943" t="str">
        <f>TRIM(PROPER(Tabla_auditoría[[#This Row],[ID_Campaña]]))</f>
        <v>Cmp-009</v>
      </c>
      <c r="O943" t="str">
        <f>TRIM(PROPER(Tabla_auditoría[[#This Row],[Canal]]))</f>
        <v>Paid Social</v>
      </c>
      <c r="P943" t="str">
        <f>TRIM(PROPER(Tabla_auditoría[[#This Row],[País]]))</f>
        <v>Francia</v>
      </c>
      <c r="Q943" t="str">
        <f>TRIM(PROPER(Tabla_auditoría[[#This Row],[Dispositivo]]))</f>
        <v>Tablet</v>
      </c>
      <c r="R943" t="str">
        <f>TRIM(PROPER(Tabla_auditoría[[#This Row],[Tipo_Campaña]]))</f>
        <v>Conversión</v>
      </c>
      <c r="S943" t="str">
        <f>TRIM(PROPER(Tabla_auditoría[[#This Row],[Responsable]]))</f>
        <v>Carlos Ruiz</v>
      </c>
    </row>
    <row r="944" spans="1:19" x14ac:dyDescent="0.3">
      <c r="A944" s="1">
        <v>45799</v>
      </c>
      <c r="B944" s="2" t="s">
        <v>2549</v>
      </c>
      <c r="C944" s="2" t="s">
        <v>2521</v>
      </c>
      <c r="D944" s="2" t="s">
        <v>2516</v>
      </c>
      <c r="E944" s="2" t="s">
        <v>2517</v>
      </c>
      <c r="F944" s="3">
        <v>138906</v>
      </c>
      <c r="G944" s="3">
        <v>11944</v>
      </c>
      <c r="H944" s="3">
        <v>1399</v>
      </c>
      <c r="I944" s="4">
        <v>2275.11</v>
      </c>
      <c r="J944" s="4">
        <v>255622.71</v>
      </c>
      <c r="K944" s="3">
        <v>961</v>
      </c>
      <c r="L944" s="2" t="s">
        <v>2536</v>
      </c>
      <c r="M944" s="2" t="s">
        <v>2524</v>
      </c>
      <c r="N944" t="str">
        <f>TRIM(PROPER(Tabla_auditoría[[#This Row],[ID_Campaña]]))</f>
        <v>Cmp-007</v>
      </c>
      <c r="O944" t="str">
        <f>TRIM(PROPER(Tabla_auditoría[[#This Row],[Canal]]))</f>
        <v>Paid Search</v>
      </c>
      <c r="P944" t="str">
        <f>TRIM(PROPER(Tabla_auditoría[[#This Row],[País]]))</f>
        <v>México</v>
      </c>
      <c r="Q944" t="str">
        <f>TRIM(PROPER(Tabla_auditoría[[#This Row],[Dispositivo]]))</f>
        <v>Desktop</v>
      </c>
      <c r="R944" t="str">
        <f>TRIM(PROPER(Tabla_auditoría[[#This Row],[Tipo_Campaña]]))</f>
        <v>Reconocimiento</v>
      </c>
      <c r="S944" t="str">
        <f>TRIM(PROPER(Tabla_auditoría[[#This Row],[Responsable]]))</f>
        <v>Luis Martín</v>
      </c>
    </row>
    <row r="945" spans="1:19" x14ac:dyDescent="0.3">
      <c r="A945" s="1">
        <v>45796</v>
      </c>
      <c r="B945" s="2" t="s">
        <v>2552</v>
      </c>
      <c r="C945" s="2" t="s">
        <v>2548</v>
      </c>
      <c r="D945" s="2" t="s">
        <v>2528</v>
      </c>
      <c r="E945" s="2" t="s">
        <v>2534</v>
      </c>
      <c r="F945" s="3">
        <v>27552</v>
      </c>
      <c r="G945" s="3">
        <v>1563</v>
      </c>
      <c r="H945" s="3">
        <v>90</v>
      </c>
      <c r="I945" s="4">
        <v>2811.63</v>
      </c>
      <c r="J945" s="4">
        <v>4791.62</v>
      </c>
      <c r="K945" s="3">
        <v>54</v>
      </c>
      <c r="L945" s="2" t="s">
        <v>2536</v>
      </c>
      <c r="M945" s="2" t="s">
        <v>2524</v>
      </c>
      <c r="N945" t="str">
        <f>TRIM(PROPER(Tabla_auditoría[[#This Row],[ID_Campaña]]))</f>
        <v>Cmp-012</v>
      </c>
      <c r="O945" t="str">
        <f>TRIM(PROPER(Tabla_auditoría[[#This Row],[Canal]]))</f>
        <v>Display</v>
      </c>
      <c r="P945" t="str">
        <f>TRIM(PROPER(Tabla_auditoría[[#This Row],[País]]))</f>
        <v>España</v>
      </c>
      <c r="Q945" t="str">
        <f>TRIM(PROPER(Tabla_auditoría[[#This Row],[Dispositivo]]))</f>
        <v>Tablet</v>
      </c>
      <c r="R945" t="str">
        <f>TRIM(PROPER(Tabla_auditoría[[#This Row],[Tipo_Campaña]]))</f>
        <v>Reconocimiento</v>
      </c>
      <c r="S945" t="str">
        <f>TRIM(PROPER(Tabla_auditoría[[#This Row],[Responsable]]))</f>
        <v>Luis Martín</v>
      </c>
    </row>
    <row r="946" spans="1:19" x14ac:dyDescent="0.3">
      <c r="A946" s="1">
        <v>45923</v>
      </c>
      <c r="B946" s="2" t="s">
        <v>2554</v>
      </c>
      <c r="C946" s="2" t="s">
        <v>2541</v>
      </c>
      <c r="D946" s="2" t="s">
        <v>2573</v>
      </c>
      <c r="E946" s="2" t="s">
        <v>2529</v>
      </c>
      <c r="F946" s="3">
        <v>70005</v>
      </c>
      <c r="G946" s="3">
        <v>6221</v>
      </c>
      <c r="H946" s="3">
        <v>224</v>
      </c>
      <c r="I946" s="4">
        <v>2607.3200000000002</v>
      </c>
      <c r="J946" s="4">
        <v>23165.439999999999</v>
      </c>
      <c r="K946" s="3">
        <v>111</v>
      </c>
      <c r="L946" s="2" t="s">
        <v>2536</v>
      </c>
      <c r="M946" s="2" t="s">
        <v>2519</v>
      </c>
      <c r="N946" t="str">
        <f>TRIM(PROPER(Tabla_auditoría[[#This Row],[ID_Campaña]]))</f>
        <v>Cmp-019</v>
      </c>
      <c r="O946" t="str">
        <f>TRIM(PROPER(Tabla_auditoría[[#This Row],[Canal]]))</f>
        <v>Display</v>
      </c>
      <c r="P946" t="str">
        <f>TRIM(PROPER(Tabla_auditoría[[#This Row],[País]]))</f>
        <v>España</v>
      </c>
      <c r="Q946" t="str">
        <f>TRIM(PROPER(Tabla_auditoría[[#This Row],[Dispositivo]]))</f>
        <v>Mobile</v>
      </c>
      <c r="R946" t="str">
        <f>TRIM(PROPER(Tabla_auditoría[[#This Row],[Tipo_Campaña]]))</f>
        <v>Reconocimiento</v>
      </c>
      <c r="S946" t="str">
        <f>TRIM(PROPER(Tabla_auditoría[[#This Row],[Responsable]]))</f>
        <v>Carlos Ruiz</v>
      </c>
    </row>
    <row r="947" spans="1:19" x14ac:dyDescent="0.3">
      <c r="A947" s="1">
        <v>45866</v>
      </c>
      <c r="B947" s="2" t="s">
        <v>2565</v>
      </c>
      <c r="C947" s="2" t="s">
        <v>2527</v>
      </c>
      <c r="D947" s="2" t="s">
        <v>2516</v>
      </c>
      <c r="E947" s="2" t="s">
        <v>2529</v>
      </c>
      <c r="F947" s="3">
        <v>61333</v>
      </c>
      <c r="G947" s="3">
        <v>2373</v>
      </c>
      <c r="H947" s="3">
        <v>162</v>
      </c>
      <c r="I947" s="4">
        <v>3720.1</v>
      </c>
      <c r="J947" s="4">
        <v>14095.28</v>
      </c>
      <c r="K947" s="3">
        <v>73</v>
      </c>
      <c r="L947" s="2" t="s">
        <v>2518</v>
      </c>
      <c r="M947" s="2" t="s">
        <v>2526</v>
      </c>
      <c r="N947" t="str">
        <f>TRIM(PROPER(Tabla_auditoría[[#This Row],[ID_Campaña]]))</f>
        <v>Cmp-005</v>
      </c>
      <c r="O947" t="str">
        <f>TRIM(PROPER(Tabla_auditoría[[#This Row],[Canal]]))</f>
        <v>Affiliate</v>
      </c>
      <c r="P947" t="str">
        <f>TRIM(PROPER(Tabla_auditoría[[#This Row],[País]]))</f>
        <v>México</v>
      </c>
      <c r="Q947" t="str">
        <f>TRIM(PROPER(Tabla_auditoría[[#This Row],[Dispositivo]]))</f>
        <v>Mobile</v>
      </c>
      <c r="R947" t="str">
        <f>TRIM(PROPER(Tabla_auditoría[[#This Row],[Tipo_Campaña]]))</f>
        <v>Adquisición</v>
      </c>
      <c r="S947" t="str">
        <f>TRIM(PROPER(Tabla_auditoría[[#This Row],[Responsable]]))</f>
        <v>Laura Pérez</v>
      </c>
    </row>
    <row r="948" spans="1:19" x14ac:dyDescent="0.3">
      <c r="A948" s="1">
        <v>45716</v>
      </c>
      <c r="B948" s="2" t="s">
        <v>2520</v>
      </c>
      <c r="C948" s="2" t="s">
        <v>2533</v>
      </c>
      <c r="D948" s="2" t="s">
        <v>2528</v>
      </c>
      <c r="E948" s="2" t="s">
        <v>2529</v>
      </c>
      <c r="F948" s="3">
        <v>117292</v>
      </c>
      <c r="G948" s="3">
        <v>3980</v>
      </c>
      <c r="H948" s="3">
        <v>140</v>
      </c>
      <c r="I948" s="4">
        <v>4881.1499999999996</v>
      </c>
      <c r="J948" s="4">
        <v>3084.06</v>
      </c>
      <c r="K948" s="3">
        <v>81</v>
      </c>
      <c r="L948" s="2" t="s">
        <v>2536</v>
      </c>
      <c r="M948" s="2" t="s">
        <v>2537</v>
      </c>
      <c r="N948" t="str">
        <f>TRIM(PROPER(Tabla_auditoría[[#This Row],[ID_Campaña]]))</f>
        <v>Cmp-009</v>
      </c>
      <c r="O948" t="str">
        <f>TRIM(PROPER(Tabla_auditoría[[#This Row],[Canal]]))</f>
        <v>Paid Social</v>
      </c>
      <c r="P948" t="str">
        <f>TRIM(PROPER(Tabla_auditoría[[#This Row],[País]]))</f>
        <v>España</v>
      </c>
      <c r="Q948" t="str">
        <f>TRIM(PROPER(Tabla_auditoría[[#This Row],[Dispositivo]]))</f>
        <v>Mobile</v>
      </c>
      <c r="R948" t="str">
        <f>TRIM(PROPER(Tabla_auditoría[[#This Row],[Tipo_Campaña]]))</f>
        <v>Reconocimiento</v>
      </c>
      <c r="S948" t="str">
        <f>TRIM(PROPER(Tabla_auditoría[[#This Row],[Responsable]]))</f>
        <v>Marta López</v>
      </c>
    </row>
    <row r="949" spans="1:19" x14ac:dyDescent="0.3">
      <c r="A949" s="1">
        <v>45968</v>
      </c>
      <c r="B949" s="2" t="s">
        <v>2549</v>
      </c>
      <c r="C949" s="2" t="s">
        <v>2521</v>
      </c>
      <c r="D949" s="2" t="s">
        <v>2528</v>
      </c>
      <c r="E949" s="2" t="s">
        <v>2529</v>
      </c>
      <c r="F949" s="3">
        <v>7017</v>
      </c>
      <c r="G949" s="3">
        <v>630</v>
      </c>
      <c r="H949" s="3">
        <v>58</v>
      </c>
      <c r="I949" s="4">
        <v>1147.25</v>
      </c>
      <c r="J949" s="4">
        <v>10975.82</v>
      </c>
      <c r="K949" s="3">
        <v>39</v>
      </c>
      <c r="L949" s="2" t="s">
        <v>2539</v>
      </c>
      <c r="M949" s="2" t="s">
        <v>2546</v>
      </c>
      <c r="N949" t="str">
        <f>TRIM(PROPER(Tabla_auditoría[[#This Row],[ID_Campaña]]))</f>
        <v>Cmp-007</v>
      </c>
      <c r="O949" t="str">
        <f>TRIM(PROPER(Tabla_auditoría[[#This Row],[Canal]]))</f>
        <v>Paid Search</v>
      </c>
      <c r="P949" t="str">
        <f>TRIM(PROPER(Tabla_auditoría[[#This Row],[País]]))</f>
        <v>España</v>
      </c>
      <c r="Q949" t="str">
        <f>TRIM(PROPER(Tabla_auditoría[[#This Row],[Dispositivo]]))</f>
        <v>Mobile</v>
      </c>
      <c r="R949" t="str">
        <f>TRIM(PROPER(Tabla_auditoría[[#This Row],[Tipo_Campaña]]))</f>
        <v>Conversión</v>
      </c>
      <c r="S949" t="str">
        <f>TRIM(PROPER(Tabla_auditoría[[#This Row],[Responsable]]))</f>
        <v>Ana García</v>
      </c>
    </row>
    <row r="950" spans="1:19" x14ac:dyDescent="0.3">
      <c r="A950" s="1">
        <v>45855</v>
      </c>
      <c r="B950" s="2" t="s">
        <v>2549</v>
      </c>
      <c r="D950" s="2" t="s">
        <v>2573</v>
      </c>
      <c r="E950" s="2" t="s">
        <v>2517</v>
      </c>
      <c r="F950" s="3">
        <v>22879</v>
      </c>
      <c r="G950" s="3">
        <v>753</v>
      </c>
      <c r="H950" s="3">
        <v>31</v>
      </c>
      <c r="I950" s="4">
        <v>700.49</v>
      </c>
      <c r="J950" s="4">
        <v>2212.31</v>
      </c>
      <c r="K950" s="3">
        <v>14</v>
      </c>
      <c r="L950" s="2" t="s">
        <v>2523</v>
      </c>
      <c r="M950" s="2" t="s">
        <v>2526</v>
      </c>
      <c r="N950" t="str">
        <f>TRIM(PROPER(Tabla_auditoría[[#This Row],[ID_Campaña]]))</f>
        <v>Cmp-007</v>
      </c>
      <c r="O950" t="str">
        <f>TRIM(PROPER(Tabla_auditoría[[#This Row],[Canal]]))</f>
        <v/>
      </c>
      <c r="P950" t="str">
        <f>TRIM(PROPER(Tabla_auditoría[[#This Row],[País]]))</f>
        <v>España</v>
      </c>
      <c r="Q950" t="str">
        <f>TRIM(PROPER(Tabla_auditoría[[#This Row],[Dispositivo]]))</f>
        <v>Desktop</v>
      </c>
      <c r="R950" t="str">
        <f>TRIM(PROPER(Tabla_auditoría[[#This Row],[Tipo_Campaña]]))</f>
        <v>Retención</v>
      </c>
      <c r="S950" t="str">
        <f>TRIM(PROPER(Tabla_auditoría[[#This Row],[Responsable]]))</f>
        <v>Laura Pérez</v>
      </c>
    </row>
    <row r="951" spans="1:19" x14ac:dyDescent="0.3">
      <c r="A951" s="1">
        <v>45980</v>
      </c>
      <c r="B951" s="2" t="s">
        <v>2565</v>
      </c>
      <c r="C951" s="2" t="s">
        <v>2527</v>
      </c>
      <c r="D951" s="2" t="s">
        <v>2528</v>
      </c>
      <c r="E951" s="2" t="s">
        <v>2561</v>
      </c>
      <c r="F951" s="3">
        <v>114981</v>
      </c>
      <c r="G951" s="3">
        <v>5986</v>
      </c>
      <c r="H951" s="3">
        <v>324</v>
      </c>
      <c r="I951" s="4">
        <v>698.84</v>
      </c>
      <c r="J951" s="4">
        <v>22195.9</v>
      </c>
      <c r="K951" s="3">
        <v>212</v>
      </c>
      <c r="L951" s="2" t="s">
        <v>2539</v>
      </c>
      <c r="M951" s="2" t="s">
        <v>2524</v>
      </c>
      <c r="N951" t="str">
        <f>TRIM(PROPER(Tabla_auditoría[[#This Row],[ID_Campaña]]))</f>
        <v>Cmp-005</v>
      </c>
      <c r="O951" t="str">
        <f>TRIM(PROPER(Tabla_auditoría[[#This Row],[Canal]]))</f>
        <v>Affiliate</v>
      </c>
      <c r="P951" t="str">
        <f>TRIM(PROPER(Tabla_auditoría[[#This Row],[País]]))</f>
        <v>España</v>
      </c>
      <c r="Q951" t="str">
        <f>TRIM(PROPER(Tabla_auditoría[[#This Row],[Dispositivo]]))</f>
        <v>Mobile</v>
      </c>
      <c r="R951" t="str">
        <f>TRIM(PROPER(Tabla_auditoría[[#This Row],[Tipo_Campaña]]))</f>
        <v>Conversión</v>
      </c>
      <c r="S951" t="str">
        <f>TRIM(PROPER(Tabla_auditoría[[#This Row],[Responsable]]))</f>
        <v>Luis Martín</v>
      </c>
    </row>
    <row r="952" spans="1:19" x14ac:dyDescent="0.3">
      <c r="A952" s="1">
        <v>45682</v>
      </c>
      <c r="B952" s="2" t="s">
        <v>2552</v>
      </c>
      <c r="C952" s="2" t="s">
        <v>2541</v>
      </c>
      <c r="D952" s="2" t="s">
        <v>2528</v>
      </c>
      <c r="E952" s="2" t="s">
        <v>2517</v>
      </c>
      <c r="F952" s="3">
        <v>153369</v>
      </c>
      <c r="G952" s="3">
        <v>4205</v>
      </c>
      <c r="H952" s="3">
        <v>533</v>
      </c>
      <c r="I952" s="4">
        <v>8684.3700000000008</v>
      </c>
      <c r="J952" s="4">
        <v>68269.070000000007</v>
      </c>
      <c r="K952" s="3">
        <v>420</v>
      </c>
      <c r="L952" s="2" t="s">
        <v>2518</v>
      </c>
      <c r="M952" s="2" t="s">
        <v>2546</v>
      </c>
      <c r="N952" t="str">
        <f>TRIM(PROPER(Tabla_auditoría[[#This Row],[ID_Campaña]]))</f>
        <v>Cmp-012</v>
      </c>
      <c r="O952" t="str">
        <f>TRIM(PROPER(Tabla_auditoría[[#This Row],[Canal]]))</f>
        <v>Display</v>
      </c>
      <c r="P952" t="str">
        <f>TRIM(PROPER(Tabla_auditoría[[#This Row],[País]]))</f>
        <v>España</v>
      </c>
      <c r="Q952" t="str">
        <f>TRIM(PROPER(Tabla_auditoría[[#This Row],[Dispositivo]]))</f>
        <v>Desktop</v>
      </c>
      <c r="R952" t="str">
        <f>TRIM(PROPER(Tabla_auditoría[[#This Row],[Tipo_Campaña]]))</f>
        <v>Adquisición</v>
      </c>
      <c r="S952" t="str">
        <f>TRIM(PROPER(Tabla_auditoría[[#This Row],[Responsable]]))</f>
        <v>Ana García</v>
      </c>
    </row>
    <row r="953" spans="1:19" x14ac:dyDescent="0.3">
      <c r="A953" s="1">
        <v>45759</v>
      </c>
      <c r="B953" s="2" t="s">
        <v>2574</v>
      </c>
      <c r="C953" s="2" t="s">
        <v>2527</v>
      </c>
      <c r="D953" s="2" t="s">
        <v>2525</v>
      </c>
      <c r="E953" s="2" t="s">
        <v>2529</v>
      </c>
      <c r="F953" s="3">
        <v>42978</v>
      </c>
      <c r="G953" s="3">
        <v>1265</v>
      </c>
      <c r="H953" s="3">
        <v>122</v>
      </c>
      <c r="I953" s="4">
        <v>891.33</v>
      </c>
      <c r="J953" s="4">
        <v>11583.09</v>
      </c>
      <c r="K953" s="3">
        <v>102</v>
      </c>
      <c r="L953" s="2" t="s">
        <v>2523</v>
      </c>
      <c r="M953" s="2" t="s">
        <v>2524</v>
      </c>
      <c r="N953" t="str">
        <f>TRIM(PROPER(Tabla_auditoría[[#This Row],[ID_Campaña]]))</f>
        <v>Cmp-003</v>
      </c>
      <c r="O953" t="str">
        <f>TRIM(PROPER(Tabla_auditoría[[#This Row],[Canal]]))</f>
        <v>Affiliate</v>
      </c>
      <c r="P953" t="str">
        <f>TRIM(PROPER(Tabla_auditoría[[#This Row],[País]]))</f>
        <v>Francia</v>
      </c>
      <c r="Q953" t="str">
        <f>TRIM(PROPER(Tabla_auditoría[[#This Row],[Dispositivo]]))</f>
        <v>Mobile</v>
      </c>
      <c r="R953" t="str">
        <f>TRIM(PROPER(Tabla_auditoría[[#This Row],[Tipo_Campaña]]))</f>
        <v>Retención</v>
      </c>
      <c r="S953" t="str">
        <f>TRIM(PROPER(Tabla_auditoría[[#This Row],[Responsable]]))</f>
        <v>Luis Martín</v>
      </c>
    </row>
    <row r="954" spans="1:19" x14ac:dyDescent="0.3">
      <c r="A954" s="1">
        <v>45674</v>
      </c>
      <c r="B954" s="2" t="s">
        <v>2570</v>
      </c>
      <c r="C954" s="2" t="s">
        <v>2521</v>
      </c>
      <c r="D954" s="2" t="s">
        <v>2525</v>
      </c>
      <c r="E954" s="2" t="s">
        <v>2517</v>
      </c>
      <c r="F954" s="3">
        <v>113235</v>
      </c>
      <c r="G954" s="3">
        <v>10181</v>
      </c>
      <c r="H954" s="3">
        <v>1348</v>
      </c>
      <c r="I954" s="4">
        <v>10894.13</v>
      </c>
      <c r="J954" s="4">
        <v>109441.22</v>
      </c>
      <c r="K954" s="3">
        <v>1073</v>
      </c>
      <c r="L954" s="2" t="s">
        <v>2539</v>
      </c>
      <c r="M954" s="2" t="s">
        <v>2526</v>
      </c>
      <c r="N954" t="str">
        <f>TRIM(PROPER(Tabla_auditoría[[#This Row],[ID_Campaña]]))</f>
        <v>Cmp-016</v>
      </c>
      <c r="O954" t="str">
        <f>TRIM(PROPER(Tabla_auditoría[[#This Row],[Canal]]))</f>
        <v>Paid Search</v>
      </c>
      <c r="P954" t="str">
        <f>TRIM(PROPER(Tabla_auditoría[[#This Row],[País]]))</f>
        <v>Francia</v>
      </c>
      <c r="Q954" t="str">
        <f>TRIM(PROPER(Tabla_auditoría[[#This Row],[Dispositivo]]))</f>
        <v>Desktop</v>
      </c>
      <c r="R954" t="str">
        <f>TRIM(PROPER(Tabla_auditoría[[#This Row],[Tipo_Campaña]]))</f>
        <v>Conversión</v>
      </c>
      <c r="S954" t="str">
        <f>TRIM(PROPER(Tabla_auditoría[[#This Row],[Responsable]]))</f>
        <v>Laura Pérez</v>
      </c>
    </row>
    <row r="955" spans="1:19" x14ac:dyDescent="0.3">
      <c r="A955" s="1">
        <v>45768</v>
      </c>
      <c r="B955" s="2" t="s">
        <v>2540</v>
      </c>
      <c r="C955" s="2" t="s">
        <v>2541</v>
      </c>
      <c r="D955" s="2" t="s">
        <v>2522</v>
      </c>
      <c r="E955" s="2" t="s">
        <v>2529</v>
      </c>
      <c r="F955" s="3">
        <v>149933</v>
      </c>
      <c r="G955" s="3">
        <v>6105</v>
      </c>
      <c r="H955" s="3">
        <v>335</v>
      </c>
      <c r="I955" s="4">
        <v>7198.49</v>
      </c>
      <c r="J955" s="4">
        <v>9974.27</v>
      </c>
      <c r="K955" s="3">
        <v>249</v>
      </c>
      <c r="L955" s="2" t="s">
        <v>2518</v>
      </c>
      <c r="M955" s="2" t="s">
        <v>2546</v>
      </c>
      <c r="N955" t="str">
        <f>TRIM(PROPER(Tabla_auditoría[[#This Row],[ID_Campaña]]))</f>
        <v>Cmp-017</v>
      </c>
      <c r="O955" t="str">
        <f>TRIM(PROPER(Tabla_auditoría[[#This Row],[Canal]]))</f>
        <v>Display</v>
      </c>
      <c r="P955" t="str">
        <f>TRIM(PROPER(Tabla_auditoría[[#This Row],[País]]))</f>
        <v>Italia</v>
      </c>
      <c r="Q955" t="str">
        <f>TRIM(PROPER(Tabla_auditoría[[#This Row],[Dispositivo]]))</f>
        <v>Mobile</v>
      </c>
      <c r="R955" t="str">
        <f>TRIM(PROPER(Tabla_auditoría[[#This Row],[Tipo_Campaña]]))</f>
        <v>Adquisición</v>
      </c>
      <c r="S955" t="str">
        <f>TRIM(PROPER(Tabla_auditoría[[#This Row],[Responsable]]))</f>
        <v>Ana García</v>
      </c>
    </row>
    <row r="956" spans="1:19" x14ac:dyDescent="0.3">
      <c r="A956" s="1">
        <v>45802</v>
      </c>
      <c r="B956" s="2" t="s">
        <v>2571</v>
      </c>
      <c r="C956" s="2" t="s">
        <v>2527</v>
      </c>
      <c r="D956" s="2" t="s">
        <v>2516</v>
      </c>
      <c r="E956" s="2" t="s">
        <v>2529</v>
      </c>
      <c r="F956" s="3">
        <v>141585</v>
      </c>
      <c r="G956" s="3">
        <v>8738</v>
      </c>
      <c r="H956" s="3">
        <v>301</v>
      </c>
      <c r="I956" s="4">
        <v>2263.98</v>
      </c>
      <c r="J956" s="4">
        <v>28737.24</v>
      </c>
      <c r="K956" s="3">
        <v>190</v>
      </c>
      <c r="L956" s="2" t="s">
        <v>2536</v>
      </c>
      <c r="M956" s="2" t="s">
        <v>2526</v>
      </c>
      <c r="N956" t="str">
        <f>TRIM(PROPER(Tabla_auditoría[[#This Row],[ID_Campaña]]))</f>
        <v>Cmp-029</v>
      </c>
      <c r="O956" t="str">
        <f>TRIM(PROPER(Tabla_auditoría[[#This Row],[Canal]]))</f>
        <v>Affiliate</v>
      </c>
      <c r="P956" t="str">
        <f>TRIM(PROPER(Tabla_auditoría[[#This Row],[País]]))</f>
        <v>México</v>
      </c>
      <c r="Q956" t="str">
        <f>TRIM(PROPER(Tabla_auditoría[[#This Row],[Dispositivo]]))</f>
        <v>Mobile</v>
      </c>
      <c r="R956" t="str">
        <f>TRIM(PROPER(Tabla_auditoría[[#This Row],[Tipo_Campaña]]))</f>
        <v>Reconocimiento</v>
      </c>
      <c r="S956" t="str">
        <f>TRIM(PROPER(Tabla_auditoría[[#This Row],[Responsable]]))</f>
        <v>Laura Pérez</v>
      </c>
    </row>
    <row r="957" spans="1:19" x14ac:dyDescent="0.3">
      <c r="A957" s="1">
        <v>45660</v>
      </c>
      <c r="B957" s="2" t="s">
        <v>2568</v>
      </c>
      <c r="C957" s="2" t="s">
        <v>2541</v>
      </c>
      <c r="D957" s="2" t="s">
        <v>2528</v>
      </c>
      <c r="E957" s="2" t="s">
        <v>2534</v>
      </c>
      <c r="F957" s="3">
        <v>125414</v>
      </c>
      <c r="G957" s="3">
        <v>5316</v>
      </c>
      <c r="H957" s="3">
        <v>367</v>
      </c>
      <c r="I957" s="4">
        <v>9936.66</v>
      </c>
      <c r="J957" s="4">
        <v>59884.19</v>
      </c>
      <c r="K957" s="3">
        <v>227</v>
      </c>
      <c r="L957" s="2" t="s">
        <v>2523</v>
      </c>
      <c r="M957" s="2" t="s">
        <v>2546</v>
      </c>
      <c r="N957" t="str">
        <f>TRIM(PROPER(Tabla_auditoría[[#This Row],[ID_Campaña]]))</f>
        <v>Cmp-020</v>
      </c>
      <c r="O957" t="str">
        <f>TRIM(PROPER(Tabla_auditoría[[#This Row],[Canal]]))</f>
        <v>Display</v>
      </c>
      <c r="P957" t="str">
        <f>TRIM(PROPER(Tabla_auditoría[[#This Row],[País]]))</f>
        <v>España</v>
      </c>
      <c r="Q957" t="str">
        <f>TRIM(PROPER(Tabla_auditoría[[#This Row],[Dispositivo]]))</f>
        <v>Tablet</v>
      </c>
      <c r="R957" t="str">
        <f>TRIM(PROPER(Tabla_auditoría[[#This Row],[Tipo_Campaña]]))</f>
        <v>Retención</v>
      </c>
      <c r="S957" t="str">
        <f>TRIM(PROPER(Tabla_auditoría[[#This Row],[Responsable]]))</f>
        <v>Ana García</v>
      </c>
    </row>
    <row r="958" spans="1:19" x14ac:dyDescent="0.3">
      <c r="A958" s="1">
        <v>45961</v>
      </c>
      <c r="B958" s="2" t="s">
        <v>2545</v>
      </c>
      <c r="C958" s="2" t="s">
        <v>2533</v>
      </c>
      <c r="D958" s="2" t="s">
        <v>2528</v>
      </c>
      <c r="E958" s="2" t="s">
        <v>2529</v>
      </c>
      <c r="F958" s="3">
        <v>158564</v>
      </c>
      <c r="G958" s="3">
        <v>12147</v>
      </c>
      <c r="H958" s="3">
        <v>1678</v>
      </c>
      <c r="I958" s="4">
        <v>24917.15</v>
      </c>
      <c r="J958" s="4">
        <v>96038.14</v>
      </c>
      <c r="K958" s="3">
        <v>1344</v>
      </c>
      <c r="L958" s="2" t="s">
        <v>2523</v>
      </c>
      <c r="M958" s="2" t="s">
        <v>2524</v>
      </c>
      <c r="N958" t="str">
        <f>TRIM(PROPER(Tabla_auditoría[[#This Row],[ID_Campaña]]))</f>
        <v>Cmp-011</v>
      </c>
      <c r="O958" t="str">
        <f>TRIM(PROPER(Tabla_auditoría[[#This Row],[Canal]]))</f>
        <v>Paid Social</v>
      </c>
      <c r="P958" t="str">
        <f>TRIM(PROPER(Tabla_auditoría[[#This Row],[País]]))</f>
        <v>España</v>
      </c>
      <c r="Q958" t="str">
        <f>TRIM(PROPER(Tabla_auditoría[[#This Row],[Dispositivo]]))</f>
        <v>Mobile</v>
      </c>
      <c r="R958" t="str">
        <f>TRIM(PROPER(Tabla_auditoría[[#This Row],[Tipo_Campaña]]))</f>
        <v>Retención</v>
      </c>
      <c r="S958" t="str">
        <f>TRIM(PROPER(Tabla_auditoría[[#This Row],[Responsable]]))</f>
        <v>Luis Martín</v>
      </c>
    </row>
    <row r="959" spans="1:19" x14ac:dyDescent="0.3">
      <c r="A959" s="1">
        <v>45797</v>
      </c>
      <c r="B959" s="2" t="s">
        <v>2550</v>
      </c>
      <c r="C959" s="2" t="s">
        <v>2515</v>
      </c>
      <c r="D959" s="2" t="s">
        <v>2531</v>
      </c>
      <c r="E959" s="2" t="s">
        <v>2529</v>
      </c>
      <c r="F959" s="3">
        <v>25667</v>
      </c>
      <c r="G959" s="3">
        <v>26332</v>
      </c>
      <c r="H959" s="3">
        <v>79</v>
      </c>
      <c r="I959" s="4">
        <v>1625.98</v>
      </c>
      <c r="J959" s="4">
        <v>15788.62</v>
      </c>
      <c r="K959" s="3">
        <v>61</v>
      </c>
      <c r="L959" s="2" t="s">
        <v>2523</v>
      </c>
      <c r="M959" s="2" t="s">
        <v>2537</v>
      </c>
      <c r="N959" t="str">
        <f>TRIM(PROPER(Tabla_auditoría[[#This Row],[ID_Campaña]]))</f>
        <v>Cmp-008</v>
      </c>
      <c r="O959" t="str">
        <f>TRIM(PROPER(Tabla_auditoría[[#This Row],[Canal]]))</f>
        <v>Email</v>
      </c>
      <c r="P959" t="str">
        <f>TRIM(PROPER(Tabla_auditoría[[#This Row],[País]]))</f>
        <v>Portugal</v>
      </c>
      <c r="Q959" t="str">
        <f>TRIM(PROPER(Tabla_auditoría[[#This Row],[Dispositivo]]))</f>
        <v>Mobile</v>
      </c>
      <c r="R959" t="str">
        <f>TRIM(PROPER(Tabla_auditoría[[#This Row],[Tipo_Campaña]]))</f>
        <v>Retención</v>
      </c>
      <c r="S959" t="str">
        <f>TRIM(PROPER(Tabla_auditoría[[#This Row],[Responsable]]))</f>
        <v>Marta López</v>
      </c>
    </row>
    <row r="960" spans="1:19" x14ac:dyDescent="0.3">
      <c r="A960" s="1">
        <v>45685</v>
      </c>
      <c r="B960" s="2" t="s">
        <v>2571</v>
      </c>
      <c r="C960" s="2" t="s">
        <v>2527</v>
      </c>
      <c r="D960" s="2" t="s">
        <v>2528</v>
      </c>
      <c r="E960" s="2" t="s">
        <v>2529</v>
      </c>
      <c r="F960" s="3">
        <v>67722</v>
      </c>
      <c r="G960" s="3">
        <v>3921</v>
      </c>
      <c r="H960" s="3">
        <v>38</v>
      </c>
      <c r="I960" s="4">
        <v>7115.12</v>
      </c>
      <c r="J960" s="4">
        <v>4910.17</v>
      </c>
      <c r="K960" s="3">
        <v>30</v>
      </c>
      <c r="L960" s="2" t="s">
        <v>2536</v>
      </c>
      <c r="M960" s="2" t="s">
        <v>2537</v>
      </c>
      <c r="N960" t="str">
        <f>TRIM(PROPER(Tabla_auditoría[[#This Row],[ID_Campaña]]))</f>
        <v>Cmp-029</v>
      </c>
      <c r="O960" t="str">
        <f>TRIM(PROPER(Tabla_auditoría[[#This Row],[Canal]]))</f>
        <v>Affiliate</v>
      </c>
      <c r="P960" t="str">
        <f>TRIM(PROPER(Tabla_auditoría[[#This Row],[País]]))</f>
        <v>España</v>
      </c>
      <c r="Q960" t="str">
        <f>TRIM(PROPER(Tabla_auditoría[[#This Row],[Dispositivo]]))</f>
        <v>Mobile</v>
      </c>
      <c r="R960" t="str">
        <f>TRIM(PROPER(Tabla_auditoría[[#This Row],[Tipo_Campaña]]))</f>
        <v>Reconocimiento</v>
      </c>
      <c r="S960" t="str">
        <f>TRIM(PROPER(Tabla_auditoría[[#This Row],[Responsable]]))</f>
        <v>Marta López</v>
      </c>
    </row>
    <row r="961" spans="1:19" x14ac:dyDescent="0.3">
      <c r="A961" s="1">
        <v>45777</v>
      </c>
      <c r="B961" s="2" t="s">
        <v>2570</v>
      </c>
      <c r="C961" s="2" t="s">
        <v>2515</v>
      </c>
      <c r="D961" s="2" t="s">
        <v>2516</v>
      </c>
      <c r="E961" s="2" t="s">
        <v>2529</v>
      </c>
      <c r="F961" s="3">
        <v>173242</v>
      </c>
      <c r="G961" s="3">
        <v>9662</v>
      </c>
      <c r="H961" s="3">
        <v>509</v>
      </c>
      <c r="I961" s="4">
        <v>10139.700000000001</v>
      </c>
      <c r="J961" s="4">
        <v>111269.03</v>
      </c>
      <c r="K961" s="3">
        <v>354</v>
      </c>
      <c r="L961" s="2" t="s">
        <v>2523</v>
      </c>
      <c r="M961" s="2" t="s">
        <v>2537</v>
      </c>
      <c r="N961" t="str">
        <f>TRIM(PROPER(Tabla_auditoría[[#This Row],[ID_Campaña]]))</f>
        <v>Cmp-016</v>
      </c>
      <c r="O961" t="str">
        <f>TRIM(PROPER(Tabla_auditoría[[#This Row],[Canal]]))</f>
        <v>Email</v>
      </c>
      <c r="P961" t="str">
        <f>TRIM(PROPER(Tabla_auditoría[[#This Row],[País]]))</f>
        <v>México</v>
      </c>
      <c r="Q961" t="str">
        <f>TRIM(PROPER(Tabla_auditoría[[#This Row],[Dispositivo]]))</f>
        <v>Mobile</v>
      </c>
      <c r="R961" t="str">
        <f>TRIM(PROPER(Tabla_auditoría[[#This Row],[Tipo_Campaña]]))</f>
        <v>Retención</v>
      </c>
      <c r="S961" t="str">
        <f>TRIM(PROPER(Tabla_auditoría[[#This Row],[Responsable]]))</f>
        <v>Marta López</v>
      </c>
    </row>
    <row r="962" spans="1:19" x14ac:dyDescent="0.3">
      <c r="A962" s="1">
        <v>45936</v>
      </c>
      <c r="B962" s="2" t="s">
        <v>2550</v>
      </c>
      <c r="C962" s="2" t="s">
        <v>2533</v>
      </c>
      <c r="D962" s="2" t="s">
        <v>2522</v>
      </c>
      <c r="E962" s="2" t="s">
        <v>2529</v>
      </c>
      <c r="F962" s="3">
        <v>175185</v>
      </c>
      <c r="G962" s="3">
        <v>10397</v>
      </c>
      <c r="H962" s="3">
        <v>184</v>
      </c>
      <c r="I962" s="4">
        <v>13503.21</v>
      </c>
      <c r="J962" s="4">
        <v>24319.54</v>
      </c>
      <c r="K962" s="3">
        <v>93</v>
      </c>
      <c r="L962" s="2" t="s">
        <v>2518</v>
      </c>
      <c r="M962" s="2" t="s">
        <v>2524</v>
      </c>
      <c r="N962" t="str">
        <f>TRIM(PROPER(Tabla_auditoría[[#This Row],[ID_Campaña]]))</f>
        <v>Cmp-008</v>
      </c>
      <c r="O962" t="str">
        <f>TRIM(PROPER(Tabla_auditoría[[#This Row],[Canal]]))</f>
        <v>Paid Social</v>
      </c>
      <c r="P962" t="str">
        <f>TRIM(PROPER(Tabla_auditoría[[#This Row],[País]]))</f>
        <v>Italia</v>
      </c>
      <c r="Q962" t="str">
        <f>TRIM(PROPER(Tabla_auditoría[[#This Row],[Dispositivo]]))</f>
        <v>Mobile</v>
      </c>
      <c r="R962" t="str">
        <f>TRIM(PROPER(Tabla_auditoría[[#This Row],[Tipo_Campaña]]))</f>
        <v>Adquisición</v>
      </c>
      <c r="S962" t="str">
        <f>TRIM(PROPER(Tabla_auditoría[[#This Row],[Responsable]]))</f>
        <v>Luis Martín</v>
      </c>
    </row>
    <row r="963" spans="1:19" x14ac:dyDescent="0.3">
      <c r="A963" s="1">
        <v>45777</v>
      </c>
      <c r="B963" s="2" t="s">
        <v>2520</v>
      </c>
      <c r="C963" s="2" t="s">
        <v>2521</v>
      </c>
      <c r="D963" s="2" t="s">
        <v>2528</v>
      </c>
      <c r="E963" s="2" t="s">
        <v>2529</v>
      </c>
      <c r="F963" s="3">
        <v>66646</v>
      </c>
      <c r="G963" s="3">
        <v>5081</v>
      </c>
      <c r="H963" s="3">
        <v>658</v>
      </c>
      <c r="I963" s="4">
        <v>2266.14</v>
      </c>
      <c r="J963" s="4">
        <v>143817.25</v>
      </c>
      <c r="K963" s="3">
        <v>348</v>
      </c>
      <c r="L963" s="2" t="s">
        <v>2518</v>
      </c>
      <c r="M963" s="2" t="s">
        <v>2524</v>
      </c>
      <c r="N963" t="str">
        <f>TRIM(PROPER(Tabla_auditoría[[#This Row],[ID_Campaña]]))</f>
        <v>Cmp-009</v>
      </c>
      <c r="O963" t="str">
        <f>TRIM(PROPER(Tabla_auditoría[[#This Row],[Canal]]))</f>
        <v>Paid Search</v>
      </c>
      <c r="P963" t="str">
        <f>TRIM(PROPER(Tabla_auditoría[[#This Row],[País]]))</f>
        <v>España</v>
      </c>
      <c r="Q963" t="str">
        <f>TRIM(PROPER(Tabla_auditoría[[#This Row],[Dispositivo]]))</f>
        <v>Mobile</v>
      </c>
      <c r="R963" t="str">
        <f>TRIM(PROPER(Tabla_auditoría[[#This Row],[Tipo_Campaña]]))</f>
        <v>Adquisición</v>
      </c>
      <c r="S963" t="str">
        <f>TRIM(PROPER(Tabla_auditoría[[#This Row],[Responsable]]))</f>
        <v>Luis Martín</v>
      </c>
    </row>
    <row r="964" spans="1:19" x14ac:dyDescent="0.3">
      <c r="A964" s="1">
        <v>45723</v>
      </c>
      <c r="B964" s="2" t="s">
        <v>2550</v>
      </c>
      <c r="C964" s="2" t="s">
        <v>2521</v>
      </c>
      <c r="D964" s="2" t="s">
        <v>2528</v>
      </c>
      <c r="E964" s="2" t="s">
        <v>2517</v>
      </c>
      <c r="F964" s="3">
        <v>139339</v>
      </c>
      <c r="G964" s="3">
        <v>592</v>
      </c>
      <c r="H964" s="3">
        <v>78</v>
      </c>
      <c r="I964" s="4">
        <v>1077.8399999999999</v>
      </c>
      <c r="J964" s="4">
        <v>5217.87</v>
      </c>
      <c r="K964" s="3">
        <v>55</v>
      </c>
      <c r="L964" s="2" t="s">
        <v>2539</v>
      </c>
      <c r="M964" s="2" t="s">
        <v>2524</v>
      </c>
      <c r="N964" t="str">
        <f>TRIM(PROPER(Tabla_auditoría[[#This Row],[ID_Campaña]]))</f>
        <v>Cmp-008</v>
      </c>
      <c r="O964" t="str">
        <f>TRIM(PROPER(Tabla_auditoría[[#This Row],[Canal]]))</f>
        <v>Paid Search</v>
      </c>
      <c r="P964" t="str">
        <f>TRIM(PROPER(Tabla_auditoría[[#This Row],[País]]))</f>
        <v>España</v>
      </c>
      <c r="Q964" t="str">
        <f>TRIM(PROPER(Tabla_auditoría[[#This Row],[Dispositivo]]))</f>
        <v>Desktop</v>
      </c>
      <c r="R964" t="str">
        <f>TRIM(PROPER(Tabla_auditoría[[#This Row],[Tipo_Campaña]]))</f>
        <v>Conversión</v>
      </c>
      <c r="S964" t="str">
        <f>TRIM(PROPER(Tabla_auditoría[[#This Row],[Responsable]]))</f>
        <v>Luis Martín</v>
      </c>
    </row>
    <row r="965" spans="1:19" x14ac:dyDescent="0.3">
      <c r="A965" s="1">
        <v>45724</v>
      </c>
      <c r="B965" s="2" t="s">
        <v>2566</v>
      </c>
      <c r="C965" s="2" t="s">
        <v>2562</v>
      </c>
      <c r="D965" s="2" t="s">
        <v>2522</v>
      </c>
      <c r="E965" s="2" t="s">
        <v>2517</v>
      </c>
      <c r="F965" s="3">
        <v>95755</v>
      </c>
      <c r="G965" s="3">
        <v>5999</v>
      </c>
      <c r="H965" s="3">
        <v>696</v>
      </c>
      <c r="I965" s="4">
        <v>9288.7800000000007</v>
      </c>
      <c r="J965" s="4">
        <v>71878.91</v>
      </c>
      <c r="K965" s="3">
        <v>318</v>
      </c>
      <c r="L965" s="2" t="s">
        <v>2539</v>
      </c>
      <c r="M965" s="2" t="s">
        <v>2526</v>
      </c>
      <c r="N965" t="str">
        <f>TRIM(PROPER(Tabla_auditoría[[#This Row],[ID_Campaña]]))</f>
        <v>Cmp-001</v>
      </c>
      <c r="O965" t="str">
        <f>TRIM(PROPER(Tabla_auditoría[[#This Row],[Canal]]))</f>
        <v>Organic Social</v>
      </c>
      <c r="P965" t="str">
        <f>TRIM(PROPER(Tabla_auditoría[[#This Row],[País]]))</f>
        <v>Italia</v>
      </c>
      <c r="Q965" t="str">
        <f>TRIM(PROPER(Tabla_auditoría[[#This Row],[Dispositivo]]))</f>
        <v>Desktop</v>
      </c>
      <c r="R965" t="str">
        <f>TRIM(PROPER(Tabla_auditoría[[#This Row],[Tipo_Campaña]]))</f>
        <v>Conversión</v>
      </c>
      <c r="S965" t="str">
        <f>TRIM(PROPER(Tabla_auditoría[[#This Row],[Responsable]]))</f>
        <v>Laura Pérez</v>
      </c>
    </row>
    <row r="966" spans="1:19" x14ac:dyDescent="0.3">
      <c r="A966" s="1">
        <v>45966</v>
      </c>
      <c r="B966" s="2" t="s">
        <v>2540</v>
      </c>
      <c r="C966" s="2" t="s">
        <v>2527</v>
      </c>
      <c r="D966" s="2" t="s">
        <v>2516</v>
      </c>
      <c r="E966" s="2" t="s">
        <v>2529</v>
      </c>
      <c r="F966" s="3">
        <v>165468</v>
      </c>
      <c r="G966" s="3">
        <v>4552</v>
      </c>
      <c r="H966" s="3">
        <v>568</v>
      </c>
      <c r="I966" s="4">
        <v>6701.5</v>
      </c>
      <c r="J966" s="4">
        <v>114457.35</v>
      </c>
      <c r="K966" s="3">
        <v>362</v>
      </c>
      <c r="L966" s="2" t="s">
        <v>2518</v>
      </c>
      <c r="M966" s="2" t="s">
        <v>2526</v>
      </c>
      <c r="N966" t="str">
        <f>TRIM(PROPER(Tabla_auditoría[[#This Row],[ID_Campaña]]))</f>
        <v>Cmp-017</v>
      </c>
      <c r="O966" t="str">
        <f>TRIM(PROPER(Tabla_auditoría[[#This Row],[Canal]]))</f>
        <v>Affiliate</v>
      </c>
      <c r="P966" t="str">
        <f>TRIM(PROPER(Tabla_auditoría[[#This Row],[País]]))</f>
        <v>México</v>
      </c>
      <c r="Q966" t="str">
        <f>TRIM(PROPER(Tabla_auditoría[[#This Row],[Dispositivo]]))</f>
        <v>Mobile</v>
      </c>
      <c r="R966" t="str">
        <f>TRIM(PROPER(Tabla_auditoría[[#This Row],[Tipo_Campaña]]))</f>
        <v>Adquisición</v>
      </c>
      <c r="S966" t="str">
        <f>TRIM(PROPER(Tabla_auditoría[[#This Row],[Responsable]]))</f>
        <v>Laura Pérez</v>
      </c>
    </row>
    <row r="967" spans="1:19" x14ac:dyDescent="0.3">
      <c r="A967" s="1">
        <v>45844</v>
      </c>
      <c r="B967" s="2" t="s">
        <v>2565</v>
      </c>
      <c r="C967" s="2" t="s">
        <v>2515</v>
      </c>
      <c r="D967" s="2" t="s">
        <v>2528</v>
      </c>
      <c r="E967" s="2" t="s">
        <v>2517</v>
      </c>
      <c r="F967" s="3">
        <v>150758</v>
      </c>
      <c r="G967" s="3">
        <v>4211</v>
      </c>
      <c r="H967" s="3">
        <v>4231</v>
      </c>
      <c r="I967" s="4">
        <v>5305.71</v>
      </c>
      <c r="J967" s="4">
        <v>50159.19</v>
      </c>
      <c r="K967" s="3">
        <v>274</v>
      </c>
      <c r="L967" s="2" t="s">
        <v>2536</v>
      </c>
      <c r="M967" s="2" t="s">
        <v>2537</v>
      </c>
      <c r="N967" t="str">
        <f>TRIM(PROPER(Tabla_auditoría[[#This Row],[ID_Campaña]]))</f>
        <v>Cmp-005</v>
      </c>
      <c r="O967" t="str">
        <f>TRIM(PROPER(Tabla_auditoría[[#This Row],[Canal]]))</f>
        <v>Email</v>
      </c>
      <c r="P967" t="str">
        <f>TRIM(PROPER(Tabla_auditoría[[#This Row],[País]]))</f>
        <v>España</v>
      </c>
      <c r="Q967" t="str">
        <f>TRIM(PROPER(Tabla_auditoría[[#This Row],[Dispositivo]]))</f>
        <v>Desktop</v>
      </c>
      <c r="R967" t="str">
        <f>TRIM(PROPER(Tabla_auditoría[[#This Row],[Tipo_Campaña]]))</f>
        <v>Reconocimiento</v>
      </c>
      <c r="S967" t="str">
        <f>TRIM(PROPER(Tabla_auditoría[[#This Row],[Responsable]]))</f>
        <v>Marta López</v>
      </c>
    </row>
    <row r="968" spans="1:19" x14ac:dyDescent="0.3">
      <c r="A968" s="1">
        <v>45744</v>
      </c>
      <c r="B968" s="2" t="s">
        <v>2555</v>
      </c>
      <c r="C968" s="2" t="s">
        <v>2543</v>
      </c>
      <c r="D968" s="2" t="s">
        <v>2522</v>
      </c>
      <c r="E968" s="2" t="s">
        <v>2529</v>
      </c>
      <c r="F968" s="3">
        <v>3951</v>
      </c>
      <c r="G968" s="3">
        <v>260</v>
      </c>
      <c r="H968" s="3">
        <v>24</v>
      </c>
      <c r="I968" s="4">
        <v>151.44999999999999</v>
      </c>
      <c r="J968" s="4">
        <v>4153.43</v>
      </c>
      <c r="K968" s="3">
        <v>18</v>
      </c>
      <c r="L968" s="2" t="s">
        <v>2523</v>
      </c>
      <c r="M968" s="2" t="s">
        <v>2526</v>
      </c>
      <c r="N968" t="str">
        <f>TRIM(PROPER(Tabla_auditoría[[#This Row],[ID_Campaña]]))</f>
        <v>Cmp-010</v>
      </c>
      <c r="O968" t="str">
        <f>TRIM(PROPER(Tabla_auditoría[[#This Row],[Canal]]))</f>
        <v>Organic Social</v>
      </c>
      <c r="P968" t="str">
        <f>TRIM(PROPER(Tabla_auditoría[[#This Row],[País]]))</f>
        <v>Italia</v>
      </c>
      <c r="Q968" t="str">
        <f>TRIM(PROPER(Tabla_auditoría[[#This Row],[Dispositivo]]))</f>
        <v>Mobile</v>
      </c>
      <c r="R968" t="str">
        <f>TRIM(PROPER(Tabla_auditoría[[#This Row],[Tipo_Campaña]]))</f>
        <v>Retención</v>
      </c>
      <c r="S968" t="str">
        <f>TRIM(PROPER(Tabla_auditoría[[#This Row],[Responsable]]))</f>
        <v>Laura Pérez</v>
      </c>
    </row>
    <row r="969" spans="1:19" x14ac:dyDescent="0.3">
      <c r="A969" s="1">
        <v>45861</v>
      </c>
      <c r="B969" s="2" t="s">
        <v>2563</v>
      </c>
      <c r="C969" s="2" t="s">
        <v>2541</v>
      </c>
      <c r="D969" s="2" t="s">
        <v>2528</v>
      </c>
      <c r="E969" s="2" t="s">
        <v>2517</v>
      </c>
      <c r="F969" s="3">
        <v>107742</v>
      </c>
      <c r="G969" s="3">
        <v>6360</v>
      </c>
      <c r="H969" s="3">
        <v>705</v>
      </c>
      <c r="I969" s="4">
        <v>11310.42</v>
      </c>
      <c r="J969" s="4">
        <v>93089.67</v>
      </c>
      <c r="K969" s="3">
        <v>620</v>
      </c>
      <c r="L969" s="2" t="s">
        <v>2539</v>
      </c>
      <c r="M969" s="2" t="s">
        <v>2546</v>
      </c>
      <c r="N969" t="str">
        <f>TRIM(PROPER(Tabla_auditoría[[#This Row],[ID_Campaña]]))</f>
        <v>Cmp-023</v>
      </c>
      <c r="O969" t="str">
        <f>TRIM(PROPER(Tabla_auditoría[[#This Row],[Canal]]))</f>
        <v>Display</v>
      </c>
      <c r="P969" t="str">
        <f>TRIM(PROPER(Tabla_auditoría[[#This Row],[País]]))</f>
        <v>España</v>
      </c>
      <c r="Q969" t="str">
        <f>TRIM(PROPER(Tabla_auditoría[[#This Row],[Dispositivo]]))</f>
        <v>Desktop</v>
      </c>
      <c r="R969" t="str">
        <f>TRIM(PROPER(Tabla_auditoría[[#This Row],[Tipo_Campaña]]))</f>
        <v>Conversión</v>
      </c>
      <c r="S969" t="str">
        <f>TRIM(PROPER(Tabla_auditoría[[#This Row],[Responsable]]))</f>
        <v>Ana García</v>
      </c>
    </row>
    <row r="970" spans="1:19" x14ac:dyDescent="0.3">
      <c r="A970" s="1">
        <v>46015</v>
      </c>
      <c r="B970" s="2" t="s">
        <v>2568</v>
      </c>
      <c r="C970" s="2" t="s">
        <v>2541</v>
      </c>
      <c r="D970" s="2" t="s">
        <v>2528</v>
      </c>
      <c r="E970" s="2" t="s">
        <v>2529</v>
      </c>
      <c r="F970" s="3">
        <v>132835</v>
      </c>
      <c r="G970" s="3">
        <v>1233</v>
      </c>
      <c r="H970" s="3">
        <v>82</v>
      </c>
      <c r="I970" s="4">
        <v>245.2</v>
      </c>
      <c r="J970" s="4">
        <v>16361.65</v>
      </c>
      <c r="K970" s="3">
        <v>43</v>
      </c>
      <c r="L970" s="2" t="s">
        <v>2539</v>
      </c>
      <c r="M970" s="2" t="s">
        <v>2519</v>
      </c>
      <c r="N970" t="str">
        <f>TRIM(PROPER(Tabla_auditoría[[#This Row],[ID_Campaña]]))</f>
        <v>Cmp-020</v>
      </c>
      <c r="O970" t="str">
        <f>TRIM(PROPER(Tabla_auditoría[[#This Row],[Canal]]))</f>
        <v>Display</v>
      </c>
      <c r="P970" t="str">
        <f>TRIM(PROPER(Tabla_auditoría[[#This Row],[País]]))</f>
        <v>España</v>
      </c>
      <c r="Q970" t="str">
        <f>TRIM(PROPER(Tabla_auditoría[[#This Row],[Dispositivo]]))</f>
        <v>Mobile</v>
      </c>
      <c r="R970" t="str">
        <f>TRIM(PROPER(Tabla_auditoría[[#This Row],[Tipo_Campaña]]))</f>
        <v>Conversión</v>
      </c>
      <c r="S970" t="str">
        <f>TRIM(PROPER(Tabla_auditoría[[#This Row],[Responsable]]))</f>
        <v>Carlos Ruiz</v>
      </c>
    </row>
    <row r="971" spans="1:19" x14ac:dyDescent="0.3">
      <c r="A971" s="1">
        <v>45820</v>
      </c>
      <c r="B971" s="2" t="s">
        <v>2563</v>
      </c>
      <c r="C971" s="2" t="s">
        <v>2515</v>
      </c>
      <c r="D971" s="2" t="s">
        <v>2516</v>
      </c>
      <c r="E971" s="2" t="s">
        <v>2517</v>
      </c>
      <c r="F971" s="3">
        <v>150871</v>
      </c>
      <c r="G971" s="3">
        <v>7101</v>
      </c>
      <c r="H971" s="3">
        <v>791</v>
      </c>
      <c r="I971" s="4">
        <v>2403.79</v>
      </c>
      <c r="J971" s="4">
        <v>104718.28</v>
      </c>
      <c r="K971" s="3">
        <v>424</v>
      </c>
      <c r="L971" s="2" t="s">
        <v>2536</v>
      </c>
      <c r="M971" s="2" t="s">
        <v>2519</v>
      </c>
      <c r="N971" t="str">
        <f>TRIM(PROPER(Tabla_auditoría[[#This Row],[ID_Campaña]]))</f>
        <v>Cmp-023</v>
      </c>
      <c r="O971" t="str">
        <f>TRIM(PROPER(Tabla_auditoría[[#This Row],[Canal]]))</f>
        <v>Email</v>
      </c>
      <c r="P971" t="str">
        <f>TRIM(PROPER(Tabla_auditoría[[#This Row],[País]]))</f>
        <v>México</v>
      </c>
      <c r="Q971" t="str">
        <f>TRIM(PROPER(Tabla_auditoría[[#This Row],[Dispositivo]]))</f>
        <v>Desktop</v>
      </c>
      <c r="R971" t="str">
        <f>TRIM(PROPER(Tabla_auditoría[[#This Row],[Tipo_Campaña]]))</f>
        <v>Reconocimiento</v>
      </c>
      <c r="S971" t="str">
        <f>TRIM(PROPER(Tabla_auditoría[[#This Row],[Responsable]]))</f>
        <v>Carlos Ruiz</v>
      </c>
    </row>
    <row r="972" spans="1:19" x14ac:dyDescent="0.3">
      <c r="A972" s="1">
        <v>46001</v>
      </c>
      <c r="B972" s="2" t="s">
        <v>2563</v>
      </c>
      <c r="C972" s="2" t="s">
        <v>2521</v>
      </c>
      <c r="D972" s="2" t="s">
        <v>2528</v>
      </c>
      <c r="E972" s="2" t="s">
        <v>2517</v>
      </c>
      <c r="F972" s="3">
        <v>2564</v>
      </c>
      <c r="G972" s="3">
        <v>66</v>
      </c>
      <c r="H972" s="3">
        <v>4</v>
      </c>
      <c r="I972" s="4">
        <v>88.3</v>
      </c>
      <c r="J972" s="4">
        <v>193.69</v>
      </c>
      <c r="K972" s="3">
        <v>2</v>
      </c>
      <c r="L972" s="2" t="s">
        <v>2536</v>
      </c>
      <c r="M972" s="2" t="s">
        <v>2526</v>
      </c>
      <c r="N972" t="str">
        <f>TRIM(PROPER(Tabla_auditoría[[#This Row],[ID_Campaña]]))</f>
        <v>Cmp-023</v>
      </c>
      <c r="O972" t="str">
        <f>TRIM(PROPER(Tabla_auditoría[[#This Row],[Canal]]))</f>
        <v>Paid Search</v>
      </c>
      <c r="P972" t="str">
        <f>TRIM(PROPER(Tabla_auditoría[[#This Row],[País]]))</f>
        <v>España</v>
      </c>
      <c r="Q972" t="str">
        <f>TRIM(PROPER(Tabla_auditoría[[#This Row],[Dispositivo]]))</f>
        <v>Desktop</v>
      </c>
      <c r="R972" t="str">
        <f>TRIM(PROPER(Tabla_auditoría[[#This Row],[Tipo_Campaña]]))</f>
        <v>Reconocimiento</v>
      </c>
      <c r="S972" t="str">
        <f>TRIM(PROPER(Tabla_auditoría[[#This Row],[Responsable]]))</f>
        <v>Laura Pérez</v>
      </c>
    </row>
    <row r="973" spans="1:19" x14ac:dyDescent="0.3">
      <c r="A973" s="1">
        <v>45796</v>
      </c>
      <c r="B973" s="2" t="s">
        <v>2556</v>
      </c>
      <c r="C973" s="2" t="s">
        <v>2521</v>
      </c>
      <c r="D973" s="2" t="s">
        <v>2528</v>
      </c>
      <c r="E973" s="2" t="s">
        <v>2529</v>
      </c>
      <c r="F973" s="3">
        <v>79569</v>
      </c>
      <c r="G973" s="3">
        <v>1264</v>
      </c>
      <c r="H973" s="3">
        <v>10</v>
      </c>
      <c r="I973" s="4">
        <v>1490.3</v>
      </c>
      <c r="J973" s="4">
        <v>1901.6</v>
      </c>
      <c r="K973" s="3">
        <v>5</v>
      </c>
      <c r="L973" s="2" t="s">
        <v>2539</v>
      </c>
      <c r="M973" s="2" t="s">
        <v>2537</v>
      </c>
      <c r="N973" t="str">
        <f>TRIM(PROPER(Tabla_auditoría[[#This Row],[ID_Campaña]]))</f>
        <v>Cmp-014</v>
      </c>
      <c r="O973" t="str">
        <f>TRIM(PROPER(Tabla_auditoría[[#This Row],[Canal]]))</f>
        <v>Paid Search</v>
      </c>
      <c r="P973" t="str">
        <f>TRIM(PROPER(Tabla_auditoría[[#This Row],[País]]))</f>
        <v>España</v>
      </c>
      <c r="Q973" t="str">
        <f>TRIM(PROPER(Tabla_auditoría[[#This Row],[Dispositivo]]))</f>
        <v>Mobile</v>
      </c>
      <c r="R973" t="str">
        <f>TRIM(PROPER(Tabla_auditoría[[#This Row],[Tipo_Campaña]]))</f>
        <v>Conversión</v>
      </c>
      <c r="S973" t="str">
        <f>TRIM(PROPER(Tabla_auditoría[[#This Row],[Responsable]]))</f>
        <v>Marta López</v>
      </c>
    </row>
    <row r="974" spans="1:19" x14ac:dyDescent="0.3">
      <c r="A974" s="1">
        <v>45840</v>
      </c>
      <c r="B974" s="2" t="s">
        <v>2540</v>
      </c>
      <c r="C974" s="2" t="s">
        <v>2541</v>
      </c>
      <c r="D974" s="2" t="s">
        <v>2516</v>
      </c>
      <c r="E974" s="2" t="s">
        <v>2517</v>
      </c>
      <c r="F974" s="3">
        <v>104766</v>
      </c>
      <c r="G974" s="3">
        <v>633</v>
      </c>
      <c r="H974" s="3">
        <v>18</v>
      </c>
      <c r="I974" s="4">
        <v>1035.1099999999999</v>
      </c>
      <c r="J974" s="4">
        <v>2385.5</v>
      </c>
      <c r="K974" s="3">
        <v>15</v>
      </c>
      <c r="L974" s="2" t="s">
        <v>2539</v>
      </c>
      <c r="M974" s="2" t="s">
        <v>2537</v>
      </c>
      <c r="N974" t="str">
        <f>TRIM(PROPER(Tabla_auditoría[[#This Row],[ID_Campaña]]))</f>
        <v>Cmp-017</v>
      </c>
      <c r="O974" t="str">
        <f>TRIM(PROPER(Tabla_auditoría[[#This Row],[Canal]]))</f>
        <v>Display</v>
      </c>
      <c r="P974" t="str">
        <f>TRIM(PROPER(Tabla_auditoría[[#This Row],[País]]))</f>
        <v>México</v>
      </c>
      <c r="Q974" t="str">
        <f>TRIM(PROPER(Tabla_auditoría[[#This Row],[Dispositivo]]))</f>
        <v>Desktop</v>
      </c>
      <c r="R974" t="str">
        <f>TRIM(PROPER(Tabla_auditoría[[#This Row],[Tipo_Campaña]]))</f>
        <v>Conversión</v>
      </c>
      <c r="S974" t="str">
        <f>TRIM(PROPER(Tabla_auditoría[[#This Row],[Responsable]]))</f>
        <v>Marta López</v>
      </c>
    </row>
    <row r="975" spans="1:19" x14ac:dyDescent="0.3">
      <c r="A975" s="1">
        <v>45744</v>
      </c>
      <c r="B975" s="2" t="s">
        <v>2549</v>
      </c>
      <c r="C975" s="2" t="s">
        <v>2543</v>
      </c>
      <c r="D975" s="2" t="s">
        <v>2525</v>
      </c>
      <c r="E975" s="2" t="s">
        <v>2517</v>
      </c>
      <c r="F975" s="3">
        <v>66823</v>
      </c>
      <c r="G975" s="3">
        <v>582</v>
      </c>
      <c r="H975" s="3">
        <v>68</v>
      </c>
      <c r="I975" s="4">
        <v>1021.65</v>
      </c>
      <c r="J975" s="4">
        <v>1059.55</v>
      </c>
      <c r="K975" s="3">
        <v>48</v>
      </c>
      <c r="L975" s="2" t="s">
        <v>2523</v>
      </c>
      <c r="M975" s="2" t="s">
        <v>2526</v>
      </c>
      <c r="N975" t="str">
        <f>TRIM(PROPER(Tabla_auditoría[[#This Row],[ID_Campaña]]))</f>
        <v>Cmp-007</v>
      </c>
      <c r="O975" t="str">
        <f>TRIM(PROPER(Tabla_auditoría[[#This Row],[Canal]]))</f>
        <v>Organic Social</v>
      </c>
      <c r="P975" t="str">
        <f>TRIM(PROPER(Tabla_auditoría[[#This Row],[País]]))</f>
        <v>Francia</v>
      </c>
      <c r="Q975" t="str">
        <f>TRIM(PROPER(Tabla_auditoría[[#This Row],[Dispositivo]]))</f>
        <v>Desktop</v>
      </c>
      <c r="R975" t="str">
        <f>TRIM(PROPER(Tabla_auditoría[[#This Row],[Tipo_Campaña]]))</f>
        <v>Retención</v>
      </c>
      <c r="S975" t="str">
        <f>TRIM(PROPER(Tabla_auditoría[[#This Row],[Responsable]]))</f>
        <v>Laura Pérez</v>
      </c>
    </row>
    <row r="976" spans="1:19" x14ac:dyDescent="0.3">
      <c r="A976" s="1">
        <v>45856</v>
      </c>
      <c r="B976" s="2" t="s">
        <v>2574</v>
      </c>
      <c r="C976" s="2" t="s">
        <v>2527</v>
      </c>
      <c r="D976" s="2" t="s">
        <v>2531</v>
      </c>
      <c r="E976" s="2" t="s">
        <v>2517</v>
      </c>
      <c r="F976" s="3">
        <v>128897</v>
      </c>
      <c r="G976" s="3">
        <v>8402</v>
      </c>
      <c r="H976" s="3">
        <v>326</v>
      </c>
      <c r="I976" s="4">
        <v>2532.1799999999998</v>
      </c>
      <c r="J976" s="4">
        <v>33859.339999999997</v>
      </c>
      <c r="K976" s="3">
        <v>236</v>
      </c>
      <c r="L976" s="2" t="s">
        <v>2518</v>
      </c>
      <c r="M976" s="2" t="s">
        <v>2524</v>
      </c>
      <c r="N976" t="str">
        <f>TRIM(PROPER(Tabla_auditoría[[#This Row],[ID_Campaña]]))</f>
        <v>Cmp-003</v>
      </c>
      <c r="O976" t="str">
        <f>TRIM(PROPER(Tabla_auditoría[[#This Row],[Canal]]))</f>
        <v>Affiliate</v>
      </c>
      <c r="P976" t="str">
        <f>TRIM(PROPER(Tabla_auditoría[[#This Row],[País]]))</f>
        <v>Portugal</v>
      </c>
      <c r="Q976" t="str">
        <f>TRIM(PROPER(Tabla_auditoría[[#This Row],[Dispositivo]]))</f>
        <v>Desktop</v>
      </c>
      <c r="R976" t="str">
        <f>TRIM(PROPER(Tabla_auditoría[[#This Row],[Tipo_Campaña]]))</f>
        <v>Adquisición</v>
      </c>
      <c r="S976" t="str">
        <f>TRIM(PROPER(Tabla_auditoría[[#This Row],[Responsable]]))</f>
        <v>Luis Martín</v>
      </c>
    </row>
    <row r="977" spans="1:19" x14ac:dyDescent="0.3">
      <c r="A977" s="1">
        <v>45982</v>
      </c>
      <c r="B977" s="2" t="s">
        <v>2550</v>
      </c>
      <c r="C977" s="2" t="s">
        <v>2521</v>
      </c>
      <c r="D977" s="2" t="s">
        <v>2528</v>
      </c>
      <c r="E977" s="2" t="s">
        <v>2529</v>
      </c>
      <c r="F977" s="3">
        <v>15348</v>
      </c>
      <c r="G977" s="3">
        <v>330</v>
      </c>
      <c r="H977" s="3">
        <v>20</v>
      </c>
      <c r="I977" s="4">
        <v>270.88</v>
      </c>
      <c r="J977" s="4">
        <v>2997.12</v>
      </c>
      <c r="K977" s="3">
        <v>11</v>
      </c>
      <c r="L977" s="2" t="s">
        <v>2518</v>
      </c>
      <c r="M977" s="2" t="s">
        <v>2526</v>
      </c>
      <c r="N977" t="str">
        <f>TRIM(PROPER(Tabla_auditoría[[#This Row],[ID_Campaña]]))</f>
        <v>Cmp-008</v>
      </c>
      <c r="O977" t="str">
        <f>TRIM(PROPER(Tabla_auditoría[[#This Row],[Canal]]))</f>
        <v>Paid Search</v>
      </c>
      <c r="P977" t="str">
        <f>TRIM(PROPER(Tabla_auditoría[[#This Row],[País]]))</f>
        <v>España</v>
      </c>
      <c r="Q977" t="str">
        <f>TRIM(PROPER(Tabla_auditoría[[#This Row],[Dispositivo]]))</f>
        <v>Mobile</v>
      </c>
      <c r="R977" t="str">
        <f>TRIM(PROPER(Tabla_auditoría[[#This Row],[Tipo_Campaña]]))</f>
        <v>Adquisición</v>
      </c>
      <c r="S977" t="str">
        <f>TRIM(PROPER(Tabla_auditoría[[#This Row],[Responsable]]))</f>
        <v>Laura Pérez</v>
      </c>
    </row>
    <row r="978" spans="1:19" x14ac:dyDescent="0.3">
      <c r="A978" s="1">
        <v>45756</v>
      </c>
      <c r="B978" s="2" t="s">
        <v>2560</v>
      </c>
      <c r="C978" s="2" t="s">
        <v>2541</v>
      </c>
      <c r="D978" s="2" t="s">
        <v>2528</v>
      </c>
      <c r="E978" s="2" t="s">
        <v>2529</v>
      </c>
      <c r="F978" s="3">
        <v>160691</v>
      </c>
      <c r="G978" s="3">
        <v>13134</v>
      </c>
      <c r="H978" s="3">
        <v>1464</v>
      </c>
      <c r="I978" s="4">
        <v>26381.86</v>
      </c>
      <c r="J978" s="4">
        <v>272818.65999999997</v>
      </c>
      <c r="K978" s="3">
        <v>1027</v>
      </c>
      <c r="L978" s="2" t="s">
        <v>2518</v>
      </c>
      <c r="M978" s="2" t="s">
        <v>2524</v>
      </c>
      <c r="N978" t="str">
        <f>TRIM(PROPER(Tabla_auditoría[[#This Row],[ID_Campaña]]))</f>
        <v>Cmp-027</v>
      </c>
      <c r="O978" t="str">
        <f>TRIM(PROPER(Tabla_auditoría[[#This Row],[Canal]]))</f>
        <v>Display</v>
      </c>
      <c r="P978" t="str">
        <f>TRIM(PROPER(Tabla_auditoría[[#This Row],[País]]))</f>
        <v>España</v>
      </c>
      <c r="Q978" t="str">
        <f>TRIM(PROPER(Tabla_auditoría[[#This Row],[Dispositivo]]))</f>
        <v>Mobile</v>
      </c>
      <c r="R978" t="str">
        <f>TRIM(PROPER(Tabla_auditoría[[#This Row],[Tipo_Campaña]]))</f>
        <v>Adquisición</v>
      </c>
      <c r="S978" t="str">
        <f>TRIM(PROPER(Tabla_auditoría[[#This Row],[Responsable]]))</f>
        <v>Luis Martín</v>
      </c>
    </row>
    <row r="979" spans="1:19" x14ac:dyDescent="0.3">
      <c r="A979" s="1">
        <v>45892</v>
      </c>
      <c r="B979" s="2" t="s">
        <v>2520</v>
      </c>
      <c r="C979" s="2" t="s">
        <v>2533</v>
      </c>
      <c r="D979" s="2" t="s">
        <v>2525</v>
      </c>
      <c r="E979" s="2" t="s">
        <v>2529</v>
      </c>
      <c r="F979" s="3">
        <v>83680</v>
      </c>
      <c r="G979" s="3">
        <v>5220</v>
      </c>
      <c r="H979" s="3">
        <v>498</v>
      </c>
      <c r="I979" s="4">
        <v>4579.9799999999996</v>
      </c>
      <c r="J979" s="4">
        <v>107752.71</v>
      </c>
      <c r="K979" s="3">
        <v>241</v>
      </c>
      <c r="L979" s="2" t="s">
        <v>2523</v>
      </c>
      <c r="M979" s="2" t="s">
        <v>2546</v>
      </c>
      <c r="N979" t="str">
        <f>TRIM(PROPER(Tabla_auditoría[[#This Row],[ID_Campaña]]))</f>
        <v>Cmp-009</v>
      </c>
      <c r="O979" t="str">
        <f>TRIM(PROPER(Tabla_auditoría[[#This Row],[Canal]]))</f>
        <v>Paid Social</v>
      </c>
      <c r="P979" t="str">
        <f>TRIM(PROPER(Tabla_auditoría[[#This Row],[País]]))</f>
        <v>Francia</v>
      </c>
      <c r="Q979" t="str">
        <f>TRIM(PROPER(Tabla_auditoría[[#This Row],[Dispositivo]]))</f>
        <v>Mobile</v>
      </c>
      <c r="R979" t="str">
        <f>TRIM(PROPER(Tabla_auditoría[[#This Row],[Tipo_Campaña]]))</f>
        <v>Retención</v>
      </c>
      <c r="S979" t="str">
        <f>TRIM(PROPER(Tabla_auditoría[[#This Row],[Responsable]]))</f>
        <v>Ana García</v>
      </c>
    </row>
    <row r="980" spans="1:19" x14ac:dyDescent="0.3">
      <c r="A980" s="1">
        <v>45758</v>
      </c>
      <c r="B980" s="2" t="s">
        <v>2547</v>
      </c>
      <c r="C980" s="2" t="s">
        <v>2527</v>
      </c>
      <c r="D980" s="2" t="s">
        <v>2516</v>
      </c>
      <c r="E980" s="2" t="s">
        <v>2534</v>
      </c>
      <c r="F980" s="3">
        <v>178605</v>
      </c>
      <c r="G980" s="3">
        <v>12653</v>
      </c>
      <c r="H980" s="3">
        <v>783</v>
      </c>
      <c r="I980" s="4">
        <v>3726.37</v>
      </c>
      <c r="J980" s="4">
        <v>48503.65</v>
      </c>
      <c r="K980" s="3">
        <v>484</v>
      </c>
      <c r="L980" s="2" t="s">
        <v>2518</v>
      </c>
      <c r="M980" s="2" t="s">
        <v>2524</v>
      </c>
      <c r="N980" t="str">
        <f>TRIM(PROPER(Tabla_auditoría[[#This Row],[ID_Campaña]]))</f>
        <v>Cmp-018</v>
      </c>
      <c r="O980" t="str">
        <f>TRIM(PROPER(Tabla_auditoría[[#This Row],[Canal]]))</f>
        <v>Affiliate</v>
      </c>
      <c r="P980" t="str">
        <f>TRIM(PROPER(Tabla_auditoría[[#This Row],[País]]))</f>
        <v>México</v>
      </c>
      <c r="Q980" t="str">
        <f>TRIM(PROPER(Tabla_auditoría[[#This Row],[Dispositivo]]))</f>
        <v>Tablet</v>
      </c>
      <c r="R980" t="str">
        <f>TRIM(PROPER(Tabla_auditoría[[#This Row],[Tipo_Campaña]]))</f>
        <v>Adquisición</v>
      </c>
      <c r="S980" t="str">
        <f>TRIM(PROPER(Tabla_auditoría[[#This Row],[Responsable]]))</f>
        <v>Luis Martín</v>
      </c>
    </row>
    <row r="981" spans="1:19" x14ac:dyDescent="0.3">
      <c r="A981" s="1">
        <v>46016</v>
      </c>
      <c r="B981" s="2" t="s">
        <v>2520</v>
      </c>
      <c r="C981" s="2" t="s">
        <v>2527</v>
      </c>
      <c r="D981" s="2" t="s">
        <v>2531</v>
      </c>
      <c r="E981" s="2" t="s">
        <v>2517</v>
      </c>
      <c r="F981" s="3">
        <v>123430</v>
      </c>
      <c r="G981" s="3">
        <v>11014</v>
      </c>
      <c r="H981" s="3">
        <v>1442</v>
      </c>
      <c r="I981" s="4">
        <v>21349.39</v>
      </c>
      <c r="J981" s="4">
        <v>94430.74</v>
      </c>
      <c r="K981" s="3">
        <v>864</v>
      </c>
      <c r="L981" s="2" t="s">
        <v>2536</v>
      </c>
      <c r="M981" s="2" t="s">
        <v>2537</v>
      </c>
      <c r="N981" t="str">
        <f>TRIM(PROPER(Tabla_auditoría[[#This Row],[ID_Campaña]]))</f>
        <v>Cmp-009</v>
      </c>
      <c r="O981" t="str">
        <f>TRIM(PROPER(Tabla_auditoría[[#This Row],[Canal]]))</f>
        <v>Affiliate</v>
      </c>
      <c r="P981" t="str">
        <f>TRIM(PROPER(Tabla_auditoría[[#This Row],[País]]))</f>
        <v>Portugal</v>
      </c>
      <c r="Q981" t="str">
        <f>TRIM(PROPER(Tabla_auditoría[[#This Row],[Dispositivo]]))</f>
        <v>Desktop</v>
      </c>
      <c r="R981" t="str">
        <f>TRIM(PROPER(Tabla_auditoría[[#This Row],[Tipo_Campaña]]))</f>
        <v>Reconocimiento</v>
      </c>
      <c r="S981" t="str">
        <f>TRIM(PROPER(Tabla_auditoría[[#This Row],[Responsable]]))</f>
        <v>Marta López</v>
      </c>
    </row>
    <row r="982" spans="1:19" x14ac:dyDescent="0.3">
      <c r="A982" s="1">
        <v>45969</v>
      </c>
      <c r="B982" s="2" t="s">
        <v>2565</v>
      </c>
      <c r="C982" s="2" t="s">
        <v>2515</v>
      </c>
      <c r="D982" s="2" t="s">
        <v>2525</v>
      </c>
      <c r="E982" s="2" t="s">
        <v>2529</v>
      </c>
      <c r="F982" s="3">
        <v>87769</v>
      </c>
      <c r="G982" s="3">
        <v>6894</v>
      </c>
      <c r="H982" s="3">
        <v>765</v>
      </c>
      <c r="I982" s="4">
        <v>2989.98</v>
      </c>
      <c r="J982" s="4">
        <v>158117.46</v>
      </c>
      <c r="K982" s="3">
        <v>627</v>
      </c>
      <c r="L982" s="2" t="s">
        <v>2518</v>
      </c>
      <c r="M982" s="2" t="s">
        <v>2546</v>
      </c>
      <c r="N982" t="str">
        <f>TRIM(PROPER(Tabla_auditoría[[#This Row],[ID_Campaña]]))</f>
        <v>Cmp-005</v>
      </c>
      <c r="O982" t="str">
        <f>TRIM(PROPER(Tabla_auditoría[[#This Row],[Canal]]))</f>
        <v>Email</v>
      </c>
      <c r="P982" t="str">
        <f>TRIM(PROPER(Tabla_auditoría[[#This Row],[País]]))</f>
        <v>Francia</v>
      </c>
      <c r="Q982" t="str">
        <f>TRIM(PROPER(Tabla_auditoría[[#This Row],[Dispositivo]]))</f>
        <v>Mobile</v>
      </c>
      <c r="R982" t="str">
        <f>TRIM(PROPER(Tabla_auditoría[[#This Row],[Tipo_Campaña]]))</f>
        <v>Adquisición</v>
      </c>
      <c r="S982" t="str">
        <f>TRIM(PROPER(Tabla_auditoría[[#This Row],[Responsable]]))</f>
        <v>Ana García</v>
      </c>
    </row>
    <row r="983" spans="1:19" x14ac:dyDescent="0.3">
      <c r="A983" s="1">
        <v>45978</v>
      </c>
      <c r="B983" s="2" t="s">
        <v>2520</v>
      </c>
      <c r="C983" s="2" t="s">
        <v>2515</v>
      </c>
      <c r="D983" s="2" t="s">
        <v>2528</v>
      </c>
      <c r="E983" s="2" t="s">
        <v>2517</v>
      </c>
      <c r="F983" s="3">
        <v>116741</v>
      </c>
      <c r="G983" s="3">
        <v>7116</v>
      </c>
      <c r="H983" s="3">
        <v>429</v>
      </c>
      <c r="I983" s="4">
        <v>3398.98</v>
      </c>
      <c r="J983" s="4">
        <v>47069.04</v>
      </c>
      <c r="K983" s="3">
        <v>333</v>
      </c>
      <c r="L983" s="2" t="s">
        <v>2539</v>
      </c>
      <c r="M983" s="2" t="s">
        <v>2524</v>
      </c>
      <c r="N983" t="str">
        <f>TRIM(PROPER(Tabla_auditoría[[#This Row],[ID_Campaña]]))</f>
        <v>Cmp-009</v>
      </c>
      <c r="O983" t="str">
        <f>TRIM(PROPER(Tabla_auditoría[[#This Row],[Canal]]))</f>
        <v>Email</v>
      </c>
      <c r="P983" t="str">
        <f>TRIM(PROPER(Tabla_auditoría[[#This Row],[País]]))</f>
        <v>España</v>
      </c>
      <c r="Q983" t="str">
        <f>TRIM(PROPER(Tabla_auditoría[[#This Row],[Dispositivo]]))</f>
        <v>Desktop</v>
      </c>
      <c r="R983" t="str">
        <f>TRIM(PROPER(Tabla_auditoría[[#This Row],[Tipo_Campaña]]))</f>
        <v>Conversión</v>
      </c>
      <c r="S983" t="str">
        <f>TRIM(PROPER(Tabla_auditoría[[#This Row],[Responsable]]))</f>
        <v>Luis Martín</v>
      </c>
    </row>
    <row r="984" spans="1:19" x14ac:dyDescent="0.3">
      <c r="A984" s="1">
        <v>45821</v>
      </c>
      <c r="B984" s="2" t="s">
        <v>2554</v>
      </c>
      <c r="C984" s="2" t="s">
        <v>2515</v>
      </c>
      <c r="D984" s="2" t="s">
        <v>2531</v>
      </c>
      <c r="E984" s="2" t="s">
        <v>2517</v>
      </c>
      <c r="F984" s="3">
        <v>75891</v>
      </c>
      <c r="G984" s="3">
        <v>4887</v>
      </c>
      <c r="H984" s="3">
        <v>625</v>
      </c>
      <c r="I984" s="4">
        <v>4117.8599999999997</v>
      </c>
      <c r="J984" s="4">
        <v>109906.16</v>
      </c>
      <c r="K984" s="3">
        <v>477</v>
      </c>
      <c r="L984" s="2" t="s">
        <v>2523</v>
      </c>
      <c r="M984" s="2" t="s">
        <v>2526</v>
      </c>
      <c r="N984" t="str">
        <f>TRIM(PROPER(Tabla_auditoría[[#This Row],[ID_Campaña]]))</f>
        <v>Cmp-019</v>
      </c>
      <c r="O984" t="str">
        <f>TRIM(PROPER(Tabla_auditoría[[#This Row],[Canal]]))</f>
        <v>Email</v>
      </c>
      <c r="P984" t="str">
        <f>TRIM(PROPER(Tabla_auditoría[[#This Row],[País]]))</f>
        <v>Portugal</v>
      </c>
      <c r="Q984" t="str">
        <f>TRIM(PROPER(Tabla_auditoría[[#This Row],[Dispositivo]]))</f>
        <v>Desktop</v>
      </c>
      <c r="R984" t="str">
        <f>TRIM(PROPER(Tabla_auditoría[[#This Row],[Tipo_Campaña]]))</f>
        <v>Retención</v>
      </c>
      <c r="S984" t="str">
        <f>TRIM(PROPER(Tabla_auditoría[[#This Row],[Responsable]]))</f>
        <v>Laura Pérez</v>
      </c>
    </row>
    <row r="985" spans="1:19" x14ac:dyDescent="0.3">
      <c r="A985" s="1">
        <v>45841</v>
      </c>
      <c r="B985" s="2" t="s">
        <v>2568</v>
      </c>
      <c r="C985" s="2" t="s">
        <v>2543</v>
      </c>
      <c r="D985" s="2" t="s">
        <v>2573</v>
      </c>
      <c r="E985" s="2" t="s">
        <v>2529</v>
      </c>
      <c r="F985" s="3">
        <v>136270</v>
      </c>
      <c r="G985" s="3">
        <v>670</v>
      </c>
      <c r="H985" s="3">
        <v>39</v>
      </c>
      <c r="I985" s="4">
        <v>786.45</v>
      </c>
      <c r="J985" s="4">
        <v>6409.71</v>
      </c>
      <c r="K985" s="3">
        <v>30</v>
      </c>
      <c r="L985" s="2" t="s">
        <v>2539</v>
      </c>
      <c r="M985" s="2" t="s">
        <v>2519</v>
      </c>
      <c r="N985" t="str">
        <f>TRIM(PROPER(Tabla_auditoría[[#This Row],[ID_Campaña]]))</f>
        <v>Cmp-020</v>
      </c>
      <c r="O985" t="str">
        <f>TRIM(PROPER(Tabla_auditoría[[#This Row],[Canal]]))</f>
        <v>Organic Social</v>
      </c>
      <c r="P985" t="str">
        <f>TRIM(PROPER(Tabla_auditoría[[#This Row],[País]]))</f>
        <v>España</v>
      </c>
      <c r="Q985" t="str">
        <f>TRIM(PROPER(Tabla_auditoría[[#This Row],[Dispositivo]]))</f>
        <v>Mobile</v>
      </c>
      <c r="R985" t="str">
        <f>TRIM(PROPER(Tabla_auditoría[[#This Row],[Tipo_Campaña]]))</f>
        <v>Conversión</v>
      </c>
      <c r="S985" t="str">
        <f>TRIM(PROPER(Tabla_auditoría[[#This Row],[Responsable]]))</f>
        <v>Carlos Ruiz</v>
      </c>
    </row>
    <row r="986" spans="1:19" x14ac:dyDescent="0.3">
      <c r="A986" s="1">
        <v>45692</v>
      </c>
      <c r="B986" s="2" t="s">
        <v>2542</v>
      </c>
      <c r="C986" s="2" t="s">
        <v>2527</v>
      </c>
      <c r="D986" s="2" t="s">
        <v>2522</v>
      </c>
      <c r="E986" s="2" t="s">
        <v>2517</v>
      </c>
      <c r="F986" s="3">
        <v>26309</v>
      </c>
      <c r="G986" s="3">
        <v>1703</v>
      </c>
      <c r="H986" s="3">
        <v>47</v>
      </c>
      <c r="I986" s="4">
        <v>1152.47</v>
      </c>
      <c r="J986" s="4">
        <v>4195.67</v>
      </c>
      <c r="K986" s="3">
        <v>31</v>
      </c>
      <c r="L986" s="2" t="s">
        <v>2536</v>
      </c>
      <c r="M986" s="2" t="s">
        <v>2524</v>
      </c>
      <c r="N986" t="str">
        <f>TRIM(PROPER(Tabla_auditoría[[#This Row],[ID_Campaña]]))</f>
        <v>Cmp-025</v>
      </c>
      <c r="O986" t="str">
        <f>TRIM(PROPER(Tabla_auditoría[[#This Row],[Canal]]))</f>
        <v>Affiliate</v>
      </c>
      <c r="P986" t="str">
        <f>TRIM(PROPER(Tabla_auditoría[[#This Row],[País]]))</f>
        <v>Italia</v>
      </c>
      <c r="Q986" t="str">
        <f>TRIM(PROPER(Tabla_auditoría[[#This Row],[Dispositivo]]))</f>
        <v>Desktop</v>
      </c>
      <c r="R986" t="str">
        <f>TRIM(PROPER(Tabla_auditoría[[#This Row],[Tipo_Campaña]]))</f>
        <v>Reconocimiento</v>
      </c>
      <c r="S986" t="str">
        <f>TRIM(PROPER(Tabla_auditoría[[#This Row],[Responsable]]))</f>
        <v>Luis Martín</v>
      </c>
    </row>
    <row r="987" spans="1:19" x14ac:dyDescent="0.3">
      <c r="A987" s="1">
        <v>45739</v>
      </c>
      <c r="B987" s="2" t="s">
        <v>2544</v>
      </c>
      <c r="C987" s="2" t="s">
        <v>2527</v>
      </c>
      <c r="D987" s="2" t="s">
        <v>2516</v>
      </c>
      <c r="E987" s="2" t="s">
        <v>2517</v>
      </c>
      <c r="F987" s="3">
        <v>104636</v>
      </c>
      <c r="G987" s="3">
        <v>5983</v>
      </c>
      <c r="H987" s="3">
        <v>172</v>
      </c>
      <c r="I987" s="4">
        <v>7422.32</v>
      </c>
      <c r="J987" s="4">
        <v>6415.62</v>
      </c>
      <c r="K987" s="3">
        <v>122</v>
      </c>
      <c r="L987" s="2" t="s">
        <v>2518</v>
      </c>
      <c r="M987" s="2" t="s">
        <v>2526</v>
      </c>
      <c r="N987" t="str">
        <f>TRIM(PROPER(Tabla_auditoría[[#This Row],[ID_Campaña]]))</f>
        <v>Cmp-006</v>
      </c>
      <c r="O987" t="str">
        <f>TRIM(PROPER(Tabla_auditoría[[#This Row],[Canal]]))</f>
        <v>Affiliate</v>
      </c>
      <c r="P987" t="str">
        <f>TRIM(PROPER(Tabla_auditoría[[#This Row],[País]]))</f>
        <v>México</v>
      </c>
      <c r="Q987" t="str">
        <f>TRIM(PROPER(Tabla_auditoría[[#This Row],[Dispositivo]]))</f>
        <v>Desktop</v>
      </c>
      <c r="R987" t="str">
        <f>TRIM(PROPER(Tabla_auditoría[[#This Row],[Tipo_Campaña]]))</f>
        <v>Adquisición</v>
      </c>
      <c r="S987" t="str">
        <f>TRIM(PROPER(Tabla_auditoría[[#This Row],[Responsable]]))</f>
        <v>Laura Pérez</v>
      </c>
    </row>
    <row r="988" spans="1:19" x14ac:dyDescent="0.3">
      <c r="A988" s="1">
        <v>45829</v>
      </c>
      <c r="B988" s="2" t="s">
        <v>2554</v>
      </c>
      <c r="C988" s="2" t="s">
        <v>2533</v>
      </c>
      <c r="D988" s="2" t="s">
        <v>2522</v>
      </c>
      <c r="E988" s="2" t="s">
        <v>2517</v>
      </c>
      <c r="F988" s="3">
        <v>81817</v>
      </c>
      <c r="G988" s="3">
        <v>1192</v>
      </c>
      <c r="H988" s="3">
        <v>104</v>
      </c>
      <c r="I988" s="4">
        <v>2213.25</v>
      </c>
      <c r="J988" s="4">
        <v>6526.38</v>
      </c>
      <c r="K988" s="3">
        <v>66</v>
      </c>
      <c r="L988" s="2" t="s">
        <v>2539</v>
      </c>
      <c r="M988" s="2" t="s">
        <v>2524</v>
      </c>
      <c r="N988" t="str">
        <f>TRIM(PROPER(Tabla_auditoría[[#This Row],[ID_Campaña]]))</f>
        <v>Cmp-019</v>
      </c>
      <c r="O988" t="str">
        <f>TRIM(PROPER(Tabla_auditoría[[#This Row],[Canal]]))</f>
        <v>Paid Social</v>
      </c>
      <c r="P988" t="str">
        <f>TRIM(PROPER(Tabla_auditoría[[#This Row],[País]]))</f>
        <v>Italia</v>
      </c>
      <c r="Q988" t="str">
        <f>TRIM(PROPER(Tabla_auditoría[[#This Row],[Dispositivo]]))</f>
        <v>Desktop</v>
      </c>
      <c r="R988" t="str">
        <f>TRIM(PROPER(Tabla_auditoría[[#This Row],[Tipo_Campaña]]))</f>
        <v>Conversión</v>
      </c>
      <c r="S988" t="str">
        <f>TRIM(PROPER(Tabla_auditoría[[#This Row],[Responsable]]))</f>
        <v>Luis Martín</v>
      </c>
    </row>
    <row r="989" spans="1:19" x14ac:dyDescent="0.3">
      <c r="A989" s="1">
        <v>45658</v>
      </c>
      <c r="B989" s="2" t="s">
        <v>2551</v>
      </c>
      <c r="C989" s="2" t="s">
        <v>2541</v>
      </c>
      <c r="D989" s="2" t="s">
        <v>2528</v>
      </c>
      <c r="E989" s="2" t="s">
        <v>2517</v>
      </c>
      <c r="F989" s="3">
        <v>110409</v>
      </c>
      <c r="G989" s="3">
        <v>9365</v>
      </c>
      <c r="H989" s="3">
        <v>559</v>
      </c>
      <c r="I989" s="4">
        <v>18551.97</v>
      </c>
      <c r="J989" s="4">
        <v>110464.95</v>
      </c>
      <c r="K989" s="3">
        <v>254</v>
      </c>
      <c r="L989" s="2" t="s">
        <v>2523</v>
      </c>
      <c r="M989" s="2" t="s">
        <v>2537</v>
      </c>
      <c r="N989" t="str">
        <f>TRIM(PROPER(Tabla_auditoría[[#This Row],[ID_Campaña]]))</f>
        <v>Cmp-028</v>
      </c>
      <c r="O989" t="str">
        <f>TRIM(PROPER(Tabla_auditoría[[#This Row],[Canal]]))</f>
        <v>Display</v>
      </c>
      <c r="P989" t="str">
        <f>TRIM(PROPER(Tabla_auditoría[[#This Row],[País]]))</f>
        <v>España</v>
      </c>
      <c r="Q989" t="str">
        <f>TRIM(PROPER(Tabla_auditoría[[#This Row],[Dispositivo]]))</f>
        <v>Desktop</v>
      </c>
      <c r="R989" t="str">
        <f>TRIM(PROPER(Tabla_auditoría[[#This Row],[Tipo_Campaña]]))</f>
        <v>Retención</v>
      </c>
      <c r="S989" t="str">
        <f>TRIM(PROPER(Tabla_auditoría[[#This Row],[Responsable]]))</f>
        <v>Marta López</v>
      </c>
    </row>
    <row r="990" spans="1:19" x14ac:dyDescent="0.3">
      <c r="A990" s="1">
        <v>45928</v>
      </c>
      <c r="B990" s="2" t="s">
        <v>2576</v>
      </c>
      <c r="C990" s="2" t="s">
        <v>2543</v>
      </c>
      <c r="D990" s="2" t="s">
        <v>2531</v>
      </c>
      <c r="E990" s="2" t="s">
        <v>2517</v>
      </c>
      <c r="F990" s="3">
        <v>85211</v>
      </c>
      <c r="G990" s="3">
        <v>1105</v>
      </c>
      <c r="H990" s="3">
        <v>39</v>
      </c>
      <c r="I990" s="4">
        <v>2200.96</v>
      </c>
      <c r="J990" s="4">
        <v>4903.47</v>
      </c>
      <c r="K990" s="3">
        <v>22</v>
      </c>
      <c r="L990" s="2" t="s">
        <v>2523</v>
      </c>
      <c r="M990" s="2" t="s">
        <v>2519</v>
      </c>
      <c r="N990" t="str">
        <f>TRIM(PROPER(Tabla_auditoría[[#This Row],[ID_Campaña]]))</f>
        <v>Cmp-010</v>
      </c>
      <c r="O990" t="str">
        <f>TRIM(PROPER(Tabla_auditoría[[#This Row],[Canal]]))</f>
        <v>Organic Social</v>
      </c>
      <c r="P990" t="str">
        <f>TRIM(PROPER(Tabla_auditoría[[#This Row],[País]]))</f>
        <v>Portugal</v>
      </c>
      <c r="Q990" t="str">
        <f>TRIM(PROPER(Tabla_auditoría[[#This Row],[Dispositivo]]))</f>
        <v>Desktop</v>
      </c>
      <c r="R990" t="str">
        <f>TRIM(PROPER(Tabla_auditoría[[#This Row],[Tipo_Campaña]]))</f>
        <v>Retención</v>
      </c>
      <c r="S990" t="str">
        <f>TRIM(PROPER(Tabla_auditoría[[#This Row],[Responsable]]))</f>
        <v>Carlos Ruiz</v>
      </c>
    </row>
    <row r="991" spans="1:19" x14ac:dyDescent="0.3">
      <c r="A991" s="1">
        <v>45834</v>
      </c>
      <c r="B991" s="2" t="s">
        <v>2554</v>
      </c>
      <c r="C991" s="2" t="s">
        <v>2521</v>
      </c>
      <c r="D991" s="2" t="s">
        <v>2528</v>
      </c>
      <c r="E991" s="2" t="s">
        <v>2529</v>
      </c>
      <c r="F991" s="3">
        <v>57555</v>
      </c>
      <c r="G991" s="3">
        <v>954</v>
      </c>
      <c r="H991" s="3">
        <v>126</v>
      </c>
      <c r="I991" s="4">
        <v>844.02</v>
      </c>
      <c r="J991" s="4">
        <v>2411.37</v>
      </c>
      <c r="K991" s="3">
        <v>69</v>
      </c>
      <c r="L991" s="2" t="s">
        <v>2518</v>
      </c>
      <c r="M991" s="2" t="s">
        <v>2524</v>
      </c>
      <c r="N991" t="str">
        <f>TRIM(PROPER(Tabla_auditoría[[#This Row],[ID_Campaña]]))</f>
        <v>Cmp-019</v>
      </c>
      <c r="O991" t="str">
        <f>TRIM(PROPER(Tabla_auditoría[[#This Row],[Canal]]))</f>
        <v>Paid Search</v>
      </c>
      <c r="P991" t="str">
        <f>TRIM(PROPER(Tabla_auditoría[[#This Row],[País]]))</f>
        <v>España</v>
      </c>
      <c r="Q991" t="str">
        <f>TRIM(PROPER(Tabla_auditoría[[#This Row],[Dispositivo]]))</f>
        <v>Mobile</v>
      </c>
      <c r="R991" t="str">
        <f>TRIM(PROPER(Tabla_auditoría[[#This Row],[Tipo_Campaña]]))</f>
        <v>Adquisición</v>
      </c>
      <c r="S991" t="str">
        <f>TRIM(PROPER(Tabla_auditoría[[#This Row],[Responsable]]))</f>
        <v>Luis Martín</v>
      </c>
    </row>
    <row r="992" spans="1:19" x14ac:dyDescent="0.3">
      <c r="A992" s="1">
        <v>45870</v>
      </c>
      <c r="B992" s="2" t="s">
        <v>2545</v>
      </c>
      <c r="C992" s="2" t="s">
        <v>2541</v>
      </c>
      <c r="D992" s="2" t="s">
        <v>2528</v>
      </c>
      <c r="E992" s="2" t="s">
        <v>2529</v>
      </c>
      <c r="F992" s="3">
        <v>168745</v>
      </c>
      <c r="G992" s="3">
        <v>8736</v>
      </c>
      <c r="H992" s="3">
        <v>450</v>
      </c>
      <c r="I992" s="4">
        <v>2774.46</v>
      </c>
      <c r="J992" s="4">
        <v>48249.9</v>
      </c>
      <c r="K992" s="3">
        <v>278</v>
      </c>
      <c r="L992" s="2" t="s">
        <v>2523</v>
      </c>
      <c r="M992" s="2" t="s">
        <v>2524</v>
      </c>
      <c r="N992" t="str">
        <f>TRIM(PROPER(Tabla_auditoría[[#This Row],[ID_Campaña]]))</f>
        <v>Cmp-011</v>
      </c>
      <c r="O992" t="str">
        <f>TRIM(PROPER(Tabla_auditoría[[#This Row],[Canal]]))</f>
        <v>Display</v>
      </c>
      <c r="P992" t="str">
        <f>TRIM(PROPER(Tabla_auditoría[[#This Row],[País]]))</f>
        <v>España</v>
      </c>
      <c r="Q992" t="str">
        <f>TRIM(PROPER(Tabla_auditoría[[#This Row],[Dispositivo]]))</f>
        <v>Mobile</v>
      </c>
      <c r="R992" t="str">
        <f>TRIM(PROPER(Tabla_auditoría[[#This Row],[Tipo_Campaña]]))</f>
        <v>Retención</v>
      </c>
      <c r="S992" t="str">
        <f>TRIM(PROPER(Tabla_auditoría[[#This Row],[Responsable]]))</f>
        <v>Luis Martín</v>
      </c>
    </row>
    <row r="993" spans="1:19" x14ac:dyDescent="0.3">
      <c r="A993" s="1">
        <v>45892</v>
      </c>
      <c r="B993" s="2" t="s">
        <v>2551</v>
      </c>
      <c r="C993" s="2" t="s">
        <v>2543</v>
      </c>
      <c r="D993" s="2" t="s">
        <v>2516</v>
      </c>
      <c r="E993" s="2" t="s">
        <v>2517</v>
      </c>
      <c r="F993" s="3">
        <v>23363</v>
      </c>
      <c r="G993" s="3">
        <v>559</v>
      </c>
      <c r="H993" s="3">
        <v>3</v>
      </c>
      <c r="I993" s="4">
        <v>232.93</v>
      </c>
      <c r="J993" s="4">
        <v>571.92999999999995</v>
      </c>
      <c r="K993" s="3">
        <v>2</v>
      </c>
      <c r="L993" s="2" t="s">
        <v>2523</v>
      </c>
      <c r="M993" s="2" t="s">
        <v>2526</v>
      </c>
      <c r="N993" t="str">
        <f>TRIM(PROPER(Tabla_auditoría[[#This Row],[ID_Campaña]]))</f>
        <v>Cmp-028</v>
      </c>
      <c r="O993" t="str">
        <f>TRIM(PROPER(Tabla_auditoría[[#This Row],[Canal]]))</f>
        <v>Organic Social</v>
      </c>
      <c r="P993" t="str">
        <f>TRIM(PROPER(Tabla_auditoría[[#This Row],[País]]))</f>
        <v>México</v>
      </c>
      <c r="Q993" t="str">
        <f>TRIM(PROPER(Tabla_auditoría[[#This Row],[Dispositivo]]))</f>
        <v>Desktop</v>
      </c>
      <c r="R993" t="str">
        <f>TRIM(PROPER(Tabla_auditoría[[#This Row],[Tipo_Campaña]]))</f>
        <v>Retención</v>
      </c>
      <c r="S993" t="str">
        <f>TRIM(PROPER(Tabla_auditoría[[#This Row],[Responsable]]))</f>
        <v>Laura Pérez</v>
      </c>
    </row>
    <row r="994" spans="1:19" x14ac:dyDescent="0.3">
      <c r="A994" s="1">
        <v>45720</v>
      </c>
      <c r="B994" s="2" t="s">
        <v>2549</v>
      </c>
      <c r="C994" s="2" t="s">
        <v>2541</v>
      </c>
      <c r="D994" s="2" t="s">
        <v>2528</v>
      </c>
      <c r="E994" s="2" t="s">
        <v>2529</v>
      </c>
      <c r="F994" s="3">
        <v>79688</v>
      </c>
      <c r="G994" s="3">
        <v>1162</v>
      </c>
      <c r="H994" s="3">
        <v>69</v>
      </c>
      <c r="I994" s="4">
        <v>164.67</v>
      </c>
      <c r="J994" s="4">
        <v>4512.41</v>
      </c>
      <c r="K994" s="3">
        <v>42</v>
      </c>
      <c r="L994" s="2" t="s">
        <v>2523</v>
      </c>
      <c r="M994" s="2" t="s">
        <v>2519</v>
      </c>
      <c r="N994" t="str">
        <f>TRIM(PROPER(Tabla_auditoría[[#This Row],[ID_Campaña]]))</f>
        <v>Cmp-007</v>
      </c>
      <c r="O994" t="str">
        <f>TRIM(PROPER(Tabla_auditoría[[#This Row],[Canal]]))</f>
        <v>Display</v>
      </c>
      <c r="P994" t="str">
        <f>TRIM(PROPER(Tabla_auditoría[[#This Row],[País]]))</f>
        <v>España</v>
      </c>
      <c r="Q994" t="str">
        <f>TRIM(PROPER(Tabla_auditoría[[#This Row],[Dispositivo]]))</f>
        <v>Mobile</v>
      </c>
      <c r="R994" t="str">
        <f>TRIM(PROPER(Tabla_auditoría[[#This Row],[Tipo_Campaña]]))</f>
        <v>Retención</v>
      </c>
      <c r="S994" t="str">
        <f>TRIM(PROPER(Tabla_auditoría[[#This Row],[Responsable]]))</f>
        <v>Carlos Ruiz</v>
      </c>
    </row>
    <row r="995" spans="1:19" x14ac:dyDescent="0.3">
      <c r="A995" s="1">
        <v>45768</v>
      </c>
      <c r="B995" s="2" t="s">
        <v>2532</v>
      </c>
      <c r="C995" s="2" t="s">
        <v>2543</v>
      </c>
      <c r="D995" s="2" t="s">
        <v>2528</v>
      </c>
      <c r="E995" s="2" t="s">
        <v>2534</v>
      </c>
      <c r="F995" s="3">
        <v>47716</v>
      </c>
      <c r="G995" s="3">
        <v>2054</v>
      </c>
      <c r="H995" s="3">
        <v>220</v>
      </c>
      <c r="I995" s="4">
        <v>2473.4499999999998</v>
      </c>
      <c r="J995" s="4">
        <v>29414</v>
      </c>
      <c r="K995" s="3">
        <v>163</v>
      </c>
      <c r="L995" s="2" t="s">
        <v>2523</v>
      </c>
      <c r="M995" s="2" t="s">
        <v>2524</v>
      </c>
      <c r="N995" t="str">
        <f>TRIM(PROPER(Tabla_auditoría[[#This Row],[ID_Campaña]]))</f>
        <v>Cmp-022</v>
      </c>
      <c r="O995" t="str">
        <f>TRIM(PROPER(Tabla_auditoría[[#This Row],[Canal]]))</f>
        <v>Organic Social</v>
      </c>
      <c r="P995" t="str">
        <f>TRIM(PROPER(Tabla_auditoría[[#This Row],[País]]))</f>
        <v>España</v>
      </c>
      <c r="Q995" t="str">
        <f>TRIM(PROPER(Tabla_auditoría[[#This Row],[Dispositivo]]))</f>
        <v>Tablet</v>
      </c>
      <c r="R995" t="str">
        <f>TRIM(PROPER(Tabla_auditoría[[#This Row],[Tipo_Campaña]]))</f>
        <v>Retención</v>
      </c>
      <c r="S995" t="str">
        <f>TRIM(PROPER(Tabla_auditoría[[#This Row],[Responsable]]))</f>
        <v>Luis Martín</v>
      </c>
    </row>
    <row r="996" spans="1:19" x14ac:dyDescent="0.3">
      <c r="A996" s="1">
        <v>45741</v>
      </c>
      <c r="B996" s="2" t="s">
        <v>2540</v>
      </c>
      <c r="D996" s="2" t="s">
        <v>2516</v>
      </c>
      <c r="E996" s="2" t="s">
        <v>2529</v>
      </c>
      <c r="F996" s="3">
        <v>115691</v>
      </c>
      <c r="G996" s="3">
        <v>4297</v>
      </c>
      <c r="H996" s="3">
        <v>466</v>
      </c>
      <c r="I996" s="4">
        <v>3908.17</v>
      </c>
      <c r="J996" s="4">
        <v>91499.65</v>
      </c>
      <c r="K996" s="3">
        <v>323</v>
      </c>
      <c r="L996" s="2" t="s">
        <v>2536</v>
      </c>
      <c r="M996" s="2" t="s">
        <v>2537</v>
      </c>
      <c r="N996" t="str">
        <f>TRIM(PROPER(Tabla_auditoría[[#This Row],[ID_Campaña]]))</f>
        <v>Cmp-017</v>
      </c>
      <c r="O996" t="str">
        <f>TRIM(PROPER(Tabla_auditoría[[#This Row],[Canal]]))</f>
        <v/>
      </c>
      <c r="P996" t="str">
        <f>TRIM(PROPER(Tabla_auditoría[[#This Row],[País]]))</f>
        <v>México</v>
      </c>
      <c r="Q996" t="str">
        <f>TRIM(PROPER(Tabla_auditoría[[#This Row],[Dispositivo]]))</f>
        <v>Mobile</v>
      </c>
      <c r="R996" t="str">
        <f>TRIM(PROPER(Tabla_auditoría[[#This Row],[Tipo_Campaña]]))</f>
        <v>Reconocimiento</v>
      </c>
      <c r="S996" t="str">
        <f>TRIM(PROPER(Tabla_auditoría[[#This Row],[Responsable]]))</f>
        <v>Marta López</v>
      </c>
    </row>
    <row r="997" spans="1:19" x14ac:dyDescent="0.3">
      <c r="A997" s="1">
        <v>45859</v>
      </c>
      <c r="B997" s="2" t="s">
        <v>2556</v>
      </c>
      <c r="D997" s="2" t="s">
        <v>2522</v>
      </c>
      <c r="E997" s="2" t="s">
        <v>2517</v>
      </c>
      <c r="F997" s="3">
        <v>59275</v>
      </c>
      <c r="G997" s="3">
        <v>1012</v>
      </c>
      <c r="H997" s="3">
        <v>41</v>
      </c>
      <c r="I997" s="4">
        <v>197.08</v>
      </c>
      <c r="J997" s="4">
        <v>5609.18</v>
      </c>
      <c r="K997" s="3">
        <v>30</v>
      </c>
      <c r="L997" s="2" t="s">
        <v>2518</v>
      </c>
      <c r="M997" s="2" t="s">
        <v>2526</v>
      </c>
      <c r="N997" t="str">
        <f>TRIM(PROPER(Tabla_auditoría[[#This Row],[ID_Campaña]]))</f>
        <v>Cmp-014</v>
      </c>
      <c r="O997" t="str">
        <f>TRIM(PROPER(Tabla_auditoría[[#This Row],[Canal]]))</f>
        <v/>
      </c>
      <c r="P997" t="str">
        <f>TRIM(PROPER(Tabla_auditoría[[#This Row],[País]]))</f>
        <v>Italia</v>
      </c>
      <c r="Q997" t="str">
        <f>TRIM(PROPER(Tabla_auditoría[[#This Row],[Dispositivo]]))</f>
        <v>Desktop</v>
      </c>
      <c r="R997" t="str">
        <f>TRIM(PROPER(Tabla_auditoría[[#This Row],[Tipo_Campaña]]))</f>
        <v>Adquisición</v>
      </c>
      <c r="S997" t="str">
        <f>TRIM(PROPER(Tabla_auditoría[[#This Row],[Responsable]]))</f>
        <v>Laura Pérez</v>
      </c>
    </row>
    <row r="998" spans="1:19" x14ac:dyDescent="0.3">
      <c r="A998" s="1">
        <v>45797</v>
      </c>
      <c r="B998" s="2" t="s">
        <v>2570</v>
      </c>
      <c r="C998" s="2" t="s">
        <v>2541</v>
      </c>
      <c r="D998" s="2" t="s">
        <v>2528</v>
      </c>
      <c r="E998" s="2" t="s">
        <v>2517</v>
      </c>
      <c r="F998" s="3">
        <v>40440</v>
      </c>
      <c r="G998" s="3">
        <v>2315</v>
      </c>
      <c r="H998" s="3">
        <v>181</v>
      </c>
      <c r="I998" s="4">
        <v>3457.49</v>
      </c>
      <c r="J998" s="4">
        <v>11670.72</v>
      </c>
      <c r="K998" s="3">
        <v>120</v>
      </c>
      <c r="L998" s="2" t="s">
        <v>2536</v>
      </c>
      <c r="M998" s="2" t="s">
        <v>2526</v>
      </c>
      <c r="N998" t="str">
        <f>TRIM(PROPER(Tabla_auditoría[[#This Row],[ID_Campaña]]))</f>
        <v>Cmp-016</v>
      </c>
      <c r="O998" t="str">
        <f>TRIM(PROPER(Tabla_auditoría[[#This Row],[Canal]]))</f>
        <v>Display</v>
      </c>
      <c r="P998" t="str">
        <f>TRIM(PROPER(Tabla_auditoría[[#This Row],[País]]))</f>
        <v>España</v>
      </c>
      <c r="Q998" t="str">
        <f>TRIM(PROPER(Tabla_auditoría[[#This Row],[Dispositivo]]))</f>
        <v>Desktop</v>
      </c>
      <c r="R998" t="str">
        <f>TRIM(PROPER(Tabla_auditoría[[#This Row],[Tipo_Campaña]]))</f>
        <v>Reconocimiento</v>
      </c>
      <c r="S998" t="str">
        <f>TRIM(PROPER(Tabla_auditoría[[#This Row],[Responsable]]))</f>
        <v>Laura Pérez</v>
      </c>
    </row>
    <row r="999" spans="1:19" x14ac:dyDescent="0.3">
      <c r="A999" s="1">
        <v>45801</v>
      </c>
      <c r="B999" s="2" t="s">
        <v>2564</v>
      </c>
      <c r="C999" s="2" t="s">
        <v>2562</v>
      </c>
      <c r="D999" s="2" t="s">
        <v>2525</v>
      </c>
      <c r="E999" s="2" t="s">
        <v>2529</v>
      </c>
      <c r="F999" s="3">
        <v>137348</v>
      </c>
      <c r="G999" s="3">
        <v>10190</v>
      </c>
      <c r="H999" s="3">
        <v>700</v>
      </c>
      <c r="I999" s="4">
        <v>15445.47</v>
      </c>
      <c r="J999" s="4">
        <v>56834.55</v>
      </c>
      <c r="K999" s="3">
        <v>595</v>
      </c>
      <c r="L999" s="2" t="s">
        <v>2536</v>
      </c>
      <c r="M999" s="2" t="s">
        <v>2524</v>
      </c>
      <c r="N999" t="str">
        <f>TRIM(PROPER(Tabla_auditoría[[#This Row],[ID_Campaña]]))</f>
        <v>Cmp-024</v>
      </c>
      <c r="O999" t="str">
        <f>TRIM(PROPER(Tabla_auditoría[[#This Row],[Canal]]))</f>
        <v>Organic Social</v>
      </c>
      <c r="P999" t="str">
        <f>TRIM(PROPER(Tabla_auditoría[[#This Row],[País]]))</f>
        <v>Francia</v>
      </c>
      <c r="Q999" t="str">
        <f>TRIM(PROPER(Tabla_auditoría[[#This Row],[Dispositivo]]))</f>
        <v>Mobile</v>
      </c>
      <c r="R999" t="str">
        <f>TRIM(PROPER(Tabla_auditoría[[#This Row],[Tipo_Campaña]]))</f>
        <v>Reconocimiento</v>
      </c>
      <c r="S999" t="str">
        <f>TRIM(PROPER(Tabla_auditoría[[#This Row],[Responsable]]))</f>
        <v>Luis Martín</v>
      </c>
    </row>
    <row r="1000" spans="1:19" x14ac:dyDescent="0.3">
      <c r="A1000" s="1">
        <v>45970</v>
      </c>
      <c r="B1000" s="2" t="s">
        <v>2586</v>
      </c>
      <c r="C1000" s="2" t="s">
        <v>2527</v>
      </c>
      <c r="D1000" s="2" t="s">
        <v>2531</v>
      </c>
      <c r="E1000" s="2" t="s">
        <v>2534</v>
      </c>
      <c r="F1000" s="3">
        <v>93484</v>
      </c>
      <c r="G1000" s="3">
        <v>7730</v>
      </c>
      <c r="H1000" s="3">
        <v>796</v>
      </c>
      <c r="I1000" s="4">
        <v>8103.71</v>
      </c>
      <c r="J1000" s="4">
        <v>44460.06</v>
      </c>
      <c r="K1000" s="3">
        <v>602</v>
      </c>
      <c r="L1000" s="2" t="s">
        <v>2536</v>
      </c>
      <c r="M1000" s="2" t="s">
        <v>2537</v>
      </c>
      <c r="N1000" t="str">
        <f>TRIM(PROPER(Tabla_auditoría[[#This Row],[ID_Campaña]]))</f>
        <v>Cmp-014</v>
      </c>
      <c r="O1000" t="str">
        <f>TRIM(PROPER(Tabla_auditoría[[#This Row],[Canal]]))</f>
        <v>Affiliate</v>
      </c>
      <c r="P1000" t="str">
        <f>TRIM(PROPER(Tabla_auditoría[[#This Row],[País]]))</f>
        <v>Portugal</v>
      </c>
      <c r="Q1000" t="str">
        <f>TRIM(PROPER(Tabla_auditoría[[#This Row],[Dispositivo]]))</f>
        <v>Tablet</v>
      </c>
      <c r="R1000" t="str">
        <f>TRIM(PROPER(Tabla_auditoría[[#This Row],[Tipo_Campaña]]))</f>
        <v>Reconocimiento</v>
      </c>
      <c r="S1000" t="str">
        <f>TRIM(PROPER(Tabla_auditoría[[#This Row],[Responsable]]))</f>
        <v>Marta López</v>
      </c>
    </row>
    <row r="1001" spans="1:19" x14ac:dyDescent="0.3">
      <c r="A1001" s="1">
        <v>45704</v>
      </c>
      <c r="B1001" s="2" t="s">
        <v>2556</v>
      </c>
      <c r="C1001" s="2" t="s">
        <v>2541</v>
      </c>
      <c r="D1001" s="2" t="s">
        <v>2516</v>
      </c>
      <c r="E1001" s="2" t="s">
        <v>2529</v>
      </c>
      <c r="F1001" s="3">
        <v>146627</v>
      </c>
      <c r="G1001" s="3">
        <v>4232</v>
      </c>
      <c r="H1001" s="3">
        <v>390</v>
      </c>
      <c r="I1001" s="4">
        <v>964.12</v>
      </c>
      <c r="J1001" s="4">
        <v>68528.31</v>
      </c>
      <c r="K1001" s="3">
        <v>266</v>
      </c>
      <c r="L1001" s="2" t="s">
        <v>2539</v>
      </c>
      <c r="M1001" s="2" t="s">
        <v>2519</v>
      </c>
      <c r="N1001" t="str">
        <f>TRIM(PROPER(Tabla_auditoría[[#This Row],[ID_Campaña]]))</f>
        <v>Cmp-014</v>
      </c>
      <c r="O1001" t="str">
        <f>TRIM(PROPER(Tabla_auditoría[[#This Row],[Canal]]))</f>
        <v>Display</v>
      </c>
      <c r="P1001" t="str">
        <f>TRIM(PROPER(Tabla_auditoría[[#This Row],[País]]))</f>
        <v>México</v>
      </c>
      <c r="Q1001" t="str">
        <f>TRIM(PROPER(Tabla_auditoría[[#This Row],[Dispositivo]]))</f>
        <v>Mobile</v>
      </c>
      <c r="R1001" t="str">
        <f>TRIM(PROPER(Tabla_auditoría[[#This Row],[Tipo_Campaña]]))</f>
        <v>Conversión</v>
      </c>
      <c r="S1001" t="str">
        <f>TRIM(PROPER(Tabla_auditoría[[#This Row],[Responsable]]))</f>
        <v>Carlos Ruiz</v>
      </c>
    </row>
    <row r="1002" spans="1:19" x14ac:dyDescent="0.3">
      <c r="A1002" s="1">
        <v>45909</v>
      </c>
      <c r="B1002" s="2" t="s">
        <v>2554</v>
      </c>
      <c r="C1002" s="2" t="s">
        <v>2543</v>
      </c>
      <c r="D1002" s="2" t="s">
        <v>2522</v>
      </c>
      <c r="E1002" s="2" t="s">
        <v>2529</v>
      </c>
      <c r="F1002" s="3">
        <v>21568</v>
      </c>
      <c r="G1002" s="3">
        <v>447</v>
      </c>
      <c r="H1002" s="3">
        <v>4</v>
      </c>
      <c r="I1002" s="4">
        <v>228.5</v>
      </c>
      <c r="J1002" s="4">
        <v>415.24</v>
      </c>
      <c r="K1002" s="3">
        <v>2</v>
      </c>
      <c r="L1002" s="2" t="s">
        <v>2523</v>
      </c>
      <c r="M1002" s="2" t="s">
        <v>2519</v>
      </c>
      <c r="N1002" t="str">
        <f>TRIM(PROPER(Tabla_auditoría[[#This Row],[ID_Campaña]]))</f>
        <v>Cmp-019</v>
      </c>
      <c r="O1002" t="str">
        <f>TRIM(PROPER(Tabla_auditoría[[#This Row],[Canal]]))</f>
        <v>Organic Social</v>
      </c>
      <c r="P1002" t="str">
        <f>TRIM(PROPER(Tabla_auditoría[[#This Row],[País]]))</f>
        <v>Italia</v>
      </c>
      <c r="Q1002" t="str">
        <f>TRIM(PROPER(Tabla_auditoría[[#This Row],[Dispositivo]]))</f>
        <v>Mobile</v>
      </c>
      <c r="R1002" t="str">
        <f>TRIM(PROPER(Tabla_auditoría[[#This Row],[Tipo_Campaña]]))</f>
        <v>Retención</v>
      </c>
      <c r="S1002" t="str">
        <f>TRIM(PROPER(Tabla_auditoría[[#This Row],[Responsable]]))</f>
        <v>Carlos Ruiz</v>
      </c>
    </row>
    <row r="1003" spans="1:19" x14ac:dyDescent="0.3">
      <c r="A1003" s="1">
        <v>45967</v>
      </c>
      <c r="B1003" s="2" t="s">
        <v>2567</v>
      </c>
      <c r="C1003" s="2" t="s">
        <v>2533</v>
      </c>
      <c r="D1003" s="2" t="s">
        <v>2531</v>
      </c>
      <c r="E1003" s="2" t="s">
        <v>2529</v>
      </c>
      <c r="F1003" s="3">
        <v>88614</v>
      </c>
      <c r="G1003" s="3">
        <v>2787</v>
      </c>
      <c r="H1003" s="3">
        <v>216</v>
      </c>
      <c r="I1003" s="4">
        <v>5386.79</v>
      </c>
      <c r="J1003" s="4">
        <v>7164.93</v>
      </c>
      <c r="K1003" s="3">
        <v>117</v>
      </c>
      <c r="L1003" s="2" t="s">
        <v>2518</v>
      </c>
      <c r="M1003" s="2" t="s">
        <v>2524</v>
      </c>
      <c r="N1003" t="str">
        <f>TRIM(PROPER(Tabla_auditoría[[#This Row],[ID_Campaña]]))</f>
        <v>Cmp-021</v>
      </c>
      <c r="O1003" t="str">
        <f>TRIM(PROPER(Tabla_auditoría[[#This Row],[Canal]]))</f>
        <v>Paid Social</v>
      </c>
      <c r="P1003" t="str">
        <f>TRIM(PROPER(Tabla_auditoría[[#This Row],[País]]))</f>
        <v>Portugal</v>
      </c>
      <c r="Q1003" t="str">
        <f>TRIM(PROPER(Tabla_auditoría[[#This Row],[Dispositivo]]))</f>
        <v>Mobile</v>
      </c>
      <c r="R1003" t="str">
        <f>TRIM(PROPER(Tabla_auditoría[[#This Row],[Tipo_Campaña]]))</f>
        <v>Adquisición</v>
      </c>
      <c r="S1003" t="str">
        <f>TRIM(PROPER(Tabla_auditoría[[#This Row],[Responsable]]))</f>
        <v>Luis Martín</v>
      </c>
    </row>
    <row r="1004" spans="1:19" x14ac:dyDescent="0.3">
      <c r="A1004" s="1">
        <v>45836</v>
      </c>
      <c r="B1004" s="2" t="s">
        <v>2540</v>
      </c>
      <c r="C1004" s="2" t="s">
        <v>2521</v>
      </c>
      <c r="D1004" s="2" t="s">
        <v>2525</v>
      </c>
      <c r="E1004" s="2" t="s">
        <v>2534</v>
      </c>
      <c r="F1004" s="3">
        <v>34572</v>
      </c>
      <c r="G1004" s="3">
        <v>576</v>
      </c>
      <c r="H1004" s="3">
        <v>48</v>
      </c>
      <c r="I1004" s="4">
        <v>386.89</v>
      </c>
      <c r="J1004" s="4">
        <v>8015.47</v>
      </c>
      <c r="K1004" s="3">
        <v>30</v>
      </c>
      <c r="L1004" s="2" t="s">
        <v>2523</v>
      </c>
      <c r="M1004" s="2" t="s">
        <v>2546</v>
      </c>
      <c r="N1004" t="str">
        <f>TRIM(PROPER(Tabla_auditoría[[#This Row],[ID_Campaña]]))</f>
        <v>Cmp-017</v>
      </c>
      <c r="O1004" t="str">
        <f>TRIM(PROPER(Tabla_auditoría[[#This Row],[Canal]]))</f>
        <v>Paid Search</v>
      </c>
      <c r="P1004" t="str">
        <f>TRIM(PROPER(Tabla_auditoría[[#This Row],[País]]))</f>
        <v>Francia</v>
      </c>
      <c r="Q1004" t="str">
        <f>TRIM(PROPER(Tabla_auditoría[[#This Row],[Dispositivo]]))</f>
        <v>Tablet</v>
      </c>
      <c r="R1004" t="str">
        <f>TRIM(PROPER(Tabla_auditoría[[#This Row],[Tipo_Campaña]]))</f>
        <v>Retención</v>
      </c>
      <c r="S1004" t="str">
        <f>TRIM(PROPER(Tabla_auditoría[[#This Row],[Responsable]]))</f>
        <v>Ana García</v>
      </c>
    </row>
    <row r="1005" spans="1:19" x14ac:dyDescent="0.3">
      <c r="A1005" s="1">
        <v>45939</v>
      </c>
      <c r="B1005" s="2" t="s">
        <v>2520</v>
      </c>
      <c r="C1005" s="2" t="s">
        <v>2541</v>
      </c>
      <c r="D1005" s="2" t="s">
        <v>2528</v>
      </c>
      <c r="E1005" s="2" t="s">
        <v>2529</v>
      </c>
      <c r="F1005" s="3">
        <v>137155</v>
      </c>
      <c r="G1005" s="3">
        <v>9053</v>
      </c>
      <c r="H1005" s="3">
        <v>486</v>
      </c>
      <c r="I1005" s="4">
        <v>14717.34</v>
      </c>
      <c r="J1005" s="4">
        <v>92117.79</v>
      </c>
      <c r="K1005" s="3">
        <v>236</v>
      </c>
      <c r="L1005" s="2" t="s">
        <v>2523</v>
      </c>
      <c r="M1005" s="2" t="s">
        <v>2546</v>
      </c>
      <c r="N1005" t="str">
        <f>TRIM(PROPER(Tabla_auditoría[[#This Row],[ID_Campaña]]))</f>
        <v>Cmp-009</v>
      </c>
      <c r="O1005" t="str">
        <f>TRIM(PROPER(Tabla_auditoría[[#This Row],[Canal]]))</f>
        <v>Display</v>
      </c>
      <c r="P1005" t="str">
        <f>TRIM(PROPER(Tabla_auditoría[[#This Row],[País]]))</f>
        <v>España</v>
      </c>
      <c r="Q1005" t="str">
        <f>TRIM(PROPER(Tabla_auditoría[[#This Row],[Dispositivo]]))</f>
        <v>Mobile</v>
      </c>
      <c r="R1005" t="str">
        <f>TRIM(PROPER(Tabla_auditoría[[#This Row],[Tipo_Campaña]]))</f>
        <v>Retención</v>
      </c>
      <c r="S1005" t="str">
        <f>TRIM(PROPER(Tabla_auditoría[[#This Row],[Responsable]]))</f>
        <v>Ana García</v>
      </c>
    </row>
    <row r="1006" spans="1:19" x14ac:dyDescent="0.3">
      <c r="A1006" s="1">
        <v>45738</v>
      </c>
      <c r="B1006" s="2" t="s">
        <v>2538</v>
      </c>
      <c r="C1006" s="2" t="s">
        <v>2533</v>
      </c>
      <c r="D1006" s="2" t="s">
        <v>2528</v>
      </c>
      <c r="E1006" s="2" t="s">
        <v>2517</v>
      </c>
      <c r="F1006" s="3">
        <v>77768</v>
      </c>
      <c r="G1006" s="3">
        <v>3477</v>
      </c>
      <c r="H1006" s="3">
        <v>241</v>
      </c>
      <c r="I1006" s="4">
        <v>2650.64</v>
      </c>
      <c r="J1006" s="4">
        <v>26385.71</v>
      </c>
      <c r="K1006" s="3">
        <v>216</v>
      </c>
      <c r="L1006" s="2" t="s">
        <v>2518</v>
      </c>
      <c r="M1006" s="2" t="s">
        <v>2537</v>
      </c>
      <c r="N1006" t="str">
        <f>TRIM(PROPER(Tabla_auditoría[[#This Row],[ID_Campaña]]))</f>
        <v>Cmp-004</v>
      </c>
      <c r="O1006" t="str">
        <f>TRIM(PROPER(Tabla_auditoría[[#This Row],[Canal]]))</f>
        <v>Paid Social</v>
      </c>
      <c r="P1006" t="str">
        <f>TRIM(PROPER(Tabla_auditoría[[#This Row],[País]]))</f>
        <v>España</v>
      </c>
      <c r="Q1006" t="str">
        <f>TRIM(PROPER(Tabla_auditoría[[#This Row],[Dispositivo]]))</f>
        <v>Desktop</v>
      </c>
      <c r="R1006" t="str">
        <f>TRIM(PROPER(Tabla_auditoría[[#This Row],[Tipo_Campaña]]))</f>
        <v>Adquisición</v>
      </c>
      <c r="S1006" t="str">
        <f>TRIM(PROPER(Tabla_auditoría[[#This Row],[Responsable]]))</f>
        <v>Marta López</v>
      </c>
    </row>
    <row r="1007" spans="1:19" x14ac:dyDescent="0.3">
      <c r="A1007" s="1">
        <v>45927</v>
      </c>
      <c r="B1007" s="2" t="s">
        <v>2570</v>
      </c>
      <c r="C1007" s="2" t="s">
        <v>2533</v>
      </c>
      <c r="D1007" s="2" t="s">
        <v>2522</v>
      </c>
      <c r="E1007" s="2" t="s">
        <v>2529</v>
      </c>
      <c r="F1007" s="3">
        <v>41555</v>
      </c>
      <c r="G1007" s="3">
        <v>3734</v>
      </c>
      <c r="H1007" s="3">
        <v>406</v>
      </c>
      <c r="I1007" s="4">
        <v>5396.3</v>
      </c>
      <c r="J1007" s="4">
        <v>24339.39</v>
      </c>
      <c r="K1007" s="3">
        <v>340</v>
      </c>
      <c r="L1007" s="2" t="s">
        <v>2539</v>
      </c>
      <c r="M1007" s="2" t="s">
        <v>2519</v>
      </c>
      <c r="N1007" t="str">
        <f>TRIM(PROPER(Tabla_auditoría[[#This Row],[ID_Campaña]]))</f>
        <v>Cmp-016</v>
      </c>
      <c r="O1007" t="str">
        <f>TRIM(PROPER(Tabla_auditoría[[#This Row],[Canal]]))</f>
        <v>Paid Social</v>
      </c>
      <c r="P1007" t="str">
        <f>TRIM(PROPER(Tabla_auditoría[[#This Row],[País]]))</f>
        <v>Italia</v>
      </c>
      <c r="Q1007" t="str">
        <f>TRIM(PROPER(Tabla_auditoría[[#This Row],[Dispositivo]]))</f>
        <v>Mobile</v>
      </c>
      <c r="R1007" t="str">
        <f>TRIM(PROPER(Tabla_auditoría[[#This Row],[Tipo_Campaña]]))</f>
        <v>Conversión</v>
      </c>
      <c r="S1007" t="str">
        <f>TRIM(PROPER(Tabla_auditoría[[#This Row],[Responsable]]))</f>
        <v>Carlos Ruiz</v>
      </c>
    </row>
    <row r="1008" spans="1:19" x14ac:dyDescent="0.3">
      <c r="A1008" s="1">
        <v>45972</v>
      </c>
      <c r="B1008" s="2" t="s">
        <v>2567</v>
      </c>
      <c r="C1008" s="2" t="s">
        <v>2515</v>
      </c>
      <c r="D1008" s="2" t="s">
        <v>2528</v>
      </c>
      <c r="E1008" s="2" t="s">
        <v>2529</v>
      </c>
      <c r="F1008" s="3">
        <v>158040</v>
      </c>
      <c r="G1008" s="3">
        <v>5300</v>
      </c>
      <c r="H1008" s="3">
        <v>643</v>
      </c>
      <c r="I1008" s="4">
        <v>3699.69</v>
      </c>
      <c r="J1008" s="4">
        <v>52503.24</v>
      </c>
      <c r="K1008" s="3">
        <v>415</v>
      </c>
      <c r="L1008" s="2" t="s">
        <v>2518</v>
      </c>
      <c r="M1008" s="2" t="s">
        <v>2537</v>
      </c>
      <c r="N1008" t="str">
        <f>TRIM(PROPER(Tabla_auditoría[[#This Row],[ID_Campaña]]))</f>
        <v>Cmp-021</v>
      </c>
      <c r="O1008" t="str">
        <f>TRIM(PROPER(Tabla_auditoría[[#This Row],[Canal]]))</f>
        <v>Email</v>
      </c>
      <c r="P1008" t="str">
        <f>TRIM(PROPER(Tabla_auditoría[[#This Row],[País]]))</f>
        <v>España</v>
      </c>
      <c r="Q1008" t="str">
        <f>TRIM(PROPER(Tabla_auditoría[[#This Row],[Dispositivo]]))</f>
        <v>Mobile</v>
      </c>
      <c r="R1008" t="str">
        <f>TRIM(PROPER(Tabla_auditoría[[#This Row],[Tipo_Campaña]]))</f>
        <v>Adquisición</v>
      </c>
      <c r="S1008" t="str">
        <f>TRIM(PROPER(Tabla_auditoría[[#This Row],[Responsable]]))</f>
        <v>Marta López</v>
      </c>
    </row>
    <row r="1009" spans="1:19" x14ac:dyDescent="0.3">
      <c r="A1009" s="1">
        <v>46013</v>
      </c>
      <c r="B1009" s="2" t="s">
        <v>2556</v>
      </c>
      <c r="C1009" s="2" t="s">
        <v>2533</v>
      </c>
      <c r="D1009" s="2" t="s">
        <v>2525</v>
      </c>
      <c r="E1009" s="2" t="s">
        <v>2529</v>
      </c>
      <c r="F1009" s="3">
        <v>67067</v>
      </c>
      <c r="G1009" s="3">
        <v>4075</v>
      </c>
      <c r="H1009" s="3">
        <v>469</v>
      </c>
      <c r="I1009" s="4">
        <v>3644.6</v>
      </c>
      <c r="J1009" s="4">
        <v>29998.53</v>
      </c>
      <c r="K1009" s="3">
        <v>246</v>
      </c>
      <c r="L1009" s="2" t="s">
        <v>2536</v>
      </c>
      <c r="M1009" s="2" t="s">
        <v>2546</v>
      </c>
      <c r="N1009" t="str">
        <f>TRIM(PROPER(Tabla_auditoría[[#This Row],[ID_Campaña]]))</f>
        <v>Cmp-014</v>
      </c>
      <c r="O1009" t="str">
        <f>TRIM(PROPER(Tabla_auditoría[[#This Row],[Canal]]))</f>
        <v>Paid Social</v>
      </c>
      <c r="P1009" t="str">
        <f>TRIM(PROPER(Tabla_auditoría[[#This Row],[País]]))</f>
        <v>Francia</v>
      </c>
      <c r="Q1009" t="str">
        <f>TRIM(PROPER(Tabla_auditoría[[#This Row],[Dispositivo]]))</f>
        <v>Mobile</v>
      </c>
      <c r="R1009" t="str">
        <f>TRIM(PROPER(Tabla_auditoría[[#This Row],[Tipo_Campaña]]))</f>
        <v>Reconocimiento</v>
      </c>
      <c r="S1009" t="str">
        <f>TRIM(PROPER(Tabla_auditoría[[#This Row],[Responsable]]))</f>
        <v>Ana García</v>
      </c>
    </row>
    <row r="1010" spans="1:19" x14ac:dyDescent="0.3">
      <c r="A1010" s="1">
        <v>45961</v>
      </c>
      <c r="B1010" s="2" t="s">
        <v>2560</v>
      </c>
      <c r="C1010" s="2" t="s">
        <v>2515</v>
      </c>
      <c r="D1010" s="2" t="s">
        <v>2528</v>
      </c>
      <c r="E1010" s="2" t="s">
        <v>2529</v>
      </c>
      <c r="F1010" s="3">
        <v>24120</v>
      </c>
      <c r="G1010" s="3">
        <v>2104</v>
      </c>
      <c r="H1010" s="3">
        <v>284</v>
      </c>
      <c r="I1010" s="4">
        <v>2152.62</v>
      </c>
      <c r="J1010" s="4">
        <v>53347.32</v>
      </c>
      <c r="K1010" s="3">
        <v>192</v>
      </c>
      <c r="L1010" s="2" t="s">
        <v>2518</v>
      </c>
      <c r="M1010" s="2" t="s">
        <v>2546</v>
      </c>
      <c r="N1010" t="str">
        <f>TRIM(PROPER(Tabla_auditoría[[#This Row],[ID_Campaña]]))</f>
        <v>Cmp-027</v>
      </c>
      <c r="O1010" t="str">
        <f>TRIM(PROPER(Tabla_auditoría[[#This Row],[Canal]]))</f>
        <v>Email</v>
      </c>
      <c r="P1010" t="str">
        <f>TRIM(PROPER(Tabla_auditoría[[#This Row],[País]]))</f>
        <v>España</v>
      </c>
      <c r="Q1010" t="str">
        <f>TRIM(PROPER(Tabla_auditoría[[#This Row],[Dispositivo]]))</f>
        <v>Mobile</v>
      </c>
      <c r="R1010" t="str">
        <f>TRIM(PROPER(Tabla_auditoría[[#This Row],[Tipo_Campaña]]))</f>
        <v>Adquisición</v>
      </c>
      <c r="S1010" t="str">
        <f>TRIM(PROPER(Tabla_auditoría[[#This Row],[Responsable]]))</f>
        <v>Ana García</v>
      </c>
    </row>
    <row r="1011" spans="1:19" x14ac:dyDescent="0.3">
      <c r="A1011" s="1">
        <v>45905</v>
      </c>
      <c r="B1011" s="2" t="s">
        <v>2544</v>
      </c>
      <c r="C1011" s="2" t="s">
        <v>2521</v>
      </c>
      <c r="D1011" s="2" t="s">
        <v>2528</v>
      </c>
      <c r="E1011" s="2" t="s">
        <v>2517</v>
      </c>
      <c r="F1011" s="3">
        <v>50790</v>
      </c>
      <c r="G1011" s="3">
        <v>1730</v>
      </c>
      <c r="H1011" s="3">
        <v>63</v>
      </c>
      <c r="I1011" s="4">
        <v>3511.97</v>
      </c>
      <c r="J1011" s="4">
        <v>7150.79</v>
      </c>
      <c r="K1011" s="3">
        <v>29</v>
      </c>
      <c r="L1011" s="2" t="s">
        <v>2518</v>
      </c>
      <c r="M1011" s="2" t="s">
        <v>2519</v>
      </c>
      <c r="N1011" t="str">
        <f>TRIM(PROPER(Tabla_auditoría[[#This Row],[ID_Campaña]]))</f>
        <v>Cmp-006</v>
      </c>
      <c r="O1011" t="str">
        <f>TRIM(PROPER(Tabla_auditoría[[#This Row],[Canal]]))</f>
        <v>Paid Search</v>
      </c>
      <c r="P1011" t="str">
        <f>TRIM(PROPER(Tabla_auditoría[[#This Row],[País]]))</f>
        <v>España</v>
      </c>
      <c r="Q1011" t="str">
        <f>TRIM(PROPER(Tabla_auditoría[[#This Row],[Dispositivo]]))</f>
        <v>Desktop</v>
      </c>
      <c r="R1011" t="str">
        <f>TRIM(PROPER(Tabla_auditoría[[#This Row],[Tipo_Campaña]]))</f>
        <v>Adquisición</v>
      </c>
      <c r="S1011" t="str">
        <f>TRIM(PROPER(Tabla_auditoría[[#This Row],[Responsable]]))</f>
        <v>Carlos Ruiz</v>
      </c>
    </row>
    <row r="1012" spans="1:19" x14ac:dyDescent="0.3">
      <c r="A1012" s="1">
        <v>45873</v>
      </c>
      <c r="B1012" s="2" t="s">
        <v>2554</v>
      </c>
      <c r="C1012" s="2" t="s">
        <v>2543</v>
      </c>
      <c r="D1012" s="2" t="s">
        <v>2531</v>
      </c>
      <c r="E1012" s="2" t="s">
        <v>2529</v>
      </c>
      <c r="F1012" s="3">
        <v>84018</v>
      </c>
      <c r="G1012" s="3">
        <v>1899</v>
      </c>
      <c r="H1012" s="3">
        <v>225</v>
      </c>
      <c r="I1012" s="4">
        <v>1804.78</v>
      </c>
      <c r="J1012" s="4">
        <v>6499.81</v>
      </c>
      <c r="K1012" s="3">
        <v>189</v>
      </c>
      <c r="L1012" s="2" t="s">
        <v>2518</v>
      </c>
      <c r="M1012" s="2" t="s">
        <v>2519</v>
      </c>
      <c r="N1012" t="str">
        <f>TRIM(PROPER(Tabla_auditoría[[#This Row],[ID_Campaña]]))</f>
        <v>Cmp-019</v>
      </c>
      <c r="O1012" t="str">
        <f>TRIM(PROPER(Tabla_auditoría[[#This Row],[Canal]]))</f>
        <v>Organic Social</v>
      </c>
      <c r="P1012" t="str">
        <f>TRIM(PROPER(Tabla_auditoría[[#This Row],[País]]))</f>
        <v>Portugal</v>
      </c>
      <c r="Q1012" t="str">
        <f>TRIM(PROPER(Tabla_auditoría[[#This Row],[Dispositivo]]))</f>
        <v>Mobile</v>
      </c>
      <c r="R1012" t="str">
        <f>TRIM(PROPER(Tabla_auditoría[[#This Row],[Tipo_Campaña]]))</f>
        <v>Adquisición</v>
      </c>
      <c r="S1012" t="str">
        <f>TRIM(PROPER(Tabla_auditoría[[#This Row],[Responsable]]))</f>
        <v>Carlos Ruiz</v>
      </c>
    </row>
    <row r="1013" spans="1:19" x14ac:dyDescent="0.3">
      <c r="A1013" s="1">
        <v>45823</v>
      </c>
      <c r="B1013" s="2" t="s">
        <v>2551</v>
      </c>
      <c r="C1013" s="2" t="s">
        <v>2521</v>
      </c>
      <c r="D1013" s="2" t="s">
        <v>2525</v>
      </c>
      <c r="E1013" s="2" t="s">
        <v>2529</v>
      </c>
      <c r="F1013" s="3">
        <v>49479</v>
      </c>
      <c r="G1013" s="3">
        <v>4264</v>
      </c>
      <c r="H1013" s="3">
        <v>34</v>
      </c>
      <c r="I1013" s="4">
        <v>8570.36</v>
      </c>
      <c r="J1013" s="4">
        <v>665.5</v>
      </c>
      <c r="K1013" s="3">
        <v>26</v>
      </c>
      <c r="L1013" s="2" t="s">
        <v>2518</v>
      </c>
      <c r="M1013" s="2" t="s">
        <v>2526</v>
      </c>
      <c r="N1013" t="str">
        <f>TRIM(PROPER(Tabla_auditoría[[#This Row],[ID_Campaña]]))</f>
        <v>Cmp-028</v>
      </c>
      <c r="O1013" t="str">
        <f>TRIM(PROPER(Tabla_auditoría[[#This Row],[Canal]]))</f>
        <v>Paid Search</v>
      </c>
      <c r="P1013" t="str">
        <f>TRIM(PROPER(Tabla_auditoría[[#This Row],[País]]))</f>
        <v>Francia</v>
      </c>
      <c r="Q1013" t="str">
        <f>TRIM(PROPER(Tabla_auditoría[[#This Row],[Dispositivo]]))</f>
        <v>Mobile</v>
      </c>
      <c r="R1013" t="str">
        <f>TRIM(PROPER(Tabla_auditoría[[#This Row],[Tipo_Campaña]]))</f>
        <v>Adquisición</v>
      </c>
      <c r="S1013" t="str">
        <f>TRIM(PROPER(Tabla_auditoría[[#This Row],[Responsable]]))</f>
        <v>Laura Pérez</v>
      </c>
    </row>
    <row r="1014" spans="1:19" x14ac:dyDescent="0.3">
      <c r="A1014" s="1">
        <v>45704</v>
      </c>
      <c r="B1014" s="2" t="s">
        <v>2514</v>
      </c>
      <c r="C1014" s="2" t="s">
        <v>2521</v>
      </c>
      <c r="D1014" s="2" t="s">
        <v>2531</v>
      </c>
      <c r="E1014" s="2" t="s">
        <v>2529</v>
      </c>
      <c r="F1014" s="3">
        <v>135898</v>
      </c>
      <c r="G1014" s="3">
        <v>11029</v>
      </c>
      <c r="H1014" s="3">
        <v>341</v>
      </c>
      <c r="I1014" s="4">
        <v>10182.02</v>
      </c>
      <c r="J1014" s="4">
        <v>57607.519999999997</v>
      </c>
      <c r="K1014" s="3">
        <v>252</v>
      </c>
      <c r="L1014" s="2" t="s">
        <v>2536</v>
      </c>
      <c r="M1014" s="2" t="s">
        <v>2546</v>
      </c>
      <c r="N1014" t="str">
        <f>TRIM(PROPER(Tabla_auditoría[[#This Row],[ID_Campaña]]))</f>
        <v>Cmp-002</v>
      </c>
      <c r="O1014" t="str">
        <f>TRIM(PROPER(Tabla_auditoría[[#This Row],[Canal]]))</f>
        <v>Paid Search</v>
      </c>
      <c r="P1014" t="str">
        <f>TRIM(PROPER(Tabla_auditoría[[#This Row],[País]]))</f>
        <v>Portugal</v>
      </c>
      <c r="Q1014" t="str">
        <f>TRIM(PROPER(Tabla_auditoría[[#This Row],[Dispositivo]]))</f>
        <v>Mobile</v>
      </c>
      <c r="R1014" t="str">
        <f>TRIM(PROPER(Tabla_auditoría[[#This Row],[Tipo_Campaña]]))</f>
        <v>Reconocimiento</v>
      </c>
      <c r="S1014" t="str">
        <f>TRIM(PROPER(Tabla_auditoría[[#This Row],[Responsable]]))</f>
        <v>Ana García</v>
      </c>
    </row>
    <row r="1015" spans="1:19" x14ac:dyDescent="0.3">
      <c r="A1015" s="1">
        <v>45734</v>
      </c>
      <c r="B1015" s="2" t="s">
        <v>2556</v>
      </c>
      <c r="C1015" s="2" t="s">
        <v>2521</v>
      </c>
      <c r="D1015" s="2" t="s">
        <v>2516</v>
      </c>
      <c r="E1015" s="2" t="s">
        <v>2517</v>
      </c>
      <c r="F1015" s="3">
        <v>53396</v>
      </c>
      <c r="G1015" s="3">
        <v>2714</v>
      </c>
      <c r="H1015" s="3">
        <v>91</v>
      </c>
      <c r="I1015" s="4">
        <v>2052.33</v>
      </c>
      <c r="J1015" s="4">
        <v>7483.75</v>
      </c>
      <c r="K1015" s="3">
        <v>59</v>
      </c>
      <c r="L1015" s="2" t="s">
        <v>2518</v>
      </c>
      <c r="M1015" s="2" t="s">
        <v>2526</v>
      </c>
      <c r="N1015" t="str">
        <f>TRIM(PROPER(Tabla_auditoría[[#This Row],[ID_Campaña]]))</f>
        <v>Cmp-014</v>
      </c>
      <c r="O1015" t="str">
        <f>TRIM(PROPER(Tabla_auditoría[[#This Row],[Canal]]))</f>
        <v>Paid Search</v>
      </c>
      <c r="P1015" t="str">
        <f>TRIM(PROPER(Tabla_auditoría[[#This Row],[País]]))</f>
        <v>México</v>
      </c>
      <c r="Q1015" t="str">
        <f>TRIM(PROPER(Tabla_auditoría[[#This Row],[Dispositivo]]))</f>
        <v>Desktop</v>
      </c>
      <c r="R1015" t="str">
        <f>TRIM(PROPER(Tabla_auditoría[[#This Row],[Tipo_Campaña]]))</f>
        <v>Adquisición</v>
      </c>
      <c r="S1015" t="str">
        <f>TRIM(PROPER(Tabla_auditoría[[#This Row],[Responsable]]))</f>
        <v>Laura Pérez</v>
      </c>
    </row>
    <row r="1016" spans="1:19" x14ac:dyDescent="0.3">
      <c r="A1016" s="1">
        <v>45973</v>
      </c>
      <c r="B1016" s="2" t="s">
        <v>2514</v>
      </c>
      <c r="C1016" s="2" t="s">
        <v>2527</v>
      </c>
      <c r="D1016" s="2" t="s">
        <v>2528</v>
      </c>
      <c r="E1016" s="2" t="s">
        <v>2517</v>
      </c>
      <c r="F1016" s="3">
        <v>64063</v>
      </c>
      <c r="G1016" s="3">
        <v>65037</v>
      </c>
      <c r="H1016" s="3">
        <v>92</v>
      </c>
      <c r="I1016" s="4">
        <v>5526.32</v>
      </c>
      <c r="J1016" s="4">
        <v>11954.8</v>
      </c>
      <c r="K1016" s="3">
        <v>60</v>
      </c>
      <c r="L1016" s="2" t="s">
        <v>2536</v>
      </c>
      <c r="M1016" s="2" t="s">
        <v>2537</v>
      </c>
      <c r="N1016" t="str">
        <f>TRIM(PROPER(Tabla_auditoría[[#This Row],[ID_Campaña]]))</f>
        <v>Cmp-002</v>
      </c>
      <c r="O1016" t="str">
        <f>TRIM(PROPER(Tabla_auditoría[[#This Row],[Canal]]))</f>
        <v>Affiliate</v>
      </c>
      <c r="P1016" t="str">
        <f>TRIM(PROPER(Tabla_auditoría[[#This Row],[País]]))</f>
        <v>España</v>
      </c>
      <c r="Q1016" t="str">
        <f>TRIM(PROPER(Tabla_auditoría[[#This Row],[Dispositivo]]))</f>
        <v>Desktop</v>
      </c>
      <c r="R1016" t="str">
        <f>TRIM(PROPER(Tabla_auditoría[[#This Row],[Tipo_Campaña]]))</f>
        <v>Reconocimiento</v>
      </c>
      <c r="S1016" t="str">
        <f>TRIM(PROPER(Tabla_auditoría[[#This Row],[Responsable]]))</f>
        <v>Marta López</v>
      </c>
    </row>
    <row r="1017" spans="1:19" x14ac:dyDescent="0.3">
      <c r="A1017" s="1">
        <v>45838</v>
      </c>
      <c r="B1017" s="2" t="s">
        <v>2514</v>
      </c>
      <c r="C1017" s="2" t="s">
        <v>2541</v>
      </c>
      <c r="D1017" s="2" t="s">
        <v>2528</v>
      </c>
      <c r="E1017" s="2" t="s">
        <v>2529</v>
      </c>
      <c r="F1017" s="3">
        <v>10447</v>
      </c>
      <c r="G1017" s="3">
        <v>663</v>
      </c>
      <c r="H1017" s="3">
        <v>23</v>
      </c>
      <c r="I1017" s="4">
        <v>995.72</v>
      </c>
      <c r="J1017" s="4">
        <v>3015.39</v>
      </c>
      <c r="K1017" s="3">
        <v>17</v>
      </c>
      <c r="L1017" s="2" t="s">
        <v>2536</v>
      </c>
      <c r="M1017" s="2" t="s">
        <v>2524</v>
      </c>
      <c r="N1017" t="str">
        <f>TRIM(PROPER(Tabla_auditoría[[#This Row],[ID_Campaña]]))</f>
        <v>Cmp-002</v>
      </c>
      <c r="O1017" t="str">
        <f>TRIM(PROPER(Tabla_auditoría[[#This Row],[Canal]]))</f>
        <v>Display</v>
      </c>
      <c r="P1017" t="str">
        <f>TRIM(PROPER(Tabla_auditoría[[#This Row],[País]]))</f>
        <v>España</v>
      </c>
      <c r="Q1017" t="str">
        <f>TRIM(PROPER(Tabla_auditoría[[#This Row],[Dispositivo]]))</f>
        <v>Mobile</v>
      </c>
      <c r="R1017" t="str">
        <f>TRIM(PROPER(Tabla_auditoría[[#This Row],[Tipo_Campaña]]))</f>
        <v>Reconocimiento</v>
      </c>
      <c r="S1017" t="str">
        <f>TRIM(PROPER(Tabla_auditoría[[#This Row],[Responsable]]))</f>
        <v>Luis Martín</v>
      </c>
    </row>
    <row r="1018" spans="1:19" x14ac:dyDescent="0.3">
      <c r="A1018" s="1">
        <v>45915</v>
      </c>
      <c r="B1018" s="2" t="s">
        <v>2538</v>
      </c>
      <c r="C1018" s="2" t="s">
        <v>2533</v>
      </c>
      <c r="D1018" s="2" t="s">
        <v>2522</v>
      </c>
      <c r="E1018" s="2" t="s">
        <v>2517</v>
      </c>
      <c r="F1018" s="3">
        <v>72023</v>
      </c>
      <c r="G1018" s="3">
        <v>5074</v>
      </c>
      <c r="H1018" s="3">
        <v>170</v>
      </c>
      <c r="I1018" s="4">
        <v>1589.75</v>
      </c>
      <c r="J1018" s="4">
        <v>12513.31</v>
      </c>
      <c r="K1018" s="3">
        <v>103</v>
      </c>
      <c r="L1018" s="2" t="s">
        <v>2523</v>
      </c>
      <c r="M1018" s="2" t="s">
        <v>2526</v>
      </c>
      <c r="N1018" t="str">
        <f>TRIM(PROPER(Tabla_auditoría[[#This Row],[ID_Campaña]]))</f>
        <v>Cmp-004</v>
      </c>
      <c r="O1018" t="str">
        <f>TRIM(PROPER(Tabla_auditoría[[#This Row],[Canal]]))</f>
        <v>Paid Social</v>
      </c>
      <c r="P1018" t="str">
        <f>TRIM(PROPER(Tabla_auditoría[[#This Row],[País]]))</f>
        <v>Italia</v>
      </c>
      <c r="Q1018" t="str">
        <f>TRIM(PROPER(Tabla_auditoría[[#This Row],[Dispositivo]]))</f>
        <v>Desktop</v>
      </c>
      <c r="R1018" t="str">
        <f>TRIM(PROPER(Tabla_auditoría[[#This Row],[Tipo_Campaña]]))</f>
        <v>Retención</v>
      </c>
      <c r="S1018" t="str">
        <f>TRIM(PROPER(Tabla_auditoría[[#This Row],[Responsable]]))</f>
        <v>Laura Pérez</v>
      </c>
    </row>
    <row r="1019" spans="1:19" x14ac:dyDescent="0.3">
      <c r="A1019" s="1">
        <v>45934</v>
      </c>
      <c r="B1019" s="2" t="s">
        <v>2538</v>
      </c>
      <c r="C1019" s="2" t="s">
        <v>2527</v>
      </c>
      <c r="D1019" s="2" t="s">
        <v>2531</v>
      </c>
      <c r="E1019" s="2" t="s">
        <v>2517</v>
      </c>
      <c r="F1019" s="3">
        <v>44007</v>
      </c>
      <c r="G1019" s="3">
        <v>1585</v>
      </c>
      <c r="H1019" s="3">
        <v>146</v>
      </c>
      <c r="I1019" s="4">
        <v>2086.08</v>
      </c>
      <c r="J1019" s="4">
        <v>30913.98</v>
      </c>
      <c r="K1019" s="3">
        <v>76</v>
      </c>
      <c r="L1019" s="2" t="s">
        <v>2539</v>
      </c>
      <c r="M1019" s="2" t="s">
        <v>2546</v>
      </c>
      <c r="N1019" t="str">
        <f>TRIM(PROPER(Tabla_auditoría[[#This Row],[ID_Campaña]]))</f>
        <v>Cmp-004</v>
      </c>
      <c r="O1019" t="str">
        <f>TRIM(PROPER(Tabla_auditoría[[#This Row],[Canal]]))</f>
        <v>Affiliate</v>
      </c>
      <c r="P1019" t="str">
        <f>TRIM(PROPER(Tabla_auditoría[[#This Row],[País]]))</f>
        <v>Portugal</v>
      </c>
      <c r="Q1019" t="str">
        <f>TRIM(PROPER(Tabla_auditoría[[#This Row],[Dispositivo]]))</f>
        <v>Desktop</v>
      </c>
      <c r="R1019" t="str">
        <f>TRIM(PROPER(Tabla_auditoría[[#This Row],[Tipo_Campaña]]))</f>
        <v>Conversión</v>
      </c>
      <c r="S1019" t="str">
        <f>TRIM(PROPER(Tabla_auditoría[[#This Row],[Responsable]]))</f>
        <v>Ana García</v>
      </c>
    </row>
    <row r="1020" spans="1:19" x14ac:dyDescent="0.3">
      <c r="A1020" s="1">
        <v>45970</v>
      </c>
      <c r="B1020" s="2" t="s">
        <v>2570</v>
      </c>
      <c r="C1020" s="2" t="s">
        <v>2541</v>
      </c>
      <c r="D1020" s="2" t="s">
        <v>2525</v>
      </c>
      <c r="E1020" s="2" t="s">
        <v>2534</v>
      </c>
      <c r="F1020" s="3">
        <v>59084</v>
      </c>
      <c r="G1020" s="3">
        <v>761</v>
      </c>
      <c r="H1020" s="3">
        <v>86</v>
      </c>
      <c r="I1020" s="4">
        <v>443.84</v>
      </c>
      <c r="J1020" s="4">
        <v>7295.11</v>
      </c>
      <c r="K1020" s="3">
        <v>58</v>
      </c>
      <c r="L1020" s="2" t="s">
        <v>2539</v>
      </c>
      <c r="M1020" s="2" t="s">
        <v>2537</v>
      </c>
      <c r="N1020" t="str">
        <f>TRIM(PROPER(Tabla_auditoría[[#This Row],[ID_Campaña]]))</f>
        <v>Cmp-016</v>
      </c>
      <c r="O1020" t="str">
        <f>TRIM(PROPER(Tabla_auditoría[[#This Row],[Canal]]))</f>
        <v>Display</v>
      </c>
      <c r="P1020" t="str">
        <f>TRIM(PROPER(Tabla_auditoría[[#This Row],[País]]))</f>
        <v>Francia</v>
      </c>
      <c r="Q1020" t="str">
        <f>TRIM(PROPER(Tabla_auditoría[[#This Row],[Dispositivo]]))</f>
        <v>Tablet</v>
      </c>
      <c r="R1020" t="str">
        <f>TRIM(PROPER(Tabla_auditoría[[#This Row],[Tipo_Campaña]]))</f>
        <v>Conversión</v>
      </c>
      <c r="S1020" t="str">
        <f>TRIM(PROPER(Tabla_auditoría[[#This Row],[Responsable]]))</f>
        <v>Marta López</v>
      </c>
    </row>
    <row r="1021" spans="1:19" x14ac:dyDescent="0.3">
      <c r="A1021" s="1">
        <v>45945</v>
      </c>
      <c r="B1021" s="2" t="s">
        <v>2574</v>
      </c>
      <c r="C1021" s="2" t="s">
        <v>2543</v>
      </c>
      <c r="D1021" s="2" t="s">
        <v>2528</v>
      </c>
      <c r="E1021" s="2" t="s">
        <v>2517</v>
      </c>
      <c r="F1021" s="3">
        <v>100871</v>
      </c>
      <c r="G1021" s="3">
        <v>3780</v>
      </c>
      <c r="H1021" s="3">
        <v>114</v>
      </c>
      <c r="I1021" s="4">
        <v>3300.77</v>
      </c>
      <c r="J1021" s="4">
        <v>24063.17</v>
      </c>
      <c r="K1021" s="3">
        <v>96</v>
      </c>
      <c r="L1021" s="2" t="s">
        <v>2523</v>
      </c>
      <c r="M1021" s="2" t="s">
        <v>2526</v>
      </c>
      <c r="N1021" t="str">
        <f>TRIM(PROPER(Tabla_auditoría[[#This Row],[ID_Campaña]]))</f>
        <v>Cmp-003</v>
      </c>
      <c r="O1021" t="str">
        <f>TRIM(PROPER(Tabla_auditoría[[#This Row],[Canal]]))</f>
        <v>Organic Social</v>
      </c>
      <c r="P1021" t="str">
        <f>TRIM(PROPER(Tabla_auditoría[[#This Row],[País]]))</f>
        <v>España</v>
      </c>
      <c r="Q1021" t="str">
        <f>TRIM(PROPER(Tabla_auditoría[[#This Row],[Dispositivo]]))</f>
        <v>Desktop</v>
      </c>
      <c r="R1021" t="str">
        <f>TRIM(PROPER(Tabla_auditoría[[#This Row],[Tipo_Campaña]]))</f>
        <v>Retención</v>
      </c>
      <c r="S1021" t="str">
        <f>TRIM(PROPER(Tabla_auditoría[[#This Row],[Responsable]]))</f>
        <v>Laura Pérez</v>
      </c>
    </row>
    <row r="1022" spans="1:19" x14ac:dyDescent="0.3">
      <c r="A1022" s="1">
        <v>45874</v>
      </c>
      <c r="B1022" s="2" t="s">
        <v>2538</v>
      </c>
      <c r="C1022" s="2" t="s">
        <v>2533</v>
      </c>
      <c r="D1022" s="2" t="s">
        <v>2522</v>
      </c>
      <c r="E1022" s="2" t="s">
        <v>2517</v>
      </c>
      <c r="F1022" s="3">
        <v>111376</v>
      </c>
      <c r="G1022" s="3">
        <v>2750</v>
      </c>
      <c r="H1022" s="3">
        <v>119</v>
      </c>
      <c r="I1022" s="4">
        <v>5315.88</v>
      </c>
      <c r="J1022" s="4">
        <v>5031.13</v>
      </c>
      <c r="K1022" s="3">
        <v>80</v>
      </c>
      <c r="L1022" s="2" t="s">
        <v>2523</v>
      </c>
      <c r="M1022" s="2" t="s">
        <v>2546</v>
      </c>
      <c r="N1022" t="str">
        <f>TRIM(PROPER(Tabla_auditoría[[#This Row],[ID_Campaña]]))</f>
        <v>Cmp-004</v>
      </c>
      <c r="O1022" t="str">
        <f>TRIM(PROPER(Tabla_auditoría[[#This Row],[Canal]]))</f>
        <v>Paid Social</v>
      </c>
      <c r="P1022" t="str">
        <f>TRIM(PROPER(Tabla_auditoría[[#This Row],[País]]))</f>
        <v>Italia</v>
      </c>
      <c r="Q1022" t="str">
        <f>TRIM(PROPER(Tabla_auditoría[[#This Row],[Dispositivo]]))</f>
        <v>Desktop</v>
      </c>
      <c r="R1022" t="str">
        <f>TRIM(PROPER(Tabla_auditoría[[#This Row],[Tipo_Campaña]]))</f>
        <v>Retención</v>
      </c>
      <c r="S1022" t="str">
        <f>TRIM(PROPER(Tabla_auditoría[[#This Row],[Responsable]]))</f>
        <v>Ana García</v>
      </c>
    </row>
    <row r="1023" spans="1:19" x14ac:dyDescent="0.3">
      <c r="A1023" s="1">
        <v>45804</v>
      </c>
      <c r="B1023" s="2" t="s">
        <v>2570</v>
      </c>
      <c r="C1023" s="2" t="s">
        <v>2527</v>
      </c>
      <c r="D1023" s="2" t="s">
        <v>2528</v>
      </c>
      <c r="E1023" s="2" t="s">
        <v>2534</v>
      </c>
      <c r="F1023" s="3">
        <v>5456</v>
      </c>
      <c r="G1023" s="3">
        <v>150</v>
      </c>
      <c r="H1023" s="3">
        <v>9</v>
      </c>
      <c r="I1023" s="4">
        <v>16.22</v>
      </c>
      <c r="J1023" s="4">
        <v>622.11</v>
      </c>
      <c r="K1023" s="3">
        <v>4</v>
      </c>
      <c r="L1023" s="2" t="s">
        <v>2536</v>
      </c>
      <c r="M1023" s="2" t="s">
        <v>2524</v>
      </c>
      <c r="N1023" t="str">
        <f>TRIM(PROPER(Tabla_auditoría[[#This Row],[ID_Campaña]]))</f>
        <v>Cmp-016</v>
      </c>
      <c r="O1023" t="str">
        <f>TRIM(PROPER(Tabla_auditoría[[#This Row],[Canal]]))</f>
        <v>Affiliate</v>
      </c>
      <c r="P1023" t="str">
        <f>TRIM(PROPER(Tabla_auditoría[[#This Row],[País]]))</f>
        <v>España</v>
      </c>
      <c r="Q1023" t="str">
        <f>TRIM(PROPER(Tabla_auditoría[[#This Row],[Dispositivo]]))</f>
        <v>Tablet</v>
      </c>
      <c r="R1023" t="str">
        <f>TRIM(PROPER(Tabla_auditoría[[#This Row],[Tipo_Campaña]]))</f>
        <v>Reconocimiento</v>
      </c>
      <c r="S1023" t="str">
        <f>TRIM(PROPER(Tabla_auditoría[[#This Row],[Responsable]]))</f>
        <v>Luis Martín</v>
      </c>
    </row>
    <row r="1024" spans="1:19" x14ac:dyDescent="0.3">
      <c r="A1024" s="1">
        <v>45898</v>
      </c>
      <c r="B1024" s="2" t="s">
        <v>2563</v>
      </c>
      <c r="C1024" s="2" t="s">
        <v>2541</v>
      </c>
      <c r="D1024" s="2" t="s">
        <v>2528</v>
      </c>
      <c r="E1024" s="2" t="s">
        <v>2529</v>
      </c>
      <c r="F1024" s="3">
        <v>33954</v>
      </c>
      <c r="G1024" s="3">
        <v>238</v>
      </c>
      <c r="H1024" s="3">
        <v>19</v>
      </c>
      <c r="I1024" s="4">
        <v>324.16000000000003</v>
      </c>
      <c r="J1024" s="4">
        <v>572.46</v>
      </c>
      <c r="K1024" s="3">
        <v>11</v>
      </c>
      <c r="L1024" s="2" t="s">
        <v>2523</v>
      </c>
      <c r="M1024" s="2" t="s">
        <v>2519</v>
      </c>
      <c r="N1024" t="str">
        <f>TRIM(PROPER(Tabla_auditoría[[#This Row],[ID_Campaña]]))</f>
        <v>Cmp-023</v>
      </c>
      <c r="O1024" t="str">
        <f>TRIM(PROPER(Tabla_auditoría[[#This Row],[Canal]]))</f>
        <v>Display</v>
      </c>
      <c r="P1024" t="str">
        <f>TRIM(PROPER(Tabla_auditoría[[#This Row],[País]]))</f>
        <v>España</v>
      </c>
      <c r="Q1024" t="str">
        <f>TRIM(PROPER(Tabla_auditoría[[#This Row],[Dispositivo]]))</f>
        <v>Mobile</v>
      </c>
      <c r="R1024" t="str">
        <f>TRIM(PROPER(Tabla_auditoría[[#This Row],[Tipo_Campaña]]))</f>
        <v>Retención</v>
      </c>
      <c r="S1024" t="str">
        <f>TRIM(PROPER(Tabla_auditoría[[#This Row],[Responsable]]))</f>
        <v>Carlos Ruiz</v>
      </c>
    </row>
    <row r="1025" spans="1:19" x14ac:dyDescent="0.3">
      <c r="A1025" s="1">
        <v>45914</v>
      </c>
      <c r="B1025" s="2" t="s">
        <v>2535</v>
      </c>
      <c r="C1025" s="2" t="s">
        <v>2533</v>
      </c>
      <c r="D1025" s="2" t="s">
        <v>2528</v>
      </c>
      <c r="E1025" s="2" t="s">
        <v>2529</v>
      </c>
      <c r="F1025" s="3">
        <v>101921</v>
      </c>
      <c r="G1025" s="3">
        <v>5523</v>
      </c>
      <c r="H1025" s="3">
        <v>729</v>
      </c>
      <c r="I1025" s="4">
        <v>5460.95</v>
      </c>
      <c r="J1025" s="4">
        <v>95264.39</v>
      </c>
      <c r="K1025" s="3">
        <v>600</v>
      </c>
      <c r="L1025" s="2" t="s">
        <v>2518</v>
      </c>
      <c r="M1025" s="2" t="s">
        <v>2537</v>
      </c>
      <c r="N1025" t="str">
        <f>TRIM(PROPER(Tabla_auditoría[[#This Row],[ID_Campaña]]))</f>
        <v>Cmp-015</v>
      </c>
      <c r="O1025" t="str">
        <f>TRIM(PROPER(Tabla_auditoría[[#This Row],[Canal]]))</f>
        <v>Paid Social</v>
      </c>
      <c r="P1025" t="str">
        <f>TRIM(PROPER(Tabla_auditoría[[#This Row],[País]]))</f>
        <v>España</v>
      </c>
      <c r="Q1025" t="str">
        <f>TRIM(PROPER(Tabla_auditoría[[#This Row],[Dispositivo]]))</f>
        <v>Mobile</v>
      </c>
      <c r="R1025" t="str">
        <f>TRIM(PROPER(Tabla_auditoría[[#This Row],[Tipo_Campaña]]))</f>
        <v>Adquisición</v>
      </c>
      <c r="S1025" t="str">
        <f>TRIM(PROPER(Tabla_auditoría[[#This Row],[Responsable]]))</f>
        <v>Marta López</v>
      </c>
    </row>
    <row r="1026" spans="1:19" x14ac:dyDescent="0.3">
      <c r="A1026" s="1">
        <v>45919</v>
      </c>
      <c r="B1026" s="2" t="s">
        <v>2564</v>
      </c>
      <c r="C1026" s="2" t="s">
        <v>2543</v>
      </c>
      <c r="D1026" s="2" t="s">
        <v>2525</v>
      </c>
      <c r="E1026" s="2" t="s">
        <v>2517</v>
      </c>
      <c r="F1026" s="3">
        <v>107165</v>
      </c>
      <c r="G1026" s="3">
        <v>6279</v>
      </c>
      <c r="H1026" s="3">
        <v>96</v>
      </c>
      <c r="I1026" s="4">
        <v>11935.31</v>
      </c>
      <c r="J1026" s="4">
        <v>6865.66</v>
      </c>
      <c r="K1026" s="3">
        <v>49</v>
      </c>
      <c r="L1026" s="2" t="s">
        <v>2539</v>
      </c>
      <c r="M1026" s="2" t="s">
        <v>2524</v>
      </c>
      <c r="N1026" t="str">
        <f>TRIM(PROPER(Tabla_auditoría[[#This Row],[ID_Campaña]]))</f>
        <v>Cmp-024</v>
      </c>
      <c r="O1026" t="str">
        <f>TRIM(PROPER(Tabla_auditoría[[#This Row],[Canal]]))</f>
        <v>Organic Social</v>
      </c>
      <c r="P1026" t="str">
        <f>TRIM(PROPER(Tabla_auditoría[[#This Row],[País]]))</f>
        <v>Francia</v>
      </c>
      <c r="Q1026" t="str">
        <f>TRIM(PROPER(Tabla_auditoría[[#This Row],[Dispositivo]]))</f>
        <v>Desktop</v>
      </c>
      <c r="R1026" t="str">
        <f>TRIM(PROPER(Tabla_auditoría[[#This Row],[Tipo_Campaña]]))</f>
        <v>Conversión</v>
      </c>
      <c r="S1026" t="str">
        <f>TRIM(PROPER(Tabla_auditoría[[#This Row],[Responsable]]))</f>
        <v>Luis Martín</v>
      </c>
    </row>
    <row r="1027" spans="1:19" x14ac:dyDescent="0.3">
      <c r="A1027" s="1">
        <v>45737</v>
      </c>
      <c r="B1027" s="2" t="s">
        <v>2550</v>
      </c>
      <c r="C1027" s="2" t="s">
        <v>2521</v>
      </c>
      <c r="D1027" s="2" t="s">
        <v>2528</v>
      </c>
      <c r="E1027" s="2" t="s">
        <v>2529</v>
      </c>
      <c r="F1027" s="3">
        <v>155213</v>
      </c>
      <c r="G1027" s="3">
        <v>835</v>
      </c>
      <c r="H1027" s="3">
        <v>29</v>
      </c>
      <c r="I1027" s="4">
        <v>1531.41</v>
      </c>
      <c r="J1027" s="4">
        <v>5761.45</v>
      </c>
      <c r="K1027" s="3">
        <v>13</v>
      </c>
      <c r="L1027" s="2" t="s">
        <v>2523</v>
      </c>
      <c r="M1027" s="2" t="s">
        <v>2537</v>
      </c>
      <c r="N1027" t="str">
        <f>TRIM(PROPER(Tabla_auditoría[[#This Row],[ID_Campaña]]))</f>
        <v>Cmp-008</v>
      </c>
      <c r="O1027" t="str">
        <f>TRIM(PROPER(Tabla_auditoría[[#This Row],[Canal]]))</f>
        <v>Paid Search</v>
      </c>
      <c r="P1027" t="str">
        <f>TRIM(PROPER(Tabla_auditoría[[#This Row],[País]]))</f>
        <v>España</v>
      </c>
      <c r="Q1027" t="str">
        <f>TRIM(PROPER(Tabla_auditoría[[#This Row],[Dispositivo]]))</f>
        <v>Mobile</v>
      </c>
      <c r="R1027" t="str">
        <f>TRIM(PROPER(Tabla_auditoría[[#This Row],[Tipo_Campaña]]))</f>
        <v>Retención</v>
      </c>
      <c r="S1027" t="str">
        <f>TRIM(PROPER(Tabla_auditoría[[#This Row],[Responsable]]))</f>
        <v>Marta López</v>
      </c>
    </row>
    <row r="1028" spans="1:19" x14ac:dyDescent="0.3">
      <c r="A1028" s="1">
        <v>45889</v>
      </c>
      <c r="B1028" s="2" t="s">
        <v>2538</v>
      </c>
      <c r="C1028" s="2" t="s">
        <v>2543</v>
      </c>
      <c r="D1028" s="2" t="s">
        <v>2525</v>
      </c>
      <c r="E1028" s="2" t="s">
        <v>2517</v>
      </c>
      <c r="F1028" s="3">
        <v>59595</v>
      </c>
      <c r="G1028" s="3">
        <v>2773</v>
      </c>
      <c r="H1028" s="3">
        <v>37</v>
      </c>
      <c r="I1028" s="4">
        <v>2321</v>
      </c>
      <c r="J1028" s="4">
        <v>7160.45</v>
      </c>
      <c r="K1028" s="3">
        <v>19</v>
      </c>
      <c r="L1028" s="2" t="s">
        <v>2518</v>
      </c>
      <c r="M1028" s="2" t="s">
        <v>2537</v>
      </c>
      <c r="N1028" t="str">
        <f>TRIM(PROPER(Tabla_auditoría[[#This Row],[ID_Campaña]]))</f>
        <v>Cmp-004</v>
      </c>
      <c r="O1028" t="str">
        <f>TRIM(PROPER(Tabla_auditoría[[#This Row],[Canal]]))</f>
        <v>Organic Social</v>
      </c>
      <c r="P1028" t="str">
        <f>TRIM(PROPER(Tabla_auditoría[[#This Row],[País]]))</f>
        <v>Francia</v>
      </c>
      <c r="Q1028" t="str">
        <f>TRIM(PROPER(Tabla_auditoría[[#This Row],[Dispositivo]]))</f>
        <v>Desktop</v>
      </c>
      <c r="R1028" t="str">
        <f>TRIM(PROPER(Tabla_auditoría[[#This Row],[Tipo_Campaña]]))</f>
        <v>Adquisición</v>
      </c>
      <c r="S1028" t="str">
        <f>TRIM(PROPER(Tabla_auditoría[[#This Row],[Responsable]]))</f>
        <v>Marta López</v>
      </c>
    </row>
    <row r="1029" spans="1:19" x14ac:dyDescent="0.3">
      <c r="A1029" s="1">
        <v>45729</v>
      </c>
      <c r="B1029" s="2" t="s">
        <v>2547</v>
      </c>
      <c r="C1029" s="2" t="s">
        <v>2541</v>
      </c>
      <c r="D1029" s="2" t="s">
        <v>2528</v>
      </c>
      <c r="E1029" s="2" t="s">
        <v>2517</v>
      </c>
      <c r="F1029" s="3">
        <v>21538</v>
      </c>
      <c r="G1029" s="3">
        <v>840</v>
      </c>
      <c r="H1029" s="3">
        <v>26</v>
      </c>
      <c r="I1029" s="4">
        <v>1026</v>
      </c>
      <c r="J1029" s="4">
        <v>4557.84</v>
      </c>
      <c r="K1029" s="3">
        <v>12</v>
      </c>
      <c r="L1029" s="2" t="s">
        <v>2518</v>
      </c>
      <c r="M1029" s="2" t="s">
        <v>2546</v>
      </c>
      <c r="N1029" t="str">
        <f>TRIM(PROPER(Tabla_auditoría[[#This Row],[ID_Campaña]]))</f>
        <v>Cmp-018</v>
      </c>
      <c r="O1029" t="str">
        <f>TRIM(PROPER(Tabla_auditoría[[#This Row],[Canal]]))</f>
        <v>Display</v>
      </c>
      <c r="P1029" t="str">
        <f>TRIM(PROPER(Tabla_auditoría[[#This Row],[País]]))</f>
        <v>España</v>
      </c>
      <c r="Q1029" t="str">
        <f>TRIM(PROPER(Tabla_auditoría[[#This Row],[Dispositivo]]))</f>
        <v>Desktop</v>
      </c>
      <c r="R1029" t="str">
        <f>TRIM(PROPER(Tabla_auditoría[[#This Row],[Tipo_Campaña]]))</f>
        <v>Adquisición</v>
      </c>
      <c r="S1029" t="str">
        <f>TRIM(PROPER(Tabla_auditoría[[#This Row],[Responsable]]))</f>
        <v>Ana García</v>
      </c>
    </row>
    <row r="1030" spans="1:19" x14ac:dyDescent="0.3">
      <c r="A1030" s="1">
        <v>45839</v>
      </c>
      <c r="B1030" s="2" t="s">
        <v>2538</v>
      </c>
      <c r="C1030" s="2" t="s">
        <v>2533</v>
      </c>
      <c r="D1030" s="2" t="s">
        <v>2525</v>
      </c>
      <c r="E1030" s="2" t="s">
        <v>2517</v>
      </c>
      <c r="F1030" s="3">
        <v>158720</v>
      </c>
      <c r="G1030" s="3">
        <v>6006</v>
      </c>
      <c r="H1030" s="3">
        <v>322</v>
      </c>
      <c r="I1030" s="4">
        <v>5511.04</v>
      </c>
      <c r="J1030" s="4">
        <v>63861.56</v>
      </c>
      <c r="K1030" s="3">
        <v>238</v>
      </c>
      <c r="L1030" s="2" t="s">
        <v>2523</v>
      </c>
      <c r="M1030" s="2" t="s">
        <v>2524</v>
      </c>
      <c r="N1030" t="str">
        <f>TRIM(PROPER(Tabla_auditoría[[#This Row],[ID_Campaña]]))</f>
        <v>Cmp-004</v>
      </c>
      <c r="O1030" t="str">
        <f>TRIM(PROPER(Tabla_auditoría[[#This Row],[Canal]]))</f>
        <v>Paid Social</v>
      </c>
      <c r="P1030" t="str">
        <f>TRIM(PROPER(Tabla_auditoría[[#This Row],[País]]))</f>
        <v>Francia</v>
      </c>
      <c r="Q1030" t="str">
        <f>TRIM(PROPER(Tabla_auditoría[[#This Row],[Dispositivo]]))</f>
        <v>Desktop</v>
      </c>
      <c r="R1030" t="str">
        <f>TRIM(PROPER(Tabla_auditoría[[#This Row],[Tipo_Campaña]]))</f>
        <v>Retención</v>
      </c>
      <c r="S1030" t="str">
        <f>TRIM(PROPER(Tabla_auditoría[[#This Row],[Responsable]]))</f>
        <v>Luis Martín</v>
      </c>
    </row>
    <row r="1031" spans="1:19" x14ac:dyDescent="0.3">
      <c r="A1031" s="1">
        <v>45688</v>
      </c>
      <c r="B1031" s="2" t="s">
        <v>2540</v>
      </c>
      <c r="C1031" s="2" t="s">
        <v>2541</v>
      </c>
      <c r="D1031" s="2" t="s">
        <v>2525</v>
      </c>
      <c r="E1031" s="2" t="s">
        <v>2517</v>
      </c>
      <c r="F1031" s="3">
        <v>81630</v>
      </c>
      <c r="G1031" s="3">
        <v>5513</v>
      </c>
      <c r="H1031" s="3">
        <v>380</v>
      </c>
      <c r="I1031" s="4">
        <v>4046.19</v>
      </c>
      <c r="J1031" s="4">
        <v>68048.12</v>
      </c>
      <c r="K1031" s="3">
        <v>328</v>
      </c>
      <c r="L1031" s="2" t="s">
        <v>2523</v>
      </c>
      <c r="M1031" s="2" t="s">
        <v>2519</v>
      </c>
      <c r="N1031" t="str">
        <f>TRIM(PROPER(Tabla_auditoría[[#This Row],[ID_Campaña]]))</f>
        <v>Cmp-017</v>
      </c>
      <c r="O1031" t="str">
        <f>TRIM(PROPER(Tabla_auditoría[[#This Row],[Canal]]))</f>
        <v>Display</v>
      </c>
      <c r="P1031" t="str">
        <f>TRIM(PROPER(Tabla_auditoría[[#This Row],[País]]))</f>
        <v>Francia</v>
      </c>
      <c r="Q1031" t="str">
        <f>TRIM(PROPER(Tabla_auditoría[[#This Row],[Dispositivo]]))</f>
        <v>Desktop</v>
      </c>
      <c r="R1031" t="str">
        <f>TRIM(PROPER(Tabla_auditoría[[#This Row],[Tipo_Campaña]]))</f>
        <v>Retención</v>
      </c>
      <c r="S1031" t="str">
        <f>TRIM(PROPER(Tabla_auditoría[[#This Row],[Responsable]]))</f>
        <v>Carlos Ruiz</v>
      </c>
    </row>
    <row r="1032" spans="1:19" x14ac:dyDescent="0.3">
      <c r="A1032" s="1">
        <v>45861</v>
      </c>
      <c r="B1032" s="2" t="s">
        <v>2520</v>
      </c>
      <c r="C1032" s="2" t="s">
        <v>2521</v>
      </c>
      <c r="D1032" s="2" t="s">
        <v>2528</v>
      </c>
      <c r="E1032" s="2" t="s">
        <v>2517</v>
      </c>
      <c r="F1032" s="3">
        <v>57908</v>
      </c>
      <c r="G1032" s="3">
        <v>1711</v>
      </c>
      <c r="H1032" s="3">
        <v>95</v>
      </c>
      <c r="I1032" s="4">
        <v>962.21</v>
      </c>
      <c r="J1032" s="4">
        <v>19085.830000000002</v>
      </c>
      <c r="K1032" s="3">
        <v>45</v>
      </c>
      <c r="L1032" s="2" t="s">
        <v>2539</v>
      </c>
      <c r="M1032" s="2" t="s">
        <v>2524</v>
      </c>
      <c r="N1032" t="str">
        <f>TRIM(PROPER(Tabla_auditoría[[#This Row],[ID_Campaña]]))</f>
        <v>Cmp-009</v>
      </c>
      <c r="O1032" t="str">
        <f>TRIM(PROPER(Tabla_auditoría[[#This Row],[Canal]]))</f>
        <v>Paid Search</v>
      </c>
      <c r="P1032" t="str">
        <f>TRIM(PROPER(Tabla_auditoría[[#This Row],[País]]))</f>
        <v>España</v>
      </c>
      <c r="Q1032" t="str">
        <f>TRIM(PROPER(Tabla_auditoría[[#This Row],[Dispositivo]]))</f>
        <v>Desktop</v>
      </c>
      <c r="R1032" t="str">
        <f>TRIM(PROPER(Tabla_auditoría[[#This Row],[Tipo_Campaña]]))</f>
        <v>Conversión</v>
      </c>
      <c r="S1032" t="str">
        <f>TRIM(PROPER(Tabla_auditoría[[#This Row],[Responsable]]))</f>
        <v>Luis Martín</v>
      </c>
    </row>
    <row r="1033" spans="1:19" x14ac:dyDescent="0.3">
      <c r="A1033" s="1">
        <v>45992</v>
      </c>
      <c r="B1033" s="2" t="s">
        <v>2542</v>
      </c>
      <c r="C1033" s="2" t="s">
        <v>2527</v>
      </c>
      <c r="D1033" s="2" t="s">
        <v>2516</v>
      </c>
      <c r="E1033" s="2" t="s">
        <v>2529</v>
      </c>
      <c r="F1033" s="3">
        <v>9303</v>
      </c>
      <c r="G1033" s="3">
        <v>516</v>
      </c>
      <c r="H1033" s="3">
        <v>32</v>
      </c>
      <c r="I1033" s="4">
        <v>359.81</v>
      </c>
      <c r="J1033" s="4">
        <v>4431.95</v>
      </c>
      <c r="K1033" s="3">
        <v>28</v>
      </c>
      <c r="L1033" s="2" t="s">
        <v>2523</v>
      </c>
      <c r="M1033" s="2" t="s">
        <v>2524</v>
      </c>
      <c r="N1033" t="str">
        <f>TRIM(PROPER(Tabla_auditoría[[#This Row],[ID_Campaña]]))</f>
        <v>Cmp-025</v>
      </c>
      <c r="O1033" t="str">
        <f>TRIM(PROPER(Tabla_auditoría[[#This Row],[Canal]]))</f>
        <v>Affiliate</v>
      </c>
      <c r="P1033" t="str">
        <f>TRIM(PROPER(Tabla_auditoría[[#This Row],[País]]))</f>
        <v>México</v>
      </c>
      <c r="Q1033" t="str">
        <f>TRIM(PROPER(Tabla_auditoría[[#This Row],[Dispositivo]]))</f>
        <v>Mobile</v>
      </c>
      <c r="R1033" t="str">
        <f>TRIM(PROPER(Tabla_auditoría[[#This Row],[Tipo_Campaña]]))</f>
        <v>Retención</v>
      </c>
      <c r="S1033" t="str">
        <f>TRIM(PROPER(Tabla_auditoría[[#This Row],[Responsable]]))</f>
        <v>Luis Martín</v>
      </c>
    </row>
    <row r="1034" spans="1:19" x14ac:dyDescent="0.3">
      <c r="A1034" s="1">
        <v>45758</v>
      </c>
      <c r="B1034" s="2" t="s">
        <v>2545</v>
      </c>
      <c r="C1034" s="2" t="s">
        <v>2541</v>
      </c>
      <c r="D1034" s="2" t="s">
        <v>2522</v>
      </c>
      <c r="E1034" s="2" t="s">
        <v>2517</v>
      </c>
      <c r="F1034" s="3">
        <v>175964</v>
      </c>
      <c r="G1034" s="3">
        <v>15152</v>
      </c>
      <c r="H1034" s="3">
        <v>162</v>
      </c>
      <c r="I1034" s="4">
        <v>5445.96</v>
      </c>
      <c r="J1034" s="4">
        <v>14353.45</v>
      </c>
      <c r="K1034" s="3">
        <v>114</v>
      </c>
      <c r="L1034" s="2" t="s">
        <v>2539</v>
      </c>
      <c r="M1034" s="2" t="s">
        <v>2524</v>
      </c>
      <c r="N1034" t="str">
        <f>TRIM(PROPER(Tabla_auditoría[[#This Row],[ID_Campaña]]))</f>
        <v>Cmp-011</v>
      </c>
      <c r="O1034" t="str">
        <f>TRIM(PROPER(Tabla_auditoría[[#This Row],[Canal]]))</f>
        <v>Display</v>
      </c>
      <c r="P1034" t="str">
        <f>TRIM(PROPER(Tabla_auditoría[[#This Row],[País]]))</f>
        <v>Italia</v>
      </c>
      <c r="Q1034" t="str">
        <f>TRIM(PROPER(Tabla_auditoría[[#This Row],[Dispositivo]]))</f>
        <v>Desktop</v>
      </c>
      <c r="R1034" t="str">
        <f>TRIM(PROPER(Tabla_auditoría[[#This Row],[Tipo_Campaña]]))</f>
        <v>Conversión</v>
      </c>
      <c r="S1034" t="str">
        <f>TRIM(PROPER(Tabla_auditoría[[#This Row],[Responsable]]))</f>
        <v>Luis Martín</v>
      </c>
    </row>
    <row r="1035" spans="1:19" x14ac:dyDescent="0.3">
      <c r="A1035" s="1">
        <v>46003</v>
      </c>
      <c r="B1035" s="2" t="s">
        <v>2530</v>
      </c>
      <c r="C1035" s="2" t="s">
        <v>2541</v>
      </c>
      <c r="D1035" s="2" t="s">
        <v>2528</v>
      </c>
      <c r="E1035" s="2" t="s">
        <v>2517</v>
      </c>
      <c r="F1035" s="3">
        <v>38061</v>
      </c>
      <c r="G1035" s="3">
        <v>2140</v>
      </c>
      <c r="H1035" s="3">
        <v>38</v>
      </c>
      <c r="I1035" s="4">
        <v>1551.97</v>
      </c>
      <c r="J1035" s="4">
        <v>2846.51</v>
      </c>
      <c r="K1035" s="3">
        <v>25</v>
      </c>
      <c r="L1035" s="2" t="s">
        <v>2518</v>
      </c>
      <c r="M1035" s="2" t="s">
        <v>2519</v>
      </c>
      <c r="N1035" t="str">
        <f>TRIM(PROPER(Tabla_auditoría[[#This Row],[ID_Campaña]]))</f>
        <v>Cmp-026</v>
      </c>
      <c r="O1035" t="str">
        <f>TRIM(PROPER(Tabla_auditoría[[#This Row],[Canal]]))</f>
        <v>Display</v>
      </c>
      <c r="P1035" t="str">
        <f>TRIM(PROPER(Tabla_auditoría[[#This Row],[País]]))</f>
        <v>España</v>
      </c>
      <c r="Q1035" t="str">
        <f>TRIM(PROPER(Tabla_auditoría[[#This Row],[Dispositivo]]))</f>
        <v>Desktop</v>
      </c>
      <c r="R1035" t="str">
        <f>TRIM(PROPER(Tabla_auditoría[[#This Row],[Tipo_Campaña]]))</f>
        <v>Adquisición</v>
      </c>
      <c r="S1035" t="str">
        <f>TRIM(PROPER(Tabla_auditoría[[#This Row],[Responsable]]))</f>
        <v>Carlos Ruiz</v>
      </c>
    </row>
    <row r="1036" spans="1:19" x14ac:dyDescent="0.3">
      <c r="A1036" s="1">
        <v>45940</v>
      </c>
      <c r="B1036" s="2" t="s">
        <v>2556</v>
      </c>
      <c r="C1036" s="2" t="s">
        <v>2521</v>
      </c>
      <c r="D1036" s="2" t="s">
        <v>2528</v>
      </c>
      <c r="E1036" s="2" t="s">
        <v>2517</v>
      </c>
      <c r="F1036" s="3">
        <v>120062</v>
      </c>
      <c r="G1036" s="3">
        <v>6021</v>
      </c>
      <c r="H1036" s="3">
        <v>339</v>
      </c>
      <c r="I1036" s="4">
        <v>2374.61</v>
      </c>
      <c r="J1036" s="4">
        <v>23962</v>
      </c>
      <c r="K1036" s="3">
        <v>285</v>
      </c>
      <c r="L1036" s="2" t="s">
        <v>2536</v>
      </c>
      <c r="M1036" s="2" t="s">
        <v>2519</v>
      </c>
      <c r="N1036" t="str">
        <f>TRIM(PROPER(Tabla_auditoría[[#This Row],[ID_Campaña]]))</f>
        <v>Cmp-014</v>
      </c>
      <c r="O1036" t="str">
        <f>TRIM(PROPER(Tabla_auditoría[[#This Row],[Canal]]))</f>
        <v>Paid Search</v>
      </c>
      <c r="P1036" t="str">
        <f>TRIM(PROPER(Tabla_auditoría[[#This Row],[País]]))</f>
        <v>España</v>
      </c>
      <c r="Q1036" t="str">
        <f>TRIM(PROPER(Tabla_auditoría[[#This Row],[Dispositivo]]))</f>
        <v>Desktop</v>
      </c>
      <c r="R1036" t="str">
        <f>TRIM(PROPER(Tabla_auditoría[[#This Row],[Tipo_Campaña]]))</f>
        <v>Reconocimiento</v>
      </c>
      <c r="S1036" t="str">
        <f>TRIM(PROPER(Tabla_auditoría[[#This Row],[Responsable]]))</f>
        <v>Carlos Ruiz</v>
      </c>
    </row>
    <row r="1037" spans="1:19" x14ac:dyDescent="0.3">
      <c r="A1037" s="1">
        <v>45742</v>
      </c>
      <c r="B1037" s="2" t="s">
        <v>2556</v>
      </c>
      <c r="C1037" s="2" t="s">
        <v>2541</v>
      </c>
      <c r="D1037" s="2" t="s">
        <v>2528</v>
      </c>
      <c r="E1037" s="2" t="s">
        <v>2534</v>
      </c>
      <c r="F1037" s="3">
        <v>6031</v>
      </c>
      <c r="G1037" s="3">
        <v>70</v>
      </c>
      <c r="H1037" s="3">
        <v>7</v>
      </c>
      <c r="I1037" s="4">
        <v>35.159999999999997</v>
      </c>
      <c r="J1037" s="4">
        <v>1414.16</v>
      </c>
      <c r="K1037" s="3">
        <v>5</v>
      </c>
      <c r="L1037" s="2" t="s">
        <v>2536</v>
      </c>
      <c r="M1037" s="2" t="s">
        <v>2546</v>
      </c>
      <c r="N1037" t="str">
        <f>TRIM(PROPER(Tabla_auditoría[[#This Row],[ID_Campaña]]))</f>
        <v>Cmp-014</v>
      </c>
      <c r="O1037" t="str">
        <f>TRIM(PROPER(Tabla_auditoría[[#This Row],[Canal]]))</f>
        <v>Display</v>
      </c>
      <c r="P1037" t="str">
        <f>TRIM(PROPER(Tabla_auditoría[[#This Row],[País]]))</f>
        <v>España</v>
      </c>
      <c r="Q1037" t="str">
        <f>TRIM(PROPER(Tabla_auditoría[[#This Row],[Dispositivo]]))</f>
        <v>Tablet</v>
      </c>
      <c r="R1037" t="str">
        <f>TRIM(PROPER(Tabla_auditoría[[#This Row],[Tipo_Campaña]]))</f>
        <v>Reconocimiento</v>
      </c>
      <c r="S1037" t="str">
        <f>TRIM(PROPER(Tabla_auditoría[[#This Row],[Responsable]]))</f>
        <v>Ana García</v>
      </c>
    </row>
    <row r="1038" spans="1:19" x14ac:dyDescent="0.3">
      <c r="A1038" s="1">
        <v>45945</v>
      </c>
      <c r="B1038" s="2" t="s">
        <v>2563</v>
      </c>
      <c r="C1038" s="2" t="s">
        <v>2543</v>
      </c>
      <c r="D1038" s="2" t="s">
        <v>2522</v>
      </c>
      <c r="E1038" s="2" t="s">
        <v>2517</v>
      </c>
      <c r="F1038" s="3">
        <v>26682</v>
      </c>
      <c r="G1038" s="3">
        <v>1175</v>
      </c>
      <c r="H1038" s="3">
        <v>164</v>
      </c>
      <c r="I1038" s="4">
        <v>2044.65</v>
      </c>
      <c r="J1038" s="4">
        <v>6246.89</v>
      </c>
      <c r="K1038" s="3">
        <v>74</v>
      </c>
      <c r="L1038" s="2" t="s">
        <v>2518</v>
      </c>
      <c r="M1038" s="2" t="s">
        <v>2519</v>
      </c>
      <c r="N1038" t="str">
        <f>TRIM(PROPER(Tabla_auditoría[[#This Row],[ID_Campaña]]))</f>
        <v>Cmp-023</v>
      </c>
      <c r="O1038" t="str">
        <f>TRIM(PROPER(Tabla_auditoría[[#This Row],[Canal]]))</f>
        <v>Organic Social</v>
      </c>
      <c r="P1038" t="str">
        <f>TRIM(PROPER(Tabla_auditoría[[#This Row],[País]]))</f>
        <v>Italia</v>
      </c>
      <c r="Q1038" t="str">
        <f>TRIM(PROPER(Tabla_auditoría[[#This Row],[Dispositivo]]))</f>
        <v>Desktop</v>
      </c>
      <c r="R1038" t="str">
        <f>TRIM(PROPER(Tabla_auditoría[[#This Row],[Tipo_Campaña]]))</f>
        <v>Adquisición</v>
      </c>
      <c r="S1038" t="str">
        <f>TRIM(PROPER(Tabla_auditoría[[#This Row],[Responsable]]))</f>
        <v>Carlos Ruiz</v>
      </c>
    </row>
    <row r="1039" spans="1:19" x14ac:dyDescent="0.3">
      <c r="A1039" s="1">
        <v>46015</v>
      </c>
      <c r="B1039" s="2" t="s">
        <v>2568</v>
      </c>
      <c r="C1039" s="2" t="s">
        <v>2543</v>
      </c>
      <c r="D1039" s="2" t="s">
        <v>2525</v>
      </c>
      <c r="E1039" s="2" t="s">
        <v>2517</v>
      </c>
      <c r="F1039" s="3">
        <v>54337</v>
      </c>
      <c r="G1039" s="3">
        <v>1083</v>
      </c>
      <c r="H1039" s="3">
        <v>8</v>
      </c>
      <c r="I1039" s="4">
        <v>1985.77</v>
      </c>
      <c r="J1039" s="4">
        <v>1744.14</v>
      </c>
      <c r="K1039" s="3">
        <v>4</v>
      </c>
      <c r="L1039" s="2" t="s">
        <v>2536</v>
      </c>
      <c r="M1039" s="2" t="s">
        <v>2537</v>
      </c>
      <c r="N1039" t="str">
        <f>TRIM(PROPER(Tabla_auditoría[[#This Row],[ID_Campaña]]))</f>
        <v>Cmp-020</v>
      </c>
      <c r="O1039" t="str">
        <f>TRIM(PROPER(Tabla_auditoría[[#This Row],[Canal]]))</f>
        <v>Organic Social</v>
      </c>
      <c r="P1039" t="str">
        <f>TRIM(PROPER(Tabla_auditoría[[#This Row],[País]]))</f>
        <v>Francia</v>
      </c>
      <c r="Q1039" t="str">
        <f>TRIM(PROPER(Tabla_auditoría[[#This Row],[Dispositivo]]))</f>
        <v>Desktop</v>
      </c>
      <c r="R1039" t="str">
        <f>TRIM(PROPER(Tabla_auditoría[[#This Row],[Tipo_Campaña]]))</f>
        <v>Reconocimiento</v>
      </c>
      <c r="S1039" t="str">
        <f>TRIM(PROPER(Tabla_auditoría[[#This Row],[Responsable]]))</f>
        <v>Marta López</v>
      </c>
    </row>
    <row r="1040" spans="1:19" x14ac:dyDescent="0.3">
      <c r="A1040" s="1">
        <v>45684</v>
      </c>
      <c r="B1040" s="2" t="s">
        <v>2555</v>
      </c>
      <c r="C1040" s="2" t="s">
        <v>2515</v>
      </c>
      <c r="D1040" s="2" t="s">
        <v>2516</v>
      </c>
      <c r="E1040" s="2" t="s">
        <v>2529</v>
      </c>
      <c r="F1040" s="3">
        <v>13176</v>
      </c>
      <c r="G1040" s="3">
        <v>555</v>
      </c>
      <c r="H1040" s="3">
        <v>5</v>
      </c>
      <c r="I1040" s="4">
        <v>549.78</v>
      </c>
      <c r="J1040" s="4">
        <v>631.83000000000004</v>
      </c>
      <c r="K1040" s="3">
        <v>3</v>
      </c>
      <c r="L1040" s="2" t="s">
        <v>2536</v>
      </c>
      <c r="M1040" s="2" t="s">
        <v>2546</v>
      </c>
      <c r="N1040" t="str">
        <f>TRIM(PROPER(Tabla_auditoría[[#This Row],[ID_Campaña]]))</f>
        <v>Cmp-010</v>
      </c>
      <c r="O1040" t="str">
        <f>TRIM(PROPER(Tabla_auditoría[[#This Row],[Canal]]))</f>
        <v>Email</v>
      </c>
      <c r="P1040" t="str">
        <f>TRIM(PROPER(Tabla_auditoría[[#This Row],[País]]))</f>
        <v>México</v>
      </c>
      <c r="Q1040" t="str">
        <f>TRIM(PROPER(Tabla_auditoría[[#This Row],[Dispositivo]]))</f>
        <v>Mobile</v>
      </c>
      <c r="R1040" t="str">
        <f>TRIM(PROPER(Tabla_auditoría[[#This Row],[Tipo_Campaña]]))</f>
        <v>Reconocimiento</v>
      </c>
      <c r="S1040" t="str">
        <f>TRIM(PROPER(Tabla_auditoría[[#This Row],[Responsable]]))</f>
        <v>Ana García</v>
      </c>
    </row>
    <row r="1041" spans="1:19" x14ac:dyDescent="0.3">
      <c r="A1041" s="1">
        <v>45668</v>
      </c>
      <c r="B1041" s="2" t="s">
        <v>2550</v>
      </c>
      <c r="C1041" s="2" t="s">
        <v>2515</v>
      </c>
      <c r="D1041" s="2" t="s">
        <v>2528</v>
      </c>
      <c r="E1041" s="2" t="s">
        <v>2517</v>
      </c>
      <c r="F1041" s="3">
        <v>12534</v>
      </c>
      <c r="G1041" s="3">
        <v>184</v>
      </c>
      <c r="H1041" s="3">
        <v>2</v>
      </c>
      <c r="I1041" s="4">
        <v>301.64</v>
      </c>
      <c r="J1041" s="4">
        <v>247.54</v>
      </c>
      <c r="K1041" s="3">
        <v>1</v>
      </c>
      <c r="L1041" s="2" t="s">
        <v>2539</v>
      </c>
      <c r="M1041" s="2" t="s">
        <v>2546</v>
      </c>
      <c r="N1041" t="str">
        <f>TRIM(PROPER(Tabla_auditoría[[#This Row],[ID_Campaña]]))</f>
        <v>Cmp-008</v>
      </c>
      <c r="O1041" t="str">
        <f>TRIM(PROPER(Tabla_auditoría[[#This Row],[Canal]]))</f>
        <v>Email</v>
      </c>
      <c r="P1041" t="str">
        <f>TRIM(PROPER(Tabla_auditoría[[#This Row],[País]]))</f>
        <v>España</v>
      </c>
      <c r="Q1041" t="str">
        <f>TRIM(PROPER(Tabla_auditoría[[#This Row],[Dispositivo]]))</f>
        <v>Desktop</v>
      </c>
      <c r="R1041" t="str">
        <f>TRIM(PROPER(Tabla_auditoría[[#This Row],[Tipo_Campaña]]))</f>
        <v>Conversión</v>
      </c>
      <c r="S1041" t="str">
        <f>TRIM(PROPER(Tabla_auditoría[[#This Row],[Responsable]]))</f>
        <v>Ana García</v>
      </c>
    </row>
    <row r="1042" spans="1:19" x14ac:dyDescent="0.3">
      <c r="A1042" s="1">
        <v>46017</v>
      </c>
      <c r="B1042" s="2" t="s">
        <v>2544</v>
      </c>
      <c r="C1042" s="2" t="s">
        <v>2527</v>
      </c>
      <c r="D1042" s="2" t="s">
        <v>2516</v>
      </c>
      <c r="E1042" s="2" t="s">
        <v>2517</v>
      </c>
      <c r="F1042" s="3">
        <v>58798</v>
      </c>
      <c r="G1042" s="3">
        <v>3542</v>
      </c>
      <c r="H1042" s="3">
        <v>395</v>
      </c>
      <c r="I1042" s="4">
        <v>3713.96</v>
      </c>
      <c r="J1042" s="4">
        <v>13858.82</v>
      </c>
      <c r="K1042" s="3">
        <v>285</v>
      </c>
      <c r="L1042" s="2" t="s">
        <v>2523</v>
      </c>
      <c r="M1042" s="2" t="s">
        <v>2519</v>
      </c>
      <c r="N1042" t="str">
        <f>TRIM(PROPER(Tabla_auditoría[[#This Row],[ID_Campaña]]))</f>
        <v>Cmp-006</v>
      </c>
      <c r="O1042" t="str">
        <f>TRIM(PROPER(Tabla_auditoría[[#This Row],[Canal]]))</f>
        <v>Affiliate</v>
      </c>
      <c r="P1042" t="str">
        <f>TRIM(PROPER(Tabla_auditoría[[#This Row],[País]]))</f>
        <v>México</v>
      </c>
      <c r="Q1042" t="str">
        <f>TRIM(PROPER(Tabla_auditoría[[#This Row],[Dispositivo]]))</f>
        <v>Desktop</v>
      </c>
      <c r="R1042" t="str">
        <f>TRIM(PROPER(Tabla_auditoría[[#This Row],[Tipo_Campaña]]))</f>
        <v>Retención</v>
      </c>
      <c r="S1042" t="str">
        <f>TRIM(PROPER(Tabla_auditoría[[#This Row],[Responsable]]))</f>
        <v>Carlos Ruiz</v>
      </c>
    </row>
    <row r="1043" spans="1:19" x14ac:dyDescent="0.3">
      <c r="A1043" s="1">
        <v>45980</v>
      </c>
      <c r="B1043" s="2" t="s">
        <v>2530</v>
      </c>
      <c r="C1043" s="2" t="s">
        <v>2521</v>
      </c>
      <c r="D1043" s="2" t="s">
        <v>2528</v>
      </c>
      <c r="E1043" s="2" t="s">
        <v>2529</v>
      </c>
      <c r="F1043" s="3">
        <v>151157</v>
      </c>
      <c r="G1043" s="3">
        <v>8550</v>
      </c>
      <c r="H1043" s="3">
        <v>532</v>
      </c>
      <c r="I1043" s="4">
        <v>15989.44</v>
      </c>
      <c r="J1043" s="4">
        <v>75598.52</v>
      </c>
      <c r="K1043" s="3">
        <v>363</v>
      </c>
      <c r="L1043" s="2" t="s">
        <v>2523</v>
      </c>
      <c r="M1043" s="2" t="s">
        <v>2524</v>
      </c>
      <c r="N1043" t="str">
        <f>TRIM(PROPER(Tabla_auditoría[[#This Row],[ID_Campaña]]))</f>
        <v>Cmp-026</v>
      </c>
      <c r="O1043" t="str">
        <f>TRIM(PROPER(Tabla_auditoría[[#This Row],[Canal]]))</f>
        <v>Paid Search</v>
      </c>
      <c r="P1043" t="str">
        <f>TRIM(PROPER(Tabla_auditoría[[#This Row],[País]]))</f>
        <v>España</v>
      </c>
      <c r="Q1043" t="str">
        <f>TRIM(PROPER(Tabla_auditoría[[#This Row],[Dispositivo]]))</f>
        <v>Mobile</v>
      </c>
      <c r="R1043" t="str">
        <f>TRIM(PROPER(Tabla_auditoría[[#This Row],[Tipo_Campaña]]))</f>
        <v>Retención</v>
      </c>
      <c r="S1043" t="str">
        <f>TRIM(PROPER(Tabla_auditoría[[#This Row],[Responsable]]))</f>
        <v>Luis Martín</v>
      </c>
    </row>
    <row r="1044" spans="1:19" x14ac:dyDescent="0.3">
      <c r="A1044" s="1">
        <v>45833</v>
      </c>
      <c r="B1044" s="2" t="s">
        <v>2563</v>
      </c>
      <c r="C1044" s="2" t="s">
        <v>2515</v>
      </c>
      <c r="D1044" s="2" t="s">
        <v>2528</v>
      </c>
      <c r="E1044" s="2" t="s">
        <v>2517</v>
      </c>
      <c r="F1044" s="3">
        <v>66303</v>
      </c>
      <c r="G1044" s="3">
        <v>1148</v>
      </c>
      <c r="H1044" s="3">
        <v>37</v>
      </c>
      <c r="I1044" s="4">
        <v>1277.9000000000001</v>
      </c>
      <c r="J1044" s="4">
        <v>1031.99</v>
      </c>
      <c r="K1044" s="3">
        <v>18</v>
      </c>
      <c r="L1044" s="2" t="s">
        <v>2523</v>
      </c>
      <c r="M1044" s="2" t="s">
        <v>2524</v>
      </c>
      <c r="N1044" t="str">
        <f>TRIM(PROPER(Tabla_auditoría[[#This Row],[ID_Campaña]]))</f>
        <v>Cmp-023</v>
      </c>
      <c r="O1044" t="str">
        <f>TRIM(PROPER(Tabla_auditoría[[#This Row],[Canal]]))</f>
        <v>Email</v>
      </c>
      <c r="P1044" t="str">
        <f>TRIM(PROPER(Tabla_auditoría[[#This Row],[País]]))</f>
        <v>España</v>
      </c>
      <c r="Q1044" t="str">
        <f>TRIM(PROPER(Tabla_auditoría[[#This Row],[Dispositivo]]))</f>
        <v>Desktop</v>
      </c>
      <c r="R1044" t="str">
        <f>TRIM(PROPER(Tabla_auditoría[[#This Row],[Tipo_Campaña]]))</f>
        <v>Retención</v>
      </c>
      <c r="S1044" t="str">
        <f>TRIM(PROPER(Tabla_auditoría[[#This Row],[Responsable]]))</f>
        <v>Luis Martín</v>
      </c>
    </row>
    <row r="1045" spans="1:19" x14ac:dyDescent="0.3">
      <c r="A1045" s="1">
        <v>45681</v>
      </c>
      <c r="B1045" s="2" t="s">
        <v>2549</v>
      </c>
      <c r="C1045" s="2" t="s">
        <v>2541</v>
      </c>
      <c r="D1045" s="2" t="s">
        <v>2528</v>
      </c>
      <c r="E1045" s="2" t="s">
        <v>2534</v>
      </c>
      <c r="F1045" s="3">
        <v>140709</v>
      </c>
      <c r="G1045" s="3">
        <v>7129</v>
      </c>
      <c r="H1045" s="3">
        <v>182</v>
      </c>
      <c r="I1045" s="4">
        <v>2386.96</v>
      </c>
      <c r="J1045" s="4">
        <v>21092.59</v>
      </c>
      <c r="K1045" s="3">
        <v>150</v>
      </c>
      <c r="L1045" s="2" t="s">
        <v>2518</v>
      </c>
      <c r="M1045" s="2" t="s">
        <v>2519</v>
      </c>
      <c r="N1045" t="str">
        <f>TRIM(PROPER(Tabla_auditoría[[#This Row],[ID_Campaña]]))</f>
        <v>Cmp-007</v>
      </c>
      <c r="O1045" t="str">
        <f>TRIM(PROPER(Tabla_auditoría[[#This Row],[Canal]]))</f>
        <v>Display</v>
      </c>
      <c r="P1045" t="str">
        <f>TRIM(PROPER(Tabla_auditoría[[#This Row],[País]]))</f>
        <v>España</v>
      </c>
      <c r="Q1045" t="str">
        <f>TRIM(PROPER(Tabla_auditoría[[#This Row],[Dispositivo]]))</f>
        <v>Tablet</v>
      </c>
      <c r="R1045" t="str">
        <f>TRIM(PROPER(Tabla_auditoría[[#This Row],[Tipo_Campaña]]))</f>
        <v>Adquisición</v>
      </c>
      <c r="S1045" t="str">
        <f>TRIM(PROPER(Tabla_auditoría[[#This Row],[Responsable]]))</f>
        <v>Carlos Ruiz</v>
      </c>
    </row>
    <row r="1046" spans="1:19" x14ac:dyDescent="0.3">
      <c r="A1046" s="1">
        <v>45954</v>
      </c>
      <c r="B1046" s="2" t="s">
        <v>2530</v>
      </c>
      <c r="C1046" s="2" t="s">
        <v>2543</v>
      </c>
      <c r="D1046" s="2" t="s">
        <v>2528</v>
      </c>
      <c r="E1046" s="2" t="s">
        <v>2534</v>
      </c>
      <c r="F1046" s="3">
        <v>88162</v>
      </c>
      <c r="G1046" s="3">
        <v>5652</v>
      </c>
      <c r="H1046" s="3">
        <v>335</v>
      </c>
      <c r="I1046" s="4">
        <v>8104.04</v>
      </c>
      <c r="J1046" s="4">
        <v>15790.43</v>
      </c>
      <c r="K1046" s="3">
        <v>208</v>
      </c>
      <c r="L1046" s="2" t="s">
        <v>2518</v>
      </c>
      <c r="M1046" s="2" t="s">
        <v>2519</v>
      </c>
      <c r="N1046" t="str">
        <f>TRIM(PROPER(Tabla_auditoría[[#This Row],[ID_Campaña]]))</f>
        <v>Cmp-026</v>
      </c>
      <c r="O1046" t="str">
        <f>TRIM(PROPER(Tabla_auditoría[[#This Row],[Canal]]))</f>
        <v>Organic Social</v>
      </c>
      <c r="P1046" t="str">
        <f>TRIM(PROPER(Tabla_auditoría[[#This Row],[País]]))</f>
        <v>España</v>
      </c>
      <c r="Q1046" t="str">
        <f>TRIM(PROPER(Tabla_auditoría[[#This Row],[Dispositivo]]))</f>
        <v>Tablet</v>
      </c>
      <c r="R1046" t="str">
        <f>TRIM(PROPER(Tabla_auditoría[[#This Row],[Tipo_Campaña]]))</f>
        <v>Adquisición</v>
      </c>
      <c r="S1046" t="str">
        <f>TRIM(PROPER(Tabla_auditoría[[#This Row],[Responsable]]))</f>
        <v>Carlos Ruiz</v>
      </c>
    </row>
    <row r="1047" spans="1:19" x14ac:dyDescent="0.3">
      <c r="A1047" s="1">
        <v>45791</v>
      </c>
      <c r="B1047" s="2" t="s">
        <v>2571</v>
      </c>
      <c r="C1047" s="2" t="s">
        <v>2527</v>
      </c>
      <c r="D1047" s="2" t="s">
        <v>2528</v>
      </c>
      <c r="E1047" s="2" t="s">
        <v>2529</v>
      </c>
      <c r="F1047" s="3">
        <v>30292</v>
      </c>
      <c r="G1047" s="3">
        <v>2272</v>
      </c>
      <c r="H1047" s="3">
        <v>96</v>
      </c>
      <c r="I1047" s="4">
        <v>3811.78</v>
      </c>
      <c r="J1047" s="4">
        <v>3314.2</v>
      </c>
      <c r="K1047" s="3">
        <v>70</v>
      </c>
      <c r="L1047" s="2" t="s">
        <v>2523</v>
      </c>
      <c r="M1047" s="2" t="s">
        <v>2546</v>
      </c>
      <c r="N1047" t="str">
        <f>TRIM(PROPER(Tabla_auditoría[[#This Row],[ID_Campaña]]))</f>
        <v>Cmp-029</v>
      </c>
      <c r="O1047" t="str">
        <f>TRIM(PROPER(Tabla_auditoría[[#This Row],[Canal]]))</f>
        <v>Affiliate</v>
      </c>
      <c r="P1047" t="str">
        <f>TRIM(PROPER(Tabla_auditoría[[#This Row],[País]]))</f>
        <v>España</v>
      </c>
      <c r="Q1047" t="str">
        <f>TRIM(PROPER(Tabla_auditoría[[#This Row],[Dispositivo]]))</f>
        <v>Mobile</v>
      </c>
      <c r="R1047" t="str">
        <f>TRIM(PROPER(Tabla_auditoría[[#This Row],[Tipo_Campaña]]))</f>
        <v>Retención</v>
      </c>
      <c r="S1047" t="str">
        <f>TRIM(PROPER(Tabla_auditoría[[#This Row],[Responsable]]))</f>
        <v>Ana García</v>
      </c>
    </row>
    <row r="1048" spans="1:19" x14ac:dyDescent="0.3">
      <c r="A1048" s="1">
        <v>46014</v>
      </c>
      <c r="B1048" s="2" t="s">
        <v>2530</v>
      </c>
      <c r="C1048" s="2" t="s">
        <v>2543</v>
      </c>
      <c r="D1048" s="2" t="s">
        <v>2516</v>
      </c>
      <c r="E1048" s="2" t="s">
        <v>2517</v>
      </c>
      <c r="F1048" s="3">
        <v>64096</v>
      </c>
      <c r="G1048" s="3">
        <v>998</v>
      </c>
      <c r="H1048" s="3">
        <v>98</v>
      </c>
      <c r="I1048" s="4">
        <v>1261.94</v>
      </c>
      <c r="J1048" s="4">
        <v>10285.290000000001</v>
      </c>
      <c r="K1048" s="3">
        <v>71</v>
      </c>
      <c r="L1048" s="2" t="s">
        <v>2523</v>
      </c>
      <c r="M1048" s="2" t="s">
        <v>2524</v>
      </c>
      <c r="N1048" t="str">
        <f>TRIM(PROPER(Tabla_auditoría[[#This Row],[ID_Campaña]]))</f>
        <v>Cmp-026</v>
      </c>
      <c r="O1048" t="str">
        <f>TRIM(PROPER(Tabla_auditoría[[#This Row],[Canal]]))</f>
        <v>Organic Social</v>
      </c>
      <c r="P1048" t="str">
        <f>TRIM(PROPER(Tabla_auditoría[[#This Row],[País]]))</f>
        <v>México</v>
      </c>
      <c r="Q1048" t="str">
        <f>TRIM(PROPER(Tabla_auditoría[[#This Row],[Dispositivo]]))</f>
        <v>Desktop</v>
      </c>
      <c r="R1048" t="str">
        <f>TRIM(PROPER(Tabla_auditoría[[#This Row],[Tipo_Campaña]]))</f>
        <v>Retención</v>
      </c>
      <c r="S1048" t="str">
        <f>TRIM(PROPER(Tabla_auditoría[[#This Row],[Responsable]]))</f>
        <v>Luis Martín</v>
      </c>
    </row>
    <row r="1049" spans="1:19" x14ac:dyDescent="0.3">
      <c r="A1049" s="1">
        <v>46001</v>
      </c>
      <c r="B1049" s="2" t="s">
        <v>2540</v>
      </c>
      <c r="C1049" s="2" t="s">
        <v>2515</v>
      </c>
      <c r="D1049" s="2" t="s">
        <v>2516</v>
      </c>
      <c r="E1049" s="2" t="s">
        <v>2529</v>
      </c>
      <c r="F1049" s="3">
        <v>46248</v>
      </c>
      <c r="G1049" s="3">
        <v>2689</v>
      </c>
      <c r="H1049" s="3">
        <v>211</v>
      </c>
      <c r="I1049" s="4">
        <v>2592.69</v>
      </c>
      <c r="J1049" s="4">
        <v>27366.49</v>
      </c>
      <c r="K1049" s="3">
        <v>166</v>
      </c>
      <c r="L1049" s="2" t="s">
        <v>2536</v>
      </c>
      <c r="M1049" s="2" t="s">
        <v>2546</v>
      </c>
      <c r="N1049" t="str">
        <f>TRIM(PROPER(Tabla_auditoría[[#This Row],[ID_Campaña]]))</f>
        <v>Cmp-017</v>
      </c>
      <c r="O1049" t="str">
        <f>TRIM(PROPER(Tabla_auditoría[[#This Row],[Canal]]))</f>
        <v>Email</v>
      </c>
      <c r="P1049" t="str">
        <f>TRIM(PROPER(Tabla_auditoría[[#This Row],[País]]))</f>
        <v>México</v>
      </c>
      <c r="Q1049" t="str">
        <f>TRIM(PROPER(Tabla_auditoría[[#This Row],[Dispositivo]]))</f>
        <v>Mobile</v>
      </c>
      <c r="R1049" t="str">
        <f>TRIM(PROPER(Tabla_auditoría[[#This Row],[Tipo_Campaña]]))</f>
        <v>Reconocimiento</v>
      </c>
      <c r="S1049" t="str">
        <f>TRIM(PROPER(Tabla_auditoría[[#This Row],[Responsable]]))</f>
        <v>Ana García</v>
      </c>
    </row>
    <row r="1050" spans="1:19" x14ac:dyDescent="0.3">
      <c r="A1050" s="1">
        <v>45681</v>
      </c>
      <c r="B1050" s="2" t="s">
        <v>2565</v>
      </c>
      <c r="C1050" s="2" t="s">
        <v>2527</v>
      </c>
      <c r="D1050" s="2" t="s">
        <v>2528</v>
      </c>
      <c r="E1050" s="2" t="s">
        <v>2529</v>
      </c>
      <c r="F1050" s="3">
        <v>10708</v>
      </c>
      <c r="G1050" s="3">
        <v>45</v>
      </c>
      <c r="H1050" s="3">
        <v>1</v>
      </c>
      <c r="I1050" s="4">
        <v>34.369999999999997</v>
      </c>
      <c r="J1050" s="4">
        <v>16.84</v>
      </c>
      <c r="K1050" s="3">
        <v>0</v>
      </c>
      <c r="L1050" s="2" t="s">
        <v>2536</v>
      </c>
      <c r="M1050" s="2" t="s">
        <v>2526</v>
      </c>
      <c r="N1050" t="str">
        <f>TRIM(PROPER(Tabla_auditoría[[#This Row],[ID_Campaña]]))</f>
        <v>Cmp-005</v>
      </c>
      <c r="O1050" t="str">
        <f>TRIM(PROPER(Tabla_auditoría[[#This Row],[Canal]]))</f>
        <v>Affiliate</v>
      </c>
      <c r="P1050" t="str">
        <f>TRIM(PROPER(Tabla_auditoría[[#This Row],[País]]))</f>
        <v>España</v>
      </c>
      <c r="Q1050" t="str">
        <f>TRIM(PROPER(Tabla_auditoría[[#This Row],[Dispositivo]]))</f>
        <v>Mobile</v>
      </c>
      <c r="R1050" t="str">
        <f>TRIM(PROPER(Tabla_auditoría[[#This Row],[Tipo_Campaña]]))</f>
        <v>Reconocimiento</v>
      </c>
      <c r="S1050" t="str">
        <f>TRIM(PROPER(Tabla_auditoría[[#This Row],[Responsable]]))</f>
        <v>Laura Pérez</v>
      </c>
    </row>
    <row r="1051" spans="1:19" x14ac:dyDescent="0.3">
      <c r="A1051" s="1">
        <v>45665</v>
      </c>
      <c r="B1051" s="2" t="s">
        <v>2538</v>
      </c>
      <c r="C1051" s="2" t="s">
        <v>2521</v>
      </c>
      <c r="D1051" s="2" t="s">
        <v>2528</v>
      </c>
      <c r="E1051" s="2" t="s">
        <v>2517</v>
      </c>
      <c r="F1051" s="3">
        <v>144570</v>
      </c>
      <c r="G1051" s="3">
        <v>12150</v>
      </c>
      <c r="H1051" s="3">
        <v>1039</v>
      </c>
      <c r="I1051" s="4">
        <v>20749.13</v>
      </c>
      <c r="J1051" s="4">
        <v>164072.95999999999</v>
      </c>
      <c r="K1051" s="3">
        <v>853</v>
      </c>
      <c r="L1051" s="2" t="s">
        <v>2523</v>
      </c>
      <c r="M1051" s="2" t="s">
        <v>2526</v>
      </c>
      <c r="N1051" t="str">
        <f>TRIM(PROPER(Tabla_auditoría[[#This Row],[ID_Campaña]]))</f>
        <v>Cmp-004</v>
      </c>
      <c r="O1051" t="str">
        <f>TRIM(PROPER(Tabla_auditoría[[#This Row],[Canal]]))</f>
        <v>Paid Search</v>
      </c>
      <c r="P1051" t="str">
        <f>TRIM(PROPER(Tabla_auditoría[[#This Row],[País]]))</f>
        <v>España</v>
      </c>
      <c r="Q1051" t="str">
        <f>TRIM(PROPER(Tabla_auditoría[[#This Row],[Dispositivo]]))</f>
        <v>Desktop</v>
      </c>
      <c r="R1051" t="str">
        <f>TRIM(PROPER(Tabla_auditoría[[#This Row],[Tipo_Campaña]]))</f>
        <v>Retención</v>
      </c>
      <c r="S1051" t="str">
        <f>TRIM(PROPER(Tabla_auditoría[[#This Row],[Responsable]]))</f>
        <v>Laura Pérez</v>
      </c>
    </row>
    <row r="1052" spans="1:19" x14ac:dyDescent="0.3">
      <c r="A1052" s="1">
        <v>45870</v>
      </c>
      <c r="B1052" s="2" t="s">
        <v>2565</v>
      </c>
      <c r="C1052" s="2" t="s">
        <v>2533</v>
      </c>
      <c r="D1052" s="2" t="s">
        <v>2516</v>
      </c>
      <c r="E1052" s="2" t="s">
        <v>2529</v>
      </c>
      <c r="F1052" s="3">
        <v>160712</v>
      </c>
      <c r="G1052" s="3">
        <v>1782</v>
      </c>
      <c r="H1052" s="3">
        <v>115</v>
      </c>
      <c r="I1052" s="4">
        <v>1709.02</v>
      </c>
      <c r="J1052" s="4">
        <v>22142.66</v>
      </c>
      <c r="K1052" s="3">
        <v>91</v>
      </c>
      <c r="L1052" s="2" t="s">
        <v>2518</v>
      </c>
      <c r="M1052" s="2" t="s">
        <v>2524</v>
      </c>
      <c r="N1052" t="str">
        <f>TRIM(PROPER(Tabla_auditoría[[#This Row],[ID_Campaña]]))</f>
        <v>Cmp-005</v>
      </c>
      <c r="O1052" t="str">
        <f>TRIM(PROPER(Tabla_auditoría[[#This Row],[Canal]]))</f>
        <v>Paid Social</v>
      </c>
      <c r="P1052" t="str">
        <f>TRIM(PROPER(Tabla_auditoría[[#This Row],[País]]))</f>
        <v>México</v>
      </c>
      <c r="Q1052" t="str">
        <f>TRIM(PROPER(Tabla_auditoría[[#This Row],[Dispositivo]]))</f>
        <v>Mobile</v>
      </c>
      <c r="R1052" t="str">
        <f>TRIM(PROPER(Tabla_auditoría[[#This Row],[Tipo_Campaña]]))</f>
        <v>Adquisición</v>
      </c>
      <c r="S1052" t="str">
        <f>TRIM(PROPER(Tabla_auditoría[[#This Row],[Responsable]]))</f>
        <v>Luis Martín</v>
      </c>
    </row>
    <row r="1053" spans="1:19" x14ac:dyDescent="0.3">
      <c r="A1053" s="1">
        <v>45886</v>
      </c>
      <c r="B1053" s="2" t="s">
        <v>2568</v>
      </c>
      <c r="C1053" s="2" t="s">
        <v>2533</v>
      </c>
      <c r="D1053" s="2" t="s">
        <v>2528</v>
      </c>
      <c r="E1053" s="2" t="s">
        <v>2529</v>
      </c>
      <c r="F1053" s="3">
        <v>62910</v>
      </c>
      <c r="G1053" s="3">
        <v>4106</v>
      </c>
      <c r="H1053" s="3">
        <v>378</v>
      </c>
      <c r="I1053" s="4">
        <v>4598.8</v>
      </c>
      <c r="J1053" s="4">
        <v>78128.38</v>
      </c>
      <c r="K1053" s="3">
        <v>250</v>
      </c>
      <c r="L1053" s="2" t="s">
        <v>2523</v>
      </c>
      <c r="M1053" s="2" t="s">
        <v>2524</v>
      </c>
      <c r="N1053" t="str">
        <f>TRIM(PROPER(Tabla_auditoría[[#This Row],[ID_Campaña]]))</f>
        <v>Cmp-020</v>
      </c>
      <c r="O1053" t="str">
        <f>TRIM(PROPER(Tabla_auditoría[[#This Row],[Canal]]))</f>
        <v>Paid Social</v>
      </c>
      <c r="P1053" t="str">
        <f>TRIM(PROPER(Tabla_auditoría[[#This Row],[País]]))</f>
        <v>España</v>
      </c>
      <c r="Q1053" t="str">
        <f>TRIM(PROPER(Tabla_auditoría[[#This Row],[Dispositivo]]))</f>
        <v>Mobile</v>
      </c>
      <c r="R1053" t="str">
        <f>TRIM(PROPER(Tabla_auditoría[[#This Row],[Tipo_Campaña]]))</f>
        <v>Retención</v>
      </c>
      <c r="S1053" t="str">
        <f>TRIM(PROPER(Tabla_auditoría[[#This Row],[Responsable]]))</f>
        <v>Luis Martín</v>
      </c>
    </row>
    <row r="1054" spans="1:19" x14ac:dyDescent="0.3">
      <c r="A1054" s="1">
        <v>45866</v>
      </c>
      <c r="B1054" s="2" t="s">
        <v>2542</v>
      </c>
      <c r="C1054" s="2" t="s">
        <v>2543</v>
      </c>
      <c r="D1054" s="2" t="s">
        <v>2528</v>
      </c>
      <c r="E1054" s="2" t="s">
        <v>2529</v>
      </c>
      <c r="F1054" s="3">
        <v>42096</v>
      </c>
      <c r="G1054" s="3">
        <v>3647</v>
      </c>
      <c r="H1054" s="3">
        <v>78</v>
      </c>
      <c r="I1054" s="4">
        <v>5955.06</v>
      </c>
      <c r="J1054" s="4">
        <v>8670.44</v>
      </c>
      <c r="K1054" s="3">
        <v>62</v>
      </c>
      <c r="L1054" s="2" t="s">
        <v>2518</v>
      </c>
      <c r="M1054" s="2" t="s">
        <v>2526</v>
      </c>
      <c r="N1054" t="str">
        <f>TRIM(PROPER(Tabla_auditoría[[#This Row],[ID_Campaña]]))</f>
        <v>Cmp-025</v>
      </c>
      <c r="O1054" t="str">
        <f>TRIM(PROPER(Tabla_auditoría[[#This Row],[Canal]]))</f>
        <v>Organic Social</v>
      </c>
      <c r="P1054" t="str">
        <f>TRIM(PROPER(Tabla_auditoría[[#This Row],[País]]))</f>
        <v>España</v>
      </c>
      <c r="Q1054" t="str">
        <f>TRIM(PROPER(Tabla_auditoría[[#This Row],[Dispositivo]]))</f>
        <v>Mobile</v>
      </c>
      <c r="R1054" t="str">
        <f>TRIM(PROPER(Tabla_auditoría[[#This Row],[Tipo_Campaña]]))</f>
        <v>Adquisición</v>
      </c>
      <c r="S1054" t="str">
        <f>TRIM(PROPER(Tabla_auditoría[[#This Row],[Responsable]]))</f>
        <v>Laura Pérez</v>
      </c>
    </row>
    <row r="1055" spans="1:19" x14ac:dyDescent="0.3">
      <c r="A1055" s="1">
        <v>45978</v>
      </c>
      <c r="B1055" s="2" t="s">
        <v>2552</v>
      </c>
      <c r="C1055" s="2" t="s">
        <v>2541</v>
      </c>
      <c r="D1055" s="2" t="s">
        <v>2522</v>
      </c>
      <c r="E1055" s="2" t="s">
        <v>2534</v>
      </c>
      <c r="F1055" s="3">
        <v>49353</v>
      </c>
      <c r="G1055" s="3">
        <v>475</v>
      </c>
      <c r="H1055" s="3">
        <v>14</v>
      </c>
      <c r="I1055" s="4">
        <v>276.64999999999998</v>
      </c>
      <c r="J1055" s="4">
        <v>2505.61</v>
      </c>
      <c r="K1055" s="3">
        <v>7</v>
      </c>
      <c r="L1055" s="2" t="s">
        <v>2536</v>
      </c>
      <c r="M1055" s="2" t="s">
        <v>2526</v>
      </c>
      <c r="N1055" t="str">
        <f>TRIM(PROPER(Tabla_auditoría[[#This Row],[ID_Campaña]]))</f>
        <v>Cmp-012</v>
      </c>
      <c r="O1055" t="str">
        <f>TRIM(PROPER(Tabla_auditoría[[#This Row],[Canal]]))</f>
        <v>Display</v>
      </c>
      <c r="P1055" t="str">
        <f>TRIM(PROPER(Tabla_auditoría[[#This Row],[País]]))</f>
        <v>Italia</v>
      </c>
      <c r="Q1055" t="str">
        <f>TRIM(PROPER(Tabla_auditoría[[#This Row],[Dispositivo]]))</f>
        <v>Tablet</v>
      </c>
      <c r="R1055" t="str">
        <f>TRIM(PROPER(Tabla_auditoría[[#This Row],[Tipo_Campaña]]))</f>
        <v>Reconocimiento</v>
      </c>
      <c r="S1055" t="str">
        <f>TRIM(PROPER(Tabla_auditoría[[#This Row],[Responsable]]))</f>
        <v>Laura Pérez</v>
      </c>
    </row>
    <row r="1056" spans="1:19" x14ac:dyDescent="0.3">
      <c r="A1056" s="1">
        <v>45905</v>
      </c>
      <c r="B1056" s="2" t="s">
        <v>2540</v>
      </c>
      <c r="C1056" s="2" t="s">
        <v>2521</v>
      </c>
      <c r="D1056" s="2" t="s">
        <v>2528</v>
      </c>
      <c r="E1056" s="2" t="s">
        <v>2529</v>
      </c>
      <c r="F1056" s="3">
        <v>134045</v>
      </c>
      <c r="G1056" s="3">
        <v>10884</v>
      </c>
      <c r="H1056" s="3">
        <v>836</v>
      </c>
      <c r="I1056" s="4">
        <v>20466.03</v>
      </c>
      <c r="J1056" s="4">
        <v>48704.19</v>
      </c>
      <c r="K1056" s="3">
        <v>635</v>
      </c>
      <c r="L1056" s="2" t="s">
        <v>2518</v>
      </c>
      <c r="M1056" s="2" t="s">
        <v>2519</v>
      </c>
      <c r="N1056" t="str">
        <f>TRIM(PROPER(Tabla_auditoría[[#This Row],[ID_Campaña]]))</f>
        <v>Cmp-017</v>
      </c>
      <c r="O1056" t="str">
        <f>TRIM(PROPER(Tabla_auditoría[[#This Row],[Canal]]))</f>
        <v>Paid Search</v>
      </c>
      <c r="P1056" t="str">
        <f>TRIM(PROPER(Tabla_auditoría[[#This Row],[País]]))</f>
        <v>España</v>
      </c>
      <c r="Q1056" t="str">
        <f>TRIM(PROPER(Tabla_auditoría[[#This Row],[Dispositivo]]))</f>
        <v>Mobile</v>
      </c>
      <c r="R1056" t="str">
        <f>TRIM(PROPER(Tabla_auditoría[[#This Row],[Tipo_Campaña]]))</f>
        <v>Adquisición</v>
      </c>
      <c r="S1056" t="str">
        <f>TRIM(PROPER(Tabla_auditoría[[#This Row],[Responsable]]))</f>
        <v>Carlos Ruiz</v>
      </c>
    </row>
    <row r="1057" spans="1:19" x14ac:dyDescent="0.3">
      <c r="A1057" s="1">
        <v>45967</v>
      </c>
      <c r="B1057" s="2" t="s">
        <v>2560</v>
      </c>
      <c r="C1057" s="2" t="s">
        <v>2533</v>
      </c>
      <c r="D1057" s="2" t="s">
        <v>2528</v>
      </c>
      <c r="E1057" s="2" t="s">
        <v>2534</v>
      </c>
      <c r="F1057" s="3">
        <v>135125</v>
      </c>
      <c r="G1057" s="3">
        <v>8640</v>
      </c>
      <c r="H1057" s="3">
        <v>554</v>
      </c>
      <c r="I1057" s="4">
        <v>14429.25</v>
      </c>
      <c r="J1057" s="4">
        <v>48903.64</v>
      </c>
      <c r="K1057" s="3">
        <v>258</v>
      </c>
      <c r="L1057" s="2" t="s">
        <v>2539</v>
      </c>
      <c r="M1057" s="2" t="s">
        <v>2526</v>
      </c>
      <c r="N1057" t="str">
        <f>TRIM(PROPER(Tabla_auditoría[[#This Row],[ID_Campaña]]))</f>
        <v>Cmp-027</v>
      </c>
      <c r="O1057" t="str">
        <f>TRIM(PROPER(Tabla_auditoría[[#This Row],[Canal]]))</f>
        <v>Paid Social</v>
      </c>
      <c r="P1057" t="str">
        <f>TRIM(PROPER(Tabla_auditoría[[#This Row],[País]]))</f>
        <v>España</v>
      </c>
      <c r="Q1057" t="str">
        <f>TRIM(PROPER(Tabla_auditoría[[#This Row],[Dispositivo]]))</f>
        <v>Tablet</v>
      </c>
      <c r="R1057" t="str">
        <f>TRIM(PROPER(Tabla_auditoría[[#This Row],[Tipo_Campaña]]))</f>
        <v>Conversión</v>
      </c>
      <c r="S1057" t="str">
        <f>TRIM(PROPER(Tabla_auditoría[[#This Row],[Responsable]]))</f>
        <v>Laura Pérez</v>
      </c>
    </row>
    <row r="1058" spans="1:19" x14ac:dyDescent="0.3">
      <c r="A1058" s="1">
        <v>46004</v>
      </c>
      <c r="B1058" s="2" t="s">
        <v>2535</v>
      </c>
      <c r="C1058" s="2" t="s">
        <v>2541</v>
      </c>
      <c r="D1058" s="2" t="s">
        <v>2528</v>
      </c>
      <c r="E1058" s="2" t="s">
        <v>2529</v>
      </c>
      <c r="F1058" s="3">
        <v>109440</v>
      </c>
      <c r="G1058" s="3">
        <v>783</v>
      </c>
      <c r="H1058" s="3">
        <v>73</v>
      </c>
      <c r="I1058" s="4">
        <v>1438.35</v>
      </c>
      <c r="J1058" s="4">
        <v>8688.39</v>
      </c>
      <c r="K1058" s="3">
        <v>39</v>
      </c>
      <c r="L1058" s="2" t="s">
        <v>2536</v>
      </c>
      <c r="M1058" s="2" t="s">
        <v>2524</v>
      </c>
      <c r="N1058" t="str">
        <f>TRIM(PROPER(Tabla_auditoría[[#This Row],[ID_Campaña]]))</f>
        <v>Cmp-015</v>
      </c>
      <c r="O1058" t="str">
        <f>TRIM(PROPER(Tabla_auditoría[[#This Row],[Canal]]))</f>
        <v>Display</v>
      </c>
      <c r="P1058" t="str">
        <f>TRIM(PROPER(Tabla_auditoría[[#This Row],[País]]))</f>
        <v>España</v>
      </c>
      <c r="Q1058" t="str">
        <f>TRIM(PROPER(Tabla_auditoría[[#This Row],[Dispositivo]]))</f>
        <v>Mobile</v>
      </c>
      <c r="R1058" t="str">
        <f>TRIM(PROPER(Tabla_auditoría[[#This Row],[Tipo_Campaña]]))</f>
        <v>Reconocimiento</v>
      </c>
      <c r="S1058" t="str">
        <f>TRIM(PROPER(Tabla_auditoría[[#This Row],[Responsable]]))</f>
        <v>Luis Martín</v>
      </c>
    </row>
    <row r="1059" spans="1:19" x14ac:dyDescent="0.3">
      <c r="A1059" s="1">
        <v>45705</v>
      </c>
      <c r="B1059" s="2" t="s">
        <v>2564</v>
      </c>
      <c r="C1059" s="2" t="s">
        <v>2543</v>
      </c>
      <c r="D1059" s="2" t="s">
        <v>2573</v>
      </c>
      <c r="E1059" s="2" t="s">
        <v>2529</v>
      </c>
      <c r="F1059" s="3">
        <v>27274</v>
      </c>
      <c r="G1059" s="3">
        <v>831</v>
      </c>
      <c r="H1059" s="3">
        <v>66</v>
      </c>
      <c r="I1059" s="4">
        <v>1614.63</v>
      </c>
      <c r="J1059" s="4">
        <v>5071.88</v>
      </c>
      <c r="K1059" s="3">
        <v>33</v>
      </c>
      <c r="L1059" s="2" t="s">
        <v>2518</v>
      </c>
      <c r="M1059" s="2" t="s">
        <v>2526</v>
      </c>
      <c r="N1059" t="str">
        <f>TRIM(PROPER(Tabla_auditoría[[#This Row],[ID_Campaña]]))</f>
        <v>Cmp-024</v>
      </c>
      <c r="O1059" t="str">
        <f>TRIM(PROPER(Tabla_auditoría[[#This Row],[Canal]]))</f>
        <v>Organic Social</v>
      </c>
      <c r="P1059" t="str">
        <f>TRIM(PROPER(Tabla_auditoría[[#This Row],[País]]))</f>
        <v>España</v>
      </c>
      <c r="Q1059" t="str">
        <f>TRIM(PROPER(Tabla_auditoría[[#This Row],[Dispositivo]]))</f>
        <v>Mobile</v>
      </c>
      <c r="R1059" t="str">
        <f>TRIM(PROPER(Tabla_auditoría[[#This Row],[Tipo_Campaña]]))</f>
        <v>Adquisición</v>
      </c>
      <c r="S1059" t="str">
        <f>TRIM(PROPER(Tabla_auditoría[[#This Row],[Responsable]]))</f>
        <v>Laura Pérez</v>
      </c>
    </row>
    <row r="1060" spans="1:19" x14ac:dyDescent="0.3">
      <c r="A1060" s="1">
        <v>45939</v>
      </c>
      <c r="B1060" s="2" t="s">
        <v>2564</v>
      </c>
      <c r="C1060" s="2" t="s">
        <v>2533</v>
      </c>
      <c r="D1060" s="2" t="s">
        <v>2525</v>
      </c>
      <c r="E1060" s="2" t="s">
        <v>2534</v>
      </c>
      <c r="F1060" s="3">
        <v>104628</v>
      </c>
      <c r="G1060" s="3">
        <v>3857</v>
      </c>
      <c r="H1060" s="3">
        <v>35</v>
      </c>
      <c r="I1060" s="4">
        <v>3005.29</v>
      </c>
      <c r="J1060" s="4">
        <v>6410.53</v>
      </c>
      <c r="K1060" s="3">
        <v>24</v>
      </c>
      <c r="L1060" s="2" t="s">
        <v>2539</v>
      </c>
      <c r="M1060" s="2" t="s">
        <v>2524</v>
      </c>
      <c r="N1060" t="str">
        <f>TRIM(PROPER(Tabla_auditoría[[#This Row],[ID_Campaña]]))</f>
        <v>Cmp-024</v>
      </c>
      <c r="O1060" t="str">
        <f>TRIM(PROPER(Tabla_auditoría[[#This Row],[Canal]]))</f>
        <v>Paid Social</v>
      </c>
      <c r="P1060" t="str">
        <f>TRIM(PROPER(Tabla_auditoría[[#This Row],[País]]))</f>
        <v>Francia</v>
      </c>
      <c r="Q1060" t="str">
        <f>TRIM(PROPER(Tabla_auditoría[[#This Row],[Dispositivo]]))</f>
        <v>Tablet</v>
      </c>
      <c r="R1060" t="str">
        <f>TRIM(PROPER(Tabla_auditoría[[#This Row],[Tipo_Campaña]]))</f>
        <v>Conversión</v>
      </c>
      <c r="S1060" t="str">
        <f>TRIM(PROPER(Tabla_auditoría[[#This Row],[Responsable]]))</f>
        <v>Luis Martín</v>
      </c>
    </row>
    <row r="1061" spans="1:19" x14ac:dyDescent="0.3">
      <c r="A1061" s="1">
        <v>45833</v>
      </c>
      <c r="B1061" s="2" t="s">
        <v>2544</v>
      </c>
      <c r="C1061" s="2" t="s">
        <v>2533</v>
      </c>
      <c r="D1061" s="2" t="s">
        <v>2525</v>
      </c>
      <c r="E1061" s="2" t="s">
        <v>2529</v>
      </c>
      <c r="F1061" s="3">
        <v>136847</v>
      </c>
      <c r="G1061" s="3">
        <v>11153</v>
      </c>
      <c r="H1061" s="3">
        <v>941</v>
      </c>
      <c r="I1061" s="4">
        <v>17823.189999999999</v>
      </c>
      <c r="J1061" s="4">
        <v>169319.93</v>
      </c>
      <c r="K1061" s="3">
        <v>701</v>
      </c>
      <c r="L1061" s="2" t="s">
        <v>2518</v>
      </c>
      <c r="M1061" s="2" t="s">
        <v>2526</v>
      </c>
      <c r="N1061" t="str">
        <f>TRIM(PROPER(Tabla_auditoría[[#This Row],[ID_Campaña]]))</f>
        <v>Cmp-006</v>
      </c>
      <c r="O1061" t="str">
        <f>TRIM(PROPER(Tabla_auditoría[[#This Row],[Canal]]))</f>
        <v>Paid Social</v>
      </c>
      <c r="P1061" t="str">
        <f>TRIM(PROPER(Tabla_auditoría[[#This Row],[País]]))</f>
        <v>Francia</v>
      </c>
      <c r="Q1061" t="str">
        <f>TRIM(PROPER(Tabla_auditoría[[#This Row],[Dispositivo]]))</f>
        <v>Mobile</v>
      </c>
      <c r="R1061" t="str">
        <f>TRIM(PROPER(Tabla_auditoría[[#This Row],[Tipo_Campaña]]))</f>
        <v>Adquisición</v>
      </c>
      <c r="S1061" t="str">
        <f>TRIM(PROPER(Tabla_auditoría[[#This Row],[Responsable]]))</f>
        <v>Laura Pérez</v>
      </c>
    </row>
    <row r="1062" spans="1:19" x14ac:dyDescent="0.3">
      <c r="A1062" s="1">
        <v>46007</v>
      </c>
      <c r="B1062" s="2" t="s">
        <v>2556</v>
      </c>
      <c r="C1062" s="2" t="s">
        <v>2541</v>
      </c>
      <c r="D1062" s="2" t="s">
        <v>2522</v>
      </c>
      <c r="E1062" s="2" t="s">
        <v>2517</v>
      </c>
      <c r="F1062" s="3">
        <v>63159</v>
      </c>
      <c r="G1062" s="3">
        <v>4633</v>
      </c>
      <c r="H1062" s="3">
        <v>602</v>
      </c>
      <c r="I1062" s="4">
        <v>7360.46</v>
      </c>
      <c r="J1062" s="4">
        <v>90967.67</v>
      </c>
      <c r="K1062" s="3">
        <v>534</v>
      </c>
      <c r="L1062" s="2" t="s">
        <v>2539</v>
      </c>
      <c r="M1062" s="2" t="s">
        <v>2519</v>
      </c>
      <c r="N1062" t="str">
        <f>TRIM(PROPER(Tabla_auditoría[[#This Row],[ID_Campaña]]))</f>
        <v>Cmp-014</v>
      </c>
      <c r="O1062" t="str">
        <f>TRIM(PROPER(Tabla_auditoría[[#This Row],[Canal]]))</f>
        <v>Display</v>
      </c>
      <c r="P1062" t="str">
        <f>TRIM(PROPER(Tabla_auditoría[[#This Row],[País]]))</f>
        <v>Italia</v>
      </c>
      <c r="Q1062" t="str">
        <f>TRIM(PROPER(Tabla_auditoría[[#This Row],[Dispositivo]]))</f>
        <v>Desktop</v>
      </c>
      <c r="R1062" t="str">
        <f>TRIM(PROPER(Tabla_auditoría[[#This Row],[Tipo_Campaña]]))</f>
        <v>Conversión</v>
      </c>
      <c r="S1062" t="str">
        <f>TRIM(PROPER(Tabla_auditoría[[#This Row],[Responsable]]))</f>
        <v>Carlos Ruiz</v>
      </c>
    </row>
    <row r="1063" spans="1:19" x14ac:dyDescent="0.3">
      <c r="A1063" s="1">
        <v>45963</v>
      </c>
      <c r="B1063" s="2" t="s">
        <v>2550</v>
      </c>
      <c r="C1063" s="2" t="s">
        <v>2527</v>
      </c>
      <c r="D1063" s="2" t="s">
        <v>2528</v>
      </c>
      <c r="E1063" s="2" t="s">
        <v>2517</v>
      </c>
      <c r="F1063" s="3">
        <v>161425</v>
      </c>
      <c r="G1063" s="3">
        <v>6911</v>
      </c>
      <c r="H1063" s="3">
        <v>83</v>
      </c>
      <c r="I1063" s="4">
        <v>3341.48</v>
      </c>
      <c r="J1063" s="4">
        <v>18156.060000000001</v>
      </c>
      <c r="K1063" s="3">
        <v>49</v>
      </c>
      <c r="L1063" s="2" t="s">
        <v>2539</v>
      </c>
      <c r="M1063" s="2" t="s">
        <v>2526</v>
      </c>
      <c r="N1063" t="str">
        <f>TRIM(PROPER(Tabla_auditoría[[#This Row],[ID_Campaña]]))</f>
        <v>Cmp-008</v>
      </c>
      <c r="O1063" t="str">
        <f>TRIM(PROPER(Tabla_auditoría[[#This Row],[Canal]]))</f>
        <v>Affiliate</v>
      </c>
      <c r="P1063" t="str">
        <f>TRIM(PROPER(Tabla_auditoría[[#This Row],[País]]))</f>
        <v>España</v>
      </c>
      <c r="Q1063" t="str">
        <f>TRIM(PROPER(Tabla_auditoría[[#This Row],[Dispositivo]]))</f>
        <v>Desktop</v>
      </c>
      <c r="R1063" t="str">
        <f>TRIM(PROPER(Tabla_auditoría[[#This Row],[Tipo_Campaña]]))</f>
        <v>Conversión</v>
      </c>
      <c r="S1063" t="str">
        <f>TRIM(PROPER(Tabla_auditoría[[#This Row],[Responsable]]))</f>
        <v>Laura Pérez</v>
      </c>
    </row>
    <row r="1064" spans="1:19" x14ac:dyDescent="0.3">
      <c r="A1064" s="1">
        <v>45948</v>
      </c>
      <c r="B1064" s="2" t="s">
        <v>2566</v>
      </c>
      <c r="C1064" s="2" t="s">
        <v>2515</v>
      </c>
      <c r="D1064" s="2" t="s">
        <v>2528</v>
      </c>
      <c r="E1064" s="2" t="s">
        <v>2517</v>
      </c>
      <c r="F1064" s="3">
        <v>7883</v>
      </c>
      <c r="G1064" s="3">
        <v>479</v>
      </c>
      <c r="H1064" s="3">
        <v>65</v>
      </c>
      <c r="I1064" s="4">
        <v>701.18</v>
      </c>
      <c r="J1064" s="4">
        <v>11032.03</v>
      </c>
      <c r="K1064" s="3">
        <v>57</v>
      </c>
      <c r="L1064" s="2" t="s">
        <v>2536</v>
      </c>
      <c r="M1064" s="2" t="s">
        <v>2526</v>
      </c>
      <c r="N1064" t="str">
        <f>TRIM(PROPER(Tabla_auditoría[[#This Row],[ID_Campaña]]))</f>
        <v>Cmp-001</v>
      </c>
      <c r="O1064" t="str">
        <f>TRIM(PROPER(Tabla_auditoría[[#This Row],[Canal]]))</f>
        <v>Email</v>
      </c>
      <c r="P1064" t="str">
        <f>TRIM(PROPER(Tabla_auditoría[[#This Row],[País]]))</f>
        <v>España</v>
      </c>
      <c r="Q1064" t="str">
        <f>TRIM(PROPER(Tabla_auditoría[[#This Row],[Dispositivo]]))</f>
        <v>Desktop</v>
      </c>
      <c r="R1064" t="str">
        <f>TRIM(PROPER(Tabla_auditoría[[#This Row],[Tipo_Campaña]]))</f>
        <v>Reconocimiento</v>
      </c>
      <c r="S1064" t="str">
        <f>TRIM(PROPER(Tabla_auditoría[[#This Row],[Responsable]]))</f>
        <v>Laura Pérez</v>
      </c>
    </row>
    <row r="1065" spans="1:19" x14ac:dyDescent="0.3">
      <c r="A1065" s="1">
        <v>45675</v>
      </c>
      <c r="B1065" s="2" t="s">
        <v>2538</v>
      </c>
      <c r="C1065" s="2" t="s">
        <v>2533</v>
      </c>
      <c r="D1065" s="2" t="s">
        <v>2516</v>
      </c>
      <c r="E1065" s="2" t="s">
        <v>2529</v>
      </c>
      <c r="F1065" s="3">
        <v>168985</v>
      </c>
      <c r="G1065" s="3">
        <v>10515</v>
      </c>
      <c r="H1065" s="3">
        <v>778</v>
      </c>
      <c r="I1065" s="4">
        <v>12412.09</v>
      </c>
      <c r="J1065" s="4">
        <v>85237.28</v>
      </c>
      <c r="K1065" s="3">
        <v>511</v>
      </c>
      <c r="L1065" s="2" t="s">
        <v>2523</v>
      </c>
      <c r="M1065" s="2" t="s">
        <v>2526</v>
      </c>
      <c r="N1065" t="str">
        <f>TRIM(PROPER(Tabla_auditoría[[#This Row],[ID_Campaña]]))</f>
        <v>Cmp-004</v>
      </c>
      <c r="O1065" t="str">
        <f>TRIM(PROPER(Tabla_auditoría[[#This Row],[Canal]]))</f>
        <v>Paid Social</v>
      </c>
      <c r="P1065" t="str">
        <f>TRIM(PROPER(Tabla_auditoría[[#This Row],[País]]))</f>
        <v>México</v>
      </c>
      <c r="Q1065" t="str">
        <f>TRIM(PROPER(Tabla_auditoría[[#This Row],[Dispositivo]]))</f>
        <v>Mobile</v>
      </c>
      <c r="R1065" t="str">
        <f>TRIM(PROPER(Tabla_auditoría[[#This Row],[Tipo_Campaña]]))</f>
        <v>Retención</v>
      </c>
      <c r="S1065" t="str">
        <f>TRIM(PROPER(Tabla_auditoría[[#This Row],[Responsable]]))</f>
        <v>Laura Pérez</v>
      </c>
    </row>
    <row r="1066" spans="1:19" x14ac:dyDescent="0.3">
      <c r="A1066" s="1">
        <v>45697</v>
      </c>
      <c r="B1066" s="2" t="s">
        <v>2570</v>
      </c>
      <c r="C1066" s="2" t="s">
        <v>2543</v>
      </c>
      <c r="D1066" s="2" t="s">
        <v>2528</v>
      </c>
      <c r="E1066" s="2" t="s">
        <v>2529</v>
      </c>
      <c r="F1066" s="3">
        <v>12074</v>
      </c>
      <c r="G1066" s="3">
        <v>1071</v>
      </c>
      <c r="H1066" s="3">
        <v>146</v>
      </c>
      <c r="I1066" s="4">
        <v>1617.16</v>
      </c>
      <c r="J1066" s="4">
        <v>8383.6299999999992</v>
      </c>
      <c r="K1066" s="3">
        <v>101</v>
      </c>
      <c r="L1066" s="2" t="s">
        <v>2523</v>
      </c>
      <c r="M1066" s="2" t="s">
        <v>2526</v>
      </c>
      <c r="N1066" t="str">
        <f>TRIM(PROPER(Tabla_auditoría[[#This Row],[ID_Campaña]]))</f>
        <v>Cmp-016</v>
      </c>
      <c r="O1066" t="str">
        <f>TRIM(PROPER(Tabla_auditoría[[#This Row],[Canal]]))</f>
        <v>Organic Social</v>
      </c>
      <c r="P1066" t="str">
        <f>TRIM(PROPER(Tabla_auditoría[[#This Row],[País]]))</f>
        <v>España</v>
      </c>
      <c r="Q1066" t="str">
        <f>TRIM(PROPER(Tabla_auditoría[[#This Row],[Dispositivo]]))</f>
        <v>Mobile</v>
      </c>
      <c r="R1066" t="str">
        <f>TRIM(PROPER(Tabla_auditoría[[#This Row],[Tipo_Campaña]]))</f>
        <v>Retención</v>
      </c>
      <c r="S1066" t="str">
        <f>TRIM(PROPER(Tabla_auditoría[[#This Row],[Responsable]]))</f>
        <v>Laura Pérez</v>
      </c>
    </row>
    <row r="1067" spans="1:19" x14ac:dyDescent="0.3">
      <c r="A1067" s="1">
        <v>45784</v>
      </c>
      <c r="B1067" s="2" t="s">
        <v>2565</v>
      </c>
      <c r="C1067" s="2" t="s">
        <v>2533</v>
      </c>
      <c r="D1067" s="2" t="s">
        <v>2516</v>
      </c>
      <c r="E1067" s="2" t="s">
        <v>2534</v>
      </c>
      <c r="F1067" s="3">
        <v>99525</v>
      </c>
      <c r="G1067" s="3">
        <v>8517</v>
      </c>
      <c r="H1067" s="3">
        <v>824</v>
      </c>
      <c r="I1067" s="4">
        <v>3855.04</v>
      </c>
      <c r="J1067" s="4">
        <v>177573.71</v>
      </c>
      <c r="K1067" s="3">
        <v>648</v>
      </c>
      <c r="L1067" s="2" t="s">
        <v>2523</v>
      </c>
      <c r="M1067" s="2" t="s">
        <v>2537</v>
      </c>
      <c r="N1067" t="str">
        <f>TRIM(PROPER(Tabla_auditoría[[#This Row],[ID_Campaña]]))</f>
        <v>Cmp-005</v>
      </c>
      <c r="O1067" t="str">
        <f>TRIM(PROPER(Tabla_auditoría[[#This Row],[Canal]]))</f>
        <v>Paid Social</v>
      </c>
      <c r="P1067" t="str">
        <f>TRIM(PROPER(Tabla_auditoría[[#This Row],[País]]))</f>
        <v>México</v>
      </c>
      <c r="Q1067" t="str">
        <f>TRIM(PROPER(Tabla_auditoría[[#This Row],[Dispositivo]]))</f>
        <v>Tablet</v>
      </c>
      <c r="R1067" t="str">
        <f>TRIM(PROPER(Tabla_auditoría[[#This Row],[Tipo_Campaña]]))</f>
        <v>Retención</v>
      </c>
      <c r="S1067" t="str">
        <f>TRIM(PROPER(Tabla_auditoría[[#This Row],[Responsable]]))</f>
        <v>Marta López</v>
      </c>
    </row>
    <row r="1068" spans="1:19" x14ac:dyDescent="0.3">
      <c r="A1068" s="1">
        <v>46012</v>
      </c>
      <c r="B1068" s="2" t="s">
        <v>2568</v>
      </c>
      <c r="C1068" s="2" t="s">
        <v>2533</v>
      </c>
      <c r="D1068" s="2" t="s">
        <v>2528</v>
      </c>
      <c r="E1068" s="2" t="s">
        <v>2517</v>
      </c>
      <c r="F1068" s="3">
        <v>69381</v>
      </c>
      <c r="G1068" s="3">
        <v>4401</v>
      </c>
      <c r="H1068" s="3">
        <v>78</v>
      </c>
      <c r="I1068" s="4">
        <v>2851.17</v>
      </c>
      <c r="J1068" s="4">
        <v>12998.06</v>
      </c>
      <c r="K1068" s="3">
        <v>66</v>
      </c>
      <c r="L1068" s="2" t="s">
        <v>2539</v>
      </c>
      <c r="M1068" s="2" t="s">
        <v>2526</v>
      </c>
      <c r="N1068" t="str">
        <f>TRIM(PROPER(Tabla_auditoría[[#This Row],[ID_Campaña]]))</f>
        <v>Cmp-020</v>
      </c>
      <c r="O1068" t="str">
        <f>TRIM(PROPER(Tabla_auditoría[[#This Row],[Canal]]))</f>
        <v>Paid Social</v>
      </c>
      <c r="P1068" t="str">
        <f>TRIM(PROPER(Tabla_auditoría[[#This Row],[País]]))</f>
        <v>España</v>
      </c>
      <c r="Q1068" t="str">
        <f>TRIM(PROPER(Tabla_auditoría[[#This Row],[Dispositivo]]))</f>
        <v>Desktop</v>
      </c>
      <c r="R1068" t="str">
        <f>TRIM(PROPER(Tabla_auditoría[[#This Row],[Tipo_Campaña]]))</f>
        <v>Conversión</v>
      </c>
      <c r="S1068" t="str">
        <f>TRIM(PROPER(Tabla_auditoría[[#This Row],[Responsable]]))</f>
        <v>Laura Pérez</v>
      </c>
    </row>
    <row r="1069" spans="1:19" x14ac:dyDescent="0.3">
      <c r="A1069" s="1">
        <v>45690</v>
      </c>
      <c r="B1069" s="2" t="s">
        <v>2549</v>
      </c>
      <c r="C1069" s="2" t="s">
        <v>2541</v>
      </c>
      <c r="D1069" s="2" t="s">
        <v>2531</v>
      </c>
      <c r="E1069" s="2" t="s">
        <v>2529</v>
      </c>
      <c r="F1069" s="3">
        <v>23326</v>
      </c>
      <c r="G1069" s="3">
        <v>1858</v>
      </c>
      <c r="H1069" s="3">
        <v>117</v>
      </c>
      <c r="I1069" s="4">
        <v>3642.46</v>
      </c>
      <c r="J1069" s="4">
        <v>8802.01</v>
      </c>
      <c r="K1069" s="3">
        <v>88</v>
      </c>
      <c r="L1069" s="2" t="s">
        <v>2539</v>
      </c>
      <c r="M1069" s="2" t="s">
        <v>2524</v>
      </c>
      <c r="N1069" t="str">
        <f>TRIM(PROPER(Tabla_auditoría[[#This Row],[ID_Campaña]]))</f>
        <v>Cmp-007</v>
      </c>
      <c r="O1069" t="str">
        <f>TRIM(PROPER(Tabla_auditoría[[#This Row],[Canal]]))</f>
        <v>Display</v>
      </c>
      <c r="P1069" t="str">
        <f>TRIM(PROPER(Tabla_auditoría[[#This Row],[País]]))</f>
        <v>Portugal</v>
      </c>
      <c r="Q1069" t="str">
        <f>TRIM(PROPER(Tabla_auditoría[[#This Row],[Dispositivo]]))</f>
        <v>Mobile</v>
      </c>
      <c r="R1069" t="str">
        <f>TRIM(PROPER(Tabla_auditoría[[#This Row],[Tipo_Campaña]]))</f>
        <v>Conversión</v>
      </c>
      <c r="S1069" t="str">
        <f>TRIM(PROPER(Tabla_auditoría[[#This Row],[Responsable]]))</f>
        <v>Luis Martín</v>
      </c>
    </row>
    <row r="1070" spans="1:19" x14ac:dyDescent="0.3">
      <c r="A1070" s="1">
        <v>45852</v>
      </c>
      <c r="B1070" s="2" t="s">
        <v>2549</v>
      </c>
      <c r="C1070" s="2" t="s">
        <v>2543</v>
      </c>
      <c r="D1070" s="2" t="s">
        <v>2528</v>
      </c>
      <c r="E1070" s="2" t="s">
        <v>2529</v>
      </c>
      <c r="F1070" s="3">
        <v>9969</v>
      </c>
      <c r="G1070" s="3">
        <v>363</v>
      </c>
      <c r="H1070" s="3">
        <v>21</v>
      </c>
      <c r="I1070" s="4">
        <v>172.4</v>
      </c>
      <c r="J1070" s="4">
        <v>1554.11</v>
      </c>
      <c r="K1070" s="3">
        <v>10</v>
      </c>
      <c r="L1070" s="2" t="s">
        <v>2523</v>
      </c>
      <c r="M1070" s="2" t="s">
        <v>2546</v>
      </c>
      <c r="N1070" t="str">
        <f>TRIM(PROPER(Tabla_auditoría[[#This Row],[ID_Campaña]]))</f>
        <v>Cmp-007</v>
      </c>
      <c r="O1070" t="str">
        <f>TRIM(PROPER(Tabla_auditoría[[#This Row],[Canal]]))</f>
        <v>Organic Social</v>
      </c>
      <c r="P1070" t="str">
        <f>TRIM(PROPER(Tabla_auditoría[[#This Row],[País]]))</f>
        <v>España</v>
      </c>
      <c r="Q1070" t="str">
        <f>TRIM(PROPER(Tabla_auditoría[[#This Row],[Dispositivo]]))</f>
        <v>Mobile</v>
      </c>
      <c r="R1070" t="str">
        <f>TRIM(PROPER(Tabla_auditoría[[#This Row],[Tipo_Campaña]]))</f>
        <v>Retención</v>
      </c>
      <c r="S1070" t="str">
        <f>TRIM(PROPER(Tabla_auditoría[[#This Row],[Responsable]]))</f>
        <v>Ana García</v>
      </c>
    </row>
    <row r="1071" spans="1:19" x14ac:dyDescent="0.3">
      <c r="A1071" s="1">
        <v>46017</v>
      </c>
      <c r="B1071" s="2" t="s">
        <v>2569</v>
      </c>
      <c r="C1071" s="2" t="s">
        <v>2533</v>
      </c>
      <c r="D1071" s="2" t="s">
        <v>2528</v>
      </c>
      <c r="E1071" s="2" t="s">
        <v>2517</v>
      </c>
      <c r="F1071" s="3">
        <v>124208</v>
      </c>
      <c r="G1071" s="3">
        <v>4203</v>
      </c>
      <c r="H1071" s="3">
        <v>194</v>
      </c>
      <c r="I1071" s="4">
        <v>2093.17</v>
      </c>
      <c r="J1071" s="4">
        <v>5084.1000000000004</v>
      </c>
      <c r="K1071" s="3">
        <v>156</v>
      </c>
      <c r="L1071" s="2" t="s">
        <v>2518</v>
      </c>
      <c r="M1071" s="2" t="s">
        <v>2524</v>
      </c>
      <c r="N1071" t="str">
        <f>TRIM(PROPER(Tabla_auditoría[[#This Row],[ID_Campaña]]))</f>
        <v>Cmp-013</v>
      </c>
      <c r="O1071" t="str">
        <f>TRIM(PROPER(Tabla_auditoría[[#This Row],[Canal]]))</f>
        <v>Paid Social</v>
      </c>
      <c r="P1071" t="str">
        <f>TRIM(PROPER(Tabla_auditoría[[#This Row],[País]]))</f>
        <v>España</v>
      </c>
      <c r="Q1071" t="str">
        <f>TRIM(PROPER(Tabla_auditoría[[#This Row],[Dispositivo]]))</f>
        <v>Desktop</v>
      </c>
      <c r="R1071" t="str">
        <f>TRIM(PROPER(Tabla_auditoría[[#This Row],[Tipo_Campaña]]))</f>
        <v>Adquisición</v>
      </c>
      <c r="S1071" t="str">
        <f>TRIM(PROPER(Tabla_auditoría[[#This Row],[Responsable]]))</f>
        <v>Luis Martín</v>
      </c>
    </row>
    <row r="1072" spans="1:19" x14ac:dyDescent="0.3">
      <c r="A1072" s="1">
        <v>45843</v>
      </c>
      <c r="B1072" s="2" t="s">
        <v>2565</v>
      </c>
      <c r="C1072" s="2" t="s">
        <v>2575</v>
      </c>
      <c r="D1072" s="2" t="s">
        <v>2525</v>
      </c>
      <c r="E1072" s="2" t="s">
        <v>2517</v>
      </c>
      <c r="F1072" s="3">
        <v>121896</v>
      </c>
      <c r="G1072" s="3">
        <v>7110</v>
      </c>
      <c r="H1072" s="3">
        <v>880</v>
      </c>
      <c r="I1072" s="4">
        <v>5445.71</v>
      </c>
      <c r="J1072" s="4">
        <v>148674.01</v>
      </c>
      <c r="K1072" s="3">
        <v>408</v>
      </c>
      <c r="L1072" s="2" t="s">
        <v>2536</v>
      </c>
      <c r="M1072" s="2" t="s">
        <v>2524</v>
      </c>
      <c r="N1072" t="str">
        <f>TRIM(PROPER(Tabla_auditoría[[#This Row],[ID_Campaña]]))</f>
        <v>Cmp-005</v>
      </c>
      <c r="O1072" t="str">
        <f>TRIM(PROPER(Tabla_auditoría[[#This Row],[Canal]]))</f>
        <v>Paid Search</v>
      </c>
      <c r="P1072" t="str">
        <f>TRIM(PROPER(Tabla_auditoría[[#This Row],[País]]))</f>
        <v>Francia</v>
      </c>
      <c r="Q1072" t="str">
        <f>TRIM(PROPER(Tabla_auditoría[[#This Row],[Dispositivo]]))</f>
        <v>Desktop</v>
      </c>
      <c r="R1072" t="str">
        <f>TRIM(PROPER(Tabla_auditoría[[#This Row],[Tipo_Campaña]]))</f>
        <v>Reconocimiento</v>
      </c>
      <c r="S1072" t="str">
        <f>TRIM(PROPER(Tabla_auditoría[[#This Row],[Responsable]]))</f>
        <v>Luis Martín</v>
      </c>
    </row>
    <row r="1073" spans="1:19" x14ac:dyDescent="0.3">
      <c r="A1073" s="1">
        <v>45850</v>
      </c>
      <c r="B1073" s="2" t="s">
        <v>2571</v>
      </c>
      <c r="C1073" s="2" t="s">
        <v>2521</v>
      </c>
      <c r="D1073" s="2" t="s">
        <v>2528</v>
      </c>
      <c r="E1073" s="2" t="s">
        <v>2517</v>
      </c>
      <c r="F1073" s="3">
        <v>72303</v>
      </c>
      <c r="G1073" s="3">
        <v>4165</v>
      </c>
      <c r="H1073" s="3">
        <v>268</v>
      </c>
      <c r="I1073" s="4">
        <v>5536.73</v>
      </c>
      <c r="J1073" s="4">
        <v>23073.54</v>
      </c>
      <c r="K1073" s="3">
        <v>211</v>
      </c>
      <c r="L1073" s="2" t="s">
        <v>2536</v>
      </c>
      <c r="M1073" s="2" t="s">
        <v>2519</v>
      </c>
      <c r="N1073" t="str">
        <f>TRIM(PROPER(Tabla_auditoría[[#This Row],[ID_Campaña]]))</f>
        <v>Cmp-029</v>
      </c>
      <c r="O1073" t="str">
        <f>TRIM(PROPER(Tabla_auditoría[[#This Row],[Canal]]))</f>
        <v>Paid Search</v>
      </c>
      <c r="P1073" t="str">
        <f>TRIM(PROPER(Tabla_auditoría[[#This Row],[País]]))</f>
        <v>España</v>
      </c>
      <c r="Q1073" t="str">
        <f>TRIM(PROPER(Tabla_auditoría[[#This Row],[Dispositivo]]))</f>
        <v>Desktop</v>
      </c>
      <c r="R1073" t="str">
        <f>TRIM(PROPER(Tabla_auditoría[[#This Row],[Tipo_Campaña]]))</f>
        <v>Reconocimiento</v>
      </c>
      <c r="S1073" t="str">
        <f>TRIM(PROPER(Tabla_auditoría[[#This Row],[Responsable]]))</f>
        <v>Carlos Ruiz</v>
      </c>
    </row>
    <row r="1074" spans="1:19" x14ac:dyDescent="0.3">
      <c r="A1074" s="1">
        <v>45938</v>
      </c>
      <c r="B1074" s="2" t="s">
        <v>2554</v>
      </c>
      <c r="C1074" s="2" t="s">
        <v>2533</v>
      </c>
      <c r="D1074" s="2" t="s">
        <v>2522</v>
      </c>
      <c r="E1074" s="2" t="s">
        <v>2517</v>
      </c>
      <c r="F1074" s="3">
        <v>124225</v>
      </c>
      <c r="G1074" s="3">
        <v>2420</v>
      </c>
      <c r="H1074" s="3">
        <v>336</v>
      </c>
      <c r="I1074" s="4">
        <v>4242.41</v>
      </c>
      <c r="J1074" s="4">
        <v>63473.66</v>
      </c>
      <c r="K1074" s="3">
        <v>230</v>
      </c>
      <c r="L1074" s="2" t="s">
        <v>2518</v>
      </c>
      <c r="M1074" s="2" t="s">
        <v>2524</v>
      </c>
      <c r="N1074" t="str">
        <f>TRIM(PROPER(Tabla_auditoría[[#This Row],[ID_Campaña]]))</f>
        <v>Cmp-019</v>
      </c>
      <c r="O1074" t="str">
        <f>TRIM(PROPER(Tabla_auditoría[[#This Row],[Canal]]))</f>
        <v>Paid Social</v>
      </c>
      <c r="P1074" t="str">
        <f>TRIM(PROPER(Tabla_auditoría[[#This Row],[País]]))</f>
        <v>Italia</v>
      </c>
      <c r="Q1074" t="str">
        <f>TRIM(PROPER(Tabla_auditoría[[#This Row],[Dispositivo]]))</f>
        <v>Desktop</v>
      </c>
      <c r="R1074" t="str">
        <f>TRIM(PROPER(Tabla_auditoría[[#This Row],[Tipo_Campaña]]))</f>
        <v>Adquisición</v>
      </c>
      <c r="S1074" t="str">
        <f>TRIM(PROPER(Tabla_auditoría[[#This Row],[Responsable]]))</f>
        <v>Luis Martín</v>
      </c>
    </row>
    <row r="1075" spans="1:19" x14ac:dyDescent="0.3">
      <c r="A1075" s="1">
        <v>45926</v>
      </c>
      <c r="B1075" s="2" t="s">
        <v>2551</v>
      </c>
      <c r="C1075" s="2" t="s">
        <v>2527</v>
      </c>
      <c r="D1075" s="2" t="s">
        <v>2528</v>
      </c>
      <c r="E1075" s="2" t="s">
        <v>2529</v>
      </c>
      <c r="F1075" s="3">
        <v>60641</v>
      </c>
      <c r="G1075" s="3">
        <v>3681</v>
      </c>
      <c r="H1075" s="3">
        <v>511</v>
      </c>
      <c r="I1075" s="4">
        <v>5436.83</v>
      </c>
      <c r="J1075" s="4">
        <v>52077.760000000002</v>
      </c>
      <c r="K1075" s="3">
        <v>293</v>
      </c>
      <c r="L1075" s="2" t="s">
        <v>2536</v>
      </c>
      <c r="M1075" s="2" t="s">
        <v>2526</v>
      </c>
      <c r="N1075" t="str">
        <f>TRIM(PROPER(Tabla_auditoría[[#This Row],[ID_Campaña]]))</f>
        <v>Cmp-028</v>
      </c>
      <c r="O1075" t="str">
        <f>TRIM(PROPER(Tabla_auditoría[[#This Row],[Canal]]))</f>
        <v>Affiliate</v>
      </c>
      <c r="P1075" t="str">
        <f>TRIM(PROPER(Tabla_auditoría[[#This Row],[País]]))</f>
        <v>España</v>
      </c>
      <c r="Q1075" t="str">
        <f>TRIM(PROPER(Tabla_auditoría[[#This Row],[Dispositivo]]))</f>
        <v>Mobile</v>
      </c>
      <c r="R1075" t="str">
        <f>TRIM(PROPER(Tabla_auditoría[[#This Row],[Tipo_Campaña]]))</f>
        <v>Reconocimiento</v>
      </c>
      <c r="S1075" t="str">
        <f>TRIM(PROPER(Tabla_auditoría[[#This Row],[Responsable]]))</f>
        <v>Laura Pérez</v>
      </c>
    </row>
    <row r="1076" spans="1:19" x14ac:dyDescent="0.3">
      <c r="A1076" s="1">
        <v>45758</v>
      </c>
      <c r="B1076" s="2" t="s">
        <v>2557</v>
      </c>
      <c r="C1076" s="2" t="s">
        <v>2543</v>
      </c>
      <c r="D1076" s="2" t="s">
        <v>2522</v>
      </c>
      <c r="E1076" s="2" t="s">
        <v>2529</v>
      </c>
      <c r="F1076" s="3">
        <v>144686</v>
      </c>
      <c r="G1076" s="3">
        <v>12540</v>
      </c>
      <c r="H1076" s="3">
        <v>935</v>
      </c>
      <c r="I1076" s="4">
        <v>11842.52</v>
      </c>
      <c r="J1076" s="4">
        <v>39892.870000000003</v>
      </c>
      <c r="K1076" s="3">
        <v>717</v>
      </c>
      <c r="L1076" s="2" t="s">
        <v>2536</v>
      </c>
      <c r="M1076" s="2" t="s">
        <v>2546</v>
      </c>
      <c r="N1076" t="str">
        <f>TRIM(PROPER(Tabla_auditoría[[#This Row],[ID_Campaña]]))</f>
        <v>Cmp-030</v>
      </c>
      <c r="O1076" t="str">
        <f>TRIM(PROPER(Tabla_auditoría[[#This Row],[Canal]]))</f>
        <v>Organic Social</v>
      </c>
      <c r="P1076" t="str">
        <f>TRIM(PROPER(Tabla_auditoría[[#This Row],[País]]))</f>
        <v>Italia</v>
      </c>
      <c r="Q1076" t="str">
        <f>TRIM(PROPER(Tabla_auditoría[[#This Row],[Dispositivo]]))</f>
        <v>Mobile</v>
      </c>
      <c r="R1076" t="str">
        <f>TRIM(PROPER(Tabla_auditoría[[#This Row],[Tipo_Campaña]]))</f>
        <v>Reconocimiento</v>
      </c>
      <c r="S1076" t="str">
        <f>TRIM(PROPER(Tabla_auditoría[[#This Row],[Responsable]]))</f>
        <v>Ana García</v>
      </c>
    </row>
    <row r="1077" spans="1:19" x14ac:dyDescent="0.3">
      <c r="A1077" s="1">
        <v>45896</v>
      </c>
      <c r="B1077" s="2" t="s">
        <v>2564</v>
      </c>
      <c r="C1077" s="2" t="s">
        <v>2521</v>
      </c>
      <c r="D1077" s="2" t="s">
        <v>2531</v>
      </c>
      <c r="E1077" s="2" t="s">
        <v>2517</v>
      </c>
      <c r="F1077" s="3">
        <v>95829</v>
      </c>
      <c r="G1077" s="3">
        <v>943</v>
      </c>
      <c r="H1077" s="3">
        <v>69</v>
      </c>
      <c r="I1077" s="4">
        <v>1119.92</v>
      </c>
      <c r="J1077" s="4">
        <v>8834.7800000000007</v>
      </c>
      <c r="K1077" s="3">
        <v>42</v>
      </c>
      <c r="L1077" s="2" t="s">
        <v>2539</v>
      </c>
      <c r="M1077" s="2" t="s">
        <v>2524</v>
      </c>
      <c r="N1077" t="str">
        <f>TRIM(PROPER(Tabla_auditoría[[#This Row],[ID_Campaña]]))</f>
        <v>Cmp-024</v>
      </c>
      <c r="O1077" t="str">
        <f>TRIM(PROPER(Tabla_auditoría[[#This Row],[Canal]]))</f>
        <v>Paid Search</v>
      </c>
      <c r="P1077" t="str">
        <f>TRIM(PROPER(Tabla_auditoría[[#This Row],[País]]))</f>
        <v>Portugal</v>
      </c>
      <c r="Q1077" t="str">
        <f>TRIM(PROPER(Tabla_auditoría[[#This Row],[Dispositivo]]))</f>
        <v>Desktop</v>
      </c>
      <c r="R1077" t="str">
        <f>TRIM(PROPER(Tabla_auditoría[[#This Row],[Tipo_Campaña]]))</f>
        <v>Conversión</v>
      </c>
      <c r="S1077" t="str">
        <f>TRIM(PROPER(Tabla_auditoría[[#This Row],[Responsable]]))</f>
        <v>Luis Martín</v>
      </c>
    </row>
    <row r="1078" spans="1:19" x14ac:dyDescent="0.3">
      <c r="A1078" s="1">
        <v>45729</v>
      </c>
      <c r="B1078" s="2" t="s">
        <v>2570</v>
      </c>
      <c r="C1078" s="2" t="s">
        <v>2515</v>
      </c>
      <c r="D1078" s="2" t="s">
        <v>2525</v>
      </c>
      <c r="E1078" s="2" t="s">
        <v>2517</v>
      </c>
      <c r="F1078" s="3">
        <v>97169</v>
      </c>
      <c r="G1078" s="3">
        <v>958</v>
      </c>
      <c r="H1078" s="3">
        <v>92</v>
      </c>
      <c r="I1078" s="4">
        <v>406.13</v>
      </c>
      <c r="J1078" s="4">
        <v>11926.35</v>
      </c>
      <c r="K1078" s="3">
        <v>46</v>
      </c>
      <c r="L1078" s="2" t="s">
        <v>2539</v>
      </c>
      <c r="M1078" s="2" t="s">
        <v>2519</v>
      </c>
      <c r="N1078" t="str">
        <f>TRIM(PROPER(Tabla_auditoría[[#This Row],[ID_Campaña]]))</f>
        <v>Cmp-016</v>
      </c>
      <c r="O1078" t="str">
        <f>TRIM(PROPER(Tabla_auditoría[[#This Row],[Canal]]))</f>
        <v>Email</v>
      </c>
      <c r="P1078" t="str">
        <f>TRIM(PROPER(Tabla_auditoría[[#This Row],[País]]))</f>
        <v>Francia</v>
      </c>
      <c r="Q1078" t="str">
        <f>TRIM(PROPER(Tabla_auditoría[[#This Row],[Dispositivo]]))</f>
        <v>Desktop</v>
      </c>
      <c r="R1078" t="str">
        <f>TRIM(PROPER(Tabla_auditoría[[#This Row],[Tipo_Campaña]]))</f>
        <v>Conversión</v>
      </c>
      <c r="S1078" t="str">
        <f>TRIM(PROPER(Tabla_auditoría[[#This Row],[Responsable]]))</f>
        <v>Carlos Ruiz</v>
      </c>
    </row>
    <row r="1079" spans="1:19" x14ac:dyDescent="0.3">
      <c r="A1079" s="1">
        <v>45739</v>
      </c>
      <c r="B1079" s="2" t="s">
        <v>2535</v>
      </c>
      <c r="C1079" s="2" t="s">
        <v>2533</v>
      </c>
      <c r="D1079" s="2" t="s">
        <v>2525</v>
      </c>
      <c r="E1079" s="2" t="s">
        <v>2517</v>
      </c>
      <c r="F1079" s="3">
        <v>5485</v>
      </c>
      <c r="G1079" s="3">
        <v>216</v>
      </c>
      <c r="H1079" s="3">
        <v>19</v>
      </c>
      <c r="I1079" s="4">
        <v>157.79</v>
      </c>
      <c r="J1079" s="4">
        <v>1726.93</v>
      </c>
      <c r="K1079" s="3">
        <v>9</v>
      </c>
      <c r="L1079" s="2" t="s">
        <v>2539</v>
      </c>
      <c r="M1079" s="2" t="s">
        <v>2537</v>
      </c>
      <c r="N1079" t="str">
        <f>TRIM(PROPER(Tabla_auditoría[[#This Row],[ID_Campaña]]))</f>
        <v>Cmp-015</v>
      </c>
      <c r="O1079" t="str">
        <f>TRIM(PROPER(Tabla_auditoría[[#This Row],[Canal]]))</f>
        <v>Paid Social</v>
      </c>
      <c r="P1079" t="str">
        <f>TRIM(PROPER(Tabla_auditoría[[#This Row],[País]]))</f>
        <v>Francia</v>
      </c>
      <c r="Q1079" t="str">
        <f>TRIM(PROPER(Tabla_auditoría[[#This Row],[Dispositivo]]))</f>
        <v>Desktop</v>
      </c>
      <c r="R1079" t="str">
        <f>TRIM(PROPER(Tabla_auditoría[[#This Row],[Tipo_Campaña]]))</f>
        <v>Conversión</v>
      </c>
      <c r="S1079" t="str">
        <f>TRIM(PROPER(Tabla_auditoría[[#This Row],[Responsable]]))</f>
        <v>Marta López</v>
      </c>
    </row>
    <row r="1080" spans="1:19" x14ac:dyDescent="0.3">
      <c r="A1080" s="1">
        <v>45802</v>
      </c>
      <c r="B1080" s="2" t="s">
        <v>2570</v>
      </c>
      <c r="C1080" s="2" t="s">
        <v>2533</v>
      </c>
      <c r="D1080" s="2" t="s">
        <v>2531</v>
      </c>
      <c r="E1080" s="2" t="s">
        <v>2517</v>
      </c>
      <c r="F1080" s="3">
        <v>114156</v>
      </c>
      <c r="G1080" s="3">
        <v>2762</v>
      </c>
      <c r="H1080" s="3">
        <v>141</v>
      </c>
      <c r="I1080" s="4">
        <v>3471.55</v>
      </c>
      <c r="J1080" s="4">
        <v>23260.31</v>
      </c>
      <c r="K1080" s="3">
        <v>106</v>
      </c>
      <c r="L1080" s="2" t="s">
        <v>2539</v>
      </c>
      <c r="M1080" s="2" t="s">
        <v>2537</v>
      </c>
      <c r="N1080" t="str">
        <f>TRIM(PROPER(Tabla_auditoría[[#This Row],[ID_Campaña]]))</f>
        <v>Cmp-016</v>
      </c>
      <c r="O1080" t="str">
        <f>TRIM(PROPER(Tabla_auditoría[[#This Row],[Canal]]))</f>
        <v>Paid Social</v>
      </c>
      <c r="P1080" t="str">
        <f>TRIM(PROPER(Tabla_auditoría[[#This Row],[País]]))</f>
        <v>Portugal</v>
      </c>
      <c r="Q1080" t="str">
        <f>TRIM(PROPER(Tabla_auditoría[[#This Row],[Dispositivo]]))</f>
        <v>Desktop</v>
      </c>
      <c r="R1080" t="str">
        <f>TRIM(PROPER(Tabla_auditoría[[#This Row],[Tipo_Campaña]]))</f>
        <v>Conversión</v>
      </c>
      <c r="S1080" t="str">
        <f>TRIM(PROPER(Tabla_auditoría[[#This Row],[Responsable]]))</f>
        <v>Marta López</v>
      </c>
    </row>
    <row r="1081" spans="1:19" x14ac:dyDescent="0.3">
      <c r="A1081" s="1">
        <v>45820</v>
      </c>
      <c r="B1081" s="2" t="s">
        <v>2564</v>
      </c>
      <c r="C1081" s="2" t="s">
        <v>2521</v>
      </c>
      <c r="D1081" s="2" t="s">
        <v>2528</v>
      </c>
      <c r="E1081" s="2" t="s">
        <v>2529</v>
      </c>
      <c r="F1081" s="3">
        <v>142601</v>
      </c>
      <c r="G1081" s="3">
        <v>12780</v>
      </c>
      <c r="H1081" s="3">
        <v>590</v>
      </c>
      <c r="I1081" s="4">
        <v>13766.92</v>
      </c>
      <c r="J1081" s="4">
        <v>104812.85</v>
      </c>
      <c r="K1081" s="3">
        <v>493</v>
      </c>
      <c r="L1081" s="2" t="s">
        <v>2518</v>
      </c>
      <c r="M1081" s="2" t="s">
        <v>2546</v>
      </c>
      <c r="N1081" t="str">
        <f>TRIM(PROPER(Tabla_auditoría[[#This Row],[ID_Campaña]]))</f>
        <v>Cmp-024</v>
      </c>
      <c r="O1081" t="str">
        <f>TRIM(PROPER(Tabla_auditoría[[#This Row],[Canal]]))</f>
        <v>Paid Search</v>
      </c>
      <c r="P1081" t="str">
        <f>TRIM(PROPER(Tabla_auditoría[[#This Row],[País]]))</f>
        <v>España</v>
      </c>
      <c r="Q1081" t="str">
        <f>TRIM(PROPER(Tabla_auditoría[[#This Row],[Dispositivo]]))</f>
        <v>Mobile</v>
      </c>
      <c r="R1081" t="str">
        <f>TRIM(PROPER(Tabla_auditoría[[#This Row],[Tipo_Campaña]]))</f>
        <v>Adquisición</v>
      </c>
      <c r="S1081" t="str">
        <f>TRIM(PROPER(Tabla_auditoría[[#This Row],[Responsable]]))</f>
        <v>Ana García</v>
      </c>
    </row>
    <row r="1082" spans="1:19" x14ac:dyDescent="0.3">
      <c r="A1082" s="1">
        <v>46016</v>
      </c>
      <c r="B1082" s="2" t="s">
        <v>2564</v>
      </c>
      <c r="C1082" s="2" t="s">
        <v>2533</v>
      </c>
      <c r="D1082" s="2" t="s">
        <v>2525</v>
      </c>
      <c r="E1082" s="2" t="s">
        <v>2529</v>
      </c>
      <c r="F1082" s="3">
        <v>39456</v>
      </c>
      <c r="G1082" s="3">
        <v>975</v>
      </c>
      <c r="H1082" s="3">
        <v>121</v>
      </c>
      <c r="I1082" s="4">
        <v>1770.75</v>
      </c>
      <c r="J1082" s="4">
        <v>25361.75</v>
      </c>
      <c r="K1082" s="3">
        <v>92</v>
      </c>
      <c r="L1082" s="2" t="s">
        <v>2518</v>
      </c>
      <c r="M1082" s="2" t="s">
        <v>2519</v>
      </c>
      <c r="N1082" t="str">
        <f>TRIM(PROPER(Tabla_auditoría[[#This Row],[ID_Campaña]]))</f>
        <v>Cmp-024</v>
      </c>
      <c r="O1082" t="str">
        <f>TRIM(PROPER(Tabla_auditoría[[#This Row],[Canal]]))</f>
        <v>Paid Social</v>
      </c>
      <c r="P1082" t="str">
        <f>TRIM(PROPER(Tabla_auditoría[[#This Row],[País]]))</f>
        <v>Francia</v>
      </c>
      <c r="Q1082" t="str">
        <f>TRIM(PROPER(Tabla_auditoría[[#This Row],[Dispositivo]]))</f>
        <v>Mobile</v>
      </c>
      <c r="R1082" t="str">
        <f>TRIM(PROPER(Tabla_auditoría[[#This Row],[Tipo_Campaña]]))</f>
        <v>Adquisición</v>
      </c>
      <c r="S1082" t="str">
        <f>TRIM(PROPER(Tabla_auditoría[[#This Row],[Responsable]]))</f>
        <v>Carlos Ruiz</v>
      </c>
    </row>
    <row r="1083" spans="1:19" x14ac:dyDescent="0.3">
      <c r="A1083" s="1">
        <v>45961</v>
      </c>
      <c r="B1083" s="2" t="s">
        <v>2538</v>
      </c>
      <c r="C1083" s="2" t="s">
        <v>2533</v>
      </c>
      <c r="D1083" s="2" t="s">
        <v>2525</v>
      </c>
      <c r="E1083" s="2" t="s">
        <v>2529</v>
      </c>
      <c r="F1083" s="3">
        <v>17021</v>
      </c>
      <c r="G1083" s="3">
        <v>638</v>
      </c>
      <c r="H1083" s="3">
        <v>66</v>
      </c>
      <c r="I1083" s="4">
        <v>619.58000000000004</v>
      </c>
      <c r="J1083" s="4">
        <v>10698.09</v>
      </c>
      <c r="K1083" s="3">
        <v>35</v>
      </c>
      <c r="L1083" s="2" t="s">
        <v>2523</v>
      </c>
      <c r="M1083" s="2" t="s">
        <v>2526</v>
      </c>
      <c r="N1083" t="str">
        <f>TRIM(PROPER(Tabla_auditoría[[#This Row],[ID_Campaña]]))</f>
        <v>Cmp-004</v>
      </c>
      <c r="O1083" t="str">
        <f>TRIM(PROPER(Tabla_auditoría[[#This Row],[Canal]]))</f>
        <v>Paid Social</v>
      </c>
      <c r="P1083" t="str">
        <f>TRIM(PROPER(Tabla_auditoría[[#This Row],[País]]))</f>
        <v>Francia</v>
      </c>
      <c r="Q1083" t="str">
        <f>TRIM(PROPER(Tabla_auditoría[[#This Row],[Dispositivo]]))</f>
        <v>Mobile</v>
      </c>
      <c r="R1083" t="str">
        <f>TRIM(PROPER(Tabla_auditoría[[#This Row],[Tipo_Campaña]]))</f>
        <v>Retención</v>
      </c>
      <c r="S1083" t="str">
        <f>TRIM(PROPER(Tabla_auditoría[[#This Row],[Responsable]]))</f>
        <v>Laura Pérez</v>
      </c>
    </row>
    <row r="1084" spans="1:19" x14ac:dyDescent="0.3">
      <c r="A1084" s="1">
        <v>45658</v>
      </c>
      <c r="B1084" s="2" t="s">
        <v>2566</v>
      </c>
      <c r="C1084" s="2" t="s">
        <v>2527</v>
      </c>
      <c r="D1084" s="2" t="s">
        <v>2528</v>
      </c>
      <c r="E1084" s="2" t="s">
        <v>2534</v>
      </c>
      <c r="F1084" s="3">
        <v>41287</v>
      </c>
      <c r="G1084" s="3">
        <v>2407</v>
      </c>
      <c r="H1084" s="3">
        <v>190</v>
      </c>
      <c r="I1084" s="4">
        <v>4851.4399999999996</v>
      </c>
      <c r="J1084" s="4">
        <v>21327.06</v>
      </c>
      <c r="K1084" s="3">
        <v>147</v>
      </c>
      <c r="L1084" s="2" t="s">
        <v>2518</v>
      </c>
      <c r="M1084" s="2" t="s">
        <v>2537</v>
      </c>
      <c r="N1084" t="str">
        <f>TRIM(PROPER(Tabla_auditoría[[#This Row],[ID_Campaña]]))</f>
        <v>Cmp-001</v>
      </c>
      <c r="O1084" t="str">
        <f>TRIM(PROPER(Tabla_auditoría[[#This Row],[Canal]]))</f>
        <v>Affiliate</v>
      </c>
      <c r="P1084" t="str">
        <f>TRIM(PROPER(Tabla_auditoría[[#This Row],[País]]))</f>
        <v>España</v>
      </c>
      <c r="Q1084" t="str">
        <f>TRIM(PROPER(Tabla_auditoría[[#This Row],[Dispositivo]]))</f>
        <v>Tablet</v>
      </c>
      <c r="R1084" t="str">
        <f>TRIM(PROPER(Tabla_auditoría[[#This Row],[Tipo_Campaña]]))</f>
        <v>Adquisición</v>
      </c>
      <c r="S1084" t="str">
        <f>TRIM(PROPER(Tabla_auditoría[[#This Row],[Responsable]]))</f>
        <v>Marta López</v>
      </c>
    </row>
    <row r="1085" spans="1:19" x14ac:dyDescent="0.3">
      <c r="A1085" s="1">
        <v>45926</v>
      </c>
      <c r="B1085" s="2" t="s">
        <v>2556</v>
      </c>
      <c r="C1085" s="2" t="s">
        <v>2521</v>
      </c>
      <c r="D1085" s="2" t="s">
        <v>2528</v>
      </c>
      <c r="E1085" s="2" t="s">
        <v>2529</v>
      </c>
      <c r="F1085" s="3">
        <v>51078</v>
      </c>
      <c r="G1085" s="3">
        <v>2397</v>
      </c>
      <c r="H1085" s="3">
        <v>160</v>
      </c>
      <c r="I1085" s="4">
        <v>3264.04</v>
      </c>
      <c r="J1085" s="4">
        <v>27109.7</v>
      </c>
      <c r="K1085" s="3">
        <v>130</v>
      </c>
      <c r="L1085" s="2" t="s">
        <v>2539</v>
      </c>
      <c r="M1085" s="2" t="s">
        <v>2537</v>
      </c>
      <c r="N1085" t="str">
        <f>TRIM(PROPER(Tabla_auditoría[[#This Row],[ID_Campaña]]))</f>
        <v>Cmp-014</v>
      </c>
      <c r="O1085" t="str">
        <f>TRIM(PROPER(Tabla_auditoría[[#This Row],[Canal]]))</f>
        <v>Paid Search</v>
      </c>
      <c r="P1085" t="str">
        <f>TRIM(PROPER(Tabla_auditoría[[#This Row],[País]]))</f>
        <v>España</v>
      </c>
      <c r="Q1085" t="str">
        <f>TRIM(PROPER(Tabla_auditoría[[#This Row],[Dispositivo]]))</f>
        <v>Mobile</v>
      </c>
      <c r="R1085" t="str">
        <f>TRIM(PROPER(Tabla_auditoría[[#This Row],[Tipo_Campaña]]))</f>
        <v>Conversión</v>
      </c>
      <c r="S1085" t="str">
        <f>TRIM(PROPER(Tabla_auditoría[[#This Row],[Responsable]]))</f>
        <v>Marta López</v>
      </c>
    </row>
    <row r="1086" spans="1:19" x14ac:dyDescent="0.3">
      <c r="A1086" s="1">
        <v>45952</v>
      </c>
      <c r="B1086" s="2" t="s">
        <v>2568</v>
      </c>
      <c r="C1086" s="2" t="s">
        <v>2515</v>
      </c>
      <c r="D1086" s="2" t="s">
        <v>2525</v>
      </c>
      <c r="E1086" s="2" t="s">
        <v>2517</v>
      </c>
      <c r="F1086" s="3">
        <v>167623</v>
      </c>
      <c r="G1086" s="3">
        <v>14312</v>
      </c>
      <c r="H1086" s="3">
        <v>1404</v>
      </c>
      <c r="I1086" s="4">
        <v>13255.99</v>
      </c>
      <c r="J1086" s="4">
        <v>32852.46</v>
      </c>
      <c r="K1086" s="3">
        <v>1130</v>
      </c>
      <c r="L1086" s="2" t="s">
        <v>2536</v>
      </c>
      <c r="M1086" s="2" t="s">
        <v>2524</v>
      </c>
      <c r="N1086" t="str">
        <f>TRIM(PROPER(Tabla_auditoría[[#This Row],[ID_Campaña]]))</f>
        <v>Cmp-020</v>
      </c>
      <c r="O1086" t="str">
        <f>TRIM(PROPER(Tabla_auditoría[[#This Row],[Canal]]))</f>
        <v>Email</v>
      </c>
      <c r="P1086" t="str">
        <f>TRIM(PROPER(Tabla_auditoría[[#This Row],[País]]))</f>
        <v>Francia</v>
      </c>
      <c r="Q1086" t="str">
        <f>TRIM(PROPER(Tabla_auditoría[[#This Row],[Dispositivo]]))</f>
        <v>Desktop</v>
      </c>
      <c r="R1086" t="str">
        <f>TRIM(PROPER(Tabla_auditoría[[#This Row],[Tipo_Campaña]]))</f>
        <v>Reconocimiento</v>
      </c>
      <c r="S1086" t="str">
        <f>TRIM(PROPER(Tabla_auditoría[[#This Row],[Responsable]]))</f>
        <v>Luis Martín</v>
      </c>
    </row>
    <row r="1087" spans="1:19" x14ac:dyDescent="0.3">
      <c r="A1087" s="1">
        <v>45750</v>
      </c>
      <c r="B1087" s="2" t="s">
        <v>2569</v>
      </c>
      <c r="C1087" s="2" t="s">
        <v>2515</v>
      </c>
      <c r="D1087" s="2" t="s">
        <v>2528</v>
      </c>
      <c r="E1087" s="2" t="s">
        <v>2517</v>
      </c>
      <c r="F1087" s="3">
        <v>70603</v>
      </c>
      <c r="G1087" s="3">
        <v>6342</v>
      </c>
      <c r="H1087" s="3">
        <v>825</v>
      </c>
      <c r="I1087" s="4">
        <v>868.44</v>
      </c>
      <c r="J1087" s="4">
        <v>176068.4</v>
      </c>
      <c r="K1087" s="3">
        <v>439</v>
      </c>
      <c r="L1087" s="2" t="s">
        <v>2539</v>
      </c>
      <c r="M1087" s="2" t="s">
        <v>2526</v>
      </c>
      <c r="N1087" t="str">
        <f>TRIM(PROPER(Tabla_auditoría[[#This Row],[ID_Campaña]]))</f>
        <v>Cmp-013</v>
      </c>
      <c r="O1087" t="str">
        <f>TRIM(PROPER(Tabla_auditoría[[#This Row],[Canal]]))</f>
        <v>Email</v>
      </c>
      <c r="P1087" t="str">
        <f>TRIM(PROPER(Tabla_auditoría[[#This Row],[País]]))</f>
        <v>España</v>
      </c>
      <c r="Q1087" t="str">
        <f>TRIM(PROPER(Tabla_auditoría[[#This Row],[Dispositivo]]))</f>
        <v>Desktop</v>
      </c>
      <c r="R1087" t="str">
        <f>TRIM(PROPER(Tabla_auditoría[[#This Row],[Tipo_Campaña]]))</f>
        <v>Conversión</v>
      </c>
      <c r="S1087" t="str">
        <f>TRIM(PROPER(Tabla_auditoría[[#This Row],[Responsable]]))</f>
        <v>Laura Pérez</v>
      </c>
    </row>
    <row r="1088" spans="1:19" x14ac:dyDescent="0.3">
      <c r="A1088" s="1">
        <v>45903</v>
      </c>
      <c r="B1088" s="2" t="s">
        <v>2520</v>
      </c>
      <c r="C1088" s="2" t="s">
        <v>2541</v>
      </c>
      <c r="D1088" s="2" t="s">
        <v>2522</v>
      </c>
      <c r="E1088" s="2" t="s">
        <v>2517</v>
      </c>
      <c r="F1088" s="3">
        <v>133096</v>
      </c>
      <c r="G1088" s="3">
        <v>10617</v>
      </c>
      <c r="H1088" s="3">
        <v>1139</v>
      </c>
      <c r="I1088" s="4">
        <v>20580.93</v>
      </c>
      <c r="J1088" s="4">
        <v>76496.22</v>
      </c>
      <c r="K1088" s="3">
        <v>731</v>
      </c>
      <c r="L1088" s="2" t="s">
        <v>2518</v>
      </c>
      <c r="M1088" s="2" t="s">
        <v>2546</v>
      </c>
      <c r="N1088" t="str">
        <f>TRIM(PROPER(Tabla_auditoría[[#This Row],[ID_Campaña]]))</f>
        <v>Cmp-009</v>
      </c>
      <c r="O1088" t="str">
        <f>TRIM(PROPER(Tabla_auditoría[[#This Row],[Canal]]))</f>
        <v>Display</v>
      </c>
      <c r="P1088" t="str">
        <f>TRIM(PROPER(Tabla_auditoría[[#This Row],[País]]))</f>
        <v>Italia</v>
      </c>
      <c r="Q1088" t="str">
        <f>TRIM(PROPER(Tabla_auditoría[[#This Row],[Dispositivo]]))</f>
        <v>Desktop</v>
      </c>
      <c r="R1088" t="str">
        <f>TRIM(PROPER(Tabla_auditoría[[#This Row],[Tipo_Campaña]]))</f>
        <v>Adquisición</v>
      </c>
      <c r="S1088" t="str">
        <f>TRIM(PROPER(Tabla_auditoría[[#This Row],[Responsable]]))</f>
        <v>Ana García</v>
      </c>
    </row>
    <row r="1089" spans="1:19" x14ac:dyDescent="0.3">
      <c r="A1089" s="1">
        <v>45871</v>
      </c>
      <c r="B1089" s="2" t="s">
        <v>2566</v>
      </c>
      <c r="C1089" s="2" t="s">
        <v>2521</v>
      </c>
      <c r="D1089" s="2" t="s">
        <v>2531</v>
      </c>
      <c r="E1089" s="2" t="s">
        <v>2529</v>
      </c>
      <c r="F1089" s="3">
        <v>98564</v>
      </c>
      <c r="G1089" s="3">
        <v>7334</v>
      </c>
      <c r="H1089" s="3">
        <v>494</v>
      </c>
      <c r="I1089" s="4">
        <v>14958.13</v>
      </c>
      <c r="J1089" s="4">
        <v>52240.41</v>
      </c>
      <c r="K1089" s="3">
        <v>283</v>
      </c>
      <c r="L1089" s="2" t="s">
        <v>2539</v>
      </c>
      <c r="M1089" s="2" t="s">
        <v>2524</v>
      </c>
      <c r="N1089" t="str">
        <f>TRIM(PROPER(Tabla_auditoría[[#This Row],[ID_Campaña]]))</f>
        <v>Cmp-001</v>
      </c>
      <c r="O1089" t="str">
        <f>TRIM(PROPER(Tabla_auditoría[[#This Row],[Canal]]))</f>
        <v>Paid Search</v>
      </c>
      <c r="P1089" t="str">
        <f>TRIM(PROPER(Tabla_auditoría[[#This Row],[País]]))</f>
        <v>Portugal</v>
      </c>
      <c r="Q1089" t="str">
        <f>TRIM(PROPER(Tabla_auditoría[[#This Row],[Dispositivo]]))</f>
        <v>Mobile</v>
      </c>
      <c r="R1089" t="str">
        <f>TRIM(PROPER(Tabla_auditoría[[#This Row],[Tipo_Campaña]]))</f>
        <v>Conversión</v>
      </c>
      <c r="S1089" t="str">
        <f>TRIM(PROPER(Tabla_auditoría[[#This Row],[Responsable]]))</f>
        <v>Luis Martín</v>
      </c>
    </row>
    <row r="1090" spans="1:19" x14ac:dyDescent="0.3">
      <c r="A1090" s="1">
        <v>45781</v>
      </c>
      <c r="B1090" s="2" t="s">
        <v>2568</v>
      </c>
      <c r="C1090" s="2" t="s">
        <v>2533</v>
      </c>
      <c r="D1090" s="2" t="s">
        <v>2528</v>
      </c>
      <c r="E1090" s="2" t="s">
        <v>2529</v>
      </c>
      <c r="F1090" s="3">
        <v>78349</v>
      </c>
      <c r="G1090" s="3">
        <v>6006</v>
      </c>
      <c r="H1090" s="3">
        <v>801</v>
      </c>
      <c r="I1090" s="4">
        <v>1219.1099999999999</v>
      </c>
      <c r="J1090" s="4">
        <v>131056.92</v>
      </c>
      <c r="K1090" s="3">
        <v>547</v>
      </c>
      <c r="L1090" s="2" t="s">
        <v>2536</v>
      </c>
      <c r="M1090" s="2" t="s">
        <v>2537</v>
      </c>
      <c r="N1090" t="str">
        <f>TRIM(PROPER(Tabla_auditoría[[#This Row],[ID_Campaña]]))</f>
        <v>Cmp-020</v>
      </c>
      <c r="O1090" t="str">
        <f>TRIM(PROPER(Tabla_auditoría[[#This Row],[Canal]]))</f>
        <v>Paid Social</v>
      </c>
      <c r="P1090" t="str">
        <f>TRIM(PROPER(Tabla_auditoría[[#This Row],[País]]))</f>
        <v>España</v>
      </c>
      <c r="Q1090" t="str">
        <f>TRIM(PROPER(Tabla_auditoría[[#This Row],[Dispositivo]]))</f>
        <v>Mobile</v>
      </c>
      <c r="R1090" t="str">
        <f>TRIM(PROPER(Tabla_auditoría[[#This Row],[Tipo_Campaña]]))</f>
        <v>Reconocimiento</v>
      </c>
      <c r="S1090" t="str">
        <f>TRIM(PROPER(Tabla_auditoría[[#This Row],[Responsable]]))</f>
        <v>Marta López</v>
      </c>
    </row>
    <row r="1091" spans="1:19" x14ac:dyDescent="0.3">
      <c r="A1091" s="1">
        <v>45772</v>
      </c>
      <c r="B1091" s="2" t="s">
        <v>2556</v>
      </c>
      <c r="C1091" s="2" t="s">
        <v>2527</v>
      </c>
      <c r="D1091" s="2" t="s">
        <v>2528</v>
      </c>
      <c r="E1091" s="2" t="s">
        <v>2529</v>
      </c>
      <c r="F1091" s="3">
        <v>86935</v>
      </c>
      <c r="G1091" s="3">
        <v>798</v>
      </c>
      <c r="H1091" s="3">
        <v>52</v>
      </c>
      <c r="I1091" s="4">
        <v>572.33000000000004</v>
      </c>
      <c r="J1091" s="4">
        <v>5109.24</v>
      </c>
      <c r="K1091" s="3">
        <v>28</v>
      </c>
      <c r="L1091" s="2" t="s">
        <v>2518</v>
      </c>
      <c r="M1091" s="2" t="s">
        <v>2524</v>
      </c>
      <c r="N1091" t="str">
        <f>TRIM(PROPER(Tabla_auditoría[[#This Row],[ID_Campaña]]))</f>
        <v>Cmp-014</v>
      </c>
      <c r="O1091" t="str">
        <f>TRIM(PROPER(Tabla_auditoría[[#This Row],[Canal]]))</f>
        <v>Affiliate</v>
      </c>
      <c r="P1091" t="str">
        <f>TRIM(PROPER(Tabla_auditoría[[#This Row],[País]]))</f>
        <v>España</v>
      </c>
      <c r="Q1091" t="str">
        <f>TRIM(PROPER(Tabla_auditoría[[#This Row],[Dispositivo]]))</f>
        <v>Mobile</v>
      </c>
      <c r="R1091" t="str">
        <f>TRIM(PROPER(Tabla_auditoría[[#This Row],[Tipo_Campaña]]))</f>
        <v>Adquisición</v>
      </c>
      <c r="S1091" t="str">
        <f>TRIM(PROPER(Tabla_auditoría[[#This Row],[Responsable]]))</f>
        <v>Luis Martín</v>
      </c>
    </row>
    <row r="1092" spans="1:19" x14ac:dyDescent="0.3">
      <c r="A1092" s="1">
        <v>45899</v>
      </c>
      <c r="B1092" s="2" t="s">
        <v>2549</v>
      </c>
      <c r="C1092" s="2" t="s">
        <v>2541</v>
      </c>
      <c r="D1092" s="2" t="s">
        <v>2531</v>
      </c>
      <c r="E1092" s="2" t="s">
        <v>2529</v>
      </c>
      <c r="F1092" s="3">
        <v>94800</v>
      </c>
      <c r="G1092" s="3">
        <v>5840</v>
      </c>
      <c r="H1092" s="3">
        <v>747</v>
      </c>
      <c r="I1092" s="4">
        <v>8439.92</v>
      </c>
      <c r="J1092" s="4">
        <v>89848.06</v>
      </c>
      <c r="K1092" s="3">
        <v>606</v>
      </c>
      <c r="L1092" s="2" t="s">
        <v>2518</v>
      </c>
      <c r="M1092" s="2" t="s">
        <v>2537</v>
      </c>
      <c r="N1092" t="str">
        <f>TRIM(PROPER(Tabla_auditoría[[#This Row],[ID_Campaña]]))</f>
        <v>Cmp-007</v>
      </c>
      <c r="O1092" t="str">
        <f>TRIM(PROPER(Tabla_auditoría[[#This Row],[Canal]]))</f>
        <v>Display</v>
      </c>
      <c r="P1092" t="str">
        <f>TRIM(PROPER(Tabla_auditoría[[#This Row],[País]]))</f>
        <v>Portugal</v>
      </c>
      <c r="Q1092" t="str">
        <f>TRIM(PROPER(Tabla_auditoría[[#This Row],[Dispositivo]]))</f>
        <v>Mobile</v>
      </c>
      <c r="R1092" t="str">
        <f>TRIM(PROPER(Tabla_auditoría[[#This Row],[Tipo_Campaña]]))</f>
        <v>Adquisición</v>
      </c>
      <c r="S1092" t="str">
        <f>TRIM(PROPER(Tabla_auditoría[[#This Row],[Responsable]]))</f>
        <v>Marta López</v>
      </c>
    </row>
    <row r="1093" spans="1:19" x14ac:dyDescent="0.3">
      <c r="A1093" s="1">
        <v>45801</v>
      </c>
      <c r="B1093" s="2" t="s">
        <v>2535</v>
      </c>
      <c r="C1093" s="2" t="s">
        <v>2521</v>
      </c>
      <c r="D1093" s="2" t="s">
        <v>2522</v>
      </c>
      <c r="E1093" s="2" t="s">
        <v>2517</v>
      </c>
      <c r="F1093" s="3">
        <v>17014</v>
      </c>
      <c r="G1093" s="3">
        <v>229</v>
      </c>
      <c r="H1093" s="3">
        <v>26</v>
      </c>
      <c r="I1093" s="4">
        <v>83.48</v>
      </c>
      <c r="J1093" s="4">
        <v>3639.85</v>
      </c>
      <c r="K1093" s="3">
        <v>20</v>
      </c>
      <c r="L1093" s="2" t="s">
        <v>2536</v>
      </c>
      <c r="M1093" s="2" t="s">
        <v>2519</v>
      </c>
      <c r="N1093" t="str">
        <f>TRIM(PROPER(Tabla_auditoría[[#This Row],[ID_Campaña]]))</f>
        <v>Cmp-015</v>
      </c>
      <c r="O1093" t="str">
        <f>TRIM(PROPER(Tabla_auditoría[[#This Row],[Canal]]))</f>
        <v>Paid Search</v>
      </c>
      <c r="P1093" t="str">
        <f>TRIM(PROPER(Tabla_auditoría[[#This Row],[País]]))</f>
        <v>Italia</v>
      </c>
      <c r="Q1093" t="str">
        <f>TRIM(PROPER(Tabla_auditoría[[#This Row],[Dispositivo]]))</f>
        <v>Desktop</v>
      </c>
      <c r="R1093" t="str">
        <f>TRIM(PROPER(Tabla_auditoría[[#This Row],[Tipo_Campaña]]))</f>
        <v>Reconocimiento</v>
      </c>
      <c r="S1093" t="str">
        <f>TRIM(PROPER(Tabla_auditoría[[#This Row],[Responsable]]))</f>
        <v>Carlos Ruiz</v>
      </c>
    </row>
    <row r="1094" spans="1:19" x14ac:dyDescent="0.3">
      <c r="A1094" s="1">
        <v>46007</v>
      </c>
      <c r="B1094" s="2" t="s">
        <v>2547</v>
      </c>
      <c r="C1094" s="2" t="s">
        <v>2527</v>
      </c>
      <c r="D1094" s="2" t="s">
        <v>2525</v>
      </c>
      <c r="E1094" s="2" t="s">
        <v>2529</v>
      </c>
      <c r="F1094" s="3">
        <v>124073</v>
      </c>
      <c r="G1094" s="3">
        <v>8384</v>
      </c>
      <c r="H1094" s="3">
        <v>522</v>
      </c>
      <c r="I1094" s="4">
        <v>9807.1200000000008</v>
      </c>
      <c r="J1094" s="4">
        <v>44087.18</v>
      </c>
      <c r="K1094" s="3">
        <v>437</v>
      </c>
      <c r="L1094" s="2" t="s">
        <v>2523</v>
      </c>
      <c r="M1094" s="2" t="s">
        <v>2537</v>
      </c>
      <c r="N1094" t="str">
        <f>TRIM(PROPER(Tabla_auditoría[[#This Row],[ID_Campaña]]))</f>
        <v>Cmp-018</v>
      </c>
      <c r="O1094" t="str">
        <f>TRIM(PROPER(Tabla_auditoría[[#This Row],[Canal]]))</f>
        <v>Affiliate</v>
      </c>
      <c r="P1094" t="str">
        <f>TRIM(PROPER(Tabla_auditoría[[#This Row],[País]]))</f>
        <v>Francia</v>
      </c>
      <c r="Q1094" t="str">
        <f>TRIM(PROPER(Tabla_auditoría[[#This Row],[Dispositivo]]))</f>
        <v>Mobile</v>
      </c>
      <c r="R1094" t="str">
        <f>TRIM(PROPER(Tabla_auditoría[[#This Row],[Tipo_Campaña]]))</f>
        <v>Retención</v>
      </c>
      <c r="S1094" t="str">
        <f>TRIM(PROPER(Tabla_auditoría[[#This Row],[Responsable]]))</f>
        <v>Marta López</v>
      </c>
    </row>
    <row r="1095" spans="1:19" x14ac:dyDescent="0.3">
      <c r="A1095" s="1">
        <v>45791</v>
      </c>
      <c r="B1095" s="2" t="s">
        <v>2530</v>
      </c>
      <c r="C1095" s="2" t="s">
        <v>2541</v>
      </c>
      <c r="D1095" s="2" t="s">
        <v>2522</v>
      </c>
      <c r="E1095" s="2" t="s">
        <v>2529</v>
      </c>
      <c r="F1095" s="3">
        <v>20323</v>
      </c>
      <c r="G1095" s="3">
        <v>1234</v>
      </c>
      <c r="H1095" s="3">
        <v>147</v>
      </c>
      <c r="I1095" s="4">
        <v>1120.03</v>
      </c>
      <c r="J1095" s="4">
        <v>20864.39</v>
      </c>
      <c r="K1095" s="3">
        <v>121</v>
      </c>
      <c r="L1095" s="2" t="s">
        <v>2536</v>
      </c>
      <c r="M1095" s="2" t="s">
        <v>2537</v>
      </c>
      <c r="N1095" t="str">
        <f>TRIM(PROPER(Tabla_auditoría[[#This Row],[ID_Campaña]]))</f>
        <v>Cmp-026</v>
      </c>
      <c r="O1095" t="str">
        <f>TRIM(PROPER(Tabla_auditoría[[#This Row],[Canal]]))</f>
        <v>Display</v>
      </c>
      <c r="P1095" t="str">
        <f>TRIM(PROPER(Tabla_auditoría[[#This Row],[País]]))</f>
        <v>Italia</v>
      </c>
      <c r="Q1095" t="str">
        <f>TRIM(PROPER(Tabla_auditoría[[#This Row],[Dispositivo]]))</f>
        <v>Mobile</v>
      </c>
      <c r="R1095" t="str">
        <f>TRIM(PROPER(Tabla_auditoría[[#This Row],[Tipo_Campaña]]))</f>
        <v>Reconocimiento</v>
      </c>
      <c r="S1095" t="str">
        <f>TRIM(PROPER(Tabla_auditoría[[#This Row],[Responsable]]))</f>
        <v>Marta López</v>
      </c>
    </row>
    <row r="1096" spans="1:19" x14ac:dyDescent="0.3">
      <c r="A1096" s="1">
        <v>45735</v>
      </c>
      <c r="B1096" s="2" t="s">
        <v>2557</v>
      </c>
      <c r="C1096" s="2" t="s">
        <v>2521</v>
      </c>
      <c r="D1096" s="2" t="s">
        <v>2528</v>
      </c>
      <c r="E1096" s="2" t="s">
        <v>2561</v>
      </c>
      <c r="F1096" s="3">
        <v>168419</v>
      </c>
      <c r="G1096" s="3">
        <v>11813</v>
      </c>
      <c r="H1096" s="3">
        <v>227</v>
      </c>
      <c r="I1096" s="4">
        <v>22459.919999999998</v>
      </c>
      <c r="J1096" s="4">
        <v>27768.49</v>
      </c>
      <c r="K1096" s="3">
        <v>141</v>
      </c>
      <c r="L1096" s="2" t="s">
        <v>2518</v>
      </c>
      <c r="M1096" s="2" t="s">
        <v>2519</v>
      </c>
      <c r="N1096" t="str">
        <f>TRIM(PROPER(Tabla_auditoría[[#This Row],[ID_Campaña]]))</f>
        <v>Cmp-030</v>
      </c>
      <c r="O1096" t="str">
        <f>TRIM(PROPER(Tabla_auditoría[[#This Row],[Canal]]))</f>
        <v>Paid Search</v>
      </c>
      <c r="P1096" t="str">
        <f>TRIM(PROPER(Tabla_auditoría[[#This Row],[País]]))</f>
        <v>España</v>
      </c>
      <c r="Q1096" t="str">
        <f>TRIM(PROPER(Tabla_auditoría[[#This Row],[Dispositivo]]))</f>
        <v>Mobile</v>
      </c>
      <c r="R1096" t="str">
        <f>TRIM(PROPER(Tabla_auditoría[[#This Row],[Tipo_Campaña]]))</f>
        <v>Adquisición</v>
      </c>
      <c r="S1096" t="str">
        <f>TRIM(PROPER(Tabla_auditoría[[#This Row],[Responsable]]))</f>
        <v>Carlos Ruiz</v>
      </c>
    </row>
    <row r="1097" spans="1:19" x14ac:dyDescent="0.3">
      <c r="A1097" s="1">
        <v>45677</v>
      </c>
      <c r="B1097" s="2" t="s">
        <v>2557</v>
      </c>
      <c r="C1097" s="2" t="s">
        <v>2527</v>
      </c>
      <c r="D1097" s="2" t="s">
        <v>2528</v>
      </c>
      <c r="E1097" s="2" t="s">
        <v>2517</v>
      </c>
      <c r="F1097" s="3">
        <v>172364</v>
      </c>
      <c r="G1097" s="3">
        <v>7896</v>
      </c>
      <c r="H1097" s="3">
        <v>745</v>
      </c>
      <c r="I1097" s="4">
        <v>3865.44</v>
      </c>
      <c r="J1097" s="4">
        <v>152652.1</v>
      </c>
      <c r="K1097" s="3">
        <v>474</v>
      </c>
      <c r="L1097" s="2" t="s">
        <v>2518</v>
      </c>
      <c r="M1097" s="2" t="s">
        <v>2537</v>
      </c>
      <c r="N1097" t="str">
        <f>TRIM(PROPER(Tabla_auditoría[[#This Row],[ID_Campaña]]))</f>
        <v>Cmp-030</v>
      </c>
      <c r="O1097" t="str">
        <f>TRIM(PROPER(Tabla_auditoría[[#This Row],[Canal]]))</f>
        <v>Affiliate</v>
      </c>
      <c r="P1097" t="str">
        <f>TRIM(PROPER(Tabla_auditoría[[#This Row],[País]]))</f>
        <v>España</v>
      </c>
      <c r="Q1097" t="str">
        <f>TRIM(PROPER(Tabla_auditoría[[#This Row],[Dispositivo]]))</f>
        <v>Desktop</v>
      </c>
      <c r="R1097" t="str">
        <f>TRIM(PROPER(Tabla_auditoría[[#This Row],[Tipo_Campaña]]))</f>
        <v>Adquisición</v>
      </c>
      <c r="S1097" t="str">
        <f>TRIM(PROPER(Tabla_auditoría[[#This Row],[Responsable]]))</f>
        <v>Marta López</v>
      </c>
    </row>
    <row r="1098" spans="1:19" x14ac:dyDescent="0.3">
      <c r="A1098" s="1">
        <v>45708</v>
      </c>
      <c r="B1098" s="2" t="s">
        <v>2551</v>
      </c>
      <c r="C1098" s="2" t="s">
        <v>2527</v>
      </c>
      <c r="D1098" s="2" t="s">
        <v>2528</v>
      </c>
      <c r="E1098" s="2" t="s">
        <v>2529</v>
      </c>
      <c r="F1098" s="3">
        <v>19329</v>
      </c>
      <c r="G1098" s="3">
        <v>1171</v>
      </c>
      <c r="H1098" s="3">
        <v>82</v>
      </c>
      <c r="I1098" s="4">
        <v>2019.65</v>
      </c>
      <c r="J1098" s="4">
        <v>9064.18</v>
      </c>
      <c r="K1098" s="3">
        <v>37</v>
      </c>
      <c r="L1098" s="2" t="s">
        <v>2536</v>
      </c>
      <c r="M1098" s="2" t="s">
        <v>2519</v>
      </c>
      <c r="N1098" t="str">
        <f>TRIM(PROPER(Tabla_auditoría[[#This Row],[ID_Campaña]]))</f>
        <v>Cmp-028</v>
      </c>
      <c r="O1098" t="str">
        <f>TRIM(PROPER(Tabla_auditoría[[#This Row],[Canal]]))</f>
        <v>Affiliate</v>
      </c>
      <c r="P1098" t="str">
        <f>TRIM(PROPER(Tabla_auditoría[[#This Row],[País]]))</f>
        <v>España</v>
      </c>
      <c r="Q1098" t="str">
        <f>TRIM(PROPER(Tabla_auditoría[[#This Row],[Dispositivo]]))</f>
        <v>Mobile</v>
      </c>
      <c r="R1098" t="str">
        <f>TRIM(PROPER(Tabla_auditoría[[#This Row],[Tipo_Campaña]]))</f>
        <v>Reconocimiento</v>
      </c>
      <c r="S1098" t="str">
        <f>TRIM(PROPER(Tabla_auditoría[[#This Row],[Responsable]]))</f>
        <v>Carlos Ruiz</v>
      </c>
    </row>
    <row r="1099" spans="1:19" x14ac:dyDescent="0.3">
      <c r="A1099" s="1">
        <v>46006</v>
      </c>
      <c r="B1099" s="2" t="s">
        <v>2540</v>
      </c>
      <c r="C1099" s="2" t="s">
        <v>2543</v>
      </c>
      <c r="D1099" s="2" t="s">
        <v>2516</v>
      </c>
      <c r="E1099" s="2" t="s">
        <v>2529</v>
      </c>
      <c r="F1099" s="3">
        <v>163068</v>
      </c>
      <c r="G1099" s="3">
        <v>4623</v>
      </c>
      <c r="H1099" s="3">
        <v>595</v>
      </c>
      <c r="I1099" s="4">
        <v>6407.64</v>
      </c>
      <c r="J1099" s="4">
        <v>38969.129999999997</v>
      </c>
      <c r="K1099" s="3">
        <v>376</v>
      </c>
      <c r="L1099" s="2" t="s">
        <v>2539</v>
      </c>
      <c r="M1099" s="2" t="s">
        <v>2546</v>
      </c>
      <c r="N1099" t="str">
        <f>TRIM(PROPER(Tabla_auditoría[[#This Row],[ID_Campaña]]))</f>
        <v>Cmp-017</v>
      </c>
      <c r="O1099" t="str">
        <f>TRIM(PROPER(Tabla_auditoría[[#This Row],[Canal]]))</f>
        <v>Organic Social</v>
      </c>
      <c r="P1099" t="str">
        <f>TRIM(PROPER(Tabla_auditoría[[#This Row],[País]]))</f>
        <v>México</v>
      </c>
      <c r="Q1099" t="str">
        <f>TRIM(PROPER(Tabla_auditoría[[#This Row],[Dispositivo]]))</f>
        <v>Mobile</v>
      </c>
      <c r="R1099" t="str">
        <f>TRIM(PROPER(Tabla_auditoría[[#This Row],[Tipo_Campaña]]))</f>
        <v>Conversión</v>
      </c>
      <c r="S1099" t="str">
        <f>TRIM(PROPER(Tabla_auditoría[[#This Row],[Responsable]]))</f>
        <v>Ana García</v>
      </c>
    </row>
    <row r="1100" spans="1:19" x14ac:dyDescent="0.3">
      <c r="A1100" s="1">
        <v>45735</v>
      </c>
      <c r="B1100" s="2" t="s">
        <v>2571</v>
      </c>
      <c r="C1100" s="2" t="s">
        <v>2521</v>
      </c>
      <c r="D1100" s="2" t="s">
        <v>2516</v>
      </c>
      <c r="E1100" s="2" t="s">
        <v>2534</v>
      </c>
      <c r="F1100" s="3">
        <v>16454</v>
      </c>
      <c r="G1100" s="3">
        <v>409</v>
      </c>
      <c r="H1100" s="3">
        <v>30</v>
      </c>
      <c r="I1100" s="4">
        <v>177.86</v>
      </c>
      <c r="J1100" s="4">
        <v>2319.94</v>
      </c>
      <c r="K1100" s="3">
        <v>16</v>
      </c>
      <c r="L1100" s="2" t="s">
        <v>2536</v>
      </c>
      <c r="M1100" s="2" t="s">
        <v>2524</v>
      </c>
      <c r="N1100" t="str">
        <f>TRIM(PROPER(Tabla_auditoría[[#This Row],[ID_Campaña]]))</f>
        <v>Cmp-029</v>
      </c>
      <c r="O1100" t="str">
        <f>TRIM(PROPER(Tabla_auditoría[[#This Row],[Canal]]))</f>
        <v>Paid Search</v>
      </c>
      <c r="P1100" t="str">
        <f>TRIM(PROPER(Tabla_auditoría[[#This Row],[País]]))</f>
        <v>México</v>
      </c>
      <c r="Q1100" t="str">
        <f>TRIM(PROPER(Tabla_auditoría[[#This Row],[Dispositivo]]))</f>
        <v>Tablet</v>
      </c>
      <c r="R1100" t="str">
        <f>TRIM(PROPER(Tabla_auditoría[[#This Row],[Tipo_Campaña]]))</f>
        <v>Reconocimiento</v>
      </c>
      <c r="S1100" t="str">
        <f>TRIM(PROPER(Tabla_auditoría[[#This Row],[Responsable]]))</f>
        <v>Luis Martín</v>
      </c>
    </row>
    <row r="1101" spans="1:19" x14ac:dyDescent="0.3">
      <c r="A1101" s="1">
        <v>46008</v>
      </c>
      <c r="B1101" s="2" t="s">
        <v>2560</v>
      </c>
      <c r="C1101" s="2" t="s">
        <v>2533</v>
      </c>
      <c r="D1101" s="2" t="s">
        <v>2528</v>
      </c>
      <c r="E1101" s="2" t="s">
        <v>2529</v>
      </c>
      <c r="F1101" s="3">
        <v>179844</v>
      </c>
      <c r="G1101" s="3">
        <v>8689</v>
      </c>
      <c r="H1101" s="3">
        <v>979</v>
      </c>
      <c r="I1101" s="4">
        <v>10451.719999999999</v>
      </c>
      <c r="J1101" s="4">
        <v>27464.99</v>
      </c>
      <c r="K1101" s="3">
        <v>652</v>
      </c>
      <c r="L1101" s="2" t="s">
        <v>2523</v>
      </c>
      <c r="M1101" s="2" t="s">
        <v>2526</v>
      </c>
      <c r="N1101" t="str">
        <f>TRIM(PROPER(Tabla_auditoría[[#This Row],[ID_Campaña]]))</f>
        <v>Cmp-027</v>
      </c>
      <c r="O1101" t="str">
        <f>TRIM(PROPER(Tabla_auditoría[[#This Row],[Canal]]))</f>
        <v>Paid Social</v>
      </c>
      <c r="P1101" t="str">
        <f>TRIM(PROPER(Tabla_auditoría[[#This Row],[País]]))</f>
        <v>España</v>
      </c>
      <c r="Q1101" t="str">
        <f>TRIM(PROPER(Tabla_auditoría[[#This Row],[Dispositivo]]))</f>
        <v>Mobile</v>
      </c>
      <c r="R1101" t="str">
        <f>TRIM(PROPER(Tabla_auditoría[[#This Row],[Tipo_Campaña]]))</f>
        <v>Retención</v>
      </c>
      <c r="S1101" t="str">
        <f>TRIM(PROPER(Tabla_auditoría[[#This Row],[Responsable]]))</f>
        <v>Laura Pérez</v>
      </c>
    </row>
    <row r="1102" spans="1:19" x14ac:dyDescent="0.3">
      <c r="A1102" s="1">
        <v>46002</v>
      </c>
      <c r="B1102" s="2" t="s">
        <v>2574</v>
      </c>
      <c r="C1102" s="2" t="s">
        <v>2527</v>
      </c>
      <c r="D1102" s="2" t="s">
        <v>2525</v>
      </c>
      <c r="E1102" s="2" t="s">
        <v>2517</v>
      </c>
      <c r="F1102" s="3">
        <v>152204</v>
      </c>
      <c r="G1102" s="3">
        <v>5362</v>
      </c>
      <c r="H1102" s="3">
        <v>158</v>
      </c>
      <c r="I1102" s="4">
        <v>6820.84</v>
      </c>
      <c r="J1102" s="4">
        <v>14317.49</v>
      </c>
      <c r="K1102" s="3">
        <v>106</v>
      </c>
      <c r="L1102" s="2" t="s">
        <v>2523</v>
      </c>
      <c r="M1102" s="2" t="s">
        <v>2546</v>
      </c>
      <c r="N1102" t="str">
        <f>TRIM(PROPER(Tabla_auditoría[[#This Row],[ID_Campaña]]))</f>
        <v>Cmp-003</v>
      </c>
      <c r="O1102" t="str">
        <f>TRIM(PROPER(Tabla_auditoría[[#This Row],[Canal]]))</f>
        <v>Affiliate</v>
      </c>
      <c r="P1102" t="str">
        <f>TRIM(PROPER(Tabla_auditoría[[#This Row],[País]]))</f>
        <v>Francia</v>
      </c>
      <c r="Q1102" t="str">
        <f>TRIM(PROPER(Tabla_auditoría[[#This Row],[Dispositivo]]))</f>
        <v>Desktop</v>
      </c>
      <c r="R1102" t="str">
        <f>TRIM(PROPER(Tabla_auditoría[[#This Row],[Tipo_Campaña]]))</f>
        <v>Retención</v>
      </c>
      <c r="S1102" t="str">
        <f>TRIM(PROPER(Tabla_auditoría[[#This Row],[Responsable]]))</f>
        <v>Ana García</v>
      </c>
    </row>
    <row r="1103" spans="1:19" x14ac:dyDescent="0.3">
      <c r="A1103" s="1">
        <v>45938</v>
      </c>
      <c r="B1103" s="2" t="s">
        <v>2567</v>
      </c>
      <c r="C1103" s="2" t="s">
        <v>2541</v>
      </c>
      <c r="D1103" s="2" t="s">
        <v>2525</v>
      </c>
      <c r="E1103" s="2" t="s">
        <v>2534</v>
      </c>
      <c r="F1103" s="3">
        <v>51205</v>
      </c>
      <c r="G1103" s="3">
        <v>673</v>
      </c>
      <c r="H1103" s="3">
        <v>47</v>
      </c>
      <c r="I1103" s="4">
        <v>1200.73</v>
      </c>
      <c r="J1103" s="4">
        <v>9597.81</v>
      </c>
      <c r="K1103" s="3">
        <v>41</v>
      </c>
      <c r="L1103" s="2" t="s">
        <v>2523</v>
      </c>
      <c r="M1103" s="2" t="s">
        <v>2524</v>
      </c>
      <c r="N1103" t="str">
        <f>TRIM(PROPER(Tabla_auditoría[[#This Row],[ID_Campaña]]))</f>
        <v>Cmp-021</v>
      </c>
      <c r="O1103" t="str">
        <f>TRIM(PROPER(Tabla_auditoría[[#This Row],[Canal]]))</f>
        <v>Display</v>
      </c>
      <c r="P1103" t="str">
        <f>TRIM(PROPER(Tabla_auditoría[[#This Row],[País]]))</f>
        <v>Francia</v>
      </c>
      <c r="Q1103" t="str">
        <f>TRIM(PROPER(Tabla_auditoría[[#This Row],[Dispositivo]]))</f>
        <v>Tablet</v>
      </c>
      <c r="R1103" t="str">
        <f>TRIM(PROPER(Tabla_auditoría[[#This Row],[Tipo_Campaña]]))</f>
        <v>Retención</v>
      </c>
      <c r="S1103" t="str">
        <f>TRIM(PROPER(Tabla_auditoría[[#This Row],[Responsable]]))</f>
        <v>Luis Martín</v>
      </c>
    </row>
    <row r="1104" spans="1:19" x14ac:dyDescent="0.3">
      <c r="A1104" s="1">
        <v>45700</v>
      </c>
      <c r="B1104" s="2" t="s">
        <v>2530</v>
      </c>
      <c r="C1104" s="2" t="s">
        <v>2533</v>
      </c>
      <c r="D1104" s="2" t="s">
        <v>2528</v>
      </c>
      <c r="E1104" s="2" t="s">
        <v>2529</v>
      </c>
      <c r="F1104" s="3">
        <v>134420</v>
      </c>
      <c r="G1104" s="3">
        <v>10832</v>
      </c>
      <c r="H1104" s="3">
        <v>1451</v>
      </c>
      <c r="I1104" s="4">
        <v>13208.77</v>
      </c>
      <c r="J1104" s="4">
        <v>124506.66</v>
      </c>
      <c r="K1104" s="3">
        <v>1138</v>
      </c>
      <c r="L1104" s="2" t="s">
        <v>2518</v>
      </c>
      <c r="M1104" s="2" t="s">
        <v>2524</v>
      </c>
      <c r="N1104" t="str">
        <f>TRIM(PROPER(Tabla_auditoría[[#This Row],[ID_Campaña]]))</f>
        <v>Cmp-026</v>
      </c>
      <c r="O1104" t="str">
        <f>TRIM(PROPER(Tabla_auditoría[[#This Row],[Canal]]))</f>
        <v>Paid Social</v>
      </c>
      <c r="P1104" t="str">
        <f>TRIM(PROPER(Tabla_auditoría[[#This Row],[País]]))</f>
        <v>España</v>
      </c>
      <c r="Q1104" t="str">
        <f>TRIM(PROPER(Tabla_auditoría[[#This Row],[Dispositivo]]))</f>
        <v>Mobile</v>
      </c>
      <c r="R1104" t="str">
        <f>TRIM(PROPER(Tabla_auditoría[[#This Row],[Tipo_Campaña]]))</f>
        <v>Adquisición</v>
      </c>
      <c r="S1104" t="str">
        <f>TRIM(PROPER(Tabla_auditoría[[#This Row],[Responsable]]))</f>
        <v>Luis Martín</v>
      </c>
    </row>
    <row r="1105" spans="1:19" x14ac:dyDescent="0.3">
      <c r="A1105" s="1">
        <v>45744</v>
      </c>
      <c r="B1105" s="2" t="s">
        <v>2552</v>
      </c>
      <c r="C1105" s="2" t="s">
        <v>2515</v>
      </c>
      <c r="D1105" s="2" t="s">
        <v>2528</v>
      </c>
      <c r="E1105" s="2" t="s">
        <v>2529</v>
      </c>
      <c r="F1105" s="3">
        <v>66543</v>
      </c>
      <c r="G1105" s="3">
        <v>2075</v>
      </c>
      <c r="H1105" s="3">
        <v>38</v>
      </c>
      <c r="I1105" s="4">
        <v>2775.31</v>
      </c>
      <c r="J1105" s="4">
        <v>7919.9</v>
      </c>
      <c r="K1105" s="3">
        <v>28</v>
      </c>
      <c r="L1105" s="2" t="s">
        <v>2536</v>
      </c>
      <c r="M1105" s="2" t="s">
        <v>2519</v>
      </c>
      <c r="N1105" t="str">
        <f>TRIM(PROPER(Tabla_auditoría[[#This Row],[ID_Campaña]]))</f>
        <v>Cmp-012</v>
      </c>
      <c r="O1105" t="str">
        <f>TRIM(PROPER(Tabla_auditoría[[#This Row],[Canal]]))</f>
        <v>Email</v>
      </c>
      <c r="P1105" t="str">
        <f>TRIM(PROPER(Tabla_auditoría[[#This Row],[País]]))</f>
        <v>España</v>
      </c>
      <c r="Q1105" t="str">
        <f>TRIM(PROPER(Tabla_auditoría[[#This Row],[Dispositivo]]))</f>
        <v>Mobile</v>
      </c>
      <c r="R1105" t="str">
        <f>TRIM(PROPER(Tabla_auditoría[[#This Row],[Tipo_Campaña]]))</f>
        <v>Reconocimiento</v>
      </c>
      <c r="S1105" t="str">
        <f>TRIM(PROPER(Tabla_auditoría[[#This Row],[Responsable]]))</f>
        <v>Carlos Ruiz</v>
      </c>
    </row>
    <row r="1106" spans="1:19" x14ac:dyDescent="0.3">
      <c r="A1106" s="1">
        <v>45862</v>
      </c>
      <c r="B1106" s="2" t="s">
        <v>2566</v>
      </c>
      <c r="C1106" s="2" t="s">
        <v>2515</v>
      </c>
      <c r="D1106" s="2" t="s">
        <v>2525</v>
      </c>
      <c r="E1106" s="2" t="s">
        <v>2529</v>
      </c>
      <c r="F1106" s="3">
        <v>73536</v>
      </c>
      <c r="G1106" s="3">
        <v>5231</v>
      </c>
      <c r="H1106" s="3">
        <v>395</v>
      </c>
      <c r="I1106" s="4">
        <v>9855.4599999999991</v>
      </c>
      <c r="J1106" s="4">
        <v>74326.789999999994</v>
      </c>
      <c r="K1106" s="3">
        <v>254</v>
      </c>
      <c r="L1106" s="2" t="s">
        <v>2523</v>
      </c>
      <c r="M1106" s="2" t="s">
        <v>2546</v>
      </c>
      <c r="N1106" t="str">
        <f>TRIM(PROPER(Tabla_auditoría[[#This Row],[ID_Campaña]]))</f>
        <v>Cmp-001</v>
      </c>
      <c r="O1106" t="str">
        <f>TRIM(PROPER(Tabla_auditoría[[#This Row],[Canal]]))</f>
        <v>Email</v>
      </c>
      <c r="P1106" t="str">
        <f>TRIM(PROPER(Tabla_auditoría[[#This Row],[País]]))</f>
        <v>Francia</v>
      </c>
      <c r="Q1106" t="str">
        <f>TRIM(PROPER(Tabla_auditoría[[#This Row],[Dispositivo]]))</f>
        <v>Mobile</v>
      </c>
      <c r="R1106" t="str">
        <f>TRIM(PROPER(Tabla_auditoría[[#This Row],[Tipo_Campaña]]))</f>
        <v>Retención</v>
      </c>
      <c r="S1106" t="str">
        <f>TRIM(PROPER(Tabla_auditoría[[#This Row],[Responsable]]))</f>
        <v>Ana García</v>
      </c>
    </row>
    <row r="1107" spans="1:19" x14ac:dyDescent="0.3">
      <c r="A1107" s="1">
        <v>45798</v>
      </c>
      <c r="B1107" s="2" t="s">
        <v>2556</v>
      </c>
      <c r="C1107" s="2" t="s">
        <v>2543</v>
      </c>
      <c r="D1107" s="2" t="s">
        <v>2525</v>
      </c>
      <c r="E1107" s="2" t="s">
        <v>2529</v>
      </c>
      <c r="F1107" s="3">
        <v>93873</v>
      </c>
      <c r="G1107" s="3">
        <v>6249</v>
      </c>
      <c r="H1107" s="3">
        <v>691</v>
      </c>
      <c r="I1107" s="4">
        <v>2364.0700000000002</v>
      </c>
      <c r="J1107" s="4">
        <v>57502.02</v>
      </c>
      <c r="K1107" s="3">
        <v>507</v>
      </c>
      <c r="L1107" s="2" t="s">
        <v>2518</v>
      </c>
      <c r="M1107" s="2" t="s">
        <v>2524</v>
      </c>
      <c r="N1107" t="str">
        <f>TRIM(PROPER(Tabla_auditoría[[#This Row],[ID_Campaña]]))</f>
        <v>Cmp-014</v>
      </c>
      <c r="O1107" t="str">
        <f>TRIM(PROPER(Tabla_auditoría[[#This Row],[Canal]]))</f>
        <v>Organic Social</v>
      </c>
      <c r="P1107" t="str">
        <f>TRIM(PROPER(Tabla_auditoría[[#This Row],[País]]))</f>
        <v>Francia</v>
      </c>
      <c r="Q1107" t="str">
        <f>TRIM(PROPER(Tabla_auditoría[[#This Row],[Dispositivo]]))</f>
        <v>Mobile</v>
      </c>
      <c r="R1107" t="str">
        <f>TRIM(PROPER(Tabla_auditoría[[#This Row],[Tipo_Campaña]]))</f>
        <v>Adquisición</v>
      </c>
      <c r="S1107" t="str">
        <f>TRIM(PROPER(Tabla_auditoría[[#This Row],[Responsable]]))</f>
        <v>Luis Martín</v>
      </c>
    </row>
    <row r="1108" spans="1:19" x14ac:dyDescent="0.3">
      <c r="A1108" s="1">
        <v>45836</v>
      </c>
      <c r="B1108" s="2" t="s">
        <v>2568</v>
      </c>
      <c r="C1108" s="2" t="s">
        <v>2533</v>
      </c>
      <c r="D1108" s="2" t="s">
        <v>2528</v>
      </c>
      <c r="E1108" s="2" t="s">
        <v>2529</v>
      </c>
      <c r="F1108" s="3">
        <v>173129</v>
      </c>
      <c r="G1108" s="3">
        <v>8028</v>
      </c>
      <c r="H1108" s="3">
        <v>1015</v>
      </c>
      <c r="I1108" s="4">
        <v>990.11</v>
      </c>
      <c r="J1108" s="4">
        <v>196743.7</v>
      </c>
      <c r="K1108" s="3">
        <v>893</v>
      </c>
      <c r="L1108" s="2" t="s">
        <v>2536</v>
      </c>
      <c r="M1108" s="2" t="s">
        <v>2537</v>
      </c>
      <c r="N1108" t="str">
        <f>TRIM(PROPER(Tabla_auditoría[[#This Row],[ID_Campaña]]))</f>
        <v>Cmp-020</v>
      </c>
      <c r="O1108" t="str">
        <f>TRIM(PROPER(Tabla_auditoría[[#This Row],[Canal]]))</f>
        <v>Paid Social</v>
      </c>
      <c r="P1108" t="str">
        <f>TRIM(PROPER(Tabla_auditoría[[#This Row],[País]]))</f>
        <v>España</v>
      </c>
      <c r="Q1108" t="str">
        <f>TRIM(PROPER(Tabla_auditoría[[#This Row],[Dispositivo]]))</f>
        <v>Mobile</v>
      </c>
      <c r="R1108" t="str">
        <f>TRIM(PROPER(Tabla_auditoría[[#This Row],[Tipo_Campaña]]))</f>
        <v>Reconocimiento</v>
      </c>
      <c r="S1108" t="str">
        <f>TRIM(PROPER(Tabla_auditoría[[#This Row],[Responsable]]))</f>
        <v>Marta López</v>
      </c>
    </row>
    <row r="1109" spans="1:19" x14ac:dyDescent="0.3">
      <c r="A1109" s="1">
        <v>45781</v>
      </c>
      <c r="B1109" s="2" t="s">
        <v>2565</v>
      </c>
      <c r="C1109" s="2" t="s">
        <v>2541</v>
      </c>
      <c r="D1109" s="2" t="s">
        <v>2528</v>
      </c>
      <c r="E1109" s="2" t="s">
        <v>2517</v>
      </c>
      <c r="F1109" s="3">
        <v>131267</v>
      </c>
      <c r="G1109" s="3">
        <v>1387</v>
      </c>
      <c r="H1109" s="3">
        <v>163</v>
      </c>
      <c r="I1109" s="4">
        <v>946.67</v>
      </c>
      <c r="J1109" s="4">
        <v>18259.77</v>
      </c>
      <c r="K1109" s="3">
        <v>75</v>
      </c>
      <c r="L1109" s="2" t="s">
        <v>2518</v>
      </c>
      <c r="M1109" s="2" t="s">
        <v>2537</v>
      </c>
      <c r="N1109" t="str">
        <f>TRIM(PROPER(Tabla_auditoría[[#This Row],[ID_Campaña]]))</f>
        <v>Cmp-005</v>
      </c>
      <c r="O1109" t="str">
        <f>TRIM(PROPER(Tabla_auditoría[[#This Row],[Canal]]))</f>
        <v>Display</v>
      </c>
      <c r="P1109" t="str">
        <f>TRIM(PROPER(Tabla_auditoría[[#This Row],[País]]))</f>
        <v>España</v>
      </c>
      <c r="Q1109" t="str">
        <f>TRIM(PROPER(Tabla_auditoría[[#This Row],[Dispositivo]]))</f>
        <v>Desktop</v>
      </c>
      <c r="R1109" t="str">
        <f>TRIM(PROPER(Tabla_auditoría[[#This Row],[Tipo_Campaña]]))</f>
        <v>Adquisición</v>
      </c>
      <c r="S1109" t="str">
        <f>TRIM(PROPER(Tabla_auditoría[[#This Row],[Responsable]]))</f>
        <v>Marta López</v>
      </c>
    </row>
    <row r="1110" spans="1:19" x14ac:dyDescent="0.3">
      <c r="A1110" s="1">
        <v>45738</v>
      </c>
      <c r="B1110" s="2" t="s">
        <v>2550</v>
      </c>
      <c r="C1110" s="2" t="s">
        <v>2533</v>
      </c>
      <c r="D1110" s="2" t="s">
        <v>2528</v>
      </c>
      <c r="E1110" s="2" t="s">
        <v>2529</v>
      </c>
      <c r="F1110" s="3">
        <v>18996</v>
      </c>
      <c r="G1110" s="3">
        <v>552</v>
      </c>
      <c r="H1110" s="3">
        <v>76</v>
      </c>
      <c r="I1110" s="4">
        <v>1025.57</v>
      </c>
      <c r="J1110" s="4">
        <v>16139.37</v>
      </c>
      <c r="K1110" s="3">
        <v>50</v>
      </c>
      <c r="L1110" s="2" t="s">
        <v>2539</v>
      </c>
      <c r="M1110" s="2" t="s">
        <v>2519</v>
      </c>
      <c r="N1110" t="str">
        <f>TRIM(PROPER(Tabla_auditoría[[#This Row],[ID_Campaña]]))</f>
        <v>Cmp-008</v>
      </c>
      <c r="O1110" t="str">
        <f>TRIM(PROPER(Tabla_auditoría[[#This Row],[Canal]]))</f>
        <v>Paid Social</v>
      </c>
      <c r="P1110" t="str">
        <f>TRIM(PROPER(Tabla_auditoría[[#This Row],[País]]))</f>
        <v>España</v>
      </c>
      <c r="Q1110" t="str">
        <f>TRIM(PROPER(Tabla_auditoría[[#This Row],[Dispositivo]]))</f>
        <v>Mobile</v>
      </c>
      <c r="R1110" t="str">
        <f>TRIM(PROPER(Tabla_auditoría[[#This Row],[Tipo_Campaña]]))</f>
        <v>Conversión</v>
      </c>
      <c r="S1110" t="str">
        <f>TRIM(PROPER(Tabla_auditoría[[#This Row],[Responsable]]))</f>
        <v>Carlos Ruiz</v>
      </c>
    </row>
    <row r="1111" spans="1:19" x14ac:dyDescent="0.3">
      <c r="A1111" s="1">
        <v>45701</v>
      </c>
      <c r="B1111" s="2" t="s">
        <v>2564</v>
      </c>
      <c r="C1111" s="2" t="s">
        <v>2562</v>
      </c>
      <c r="E1111" s="2" t="s">
        <v>2529</v>
      </c>
      <c r="F1111" s="3">
        <v>22382</v>
      </c>
      <c r="G1111" s="3">
        <v>551</v>
      </c>
      <c r="H1111" s="3">
        <v>66</v>
      </c>
      <c r="I1111" s="4">
        <v>152.49</v>
      </c>
      <c r="J1111" s="4">
        <v>8581.93</v>
      </c>
      <c r="K1111" s="3">
        <v>48</v>
      </c>
      <c r="L1111" s="2" t="s">
        <v>2523</v>
      </c>
      <c r="M1111" s="2" t="s">
        <v>2519</v>
      </c>
      <c r="N1111" t="str">
        <f>TRIM(PROPER(Tabla_auditoría[[#This Row],[ID_Campaña]]))</f>
        <v>Cmp-024</v>
      </c>
      <c r="O1111" t="str">
        <f>TRIM(PROPER(Tabla_auditoría[[#This Row],[Canal]]))</f>
        <v>Organic Social</v>
      </c>
      <c r="P1111" t="str">
        <f>TRIM(PROPER(Tabla_auditoría[[#This Row],[País]]))</f>
        <v/>
      </c>
      <c r="Q1111" t="str">
        <f>TRIM(PROPER(Tabla_auditoría[[#This Row],[Dispositivo]]))</f>
        <v>Mobile</v>
      </c>
      <c r="R1111" t="str">
        <f>TRIM(PROPER(Tabla_auditoría[[#This Row],[Tipo_Campaña]]))</f>
        <v>Retención</v>
      </c>
      <c r="S1111" t="str">
        <f>TRIM(PROPER(Tabla_auditoría[[#This Row],[Responsable]]))</f>
        <v>Carlos Ruiz</v>
      </c>
    </row>
    <row r="1112" spans="1:19" x14ac:dyDescent="0.3">
      <c r="A1112" s="1">
        <v>45761</v>
      </c>
      <c r="B1112" s="2" t="s">
        <v>2560</v>
      </c>
      <c r="C1112" s="2" t="s">
        <v>2527</v>
      </c>
      <c r="D1112" s="2" t="s">
        <v>2528</v>
      </c>
      <c r="E1112" s="2" t="s">
        <v>2529</v>
      </c>
      <c r="F1112" s="3">
        <v>99665</v>
      </c>
      <c r="G1112" s="3">
        <v>7730</v>
      </c>
      <c r="H1112" s="3">
        <v>988</v>
      </c>
      <c r="I1112" s="4">
        <v>8693.48</v>
      </c>
      <c r="J1112" s="4">
        <v>120059.43</v>
      </c>
      <c r="K1112" s="3">
        <v>797</v>
      </c>
      <c r="L1112" s="2" t="s">
        <v>2523</v>
      </c>
      <c r="M1112" s="2" t="s">
        <v>2537</v>
      </c>
      <c r="N1112" t="str">
        <f>TRIM(PROPER(Tabla_auditoría[[#This Row],[ID_Campaña]]))</f>
        <v>Cmp-027</v>
      </c>
      <c r="O1112" t="str">
        <f>TRIM(PROPER(Tabla_auditoría[[#This Row],[Canal]]))</f>
        <v>Affiliate</v>
      </c>
      <c r="P1112" t="str">
        <f>TRIM(PROPER(Tabla_auditoría[[#This Row],[País]]))</f>
        <v>España</v>
      </c>
      <c r="Q1112" t="str">
        <f>TRIM(PROPER(Tabla_auditoría[[#This Row],[Dispositivo]]))</f>
        <v>Mobile</v>
      </c>
      <c r="R1112" t="str">
        <f>TRIM(PROPER(Tabla_auditoría[[#This Row],[Tipo_Campaña]]))</f>
        <v>Retención</v>
      </c>
      <c r="S1112" t="str">
        <f>TRIM(PROPER(Tabla_auditoría[[#This Row],[Responsable]]))</f>
        <v>Marta López</v>
      </c>
    </row>
    <row r="1113" spans="1:19" x14ac:dyDescent="0.3">
      <c r="A1113" s="1">
        <v>45962</v>
      </c>
      <c r="B1113" s="2" t="s">
        <v>2569</v>
      </c>
      <c r="C1113" s="2" t="s">
        <v>2521</v>
      </c>
      <c r="D1113" s="2" t="s">
        <v>2525</v>
      </c>
      <c r="E1113" s="2" t="s">
        <v>2529</v>
      </c>
      <c r="F1113" s="3">
        <v>13986</v>
      </c>
      <c r="G1113" s="3">
        <v>377</v>
      </c>
      <c r="H1113" s="3">
        <v>42</v>
      </c>
      <c r="I1113" s="4">
        <v>463.74</v>
      </c>
      <c r="J1113" s="4">
        <v>9132.08</v>
      </c>
      <c r="K1113" s="3">
        <v>30</v>
      </c>
      <c r="L1113" s="2" t="s">
        <v>2539</v>
      </c>
      <c r="M1113" s="2" t="s">
        <v>2537</v>
      </c>
      <c r="N1113" t="str">
        <f>TRIM(PROPER(Tabla_auditoría[[#This Row],[ID_Campaña]]))</f>
        <v>Cmp-013</v>
      </c>
      <c r="O1113" t="str">
        <f>TRIM(PROPER(Tabla_auditoría[[#This Row],[Canal]]))</f>
        <v>Paid Search</v>
      </c>
      <c r="P1113" t="str">
        <f>TRIM(PROPER(Tabla_auditoría[[#This Row],[País]]))</f>
        <v>Francia</v>
      </c>
      <c r="Q1113" t="str">
        <f>TRIM(PROPER(Tabla_auditoría[[#This Row],[Dispositivo]]))</f>
        <v>Mobile</v>
      </c>
      <c r="R1113" t="str">
        <f>TRIM(PROPER(Tabla_auditoría[[#This Row],[Tipo_Campaña]]))</f>
        <v>Conversión</v>
      </c>
      <c r="S1113" t="str">
        <f>TRIM(PROPER(Tabla_auditoría[[#This Row],[Responsable]]))</f>
        <v>Marta López</v>
      </c>
    </row>
    <row r="1114" spans="1:19" x14ac:dyDescent="0.3">
      <c r="A1114" s="1">
        <v>46011</v>
      </c>
      <c r="B1114" s="2" t="s">
        <v>2552</v>
      </c>
      <c r="C1114" s="2" t="s">
        <v>2543</v>
      </c>
      <c r="D1114" s="2" t="s">
        <v>2525</v>
      </c>
      <c r="E1114" s="2" t="s">
        <v>2529</v>
      </c>
      <c r="F1114" s="3">
        <v>162853</v>
      </c>
      <c r="G1114" s="3">
        <v>3389</v>
      </c>
      <c r="H1114" s="3">
        <v>358</v>
      </c>
      <c r="I1114" s="4">
        <v>1434.85</v>
      </c>
      <c r="J1114" s="4">
        <v>50286.080000000002</v>
      </c>
      <c r="K1114" s="3">
        <v>237</v>
      </c>
      <c r="L1114" s="2" t="s">
        <v>2518</v>
      </c>
      <c r="M1114" s="2" t="s">
        <v>2537</v>
      </c>
      <c r="N1114" t="str">
        <f>TRIM(PROPER(Tabla_auditoría[[#This Row],[ID_Campaña]]))</f>
        <v>Cmp-012</v>
      </c>
      <c r="O1114" t="str">
        <f>TRIM(PROPER(Tabla_auditoría[[#This Row],[Canal]]))</f>
        <v>Organic Social</v>
      </c>
      <c r="P1114" t="str">
        <f>TRIM(PROPER(Tabla_auditoría[[#This Row],[País]]))</f>
        <v>Francia</v>
      </c>
      <c r="Q1114" t="str">
        <f>TRIM(PROPER(Tabla_auditoría[[#This Row],[Dispositivo]]))</f>
        <v>Mobile</v>
      </c>
      <c r="R1114" t="str">
        <f>TRIM(PROPER(Tabla_auditoría[[#This Row],[Tipo_Campaña]]))</f>
        <v>Adquisición</v>
      </c>
      <c r="S1114" t="str">
        <f>TRIM(PROPER(Tabla_auditoría[[#This Row],[Responsable]]))</f>
        <v>Marta López</v>
      </c>
    </row>
    <row r="1115" spans="1:19" x14ac:dyDescent="0.3">
      <c r="A1115" s="1">
        <v>45818</v>
      </c>
      <c r="B1115" s="2" t="s">
        <v>2568</v>
      </c>
      <c r="C1115" s="2" t="s">
        <v>2541</v>
      </c>
      <c r="D1115" s="2" t="s">
        <v>2525</v>
      </c>
      <c r="E1115" s="2" t="s">
        <v>2529</v>
      </c>
      <c r="F1115" s="3">
        <v>91560</v>
      </c>
      <c r="G1115" s="3">
        <v>5364</v>
      </c>
      <c r="H1115" s="3">
        <v>201</v>
      </c>
      <c r="I1115" s="4">
        <v>8949.08</v>
      </c>
      <c r="J1115" s="4">
        <v>12606.8</v>
      </c>
      <c r="K1115" s="3">
        <v>93</v>
      </c>
      <c r="L1115" s="2" t="s">
        <v>2518</v>
      </c>
      <c r="M1115" s="2" t="s">
        <v>2519</v>
      </c>
      <c r="N1115" t="str">
        <f>TRIM(PROPER(Tabla_auditoría[[#This Row],[ID_Campaña]]))</f>
        <v>Cmp-020</v>
      </c>
      <c r="O1115" t="str">
        <f>TRIM(PROPER(Tabla_auditoría[[#This Row],[Canal]]))</f>
        <v>Display</v>
      </c>
      <c r="P1115" t="str">
        <f>TRIM(PROPER(Tabla_auditoría[[#This Row],[País]]))</f>
        <v>Francia</v>
      </c>
      <c r="Q1115" t="str">
        <f>TRIM(PROPER(Tabla_auditoría[[#This Row],[Dispositivo]]))</f>
        <v>Mobile</v>
      </c>
      <c r="R1115" t="str">
        <f>TRIM(PROPER(Tabla_auditoría[[#This Row],[Tipo_Campaña]]))</f>
        <v>Adquisición</v>
      </c>
      <c r="S1115" t="str">
        <f>TRIM(PROPER(Tabla_auditoría[[#This Row],[Responsable]]))</f>
        <v>Carlos Ruiz</v>
      </c>
    </row>
    <row r="1116" spans="1:19" x14ac:dyDescent="0.3">
      <c r="A1116" s="1">
        <v>46001</v>
      </c>
      <c r="B1116" s="2" t="s">
        <v>2552</v>
      </c>
      <c r="C1116" s="2" t="s">
        <v>2527</v>
      </c>
      <c r="D1116" s="2" t="s">
        <v>2522</v>
      </c>
      <c r="E1116" s="2" t="s">
        <v>2529</v>
      </c>
      <c r="F1116" s="3">
        <v>139901</v>
      </c>
      <c r="G1116" s="3">
        <v>5114</v>
      </c>
      <c r="H1116" s="3">
        <v>70</v>
      </c>
      <c r="I1116" s="4">
        <v>5775.04</v>
      </c>
      <c r="J1116" s="4">
        <v>13004.54</v>
      </c>
      <c r="K1116" s="3">
        <v>40</v>
      </c>
      <c r="L1116" s="2" t="s">
        <v>2523</v>
      </c>
      <c r="M1116" s="2" t="s">
        <v>2524</v>
      </c>
      <c r="N1116" t="str">
        <f>TRIM(PROPER(Tabla_auditoría[[#This Row],[ID_Campaña]]))</f>
        <v>Cmp-012</v>
      </c>
      <c r="O1116" t="str">
        <f>TRIM(PROPER(Tabla_auditoría[[#This Row],[Canal]]))</f>
        <v>Affiliate</v>
      </c>
      <c r="P1116" t="str">
        <f>TRIM(PROPER(Tabla_auditoría[[#This Row],[País]]))</f>
        <v>Italia</v>
      </c>
      <c r="Q1116" t="str">
        <f>TRIM(PROPER(Tabla_auditoría[[#This Row],[Dispositivo]]))</f>
        <v>Mobile</v>
      </c>
      <c r="R1116" t="str">
        <f>TRIM(PROPER(Tabla_auditoría[[#This Row],[Tipo_Campaña]]))</f>
        <v>Retención</v>
      </c>
      <c r="S1116" t="str">
        <f>TRIM(PROPER(Tabla_auditoría[[#This Row],[Responsable]]))</f>
        <v>Luis Martín</v>
      </c>
    </row>
    <row r="1117" spans="1:19" x14ac:dyDescent="0.3">
      <c r="A1117" s="1">
        <v>45933</v>
      </c>
      <c r="B1117" s="2" t="s">
        <v>2568</v>
      </c>
      <c r="C1117" s="2" t="s">
        <v>2527</v>
      </c>
      <c r="D1117" s="2" t="s">
        <v>2528</v>
      </c>
      <c r="E1117" s="2" t="s">
        <v>2517</v>
      </c>
      <c r="F1117" s="3">
        <v>23453</v>
      </c>
      <c r="G1117" s="3">
        <v>768</v>
      </c>
      <c r="H1117" s="3">
        <v>25</v>
      </c>
      <c r="I1117" s="4">
        <v>750.47</v>
      </c>
      <c r="J1117" s="4">
        <v>4247.25</v>
      </c>
      <c r="K1117" s="3">
        <v>17</v>
      </c>
      <c r="L1117" s="2" t="s">
        <v>2539</v>
      </c>
      <c r="M1117" s="2" t="s">
        <v>2537</v>
      </c>
      <c r="N1117" t="str">
        <f>TRIM(PROPER(Tabla_auditoría[[#This Row],[ID_Campaña]]))</f>
        <v>Cmp-020</v>
      </c>
      <c r="O1117" t="str">
        <f>TRIM(PROPER(Tabla_auditoría[[#This Row],[Canal]]))</f>
        <v>Affiliate</v>
      </c>
      <c r="P1117" t="str">
        <f>TRIM(PROPER(Tabla_auditoría[[#This Row],[País]]))</f>
        <v>España</v>
      </c>
      <c r="Q1117" t="str">
        <f>TRIM(PROPER(Tabla_auditoría[[#This Row],[Dispositivo]]))</f>
        <v>Desktop</v>
      </c>
      <c r="R1117" t="str">
        <f>TRIM(PROPER(Tabla_auditoría[[#This Row],[Tipo_Campaña]]))</f>
        <v>Conversión</v>
      </c>
      <c r="S1117" t="str">
        <f>TRIM(PROPER(Tabla_auditoría[[#This Row],[Responsable]]))</f>
        <v>Marta López</v>
      </c>
    </row>
    <row r="1118" spans="1:19" x14ac:dyDescent="0.3">
      <c r="A1118" s="1">
        <v>45739</v>
      </c>
      <c r="B1118" s="2" t="s">
        <v>2535</v>
      </c>
      <c r="C1118" s="2" t="s">
        <v>2533</v>
      </c>
      <c r="D1118" s="2" t="s">
        <v>2525</v>
      </c>
      <c r="E1118" s="2" t="s">
        <v>2517</v>
      </c>
      <c r="F1118" s="3">
        <v>5485</v>
      </c>
      <c r="G1118" s="3">
        <v>216</v>
      </c>
      <c r="H1118" s="3">
        <v>19</v>
      </c>
      <c r="I1118" s="4">
        <v>157.79</v>
      </c>
      <c r="J1118" s="4">
        <v>1726.93</v>
      </c>
      <c r="K1118" s="3">
        <v>9</v>
      </c>
      <c r="L1118" s="2" t="s">
        <v>2539</v>
      </c>
      <c r="M1118" s="2" t="s">
        <v>2537</v>
      </c>
      <c r="N1118" t="str">
        <f>TRIM(PROPER(Tabla_auditoría[[#This Row],[ID_Campaña]]))</f>
        <v>Cmp-015</v>
      </c>
      <c r="O1118" t="str">
        <f>TRIM(PROPER(Tabla_auditoría[[#This Row],[Canal]]))</f>
        <v>Paid Social</v>
      </c>
      <c r="P1118" t="str">
        <f>TRIM(PROPER(Tabla_auditoría[[#This Row],[País]]))</f>
        <v>Francia</v>
      </c>
      <c r="Q1118" t="str">
        <f>TRIM(PROPER(Tabla_auditoría[[#This Row],[Dispositivo]]))</f>
        <v>Desktop</v>
      </c>
      <c r="R1118" t="str">
        <f>TRIM(PROPER(Tabla_auditoría[[#This Row],[Tipo_Campaña]]))</f>
        <v>Conversión</v>
      </c>
      <c r="S1118" t="str">
        <f>TRIM(PROPER(Tabla_auditoría[[#This Row],[Responsable]]))</f>
        <v>Marta López</v>
      </c>
    </row>
    <row r="1119" spans="1:19" x14ac:dyDescent="0.3">
      <c r="A1119" s="1">
        <v>45838</v>
      </c>
      <c r="B1119" s="2" t="s">
        <v>2549</v>
      </c>
      <c r="C1119" s="2" t="s">
        <v>2515</v>
      </c>
      <c r="D1119" s="2" t="s">
        <v>2531</v>
      </c>
      <c r="E1119" s="2" t="s">
        <v>2529</v>
      </c>
      <c r="F1119" s="3">
        <v>39029</v>
      </c>
      <c r="G1119" s="3">
        <v>462</v>
      </c>
      <c r="H1119" s="3">
        <v>16</v>
      </c>
      <c r="I1119" s="4">
        <v>411.52</v>
      </c>
      <c r="J1119" s="4">
        <v>2854.52</v>
      </c>
      <c r="K1119" s="3">
        <v>9</v>
      </c>
      <c r="L1119" s="2" t="s">
        <v>2518</v>
      </c>
      <c r="M1119" s="2" t="s">
        <v>2546</v>
      </c>
      <c r="N1119" t="str">
        <f>TRIM(PROPER(Tabla_auditoría[[#This Row],[ID_Campaña]]))</f>
        <v>Cmp-007</v>
      </c>
      <c r="O1119" t="str">
        <f>TRIM(PROPER(Tabla_auditoría[[#This Row],[Canal]]))</f>
        <v>Email</v>
      </c>
      <c r="P1119" t="str">
        <f>TRIM(PROPER(Tabla_auditoría[[#This Row],[País]]))</f>
        <v>Portugal</v>
      </c>
      <c r="Q1119" t="str">
        <f>TRIM(PROPER(Tabla_auditoría[[#This Row],[Dispositivo]]))</f>
        <v>Mobile</v>
      </c>
      <c r="R1119" t="str">
        <f>TRIM(PROPER(Tabla_auditoría[[#This Row],[Tipo_Campaña]]))</f>
        <v>Adquisición</v>
      </c>
      <c r="S1119" t="str">
        <f>TRIM(PROPER(Tabla_auditoría[[#This Row],[Responsable]]))</f>
        <v>Ana García</v>
      </c>
    </row>
    <row r="1120" spans="1:19" x14ac:dyDescent="0.3">
      <c r="A1120" s="1">
        <v>45678</v>
      </c>
      <c r="B1120" s="2" t="s">
        <v>2550</v>
      </c>
      <c r="C1120" s="2" t="s">
        <v>2521</v>
      </c>
      <c r="D1120" s="2" t="s">
        <v>2528</v>
      </c>
      <c r="E1120" s="2" t="s">
        <v>2561</v>
      </c>
      <c r="F1120" s="3">
        <v>4001</v>
      </c>
      <c r="G1120" s="3">
        <v>61</v>
      </c>
      <c r="H1120" s="3">
        <v>1</v>
      </c>
      <c r="I1120" s="4">
        <v>85.15</v>
      </c>
      <c r="J1120" s="4">
        <v>165.55</v>
      </c>
      <c r="K1120" s="3">
        <v>0</v>
      </c>
      <c r="L1120" s="2" t="s">
        <v>2536</v>
      </c>
      <c r="M1120" s="2" t="s">
        <v>2519</v>
      </c>
      <c r="N1120" t="str">
        <f>TRIM(PROPER(Tabla_auditoría[[#This Row],[ID_Campaña]]))</f>
        <v>Cmp-008</v>
      </c>
      <c r="O1120" t="str">
        <f>TRIM(PROPER(Tabla_auditoría[[#This Row],[Canal]]))</f>
        <v>Paid Search</v>
      </c>
      <c r="P1120" t="str">
        <f>TRIM(PROPER(Tabla_auditoría[[#This Row],[País]]))</f>
        <v>España</v>
      </c>
      <c r="Q1120" t="str">
        <f>TRIM(PROPER(Tabla_auditoría[[#This Row],[Dispositivo]]))</f>
        <v>Mobile</v>
      </c>
      <c r="R1120" t="str">
        <f>TRIM(PROPER(Tabla_auditoría[[#This Row],[Tipo_Campaña]]))</f>
        <v>Reconocimiento</v>
      </c>
      <c r="S1120" t="str">
        <f>TRIM(PROPER(Tabla_auditoría[[#This Row],[Responsable]]))</f>
        <v>Carlos Ruiz</v>
      </c>
    </row>
    <row r="1121" spans="1:19" x14ac:dyDescent="0.3">
      <c r="A1121" s="1">
        <v>45959</v>
      </c>
      <c r="B1121" s="2" t="s">
        <v>2535</v>
      </c>
      <c r="C1121" s="2" t="s">
        <v>2527</v>
      </c>
      <c r="D1121" s="2" t="s">
        <v>2531</v>
      </c>
      <c r="E1121" s="2" t="s">
        <v>2517</v>
      </c>
      <c r="F1121" s="3">
        <v>53807</v>
      </c>
      <c r="G1121" s="3">
        <v>1510</v>
      </c>
      <c r="H1121" s="3">
        <v>112</v>
      </c>
      <c r="I1121" s="4">
        <v>599.79999999999995</v>
      </c>
      <c r="J1121" s="4">
        <v>12534.38</v>
      </c>
      <c r="K1121" s="3">
        <v>76</v>
      </c>
      <c r="L1121" s="2" t="s">
        <v>2518</v>
      </c>
      <c r="M1121" s="2" t="s">
        <v>2526</v>
      </c>
      <c r="N1121" t="str">
        <f>TRIM(PROPER(Tabla_auditoría[[#This Row],[ID_Campaña]]))</f>
        <v>Cmp-015</v>
      </c>
      <c r="O1121" t="str">
        <f>TRIM(PROPER(Tabla_auditoría[[#This Row],[Canal]]))</f>
        <v>Affiliate</v>
      </c>
      <c r="P1121" t="str">
        <f>TRIM(PROPER(Tabla_auditoría[[#This Row],[País]]))</f>
        <v>Portugal</v>
      </c>
      <c r="Q1121" t="str">
        <f>TRIM(PROPER(Tabla_auditoría[[#This Row],[Dispositivo]]))</f>
        <v>Desktop</v>
      </c>
      <c r="R1121" t="str">
        <f>TRIM(PROPER(Tabla_auditoría[[#This Row],[Tipo_Campaña]]))</f>
        <v>Adquisición</v>
      </c>
      <c r="S1121" t="str">
        <f>TRIM(PROPER(Tabla_auditoría[[#This Row],[Responsable]]))</f>
        <v>Laura Pérez</v>
      </c>
    </row>
    <row r="1122" spans="1:19" x14ac:dyDescent="0.3">
      <c r="A1122" s="1">
        <v>45895</v>
      </c>
      <c r="B1122" s="2" t="s">
        <v>2556</v>
      </c>
      <c r="C1122" s="2" t="s">
        <v>2527</v>
      </c>
      <c r="D1122" s="2" t="s">
        <v>2525</v>
      </c>
      <c r="E1122" s="2" t="s">
        <v>2529</v>
      </c>
      <c r="F1122" s="3">
        <v>173827</v>
      </c>
      <c r="G1122" s="3">
        <v>15467</v>
      </c>
      <c r="H1122" s="3">
        <v>1090</v>
      </c>
      <c r="I1122" s="4">
        <v>31379.62</v>
      </c>
      <c r="J1122" s="4">
        <v>85507.33</v>
      </c>
      <c r="K1122" s="3">
        <v>954</v>
      </c>
      <c r="L1122" s="2" t="s">
        <v>2523</v>
      </c>
      <c r="M1122" s="2" t="s">
        <v>2546</v>
      </c>
      <c r="N1122" t="str">
        <f>TRIM(PROPER(Tabla_auditoría[[#This Row],[ID_Campaña]]))</f>
        <v>Cmp-014</v>
      </c>
      <c r="O1122" t="str">
        <f>TRIM(PROPER(Tabla_auditoría[[#This Row],[Canal]]))</f>
        <v>Affiliate</v>
      </c>
      <c r="P1122" t="str">
        <f>TRIM(PROPER(Tabla_auditoría[[#This Row],[País]]))</f>
        <v>Francia</v>
      </c>
      <c r="Q1122" t="str">
        <f>TRIM(PROPER(Tabla_auditoría[[#This Row],[Dispositivo]]))</f>
        <v>Mobile</v>
      </c>
      <c r="R1122" t="str">
        <f>TRIM(PROPER(Tabla_auditoría[[#This Row],[Tipo_Campaña]]))</f>
        <v>Retención</v>
      </c>
      <c r="S1122" t="str">
        <f>TRIM(PROPER(Tabla_auditoría[[#This Row],[Responsable]]))</f>
        <v>Ana García</v>
      </c>
    </row>
    <row r="1123" spans="1:19" x14ac:dyDescent="0.3">
      <c r="A1123" s="1">
        <v>45769</v>
      </c>
      <c r="B1123" s="2" t="s">
        <v>2574</v>
      </c>
      <c r="C1123" s="2" t="s">
        <v>2543</v>
      </c>
      <c r="D1123" s="2" t="s">
        <v>2531</v>
      </c>
      <c r="E1123" s="2" t="s">
        <v>2517</v>
      </c>
      <c r="F1123" s="3">
        <v>153892</v>
      </c>
      <c r="G1123" s="3">
        <v>4351</v>
      </c>
      <c r="H1123" s="3">
        <v>592</v>
      </c>
      <c r="I1123" s="4">
        <v>2324.62</v>
      </c>
      <c r="J1123" s="4">
        <v>112479.99</v>
      </c>
      <c r="K1123" s="3">
        <v>342</v>
      </c>
      <c r="L1123" s="2" t="s">
        <v>2539</v>
      </c>
      <c r="M1123" s="2" t="s">
        <v>2519</v>
      </c>
      <c r="N1123" t="str">
        <f>TRIM(PROPER(Tabla_auditoría[[#This Row],[ID_Campaña]]))</f>
        <v>Cmp-003</v>
      </c>
      <c r="O1123" t="str">
        <f>TRIM(PROPER(Tabla_auditoría[[#This Row],[Canal]]))</f>
        <v>Organic Social</v>
      </c>
      <c r="P1123" t="str">
        <f>TRIM(PROPER(Tabla_auditoría[[#This Row],[País]]))</f>
        <v>Portugal</v>
      </c>
      <c r="Q1123" t="str">
        <f>TRIM(PROPER(Tabla_auditoría[[#This Row],[Dispositivo]]))</f>
        <v>Desktop</v>
      </c>
      <c r="R1123" t="str">
        <f>TRIM(PROPER(Tabla_auditoría[[#This Row],[Tipo_Campaña]]))</f>
        <v>Conversión</v>
      </c>
      <c r="S1123" t="str">
        <f>TRIM(PROPER(Tabla_auditoría[[#This Row],[Responsable]]))</f>
        <v>Carlos Ruiz</v>
      </c>
    </row>
    <row r="1124" spans="1:19" x14ac:dyDescent="0.3">
      <c r="A1124" s="1">
        <v>45697</v>
      </c>
      <c r="B1124" s="2" t="s">
        <v>2540</v>
      </c>
      <c r="C1124" s="2" t="s">
        <v>2515</v>
      </c>
      <c r="D1124" s="2" t="s">
        <v>2528</v>
      </c>
      <c r="E1124" s="2" t="s">
        <v>2529</v>
      </c>
      <c r="F1124" s="3">
        <v>120267</v>
      </c>
      <c r="G1124" s="3">
        <v>5706</v>
      </c>
      <c r="H1124" s="3">
        <v>39</v>
      </c>
      <c r="I1124" s="4">
        <v>4394.7</v>
      </c>
      <c r="J1124" s="4">
        <v>6467.84</v>
      </c>
      <c r="K1124" s="3">
        <v>30</v>
      </c>
      <c r="L1124" s="2" t="s">
        <v>2518</v>
      </c>
      <c r="M1124" s="2" t="s">
        <v>2519</v>
      </c>
      <c r="N1124" t="str">
        <f>TRIM(PROPER(Tabla_auditoría[[#This Row],[ID_Campaña]]))</f>
        <v>Cmp-017</v>
      </c>
      <c r="O1124" t="str">
        <f>TRIM(PROPER(Tabla_auditoría[[#This Row],[Canal]]))</f>
        <v>Email</v>
      </c>
      <c r="P1124" t="str">
        <f>TRIM(PROPER(Tabla_auditoría[[#This Row],[País]]))</f>
        <v>España</v>
      </c>
      <c r="Q1124" t="str">
        <f>TRIM(PROPER(Tabla_auditoría[[#This Row],[Dispositivo]]))</f>
        <v>Mobile</v>
      </c>
      <c r="R1124" t="str">
        <f>TRIM(PROPER(Tabla_auditoría[[#This Row],[Tipo_Campaña]]))</f>
        <v>Adquisición</v>
      </c>
      <c r="S1124" t="str">
        <f>TRIM(PROPER(Tabla_auditoría[[#This Row],[Responsable]]))</f>
        <v>Carlos Ruiz</v>
      </c>
    </row>
    <row r="1125" spans="1:19" x14ac:dyDescent="0.3">
      <c r="A1125" s="1">
        <v>45669</v>
      </c>
      <c r="B1125" s="2" t="s">
        <v>2551</v>
      </c>
      <c r="C1125" s="2" t="s">
        <v>2541</v>
      </c>
      <c r="D1125" s="2" t="s">
        <v>2528</v>
      </c>
      <c r="E1125" s="2" t="s">
        <v>2517</v>
      </c>
      <c r="F1125" s="3">
        <v>165467</v>
      </c>
      <c r="G1125" s="3">
        <v>12688</v>
      </c>
      <c r="H1125" s="3">
        <v>614</v>
      </c>
      <c r="I1125" s="4">
        <v>1724.43</v>
      </c>
      <c r="J1125" s="4">
        <v>86264.88</v>
      </c>
      <c r="K1125" s="3">
        <v>399</v>
      </c>
      <c r="L1125" s="2" t="s">
        <v>2536</v>
      </c>
      <c r="M1125" s="2" t="s">
        <v>2537</v>
      </c>
      <c r="N1125" t="str">
        <f>TRIM(PROPER(Tabla_auditoría[[#This Row],[ID_Campaña]]))</f>
        <v>Cmp-028</v>
      </c>
      <c r="O1125" t="str">
        <f>TRIM(PROPER(Tabla_auditoría[[#This Row],[Canal]]))</f>
        <v>Display</v>
      </c>
      <c r="P1125" t="str">
        <f>TRIM(PROPER(Tabla_auditoría[[#This Row],[País]]))</f>
        <v>España</v>
      </c>
      <c r="Q1125" t="str">
        <f>TRIM(PROPER(Tabla_auditoría[[#This Row],[Dispositivo]]))</f>
        <v>Desktop</v>
      </c>
      <c r="R1125" t="str">
        <f>TRIM(PROPER(Tabla_auditoría[[#This Row],[Tipo_Campaña]]))</f>
        <v>Reconocimiento</v>
      </c>
      <c r="S1125" t="str">
        <f>TRIM(PROPER(Tabla_auditoría[[#This Row],[Responsable]]))</f>
        <v>Marta López</v>
      </c>
    </row>
    <row r="1126" spans="1:19" x14ac:dyDescent="0.3">
      <c r="A1126" s="1">
        <v>45690</v>
      </c>
      <c r="B1126" s="2" t="s">
        <v>2551</v>
      </c>
      <c r="C1126" s="2" t="s">
        <v>2548</v>
      </c>
      <c r="D1126" s="2" t="s">
        <v>2525</v>
      </c>
      <c r="E1126" s="2" t="s">
        <v>2517</v>
      </c>
      <c r="F1126" s="3">
        <v>37891</v>
      </c>
      <c r="G1126" s="3">
        <v>2758</v>
      </c>
      <c r="H1126" s="3">
        <v>181</v>
      </c>
      <c r="I1126" s="4">
        <v>5207.95</v>
      </c>
      <c r="J1126" s="4">
        <v>5831.83</v>
      </c>
      <c r="K1126" s="3">
        <v>157</v>
      </c>
      <c r="L1126" s="2" t="s">
        <v>2536</v>
      </c>
      <c r="M1126" s="2" t="s">
        <v>2537</v>
      </c>
      <c r="N1126" t="str">
        <f>TRIM(PROPER(Tabla_auditoría[[#This Row],[ID_Campaña]]))</f>
        <v>Cmp-028</v>
      </c>
      <c r="O1126" t="str">
        <f>TRIM(PROPER(Tabla_auditoría[[#This Row],[Canal]]))</f>
        <v>Display</v>
      </c>
      <c r="P1126" t="str">
        <f>TRIM(PROPER(Tabla_auditoría[[#This Row],[País]]))</f>
        <v>Francia</v>
      </c>
      <c r="Q1126" t="str">
        <f>TRIM(PROPER(Tabla_auditoría[[#This Row],[Dispositivo]]))</f>
        <v>Desktop</v>
      </c>
      <c r="R1126" t="str">
        <f>TRIM(PROPER(Tabla_auditoría[[#This Row],[Tipo_Campaña]]))</f>
        <v>Reconocimiento</v>
      </c>
      <c r="S1126" t="str">
        <f>TRIM(PROPER(Tabla_auditoría[[#This Row],[Responsable]]))</f>
        <v>Marta López</v>
      </c>
    </row>
    <row r="1127" spans="1:19" x14ac:dyDescent="0.3">
      <c r="A1127" s="1">
        <v>45896</v>
      </c>
      <c r="B1127" s="2" t="s">
        <v>2557</v>
      </c>
      <c r="C1127" s="2" t="s">
        <v>2527</v>
      </c>
      <c r="D1127" s="2" t="s">
        <v>2516</v>
      </c>
      <c r="E1127" s="2" t="s">
        <v>2517</v>
      </c>
      <c r="F1127" s="3">
        <v>24161</v>
      </c>
      <c r="G1127" s="3">
        <v>262</v>
      </c>
      <c r="H1127" s="3">
        <v>18</v>
      </c>
      <c r="I1127" s="4">
        <v>37.49</v>
      </c>
      <c r="J1127" s="4">
        <v>2225.7600000000002</v>
      </c>
      <c r="K1127" s="3">
        <v>10</v>
      </c>
      <c r="L1127" s="2" t="s">
        <v>2518</v>
      </c>
      <c r="M1127" s="2" t="s">
        <v>2537</v>
      </c>
      <c r="N1127" t="str">
        <f>TRIM(PROPER(Tabla_auditoría[[#This Row],[ID_Campaña]]))</f>
        <v>Cmp-030</v>
      </c>
      <c r="O1127" t="str">
        <f>TRIM(PROPER(Tabla_auditoría[[#This Row],[Canal]]))</f>
        <v>Affiliate</v>
      </c>
      <c r="P1127" t="str">
        <f>TRIM(PROPER(Tabla_auditoría[[#This Row],[País]]))</f>
        <v>México</v>
      </c>
      <c r="Q1127" t="str">
        <f>TRIM(PROPER(Tabla_auditoría[[#This Row],[Dispositivo]]))</f>
        <v>Desktop</v>
      </c>
      <c r="R1127" t="str">
        <f>TRIM(PROPER(Tabla_auditoría[[#This Row],[Tipo_Campaña]]))</f>
        <v>Adquisición</v>
      </c>
      <c r="S1127" t="str">
        <f>TRIM(PROPER(Tabla_auditoría[[#This Row],[Responsable]]))</f>
        <v>Marta López</v>
      </c>
    </row>
    <row r="1128" spans="1:19" x14ac:dyDescent="0.3">
      <c r="A1128" s="1">
        <v>45725</v>
      </c>
      <c r="B1128" s="2" t="s">
        <v>2563</v>
      </c>
      <c r="C1128" s="2" t="s">
        <v>2543</v>
      </c>
      <c r="D1128" s="2" t="s">
        <v>2528</v>
      </c>
      <c r="E1128" s="2" t="s">
        <v>2529</v>
      </c>
      <c r="F1128" s="3">
        <v>40760</v>
      </c>
      <c r="G1128" s="3">
        <v>2082</v>
      </c>
      <c r="H1128" s="3">
        <v>161</v>
      </c>
      <c r="I1128" s="4">
        <v>1279.8800000000001</v>
      </c>
      <c r="J1128" s="4">
        <v>16700.439999999999</v>
      </c>
      <c r="K1128" s="3">
        <v>113</v>
      </c>
      <c r="L1128" s="2" t="s">
        <v>2536</v>
      </c>
      <c r="M1128" s="2" t="s">
        <v>2519</v>
      </c>
      <c r="N1128" t="str">
        <f>TRIM(PROPER(Tabla_auditoría[[#This Row],[ID_Campaña]]))</f>
        <v>Cmp-023</v>
      </c>
      <c r="O1128" t="str">
        <f>TRIM(PROPER(Tabla_auditoría[[#This Row],[Canal]]))</f>
        <v>Organic Social</v>
      </c>
      <c r="P1128" t="str">
        <f>TRIM(PROPER(Tabla_auditoría[[#This Row],[País]]))</f>
        <v>España</v>
      </c>
      <c r="Q1128" t="str">
        <f>TRIM(PROPER(Tabla_auditoría[[#This Row],[Dispositivo]]))</f>
        <v>Mobile</v>
      </c>
      <c r="R1128" t="str">
        <f>TRIM(PROPER(Tabla_auditoría[[#This Row],[Tipo_Campaña]]))</f>
        <v>Reconocimiento</v>
      </c>
      <c r="S1128" t="str">
        <f>TRIM(PROPER(Tabla_auditoría[[#This Row],[Responsable]]))</f>
        <v>Carlos Ruiz</v>
      </c>
    </row>
    <row r="1129" spans="1:19" x14ac:dyDescent="0.3">
      <c r="A1129" s="1">
        <v>45801</v>
      </c>
      <c r="B1129" s="2" t="s">
        <v>2574</v>
      </c>
      <c r="C1129" s="2" t="s">
        <v>2543</v>
      </c>
      <c r="D1129" s="2" t="s">
        <v>2528</v>
      </c>
      <c r="E1129" s="2" t="s">
        <v>2529</v>
      </c>
      <c r="F1129" s="3">
        <v>92634</v>
      </c>
      <c r="G1129" s="3">
        <v>511</v>
      </c>
      <c r="H1129" s="3">
        <v>27</v>
      </c>
      <c r="I1129" s="4">
        <v>631.42999999999995</v>
      </c>
      <c r="J1129" s="4">
        <v>3473.7</v>
      </c>
      <c r="K1129" s="3">
        <v>19</v>
      </c>
      <c r="L1129" s="2" t="s">
        <v>2523</v>
      </c>
      <c r="M1129" s="2" t="s">
        <v>2537</v>
      </c>
      <c r="N1129" t="str">
        <f>TRIM(PROPER(Tabla_auditoría[[#This Row],[ID_Campaña]]))</f>
        <v>Cmp-003</v>
      </c>
      <c r="O1129" t="str">
        <f>TRIM(PROPER(Tabla_auditoría[[#This Row],[Canal]]))</f>
        <v>Organic Social</v>
      </c>
      <c r="P1129" t="str">
        <f>TRIM(PROPER(Tabla_auditoría[[#This Row],[País]]))</f>
        <v>España</v>
      </c>
      <c r="Q1129" t="str">
        <f>TRIM(PROPER(Tabla_auditoría[[#This Row],[Dispositivo]]))</f>
        <v>Mobile</v>
      </c>
      <c r="R1129" t="str">
        <f>TRIM(PROPER(Tabla_auditoría[[#This Row],[Tipo_Campaña]]))</f>
        <v>Retención</v>
      </c>
      <c r="S1129" t="str">
        <f>TRIM(PROPER(Tabla_auditoría[[#This Row],[Responsable]]))</f>
        <v>Marta López</v>
      </c>
    </row>
    <row r="1130" spans="1:19" x14ac:dyDescent="0.3">
      <c r="A1130" s="1">
        <v>45890</v>
      </c>
      <c r="B1130" s="2" t="s">
        <v>2532</v>
      </c>
      <c r="C1130" s="2" t="s">
        <v>2543</v>
      </c>
      <c r="D1130" s="2" t="s">
        <v>2528</v>
      </c>
      <c r="E1130" s="2" t="s">
        <v>2517</v>
      </c>
      <c r="F1130" s="3">
        <v>140978</v>
      </c>
      <c r="G1130" s="3">
        <v>783</v>
      </c>
      <c r="H1130" s="3">
        <v>6</v>
      </c>
      <c r="I1130" s="4">
        <v>1039.4000000000001</v>
      </c>
      <c r="J1130" s="4">
        <v>903.5</v>
      </c>
      <c r="K1130" s="3">
        <v>3</v>
      </c>
      <c r="L1130" s="2" t="s">
        <v>2536</v>
      </c>
      <c r="M1130" s="2" t="s">
        <v>2524</v>
      </c>
      <c r="N1130" t="str">
        <f>TRIM(PROPER(Tabla_auditoría[[#This Row],[ID_Campaña]]))</f>
        <v>Cmp-022</v>
      </c>
      <c r="O1130" t="str">
        <f>TRIM(PROPER(Tabla_auditoría[[#This Row],[Canal]]))</f>
        <v>Organic Social</v>
      </c>
      <c r="P1130" t="str">
        <f>TRIM(PROPER(Tabla_auditoría[[#This Row],[País]]))</f>
        <v>España</v>
      </c>
      <c r="Q1130" t="str">
        <f>TRIM(PROPER(Tabla_auditoría[[#This Row],[Dispositivo]]))</f>
        <v>Desktop</v>
      </c>
      <c r="R1130" t="str">
        <f>TRIM(PROPER(Tabla_auditoría[[#This Row],[Tipo_Campaña]]))</f>
        <v>Reconocimiento</v>
      </c>
      <c r="S1130" t="str">
        <f>TRIM(PROPER(Tabla_auditoría[[#This Row],[Responsable]]))</f>
        <v>Luis Martín</v>
      </c>
    </row>
    <row r="1131" spans="1:19" x14ac:dyDescent="0.3">
      <c r="A1131" s="1">
        <v>45672</v>
      </c>
      <c r="B1131" s="2" t="s">
        <v>2566</v>
      </c>
      <c r="C1131" s="2" t="s">
        <v>2548</v>
      </c>
      <c r="D1131" s="2" t="s">
        <v>2525</v>
      </c>
      <c r="E1131" s="2" t="s">
        <v>2529</v>
      </c>
      <c r="F1131" s="3">
        <v>21672</v>
      </c>
      <c r="G1131" s="3">
        <v>842</v>
      </c>
      <c r="H1131" s="3">
        <v>102</v>
      </c>
      <c r="I1131" s="4">
        <v>1127.49</v>
      </c>
      <c r="J1131" s="4">
        <v>3576.72</v>
      </c>
      <c r="K1131" s="3">
        <v>73</v>
      </c>
      <c r="L1131" s="2" t="s">
        <v>2523</v>
      </c>
      <c r="M1131" s="2" t="s">
        <v>2546</v>
      </c>
      <c r="N1131" t="str">
        <f>TRIM(PROPER(Tabla_auditoría[[#This Row],[ID_Campaña]]))</f>
        <v>Cmp-001</v>
      </c>
      <c r="O1131" t="str">
        <f>TRIM(PROPER(Tabla_auditoría[[#This Row],[Canal]]))</f>
        <v>Display</v>
      </c>
      <c r="P1131" t="str">
        <f>TRIM(PROPER(Tabla_auditoría[[#This Row],[País]]))</f>
        <v>Francia</v>
      </c>
      <c r="Q1131" t="str">
        <f>TRIM(PROPER(Tabla_auditoría[[#This Row],[Dispositivo]]))</f>
        <v>Mobile</v>
      </c>
      <c r="R1131" t="str">
        <f>TRIM(PROPER(Tabla_auditoría[[#This Row],[Tipo_Campaña]]))</f>
        <v>Retención</v>
      </c>
      <c r="S1131" t="str">
        <f>TRIM(PROPER(Tabla_auditoría[[#This Row],[Responsable]]))</f>
        <v>Ana García</v>
      </c>
    </row>
    <row r="1132" spans="1:19" x14ac:dyDescent="0.3">
      <c r="A1132" s="1">
        <v>45753</v>
      </c>
      <c r="B1132" s="2" t="s">
        <v>2545</v>
      </c>
      <c r="C1132" s="2" t="s">
        <v>2533</v>
      </c>
      <c r="D1132" s="2" t="s">
        <v>2528</v>
      </c>
      <c r="E1132" s="2" t="s">
        <v>2517</v>
      </c>
      <c r="F1132" s="3">
        <v>149238</v>
      </c>
      <c r="G1132" s="3">
        <v>3909</v>
      </c>
      <c r="H1132" s="3">
        <v>479</v>
      </c>
      <c r="I1132" s="4">
        <v>5288.3</v>
      </c>
      <c r="J1132" s="4">
        <v>13907.99</v>
      </c>
      <c r="K1132" s="3">
        <v>269</v>
      </c>
      <c r="L1132" s="2" t="s">
        <v>2539</v>
      </c>
      <c r="M1132" s="2" t="s">
        <v>2524</v>
      </c>
      <c r="N1132" t="str">
        <f>TRIM(PROPER(Tabla_auditoría[[#This Row],[ID_Campaña]]))</f>
        <v>Cmp-011</v>
      </c>
      <c r="O1132" t="str">
        <f>TRIM(PROPER(Tabla_auditoría[[#This Row],[Canal]]))</f>
        <v>Paid Social</v>
      </c>
      <c r="P1132" t="str">
        <f>TRIM(PROPER(Tabla_auditoría[[#This Row],[País]]))</f>
        <v>España</v>
      </c>
      <c r="Q1132" t="str">
        <f>TRIM(PROPER(Tabla_auditoría[[#This Row],[Dispositivo]]))</f>
        <v>Desktop</v>
      </c>
      <c r="R1132" t="str">
        <f>TRIM(PROPER(Tabla_auditoría[[#This Row],[Tipo_Campaña]]))</f>
        <v>Conversión</v>
      </c>
      <c r="S1132" t="str">
        <f>TRIM(PROPER(Tabla_auditoría[[#This Row],[Responsable]]))</f>
        <v>Luis Martín</v>
      </c>
    </row>
    <row r="1133" spans="1:19" x14ac:dyDescent="0.3">
      <c r="A1133" s="1">
        <v>45933</v>
      </c>
      <c r="B1133" s="2" t="s">
        <v>2567</v>
      </c>
      <c r="C1133" s="2" t="s">
        <v>2541</v>
      </c>
      <c r="D1133" s="2" t="s">
        <v>2525</v>
      </c>
      <c r="E1133" s="2" t="s">
        <v>2529</v>
      </c>
      <c r="F1133" s="3">
        <v>7179</v>
      </c>
      <c r="G1133" s="3">
        <v>345</v>
      </c>
      <c r="H1133" s="3">
        <v>28</v>
      </c>
      <c r="I1133" s="4">
        <v>57.28</v>
      </c>
      <c r="J1133" s="4">
        <v>3805.99</v>
      </c>
      <c r="K1133" s="3">
        <v>23</v>
      </c>
      <c r="L1133" s="2" t="s">
        <v>2523</v>
      </c>
      <c r="M1133" s="2" t="s">
        <v>2526</v>
      </c>
      <c r="N1133" t="str">
        <f>TRIM(PROPER(Tabla_auditoría[[#This Row],[ID_Campaña]]))</f>
        <v>Cmp-021</v>
      </c>
      <c r="O1133" t="str">
        <f>TRIM(PROPER(Tabla_auditoría[[#This Row],[Canal]]))</f>
        <v>Display</v>
      </c>
      <c r="P1133" t="str">
        <f>TRIM(PROPER(Tabla_auditoría[[#This Row],[País]]))</f>
        <v>Francia</v>
      </c>
      <c r="Q1133" t="str">
        <f>TRIM(PROPER(Tabla_auditoría[[#This Row],[Dispositivo]]))</f>
        <v>Mobile</v>
      </c>
      <c r="R1133" t="str">
        <f>TRIM(PROPER(Tabla_auditoría[[#This Row],[Tipo_Campaña]]))</f>
        <v>Retención</v>
      </c>
      <c r="S1133" t="str">
        <f>TRIM(PROPER(Tabla_auditoría[[#This Row],[Responsable]]))</f>
        <v>Laura Pérez</v>
      </c>
    </row>
    <row r="1134" spans="1:19" x14ac:dyDescent="0.3">
      <c r="A1134" s="1">
        <v>45928</v>
      </c>
      <c r="B1134" s="2" t="s">
        <v>2570</v>
      </c>
      <c r="C1134" s="2" t="s">
        <v>2543</v>
      </c>
      <c r="D1134" s="2" t="s">
        <v>2528</v>
      </c>
      <c r="E1134" s="2" t="s">
        <v>2517</v>
      </c>
      <c r="F1134" s="3">
        <v>145285</v>
      </c>
      <c r="G1134" s="3">
        <v>9434</v>
      </c>
      <c r="H1134" s="3">
        <v>268</v>
      </c>
      <c r="I1134" s="4">
        <v>5133.46</v>
      </c>
      <c r="J1134" s="4">
        <v>18332.810000000001</v>
      </c>
      <c r="K1134" s="3">
        <v>129</v>
      </c>
      <c r="L1134" s="2" t="s">
        <v>2523</v>
      </c>
      <c r="M1134" s="2" t="s">
        <v>2524</v>
      </c>
      <c r="N1134" t="str">
        <f>TRIM(PROPER(Tabla_auditoría[[#This Row],[ID_Campaña]]))</f>
        <v>Cmp-016</v>
      </c>
      <c r="O1134" t="str">
        <f>TRIM(PROPER(Tabla_auditoría[[#This Row],[Canal]]))</f>
        <v>Organic Social</v>
      </c>
      <c r="P1134" t="str">
        <f>TRIM(PROPER(Tabla_auditoría[[#This Row],[País]]))</f>
        <v>España</v>
      </c>
      <c r="Q1134" t="str">
        <f>TRIM(PROPER(Tabla_auditoría[[#This Row],[Dispositivo]]))</f>
        <v>Desktop</v>
      </c>
      <c r="R1134" t="str">
        <f>TRIM(PROPER(Tabla_auditoría[[#This Row],[Tipo_Campaña]]))</f>
        <v>Retención</v>
      </c>
      <c r="S1134" t="str">
        <f>TRIM(PROPER(Tabla_auditoría[[#This Row],[Responsable]]))</f>
        <v>Luis Martín</v>
      </c>
    </row>
    <row r="1135" spans="1:19" x14ac:dyDescent="0.3">
      <c r="A1135" s="1">
        <v>45693</v>
      </c>
      <c r="B1135" s="2" t="s">
        <v>2569</v>
      </c>
      <c r="C1135" s="2" t="s">
        <v>2527</v>
      </c>
      <c r="D1135" s="2" t="s">
        <v>2528</v>
      </c>
      <c r="E1135" s="2" t="s">
        <v>2517</v>
      </c>
      <c r="F1135" s="3">
        <v>107252</v>
      </c>
      <c r="G1135" s="3">
        <v>2414</v>
      </c>
      <c r="H1135" s="3">
        <v>272</v>
      </c>
      <c r="I1135" s="4">
        <v>3505.07</v>
      </c>
      <c r="J1135" s="4">
        <v>35706</v>
      </c>
      <c r="K1135" s="3">
        <v>192</v>
      </c>
      <c r="L1135" s="2" t="s">
        <v>2518</v>
      </c>
      <c r="M1135" s="2" t="s">
        <v>2524</v>
      </c>
      <c r="N1135" t="str">
        <f>TRIM(PROPER(Tabla_auditoría[[#This Row],[ID_Campaña]]))</f>
        <v>Cmp-013</v>
      </c>
      <c r="O1135" t="str">
        <f>TRIM(PROPER(Tabla_auditoría[[#This Row],[Canal]]))</f>
        <v>Affiliate</v>
      </c>
      <c r="P1135" t="str">
        <f>TRIM(PROPER(Tabla_auditoría[[#This Row],[País]]))</f>
        <v>España</v>
      </c>
      <c r="Q1135" t="str">
        <f>TRIM(PROPER(Tabla_auditoría[[#This Row],[Dispositivo]]))</f>
        <v>Desktop</v>
      </c>
      <c r="R1135" t="str">
        <f>TRIM(PROPER(Tabla_auditoría[[#This Row],[Tipo_Campaña]]))</f>
        <v>Adquisición</v>
      </c>
      <c r="S1135" t="str">
        <f>TRIM(PROPER(Tabla_auditoría[[#This Row],[Responsable]]))</f>
        <v>Luis Martín</v>
      </c>
    </row>
    <row r="1136" spans="1:19" x14ac:dyDescent="0.3">
      <c r="A1136" s="1">
        <v>45875</v>
      </c>
      <c r="B1136" s="2" t="s">
        <v>2556</v>
      </c>
      <c r="C1136" s="2" t="s">
        <v>2533</v>
      </c>
      <c r="D1136" s="2" t="s">
        <v>2528</v>
      </c>
      <c r="E1136" s="2" t="s">
        <v>2559</v>
      </c>
      <c r="F1136" s="3">
        <v>58840</v>
      </c>
      <c r="G1136" s="3">
        <v>485</v>
      </c>
      <c r="H1136" s="3">
        <v>13</v>
      </c>
      <c r="I1136" s="4">
        <v>425.56</v>
      </c>
      <c r="J1136" s="4">
        <v>1537.81</v>
      </c>
      <c r="K1136" s="3">
        <v>7</v>
      </c>
      <c r="L1136" s="2" t="s">
        <v>2523</v>
      </c>
      <c r="M1136" s="2" t="s">
        <v>2526</v>
      </c>
      <c r="N1136" t="str">
        <f>TRIM(PROPER(Tabla_auditoría[[#This Row],[ID_Campaña]]))</f>
        <v>Cmp-014</v>
      </c>
      <c r="O1136" t="str">
        <f>TRIM(PROPER(Tabla_auditoría[[#This Row],[Canal]]))</f>
        <v>Paid Social</v>
      </c>
      <c r="P1136" t="str">
        <f>TRIM(PROPER(Tabla_auditoría[[#This Row],[País]]))</f>
        <v>España</v>
      </c>
      <c r="Q1136" t="str">
        <f>TRIM(PROPER(Tabla_auditoría[[#This Row],[Dispositivo]]))</f>
        <v>Desktop</v>
      </c>
      <c r="R1136" t="str">
        <f>TRIM(PROPER(Tabla_auditoría[[#This Row],[Tipo_Campaña]]))</f>
        <v>Retención</v>
      </c>
      <c r="S1136" t="str">
        <f>TRIM(PROPER(Tabla_auditoría[[#This Row],[Responsable]]))</f>
        <v>Laura Pérez</v>
      </c>
    </row>
    <row r="1137" spans="1:19" x14ac:dyDescent="0.3">
      <c r="A1137" s="1">
        <v>45941</v>
      </c>
      <c r="B1137" s="2" t="s">
        <v>2568</v>
      </c>
      <c r="C1137" s="2" t="s">
        <v>2527</v>
      </c>
      <c r="D1137" s="2" t="s">
        <v>2522</v>
      </c>
      <c r="E1137" s="2" t="s">
        <v>2534</v>
      </c>
      <c r="F1137" s="3">
        <v>118665</v>
      </c>
      <c r="G1137" s="3">
        <v>3137</v>
      </c>
      <c r="H1137" s="3">
        <v>260</v>
      </c>
      <c r="I1137" s="4">
        <v>1348.47</v>
      </c>
      <c r="J1137" s="4">
        <v>26446.23</v>
      </c>
      <c r="K1137" s="3">
        <v>186</v>
      </c>
      <c r="L1137" s="2" t="s">
        <v>2539</v>
      </c>
      <c r="M1137" s="2" t="s">
        <v>2526</v>
      </c>
      <c r="N1137" t="str">
        <f>TRIM(PROPER(Tabla_auditoría[[#This Row],[ID_Campaña]]))</f>
        <v>Cmp-020</v>
      </c>
      <c r="O1137" t="str">
        <f>TRIM(PROPER(Tabla_auditoría[[#This Row],[Canal]]))</f>
        <v>Affiliate</v>
      </c>
      <c r="P1137" t="str">
        <f>TRIM(PROPER(Tabla_auditoría[[#This Row],[País]]))</f>
        <v>Italia</v>
      </c>
      <c r="Q1137" t="str">
        <f>TRIM(PROPER(Tabla_auditoría[[#This Row],[Dispositivo]]))</f>
        <v>Tablet</v>
      </c>
      <c r="R1137" t="str">
        <f>TRIM(PROPER(Tabla_auditoría[[#This Row],[Tipo_Campaña]]))</f>
        <v>Conversión</v>
      </c>
      <c r="S1137" t="str">
        <f>TRIM(PROPER(Tabla_auditoría[[#This Row],[Responsable]]))</f>
        <v>Laura Pérez</v>
      </c>
    </row>
    <row r="1138" spans="1:19" x14ac:dyDescent="0.3">
      <c r="A1138" s="1">
        <v>45828</v>
      </c>
      <c r="B1138" s="2" t="s">
        <v>2560</v>
      </c>
      <c r="C1138" s="2" t="s">
        <v>2515</v>
      </c>
      <c r="D1138" s="2" t="s">
        <v>2573</v>
      </c>
      <c r="E1138" s="2" t="s">
        <v>2517</v>
      </c>
      <c r="F1138" s="3">
        <v>4363</v>
      </c>
      <c r="G1138" s="3">
        <v>84</v>
      </c>
      <c r="H1138" s="3">
        <v>1</v>
      </c>
      <c r="I1138" s="4">
        <v>79.75</v>
      </c>
      <c r="J1138" s="4">
        <v>71.88</v>
      </c>
      <c r="K1138" s="3">
        <v>0</v>
      </c>
      <c r="L1138" s="2" t="s">
        <v>2518</v>
      </c>
      <c r="M1138" s="2" t="s">
        <v>2537</v>
      </c>
      <c r="N1138" t="str">
        <f>TRIM(PROPER(Tabla_auditoría[[#This Row],[ID_Campaña]]))</f>
        <v>Cmp-027</v>
      </c>
      <c r="O1138" t="str">
        <f>TRIM(PROPER(Tabla_auditoría[[#This Row],[Canal]]))</f>
        <v>Email</v>
      </c>
      <c r="P1138" t="str">
        <f>TRIM(PROPER(Tabla_auditoría[[#This Row],[País]]))</f>
        <v>España</v>
      </c>
      <c r="Q1138" t="str">
        <f>TRIM(PROPER(Tabla_auditoría[[#This Row],[Dispositivo]]))</f>
        <v>Desktop</v>
      </c>
      <c r="R1138" t="str">
        <f>TRIM(PROPER(Tabla_auditoría[[#This Row],[Tipo_Campaña]]))</f>
        <v>Adquisición</v>
      </c>
      <c r="S1138" t="str">
        <f>TRIM(PROPER(Tabla_auditoría[[#This Row],[Responsable]]))</f>
        <v>Marta López</v>
      </c>
    </row>
    <row r="1139" spans="1:19" x14ac:dyDescent="0.3">
      <c r="A1139" s="1">
        <v>45740</v>
      </c>
      <c r="B1139" s="2" t="s">
        <v>2532</v>
      </c>
      <c r="C1139" s="2" t="s">
        <v>2533</v>
      </c>
      <c r="D1139" s="2" t="s">
        <v>2528</v>
      </c>
      <c r="E1139" s="2" t="s">
        <v>2529</v>
      </c>
      <c r="F1139" s="3">
        <v>3454</v>
      </c>
      <c r="G1139" s="3">
        <v>92</v>
      </c>
      <c r="H1139" s="3">
        <v>4</v>
      </c>
      <c r="I1139" s="4">
        <v>162.02000000000001</v>
      </c>
      <c r="J1139" s="4">
        <v>431.58</v>
      </c>
      <c r="K1139" s="3">
        <v>2</v>
      </c>
      <c r="L1139" s="2" t="s">
        <v>2523</v>
      </c>
      <c r="M1139" s="2" t="s">
        <v>2519</v>
      </c>
      <c r="N1139" t="str">
        <f>TRIM(PROPER(Tabla_auditoría[[#This Row],[ID_Campaña]]))</f>
        <v>Cmp-022</v>
      </c>
      <c r="O1139" t="str">
        <f>TRIM(PROPER(Tabla_auditoría[[#This Row],[Canal]]))</f>
        <v>Paid Social</v>
      </c>
      <c r="P1139" t="str">
        <f>TRIM(PROPER(Tabla_auditoría[[#This Row],[País]]))</f>
        <v>España</v>
      </c>
      <c r="Q1139" t="str">
        <f>TRIM(PROPER(Tabla_auditoría[[#This Row],[Dispositivo]]))</f>
        <v>Mobile</v>
      </c>
      <c r="R1139" t="str">
        <f>TRIM(PROPER(Tabla_auditoría[[#This Row],[Tipo_Campaña]]))</f>
        <v>Retención</v>
      </c>
      <c r="S1139" t="str">
        <f>TRIM(PROPER(Tabla_auditoría[[#This Row],[Responsable]]))</f>
        <v>Carlos Ruiz</v>
      </c>
    </row>
    <row r="1140" spans="1:19" x14ac:dyDescent="0.3">
      <c r="A1140" s="1">
        <v>45748</v>
      </c>
      <c r="B1140" s="2" t="s">
        <v>2538</v>
      </c>
      <c r="C1140" s="2" t="s">
        <v>2527</v>
      </c>
      <c r="D1140" s="2" t="s">
        <v>2531</v>
      </c>
      <c r="E1140" s="2" t="s">
        <v>2517</v>
      </c>
      <c r="F1140" s="3">
        <v>12402</v>
      </c>
      <c r="G1140" s="3">
        <v>919</v>
      </c>
      <c r="H1140" s="3">
        <v>106</v>
      </c>
      <c r="I1140" s="4">
        <v>301.26</v>
      </c>
      <c r="J1140" s="4">
        <v>15680.68</v>
      </c>
      <c r="K1140" s="3">
        <v>55</v>
      </c>
      <c r="L1140" s="2" t="s">
        <v>2518</v>
      </c>
      <c r="M1140" s="2" t="s">
        <v>2526</v>
      </c>
      <c r="N1140" t="str">
        <f>TRIM(PROPER(Tabla_auditoría[[#This Row],[ID_Campaña]]))</f>
        <v>Cmp-004</v>
      </c>
      <c r="O1140" t="str">
        <f>TRIM(PROPER(Tabla_auditoría[[#This Row],[Canal]]))</f>
        <v>Affiliate</v>
      </c>
      <c r="P1140" t="str">
        <f>TRIM(PROPER(Tabla_auditoría[[#This Row],[País]]))</f>
        <v>Portugal</v>
      </c>
      <c r="Q1140" t="str">
        <f>TRIM(PROPER(Tabla_auditoría[[#This Row],[Dispositivo]]))</f>
        <v>Desktop</v>
      </c>
      <c r="R1140" t="str">
        <f>TRIM(PROPER(Tabla_auditoría[[#This Row],[Tipo_Campaña]]))</f>
        <v>Adquisición</v>
      </c>
      <c r="S1140" t="str">
        <f>TRIM(PROPER(Tabla_auditoría[[#This Row],[Responsable]]))</f>
        <v>Laura Pérez</v>
      </c>
    </row>
    <row r="1141" spans="1:19" x14ac:dyDescent="0.3">
      <c r="A1141" s="1">
        <v>45919</v>
      </c>
      <c r="B1141" s="2" t="s">
        <v>2566</v>
      </c>
      <c r="C1141" s="2" t="s">
        <v>2515</v>
      </c>
      <c r="D1141" s="2" t="s">
        <v>2528</v>
      </c>
      <c r="E1141" s="2" t="s">
        <v>2517</v>
      </c>
      <c r="F1141" s="3">
        <v>72807</v>
      </c>
      <c r="G1141" s="3">
        <v>5574</v>
      </c>
      <c r="H1141" s="3">
        <v>118</v>
      </c>
      <c r="I1141" s="4">
        <v>6156.75</v>
      </c>
      <c r="J1141" s="4">
        <v>21779.55</v>
      </c>
      <c r="K1141" s="3">
        <v>93</v>
      </c>
      <c r="L1141" s="2" t="s">
        <v>2539</v>
      </c>
      <c r="M1141" s="2" t="s">
        <v>2537</v>
      </c>
      <c r="N1141" t="str">
        <f>TRIM(PROPER(Tabla_auditoría[[#This Row],[ID_Campaña]]))</f>
        <v>Cmp-001</v>
      </c>
      <c r="O1141" t="str">
        <f>TRIM(PROPER(Tabla_auditoría[[#This Row],[Canal]]))</f>
        <v>Email</v>
      </c>
      <c r="P1141" t="str">
        <f>TRIM(PROPER(Tabla_auditoría[[#This Row],[País]]))</f>
        <v>España</v>
      </c>
      <c r="Q1141" t="str">
        <f>TRIM(PROPER(Tabla_auditoría[[#This Row],[Dispositivo]]))</f>
        <v>Desktop</v>
      </c>
      <c r="R1141" t="str">
        <f>TRIM(PROPER(Tabla_auditoría[[#This Row],[Tipo_Campaña]]))</f>
        <v>Conversión</v>
      </c>
      <c r="S1141" t="str">
        <f>TRIM(PROPER(Tabla_auditoría[[#This Row],[Responsable]]))</f>
        <v>Marta López</v>
      </c>
    </row>
    <row r="1142" spans="1:19" x14ac:dyDescent="0.3">
      <c r="A1142" s="1">
        <v>45784</v>
      </c>
      <c r="B1142" s="2" t="s">
        <v>2552</v>
      </c>
      <c r="C1142" s="2" t="s">
        <v>2543</v>
      </c>
      <c r="D1142" s="2" t="s">
        <v>2528</v>
      </c>
      <c r="E1142" s="2" t="s">
        <v>2517</v>
      </c>
      <c r="F1142" s="3">
        <v>151759</v>
      </c>
      <c r="G1142" s="3">
        <v>3242</v>
      </c>
      <c r="H1142" s="3">
        <v>45</v>
      </c>
      <c r="I1142" s="4">
        <v>3986.26</v>
      </c>
      <c r="J1142" s="4">
        <v>6754.16</v>
      </c>
      <c r="K1142" s="3">
        <v>21</v>
      </c>
      <c r="L1142" s="2" t="s">
        <v>2523</v>
      </c>
      <c r="M1142" s="2" t="s">
        <v>2524</v>
      </c>
      <c r="N1142" t="str">
        <f>TRIM(PROPER(Tabla_auditoría[[#This Row],[ID_Campaña]]))</f>
        <v>Cmp-012</v>
      </c>
      <c r="O1142" t="str">
        <f>TRIM(PROPER(Tabla_auditoría[[#This Row],[Canal]]))</f>
        <v>Organic Social</v>
      </c>
      <c r="P1142" t="str">
        <f>TRIM(PROPER(Tabla_auditoría[[#This Row],[País]]))</f>
        <v>España</v>
      </c>
      <c r="Q1142" t="str">
        <f>TRIM(PROPER(Tabla_auditoría[[#This Row],[Dispositivo]]))</f>
        <v>Desktop</v>
      </c>
      <c r="R1142" t="str">
        <f>TRIM(PROPER(Tabla_auditoría[[#This Row],[Tipo_Campaña]]))</f>
        <v>Retención</v>
      </c>
      <c r="S1142" t="str">
        <f>TRIM(PROPER(Tabla_auditoría[[#This Row],[Responsable]]))</f>
        <v>Luis Martín</v>
      </c>
    </row>
    <row r="1143" spans="1:19" x14ac:dyDescent="0.3">
      <c r="A1143" s="1">
        <v>45764</v>
      </c>
      <c r="B1143" s="2" t="s">
        <v>2514</v>
      </c>
      <c r="C1143" s="2" t="s">
        <v>2541</v>
      </c>
      <c r="D1143" s="2" t="s">
        <v>2525</v>
      </c>
      <c r="E1143" s="2" t="s">
        <v>2517</v>
      </c>
      <c r="F1143" s="3">
        <v>4855</v>
      </c>
      <c r="G1143" s="3">
        <v>95</v>
      </c>
      <c r="H1143" s="3">
        <v>7</v>
      </c>
      <c r="I1143" s="4">
        <v>121.78</v>
      </c>
      <c r="J1143" s="4">
        <v>1283.22</v>
      </c>
      <c r="K1143" s="3">
        <v>4</v>
      </c>
      <c r="L1143" s="2" t="s">
        <v>2539</v>
      </c>
      <c r="M1143" s="2" t="s">
        <v>2546</v>
      </c>
      <c r="N1143" t="str">
        <f>TRIM(PROPER(Tabla_auditoría[[#This Row],[ID_Campaña]]))</f>
        <v>Cmp-002</v>
      </c>
      <c r="O1143" t="str">
        <f>TRIM(PROPER(Tabla_auditoría[[#This Row],[Canal]]))</f>
        <v>Display</v>
      </c>
      <c r="P1143" t="str">
        <f>TRIM(PROPER(Tabla_auditoría[[#This Row],[País]]))</f>
        <v>Francia</v>
      </c>
      <c r="Q1143" t="str">
        <f>TRIM(PROPER(Tabla_auditoría[[#This Row],[Dispositivo]]))</f>
        <v>Desktop</v>
      </c>
      <c r="R1143" t="str">
        <f>TRIM(PROPER(Tabla_auditoría[[#This Row],[Tipo_Campaña]]))</f>
        <v>Conversión</v>
      </c>
      <c r="S1143" t="str">
        <f>TRIM(PROPER(Tabla_auditoría[[#This Row],[Responsable]]))</f>
        <v>Ana García</v>
      </c>
    </row>
    <row r="1144" spans="1:19" x14ac:dyDescent="0.3">
      <c r="A1144" s="1">
        <v>45717</v>
      </c>
      <c r="B1144" s="2" t="s">
        <v>2556</v>
      </c>
      <c r="C1144" s="2" t="s">
        <v>2543</v>
      </c>
      <c r="D1144" s="2" t="s">
        <v>2525</v>
      </c>
      <c r="E1144" s="2" t="s">
        <v>2517</v>
      </c>
      <c r="F1144" s="3">
        <v>50699</v>
      </c>
      <c r="G1144" s="3">
        <v>1473</v>
      </c>
      <c r="H1144" s="3">
        <v>50</v>
      </c>
      <c r="I1144" s="4">
        <v>3083.9</v>
      </c>
      <c r="J1144" s="4">
        <v>2983.83</v>
      </c>
      <c r="K1144" s="3">
        <v>40</v>
      </c>
      <c r="L1144" s="2" t="s">
        <v>2536</v>
      </c>
      <c r="M1144" s="2" t="s">
        <v>2537</v>
      </c>
      <c r="N1144" t="str">
        <f>TRIM(PROPER(Tabla_auditoría[[#This Row],[ID_Campaña]]))</f>
        <v>Cmp-014</v>
      </c>
      <c r="O1144" t="str">
        <f>TRIM(PROPER(Tabla_auditoría[[#This Row],[Canal]]))</f>
        <v>Organic Social</v>
      </c>
      <c r="P1144" t="str">
        <f>TRIM(PROPER(Tabla_auditoría[[#This Row],[País]]))</f>
        <v>Francia</v>
      </c>
      <c r="Q1144" t="str">
        <f>TRIM(PROPER(Tabla_auditoría[[#This Row],[Dispositivo]]))</f>
        <v>Desktop</v>
      </c>
      <c r="R1144" t="str">
        <f>TRIM(PROPER(Tabla_auditoría[[#This Row],[Tipo_Campaña]]))</f>
        <v>Reconocimiento</v>
      </c>
      <c r="S1144" t="str">
        <f>TRIM(PROPER(Tabla_auditoría[[#This Row],[Responsable]]))</f>
        <v>Marta López</v>
      </c>
    </row>
    <row r="1145" spans="1:19" x14ac:dyDescent="0.3">
      <c r="A1145" s="1">
        <v>45883</v>
      </c>
      <c r="B1145" s="2" t="s">
        <v>2556</v>
      </c>
      <c r="C1145" s="2" t="s">
        <v>2533</v>
      </c>
      <c r="D1145" s="2" t="s">
        <v>2528</v>
      </c>
      <c r="E1145" s="2" t="s">
        <v>2534</v>
      </c>
      <c r="F1145" s="3">
        <v>121666</v>
      </c>
      <c r="G1145" s="3">
        <v>3931</v>
      </c>
      <c r="H1145" s="3">
        <v>302</v>
      </c>
      <c r="I1145" s="4">
        <v>6983.02</v>
      </c>
      <c r="J1145" s="4">
        <v>9569.41</v>
      </c>
      <c r="K1145" s="3">
        <v>147</v>
      </c>
      <c r="L1145" s="2" t="s">
        <v>2518</v>
      </c>
      <c r="M1145" s="2" t="s">
        <v>2526</v>
      </c>
      <c r="N1145" t="str">
        <f>TRIM(PROPER(Tabla_auditoría[[#This Row],[ID_Campaña]]))</f>
        <v>Cmp-014</v>
      </c>
      <c r="O1145" t="str">
        <f>TRIM(PROPER(Tabla_auditoría[[#This Row],[Canal]]))</f>
        <v>Paid Social</v>
      </c>
      <c r="P1145" t="str">
        <f>TRIM(PROPER(Tabla_auditoría[[#This Row],[País]]))</f>
        <v>España</v>
      </c>
      <c r="Q1145" t="str">
        <f>TRIM(PROPER(Tabla_auditoría[[#This Row],[Dispositivo]]))</f>
        <v>Tablet</v>
      </c>
      <c r="R1145" t="str">
        <f>TRIM(PROPER(Tabla_auditoría[[#This Row],[Tipo_Campaña]]))</f>
        <v>Adquisición</v>
      </c>
      <c r="S1145" t="str">
        <f>TRIM(PROPER(Tabla_auditoría[[#This Row],[Responsable]]))</f>
        <v>Laura Pérez</v>
      </c>
    </row>
    <row r="1146" spans="1:19" x14ac:dyDescent="0.3">
      <c r="A1146" s="1">
        <v>45811</v>
      </c>
      <c r="B1146" s="2" t="s">
        <v>2555</v>
      </c>
      <c r="C1146" s="2" t="s">
        <v>2527</v>
      </c>
      <c r="D1146" s="2" t="s">
        <v>2528</v>
      </c>
      <c r="E1146" s="2" t="s">
        <v>2529</v>
      </c>
      <c r="F1146" s="3">
        <v>139061</v>
      </c>
      <c r="G1146" s="3">
        <v>8846</v>
      </c>
      <c r="H1146" s="3">
        <v>952</v>
      </c>
      <c r="I1146" s="4">
        <v>2056.54</v>
      </c>
      <c r="J1146" s="4">
        <v>120820.71</v>
      </c>
      <c r="K1146" s="3">
        <v>653</v>
      </c>
      <c r="L1146" s="2" t="s">
        <v>2539</v>
      </c>
      <c r="M1146" s="2" t="s">
        <v>2546</v>
      </c>
      <c r="N1146" t="str">
        <f>TRIM(PROPER(Tabla_auditoría[[#This Row],[ID_Campaña]]))</f>
        <v>Cmp-010</v>
      </c>
      <c r="O1146" t="str">
        <f>TRIM(PROPER(Tabla_auditoría[[#This Row],[Canal]]))</f>
        <v>Affiliate</v>
      </c>
      <c r="P1146" t="str">
        <f>TRIM(PROPER(Tabla_auditoría[[#This Row],[País]]))</f>
        <v>España</v>
      </c>
      <c r="Q1146" t="str">
        <f>TRIM(PROPER(Tabla_auditoría[[#This Row],[Dispositivo]]))</f>
        <v>Mobile</v>
      </c>
      <c r="R1146" t="str">
        <f>TRIM(PROPER(Tabla_auditoría[[#This Row],[Tipo_Campaña]]))</f>
        <v>Conversión</v>
      </c>
      <c r="S1146" t="str">
        <f>TRIM(PROPER(Tabla_auditoría[[#This Row],[Responsable]]))</f>
        <v>Ana García</v>
      </c>
    </row>
    <row r="1147" spans="1:19" x14ac:dyDescent="0.3">
      <c r="A1147" s="1">
        <v>45944</v>
      </c>
      <c r="B1147" s="2" t="s">
        <v>2538</v>
      </c>
      <c r="C1147" s="2" t="s">
        <v>2515</v>
      </c>
      <c r="D1147" s="2" t="s">
        <v>2528</v>
      </c>
      <c r="E1147" s="2" t="s">
        <v>2529</v>
      </c>
      <c r="F1147" s="3">
        <v>37754</v>
      </c>
      <c r="G1147" s="3">
        <v>629</v>
      </c>
      <c r="H1147" s="3">
        <v>5</v>
      </c>
      <c r="I1147" s="4">
        <v>233.22</v>
      </c>
      <c r="J1147" s="4">
        <v>734.19</v>
      </c>
      <c r="K1147" s="3">
        <v>4</v>
      </c>
      <c r="L1147" s="2" t="s">
        <v>2523</v>
      </c>
      <c r="M1147" s="2" t="s">
        <v>2546</v>
      </c>
      <c r="N1147" t="str">
        <f>TRIM(PROPER(Tabla_auditoría[[#This Row],[ID_Campaña]]))</f>
        <v>Cmp-004</v>
      </c>
      <c r="O1147" t="str">
        <f>TRIM(PROPER(Tabla_auditoría[[#This Row],[Canal]]))</f>
        <v>Email</v>
      </c>
      <c r="P1147" t="str">
        <f>TRIM(PROPER(Tabla_auditoría[[#This Row],[País]]))</f>
        <v>España</v>
      </c>
      <c r="Q1147" t="str">
        <f>TRIM(PROPER(Tabla_auditoría[[#This Row],[Dispositivo]]))</f>
        <v>Mobile</v>
      </c>
      <c r="R1147" t="str">
        <f>TRIM(PROPER(Tabla_auditoría[[#This Row],[Tipo_Campaña]]))</f>
        <v>Retención</v>
      </c>
      <c r="S1147" t="str">
        <f>TRIM(PROPER(Tabla_auditoría[[#This Row],[Responsable]]))</f>
        <v>Ana García</v>
      </c>
    </row>
    <row r="1148" spans="1:19" x14ac:dyDescent="0.3">
      <c r="A1148" s="1">
        <v>45844</v>
      </c>
      <c r="B1148" s="2" t="s">
        <v>2547</v>
      </c>
      <c r="C1148" s="2" t="s">
        <v>2533</v>
      </c>
      <c r="D1148" s="2" t="s">
        <v>2522</v>
      </c>
      <c r="E1148" s="2" t="s">
        <v>2529</v>
      </c>
      <c r="F1148" s="3">
        <v>55877</v>
      </c>
      <c r="G1148" s="3">
        <v>4902</v>
      </c>
      <c r="H1148" s="3">
        <v>466</v>
      </c>
      <c r="I1148" s="4">
        <v>3259.6</v>
      </c>
      <c r="J1148" s="4">
        <v>36907.08</v>
      </c>
      <c r="K1148" s="3">
        <v>243</v>
      </c>
      <c r="L1148" s="2" t="s">
        <v>2539</v>
      </c>
      <c r="M1148" s="2" t="s">
        <v>2524</v>
      </c>
      <c r="N1148" t="str">
        <f>TRIM(PROPER(Tabla_auditoría[[#This Row],[ID_Campaña]]))</f>
        <v>Cmp-018</v>
      </c>
      <c r="O1148" t="str">
        <f>TRIM(PROPER(Tabla_auditoría[[#This Row],[Canal]]))</f>
        <v>Paid Social</v>
      </c>
      <c r="P1148" t="str">
        <f>TRIM(PROPER(Tabla_auditoría[[#This Row],[País]]))</f>
        <v>Italia</v>
      </c>
      <c r="Q1148" t="str">
        <f>TRIM(PROPER(Tabla_auditoría[[#This Row],[Dispositivo]]))</f>
        <v>Mobile</v>
      </c>
      <c r="R1148" t="str">
        <f>TRIM(PROPER(Tabla_auditoría[[#This Row],[Tipo_Campaña]]))</f>
        <v>Conversión</v>
      </c>
      <c r="S1148" t="str">
        <f>TRIM(PROPER(Tabla_auditoría[[#This Row],[Responsable]]))</f>
        <v>Luis Martín</v>
      </c>
    </row>
    <row r="1149" spans="1:19" x14ac:dyDescent="0.3">
      <c r="A1149" s="1">
        <v>45720</v>
      </c>
      <c r="B1149" s="2" t="s">
        <v>2552</v>
      </c>
      <c r="C1149" s="2" t="s">
        <v>2515</v>
      </c>
      <c r="D1149" s="2" t="s">
        <v>2528</v>
      </c>
      <c r="E1149" s="2" t="s">
        <v>2529</v>
      </c>
      <c r="F1149" s="3">
        <v>90163</v>
      </c>
      <c r="G1149" s="3">
        <v>4268</v>
      </c>
      <c r="H1149" s="3">
        <v>443</v>
      </c>
      <c r="I1149" s="4">
        <v>7429.3</v>
      </c>
      <c r="J1149" s="4">
        <v>31552.81</v>
      </c>
      <c r="K1149" s="3">
        <v>231</v>
      </c>
      <c r="L1149" s="2" t="s">
        <v>2539</v>
      </c>
      <c r="M1149" s="2" t="s">
        <v>2526</v>
      </c>
      <c r="N1149" t="str">
        <f>TRIM(PROPER(Tabla_auditoría[[#This Row],[ID_Campaña]]))</f>
        <v>Cmp-012</v>
      </c>
      <c r="O1149" t="str">
        <f>TRIM(PROPER(Tabla_auditoría[[#This Row],[Canal]]))</f>
        <v>Email</v>
      </c>
      <c r="P1149" t="str">
        <f>TRIM(PROPER(Tabla_auditoría[[#This Row],[País]]))</f>
        <v>España</v>
      </c>
      <c r="Q1149" t="str">
        <f>TRIM(PROPER(Tabla_auditoría[[#This Row],[Dispositivo]]))</f>
        <v>Mobile</v>
      </c>
      <c r="R1149" t="str">
        <f>TRIM(PROPER(Tabla_auditoría[[#This Row],[Tipo_Campaña]]))</f>
        <v>Conversión</v>
      </c>
      <c r="S1149" t="str">
        <f>TRIM(PROPER(Tabla_auditoría[[#This Row],[Responsable]]))</f>
        <v>Laura Pérez</v>
      </c>
    </row>
    <row r="1150" spans="1:19" x14ac:dyDescent="0.3">
      <c r="A1150" s="1">
        <v>45929</v>
      </c>
      <c r="B1150" s="2" t="s">
        <v>2567</v>
      </c>
      <c r="C1150" s="2" t="s">
        <v>2533</v>
      </c>
      <c r="D1150" s="2" t="s">
        <v>2531</v>
      </c>
      <c r="E1150" s="2" t="s">
        <v>2529</v>
      </c>
      <c r="F1150" s="3">
        <v>8746</v>
      </c>
      <c r="G1150" s="3">
        <v>581</v>
      </c>
      <c r="H1150" s="3">
        <v>9</v>
      </c>
      <c r="I1150" s="4">
        <v>777.55</v>
      </c>
      <c r="J1150" s="4">
        <v>1248.27</v>
      </c>
      <c r="K1150" s="3">
        <v>4</v>
      </c>
      <c r="L1150" s="2" t="s">
        <v>2518</v>
      </c>
      <c r="M1150" s="2" t="s">
        <v>2526</v>
      </c>
      <c r="N1150" t="str">
        <f>TRIM(PROPER(Tabla_auditoría[[#This Row],[ID_Campaña]]))</f>
        <v>Cmp-021</v>
      </c>
      <c r="O1150" t="str">
        <f>TRIM(PROPER(Tabla_auditoría[[#This Row],[Canal]]))</f>
        <v>Paid Social</v>
      </c>
      <c r="P1150" t="str">
        <f>TRIM(PROPER(Tabla_auditoría[[#This Row],[País]]))</f>
        <v>Portugal</v>
      </c>
      <c r="Q1150" t="str">
        <f>TRIM(PROPER(Tabla_auditoría[[#This Row],[Dispositivo]]))</f>
        <v>Mobile</v>
      </c>
      <c r="R1150" t="str">
        <f>TRIM(PROPER(Tabla_auditoría[[#This Row],[Tipo_Campaña]]))</f>
        <v>Adquisición</v>
      </c>
      <c r="S1150" t="str">
        <f>TRIM(PROPER(Tabla_auditoría[[#This Row],[Responsable]]))</f>
        <v>Laura Pérez</v>
      </c>
    </row>
    <row r="1151" spans="1:19" x14ac:dyDescent="0.3">
      <c r="A1151" s="1">
        <v>45720</v>
      </c>
      <c r="B1151" s="2" t="s">
        <v>2569</v>
      </c>
      <c r="C1151" s="2" t="s">
        <v>2521</v>
      </c>
      <c r="D1151" s="2" t="s">
        <v>2528</v>
      </c>
      <c r="E1151" s="2" t="s">
        <v>2517</v>
      </c>
      <c r="F1151" s="3">
        <v>33293</v>
      </c>
      <c r="G1151" s="3">
        <v>553</v>
      </c>
      <c r="H1151" s="3">
        <v>74</v>
      </c>
      <c r="I1151" s="4">
        <v>465.04</v>
      </c>
      <c r="J1151" s="4">
        <v>11335.61</v>
      </c>
      <c r="K1151" s="3">
        <v>43</v>
      </c>
      <c r="L1151" s="2" t="s">
        <v>2518</v>
      </c>
      <c r="M1151" s="2" t="s">
        <v>2519</v>
      </c>
      <c r="N1151" t="str">
        <f>TRIM(PROPER(Tabla_auditoría[[#This Row],[ID_Campaña]]))</f>
        <v>Cmp-013</v>
      </c>
      <c r="O1151" t="str">
        <f>TRIM(PROPER(Tabla_auditoría[[#This Row],[Canal]]))</f>
        <v>Paid Search</v>
      </c>
      <c r="P1151" t="str">
        <f>TRIM(PROPER(Tabla_auditoría[[#This Row],[País]]))</f>
        <v>España</v>
      </c>
      <c r="Q1151" t="str">
        <f>TRIM(PROPER(Tabla_auditoría[[#This Row],[Dispositivo]]))</f>
        <v>Desktop</v>
      </c>
      <c r="R1151" t="str">
        <f>TRIM(PROPER(Tabla_auditoría[[#This Row],[Tipo_Campaña]]))</f>
        <v>Adquisición</v>
      </c>
      <c r="S1151" t="str">
        <f>TRIM(PROPER(Tabla_auditoría[[#This Row],[Responsable]]))</f>
        <v>Carlos Ruiz</v>
      </c>
    </row>
    <row r="1152" spans="1:19" x14ac:dyDescent="0.3">
      <c r="A1152" s="1">
        <v>45983</v>
      </c>
      <c r="B1152" s="2" t="s">
        <v>2571</v>
      </c>
      <c r="C1152" s="2" t="s">
        <v>2527</v>
      </c>
      <c r="D1152" s="2" t="s">
        <v>2528</v>
      </c>
      <c r="E1152" s="2" t="s">
        <v>2517</v>
      </c>
      <c r="F1152" s="3">
        <v>88575</v>
      </c>
      <c r="G1152" s="3">
        <v>3863</v>
      </c>
      <c r="H1152" s="3">
        <v>144</v>
      </c>
      <c r="I1152" s="4">
        <v>5128.53</v>
      </c>
      <c r="J1152" s="4">
        <v>14704.61</v>
      </c>
      <c r="K1152" s="3">
        <v>84</v>
      </c>
      <c r="L1152" s="2" t="s">
        <v>2539</v>
      </c>
      <c r="M1152" s="2" t="s">
        <v>2524</v>
      </c>
      <c r="N1152" t="str">
        <f>TRIM(PROPER(Tabla_auditoría[[#This Row],[ID_Campaña]]))</f>
        <v>Cmp-029</v>
      </c>
      <c r="O1152" t="str">
        <f>TRIM(PROPER(Tabla_auditoría[[#This Row],[Canal]]))</f>
        <v>Affiliate</v>
      </c>
      <c r="P1152" t="str">
        <f>TRIM(PROPER(Tabla_auditoría[[#This Row],[País]]))</f>
        <v>España</v>
      </c>
      <c r="Q1152" t="str">
        <f>TRIM(PROPER(Tabla_auditoría[[#This Row],[Dispositivo]]))</f>
        <v>Desktop</v>
      </c>
      <c r="R1152" t="str">
        <f>TRIM(PROPER(Tabla_auditoría[[#This Row],[Tipo_Campaña]]))</f>
        <v>Conversión</v>
      </c>
      <c r="S1152" t="str">
        <f>TRIM(PROPER(Tabla_auditoría[[#This Row],[Responsable]]))</f>
        <v>Luis Martín</v>
      </c>
    </row>
    <row r="1153" spans="1:19" x14ac:dyDescent="0.3">
      <c r="A1153" s="1">
        <v>45680</v>
      </c>
      <c r="B1153" s="2" t="s">
        <v>2569</v>
      </c>
      <c r="C1153" s="2" t="s">
        <v>2541</v>
      </c>
      <c r="D1153" s="2" t="s">
        <v>2528</v>
      </c>
      <c r="E1153" s="2" t="s">
        <v>2559</v>
      </c>
      <c r="F1153" s="3">
        <v>67641</v>
      </c>
      <c r="G1153" s="3">
        <v>5862</v>
      </c>
      <c r="H1153" s="3">
        <v>41</v>
      </c>
      <c r="I1153" s="4">
        <v>1462.11</v>
      </c>
      <c r="J1153" s="4">
        <v>8431.9500000000007</v>
      </c>
      <c r="K1153" s="3">
        <v>27</v>
      </c>
      <c r="L1153" s="2" t="s">
        <v>2539</v>
      </c>
      <c r="M1153" s="2" t="s">
        <v>2526</v>
      </c>
      <c r="N1153" t="str">
        <f>TRIM(PROPER(Tabla_auditoría[[#This Row],[ID_Campaña]]))</f>
        <v>Cmp-013</v>
      </c>
      <c r="O1153" t="str">
        <f>TRIM(PROPER(Tabla_auditoría[[#This Row],[Canal]]))</f>
        <v>Display</v>
      </c>
      <c r="P1153" t="str">
        <f>TRIM(PROPER(Tabla_auditoría[[#This Row],[País]]))</f>
        <v>España</v>
      </c>
      <c r="Q1153" t="str">
        <f>TRIM(PROPER(Tabla_auditoría[[#This Row],[Dispositivo]]))</f>
        <v>Desktop</v>
      </c>
      <c r="R1153" t="str">
        <f>TRIM(PROPER(Tabla_auditoría[[#This Row],[Tipo_Campaña]]))</f>
        <v>Conversión</v>
      </c>
      <c r="S1153" t="str">
        <f>TRIM(PROPER(Tabla_auditoría[[#This Row],[Responsable]]))</f>
        <v>Laura Pérez</v>
      </c>
    </row>
    <row r="1154" spans="1:19" x14ac:dyDescent="0.3">
      <c r="A1154" s="1">
        <v>45763</v>
      </c>
      <c r="B1154" s="2" t="s">
        <v>2549</v>
      </c>
      <c r="C1154" s="2" t="s">
        <v>2527</v>
      </c>
      <c r="D1154" s="2" t="s">
        <v>2528</v>
      </c>
      <c r="E1154" s="2" t="s">
        <v>2517</v>
      </c>
      <c r="F1154" s="3">
        <v>172623</v>
      </c>
      <c r="G1154" s="3">
        <v>10575</v>
      </c>
      <c r="H1154" s="3">
        <v>759</v>
      </c>
      <c r="I1154" s="4">
        <v>7207.13</v>
      </c>
      <c r="J1154" s="4">
        <v>117323.77</v>
      </c>
      <c r="K1154" s="3">
        <v>468</v>
      </c>
      <c r="L1154" s="2" t="s">
        <v>2539</v>
      </c>
      <c r="M1154" s="2" t="s">
        <v>2526</v>
      </c>
      <c r="N1154" t="str">
        <f>TRIM(PROPER(Tabla_auditoría[[#This Row],[ID_Campaña]]))</f>
        <v>Cmp-007</v>
      </c>
      <c r="O1154" t="str">
        <f>TRIM(PROPER(Tabla_auditoría[[#This Row],[Canal]]))</f>
        <v>Affiliate</v>
      </c>
      <c r="P1154" t="str">
        <f>TRIM(PROPER(Tabla_auditoría[[#This Row],[País]]))</f>
        <v>España</v>
      </c>
      <c r="Q1154" t="str">
        <f>TRIM(PROPER(Tabla_auditoría[[#This Row],[Dispositivo]]))</f>
        <v>Desktop</v>
      </c>
      <c r="R1154" t="str">
        <f>TRIM(PROPER(Tabla_auditoría[[#This Row],[Tipo_Campaña]]))</f>
        <v>Conversión</v>
      </c>
      <c r="S1154" t="str">
        <f>TRIM(PROPER(Tabla_auditoría[[#This Row],[Responsable]]))</f>
        <v>Laura Pérez</v>
      </c>
    </row>
    <row r="1155" spans="1:19" x14ac:dyDescent="0.3">
      <c r="A1155" s="1">
        <v>45874</v>
      </c>
      <c r="B1155" s="2" t="s">
        <v>2532</v>
      </c>
      <c r="C1155" s="2" t="s">
        <v>2533</v>
      </c>
      <c r="D1155" s="2" t="s">
        <v>2525</v>
      </c>
      <c r="E1155" s="2" t="s">
        <v>2529</v>
      </c>
      <c r="F1155" s="3">
        <v>18518</v>
      </c>
      <c r="G1155" s="3">
        <v>1160</v>
      </c>
      <c r="H1155" s="3">
        <v>158</v>
      </c>
      <c r="I1155" s="4">
        <v>689.01</v>
      </c>
      <c r="J1155" s="4">
        <v>3396.64</v>
      </c>
      <c r="K1155" s="3">
        <v>101</v>
      </c>
      <c r="L1155" s="2" t="s">
        <v>2523</v>
      </c>
      <c r="M1155" s="2" t="s">
        <v>2546</v>
      </c>
      <c r="N1155" t="str">
        <f>TRIM(PROPER(Tabla_auditoría[[#This Row],[ID_Campaña]]))</f>
        <v>Cmp-022</v>
      </c>
      <c r="O1155" t="str">
        <f>TRIM(PROPER(Tabla_auditoría[[#This Row],[Canal]]))</f>
        <v>Paid Social</v>
      </c>
      <c r="P1155" t="str">
        <f>TRIM(PROPER(Tabla_auditoría[[#This Row],[País]]))</f>
        <v>Francia</v>
      </c>
      <c r="Q1155" t="str">
        <f>TRIM(PROPER(Tabla_auditoría[[#This Row],[Dispositivo]]))</f>
        <v>Mobile</v>
      </c>
      <c r="R1155" t="str">
        <f>TRIM(PROPER(Tabla_auditoría[[#This Row],[Tipo_Campaña]]))</f>
        <v>Retención</v>
      </c>
      <c r="S1155" t="str">
        <f>TRIM(PROPER(Tabla_auditoría[[#This Row],[Responsable]]))</f>
        <v>Ana García</v>
      </c>
    </row>
    <row r="1156" spans="1:19" x14ac:dyDescent="0.3">
      <c r="A1156" s="1">
        <v>45888</v>
      </c>
      <c r="B1156" s="2" t="s">
        <v>2555</v>
      </c>
      <c r="C1156" s="2" t="s">
        <v>2543</v>
      </c>
      <c r="D1156" s="2" t="s">
        <v>2528</v>
      </c>
      <c r="E1156" s="2" t="s">
        <v>2529</v>
      </c>
      <c r="F1156" s="3">
        <v>130067</v>
      </c>
      <c r="G1156" s="3">
        <v>10650</v>
      </c>
      <c r="H1156" s="3">
        <v>1025</v>
      </c>
      <c r="I1156" s="4">
        <v>4595.96</v>
      </c>
      <c r="J1156" s="4">
        <v>137379.29999999999</v>
      </c>
      <c r="K1156" s="3">
        <v>680</v>
      </c>
      <c r="L1156" s="2" t="s">
        <v>2539</v>
      </c>
      <c r="M1156" s="2" t="s">
        <v>2519</v>
      </c>
      <c r="N1156" t="str">
        <f>TRIM(PROPER(Tabla_auditoría[[#This Row],[ID_Campaña]]))</f>
        <v>Cmp-010</v>
      </c>
      <c r="O1156" t="str">
        <f>TRIM(PROPER(Tabla_auditoría[[#This Row],[Canal]]))</f>
        <v>Organic Social</v>
      </c>
      <c r="P1156" t="str">
        <f>TRIM(PROPER(Tabla_auditoría[[#This Row],[País]]))</f>
        <v>España</v>
      </c>
      <c r="Q1156" t="str">
        <f>TRIM(PROPER(Tabla_auditoría[[#This Row],[Dispositivo]]))</f>
        <v>Mobile</v>
      </c>
      <c r="R1156" t="str">
        <f>TRIM(PROPER(Tabla_auditoría[[#This Row],[Tipo_Campaña]]))</f>
        <v>Conversión</v>
      </c>
      <c r="S1156" t="str">
        <f>TRIM(PROPER(Tabla_auditoría[[#This Row],[Responsable]]))</f>
        <v>Carlos Ruiz</v>
      </c>
    </row>
    <row r="1157" spans="1:19" x14ac:dyDescent="0.3">
      <c r="A1157" s="1">
        <v>45672</v>
      </c>
      <c r="B1157" s="2" t="s">
        <v>2568</v>
      </c>
      <c r="C1157" s="2" t="s">
        <v>2543</v>
      </c>
      <c r="D1157" s="2" t="s">
        <v>2528</v>
      </c>
      <c r="E1157" s="2" t="s">
        <v>2534</v>
      </c>
      <c r="F1157" s="3">
        <v>177703</v>
      </c>
      <c r="G1157" s="3">
        <v>14067</v>
      </c>
      <c r="H1157" s="3">
        <v>1465</v>
      </c>
      <c r="I1157" s="4">
        <v>13486.04</v>
      </c>
      <c r="J1157" s="4">
        <v>126597.44</v>
      </c>
      <c r="K1157" s="3">
        <v>1181</v>
      </c>
      <c r="L1157" s="2" t="s">
        <v>2523</v>
      </c>
      <c r="M1157" s="2" t="s">
        <v>2519</v>
      </c>
      <c r="N1157" t="str">
        <f>TRIM(PROPER(Tabla_auditoría[[#This Row],[ID_Campaña]]))</f>
        <v>Cmp-020</v>
      </c>
      <c r="O1157" t="str">
        <f>TRIM(PROPER(Tabla_auditoría[[#This Row],[Canal]]))</f>
        <v>Organic Social</v>
      </c>
      <c r="P1157" t="str">
        <f>TRIM(PROPER(Tabla_auditoría[[#This Row],[País]]))</f>
        <v>España</v>
      </c>
      <c r="Q1157" t="str">
        <f>TRIM(PROPER(Tabla_auditoría[[#This Row],[Dispositivo]]))</f>
        <v>Tablet</v>
      </c>
      <c r="R1157" t="str">
        <f>TRIM(PROPER(Tabla_auditoría[[#This Row],[Tipo_Campaña]]))</f>
        <v>Retención</v>
      </c>
      <c r="S1157" t="str">
        <f>TRIM(PROPER(Tabla_auditoría[[#This Row],[Responsable]]))</f>
        <v>Carlos Ruiz</v>
      </c>
    </row>
    <row r="1158" spans="1:19" x14ac:dyDescent="0.3">
      <c r="A1158" s="1">
        <v>45788</v>
      </c>
      <c r="B1158" s="2" t="s">
        <v>2565</v>
      </c>
      <c r="C1158" s="2" t="s">
        <v>2515</v>
      </c>
      <c r="D1158" s="2" t="s">
        <v>2516</v>
      </c>
      <c r="E1158" s="2" t="s">
        <v>2529</v>
      </c>
      <c r="F1158" s="3">
        <v>68139</v>
      </c>
      <c r="G1158" s="3">
        <v>2369</v>
      </c>
      <c r="H1158" s="3">
        <v>258</v>
      </c>
      <c r="I1158" s="4">
        <v>4436.49</v>
      </c>
      <c r="J1158" s="4">
        <v>49978.66</v>
      </c>
      <c r="K1158" s="3">
        <v>219</v>
      </c>
      <c r="L1158" s="2" t="s">
        <v>2518</v>
      </c>
      <c r="M1158" s="2" t="s">
        <v>2546</v>
      </c>
      <c r="N1158" t="str">
        <f>TRIM(PROPER(Tabla_auditoría[[#This Row],[ID_Campaña]]))</f>
        <v>Cmp-005</v>
      </c>
      <c r="O1158" t="str">
        <f>TRIM(PROPER(Tabla_auditoría[[#This Row],[Canal]]))</f>
        <v>Email</v>
      </c>
      <c r="P1158" t="str">
        <f>TRIM(PROPER(Tabla_auditoría[[#This Row],[País]]))</f>
        <v>México</v>
      </c>
      <c r="Q1158" t="str">
        <f>TRIM(PROPER(Tabla_auditoría[[#This Row],[Dispositivo]]))</f>
        <v>Mobile</v>
      </c>
      <c r="R1158" t="str">
        <f>TRIM(PROPER(Tabla_auditoría[[#This Row],[Tipo_Campaña]]))</f>
        <v>Adquisición</v>
      </c>
      <c r="S1158" t="str">
        <f>TRIM(PROPER(Tabla_auditoría[[#This Row],[Responsable]]))</f>
        <v>Ana García</v>
      </c>
    </row>
    <row r="1159" spans="1:19" x14ac:dyDescent="0.3">
      <c r="A1159" s="1">
        <v>45947</v>
      </c>
      <c r="B1159" s="2" t="s">
        <v>2569</v>
      </c>
      <c r="C1159" s="2" t="s">
        <v>2541</v>
      </c>
      <c r="D1159" s="2" t="s">
        <v>2531</v>
      </c>
      <c r="E1159" s="2" t="s">
        <v>2529</v>
      </c>
      <c r="F1159" s="3">
        <v>164017</v>
      </c>
      <c r="G1159" s="3">
        <v>4996</v>
      </c>
      <c r="H1159" s="3">
        <v>170</v>
      </c>
      <c r="I1159" s="4">
        <v>6449.46</v>
      </c>
      <c r="J1159" s="4">
        <v>16638.349999999999</v>
      </c>
      <c r="K1159" s="3">
        <v>78</v>
      </c>
      <c r="L1159" s="2" t="s">
        <v>2539</v>
      </c>
      <c r="M1159" s="2" t="s">
        <v>2524</v>
      </c>
      <c r="N1159" t="str">
        <f>TRIM(PROPER(Tabla_auditoría[[#This Row],[ID_Campaña]]))</f>
        <v>Cmp-013</v>
      </c>
      <c r="O1159" t="str">
        <f>TRIM(PROPER(Tabla_auditoría[[#This Row],[Canal]]))</f>
        <v>Display</v>
      </c>
      <c r="P1159" t="str">
        <f>TRIM(PROPER(Tabla_auditoría[[#This Row],[País]]))</f>
        <v>Portugal</v>
      </c>
      <c r="Q1159" t="str">
        <f>TRIM(PROPER(Tabla_auditoría[[#This Row],[Dispositivo]]))</f>
        <v>Mobile</v>
      </c>
      <c r="R1159" t="str">
        <f>TRIM(PROPER(Tabla_auditoría[[#This Row],[Tipo_Campaña]]))</f>
        <v>Conversión</v>
      </c>
      <c r="S1159" t="str">
        <f>TRIM(PROPER(Tabla_auditoría[[#This Row],[Responsable]]))</f>
        <v>Luis Martín</v>
      </c>
    </row>
    <row r="1160" spans="1:19" x14ac:dyDescent="0.3">
      <c r="A1160" s="1">
        <v>45822</v>
      </c>
      <c r="B1160" s="2" t="s">
        <v>2549</v>
      </c>
      <c r="C1160" s="2" t="s">
        <v>2533</v>
      </c>
      <c r="D1160" s="2" t="s">
        <v>2528</v>
      </c>
      <c r="E1160" s="2" t="s">
        <v>2517</v>
      </c>
      <c r="F1160" s="3">
        <v>124594</v>
      </c>
      <c r="G1160" s="3">
        <v>4746</v>
      </c>
      <c r="H1160" s="3">
        <v>299</v>
      </c>
      <c r="I1160" s="4">
        <v>5268.96</v>
      </c>
      <c r="J1160" s="4">
        <v>54344.959999999999</v>
      </c>
      <c r="K1160" s="3">
        <v>205</v>
      </c>
      <c r="L1160" s="2" t="s">
        <v>2523</v>
      </c>
      <c r="M1160" s="2" t="s">
        <v>2524</v>
      </c>
      <c r="N1160" t="str">
        <f>TRIM(PROPER(Tabla_auditoría[[#This Row],[ID_Campaña]]))</f>
        <v>Cmp-007</v>
      </c>
      <c r="O1160" t="str">
        <f>TRIM(PROPER(Tabla_auditoría[[#This Row],[Canal]]))</f>
        <v>Paid Social</v>
      </c>
      <c r="P1160" t="str">
        <f>TRIM(PROPER(Tabla_auditoría[[#This Row],[País]]))</f>
        <v>España</v>
      </c>
      <c r="Q1160" t="str">
        <f>TRIM(PROPER(Tabla_auditoría[[#This Row],[Dispositivo]]))</f>
        <v>Desktop</v>
      </c>
      <c r="R1160" t="str">
        <f>TRIM(PROPER(Tabla_auditoría[[#This Row],[Tipo_Campaña]]))</f>
        <v>Retención</v>
      </c>
      <c r="S1160" t="str">
        <f>TRIM(PROPER(Tabla_auditoría[[#This Row],[Responsable]]))</f>
        <v>Luis Martín</v>
      </c>
    </row>
    <row r="1161" spans="1:19" x14ac:dyDescent="0.3">
      <c r="A1161" s="1">
        <v>45678</v>
      </c>
      <c r="B1161" s="2" t="s">
        <v>2514</v>
      </c>
      <c r="C1161" s="2" t="s">
        <v>2521</v>
      </c>
      <c r="D1161" s="2" t="s">
        <v>2525</v>
      </c>
      <c r="E1161" s="2" t="s">
        <v>2517</v>
      </c>
      <c r="F1161" s="3">
        <v>156965</v>
      </c>
      <c r="G1161" s="3">
        <v>5806</v>
      </c>
      <c r="H1161" s="3">
        <v>73</v>
      </c>
      <c r="I1161" s="4">
        <v>3091.91</v>
      </c>
      <c r="J1161" s="4">
        <v>6415.7</v>
      </c>
      <c r="K1161" s="3">
        <v>33</v>
      </c>
      <c r="L1161" s="2" t="s">
        <v>2536</v>
      </c>
      <c r="M1161" s="2" t="s">
        <v>2519</v>
      </c>
      <c r="N1161" t="str">
        <f>TRIM(PROPER(Tabla_auditoría[[#This Row],[ID_Campaña]]))</f>
        <v>Cmp-002</v>
      </c>
      <c r="O1161" t="str">
        <f>TRIM(PROPER(Tabla_auditoría[[#This Row],[Canal]]))</f>
        <v>Paid Search</v>
      </c>
      <c r="P1161" t="str">
        <f>TRIM(PROPER(Tabla_auditoría[[#This Row],[País]]))</f>
        <v>Francia</v>
      </c>
      <c r="Q1161" t="str">
        <f>TRIM(PROPER(Tabla_auditoría[[#This Row],[Dispositivo]]))</f>
        <v>Desktop</v>
      </c>
      <c r="R1161" t="str">
        <f>TRIM(PROPER(Tabla_auditoría[[#This Row],[Tipo_Campaña]]))</f>
        <v>Reconocimiento</v>
      </c>
      <c r="S1161" t="str">
        <f>TRIM(PROPER(Tabla_auditoría[[#This Row],[Responsable]]))</f>
        <v>Carlos Ruiz</v>
      </c>
    </row>
    <row r="1162" spans="1:19" x14ac:dyDescent="0.3">
      <c r="A1162" s="1">
        <v>45934</v>
      </c>
      <c r="B1162" s="2" t="s">
        <v>2538</v>
      </c>
      <c r="C1162" s="2" t="s">
        <v>2521</v>
      </c>
      <c r="D1162" s="2" t="s">
        <v>2531</v>
      </c>
      <c r="E1162" s="2" t="s">
        <v>2559</v>
      </c>
      <c r="F1162" s="3">
        <v>166082</v>
      </c>
      <c r="G1162" s="3">
        <v>14573</v>
      </c>
      <c r="H1162" s="3">
        <v>1163</v>
      </c>
      <c r="I1162" s="4">
        <v>25999.78</v>
      </c>
      <c r="J1162" s="4">
        <v>132734.29</v>
      </c>
      <c r="K1162" s="3">
        <v>846</v>
      </c>
      <c r="L1162" s="2" t="s">
        <v>2518</v>
      </c>
      <c r="M1162" s="2" t="s">
        <v>2537</v>
      </c>
      <c r="N1162" t="str">
        <f>TRIM(PROPER(Tabla_auditoría[[#This Row],[ID_Campaña]]))</f>
        <v>Cmp-004</v>
      </c>
      <c r="O1162" t="str">
        <f>TRIM(PROPER(Tabla_auditoría[[#This Row],[Canal]]))</f>
        <v>Paid Search</v>
      </c>
      <c r="P1162" t="str">
        <f>TRIM(PROPER(Tabla_auditoría[[#This Row],[País]]))</f>
        <v>Portugal</v>
      </c>
      <c r="Q1162" t="str">
        <f>TRIM(PROPER(Tabla_auditoría[[#This Row],[Dispositivo]]))</f>
        <v>Desktop</v>
      </c>
      <c r="R1162" t="str">
        <f>TRIM(PROPER(Tabla_auditoría[[#This Row],[Tipo_Campaña]]))</f>
        <v>Adquisición</v>
      </c>
      <c r="S1162" t="str">
        <f>TRIM(PROPER(Tabla_auditoría[[#This Row],[Responsable]]))</f>
        <v>Marta López</v>
      </c>
    </row>
    <row r="1163" spans="1:19" x14ac:dyDescent="0.3">
      <c r="A1163" s="1">
        <v>45931</v>
      </c>
      <c r="B1163" s="2" t="s">
        <v>2556</v>
      </c>
      <c r="C1163" s="2" t="s">
        <v>2543</v>
      </c>
      <c r="D1163" s="2" t="s">
        <v>2528</v>
      </c>
      <c r="E1163" s="2" t="s">
        <v>2517</v>
      </c>
      <c r="F1163" s="3">
        <v>140686</v>
      </c>
      <c r="G1163" s="3">
        <v>9087</v>
      </c>
      <c r="H1163" s="3">
        <v>875</v>
      </c>
      <c r="I1163" s="4">
        <v>3201.94</v>
      </c>
      <c r="J1163" s="4">
        <v>92960.03</v>
      </c>
      <c r="K1163" s="3">
        <v>628</v>
      </c>
      <c r="L1163" s="2" t="s">
        <v>2518</v>
      </c>
      <c r="M1163" s="2" t="s">
        <v>2546</v>
      </c>
      <c r="N1163" t="str">
        <f>TRIM(PROPER(Tabla_auditoría[[#This Row],[ID_Campaña]]))</f>
        <v>Cmp-014</v>
      </c>
      <c r="O1163" t="str">
        <f>TRIM(PROPER(Tabla_auditoría[[#This Row],[Canal]]))</f>
        <v>Organic Social</v>
      </c>
      <c r="P1163" t="str">
        <f>TRIM(PROPER(Tabla_auditoría[[#This Row],[País]]))</f>
        <v>España</v>
      </c>
      <c r="Q1163" t="str">
        <f>TRIM(PROPER(Tabla_auditoría[[#This Row],[Dispositivo]]))</f>
        <v>Desktop</v>
      </c>
      <c r="R1163" t="str">
        <f>TRIM(PROPER(Tabla_auditoría[[#This Row],[Tipo_Campaña]]))</f>
        <v>Adquisición</v>
      </c>
      <c r="S1163" t="str">
        <f>TRIM(PROPER(Tabla_auditoría[[#This Row],[Responsable]]))</f>
        <v>Ana García</v>
      </c>
    </row>
    <row r="1164" spans="1:19" x14ac:dyDescent="0.3">
      <c r="A1164" s="1">
        <v>45865</v>
      </c>
      <c r="B1164" s="2" t="s">
        <v>2563</v>
      </c>
      <c r="C1164" s="2" t="s">
        <v>2527</v>
      </c>
      <c r="D1164" s="2" t="s">
        <v>2528</v>
      </c>
      <c r="E1164" s="2" t="s">
        <v>2517</v>
      </c>
      <c r="F1164" s="3">
        <v>39458</v>
      </c>
      <c r="G1164" s="3">
        <v>656</v>
      </c>
      <c r="H1164" s="3">
        <v>84</v>
      </c>
      <c r="I1164" s="4">
        <v>91.49</v>
      </c>
      <c r="J1164" s="4">
        <v>3652.61</v>
      </c>
      <c r="K1164" s="3">
        <v>50</v>
      </c>
      <c r="L1164" s="2" t="s">
        <v>2518</v>
      </c>
      <c r="M1164" s="2" t="s">
        <v>2524</v>
      </c>
      <c r="N1164" t="str">
        <f>TRIM(PROPER(Tabla_auditoría[[#This Row],[ID_Campaña]]))</f>
        <v>Cmp-023</v>
      </c>
      <c r="O1164" t="str">
        <f>TRIM(PROPER(Tabla_auditoría[[#This Row],[Canal]]))</f>
        <v>Affiliate</v>
      </c>
      <c r="P1164" t="str">
        <f>TRIM(PROPER(Tabla_auditoría[[#This Row],[País]]))</f>
        <v>España</v>
      </c>
      <c r="Q1164" t="str">
        <f>TRIM(PROPER(Tabla_auditoría[[#This Row],[Dispositivo]]))</f>
        <v>Desktop</v>
      </c>
      <c r="R1164" t="str">
        <f>TRIM(PROPER(Tabla_auditoría[[#This Row],[Tipo_Campaña]]))</f>
        <v>Adquisición</v>
      </c>
      <c r="S1164" t="str">
        <f>TRIM(PROPER(Tabla_auditoría[[#This Row],[Responsable]]))</f>
        <v>Luis Martín</v>
      </c>
    </row>
    <row r="1165" spans="1:19" x14ac:dyDescent="0.3">
      <c r="A1165" s="1">
        <v>45954</v>
      </c>
      <c r="B1165" s="2" t="s">
        <v>2560</v>
      </c>
      <c r="C1165" s="2" t="s">
        <v>2541</v>
      </c>
      <c r="D1165" s="2" t="s">
        <v>2531</v>
      </c>
      <c r="E1165" s="2" t="s">
        <v>2529</v>
      </c>
      <c r="F1165" s="3">
        <v>94072</v>
      </c>
      <c r="G1165" s="3">
        <v>8240</v>
      </c>
      <c r="H1165" s="3">
        <v>501</v>
      </c>
      <c r="I1165" s="4">
        <v>6995.63</v>
      </c>
      <c r="J1165" s="4">
        <v>63029.34</v>
      </c>
      <c r="K1165" s="3">
        <v>449</v>
      </c>
      <c r="L1165" s="2" t="s">
        <v>2518</v>
      </c>
      <c r="M1165" s="2" t="s">
        <v>2546</v>
      </c>
      <c r="N1165" t="str">
        <f>TRIM(PROPER(Tabla_auditoría[[#This Row],[ID_Campaña]]))</f>
        <v>Cmp-027</v>
      </c>
      <c r="O1165" t="str">
        <f>TRIM(PROPER(Tabla_auditoría[[#This Row],[Canal]]))</f>
        <v>Display</v>
      </c>
      <c r="P1165" t="str">
        <f>TRIM(PROPER(Tabla_auditoría[[#This Row],[País]]))</f>
        <v>Portugal</v>
      </c>
      <c r="Q1165" t="str">
        <f>TRIM(PROPER(Tabla_auditoría[[#This Row],[Dispositivo]]))</f>
        <v>Mobile</v>
      </c>
      <c r="R1165" t="str">
        <f>TRIM(PROPER(Tabla_auditoría[[#This Row],[Tipo_Campaña]]))</f>
        <v>Adquisición</v>
      </c>
      <c r="S1165" t="str">
        <f>TRIM(PROPER(Tabla_auditoría[[#This Row],[Responsable]]))</f>
        <v>Ana García</v>
      </c>
    </row>
    <row r="1166" spans="1:19" x14ac:dyDescent="0.3">
      <c r="A1166" s="1">
        <v>45666</v>
      </c>
      <c r="B1166" s="2" t="s">
        <v>2514</v>
      </c>
      <c r="C1166" s="2" t="s">
        <v>2533</v>
      </c>
      <c r="D1166" s="2" t="s">
        <v>2528</v>
      </c>
      <c r="E1166" s="2" t="s">
        <v>2517</v>
      </c>
      <c r="F1166" s="3">
        <v>29356</v>
      </c>
      <c r="G1166" s="3">
        <v>2424</v>
      </c>
      <c r="H1166" s="3">
        <v>259</v>
      </c>
      <c r="I1166" s="4">
        <v>4720.26</v>
      </c>
      <c r="J1166" s="4">
        <v>35486.42</v>
      </c>
      <c r="K1166" s="3">
        <v>177</v>
      </c>
      <c r="L1166" s="2" t="s">
        <v>2539</v>
      </c>
      <c r="M1166" s="2" t="s">
        <v>2526</v>
      </c>
      <c r="N1166" t="str">
        <f>TRIM(PROPER(Tabla_auditoría[[#This Row],[ID_Campaña]]))</f>
        <v>Cmp-002</v>
      </c>
      <c r="O1166" t="str">
        <f>TRIM(PROPER(Tabla_auditoría[[#This Row],[Canal]]))</f>
        <v>Paid Social</v>
      </c>
      <c r="P1166" t="str">
        <f>TRIM(PROPER(Tabla_auditoría[[#This Row],[País]]))</f>
        <v>España</v>
      </c>
      <c r="Q1166" t="str">
        <f>TRIM(PROPER(Tabla_auditoría[[#This Row],[Dispositivo]]))</f>
        <v>Desktop</v>
      </c>
      <c r="R1166" t="str">
        <f>TRIM(PROPER(Tabla_auditoría[[#This Row],[Tipo_Campaña]]))</f>
        <v>Conversión</v>
      </c>
      <c r="S1166" t="str">
        <f>TRIM(PROPER(Tabla_auditoría[[#This Row],[Responsable]]))</f>
        <v>Laura Pérez</v>
      </c>
    </row>
    <row r="1167" spans="1:19" x14ac:dyDescent="0.3">
      <c r="A1167" s="1">
        <v>45812</v>
      </c>
      <c r="B1167" s="2" t="s">
        <v>2560</v>
      </c>
      <c r="C1167" s="2" t="s">
        <v>2515</v>
      </c>
      <c r="D1167" s="2" t="s">
        <v>2528</v>
      </c>
      <c r="E1167" s="2" t="s">
        <v>2517</v>
      </c>
      <c r="F1167" s="3">
        <v>107522</v>
      </c>
      <c r="G1167" s="3">
        <v>1399</v>
      </c>
      <c r="H1167" s="3">
        <v>66</v>
      </c>
      <c r="I1167" s="4">
        <v>1584.04</v>
      </c>
      <c r="J1167" s="4">
        <v>1659.05</v>
      </c>
      <c r="K1167" s="3">
        <v>44</v>
      </c>
      <c r="L1167" s="2" t="s">
        <v>2536</v>
      </c>
      <c r="M1167" s="2" t="s">
        <v>2546</v>
      </c>
      <c r="N1167" t="str">
        <f>TRIM(PROPER(Tabla_auditoría[[#This Row],[ID_Campaña]]))</f>
        <v>Cmp-027</v>
      </c>
      <c r="O1167" t="str">
        <f>TRIM(PROPER(Tabla_auditoría[[#This Row],[Canal]]))</f>
        <v>Email</v>
      </c>
      <c r="P1167" t="str">
        <f>TRIM(PROPER(Tabla_auditoría[[#This Row],[País]]))</f>
        <v>España</v>
      </c>
      <c r="Q1167" t="str">
        <f>TRIM(PROPER(Tabla_auditoría[[#This Row],[Dispositivo]]))</f>
        <v>Desktop</v>
      </c>
      <c r="R1167" t="str">
        <f>TRIM(PROPER(Tabla_auditoría[[#This Row],[Tipo_Campaña]]))</f>
        <v>Reconocimiento</v>
      </c>
      <c r="S1167" t="str">
        <f>TRIM(PROPER(Tabla_auditoría[[#This Row],[Responsable]]))</f>
        <v>Ana García</v>
      </c>
    </row>
    <row r="1168" spans="1:19" x14ac:dyDescent="0.3">
      <c r="A1168" s="1">
        <v>45896</v>
      </c>
      <c r="B1168" s="2" t="s">
        <v>2530</v>
      </c>
      <c r="C1168" s="2" t="s">
        <v>2515</v>
      </c>
      <c r="D1168" s="2" t="s">
        <v>2531</v>
      </c>
      <c r="E1168" s="2" t="s">
        <v>2534</v>
      </c>
      <c r="F1168" s="3">
        <v>1648</v>
      </c>
      <c r="G1168" s="3">
        <v>60</v>
      </c>
      <c r="H1168" s="3">
        <v>4</v>
      </c>
      <c r="I1168" s="4">
        <v>81.400000000000006</v>
      </c>
      <c r="J1168" s="4">
        <v>442.76</v>
      </c>
      <c r="K1168" s="3">
        <v>2</v>
      </c>
      <c r="L1168" s="2" t="s">
        <v>2518</v>
      </c>
      <c r="M1168" s="2" t="s">
        <v>2524</v>
      </c>
      <c r="N1168" t="str">
        <f>TRIM(PROPER(Tabla_auditoría[[#This Row],[ID_Campaña]]))</f>
        <v>Cmp-026</v>
      </c>
      <c r="O1168" t="str">
        <f>TRIM(PROPER(Tabla_auditoría[[#This Row],[Canal]]))</f>
        <v>Email</v>
      </c>
      <c r="P1168" t="str">
        <f>TRIM(PROPER(Tabla_auditoría[[#This Row],[País]]))</f>
        <v>Portugal</v>
      </c>
      <c r="Q1168" t="str">
        <f>TRIM(PROPER(Tabla_auditoría[[#This Row],[Dispositivo]]))</f>
        <v>Tablet</v>
      </c>
      <c r="R1168" t="str">
        <f>TRIM(PROPER(Tabla_auditoría[[#This Row],[Tipo_Campaña]]))</f>
        <v>Adquisición</v>
      </c>
      <c r="S1168" t="str">
        <f>TRIM(PROPER(Tabla_auditoría[[#This Row],[Responsable]]))</f>
        <v>Luis Martín</v>
      </c>
    </row>
    <row r="1169" spans="1:19" x14ac:dyDescent="0.3">
      <c r="A1169" s="1">
        <v>45692</v>
      </c>
      <c r="B1169" s="2" t="s">
        <v>2550</v>
      </c>
      <c r="C1169" s="2" t="s">
        <v>2527</v>
      </c>
      <c r="D1169" s="2" t="s">
        <v>2531</v>
      </c>
      <c r="E1169" s="2" t="s">
        <v>2517</v>
      </c>
      <c r="F1169" s="3">
        <v>22762</v>
      </c>
      <c r="G1169" s="3">
        <v>1042</v>
      </c>
      <c r="H1169" s="3">
        <v>103</v>
      </c>
      <c r="I1169" s="4">
        <v>160.85</v>
      </c>
      <c r="J1169" s="4">
        <v>13839.38</v>
      </c>
      <c r="K1169" s="3">
        <v>73</v>
      </c>
      <c r="L1169" s="2" t="s">
        <v>2536</v>
      </c>
      <c r="M1169" s="2" t="s">
        <v>2526</v>
      </c>
      <c r="N1169" t="str">
        <f>TRIM(PROPER(Tabla_auditoría[[#This Row],[ID_Campaña]]))</f>
        <v>Cmp-008</v>
      </c>
      <c r="O1169" t="str">
        <f>TRIM(PROPER(Tabla_auditoría[[#This Row],[Canal]]))</f>
        <v>Affiliate</v>
      </c>
      <c r="P1169" t="str">
        <f>TRIM(PROPER(Tabla_auditoría[[#This Row],[País]]))</f>
        <v>Portugal</v>
      </c>
      <c r="Q1169" t="str">
        <f>TRIM(PROPER(Tabla_auditoría[[#This Row],[Dispositivo]]))</f>
        <v>Desktop</v>
      </c>
      <c r="R1169" t="str">
        <f>TRIM(PROPER(Tabla_auditoría[[#This Row],[Tipo_Campaña]]))</f>
        <v>Reconocimiento</v>
      </c>
      <c r="S1169" t="str">
        <f>TRIM(PROPER(Tabla_auditoría[[#This Row],[Responsable]]))</f>
        <v>Laura Pérez</v>
      </c>
    </row>
    <row r="1170" spans="1:19" x14ac:dyDescent="0.3">
      <c r="A1170" s="1">
        <v>45899</v>
      </c>
      <c r="B1170" s="2" t="s">
        <v>2535</v>
      </c>
      <c r="C1170" s="2" t="s">
        <v>2541</v>
      </c>
      <c r="D1170" s="2" t="s">
        <v>2525</v>
      </c>
      <c r="E1170" s="2" t="s">
        <v>2517</v>
      </c>
      <c r="F1170" s="3">
        <v>27522</v>
      </c>
      <c r="G1170" s="3">
        <v>1823</v>
      </c>
      <c r="H1170" s="3">
        <v>23</v>
      </c>
      <c r="I1170" s="4">
        <v>1850.65</v>
      </c>
      <c r="J1170" s="4">
        <v>4066.14</v>
      </c>
      <c r="K1170" s="3">
        <v>12</v>
      </c>
      <c r="L1170" s="2" t="s">
        <v>2518</v>
      </c>
      <c r="M1170" s="2" t="s">
        <v>2519</v>
      </c>
      <c r="N1170" t="str">
        <f>TRIM(PROPER(Tabla_auditoría[[#This Row],[ID_Campaña]]))</f>
        <v>Cmp-015</v>
      </c>
      <c r="O1170" t="str">
        <f>TRIM(PROPER(Tabla_auditoría[[#This Row],[Canal]]))</f>
        <v>Display</v>
      </c>
      <c r="P1170" t="str">
        <f>TRIM(PROPER(Tabla_auditoría[[#This Row],[País]]))</f>
        <v>Francia</v>
      </c>
      <c r="Q1170" t="str">
        <f>TRIM(PROPER(Tabla_auditoría[[#This Row],[Dispositivo]]))</f>
        <v>Desktop</v>
      </c>
      <c r="R1170" t="str">
        <f>TRIM(PROPER(Tabla_auditoría[[#This Row],[Tipo_Campaña]]))</f>
        <v>Adquisición</v>
      </c>
      <c r="S1170" t="str">
        <f>TRIM(PROPER(Tabla_auditoría[[#This Row],[Responsable]]))</f>
        <v>Carlos Ruiz</v>
      </c>
    </row>
    <row r="1171" spans="1:19" x14ac:dyDescent="0.3">
      <c r="A1171" s="1">
        <v>45883</v>
      </c>
      <c r="B1171" s="2" t="s">
        <v>2556</v>
      </c>
      <c r="C1171" s="2" t="s">
        <v>2543</v>
      </c>
      <c r="D1171" s="2" t="s">
        <v>2516</v>
      </c>
      <c r="E1171" s="2" t="s">
        <v>2517</v>
      </c>
      <c r="F1171" s="3">
        <v>60647</v>
      </c>
      <c r="G1171" s="3">
        <v>1677</v>
      </c>
      <c r="H1171" s="3">
        <v>133</v>
      </c>
      <c r="I1171" s="4">
        <v>796.35</v>
      </c>
      <c r="J1171" s="4">
        <v>24591.9</v>
      </c>
      <c r="K1171" s="3">
        <v>66</v>
      </c>
      <c r="L1171" s="2" t="s">
        <v>2518</v>
      </c>
      <c r="M1171" s="2" t="s">
        <v>2524</v>
      </c>
      <c r="N1171" t="str">
        <f>TRIM(PROPER(Tabla_auditoría[[#This Row],[ID_Campaña]]))</f>
        <v>Cmp-014</v>
      </c>
      <c r="O1171" t="str">
        <f>TRIM(PROPER(Tabla_auditoría[[#This Row],[Canal]]))</f>
        <v>Organic Social</v>
      </c>
      <c r="P1171" t="str">
        <f>TRIM(PROPER(Tabla_auditoría[[#This Row],[País]]))</f>
        <v>México</v>
      </c>
      <c r="Q1171" t="str">
        <f>TRIM(PROPER(Tabla_auditoría[[#This Row],[Dispositivo]]))</f>
        <v>Desktop</v>
      </c>
      <c r="R1171" t="str">
        <f>TRIM(PROPER(Tabla_auditoría[[#This Row],[Tipo_Campaña]]))</f>
        <v>Adquisición</v>
      </c>
      <c r="S1171" t="str">
        <f>TRIM(PROPER(Tabla_auditoría[[#This Row],[Responsable]]))</f>
        <v>Luis Martín</v>
      </c>
    </row>
    <row r="1172" spans="1:19" x14ac:dyDescent="0.3">
      <c r="A1172" s="1">
        <v>45802</v>
      </c>
      <c r="B1172" s="2" t="s">
        <v>2532</v>
      </c>
      <c r="C1172" s="2" t="s">
        <v>2521</v>
      </c>
      <c r="D1172" s="2" t="s">
        <v>2528</v>
      </c>
      <c r="E1172" s="2" t="s">
        <v>2534</v>
      </c>
      <c r="F1172" s="3">
        <v>157640</v>
      </c>
      <c r="G1172" s="3">
        <v>8880</v>
      </c>
      <c r="H1172" s="3">
        <v>1156</v>
      </c>
      <c r="I1172" s="4">
        <v>8972.9699999999993</v>
      </c>
      <c r="J1172" s="4">
        <v>218433</v>
      </c>
      <c r="K1172" s="3">
        <v>997</v>
      </c>
      <c r="L1172" s="2" t="s">
        <v>2536</v>
      </c>
      <c r="M1172" s="2" t="s">
        <v>2546</v>
      </c>
      <c r="N1172" t="str">
        <f>TRIM(PROPER(Tabla_auditoría[[#This Row],[ID_Campaña]]))</f>
        <v>Cmp-022</v>
      </c>
      <c r="O1172" t="str">
        <f>TRIM(PROPER(Tabla_auditoría[[#This Row],[Canal]]))</f>
        <v>Paid Search</v>
      </c>
      <c r="P1172" t="str">
        <f>TRIM(PROPER(Tabla_auditoría[[#This Row],[País]]))</f>
        <v>España</v>
      </c>
      <c r="Q1172" t="str">
        <f>TRIM(PROPER(Tabla_auditoría[[#This Row],[Dispositivo]]))</f>
        <v>Tablet</v>
      </c>
      <c r="R1172" t="str">
        <f>TRIM(PROPER(Tabla_auditoría[[#This Row],[Tipo_Campaña]]))</f>
        <v>Reconocimiento</v>
      </c>
      <c r="S1172" t="str">
        <f>TRIM(PROPER(Tabla_auditoría[[#This Row],[Responsable]]))</f>
        <v>Ana García</v>
      </c>
    </row>
    <row r="1173" spans="1:19" x14ac:dyDescent="0.3">
      <c r="A1173" s="1">
        <v>45816</v>
      </c>
      <c r="B1173" s="2" t="s">
        <v>2571</v>
      </c>
      <c r="C1173" s="2" t="s">
        <v>2527</v>
      </c>
      <c r="D1173" s="2" t="s">
        <v>2528</v>
      </c>
      <c r="E1173" s="2" t="s">
        <v>2517</v>
      </c>
      <c r="F1173" s="3">
        <v>106770</v>
      </c>
      <c r="G1173" s="3">
        <v>6364</v>
      </c>
      <c r="H1173" s="3">
        <v>596</v>
      </c>
      <c r="I1173" s="4">
        <v>4939.3599999999997</v>
      </c>
      <c r="J1173" s="4">
        <v>81568.100000000006</v>
      </c>
      <c r="K1173" s="3">
        <v>444</v>
      </c>
      <c r="L1173" s="2" t="s">
        <v>2518</v>
      </c>
      <c r="M1173" s="2" t="s">
        <v>2537</v>
      </c>
      <c r="N1173" t="str">
        <f>TRIM(PROPER(Tabla_auditoría[[#This Row],[ID_Campaña]]))</f>
        <v>Cmp-029</v>
      </c>
      <c r="O1173" t="str">
        <f>TRIM(PROPER(Tabla_auditoría[[#This Row],[Canal]]))</f>
        <v>Affiliate</v>
      </c>
      <c r="P1173" t="str">
        <f>TRIM(PROPER(Tabla_auditoría[[#This Row],[País]]))</f>
        <v>España</v>
      </c>
      <c r="Q1173" t="str">
        <f>TRIM(PROPER(Tabla_auditoría[[#This Row],[Dispositivo]]))</f>
        <v>Desktop</v>
      </c>
      <c r="R1173" t="str">
        <f>TRIM(PROPER(Tabla_auditoría[[#This Row],[Tipo_Campaña]]))</f>
        <v>Adquisición</v>
      </c>
      <c r="S1173" t="str">
        <f>TRIM(PROPER(Tabla_auditoría[[#This Row],[Responsable]]))</f>
        <v>Marta López</v>
      </c>
    </row>
    <row r="1174" spans="1:19" x14ac:dyDescent="0.3">
      <c r="A1174" s="1">
        <v>45660</v>
      </c>
      <c r="B1174" s="2" t="s">
        <v>2554</v>
      </c>
      <c r="C1174" s="2" t="s">
        <v>2533</v>
      </c>
      <c r="D1174" s="2" t="s">
        <v>2593</v>
      </c>
      <c r="E1174" s="2" t="s">
        <v>2529</v>
      </c>
      <c r="F1174" s="3">
        <v>98572</v>
      </c>
      <c r="G1174" s="3">
        <v>1369</v>
      </c>
      <c r="H1174" s="3">
        <v>23</v>
      </c>
      <c r="I1174" s="4">
        <v>1314.29</v>
      </c>
      <c r="J1174" s="4">
        <v>3325.16</v>
      </c>
      <c r="K1174" s="3">
        <v>16</v>
      </c>
      <c r="L1174" s="2" t="s">
        <v>2518</v>
      </c>
      <c r="M1174" s="2" t="s">
        <v>2546</v>
      </c>
      <c r="N1174" t="str">
        <f>TRIM(PROPER(Tabla_auditoría[[#This Row],[ID_Campaña]]))</f>
        <v>Cmp-019</v>
      </c>
      <c r="O1174" t="str">
        <f>TRIM(PROPER(Tabla_auditoría[[#This Row],[Canal]]))</f>
        <v>Paid Social</v>
      </c>
      <c r="P1174" t="str">
        <f>TRIM(PROPER(Tabla_auditoría[[#This Row],[País]]))</f>
        <v>Francia</v>
      </c>
      <c r="Q1174" t="str">
        <f>TRIM(PROPER(Tabla_auditoría[[#This Row],[Dispositivo]]))</f>
        <v>Mobile</v>
      </c>
      <c r="R1174" t="str">
        <f>TRIM(PROPER(Tabla_auditoría[[#This Row],[Tipo_Campaña]]))</f>
        <v>Adquisición</v>
      </c>
      <c r="S1174" t="str">
        <f>TRIM(PROPER(Tabla_auditoría[[#This Row],[Responsable]]))</f>
        <v>Ana García</v>
      </c>
    </row>
    <row r="1175" spans="1:19" x14ac:dyDescent="0.3">
      <c r="A1175" s="1">
        <v>45789</v>
      </c>
      <c r="B1175" s="2" t="s">
        <v>2550</v>
      </c>
      <c r="C1175" s="2" t="s">
        <v>2515</v>
      </c>
      <c r="D1175" s="2" t="s">
        <v>2531</v>
      </c>
      <c r="E1175" s="2" t="s">
        <v>2517</v>
      </c>
      <c r="F1175" s="3">
        <v>68029</v>
      </c>
      <c r="G1175" s="3">
        <v>4233</v>
      </c>
      <c r="H1175" s="3">
        <v>497</v>
      </c>
      <c r="I1175" s="4">
        <v>4017.98</v>
      </c>
      <c r="J1175" s="4">
        <v>39941.26</v>
      </c>
      <c r="K1175" s="3">
        <v>324</v>
      </c>
      <c r="L1175" s="2" t="s">
        <v>2523</v>
      </c>
      <c r="M1175" s="2" t="s">
        <v>2546</v>
      </c>
      <c r="N1175" t="str">
        <f>TRIM(PROPER(Tabla_auditoría[[#This Row],[ID_Campaña]]))</f>
        <v>Cmp-008</v>
      </c>
      <c r="O1175" t="str">
        <f>TRIM(PROPER(Tabla_auditoría[[#This Row],[Canal]]))</f>
        <v>Email</v>
      </c>
      <c r="P1175" t="str">
        <f>TRIM(PROPER(Tabla_auditoría[[#This Row],[País]]))</f>
        <v>Portugal</v>
      </c>
      <c r="Q1175" t="str">
        <f>TRIM(PROPER(Tabla_auditoría[[#This Row],[Dispositivo]]))</f>
        <v>Desktop</v>
      </c>
      <c r="R1175" t="str">
        <f>TRIM(PROPER(Tabla_auditoría[[#This Row],[Tipo_Campaña]]))</f>
        <v>Retención</v>
      </c>
      <c r="S1175" t="str">
        <f>TRIM(PROPER(Tabla_auditoría[[#This Row],[Responsable]]))</f>
        <v>Ana García</v>
      </c>
    </row>
    <row r="1176" spans="1:19" x14ac:dyDescent="0.3">
      <c r="A1176" s="1">
        <v>45899</v>
      </c>
      <c r="B1176" s="2" t="s">
        <v>2542</v>
      </c>
      <c r="C1176" s="2" t="s">
        <v>2541</v>
      </c>
      <c r="D1176" s="2" t="s">
        <v>2525</v>
      </c>
      <c r="E1176" s="2" t="s">
        <v>2517</v>
      </c>
      <c r="F1176" s="3">
        <v>118994</v>
      </c>
      <c r="G1176" s="3">
        <v>850</v>
      </c>
      <c r="H1176" s="3">
        <v>76</v>
      </c>
      <c r="I1176" s="4">
        <v>556.84</v>
      </c>
      <c r="J1176" s="4">
        <v>11715.58</v>
      </c>
      <c r="K1176" s="3">
        <v>56</v>
      </c>
      <c r="L1176" s="2" t="s">
        <v>2536</v>
      </c>
      <c r="M1176" s="2" t="s">
        <v>2524</v>
      </c>
      <c r="N1176" t="str">
        <f>TRIM(PROPER(Tabla_auditoría[[#This Row],[ID_Campaña]]))</f>
        <v>Cmp-025</v>
      </c>
      <c r="O1176" t="str">
        <f>TRIM(PROPER(Tabla_auditoría[[#This Row],[Canal]]))</f>
        <v>Display</v>
      </c>
      <c r="P1176" t="str">
        <f>TRIM(PROPER(Tabla_auditoría[[#This Row],[País]]))</f>
        <v>Francia</v>
      </c>
      <c r="Q1176" t="str">
        <f>TRIM(PROPER(Tabla_auditoría[[#This Row],[Dispositivo]]))</f>
        <v>Desktop</v>
      </c>
      <c r="R1176" t="str">
        <f>TRIM(PROPER(Tabla_auditoría[[#This Row],[Tipo_Campaña]]))</f>
        <v>Reconocimiento</v>
      </c>
      <c r="S1176" t="str">
        <f>TRIM(PROPER(Tabla_auditoría[[#This Row],[Responsable]]))</f>
        <v>Luis Martín</v>
      </c>
    </row>
    <row r="1177" spans="1:19" x14ac:dyDescent="0.3">
      <c r="A1177" s="1">
        <v>45856</v>
      </c>
      <c r="B1177" s="2" t="s">
        <v>2545</v>
      </c>
      <c r="C1177" s="2" t="s">
        <v>2515</v>
      </c>
      <c r="D1177" s="2" t="s">
        <v>2528</v>
      </c>
      <c r="E1177" s="2" t="s">
        <v>2529</v>
      </c>
      <c r="F1177" s="3">
        <v>80926</v>
      </c>
      <c r="G1177" s="3">
        <v>5003</v>
      </c>
      <c r="H1177" s="3">
        <v>106</v>
      </c>
      <c r="I1177" s="4">
        <v>9907.75</v>
      </c>
      <c r="J1177" s="4">
        <v>22196.35</v>
      </c>
      <c r="K1177" s="3">
        <v>82</v>
      </c>
      <c r="L1177" s="2" t="s">
        <v>2539</v>
      </c>
      <c r="M1177" s="2" t="s">
        <v>2526</v>
      </c>
      <c r="N1177" t="str">
        <f>TRIM(PROPER(Tabla_auditoría[[#This Row],[ID_Campaña]]))</f>
        <v>Cmp-011</v>
      </c>
      <c r="O1177" t="str">
        <f>TRIM(PROPER(Tabla_auditoría[[#This Row],[Canal]]))</f>
        <v>Email</v>
      </c>
      <c r="P1177" t="str">
        <f>TRIM(PROPER(Tabla_auditoría[[#This Row],[País]]))</f>
        <v>España</v>
      </c>
      <c r="Q1177" t="str">
        <f>TRIM(PROPER(Tabla_auditoría[[#This Row],[Dispositivo]]))</f>
        <v>Mobile</v>
      </c>
      <c r="R1177" t="str">
        <f>TRIM(PROPER(Tabla_auditoría[[#This Row],[Tipo_Campaña]]))</f>
        <v>Conversión</v>
      </c>
      <c r="S1177" t="str">
        <f>TRIM(PROPER(Tabla_auditoría[[#This Row],[Responsable]]))</f>
        <v>Laura Pérez</v>
      </c>
    </row>
    <row r="1178" spans="1:19" x14ac:dyDescent="0.3">
      <c r="A1178" s="1">
        <v>45888</v>
      </c>
      <c r="B1178" s="2" t="s">
        <v>2542</v>
      </c>
      <c r="C1178" s="2" t="s">
        <v>2541</v>
      </c>
      <c r="D1178" s="2" t="s">
        <v>2531</v>
      </c>
      <c r="E1178" s="2" t="s">
        <v>2517</v>
      </c>
      <c r="F1178" s="3">
        <v>132767</v>
      </c>
      <c r="G1178" s="3">
        <v>8237</v>
      </c>
      <c r="H1178" s="3">
        <v>660</v>
      </c>
      <c r="I1178" s="4">
        <v>6670.74</v>
      </c>
      <c r="J1178" s="4">
        <v>14103.52</v>
      </c>
      <c r="K1178" s="3">
        <v>532</v>
      </c>
      <c r="L1178" s="2" t="s">
        <v>2536</v>
      </c>
      <c r="M1178" s="2" t="s">
        <v>2526</v>
      </c>
      <c r="N1178" t="str">
        <f>TRIM(PROPER(Tabla_auditoría[[#This Row],[ID_Campaña]]))</f>
        <v>Cmp-025</v>
      </c>
      <c r="O1178" t="str">
        <f>TRIM(PROPER(Tabla_auditoría[[#This Row],[Canal]]))</f>
        <v>Display</v>
      </c>
      <c r="P1178" t="str">
        <f>TRIM(PROPER(Tabla_auditoría[[#This Row],[País]]))</f>
        <v>Portugal</v>
      </c>
      <c r="Q1178" t="str">
        <f>TRIM(PROPER(Tabla_auditoría[[#This Row],[Dispositivo]]))</f>
        <v>Desktop</v>
      </c>
      <c r="R1178" t="str">
        <f>TRIM(PROPER(Tabla_auditoría[[#This Row],[Tipo_Campaña]]))</f>
        <v>Reconocimiento</v>
      </c>
      <c r="S1178" t="str">
        <f>TRIM(PROPER(Tabla_auditoría[[#This Row],[Responsable]]))</f>
        <v>Laura Pérez</v>
      </c>
    </row>
    <row r="1179" spans="1:19" x14ac:dyDescent="0.3">
      <c r="A1179" s="1">
        <v>45901</v>
      </c>
      <c r="B1179" s="2" t="s">
        <v>2565</v>
      </c>
      <c r="C1179" s="2" t="s">
        <v>2527</v>
      </c>
      <c r="D1179" s="2" t="s">
        <v>2516</v>
      </c>
      <c r="E1179" s="2" t="s">
        <v>2529</v>
      </c>
      <c r="F1179" s="3">
        <v>18632</v>
      </c>
      <c r="G1179" s="3">
        <v>566</v>
      </c>
      <c r="H1179" s="3">
        <v>25</v>
      </c>
      <c r="I1179" s="4">
        <v>1037.67</v>
      </c>
      <c r="J1179" s="4">
        <v>5288.09</v>
      </c>
      <c r="K1179" s="3">
        <v>11</v>
      </c>
      <c r="L1179" s="2" t="s">
        <v>2536</v>
      </c>
      <c r="M1179" s="2" t="s">
        <v>2546</v>
      </c>
      <c r="N1179" t="str">
        <f>TRIM(PROPER(Tabla_auditoría[[#This Row],[ID_Campaña]]))</f>
        <v>Cmp-005</v>
      </c>
      <c r="O1179" t="str">
        <f>TRIM(PROPER(Tabla_auditoría[[#This Row],[Canal]]))</f>
        <v>Affiliate</v>
      </c>
      <c r="P1179" t="str">
        <f>TRIM(PROPER(Tabla_auditoría[[#This Row],[País]]))</f>
        <v>México</v>
      </c>
      <c r="Q1179" t="str">
        <f>TRIM(PROPER(Tabla_auditoría[[#This Row],[Dispositivo]]))</f>
        <v>Mobile</v>
      </c>
      <c r="R1179" t="str">
        <f>TRIM(PROPER(Tabla_auditoría[[#This Row],[Tipo_Campaña]]))</f>
        <v>Reconocimiento</v>
      </c>
      <c r="S1179" t="str">
        <f>TRIM(PROPER(Tabla_auditoría[[#This Row],[Responsable]]))</f>
        <v>Ana García</v>
      </c>
    </row>
    <row r="1180" spans="1:19" x14ac:dyDescent="0.3">
      <c r="A1180" s="1">
        <v>45705</v>
      </c>
      <c r="B1180" s="2" t="s">
        <v>2564</v>
      </c>
      <c r="C1180" s="2" t="s">
        <v>2521</v>
      </c>
      <c r="D1180" s="2" t="s">
        <v>2522</v>
      </c>
      <c r="E1180" s="2" t="s">
        <v>2529</v>
      </c>
      <c r="F1180" s="3">
        <v>103207</v>
      </c>
      <c r="G1180" s="3">
        <v>4973</v>
      </c>
      <c r="H1180" s="3">
        <v>435</v>
      </c>
      <c r="I1180" s="4">
        <v>8940.83</v>
      </c>
      <c r="J1180" s="4">
        <v>28887.26</v>
      </c>
      <c r="K1180" s="3">
        <v>290</v>
      </c>
      <c r="L1180" s="2" t="s">
        <v>2536</v>
      </c>
      <c r="M1180" s="2" t="s">
        <v>2526</v>
      </c>
      <c r="N1180" t="str">
        <f>TRIM(PROPER(Tabla_auditoría[[#This Row],[ID_Campaña]]))</f>
        <v>Cmp-024</v>
      </c>
      <c r="O1180" t="str">
        <f>TRIM(PROPER(Tabla_auditoría[[#This Row],[Canal]]))</f>
        <v>Paid Search</v>
      </c>
      <c r="P1180" t="str">
        <f>TRIM(PROPER(Tabla_auditoría[[#This Row],[País]]))</f>
        <v>Italia</v>
      </c>
      <c r="Q1180" t="str">
        <f>TRIM(PROPER(Tabla_auditoría[[#This Row],[Dispositivo]]))</f>
        <v>Mobile</v>
      </c>
      <c r="R1180" t="str">
        <f>TRIM(PROPER(Tabla_auditoría[[#This Row],[Tipo_Campaña]]))</f>
        <v>Reconocimiento</v>
      </c>
      <c r="S1180" t="str">
        <f>TRIM(PROPER(Tabla_auditoría[[#This Row],[Responsable]]))</f>
        <v>Laura Pérez</v>
      </c>
    </row>
    <row r="1181" spans="1:19" x14ac:dyDescent="0.3">
      <c r="A1181" s="1">
        <v>45924</v>
      </c>
      <c r="B1181" s="2" t="s">
        <v>2552</v>
      </c>
      <c r="C1181" s="2" t="s">
        <v>2533</v>
      </c>
      <c r="D1181" s="2" t="s">
        <v>2528</v>
      </c>
      <c r="E1181" s="2" t="s">
        <v>2517</v>
      </c>
      <c r="F1181" s="3">
        <v>104825</v>
      </c>
      <c r="G1181" s="3">
        <v>7224</v>
      </c>
      <c r="H1181" s="3">
        <v>390</v>
      </c>
      <c r="I1181" s="4">
        <v>11911.22</v>
      </c>
      <c r="J1181" s="4">
        <v>33359.67</v>
      </c>
      <c r="K1181" s="3">
        <v>332</v>
      </c>
      <c r="L1181" s="2" t="s">
        <v>2518</v>
      </c>
      <c r="M1181" s="2" t="s">
        <v>2519</v>
      </c>
      <c r="N1181" t="str">
        <f>TRIM(PROPER(Tabla_auditoría[[#This Row],[ID_Campaña]]))</f>
        <v>Cmp-012</v>
      </c>
      <c r="O1181" t="str">
        <f>TRIM(PROPER(Tabla_auditoría[[#This Row],[Canal]]))</f>
        <v>Paid Social</v>
      </c>
      <c r="P1181" t="str">
        <f>TRIM(PROPER(Tabla_auditoría[[#This Row],[País]]))</f>
        <v>España</v>
      </c>
      <c r="Q1181" t="str">
        <f>TRIM(PROPER(Tabla_auditoría[[#This Row],[Dispositivo]]))</f>
        <v>Desktop</v>
      </c>
      <c r="R1181" t="str">
        <f>TRIM(PROPER(Tabla_auditoría[[#This Row],[Tipo_Campaña]]))</f>
        <v>Adquisición</v>
      </c>
      <c r="S1181" t="str">
        <f>TRIM(PROPER(Tabla_auditoría[[#This Row],[Responsable]]))</f>
        <v>Carlos Ruiz</v>
      </c>
    </row>
    <row r="1182" spans="1:19" x14ac:dyDescent="0.3">
      <c r="A1182" s="1">
        <v>45712</v>
      </c>
      <c r="B1182" s="2" t="s">
        <v>2542</v>
      </c>
      <c r="C1182" s="2" t="s">
        <v>2521</v>
      </c>
      <c r="D1182" s="2" t="s">
        <v>2528</v>
      </c>
      <c r="E1182" s="2" t="s">
        <v>2517</v>
      </c>
      <c r="F1182" s="3">
        <v>86641</v>
      </c>
      <c r="G1182" s="3">
        <v>7611</v>
      </c>
      <c r="H1182" s="3">
        <v>497</v>
      </c>
      <c r="I1182" s="4">
        <v>2241.98</v>
      </c>
      <c r="J1182" s="4">
        <v>73378.429999999993</v>
      </c>
      <c r="K1182" s="3">
        <v>368</v>
      </c>
      <c r="L1182" s="2" t="s">
        <v>2539</v>
      </c>
      <c r="M1182" s="2" t="s">
        <v>2524</v>
      </c>
      <c r="N1182" t="str">
        <f>TRIM(PROPER(Tabla_auditoría[[#This Row],[ID_Campaña]]))</f>
        <v>Cmp-025</v>
      </c>
      <c r="O1182" t="str">
        <f>TRIM(PROPER(Tabla_auditoría[[#This Row],[Canal]]))</f>
        <v>Paid Search</v>
      </c>
      <c r="P1182" t="str">
        <f>TRIM(PROPER(Tabla_auditoría[[#This Row],[País]]))</f>
        <v>España</v>
      </c>
      <c r="Q1182" t="str">
        <f>TRIM(PROPER(Tabla_auditoría[[#This Row],[Dispositivo]]))</f>
        <v>Desktop</v>
      </c>
      <c r="R1182" t="str">
        <f>TRIM(PROPER(Tabla_auditoría[[#This Row],[Tipo_Campaña]]))</f>
        <v>Conversión</v>
      </c>
      <c r="S1182" t="str">
        <f>TRIM(PROPER(Tabla_auditoría[[#This Row],[Responsable]]))</f>
        <v>Luis Martín</v>
      </c>
    </row>
    <row r="1183" spans="1:19" x14ac:dyDescent="0.3">
      <c r="A1183" s="1">
        <v>45788</v>
      </c>
      <c r="B1183" s="2" t="s">
        <v>2557</v>
      </c>
      <c r="C1183" s="2" t="s">
        <v>2533</v>
      </c>
      <c r="D1183" s="2" t="s">
        <v>2587</v>
      </c>
      <c r="E1183" s="2" t="s">
        <v>2517</v>
      </c>
      <c r="F1183" s="3">
        <v>100000</v>
      </c>
      <c r="G1183" s="3">
        <v>4421</v>
      </c>
      <c r="H1183" s="3">
        <v>473</v>
      </c>
      <c r="I1183" s="4">
        <v>5556.08</v>
      </c>
      <c r="J1183" s="4">
        <v>26106.41</v>
      </c>
      <c r="K1183" s="3">
        <v>353</v>
      </c>
      <c r="L1183" s="2" t="s">
        <v>2536</v>
      </c>
      <c r="M1183" s="2" t="s">
        <v>2526</v>
      </c>
      <c r="N1183" t="str">
        <f>TRIM(PROPER(Tabla_auditoría[[#This Row],[ID_Campaña]]))</f>
        <v>Cmp-030</v>
      </c>
      <c r="O1183" t="str">
        <f>TRIM(PROPER(Tabla_auditoría[[#This Row],[Canal]]))</f>
        <v>Paid Social</v>
      </c>
      <c r="P1183" t="str">
        <f>TRIM(PROPER(Tabla_auditoría[[#This Row],[País]]))</f>
        <v>Italia</v>
      </c>
      <c r="Q1183" t="str">
        <f>TRIM(PROPER(Tabla_auditoría[[#This Row],[Dispositivo]]))</f>
        <v>Desktop</v>
      </c>
      <c r="R1183" t="str">
        <f>TRIM(PROPER(Tabla_auditoría[[#This Row],[Tipo_Campaña]]))</f>
        <v>Reconocimiento</v>
      </c>
      <c r="S1183" t="str">
        <f>TRIM(PROPER(Tabla_auditoría[[#This Row],[Responsable]]))</f>
        <v>Laura Pérez</v>
      </c>
    </row>
    <row r="1184" spans="1:19" x14ac:dyDescent="0.3">
      <c r="A1184" s="1">
        <v>45831</v>
      </c>
      <c r="B1184" s="2" t="s">
        <v>2542</v>
      </c>
      <c r="C1184" s="2" t="s">
        <v>2521</v>
      </c>
      <c r="D1184" s="2" t="s">
        <v>2528</v>
      </c>
      <c r="E1184" s="2" t="s">
        <v>2529</v>
      </c>
      <c r="F1184" s="3">
        <v>98320</v>
      </c>
      <c r="G1184" s="3">
        <v>3901</v>
      </c>
      <c r="H1184" s="3">
        <v>103</v>
      </c>
      <c r="I1184" s="4">
        <v>5049.18</v>
      </c>
      <c r="J1184" s="4">
        <v>3932.46</v>
      </c>
      <c r="K1184" s="3">
        <v>82</v>
      </c>
      <c r="L1184" s="2" t="s">
        <v>2518</v>
      </c>
      <c r="M1184" s="2" t="s">
        <v>2519</v>
      </c>
      <c r="N1184" t="str">
        <f>TRIM(PROPER(Tabla_auditoría[[#This Row],[ID_Campaña]]))</f>
        <v>Cmp-025</v>
      </c>
      <c r="O1184" t="str">
        <f>TRIM(PROPER(Tabla_auditoría[[#This Row],[Canal]]))</f>
        <v>Paid Search</v>
      </c>
      <c r="P1184" t="str">
        <f>TRIM(PROPER(Tabla_auditoría[[#This Row],[País]]))</f>
        <v>España</v>
      </c>
      <c r="Q1184" t="str">
        <f>TRIM(PROPER(Tabla_auditoría[[#This Row],[Dispositivo]]))</f>
        <v>Mobile</v>
      </c>
      <c r="R1184" t="str">
        <f>TRIM(PROPER(Tabla_auditoría[[#This Row],[Tipo_Campaña]]))</f>
        <v>Adquisición</v>
      </c>
      <c r="S1184" t="str">
        <f>TRIM(PROPER(Tabla_auditoría[[#This Row],[Responsable]]))</f>
        <v>Carlos Ruiz</v>
      </c>
    </row>
    <row r="1185" spans="1:19" x14ac:dyDescent="0.3">
      <c r="A1185" s="1">
        <v>45843</v>
      </c>
      <c r="B1185" s="2" t="s">
        <v>2566</v>
      </c>
      <c r="C1185" s="2" t="s">
        <v>2541</v>
      </c>
      <c r="E1185" s="2" t="s">
        <v>2529</v>
      </c>
      <c r="F1185" s="3">
        <v>29691</v>
      </c>
      <c r="G1185" s="3">
        <v>697</v>
      </c>
      <c r="H1185" s="3">
        <v>14</v>
      </c>
      <c r="I1185" s="4">
        <v>942.94</v>
      </c>
      <c r="J1185" s="4">
        <v>1909.56</v>
      </c>
      <c r="K1185" s="3">
        <v>7</v>
      </c>
      <c r="L1185" s="2" t="s">
        <v>2536</v>
      </c>
      <c r="M1185" s="2" t="s">
        <v>2526</v>
      </c>
      <c r="N1185" t="str">
        <f>TRIM(PROPER(Tabla_auditoría[[#This Row],[ID_Campaña]]))</f>
        <v>Cmp-001</v>
      </c>
      <c r="O1185" t="str">
        <f>TRIM(PROPER(Tabla_auditoría[[#This Row],[Canal]]))</f>
        <v>Display</v>
      </c>
      <c r="P1185" t="str">
        <f>TRIM(PROPER(Tabla_auditoría[[#This Row],[País]]))</f>
        <v/>
      </c>
      <c r="Q1185" t="str">
        <f>TRIM(PROPER(Tabla_auditoría[[#This Row],[Dispositivo]]))</f>
        <v>Mobile</v>
      </c>
      <c r="R1185" t="str">
        <f>TRIM(PROPER(Tabla_auditoría[[#This Row],[Tipo_Campaña]]))</f>
        <v>Reconocimiento</v>
      </c>
      <c r="S1185" t="str">
        <f>TRIM(PROPER(Tabla_auditoría[[#This Row],[Responsable]]))</f>
        <v>Laura Pérez</v>
      </c>
    </row>
    <row r="1186" spans="1:19" x14ac:dyDescent="0.3">
      <c r="A1186" s="1">
        <v>45710</v>
      </c>
      <c r="B1186" s="2" t="s">
        <v>2571</v>
      </c>
      <c r="C1186" s="2" t="s">
        <v>2527</v>
      </c>
      <c r="D1186" s="2" t="s">
        <v>2528</v>
      </c>
      <c r="E1186" s="2" t="s">
        <v>2517</v>
      </c>
      <c r="F1186" s="3">
        <v>137395</v>
      </c>
      <c r="G1186" s="3">
        <v>5256</v>
      </c>
      <c r="H1186" s="3">
        <v>55</v>
      </c>
      <c r="I1186" s="4">
        <v>5591.55</v>
      </c>
      <c r="J1186" s="4">
        <v>2820.81</v>
      </c>
      <c r="K1186" s="3">
        <v>36</v>
      </c>
      <c r="L1186" s="2" t="s">
        <v>2523</v>
      </c>
      <c r="M1186" s="2" t="s">
        <v>2526</v>
      </c>
      <c r="N1186" t="str">
        <f>TRIM(PROPER(Tabla_auditoría[[#This Row],[ID_Campaña]]))</f>
        <v>Cmp-029</v>
      </c>
      <c r="O1186" t="str">
        <f>TRIM(PROPER(Tabla_auditoría[[#This Row],[Canal]]))</f>
        <v>Affiliate</v>
      </c>
      <c r="P1186" t="str">
        <f>TRIM(PROPER(Tabla_auditoría[[#This Row],[País]]))</f>
        <v>España</v>
      </c>
      <c r="Q1186" t="str">
        <f>TRIM(PROPER(Tabla_auditoría[[#This Row],[Dispositivo]]))</f>
        <v>Desktop</v>
      </c>
      <c r="R1186" t="str">
        <f>TRIM(PROPER(Tabla_auditoría[[#This Row],[Tipo_Campaña]]))</f>
        <v>Retención</v>
      </c>
      <c r="S1186" t="str">
        <f>TRIM(PROPER(Tabla_auditoría[[#This Row],[Responsable]]))</f>
        <v>Laura Pérez</v>
      </c>
    </row>
    <row r="1187" spans="1:19" x14ac:dyDescent="0.3">
      <c r="A1187" s="1">
        <v>45955</v>
      </c>
      <c r="B1187" s="2" t="s">
        <v>2514</v>
      </c>
      <c r="C1187" s="2" t="s">
        <v>2533</v>
      </c>
      <c r="D1187" s="2" t="s">
        <v>2528</v>
      </c>
      <c r="E1187" s="2" t="s">
        <v>2534</v>
      </c>
      <c r="F1187" s="3">
        <v>93028</v>
      </c>
      <c r="G1187" s="3">
        <v>2974</v>
      </c>
      <c r="H1187" s="3">
        <v>272</v>
      </c>
      <c r="I1187" s="4">
        <v>3578.64</v>
      </c>
      <c r="J1187" s="4">
        <v>26107.439999999999</v>
      </c>
      <c r="K1187" s="3">
        <v>235</v>
      </c>
      <c r="L1187" s="2" t="s">
        <v>2518</v>
      </c>
      <c r="M1187" s="2" t="s">
        <v>2546</v>
      </c>
      <c r="N1187" t="str">
        <f>TRIM(PROPER(Tabla_auditoría[[#This Row],[ID_Campaña]]))</f>
        <v>Cmp-002</v>
      </c>
      <c r="O1187" t="str">
        <f>TRIM(PROPER(Tabla_auditoría[[#This Row],[Canal]]))</f>
        <v>Paid Social</v>
      </c>
      <c r="P1187" t="str">
        <f>TRIM(PROPER(Tabla_auditoría[[#This Row],[País]]))</f>
        <v>España</v>
      </c>
      <c r="Q1187" t="str">
        <f>TRIM(PROPER(Tabla_auditoría[[#This Row],[Dispositivo]]))</f>
        <v>Tablet</v>
      </c>
      <c r="R1187" t="str">
        <f>TRIM(PROPER(Tabla_auditoría[[#This Row],[Tipo_Campaña]]))</f>
        <v>Adquisición</v>
      </c>
      <c r="S1187" t="str">
        <f>TRIM(PROPER(Tabla_auditoría[[#This Row],[Responsable]]))</f>
        <v>Ana García</v>
      </c>
    </row>
    <row r="1188" spans="1:19" x14ac:dyDescent="0.3">
      <c r="A1188" s="1">
        <v>45828</v>
      </c>
      <c r="B1188" s="2" t="s">
        <v>2555</v>
      </c>
      <c r="C1188" s="2" t="s">
        <v>2541</v>
      </c>
      <c r="D1188" s="2" t="s">
        <v>2525</v>
      </c>
      <c r="E1188" s="2" t="s">
        <v>2529</v>
      </c>
      <c r="F1188" s="3">
        <v>88025</v>
      </c>
      <c r="G1188" s="3">
        <v>1193</v>
      </c>
      <c r="H1188" s="3">
        <v>142</v>
      </c>
      <c r="I1188" s="4">
        <v>1419.25</v>
      </c>
      <c r="J1188" s="4">
        <v>4393</v>
      </c>
      <c r="K1188" s="3">
        <v>113</v>
      </c>
      <c r="L1188" s="2" t="s">
        <v>2518</v>
      </c>
      <c r="M1188" s="2" t="s">
        <v>2519</v>
      </c>
      <c r="N1188" t="str">
        <f>TRIM(PROPER(Tabla_auditoría[[#This Row],[ID_Campaña]]))</f>
        <v>Cmp-010</v>
      </c>
      <c r="O1188" t="str">
        <f>TRIM(PROPER(Tabla_auditoría[[#This Row],[Canal]]))</f>
        <v>Display</v>
      </c>
      <c r="P1188" t="str">
        <f>TRIM(PROPER(Tabla_auditoría[[#This Row],[País]]))</f>
        <v>Francia</v>
      </c>
      <c r="Q1188" t="str">
        <f>TRIM(PROPER(Tabla_auditoría[[#This Row],[Dispositivo]]))</f>
        <v>Mobile</v>
      </c>
      <c r="R1188" t="str">
        <f>TRIM(PROPER(Tabla_auditoría[[#This Row],[Tipo_Campaña]]))</f>
        <v>Adquisición</v>
      </c>
      <c r="S1188" t="str">
        <f>TRIM(PROPER(Tabla_auditoría[[#This Row],[Responsable]]))</f>
        <v>Carlos Ruiz</v>
      </c>
    </row>
    <row r="1189" spans="1:19" x14ac:dyDescent="0.3">
      <c r="A1189" s="1">
        <v>45694</v>
      </c>
      <c r="B1189" s="2" t="s">
        <v>2544</v>
      </c>
      <c r="C1189" s="2" t="s">
        <v>2541</v>
      </c>
      <c r="D1189" s="2" t="s">
        <v>2528</v>
      </c>
      <c r="E1189" s="2" t="s">
        <v>2529</v>
      </c>
      <c r="F1189" s="3">
        <v>3993</v>
      </c>
      <c r="G1189" s="3">
        <v>40</v>
      </c>
      <c r="H1189" s="3">
        <v>1</v>
      </c>
      <c r="I1189" s="4">
        <v>33.9</v>
      </c>
      <c r="J1189" s="4">
        <v>71.09</v>
      </c>
      <c r="K1189" s="3">
        <v>0</v>
      </c>
      <c r="L1189" s="2" t="s">
        <v>2523</v>
      </c>
      <c r="M1189" s="2" t="s">
        <v>2526</v>
      </c>
      <c r="N1189" t="str">
        <f>TRIM(PROPER(Tabla_auditoría[[#This Row],[ID_Campaña]]))</f>
        <v>Cmp-006</v>
      </c>
      <c r="O1189" t="str">
        <f>TRIM(PROPER(Tabla_auditoría[[#This Row],[Canal]]))</f>
        <v>Display</v>
      </c>
      <c r="P1189" t="str">
        <f>TRIM(PROPER(Tabla_auditoría[[#This Row],[País]]))</f>
        <v>España</v>
      </c>
      <c r="Q1189" t="str">
        <f>TRIM(PROPER(Tabla_auditoría[[#This Row],[Dispositivo]]))</f>
        <v>Mobile</v>
      </c>
      <c r="R1189" t="str">
        <f>TRIM(PROPER(Tabla_auditoría[[#This Row],[Tipo_Campaña]]))</f>
        <v>Retención</v>
      </c>
      <c r="S1189" t="str">
        <f>TRIM(PROPER(Tabla_auditoría[[#This Row],[Responsable]]))</f>
        <v>Laura Pérez</v>
      </c>
    </row>
    <row r="1190" spans="1:19" x14ac:dyDescent="0.3">
      <c r="A1190" s="1">
        <v>45739</v>
      </c>
      <c r="B1190" s="2" t="s">
        <v>2550</v>
      </c>
      <c r="C1190" s="2" t="s">
        <v>2533</v>
      </c>
      <c r="D1190" s="2" t="s">
        <v>2516</v>
      </c>
      <c r="E1190" s="2" t="s">
        <v>2529</v>
      </c>
      <c r="F1190" s="3">
        <v>53435</v>
      </c>
      <c r="G1190" s="3">
        <v>2306</v>
      </c>
      <c r="H1190" s="3">
        <v>95</v>
      </c>
      <c r="I1190" s="4">
        <v>1511.2</v>
      </c>
      <c r="J1190" s="4">
        <v>3878.02</v>
      </c>
      <c r="K1190" s="3">
        <v>57</v>
      </c>
      <c r="L1190" s="2" t="s">
        <v>2536</v>
      </c>
      <c r="M1190" s="2" t="s">
        <v>2524</v>
      </c>
      <c r="N1190" t="str">
        <f>TRIM(PROPER(Tabla_auditoría[[#This Row],[ID_Campaña]]))</f>
        <v>Cmp-008</v>
      </c>
      <c r="O1190" t="str">
        <f>TRIM(PROPER(Tabla_auditoría[[#This Row],[Canal]]))</f>
        <v>Paid Social</v>
      </c>
      <c r="P1190" t="str">
        <f>TRIM(PROPER(Tabla_auditoría[[#This Row],[País]]))</f>
        <v>México</v>
      </c>
      <c r="Q1190" t="str">
        <f>TRIM(PROPER(Tabla_auditoría[[#This Row],[Dispositivo]]))</f>
        <v>Mobile</v>
      </c>
      <c r="R1190" t="str">
        <f>TRIM(PROPER(Tabla_auditoría[[#This Row],[Tipo_Campaña]]))</f>
        <v>Reconocimiento</v>
      </c>
      <c r="S1190" t="str">
        <f>TRIM(PROPER(Tabla_auditoría[[#This Row],[Responsable]]))</f>
        <v>Luis Martín</v>
      </c>
    </row>
    <row r="1191" spans="1:19" x14ac:dyDescent="0.3">
      <c r="A1191" s="1">
        <v>45767</v>
      </c>
      <c r="B1191" s="2" t="s">
        <v>2560</v>
      </c>
      <c r="C1191" s="2" t="s">
        <v>2521</v>
      </c>
      <c r="D1191" s="2" t="s">
        <v>2528</v>
      </c>
      <c r="E1191" s="2" t="s">
        <v>2517</v>
      </c>
      <c r="F1191" s="3">
        <v>103681</v>
      </c>
      <c r="G1191" s="3">
        <v>6792</v>
      </c>
      <c r="H1191" s="3">
        <v>593</v>
      </c>
      <c r="I1191" s="4">
        <v>8818.6200000000008</v>
      </c>
      <c r="J1191" s="4">
        <v>117559.63</v>
      </c>
      <c r="K1191" s="3">
        <v>335</v>
      </c>
      <c r="L1191" s="2" t="s">
        <v>2523</v>
      </c>
      <c r="M1191" s="2" t="s">
        <v>2524</v>
      </c>
      <c r="N1191" t="str">
        <f>TRIM(PROPER(Tabla_auditoría[[#This Row],[ID_Campaña]]))</f>
        <v>Cmp-027</v>
      </c>
      <c r="O1191" t="str">
        <f>TRIM(PROPER(Tabla_auditoría[[#This Row],[Canal]]))</f>
        <v>Paid Search</v>
      </c>
      <c r="P1191" t="str">
        <f>TRIM(PROPER(Tabla_auditoría[[#This Row],[País]]))</f>
        <v>España</v>
      </c>
      <c r="Q1191" t="str">
        <f>TRIM(PROPER(Tabla_auditoría[[#This Row],[Dispositivo]]))</f>
        <v>Desktop</v>
      </c>
      <c r="R1191" t="str">
        <f>TRIM(PROPER(Tabla_auditoría[[#This Row],[Tipo_Campaña]]))</f>
        <v>Retención</v>
      </c>
      <c r="S1191" t="str">
        <f>TRIM(PROPER(Tabla_auditoría[[#This Row],[Responsable]]))</f>
        <v>Luis Martín</v>
      </c>
    </row>
    <row r="1192" spans="1:19" x14ac:dyDescent="0.3">
      <c r="A1192" s="1">
        <v>46009</v>
      </c>
      <c r="B1192" s="2" t="s">
        <v>2535</v>
      </c>
      <c r="C1192" s="2" t="s">
        <v>2527</v>
      </c>
      <c r="D1192" s="2" t="s">
        <v>2528</v>
      </c>
      <c r="E1192" s="2" t="s">
        <v>2529</v>
      </c>
      <c r="F1192" s="3">
        <v>137133</v>
      </c>
      <c r="G1192" s="3">
        <v>4780</v>
      </c>
      <c r="H1192" s="3">
        <v>584</v>
      </c>
      <c r="I1192" s="4">
        <v>1174.95</v>
      </c>
      <c r="J1192" s="4">
        <v>14588.16</v>
      </c>
      <c r="K1192" s="3">
        <v>391</v>
      </c>
      <c r="L1192" s="2" t="s">
        <v>2523</v>
      </c>
      <c r="M1192" s="2" t="s">
        <v>2519</v>
      </c>
      <c r="N1192" t="str">
        <f>TRIM(PROPER(Tabla_auditoría[[#This Row],[ID_Campaña]]))</f>
        <v>Cmp-015</v>
      </c>
      <c r="O1192" t="str">
        <f>TRIM(PROPER(Tabla_auditoría[[#This Row],[Canal]]))</f>
        <v>Affiliate</v>
      </c>
      <c r="P1192" t="str">
        <f>TRIM(PROPER(Tabla_auditoría[[#This Row],[País]]))</f>
        <v>España</v>
      </c>
      <c r="Q1192" t="str">
        <f>TRIM(PROPER(Tabla_auditoría[[#This Row],[Dispositivo]]))</f>
        <v>Mobile</v>
      </c>
      <c r="R1192" t="str">
        <f>TRIM(PROPER(Tabla_auditoría[[#This Row],[Tipo_Campaña]]))</f>
        <v>Retención</v>
      </c>
      <c r="S1192" t="str">
        <f>TRIM(PROPER(Tabla_auditoría[[#This Row],[Responsable]]))</f>
        <v>Carlos Ruiz</v>
      </c>
    </row>
    <row r="1193" spans="1:19" x14ac:dyDescent="0.3">
      <c r="A1193" s="1">
        <v>45942</v>
      </c>
      <c r="B1193" s="2" t="s">
        <v>2530</v>
      </c>
      <c r="C1193" s="2" t="s">
        <v>2515</v>
      </c>
      <c r="D1193" s="2" t="s">
        <v>2531</v>
      </c>
      <c r="E1193" s="2" t="s">
        <v>2517</v>
      </c>
      <c r="F1193" s="3">
        <v>44533</v>
      </c>
      <c r="G1193" s="3">
        <v>787</v>
      </c>
      <c r="H1193" s="3">
        <v>92</v>
      </c>
      <c r="I1193" s="4">
        <v>1422.3</v>
      </c>
      <c r="J1193" s="4">
        <v>3210.39</v>
      </c>
      <c r="K1193" s="3">
        <v>72</v>
      </c>
      <c r="L1193" s="2" t="s">
        <v>2536</v>
      </c>
      <c r="M1193" s="2" t="s">
        <v>2526</v>
      </c>
      <c r="N1193" t="str">
        <f>TRIM(PROPER(Tabla_auditoría[[#This Row],[ID_Campaña]]))</f>
        <v>Cmp-026</v>
      </c>
      <c r="O1193" t="str">
        <f>TRIM(PROPER(Tabla_auditoría[[#This Row],[Canal]]))</f>
        <v>Email</v>
      </c>
      <c r="P1193" t="str">
        <f>TRIM(PROPER(Tabla_auditoría[[#This Row],[País]]))</f>
        <v>Portugal</v>
      </c>
      <c r="Q1193" t="str">
        <f>TRIM(PROPER(Tabla_auditoría[[#This Row],[Dispositivo]]))</f>
        <v>Desktop</v>
      </c>
      <c r="R1193" t="str">
        <f>TRIM(PROPER(Tabla_auditoría[[#This Row],[Tipo_Campaña]]))</f>
        <v>Reconocimiento</v>
      </c>
      <c r="S1193" t="str">
        <f>TRIM(PROPER(Tabla_auditoría[[#This Row],[Responsable]]))</f>
        <v>Laura Pérez</v>
      </c>
    </row>
    <row r="1194" spans="1:19" x14ac:dyDescent="0.3">
      <c r="A1194" s="1">
        <v>45979</v>
      </c>
      <c r="B1194" s="2" t="s">
        <v>2545</v>
      </c>
      <c r="C1194" s="2" t="s">
        <v>2515</v>
      </c>
      <c r="D1194" s="2" t="s">
        <v>2528</v>
      </c>
      <c r="E1194" s="2" t="s">
        <v>2517</v>
      </c>
      <c r="F1194" s="3">
        <v>65245</v>
      </c>
      <c r="G1194" s="3">
        <v>5501</v>
      </c>
      <c r="H1194" s="3">
        <v>626</v>
      </c>
      <c r="I1194" s="4">
        <v>11056.8</v>
      </c>
      <c r="J1194" s="4">
        <v>68534.559999999998</v>
      </c>
      <c r="K1194" s="3">
        <v>342</v>
      </c>
      <c r="L1194" s="2" t="s">
        <v>2518</v>
      </c>
      <c r="M1194" s="2" t="s">
        <v>2524</v>
      </c>
      <c r="N1194" t="str">
        <f>TRIM(PROPER(Tabla_auditoría[[#This Row],[ID_Campaña]]))</f>
        <v>Cmp-011</v>
      </c>
      <c r="O1194" t="str">
        <f>TRIM(PROPER(Tabla_auditoría[[#This Row],[Canal]]))</f>
        <v>Email</v>
      </c>
      <c r="P1194" t="str">
        <f>TRIM(PROPER(Tabla_auditoría[[#This Row],[País]]))</f>
        <v>España</v>
      </c>
      <c r="Q1194" t="str">
        <f>TRIM(PROPER(Tabla_auditoría[[#This Row],[Dispositivo]]))</f>
        <v>Desktop</v>
      </c>
      <c r="R1194" t="str">
        <f>TRIM(PROPER(Tabla_auditoría[[#This Row],[Tipo_Campaña]]))</f>
        <v>Adquisición</v>
      </c>
      <c r="S1194" t="str">
        <f>TRIM(PROPER(Tabla_auditoría[[#This Row],[Responsable]]))</f>
        <v>Luis Martín</v>
      </c>
    </row>
    <row r="1195" spans="1:19" x14ac:dyDescent="0.3">
      <c r="A1195" s="1">
        <v>45738</v>
      </c>
      <c r="B1195" s="2" t="s">
        <v>2547</v>
      </c>
      <c r="C1195" s="2" t="s">
        <v>2527</v>
      </c>
      <c r="D1195" s="2" t="s">
        <v>2516</v>
      </c>
      <c r="E1195" s="2" t="s">
        <v>2517</v>
      </c>
      <c r="F1195" s="3">
        <v>150020</v>
      </c>
      <c r="G1195" s="3">
        <v>1137</v>
      </c>
      <c r="H1195" s="3">
        <v>122</v>
      </c>
      <c r="I1195" s="4">
        <v>1424.16</v>
      </c>
      <c r="J1195" s="4">
        <v>7450.9</v>
      </c>
      <c r="K1195" s="3">
        <v>100</v>
      </c>
      <c r="L1195" s="2" t="s">
        <v>2539</v>
      </c>
      <c r="M1195" s="2" t="s">
        <v>2524</v>
      </c>
      <c r="N1195" t="str">
        <f>TRIM(PROPER(Tabla_auditoría[[#This Row],[ID_Campaña]]))</f>
        <v>Cmp-018</v>
      </c>
      <c r="O1195" t="str">
        <f>TRIM(PROPER(Tabla_auditoría[[#This Row],[Canal]]))</f>
        <v>Affiliate</v>
      </c>
      <c r="P1195" t="str">
        <f>TRIM(PROPER(Tabla_auditoría[[#This Row],[País]]))</f>
        <v>México</v>
      </c>
      <c r="Q1195" t="str">
        <f>TRIM(PROPER(Tabla_auditoría[[#This Row],[Dispositivo]]))</f>
        <v>Desktop</v>
      </c>
      <c r="R1195" t="str">
        <f>TRIM(PROPER(Tabla_auditoría[[#This Row],[Tipo_Campaña]]))</f>
        <v>Conversión</v>
      </c>
      <c r="S1195" t="str">
        <f>TRIM(PROPER(Tabla_auditoría[[#This Row],[Responsable]]))</f>
        <v>Luis Martín</v>
      </c>
    </row>
    <row r="1196" spans="1:19" x14ac:dyDescent="0.3">
      <c r="A1196" s="1">
        <v>45980</v>
      </c>
      <c r="B1196" s="2" t="s">
        <v>2563</v>
      </c>
      <c r="C1196" s="2" t="s">
        <v>2521</v>
      </c>
      <c r="D1196" s="2" t="s">
        <v>2531</v>
      </c>
      <c r="E1196" s="2" t="s">
        <v>2517</v>
      </c>
      <c r="F1196" s="3">
        <v>56282</v>
      </c>
      <c r="G1196" s="3">
        <v>4190</v>
      </c>
      <c r="H1196" s="3">
        <v>552</v>
      </c>
      <c r="I1196" s="4">
        <v>5681.97</v>
      </c>
      <c r="J1196" s="4">
        <v>25182.82</v>
      </c>
      <c r="K1196" s="3">
        <v>347</v>
      </c>
      <c r="L1196" s="2" t="s">
        <v>2518</v>
      </c>
      <c r="M1196" s="2" t="s">
        <v>2519</v>
      </c>
      <c r="N1196" t="str">
        <f>TRIM(PROPER(Tabla_auditoría[[#This Row],[ID_Campaña]]))</f>
        <v>Cmp-023</v>
      </c>
      <c r="O1196" t="str">
        <f>TRIM(PROPER(Tabla_auditoría[[#This Row],[Canal]]))</f>
        <v>Paid Search</v>
      </c>
      <c r="P1196" t="str">
        <f>TRIM(PROPER(Tabla_auditoría[[#This Row],[País]]))</f>
        <v>Portugal</v>
      </c>
      <c r="Q1196" t="str">
        <f>TRIM(PROPER(Tabla_auditoría[[#This Row],[Dispositivo]]))</f>
        <v>Desktop</v>
      </c>
      <c r="R1196" t="str">
        <f>TRIM(PROPER(Tabla_auditoría[[#This Row],[Tipo_Campaña]]))</f>
        <v>Adquisición</v>
      </c>
      <c r="S1196" t="str">
        <f>TRIM(PROPER(Tabla_auditoría[[#This Row],[Responsable]]))</f>
        <v>Carlos Ruiz</v>
      </c>
    </row>
    <row r="1197" spans="1:19" x14ac:dyDescent="0.3">
      <c r="A1197" s="1">
        <v>45971</v>
      </c>
      <c r="B1197" s="2" t="s">
        <v>2571</v>
      </c>
      <c r="C1197" s="2" t="s">
        <v>2543</v>
      </c>
      <c r="D1197" s="2" t="s">
        <v>2525</v>
      </c>
      <c r="E1197" s="2" t="s">
        <v>2529</v>
      </c>
      <c r="F1197" s="3">
        <v>16226</v>
      </c>
      <c r="G1197" s="3">
        <v>383</v>
      </c>
      <c r="H1197" s="3">
        <v>41</v>
      </c>
      <c r="I1197" s="4">
        <v>464.21</v>
      </c>
      <c r="J1197" s="4">
        <v>2722.42</v>
      </c>
      <c r="K1197" s="3">
        <v>29</v>
      </c>
      <c r="L1197" s="2" t="s">
        <v>2518</v>
      </c>
      <c r="M1197" s="2" t="s">
        <v>2546</v>
      </c>
      <c r="N1197" t="str">
        <f>TRIM(PROPER(Tabla_auditoría[[#This Row],[ID_Campaña]]))</f>
        <v>Cmp-029</v>
      </c>
      <c r="O1197" t="str">
        <f>TRIM(PROPER(Tabla_auditoría[[#This Row],[Canal]]))</f>
        <v>Organic Social</v>
      </c>
      <c r="P1197" t="str">
        <f>TRIM(PROPER(Tabla_auditoría[[#This Row],[País]]))</f>
        <v>Francia</v>
      </c>
      <c r="Q1197" t="str">
        <f>TRIM(PROPER(Tabla_auditoría[[#This Row],[Dispositivo]]))</f>
        <v>Mobile</v>
      </c>
      <c r="R1197" t="str">
        <f>TRIM(PROPER(Tabla_auditoría[[#This Row],[Tipo_Campaña]]))</f>
        <v>Adquisición</v>
      </c>
      <c r="S1197" t="str">
        <f>TRIM(PROPER(Tabla_auditoría[[#This Row],[Responsable]]))</f>
        <v>Ana García</v>
      </c>
    </row>
    <row r="1198" spans="1:19" x14ac:dyDescent="0.3">
      <c r="A1198" s="1">
        <v>46005</v>
      </c>
      <c r="B1198" s="2" t="s">
        <v>2530</v>
      </c>
      <c r="C1198" s="2" t="s">
        <v>2541</v>
      </c>
      <c r="D1198" s="2" t="s">
        <v>2528</v>
      </c>
      <c r="E1198" s="2" t="s">
        <v>2517</v>
      </c>
      <c r="F1198" s="3">
        <v>144983</v>
      </c>
      <c r="G1198" s="3">
        <v>7917</v>
      </c>
      <c r="H1198" s="3">
        <v>1062</v>
      </c>
      <c r="I1198" s="4">
        <v>12398.31</v>
      </c>
      <c r="J1198" s="4">
        <v>203986.06</v>
      </c>
      <c r="K1198" s="3">
        <v>713</v>
      </c>
      <c r="L1198" s="2" t="s">
        <v>2523</v>
      </c>
      <c r="M1198" s="2" t="s">
        <v>2537</v>
      </c>
      <c r="N1198" t="str">
        <f>TRIM(PROPER(Tabla_auditoría[[#This Row],[ID_Campaña]]))</f>
        <v>Cmp-026</v>
      </c>
      <c r="O1198" t="str">
        <f>TRIM(PROPER(Tabla_auditoría[[#This Row],[Canal]]))</f>
        <v>Display</v>
      </c>
      <c r="P1198" t="str">
        <f>TRIM(PROPER(Tabla_auditoría[[#This Row],[País]]))</f>
        <v>España</v>
      </c>
      <c r="Q1198" t="str">
        <f>TRIM(PROPER(Tabla_auditoría[[#This Row],[Dispositivo]]))</f>
        <v>Desktop</v>
      </c>
      <c r="R1198" t="str">
        <f>TRIM(PROPER(Tabla_auditoría[[#This Row],[Tipo_Campaña]]))</f>
        <v>Retención</v>
      </c>
      <c r="S1198" t="str">
        <f>TRIM(PROPER(Tabla_auditoría[[#This Row],[Responsable]]))</f>
        <v>Marta López</v>
      </c>
    </row>
    <row r="1199" spans="1:19" x14ac:dyDescent="0.3">
      <c r="A1199" s="1">
        <v>45771</v>
      </c>
      <c r="B1199" s="2" t="s">
        <v>2538</v>
      </c>
      <c r="C1199" s="2" t="s">
        <v>2515</v>
      </c>
      <c r="E1199" s="2" t="s">
        <v>2517</v>
      </c>
      <c r="F1199" s="3">
        <v>29813</v>
      </c>
      <c r="G1199" s="3">
        <v>2481</v>
      </c>
      <c r="H1199" s="3">
        <v>152</v>
      </c>
      <c r="I1199" s="4">
        <v>4984.74</v>
      </c>
      <c r="J1199" s="4">
        <v>28894.43</v>
      </c>
      <c r="K1199" s="3">
        <v>69</v>
      </c>
      <c r="L1199" s="2" t="s">
        <v>2518</v>
      </c>
      <c r="M1199" s="2" t="s">
        <v>2524</v>
      </c>
      <c r="N1199" t="str">
        <f>TRIM(PROPER(Tabla_auditoría[[#This Row],[ID_Campaña]]))</f>
        <v>Cmp-004</v>
      </c>
      <c r="O1199" t="str">
        <f>TRIM(PROPER(Tabla_auditoría[[#This Row],[Canal]]))</f>
        <v>Email</v>
      </c>
      <c r="P1199" t="str">
        <f>TRIM(PROPER(Tabla_auditoría[[#This Row],[País]]))</f>
        <v/>
      </c>
      <c r="Q1199" t="str">
        <f>TRIM(PROPER(Tabla_auditoría[[#This Row],[Dispositivo]]))</f>
        <v>Desktop</v>
      </c>
      <c r="R1199" t="str">
        <f>TRIM(PROPER(Tabla_auditoría[[#This Row],[Tipo_Campaña]]))</f>
        <v>Adquisición</v>
      </c>
      <c r="S1199" t="str">
        <f>TRIM(PROPER(Tabla_auditoría[[#This Row],[Responsable]]))</f>
        <v>Luis Martín</v>
      </c>
    </row>
    <row r="1200" spans="1:19" x14ac:dyDescent="0.3">
      <c r="A1200" s="1">
        <v>45774</v>
      </c>
      <c r="B1200" s="2" t="s">
        <v>2545</v>
      </c>
      <c r="C1200" s="2" t="s">
        <v>2527</v>
      </c>
      <c r="D1200" s="2" t="s">
        <v>2528</v>
      </c>
      <c r="E1200" s="2" t="s">
        <v>2534</v>
      </c>
      <c r="F1200" s="3">
        <v>12716</v>
      </c>
      <c r="G1200" s="3">
        <v>880</v>
      </c>
      <c r="H1200" s="3">
        <v>75</v>
      </c>
      <c r="I1200" s="4">
        <v>484.18</v>
      </c>
      <c r="J1200" s="4">
        <v>1656.77</v>
      </c>
      <c r="K1200" s="3">
        <v>39</v>
      </c>
      <c r="L1200" s="2" t="s">
        <v>2539</v>
      </c>
      <c r="M1200" s="2" t="s">
        <v>2537</v>
      </c>
      <c r="N1200" t="str">
        <f>TRIM(PROPER(Tabla_auditoría[[#This Row],[ID_Campaña]]))</f>
        <v>Cmp-011</v>
      </c>
      <c r="O1200" t="str">
        <f>TRIM(PROPER(Tabla_auditoría[[#This Row],[Canal]]))</f>
        <v>Affiliate</v>
      </c>
      <c r="P1200" t="str">
        <f>TRIM(PROPER(Tabla_auditoría[[#This Row],[País]]))</f>
        <v>España</v>
      </c>
      <c r="Q1200" t="str">
        <f>TRIM(PROPER(Tabla_auditoría[[#This Row],[Dispositivo]]))</f>
        <v>Tablet</v>
      </c>
      <c r="R1200" t="str">
        <f>TRIM(PROPER(Tabla_auditoría[[#This Row],[Tipo_Campaña]]))</f>
        <v>Conversión</v>
      </c>
      <c r="S1200" t="str">
        <f>TRIM(PROPER(Tabla_auditoría[[#This Row],[Responsable]]))</f>
        <v>Marta López</v>
      </c>
    </row>
    <row r="1201" spans="1:19" x14ac:dyDescent="0.3">
      <c r="A1201" s="1">
        <v>45769</v>
      </c>
      <c r="B1201" s="2" t="s">
        <v>2520</v>
      </c>
      <c r="C1201" s="2" t="s">
        <v>2527</v>
      </c>
      <c r="D1201" s="2" t="s">
        <v>2522</v>
      </c>
      <c r="E1201" s="2" t="s">
        <v>2534</v>
      </c>
      <c r="F1201" s="3">
        <v>48244</v>
      </c>
      <c r="G1201" s="3">
        <v>359</v>
      </c>
      <c r="H1201" s="3">
        <v>35</v>
      </c>
      <c r="I1201" s="4">
        <v>84.21</v>
      </c>
      <c r="J1201" s="4">
        <v>3302.56</v>
      </c>
      <c r="K1201" s="3">
        <v>27</v>
      </c>
      <c r="L1201" s="2" t="s">
        <v>2539</v>
      </c>
      <c r="M1201" s="2" t="s">
        <v>2524</v>
      </c>
      <c r="N1201" t="str">
        <f>TRIM(PROPER(Tabla_auditoría[[#This Row],[ID_Campaña]]))</f>
        <v>Cmp-009</v>
      </c>
      <c r="O1201" t="str">
        <f>TRIM(PROPER(Tabla_auditoría[[#This Row],[Canal]]))</f>
        <v>Affiliate</v>
      </c>
      <c r="P1201" t="str">
        <f>TRIM(PROPER(Tabla_auditoría[[#This Row],[País]]))</f>
        <v>Italia</v>
      </c>
      <c r="Q1201" t="str">
        <f>TRIM(PROPER(Tabla_auditoría[[#This Row],[Dispositivo]]))</f>
        <v>Tablet</v>
      </c>
      <c r="R1201" t="str">
        <f>TRIM(PROPER(Tabla_auditoría[[#This Row],[Tipo_Campaña]]))</f>
        <v>Conversión</v>
      </c>
      <c r="S1201" t="str">
        <f>TRIM(PROPER(Tabla_auditoría[[#This Row],[Responsable]]))</f>
        <v>Luis Martín</v>
      </c>
    </row>
    <row r="1202" spans="1:19" x14ac:dyDescent="0.3">
      <c r="A1202" s="1">
        <v>45902</v>
      </c>
      <c r="B1202" s="2" t="s">
        <v>2554</v>
      </c>
      <c r="C1202" s="2" t="s">
        <v>2521</v>
      </c>
      <c r="D1202" s="2" t="s">
        <v>2528</v>
      </c>
      <c r="E1202" s="2" t="s">
        <v>2529</v>
      </c>
      <c r="F1202" s="3">
        <v>138924</v>
      </c>
      <c r="G1202" s="3">
        <v>3284</v>
      </c>
      <c r="H1202" s="3">
        <v>318</v>
      </c>
      <c r="I1202" s="4">
        <v>1529.57</v>
      </c>
      <c r="J1202" s="4">
        <v>62508.99</v>
      </c>
      <c r="K1202" s="3">
        <v>247</v>
      </c>
      <c r="L1202" s="2" t="s">
        <v>2523</v>
      </c>
      <c r="M1202" s="2" t="s">
        <v>2537</v>
      </c>
      <c r="N1202" t="str">
        <f>TRIM(PROPER(Tabla_auditoría[[#This Row],[ID_Campaña]]))</f>
        <v>Cmp-019</v>
      </c>
      <c r="O1202" t="str">
        <f>TRIM(PROPER(Tabla_auditoría[[#This Row],[Canal]]))</f>
        <v>Paid Search</v>
      </c>
      <c r="P1202" t="str">
        <f>TRIM(PROPER(Tabla_auditoría[[#This Row],[País]]))</f>
        <v>España</v>
      </c>
      <c r="Q1202" t="str">
        <f>TRIM(PROPER(Tabla_auditoría[[#This Row],[Dispositivo]]))</f>
        <v>Mobile</v>
      </c>
      <c r="R1202" t="str">
        <f>TRIM(PROPER(Tabla_auditoría[[#This Row],[Tipo_Campaña]]))</f>
        <v>Retención</v>
      </c>
      <c r="S1202" t="str">
        <f>TRIM(PROPER(Tabla_auditoría[[#This Row],[Responsable]]))</f>
        <v>Marta López</v>
      </c>
    </row>
    <row r="1203" spans="1:19" x14ac:dyDescent="0.3">
      <c r="A1203" s="1">
        <v>45703</v>
      </c>
      <c r="B1203" s="2" t="s">
        <v>2535</v>
      </c>
      <c r="C1203" s="2" t="s">
        <v>2515</v>
      </c>
      <c r="D1203" s="2" t="s">
        <v>2516</v>
      </c>
      <c r="E1203" s="2" t="s">
        <v>2517</v>
      </c>
      <c r="F1203" s="3">
        <v>50105</v>
      </c>
      <c r="G1203" s="3">
        <v>1587</v>
      </c>
      <c r="H1203" s="3">
        <v>18</v>
      </c>
      <c r="I1203" s="4">
        <v>1904.24</v>
      </c>
      <c r="J1203" s="4">
        <v>359.68</v>
      </c>
      <c r="K1203" s="3">
        <v>10</v>
      </c>
      <c r="L1203" s="2" t="s">
        <v>2536</v>
      </c>
      <c r="M1203" s="2" t="s">
        <v>2524</v>
      </c>
      <c r="N1203" t="str">
        <f>TRIM(PROPER(Tabla_auditoría[[#This Row],[ID_Campaña]]))</f>
        <v>Cmp-015</v>
      </c>
      <c r="O1203" t="str">
        <f>TRIM(PROPER(Tabla_auditoría[[#This Row],[Canal]]))</f>
        <v>Email</v>
      </c>
      <c r="P1203" t="str">
        <f>TRIM(PROPER(Tabla_auditoría[[#This Row],[País]]))</f>
        <v>México</v>
      </c>
      <c r="Q1203" t="str">
        <f>TRIM(PROPER(Tabla_auditoría[[#This Row],[Dispositivo]]))</f>
        <v>Desktop</v>
      </c>
      <c r="R1203" t="str">
        <f>TRIM(PROPER(Tabla_auditoría[[#This Row],[Tipo_Campaña]]))</f>
        <v>Reconocimiento</v>
      </c>
      <c r="S1203" t="str">
        <f>TRIM(PROPER(Tabla_auditoría[[#This Row],[Responsable]]))</f>
        <v>Luis Martín</v>
      </c>
    </row>
    <row r="1204" spans="1:19" x14ac:dyDescent="0.3">
      <c r="A1204" s="1">
        <v>45825</v>
      </c>
      <c r="B1204" s="2" t="s">
        <v>2560</v>
      </c>
      <c r="C1204" s="2" t="s">
        <v>2543</v>
      </c>
      <c r="D1204" s="2" t="s">
        <v>2516</v>
      </c>
      <c r="E1204" s="2" t="s">
        <v>2517</v>
      </c>
      <c r="F1204" s="3">
        <v>130793</v>
      </c>
      <c r="G1204" s="3">
        <v>2611</v>
      </c>
      <c r="H1204" s="3">
        <v>192</v>
      </c>
      <c r="I1204" s="4">
        <v>1907.04</v>
      </c>
      <c r="J1204" s="4">
        <v>27356.32</v>
      </c>
      <c r="K1204" s="3">
        <v>116</v>
      </c>
      <c r="L1204" s="2" t="s">
        <v>2523</v>
      </c>
      <c r="M1204" s="2" t="s">
        <v>2524</v>
      </c>
      <c r="N1204" t="str">
        <f>TRIM(PROPER(Tabla_auditoría[[#This Row],[ID_Campaña]]))</f>
        <v>Cmp-027</v>
      </c>
      <c r="O1204" t="str">
        <f>TRIM(PROPER(Tabla_auditoría[[#This Row],[Canal]]))</f>
        <v>Organic Social</v>
      </c>
      <c r="P1204" t="str">
        <f>TRIM(PROPER(Tabla_auditoría[[#This Row],[País]]))</f>
        <v>México</v>
      </c>
      <c r="Q1204" t="str">
        <f>TRIM(PROPER(Tabla_auditoría[[#This Row],[Dispositivo]]))</f>
        <v>Desktop</v>
      </c>
      <c r="R1204" t="str">
        <f>TRIM(PROPER(Tabla_auditoría[[#This Row],[Tipo_Campaña]]))</f>
        <v>Retención</v>
      </c>
      <c r="S1204" t="str">
        <f>TRIM(PROPER(Tabla_auditoría[[#This Row],[Responsable]]))</f>
        <v>Luis Martín</v>
      </c>
    </row>
    <row r="1205" spans="1:19" x14ac:dyDescent="0.3">
      <c r="A1205" s="1">
        <v>45758</v>
      </c>
      <c r="B1205" s="2" t="s">
        <v>2571</v>
      </c>
      <c r="C1205" s="2" t="s">
        <v>2527</v>
      </c>
      <c r="D1205" s="2" t="s">
        <v>2528</v>
      </c>
      <c r="E1205" s="2" t="s">
        <v>2529</v>
      </c>
      <c r="F1205" s="3">
        <v>116439</v>
      </c>
      <c r="G1205" s="3">
        <v>2377</v>
      </c>
      <c r="H1205" s="3">
        <v>247</v>
      </c>
      <c r="I1205" s="4">
        <v>3456.41</v>
      </c>
      <c r="J1205" s="4">
        <v>29509.75</v>
      </c>
      <c r="K1205" s="3">
        <v>173</v>
      </c>
      <c r="L1205" s="2" t="s">
        <v>2523</v>
      </c>
      <c r="M1205" s="2" t="s">
        <v>2546</v>
      </c>
      <c r="N1205" t="str">
        <f>TRIM(PROPER(Tabla_auditoría[[#This Row],[ID_Campaña]]))</f>
        <v>Cmp-029</v>
      </c>
      <c r="O1205" t="str">
        <f>TRIM(PROPER(Tabla_auditoría[[#This Row],[Canal]]))</f>
        <v>Affiliate</v>
      </c>
      <c r="P1205" t="str">
        <f>TRIM(PROPER(Tabla_auditoría[[#This Row],[País]]))</f>
        <v>España</v>
      </c>
      <c r="Q1205" t="str">
        <f>TRIM(PROPER(Tabla_auditoría[[#This Row],[Dispositivo]]))</f>
        <v>Mobile</v>
      </c>
      <c r="R1205" t="str">
        <f>TRIM(PROPER(Tabla_auditoría[[#This Row],[Tipo_Campaña]]))</f>
        <v>Retención</v>
      </c>
      <c r="S1205" t="str">
        <f>TRIM(PROPER(Tabla_auditoría[[#This Row],[Responsable]]))</f>
        <v>Ana García</v>
      </c>
    </row>
    <row r="1206" spans="1:19" x14ac:dyDescent="0.3">
      <c r="A1206" s="1">
        <v>45935</v>
      </c>
      <c r="B1206" s="2" t="s">
        <v>2563</v>
      </c>
      <c r="C1206" s="2" t="s">
        <v>2521</v>
      </c>
      <c r="D1206" s="2" t="s">
        <v>2528</v>
      </c>
      <c r="E1206" s="2" t="s">
        <v>2529</v>
      </c>
      <c r="F1206" s="3">
        <v>60737</v>
      </c>
      <c r="G1206" s="3">
        <v>3294</v>
      </c>
      <c r="H1206" s="3">
        <v>284</v>
      </c>
      <c r="I1206" s="4">
        <v>3087.95</v>
      </c>
      <c r="J1206" s="4">
        <v>21257.72</v>
      </c>
      <c r="K1206" s="3">
        <v>195</v>
      </c>
      <c r="L1206" s="2" t="s">
        <v>2518</v>
      </c>
      <c r="M1206" s="2" t="s">
        <v>2537</v>
      </c>
      <c r="N1206" t="str">
        <f>TRIM(PROPER(Tabla_auditoría[[#This Row],[ID_Campaña]]))</f>
        <v>Cmp-023</v>
      </c>
      <c r="O1206" t="str">
        <f>TRIM(PROPER(Tabla_auditoría[[#This Row],[Canal]]))</f>
        <v>Paid Search</v>
      </c>
      <c r="P1206" t="str">
        <f>TRIM(PROPER(Tabla_auditoría[[#This Row],[País]]))</f>
        <v>España</v>
      </c>
      <c r="Q1206" t="str">
        <f>TRIM(PROPER(Tabla_auditoría[[#This Row],[Dispositivo]]))</f>
        <v>Mobile</v>
      </c>
      <c r="R1206" t="str">
        <f>TRIM(PROPER(Tabla_auditoría[[#This Row],[Tipo_Campaña]]))</f>
        <v>Adquisición</v>
      </c>
      <c r="S1206" t="str">
        <f>TRIM(PROPER(Tabla_auditoría[[#This Row],[Responsable]]))</f>
        <v>Marta López</v>
      </c>
    </row>
    <row r="1207" spans="1:19" x14ac:dyDescent="0.3">
      <c r="A1207" s="1">
        <v>45944</v>
      </c>
      <c r="B1207" s="2" t="s">
        <v>2555</v>
      </c>
      <c r="C1207" s="2" t="s">
        <v>2527</v>
      </c>
      <c r="D1207" s="2" t="s">
        <v>2522</v>
      </c>
      <c r="E1207" s="2" t="s">
        <v>2517</v>
      </c>
      <c r="F1207" s="3">
        <v>43828</v>
      </c>
      <c r="G1207" s="3">
        <v>499</v>
      </c>
      <c r="H1207" s="3">
        <v>51</v>
      </c>
      <c r="I1207" s="4">
        <v>737.74</v>
      </c>
      <c r="J1207" s="4">
        <v>7852.37</v>
      </c>
      <c r="K1207" s="3">
        <v>41</v>
      </c>
      <c r="L1207" s="2" t="s">
        <v>2536</v>
      </c>
      <c r="M1207" s="2" t="s">
        <v>2524</v>
      </c>
      <c r="N1207" t="str">
        <f>TRIM(PROPER(Tabla_auditoría[[#This Row],[ID_Campaña]]))</f>
        <v>Cmp-010</v>
      </c>
      <c r="O1207" t="str">
        <f>TRIM(PROPER(Tabla_auditoría[[#This Row],[Canal]]))</f>
        <v>Affiliate</v>
      </c>
      <c r="P1207" t="str">
        <f>TRIM(PROPER(Tabla_auditoría[[#This Row],[País]]))</f>
        <v>Italia</v>
      </c>
      <c r="Q1207" t="str">
        <f>TRIM(PROPER(Tabla_auditoría[[#This Row],[Dispositivo]]))</f>
        <v>Desktop</v>
      </c>
      <c r="R1207" t="str">
        <f>TRIM(PROPER(Tabla_auditoría[[#This Row],[Tipo_Campaña]]))</f>
        <v>Reconocimiento</v>
      </c>
      <c r="S1207" t="str">
        <f>TRIM(PROPER(Tabla_auditoría[[#This Row],[Responsable]]))</f>
        <v>Luis Martín</v>
      </c>
    </row>
    <row r="1208" spans="1:19" x14ac:dyDescent="0.3">
      <c r="A1208" s="1">
        <v>45754</v>
      </c>
      <c r="B1208" s="2" t="s">
        <v>2532</v>
      </c>
      <c r="C1208" s="2" t="s">
        <v>2533</v>
      </c>
      <c r="D1208" s="2" t="s">
        <v>2528</v>
      </c>
      <c r="E1208" s="2" t="s">
        <v>2517</v>
      </c>
      <c r="F1208" s="3">
        <v>3144</v>
      </c>
      <c r="G1208" s="3">
        <v>77</v>
      </c>
      <c r="H1208" s="3">
        <v>0</v>
      </c>
      <c r="I1208" s="4">
        <v>135.29</v>
      </c>
      <c r="J1208" s="4">
        <v>0</v>
      </c>
      <c r="K1208" s="3">
        <v>0</v>
      </c>
      <c r="L1208" s="2" t="s">
        <v>2518</v>
      </c>
      <c r="M1208" s="2" t="s">
        <v>2537</v>
      </c>
      <c r="N1208" t="str">
        <f>TRIM(PROPER(Tabla_auditoría[[#This Row],[ID_Campaña]]))</f>
        <v>Cmp-022</v>
      </c>
      <c r="O1208" t="str">
        <f>TRIM(PROPER(Tabla_auditoría[[#This Row],[Canal]]))</f>
        <v>Paid Social</v>
      </c>
      <c r="P1208" t="str">
        <f>TRIM(PROPER(Tabla_auditoría[[#This Row],[País]]))</f>
        <v>España</v>
      </c>
      <c r="Q1208" t="str">
        <f>TRIM(PROPER(Tabla_auditoría[[#This Row],[Dispositivo]]))</f>
        <v>Desktop</v>
      </c>
      <c r="R1208" t="str">
        <f>TRIM(PROPER(Tabla_auditoría[[#This Row],[Tipo_Campaña]]))</f>
        <v>Adquisición</v>
      </c>
      <c r="S1208" t="str">
        <f>TRIM(PROPER(Tabla_auditoría[[#This Row],[Responsable]]))</f>
        <v>Marta López</v>
      </c>
    </row>
    <row r="1209" spans="1:19" x14ac:dyDescent="0.3">
      <c r="A1209" s="1">
        <v>45937</v>
      </c>
      <c r="B1209" s="2" t="s">
        <v>2540</v>
      </c>
      <c r="C1209" s="2" t="s">
        <v>2521</v>
      </c>
      <c r="D1209" s="2" t="s">
        <v>2528</v>
      </c>
      <c r="E1209" s="2" t="s">
        <v>2529</v>
      </c>
      <c r="F1209" s="3">
        <v>109721</v>
      </c>
      <c r="G1209" s="3">
        <v>3385</v>
      </c>
      <c r="H1209" s="3">
        <v>233</v>
      </c>
      <c r="I1209" s="4">
        <v>2316.64</v>
      </c>
      <c r="J1209" s="4">
        <v>38486.129999999997</v>
      </c>
      <c r="K1209" s="3">
        <v>151</v>
      </c>
      <c r="L1209" s="2" t="s">
        <v>2518</v>
      </c>
      <c r="M1209" s="2" t="s">
        <v>2526</v>
      </c>
      <c r="N1209" t="str">
        <f>TRIM(PROPER(Tabla_auditoría[[#This Row],[ID_Campaña]]))</f>
        <v>Cmp-017</v>
      </c>
      <c r="O1209" t="str">
        <f>TRIM(PROPER(Tabla_auditoría[[#This Row],[Canal]]))</f>
        <v>Paid Search</v>
      </c>
      <c r="P1209" t="str">
        <f>TRIM(PROPER(Tabla_auditoría[[#This Row],[País]]))</f>
        <v>España</v>
      </c>
      <c r="Q1209" t="str">
        <f>TRIM(PROPER(Tabla_auditoría[[#This Row],[Dispositivo]]))</f>
        <v>Mobile</v>
      </c>
      <c r="R1209" t="str">
        <f>TRIM(PROPER(Tabla_auditoría[[#This Row],[Tipo_Campaña]]))</f>
        <v>Adquisición</v>
      </c>
      <c r="S1209" t="str">
        <f>TRIM(PROPER(Tabla_auditoría[[#This Row],[Responsable]]))</f>
        <v>Laura Pérez</v>
      </c>
    </row>
    <row r="1210" spans="1:19" x14ac:dyDescent="0.3">
      <c r="A1210" s="1">
        <v>46005</v>
      </c>
      <c r="B1210" s="2" t="s">
        <v>2540</v>
      </c>
      <c r="C1210" s="2" t="s">
        <v>2533</v>
      </c>
      <c r="D1210" s="2" t="s">
        <v>2516</v>
      </c>
      <c r="E1210" s="2" t="s">
        <v>2517</v>
      </c>
      <c r="F1210" s="3">
        <v>89894</v>
      </c>
      <c r="G1210" s="3">
        <v>6632</v>
      </c>
      <c r="H1210" s="3">
        <v>765</v>
      </c>
      <c r="I1210" s="4">
        <v>1540.4</v>
      </c>
      <c r="J1210" s="4">
        <v>68429.86</v>
      </c>
      <c r="K1210" s="3">
        <v>379</v>
      </c>
      <c r="L1210" s="2" t="s">
        <v>2536</v>
      </c>
      <c r="M1210" s="2" t="s">
        <v>2537</v>
      </c>
      <c r="N1210" t="str">
        <f>TRIM(PROPER(Tabla_auditoría[[#This Row],[ID_Campaña]]))</f>
        <v>Cmp-017</v>
      </c>
      <c r="O1210" t="str">
        <f>TRIM(PROPER(Tabla_auditoría[[#This Row],[Canal]]))</f>
        <v>Paid Social</v>
      </c>
      <c r="P1210" t="str">
        <f>TRIM(PROPER(Tabla_auditoría[[#This Row],[País]]))</f>
        <v>México</v>
      </c>
      <c r="Q1210" t="str">
        <f>TRIM(PROPER(Tabla_auditoría[[#This Row],[Dispositivo]]))</f>
        <v>Desktop</v>
      </c>
      <c r="R1210" t="str">
        <f>TRIM(PROPER(Tabla_auditoría[[#This Row],[Tipo_Campaña]]))</f>
        <v>Reconocimiento</v>
      </c>
      <c r="S1210" t="str">
        <f>TRIM(PROPER(Tabla_auditoría[[#This Row],[Responsable]]))</f>
        <v>Marta López</v>
      </c>
    </row>
    <row r="1211" spans="1:19" x14ac:dyDescent="0.3">
      <c r="A1211" s="1">
        <v>45988</v>
      </c>
      <c r="B1211" s="2" t="s">
        <v>2530</v>
      </c>
      <c r="C1211" s="2" t="s">
        <v>2533</v>
      </c>
      <c r="D1211" s="2" t="s">
        <v>2516</v>
      </c>
      <c r="E1211" s="2" t="s">
        <v>2517</v>
      </c>
      <c r="F1211" s="3">
        <v>48189</v>
      </c>
      <c r="G1211" s="3">
        <v>1634</v>
      </c>
      <c r="H1211" s="3">
        <v>79</v>
      </c>
      <c r="I1211" s="4">
        <v>1261.92</v>
      </c>
      <c r="J1211" s="4">
        <v>4345.9399999999996</v>
      </c>
      <c r="K1211" s="3">
        <v>61</v>
      </c>
      <c r="L1211" s="2" t="s">
        <v>2536</v>
      </c>
      <c r="M1211" s="2" t="s">
        <v>2519</v>
      </c>
      <c r="N1211" t="str">
        <f>TRIM(PROPER(Tabla_auditoría[[#This Row],[ID_Campaña]]))</f>
        <v>Cmp-026</v>
      </c>
      <c r="O1211" t="str">
        <f>TRIM(PROPER(Tabla_auditoría[[#This Row],[Canal]]))</f>
        <v>Paid Social</v>
      </c>
      <c r="P1211" t="str">
        <f>TRIM(PROPER(Tabla_auditoría[[#This Row],[País]]))</f>
        <v>México</v>
      </c>
      <c r="Q1211" t="str">
        <f>TRIM(PROPER(Tabla_auditoría[[#This Row],[Dispositivo]]))</f>
        <v>Desktop</v>
      </c>
      <c r="R1211" t="str">
        <f>TRIM(PROPER(Tabla_auditoría[[#This Row],[Tipo_Campaña]]))</f>
        <v>Reconocimiento</v>
      </c>
      <c r="S1211" t="str">
        <f>TRIM(PROPER(Tabla_auditoría[[#This Row],[Responsable]]))</f>
        <v>Carlos Ruiz</v>
      </c>
    </row>
    <row r="1212" spans="1:19" x14ac:dyDescent="0.3">
      <c r="A1212" s="1">
        <v>45871</v>
      </c>
      <c r="B1212" s="2" t="s">
        <v>2552</v>
      </c>
      <c r="C1212" s="2" t="s">
        <v>2527</v>
      </c>
      <c r="D1212" s="2" t="s">
        <v>2528</v>
      </c>
      <c r="E1212" s="2" t="s">
        <v>2517</v>
      </c>
      <c r="F1212" s="3">
        <v>51244</v>
      </c>
      <c r="G1212" s="3">
        <v>1628</v>
      </c>
      <c r="H1212" s="3">
        <v>64</v>
      </c>
      <c r="I1212" s="4">
        <v>1545.42</v>
      </c>
      <c r="J1212" s="4">
        <v>11725.95</v>
      </c>
      <c r="K1212" s="3">
        <v>43</v>
      </c>
      <c r="L1212" s="2" t="s">
        <v>2518</v>
      </c>
      <c r="M1212" s="2" t="s">
        <v>2524</v>
      </c>
      <c r="N1212" t="str">
        <f>TRIM(PROPER(Tabla_auditoría[[#This Row],[ID_Campaña]]))</f>
        <v>Cmp-012</v>
      </c>
      <c r="O1212" t="str">
        <f>TRIM(PROPER(Tabla_auditoría[[#This Row],[Canal]]))</f>
        <v>Affiliate</v>
      </c>
      <c r="P1212" t="str">
        <f>TRIM(PROPER(Tabla_auditoría[[#This Row],[País]]))</f>
        <v>España</v>
      </c>
      <c r="Q1212" t="str">
        <f>TRIM(PROPER(Tabla_auditoría[[#This Row],[Dispositivo]]))</f>
        <v>Desktop</v>
      </c>
      <c r="R1212" t="str">
        <f>TRIM(PROPER(Tabla_auditoría[[#This Row],[Tipo_Campaña]]))</f>
        <v>Adquisición</v>
      </c>
      <c r="S1212" t="str">
        <f>TRIM(PROPER(Tabla_auditoría[[#This Row],[Responsable]]))</f>
        <v>Luis Martín</v>
      </c>
    </row>
    <row r="1213" spans="1:19" x14ac:dyDescent="0.3">
      <c r="A1213" s="1">
        <v>45913</v>
      </c>
      <c r="B1213" s="2" t="s">
        <v>2542</v>
      </c>
      <c r="C1213" s="2" t="s">
        <v>2527</v>
      </c>
      <c r="D1213" s="2" t="s">
        <v>2516</v>
      </c>
      <c r="E1213" s="2" t="s">
        <v>2529</v>
      </c>
      <c r="F1213" s="3">
        <v>152330</v>
      </c>
      <c r="G1213" s="3">
        <v>7552</v>
      </c>
      <c r="H1213" s="3">
        <v>839</v>
      </c>
      <c r="I1213" s="4">
        <v>7868.29</v>
      </c>
      <c r="J1213" s="4">
        <v>131502.68</v>
      </c>
      <c r="K1213" s="3">
        <v>705</v>
      </c>
      <c r="L1213" s="2" t="s">
        <v>2539</v>
      </c>
      <c r="M1213" s="2" t="s">
        <v>2526</v>
      </c>
      <c r="N1213" t="str">
        <f>TRIM(PROPER(Tabla_auditoría[[#This Row],[ID_Campaña]]))</f>
        <v>Cmp-025</v>
      </c>
      <c r="O1213" t="str">
        <f>TRIM(PROPER(Tabla_auditoría[[#This Row],[Canal]]))</f>
        <v>Affiliate</v>
      </c>
      <c r="P1213" t="str">
        <f>TRIM(PROPER(Tabla_auditoría[[#This Row],[País]]))</f>
        <v>México</v>
      </c>
      <c r="Q1213" t="str">
        <f>TRIM(PROPER(Tabla_auditoría[[#This Row],[Dispositivo]]))</f>
        <v>Mobile</v>
      </c>
      <c r="R1213" t="str">
        <f>TRIM(PROPER(Tabla_auditoría[[#This Row],[Tipo_Campaña]]))</f>
        <v>Conversión</v>
      </c>
      <c r="S1213" t="str">
        <f>TRIM(PROPER(Tabla_auditoría[[#This Row],[Responsable]]))</f>
        <v>Laura Pérez</v>
      </c>
    </row>
    <row r="1214" spans="1:19" x14ac:dyDescent="0.3">
      <c r="A1214" s="1">
        <v>45717</v>
      </c>
      <c r="B1214" s="2" t="s">
        <v>2530</v>
      </c>
      <c r="C1214" s="2" t="s">
        <v>2533</v>
      </c>
      <c r="D1214" s="2" t="s">
        <v>2528</v>
      </c>
      <c r="E1214" s="2" t="s">
        <v>2529</v>
      </c>
      <c r="F1214" s="3">
        <v>58805</v>
      </c>
      <c r="G1214" s="3">
        <v>1384</v>
      </c>
      <c r="H1214" s="3">
        <v>171</v>
      </c>
      <c r="I1214" s="4">
        <v>1210.6199999999999</v>
      </c>
      <c r="J1214" s="4">
        <v>8101.63</v>
      </c>
      <c r="K1214" s="3">
        <v>131</v>
      </c>
      <c r="L1214" s="2" t="s">
        <v>2523</v>
      </c>
      <c r="M1214" s="2" t="s">
        <v>2537</v>
      </c>
      <c r="N1214" t="str">
        <f>TRIM(PROPER(Tabla_auditoría[[#This Row],[ID_Campaña]]))</f>
        <v>Cmp-026</v>
      </c>
      <c r="O1214" t="str">
        <f>TRIM(PROPER(Tabla_auditoría[[#This Row],[Canal]]))</f>
        <v>Paid Social</v>
      </c>
      <c r="P1214" t="str">
        <f>TRIM(PROPER(Tabla_auditoría[[#This Row],[País]]))</f>
        <v>España</v>
      </c>
      <c r="Q1214" t="str">
        <f>TRIM(PROPER(Tabla_auditoría[[#This Row],[Dispositivo]]))</f>
        <v>Mobile</v>
      </c>
      <c r="R1214" t="str">
        <f>TRIM(PROPER(Tabla_auditoría[[#This Row],[Tipo_Campaña]]))</f>
        <v>Retención</v>
      </c>
      <c r="S1214" t="str">
        <f>TRIM(PROPER(Tabla_auditoría[[#This Row],[Responsable]]))</f>
        <v>Marta López</v>
      </c>
    </row>
    <row r="1215" spans="1:19" x14ac:dyDescent="0.3">
      <c r="A1215" s="1">
        <v>45758</v>
      </c>
      <c r="B1215" s="2" t="s">
        <v>2568</v>
      </c>
      <c r="C1215" s="2" t="s">
        <v>2558</v>
      </c>
      <c r="D1215" s="2" t="s">
        <v>2528</v>
      </c>
      <c r="E1215" s="2" t="s">
        <v>2529</v>
      </c>
      <c r="F1215" s="3">
        <v>165179</v>
      </c>
      <c r="G1215" s="3">
        <v>9890</v>
      </c>
      <c r="H1215" s="3">
        <v>682</v>
      </c>
      <c r="I1215" s="4">
        <v>16078.17</v>
      </c>
      <c r="J1215" s="4">
        <v>107528.63</v>
      </c>
      <c r="K1215" s="3">
        <v>565</v>
      </c>
      <c r="L1215" s="2" t="s">
        <v>2518</v>
      </c>
      <c r="M1215" s="2" t="s">
        <v>2546</v>
      </c>
      <c r="N1215" t="str">
        <f>TRIM(PROPER(Tabla_auditoría[[#This Row],[ID_Campaña]]))</f>
        <v>Cmp-020</v>
      </c>
      <c r="O1215" t="str">
        <f>TRIM(PROPER(Tabla_auditoría[[#This Row],[Canal]]))</f>
        <v>Paid Social</v>
      </c>
      <c r="P1215" t="str">
        <f>TRIM(PROPER(Tabla_auditoría[[#This Row],[País]]))</f>
        <v>España</v>
      </c>
      <c r="Q1215" t="str">
        <f>TRIM(PROPER(Tabla_auditoría[[#This Row],[Dispositivo]]))</f>
        <v>Mobile</v>
      </c>
      <c r="R1215" t="str">
        <f>TRIM(PROPER(Tabla_auditoría[[#This Row],[Tipo_Campaña]]))</f>
        <v>Adquisición</v>
      </c>
      <c r="S1215" t="str">
        <f>TRIM(PROPER(Tabla_auditoría[[#This Row],[Responsable]]))</f>
        <v>Ana García</v>
      </c>
    </row>
    <row r="1216" spans="1:19" x14ac:dyDescent="0.3">
      <c r="A1216" s="1">
        <v>46016</v>
      </c>
      <c r="B1216" s="2" t="s">
        <v>2571</v>
      </c>
      <c r="C1216" s="2" t="s">
        <v>2527</v>
      </c>
      <c r="D1216" s="2" t="s">
        <v>2528</v>
      </c>
      <c r="E1216" s="2" t="s">
        <v>2517</v>
      </c>
      <c r="F1216" s="3">
        <v>70351</v>
      </c>
      <c r="G1216" s="3">
        <v>2858</v>
      </c>
      <c r="H1216" s="3">
        <v>51</v>
      </c>
      <c r="I1216" s="4">
        <v>1127.9000000000001</v>
      </c>
      <c r="J1216" s="4">
        <v>3070.75</v>
      </c>
      <c r="K1216" s="3">
        <v>36</v>
      </c>
      <c r="L1216" s="2" t="s">
        <v>2536</v>
      </c>
      <c r="M1216" s="2" t="s">
        <v>2519</v>
      </c>
      <c r="N1216" t="str">
        <f>TRIM(PROPER(Tabla_auditoría[[#This Row],[ID_Campaña]]))</f>
        <v>Cmp-029</v>
      </c>
      <c r="O1216" t="str">
        <f>TRIM(PROPER(Tabla_auditoría[[#This Row],[Canal]]))</f>
        <v>Affiliate</v>
      </c>
      <c r="P1216" t="str">
        <f>TRIM(PROPER(Tabla_auditoría[[#This Row],[País]]))</f>
        <v>España</v>
      </c>
      <c r="Q1216" t="str">
        <f>TRIM(PROPER(Tabla_auditoría[[#This Row],[Dispositivo]]))</f>
        <v>Desktop</v>
      </c>
      <c r="R1216" t="str">
        <f>TRIM(PROPER(Tabla_auditoría[[#This Row],[Tipo_Campaña]]))</f>
        <v>Reconocimiento</v>
      </c>
      <c r="S1216" t="str">
        <f>TRIM(PROPER(Tabla_auditoría[[#This Row],[Responsable]]))</f>
        <v>Carlos Ruiz</v>
      </c>
    </row>
    <row r="1217" spans="1:19" x14ac:dyDescent="0.3">
      <c r="A1217" s="1">
        <v>45709</v>
      </c>
      <c r="B1217" s="2" t="s">
        <v>2557</v>
      </c>
      <c r="C1217" s="2" t="s">
        <v>2521</v>
      </c>
      <c r="D1217" s="2" t="s">
        <v>2528</v>
      </c>
      <c r="E1217" s="2" t="s">
        <v>2529</v>
      </c>
      <c r="F1217" s="3">
        <v>109061</v>
      </c>
      <c r="G1217" s="3">
        <v>9496</v>
      </c>
      <c r="H1217" s="3">
        <v>188</v>
      </c>
      <c r="I1217" s="4">
        <v>5056.24</v>
      </c>
      <c r="J1217" s="4">
        <v>3275.14</v>
      </c>
      <c r="K1217" s="3">
        <v>125</v>
      </c>
      <c r="L1217" s="2" t="s">
        <v>2523</v>
      </c>
      <c r="M1217" s="2" t="s">
        <v>2519</v>
      </c>
      <c r="N1217" t="str">
        <f>TRIM(PROPER(Tabla_auditoría[[#This Row],[ID_Campaña]]))</f>
        <v>Cmp-030</v>
      </c>
      <c r="O1217" t="str">
        <f>TRIM(PROPER(Tabla_auditoría[[#This Row],[Canal]]))</f>
        <v>Paid Search</v>
      </c>
      <c r="P1217" t="str">
        <f>TRIM(PROPER(Tabla_auditoría[[#This Row],[País]]))</f>
        <v>España</v>
      </c>
      <c r="Q1217" t="str">
        <f>TRIM(PROPER(Tabla_auditoría[[#This Row],[Dispositivo]]))</f>
        <v>Mobile</v>
      </c>
      <c r="R1217" t="str">
        <f>TRIM(PROPER(Tabla_auditoría[[#This Row],[Tipo_Campaña]]))</f>
        <v>Retención</v>
      </c>
      <c r="S1217" t="str">
        <f>TRIM(PROPER(Tabla_auditoría[[#This Row],[Responsable]]))</f>
        <v>Carlos Ruiz</v>
      </c>
    </row>
    <row r="1218" spans="1:19" x14ac:dyDescent="0.3">
      <c r="A1218" s="1">
        <v>45764</v>
      </c>
      <c r="B1218" s="2" t="s">
        <v>2554</v>
      </c>
      <c r="C1218" s="2" t="s">
        <v>2521</v>
      </c>
      <c r="D1218" s="2" t="s">
        <v>2516</v>
      </c>
      <c r="E1218" s="2" t="s">
        <v>2517</v>
      </c>
      <c r="F1218" s="3">
        <v>101902</v>
      </c>
      <c r="G1218" s="3">
        <v>5410</v>
      </c>
      <c r="H1218" s="3">
        <v>153</v>
      </c>
      <c r="I1218" s="4">
        <v>4598.78</v>
      </c>
      <c r="J1218" s="4">
        <v>16603.8</v>
      </c>
      <c r="K1218" s="3">
        <v>112</v>
      </c>
      <c r="L1218" s="2" t="s">
        <v>2539</v>
      </c>
      <c r="M1218" s="2" t="s">
        <v>2546</v>
      </c>
      <c r="N1218" t="str">
        <f>TRIM(PROPER(Tabla_auditoría[[#This Row],[ID_Campaña]]))</f>
        <v>Cmp-019</v>
      </c>
      <c r="O1218" t="str">
        <f>TRIM(PROPER(Tabla_auditoría[[#This Row],[Canal]]))</f>
        <v>Paid Search</v>
      </c>
      <c r="P1218" t="str">
        <f>TRIM(PROPER(Tabla_auditoría[[#This Row],[País]]))</f>
        <v>México</v>
      </c>
      <c r="Q1218" t="str">
        <f>TRIM(PROPER(Tabla_auditoría[[#This Row],[Dispositivo]]))</f>
        <v>Desktop</v>
      </c>
      <c r="R1218" t="str">
        <f>TRIM(PROPER(Tabla_auditoría[[#This Row],[Tipo_Campaña]]))</f>
        <v>Conversión</v>
      </c>
      <c r="S1218" t="str">
        <f>TRIM(PROPER(Tabla_auditoría[[#This Row],[Responsable]]))</f>
        <v>Ana García</v>
      </c>
    </row>
    <row r="1219" spans="1:19" x14ac:dyDescent="0.3">
      <c r="A1219" s="1">
        <v>45757</v>
      </c>
      <c r="B1219" s="2" t="s">
        <v>2571</v>
      </c>
      <c r="C1219" s="2" t="s">
        <v>2543</v>
      </c>
      <c r="D1219" s="2" t="s">
        <v>2528</v>
      </c>
      <c r="E1219" s="2" t="s">
        <v>2517</v>
      </c>
      <c r="F1219" s="3">
        <v>77670</v>
      </c>
      <c r="G1219" s="3">
        <v>3197</v>
      </c>
      <c r="H1219" s="3">
        <v>235</v>
      </c>
      <c r="I1219" s="4">
        <v>1261.1199999999999</v>
      </c>
      <c r="J1219" s="4">
        <v>39932.94</v>
      </c>
      <c r="K1219" s="3">
        <v>139</v>
      </c>
      <c r="L1219" s="2" t="s">
        <v>2536</v>
      </c>
      <c r="M1219" s="2" t="s">
        <v>2519</v>
      </c>
      <c r="N1219" t="str">
        <f>TRIM(PROPER(Tabla_auditoría[[#This Row],[ID_Campaña]]))</f>
        <v>Cmp-029</v>
      </c>
      <c r="O1219" t="str">
        <f>TRIM(PROPER(Tabla_auditoría[[#This Row],[Canal]]))</f>
        <v>Organic Social</v>
      </c>
      <c r="P1219" t="str">
        <f>TRIM(PROPER(Tabla_auditoría[[#This Row],[País]]))</f>
        <v>España</v>
      </c>
      <c r="Q1219" t="str">
        <f>TRIM(PROPER(Tabla_auditoría[[#This Row],[Dispositivo]]))</f>
        <v>Desktop</v>
      </c>
      <c r="R1219" t="str">
        <f>TRIM(PROPER(Tabla_auditoría[[#This Row],[Tipo_Campaña]]))</f>
        <v>Reconocimiento</v>
      </c>
      <c r="S1219" t="str">
        <f>TRIM(PROPER(Tabla_auditoría[[#This Row],[Responsable]]))</f>
        <v>Carlos Ruiz</v>
      </c>
    </row>
    <row r="1220" spans="1:19" x14ac:dyDescent="0.3">
      <c r="A1220" s="1">
        <v>45768</v>
      </c>
      <c r="B1220" s="2" t="s">
        <v>2549</v>
      </c>
      <c r="C1220" s="2" t="s">
        <v>2543</v>
      </c>
      <c r="D1220" s="2" t="s">
        <v>2531</v>
      </c>
      <c r="E1220" s="2" t="s">
        <v>2534</v>
      </c>
      <c r="F1220" s="3">
        <v>97948</v>
      </c>
      <c r="G1220" s="3">
        <v>1018</v>
      </c>
      <c r="H1220" s="3">
        <v>56</v>
      </c>
      <c r="I1220" s="4">
        <v>1845.37</v>
      </c>
      <c r="J1220" s="4">
        <v>2897.75</v>
      </c>
      <c r="K1220" s="3">
        <v>45</v>
      </c>
      <c r="L1220" s="2" t="s">
        <v>2518</v>
      </c>
      <c r="M1220" s="2" t="s">
        <v>2537</v>
      </c>
      <c r="N1220" t="str">
        <f>TRIM(PROPER(Tabla_auditoría[[#This Row],[ID_Campaña]]))</f>
        <v>Cmp-007</v>
      </c>
      <c r="O1220" t="str">
        <f>TRIM(PROPER(Tabla_auditoría[[#This Row],[Canal]]))</f>
        <v>Organic Social</v>
      </c>
      <c r="P1220" t="str">
        <f>TRIM(PROPER(Tabla_auditoría[[#This Row],[País]]))</f>
        <v>Portugal</v>
      </c>
      <c r="Q1220" t="str">
        <f>TRIM(PROPER(Tabla_auditoría[[#This Row],[Dispositivo]]))</f>
        <v>Tablet</v>
      </c>
      <c r="R1220" t="str">
        <f>TRIM(PROPER(Tabla_auditoría[[#This Row],[Tipo_Campaña]]))</f>
        <v>Adquisición</v>
      </c>
      <c r="S1220" t="str">
        <f>TRIM(PROPER(Tabla_auditoría[[#This Row],[Responsable]]))</f>
        <v>Marta López</v>
      </c>
    </row>
    <row r="1221" spans="1:19" x14ac:dyDescent="0.3">
      <c r="A1221" s="1">
        <v>45718</v>
      </c>
      <c r="B1221" s="2" t="s">
        <v>2535</v>
      </c>
      <c r="C1221" s="2" t="s">
        <v>2527</v>
      </c>
      <c r="D1221" s="2" t="s">
        <v>2516</v>
      </c>
      <c r="E1221" s="2" t="s">
        <v>2529</v>
      </c>
      <c r="F1221" s="3">
        <v>148984</v>
      </c>
      <c r="G1221" s="3">
        <v>1135</v>
      </c>
      <c r="H1221" s="3">
        <v>105</v>
      </c>
      <c r="I1221" s="4">
        <v>1515.94</v>
      </c>
      <c r="J1221" s="4">
        <v>8810.09</v>
      </c>
      <c r="K1221" s="3">
        <v>74</v>
      </c>
      <c r="L1221" s="2" t="s">
        <v>2536</v>
      </c>
      <c r="M1221" s="2" t="s">
        <v>2519</v>
      </c>
      <c r="N1221" t="str">
        <f>TRIM(PROPER(Tabla_auditoría[[#This Row],[ID_Campaña]]))</f>
        <v>Cmp-015</v>
      </c>
      <c r="O1221" t="str">
        <f>TRIM(PROPER(Tabla_auditoría[[#This Row],[Canal]]))</f>
        <v>Affiliate</v>
      </c>
      <c r="P1221" t="str">
        <f>TRIM(PROPER(Tabla_auditoría[[#This Row],[País]]))</f>
        <v>México</v>
      </c>
      <c r="Q1221" t="str">
        <f>TRIM(PROPER(Tabla_auditoría[[#This Row],[Dispositivo]]))</f>
        <v>Mobile</v>
      </c>
      <c r="R1221" t="str">
        <f>TRIM(PROPER(Tabla_auditoría[[#This Row],[Tipo_Campaña]]))</f>
        <v>Reconocimiento</v>
      </c>
      <c r="S1221" t="str">
        <f>TRIM(PROPER(Tabla_auditoría[[#This Row],[Responsable]]))</f>
        <v>Carlos Ruiz</v>
      </c>
    </row>
    <row r="1222" spans="1:19" x14ac:dyDescent="0.3">
      <c r="A1222" s="1">
        <v>45917</v>
      </c>
      <c r="B1222" s="2" t="s">
        <v>2567</v>
      </c>
      <c r="C1222" s="2" t="s">
        <v>2521</v>
      </c>
      <c r="D1222" s="2" t="s">
        <v>2528</v>
      </c>
      <c r="E1222" s="2" t="s">
        <v>2529</v>
      </c>
      <c r="F1222" s="3">
        <v>46190</v>
      </c>
      <c r="G1222" s="3">
        <v>401</v>
      </c>
      <c r="H1222" s="3">
        <v>6</v>
      </c>
      <c r="I1222" s="4">
        <v>582.38</v>
      </c>
      <c r="J1222" s="4">
        <v>1292.69</v>
      </c>
      <c r="K1222" s="3">
        <v>3</v>
      </c>
      <c r="L1222" s="2" t="s">
        <v>2518</v>
      </c>
      <c r="M1222" s="2" t="s">
        <v>2546</v>
      </c>
      <c r="N1222" t="str">
        <f>TRIM(PROPER(Tabla_auditoría[[#This Row],[ID_Campaña]]))</f>
        <v>Cmp-021</v>
      </c>
      <c r="O1222" t="str">
        <f>TRIM(PROPER(Tabla_auditoría[[#This Row],[Canal]]))</f>
        <v>Paid Search</v>
      </c>
      <c r="P1222" t="str">
        <f>TRIM(PROPER(Tabla_auditoría[[#This Row],[País]]))</f>
        <v>España</v>
      </c>
      <c r="Q1222" t="str">
        <f>TRIM(PROPER(Tabla_auditoría[[#This Row],[Dispositivo]]))</f>
        <v>Mobile</v>
      </c>
      <c r="R1222" t="str">
        <f>TRIM(PROPER(Tabla_auditoría[[#This Row],[Tipo_Campaña]]))</f>
        <v>Adquisición</v>
      </c>
      <c r="S1222" t="str">
        <f>TRIM(PROPER(Tabla_auditoría[[#This Row],[Responsable]]))</f>
        <v>Ana García</v>
      </c>
    </row>
    <row r="1223" spans="1:19" x14ac:dyDescent="0.3">
      <c r="A1223" s="1">
        <v>45851</v>
      </c>
      <c r="B1223" s="2" t="s">
        <v>2549</v>
      </c>
      <c r="C1223" s="2" t="s">
        <v>2521</v>
      </c>
      <c r="D1223" s="2" t="s">
        <v>2531</v>
      </c>
      <c r="E1223" s="2" t="s">
        <v>2529</v>
      </c>
      <c r="F1223" s="3">
        <v>170777</v>
      </c>
      <c r="G1223" s="3">
        <v>4518</v>
      </c>
      <c r="H1223" s="3">
        <v>341</v>
      </c>
      <c r="I1223" s="4">
        <v>9094.4599999999991</v>
      </c>
      <c r="J1223" s="4">
        <v>38128.980000000003</v>
      </c>
      <c r="K1223" s="3">
        <v>214</v>
      </c>
      <c r="L1223" s="2" t="s">
        <v>2539</v>
      </c>
      <c r="M1223" s="2" t="s">
        <v>2524</v>
      </c>
      <c r="N1223" t="str">
        <f>TRIM(PROPER(Tabla_auditoría[[#This Row],[ID_Campaña]]))</f>
        <v>Cmp-007</v>
      </c>
      <c r="O1223" t="str">
        <f>TRIM(PROPER(Tabla_auditoría[[#This Row],[Canal]]))</f>
        <v>Paid Search</v>
      </c>
      <c r="P1223" t="str">
        <f>TRIM(PROPER(Tabla_auditoría[[#This Row],[País]]))</f>
        <v>Portugal</v>
      </c>
      <c r="Q1223" t="str">
        <f>TRIM(PROPER(Tabla_auditoría[[#This Row],[Dispositivo]]))</f>
        <v>Mobile</v>
      </c>
      <c r="R1223" t="str">
        <f>TRIM(PROPER(Tabla_auditoría[[#This Row],[Tipo_Campaña]]))</f>
        <v>Conversión</v>
      </c>
      <c r="S1223" t="str">
        <f>TRIM(PROPER(Tabla_auditoría[[#This Row],[Responsable]]))</f>
        <v>Luis Martín</v>
      </c>
    </row>
    <row r="1224" spans="1:19" x14ac:dyDescent="0.3">
      <c r="A1224" s="1">
        <v>45971</v>
      </c>
      <c r="B1224" s="2" t="s">
        <v>2555</v>
      </c>
      <c r="C1224" s="2" t="s">
        <v>2533</v>
      </c>
      <c r="D1224" s="2" t="s">
        <v>2522</v>
      </c>
      <c r="E1224" s="2" t="s">
        <v>2529</v>
      </c>
      <c r="F1224" s="3">
        <v>6232</v>
      </c>
      <c r="G1224" s="3">
        <v>422</v>
      </c>
      <c r="H1224" s="3">
        <v>12</v>
      </c>
      <c r="I1224" s="4">
        <v>408.58</v>
      </c>
      <c r="J1224" s="4">
        <v>1356.25</v>
      </c>
      <c r="K1224" s="3">
        <v>9</v>
      </c>
      <c r="L1224" s="2" t="s">
        <v>2518</v>
      </c>
      <c r="M1224" s="2" t="s">
        <v>2546</v>
      </c>
      <c r="N1224" t="str">
        <f>TRIM(PROPER(Tabla_auditoría[[#This Row],[ID_Campaña]]))</f>
        <v>Cmp-010</v>
      </c>
      <c r="O1224" t="str">
        <f>TRIM(PROPER(Tabla_auditoría[[#This Row],[Canal]]))</f>
        <v>Paid Social</v>
      </c>
      <c r="P1224" t="str">
        <f>TRIM(PROPER(Tabla_auditoría[[#This Row],[País]]))</f>
        <v>Italia</v>
      </c>
      <c r="Q1224" t="str">
        <f>TRIM(PROPER(Tabla_auditoría[[#This Row],[Dispositivo]]))</f>
        <v>Mobile</v>
      </c>
      <c r="R1224" t="str">
        <f>TRIM(PROPER(Tabla_auditoría[[#This Row],[Tipo_Campaña]]))</f>
        <v>Adquisición</v>
      </c>
      <c r="S1224" t="str">
        <f>TRIM(PROPER(Tabla_auditoría[[#This Row],[Responsable]]))</f>
        <v>Ana García</v>
      </c>
    </row>
    <row r="1225" spans="1:19" x14ac:dyDescent="0.3">
      <c r="A1225" s="1">
        <v>45732</v>
      </c>
      <c r="B1225" s="2" t="s">
        <v>2557</v>
      </c>
      <c r="C1225" s="2" t="s">
        <v>2541</v>
      </c>
      <c r="D1225" s="2" t="s">
        <v>2528</v>
      </c>
      <c r="E1225" s="2" t="s">
        <v>2517</v>
      </c>
      <c r="F1225" s="3">
        <v>160233</v>
      </c>
      <c r="G1225" s="3">
        <v>9433</v>
      </c>
      <c r="H1225" s="3">
        <v>323</v>
      </c>
      <c r="I1225" s="4">
        <v>7076.21</v>
      </c>
      <c r="J1225" s="4">
        <v>66985.679999999993</v>
      </c>
      <c r="K1225" s="3">
        <v>273</v>
      </c>
      <c r="L1225" s="2" t="s">
        <v>2539</v>
      </c>
      <c r="M1225" s="2" t="s">
        <v>2519</v>
      </c>
      <c r="N1225" t="str">
        <f>TRIM(PROPER(Tabla_auditoría[[#This Row],[ID_Campaña]]))</f>
        <v>Cmp-030</v>
      </c>
      <c r="O1225" t="str">
        <f>TRIM(PROPER(Tabla_auditoría[[#This Row],[Canal]]))</f>
        <v>Display</v>
      </c>
      <c r="P1225" t="str">
        <f>TRIM(PROPER(Tabla_auditoría[[#This Row],[País]]))</f>
        <v>España</v>
      </c>
      <c r="Q1225" t="str">
        <f>TRIM(PROPER(Tabla_auditoría[[#This Row],[Dispositivo]]))</f>
        <v>Desktop</v>
      </c>
      <c r="R1225" t="str">
        <f>TRIM(PROPER(Tabla_auditoría[[#This Row],[Tipo_Campaña]]))</f>
        <v>Conversión</v>
      </c>
      <c r="S1225" t="str">
        <f>TRIM(PROPER(Tabla_auditoría[[#This Row],[Responsable]]))</f>
        <v>Carlos Ruiz</v>
      </c>
    </row>
    <row r="1226" spans="1:19" x14ac:dyDescent="0.3">
      <c r="A1226" s="1">
        <v>45816</v>
      </c>
      <c r="B1226" s="2" t="s">
        <v>2569</v>
      </c>
      <c r="C1226" s="2" t="s">
        <v>2521</v>
      </c>
      <c r="D1226" s="2" t="s">
        <v>2516</v>
      </c>
      <c r="E1226" s="2" t="s">
        <v>2517</v>
      </c>
      <c r="F1226" s="3">
        <v>12946</v>
      </c>
      <c r="G1226" s="3">
        <v>268</v>
      </c>
      <c r="H1226" s="3">
        <v>27</v>
      </c>
      <c r="I1226" s="4">
        <v>180.24</v>
      </c>
      <c r="J1226" s="4">
        <v>3075.64</v>
      </c>
      <c r="K1226" s="3">
        <v>22</v>
      </c>
      <c r="L1226" s="2" t="s">
        <v>2536</v>
      </c>
      <c r="M1226" s="2" t="s">
        <v>2519</v>
      </c>
      <c r="N1226" t="str">
        <f>TRIM(PROPER(Tabla_auditoría[[#This Row],[ID_Campaña]]))</f>
        <v>Cmp-013</v>
      </c>
      <c r="O1226" t="str">
        <f>TRIM(PROPER(Tabla_auditoría[[#This Row],[Canal]]))</f>
        <v>Paid Search</v>
      </c>
      <c r="P1226" t="str">
        <f>TRIM(PROPER(Tabla_auditoría[[#This Row],[País]]))</f>
        <v>México</v>
      </c>
      <c r="Q1226" t="str">
        <f>TRIM(PROPER(Tabla_auditoría[[#This Row],[Dispositivo]]))</f>
        <v>Desktop</v>
      </c>
      <c r="R1226" t="str">
        <f>TRIM(PROPER(Tabla_auditoría[[#This Row],[Tipo_Campaña]]))</f>
        <v>Reconocimiento</v>
      </c>
      <c r="S1226" t="str">
        <f>TRIM(PROPER(Tabla_auditoría[[#This Row],[Responsable]]))</f>
        <v>Carlos Ruiz</v>
      </c>
    </row>
    <row r="1227" spans="1:19" x14ac:dyDescent="0.3">
      <c r="A1227" s="1">
        <v>45841</v>
      </c>
      <c r="B1227" s="2" t="s">
        <v>2566</v>
      </c>
      <c r="C1227" s="2" t="s">
        <v>2515</v>
      </c>
      <c r="D1227" s="2" t="s">
        <v>2528</v>
      </c>
      <c r="E1227" s="2" t="s">
        <v>2517</v>
      </c>
      <c r="F1227" s="3">
        <v>153327</v>
      </c>
      <c r="G1227" s="3">
        <v>8364</v>
      </c>
      <c r="H1227" s="3">
        <v>1020</v>
      </c>
      <c r="I1227" s="4">
        <v>5428.53</v>
      </c>
      <c r="J1227" s="4">
        <v>121328.6</v>
      </c>
      <c r="K1227" s="3">
        <v>693</v>
      </c>
      <c r="L1227" s="2" t="s">
        <v>2523</v>
      </c>
      <c r="M1227" s="2" t="s">
        <v>2537</v>
      </c>
      <c r="N1227" t="str">
        <f>TRIM(PROPER(Tabla_auditoría[[#This Row],[ID_Campaña]]))</f>
        <v>Cmp-001</v>
      </c>
      <c r="O1227" t="str">
        <f>TRIM(PROPER(Tabla_auditoría[[#This Row],[Canal]]))</f>
        <v>Email</v>
      </c>
      <c r="P1227" t="str">
        <f>TRIM(PROPER(Tabla_auditoría[[#This Row],[País]]))</f>
        <v>España</v>
      </c>
      <c r="Q1227" t="str">
        <f>TRIM(PROPER(Tabla_auditoría[[#This Row],[Dispositivo]]))</f>
        <v>Desktop</v>
      </c>
      <c r="R1227" t="str">
        <f>TRIM(PROPER(Tabla_auditoría[[#This Row],[Tipo_Campaña]]))</f>
        <v>Retención</v>
      </c>
      <c r="S1227" t="str">
        <f>TRIM(PROPER(Tabla_auditoría[[#This Row],[Responsable]]))</f>
        <v>Marta López</v>
      </c>
    </row>
    <row r="1228" spans="1:19" x14ac:dyDescent="0.3">
      <c r="A1228" s="1">
        <v>45886</v>
      </c>
      <c r="B1228" s="2" t="s">
        <v>2545</v>
      </c>
      <c r="C1228" s="2" t="s">
        <v>2515</v>
      </c>
      <c r="D1228" s="2" t="s">
        <v>2528</v>
      </c>
      <c r="E1228" s="2" t="s">
        <v>2534</v>
      </c>
      <c r="F1228" s="3">
        <v>90293</v>
      </c>
      <c r="G1228" s="3">
        <v>4786</v>
      </c>
      <c r="H1228" s="3">
        <v>135</v>
      </c>
      <c r="I1228" s="4">
        <v>9306.6200000000008</v>
      </c>
      <c r="J1228" s="4">
        <v>22431.64</v>
      </c>
      <c r="K1228" s="3">
        <v>115</v>
      </c>
      <c r="L1228" s="2" t="s">
        <v>2523</v>
      </c>
      <c r="M1228" s="2" t="s">
        <v>2537</v>
      </c>
      <c r="N1228" t="str">
        <f>TRIM(PROPER(Tabla_auditoría[[#This Row],[ID_Campaña]]))</f>
        <v>Cmp-011</v>
      </c>
      <c r="O1228" t="str">
        <f>TRIM(PROPER(Tabla_auditoría[[#This Row],[Canal]]))</f>
        <v>Email</v>
      </c>
      <c r="P1228" t="str">
        <f>TRIM(PROPER(Tabla_auditoría[[#This Row],[País]]))</f>
        <v>España</v>
      </c>
      <c r="Q1228" t="str">
        <f>TRIM(PROPER(Tabla_auditoría[[#This Row],[Dispositivo]]))</f>
        <v>Tablet</v>
      </c>
      <c r="R1228" t="str">
        <f>TRIM(PROPER(Tabla_auditoría[[#This Row],[Tipo_Campaña]]))</f>
        <v>Retención</v>
      </c>
      <c r="S1228" t="str">
        <f>TRIM(PROPER(Tabla_auditoría[[#This Row],[Responsable]]))</f>
        <v>Marta López</v>
      </c>
    </row>
    <row r="1229" spans="1:19" x14ac:dyDescent="0.3">
      <c r="A1229" s="1">
        <v>45794</v>
      </c>
      <c r="B1229" s="2" t="s">
        <v>2564</v>
      </c>
      <c r="C1229" s="2" t="s">
        <v>2541</v>
      </c>
      <c r="D1229" s="2" t="s">
        <v>2528</v>
      </c>
      <c r="E1229" s="2" t="s">
        <v>2529</v>
      </c>
      <c r="F1229" s="3">
        <v>39108</v>
      </c>
      <c r="G1229" s="3">
        <v>390</v>
      </c>
      <c r="H1229" s="3">
        <v>50</v>
      </c>
      <c r="I1229" s="4">
        <v>237.92</v>
      </c>
      <c r="J1229" s="4">
        <v>4798.3</v>
      </c>
      <c r="K1229" s="3">
        <v>30</v>
      </c>
      <c r="L1229" s="2" t="s">
        <v>2518</v>
      </c>
      <c r="M1229" s="2" t="s">
        <v>2524</v>
      </c>
      <c r="N1229" t="str">
        <f>TRIM(PROPER(Tabla_auditoría[[#This Row],[ID_Campaña]]))</f>
        <v>Cmp-024</v>
      </c>
      <c r="O1229" t="str">
        <f>TRIM(PROPER(Tabla_auditoría[[#This Row],[Canal]]))</f>
        <v>Display</v>
      </c>
      <c r="P1229" t="str">
        <f>TRIM(PROPER(Tabla_auditoría[[#This Row],[País]]))</f>
        <v>España</v>
      </c>
      <c r="Q1229" t="str">
        <f>TRIM(PROPER(Tabla_auditoría[[#This Row],[Dispositivo]]))</f>
        <v>Mobile</v>
      </c>
      <c r="R1229" t="str">
        <f>TRIM(PROPER(Tabla_auditoría[[#This Row],[Tipo_Campaña]]))</f>
        <v>Adquisición</v>
      </c>
      <c r="S1229" t="str">
        <f>TRIM(PROPER(Tabla_auditoría[[#This Row],[Responsable]]))</f>
        <v>Luis Martín</v>
      </c>
    </row>
    <row r="1230" spans="1:19" x14ac:dyDescent="0.3">
      <c r="A1230" s="1">
        <v>45883</v>
      </c>
      <c r="B1230" s="2" t="s">
        <v>2538</v>
      </c>
      <c r="C1230" s="2" t="s">
        <v>2543</v>
      </c>
      <c r="D1230" s="2" t="s">
        <v>2516</v>
      </c>
      <c r="E1230" s="2" t="s">
        <v>2529</v>
      </c>
      <c r="F1230" s="3">
        <v>51148</v>
      </c>
      <c r="G1230" s="3">
        <v>3224</v>
      </c>
      <c r="H1230" s="3">
        <v>263</v>
      </c>
      <c r="I1230" s="4">
        <v>6414.06</v>
      </c>
      <c r="J1230" s="4">
        <v>24716.03</v>
      </c>
      <c r="K1230" s="3">
        <v>191</v>
      </c>
      <c r="L1230" s="2" t="s">
        <v>2536</v>
      </c>
      <c r="M1230" s="2" t="s">
        <v>2526</v>
      </c>
      <c r="N1230" t="str">
        <f>TRIM(PROPER(Tabla_auditoría[[#This Row],[ID_Campaña]]))</f>
        <v>Cmp-004</v>
      </c>
      <c r="O1230" t="str">
        <f>TRIM(PROPER(Tabla_auditoría[[#This Row],[Canal]]))</f>
        <v>Organic Social</v>
      </c>
      <c r="P1230" t="str">
        <f>TRIM(PROPER(Tabla_auditoría[[#This Row],[País]]))</f>
        <v>México</v>
      </c>
      <c r="Q1230" t="str">
        <f>TRIM(PROPER(Tabla_auditoría[[#This Row],[Dispositivo]]))</f>
        <v>Mobile</v>
      </c>
      <c r="R1230" t="str">
        <f>TRIM(PROPER(Tabla_auditoría[[#This Row],[Tipo_Campaña]]))</f>
        <v>Reconocimiento</v>
      </c>
      <c r="S1230" t="str">
        <f>TRIM(PROPER(Tabla_auditoría[[#This Row],[Responsable]]))</f>
        <v>Laura Pérez</v>
      </c>
    </row>
    <row r="1231" spans="1:19" x14ac:dyDescent="0.3">
      <c r="A1231" s="1">
        <v>45835</v>
      </c>
      <c r="B1231" s="2" t="s">
        <v>2540</v>
      </c>
      <c r="C1231" s="2" t="s">
        <v>2533</v>
      </c>
      <c r="D1231" s="2" t="s">
        <v>2528</v>
      </c>
      <c r="E1231" s="2" t="s">
        <v>2529</v>
      </c>
      <c r="F1231" s="3">
        <v>19058</v>
      </c>
      <c r="G1231" s="3">
        <v>613</v>
      </c>
      <c r="H1231" s="3">
        <v>4</v>
      </c>
      <c r="I1231" s="4">
        <v>291.97000000000003</v>
      </c>
      <c r="J1231" s="4">
        <v>705.19</v>
      </c>
      <c r="K1231" s="3">
        <v>2</v>
      </c>
      <c r="L1231" s="2" t="s">
        <v>2539</v>
      </c>
      <c r="M1231" s="2" t="s">
        <v>2546</v>
      </c>
      <c r="N1231" t="str">
        <f>TRIM(PROPER(Tabla_auditoría[[#This Row],[ID_Campaña]]))</f>
        <v>Cmp-017</v>
      </c>
      <c r="O1231" t="str">
        <f>TRIM(PROPER(Tabla_auditoría[[#This Row],[Canal]]))</f>
        <v>Paid Social</v>
      </c>
      <c r="P1231" t="str">
        <f>TRIM(PROPER(Tabla_auditoría[[#This Row],[País]]))</f>
        <v>España</v>
      </c>
      <c r="Q1231" t="str">
        <f>TRIM(PROPER(Tabla_auditoría[[#This Row],[Dispositivo]]))</f>
        <v>Mobile</v>
      </c>
      <c r="R1231" t="str">
        <f>TRIM(PROPER(Tabla_auditoría[[#This Row],[Tipo_Campaña]]))</f>
        <v>Conversión</v>
      </c>
      <c r="S1231" t="str">
        <f>TRIM(PROPER(Tabla_auditoría[[#This Row],[Responsable]]))</f>
        <v>Ana García</v>
      </c>
    </row>
    <row r="1232" spans="1:19" x14ac:dyDescent="0.3">
      <c r="A1232" s="1">
        <v>45927</v>
      </c>
      <c r="B1232" s="2" t="s">
        <v>2542</v>
      </c>
      <c r="C1232" s="2" t="s">
        <v>2527</v>
      </c>
      <c r="D1232" s="2" t="s">
        <v>2525</v>
      </c>
      <c r="E1232" s="2" t="s">
        <v>2534</v>
      </c>
      <c r="F1232" s="3">
        <v>12708</v>
      </c>
      <c r="G1232" s="3">
        <v>757</v>
      </c>
      <c r="H1232" s="3">
        <v>12</v>
      </c>
      <c r="I1232" s="4">
        <v>329.14</v>
      </c>
      <c r="J1232" s="4">
        <v>1913.44</v>
      </c>
      <c r="K1232" s="3">
        <v>9</v>
      </c>
      <c r="L1232" s="2" t="s">
        <v>2536</v>
      </c>
      <c r="M1232" s="2" t="s">
        <v>2537</v>
      </c>
      <c r="N1232" t="str">
        <f>TRIM(PROPER(Tabla_auditoría[[#This Row],[ID_Campaña]]))</f>
        <v>Cmp-025</v>
      </c>
      <c r="O1232" t="str">
        <f>TRIM(PROPER(Tabla_auditoría[[#This Row],[Canal]]))</f>
        <v>Affiliate</v>
      </c>
      <c r="P1232" t="str">
        <f>TRIM(PROPER(Tabla_auditoría[[#This Row],[País]]))</f>
        <v>Francia</v>
      </c>
      <c r="Q1232" t="str">
        <f>TRIM(PROPER(Tabla_auditoría[[#This Row],[Dispositivo]]))</f>
        <v>Tablet</v>
      </c>
      <c r="R1232" t="str">
        <f>TRIM(PROPER(Tabla_auditoría[[#This Row],[Tipo_Campaña]]))</f>
        <v>Reconocimiento</v>
      </c>
      <c r="S1232" t="str">
        <f>TRIM(PROPER(Tabla_auditoría[[#This Row],[Responsable]]))</f>
        <v>Marta López</v>
      </c>
    </row>
    <row r="1233" spans="1:19" x14ac:dyDescent="0.3">
      <c r="A1233" s="1">
        <v>45958</v>
      </c>
      <c r="B1233" s="2" t="s">
        <v>2556</v>
      </c>
      <c r="C1233" s="2" t="s">
        <v>2515</v>
      </c>
      <c r="D1233" s="2" t="s">
        <v>2516</v>
      </c>
      <c r="E1233" s="2" t="s">
        <v>2517</v>
      </c>
      <c r="F1233" s="3">
        <v>155927</v>
      </c>
      <c r="G1233" s="3">
        <v>13267</v>
      </c>
      <c r="H1233" s="3">
        <v>789</v>
      </c>
      <c r="I1233" s="4">
        <v>11858.97</v>
      </c>
      <c r="J1233" s="4">
        <v>18689.599999999999</v>
      </c>
      <c r="K1233" s="3">
        <v>551</v>
      </c>
      <c r="L1233" s="2" t="s">
        <v>2518</v>
      </c>
      <c r="M1233" s="2" t="s">
        <v>2537</v>
      </c>
      <c r="N1233" t="str">
        <f>TRIM(PROPER(Tabla_auditoría[[#This Row],[ID_Campaña]]))</f>
        <v>Cmp-014</v>
      </c>
      <c r="O1233" t="str">
        <f>TRIM(PROPER(Tabla_auditoría[[#This Row],[Canal]]))</f>
        <v>Email</v>
      </c>
      <c r="P1233" t="str">
        <f>TRIM(PROPER(Tabla_auditoría[[#This Row],[País]]))</f>
        <v>México</v>
      </c>
      <c r="Q1233" t="str">
        <f>TRIM(PROPER(Tabla_auditoría[[#This Row],[Dispositivo]]))</f>
        <v>Desktop</v>
      </c>
      <c r="R1233" t="str">
        <f>TRIM(PROPER(Tabla_auditoría[[#This Row],[Tipo_Campaña]]))</f>
        <v>Adquisición</v>
      </c>
      <c r="S1233" t="str">
        <f>TRIM(PROPER(Tabla_auditoría[[#This Row],[Responsable]]))</f>
        <v>Marta López</v>
      </c>
    </row>
    <row r="1234" spans="1:19" x14ac:dyDescent="0.3">
      <c r="A1234" s="1">
        <v>45661</v>
      </c>
      <c r="B1234" s="2" t="s">
        <v>2564</v>
      </c>
      <c r="C1234" s="2" t="s">
        <v>2527</v>
      </c>
      <c r="D1234" s="2" t="s">
        <v>2516</v>
      </c>
      <c r="E1234" s="2" t="s">
        <v>2529</v>
      </c>
      <c r="F1234" s="3">
        <v>37910</v>
      </c>
      <c r="G1234" s="3">
        <v>1003</v>
      </c>
      <c r="H1234" s="3">
        <v>138</v>
      </c>
      <c r="I1234" s="4">
        <v>1350.23</v>
      </c>
      <c r="J1234" s="4">
        <v>11158.68</v>
      </c>
      <c r="K1234" s="3">
        <v>86</v>
      </c>
      <c r="L1234" s="2" t="s">
        <v>2523</v>
      </c>
      <c r="M1234" s="2" t="s">
        <v>2526</v>
      </c>
      <c r="N1234" t="str">
        <f>TRIM(PROPER(Tabla_auditoría[[#This Row],[ID_Campaña]]))</f>
        <v>Cmp-024</v>
      </c>
      <c r="O1234" t="str">
        <f>TRIM(PROPER(Tabla_auditoría[[#This Row],[Canal]]))</f>
        <v>Affiliate</v>
      </c>
      <c r="P1234" t="str">
        <f>TRIM(PROPER(Tabla_auditoría[[#This Row],[País]]))</f>
        <v>México</v>
      </c>
      <c r="Q1234" t="str">
        <f>TRIM(PROPER(Tabla_auditoría[[#This Row],[Dispositivo]]))</f>
        <v>Mobile</v>
      </c>
      <c r="R1234" t="str">
        <f>TRIM(PROPER(Tabla_auditoría[[#This Row],[Tipo_Campaña]]))</f>
        <v>Retención</v>
      </c>
      <c r="S1234" t="str">
        <f>TRIM(PROPER(Tabla_auditoría[[#This Row],[Responsable]]))</f>
        <v>Laura Pérez</v>
      </c>
    </row>
    <row r="1235" spans="1:19" x14ac:dyDescent="0.3">
      <c r="A1235" s="1">
        <v>45815</v>
      </c>
      <c r="B1235" s="2" t="s">
        <v>2557</v>
      </c>
      <c r="C1235" s="2" t="s">
        <v>2533</v>
      </c>
      <c r="D1235" s="2" t="s">
        <v>2516</v>
      </c>
      <c r="E1235" s="2" t="s">
        <v>2517</v>
      </c>
      <c r="F1235" s="3">
        <v>179825</v>
      </c>
      <c r="G1235" s="3">
        <v>14838</v>
      </c>
      <c r="H1235" s="3">
        <v>600</v>
      </c>
      <c r="I1235" s="4">
        <v>17852.560000000001</v>
      </c>
      <c r="J1235" s="4">
        <v>17469.78</v>
      </c>
      <c r="K1235" s="3">
        <v>426</v>
      </c>
      <c r="L1235" s="2" t="s">
        <v>2536</v>
      </c>
      <c r="M1235" s="2" t="s">
        <v>2537</v>
      </c>
      <c r="N1235" t="str">
        <f>TRIM(PROPER(Tabla_auditoría[[#This Row],[ID_Campaña]]))</f>
        <v>Cmp-030</v>
      </c>
      <c r="O1235" t="str">
        <f>TRIM(PROPER(Tabla_auditoría[[#This Row],[Canal]]))</f>
        <v>Paid Social</v>
      </c>
      <c r="P1235" t="str">
        <f>TRIM(PROPER(Tabla_auditoría[[#This Row],[País]]))</f>
        <v>México</v>
      </c>
      <c r="Q1235" t="str">
        <f>TRIM(PROPER(Tabla_auditoría[[#This Row],[Dispositivo]]))</f>
        <v>Desktop</v>
      </c>
      <c r="R1235" t="str">
        <f>TRIM(PROPER(Tabla_auditoría[[#This Row],[Tipo_Campaña]]))</f>
        <v>Reconocimiento</v>
      </c>
      <c r="S1235" t="str">
        <f>TRIM(PROPER(Tabla_auditoría[[#This Row],[Responsable]]))</f>
        <v>Marta López</v>
      </c>
    </row>
    <row r="1236" spans="1:19" x14ac:dyDescent="0.3">
      <c r="A1236" s="1">
        <v>45943</v>
      </c>
      <c r="B1236" s="2" t="s">
        <v>2568</v>
      </c>
      <c r="C1236" s="2" t="s">
        <v>2541</v>
      </c>
      <c r="D1236" s="2" t="s">
        <v>2528</v>
      </c>
      <c r="E1236" s="2" t="s">
        <v>2534</v>
      </c>
      <c r="F1236" s="3">
        <v>45683</v>
      </c>
      <c r="G1236" s="3">
        <v>2194</v>
      </c>
      <c r="H1236" s="3">
        <v>111</v>
      </c>
      <c r="I1236" s="4">
        <v>1579.47</v>
      </c>
      <c r="J1236" s="4">
        <v>13768.47</v>
      </c>
      <c r="K1236" s="3">
        <v>84</v>
      </c>
      <c r="L1236" s="2" t="s">
        <v>2523</v>
      </c>
      <c r="M1236" s="2" t="s">
        <v>2546</v>
      </c>
      <c r="N1236" t="str">
        <f>TRIM(PROPER(Tabla_auditoría[[#This Row],[ID_Campaña]]))</f>
        <v>Cmp-020</v>
      </c>
      <c r="O1236" t="str">
        <f>TRIM(PROPER(Tabla_auditoría[[#This Row],[Canal]]))</f>
        <v>Display</v>
      </c>
      <c r="P1236" t="str">
        <f>TRIM(PROPER(Tabla_auditoría[[#This Row],[País]]))</f>
        <v>España</v>
      </c>
      <c r="Q1236" t="str">
        <f>TRIM(PROPER(Tabla_auditoría[[#This Row],[Dispositivo]]))</f>
        <v>Tablet</v>
      </c>
      <c r="R1236" t="str">
        <f>TRIM(PROPER(Tabla_auditoría[[#This Row],[Tipo_Campaña]]))</f>
        <v>Retención</v>
      </c>
      <c r="S1236" t="str">
        <f>TRIM(PROPER(Tabla_auditoría[[#This Row],[Responsable]]))</f>
        <v>Ana García</v>
      </c>
    </row>
    <row r="1237" spans="1:19" x14ac:dyDescent="0.3">
      <c r="A1237" s="1">
        <v>46021</v>
      </c>
      <c r="B1237" s="2" t="s">
        <v>2532</v>
      </c>
      <c r="C1237" s="2" t="s">
        <v>2521</v>
      </c>
      <c r="D1237" s="2" t="s">
        <v>2528</v>
      </c>
      <c r="E1237" s="2" t="s">
        <v>2529</v>
      </c>
      <c r="F1237" s="3">
        <v>140397</v>
      </c>
      <c r="G1237" s="3">
        <v>12118</v>
      </c>
      <c r="H1237" s="3">
        <v>1530</v>
      </c>
      <c r="I1237" s="4">
        <v>14131.17</v>
      </c>
      <c r="J1237" s="4">
        <v>209873.6</v>
      </c>
      <c r="K1237" s="3">
        <v>1275</v>
      </c>
      <c r="L1237" s="2" t="s">
        <v>2536</v>
      </c>
      <c r="M1237" s="2" t="s">
        <v>2524</v>
      </c>
      <c r="N1237" t="str">
        <f>TRIM(PROPER(Tabla_auditoría[[#This Row],[ID_Campaña]]))</f>
        <v>Cmp-022</v>
      </c>
      <c r="O1237" t="str">
        <f>TRIM(PROPER(Tabla_auditoría[[#This Row],[Canal]]))</f>
        <v>Paid Search</v>
      </c>
      <c r="P1237" t="str">
        <f>TRIM(PROPER(Tabla_auditoría[[#This Row],[País]]))</f>
        <v>España</v>
      </c>
      <c r="Q1237" t="str">
        <f>TRIM(PROPER(Tabla_auditoría[[#This Row],[Dispositivo]]))</f>
        <v>Mobile</v>
      </c>
      <c r="R1237" t="str">
        <f>TRIM(PROPER(Tabla_auditoría[[#This Row],[Tipo_Campaña]]))</f>
        <v>Reconocimiento</v>
      </c>
      <c r="S1237" t="str">
        <f>TRIM(PROPER(Tabla_auditoría[[#This Row],[Responsable]]))</f>
        <v>Luis Martín</v>
      </c>
    </row>
    <row r="1238" spans="1:19" x14ac:dyDescent="0.3">
      <c r="A1238" s="1">
        <v>45658</v>
      </c>
      <c r="B1238" s="2" t="s">
        <v>2567</v>
      </c>
      <c r="C1238" s="2" t="s">
        <v>2541</v>
      </c>
      <c r="D1238" s="2" t="s">
        <v>2528</v>
      </c>
      <c r="E1238" s="2" t="s">
        <v>2529</v>
      </c>
      <c r="F1238" s="3">
        <v>86210</v>
      </c>
      <c r="G1238" s="3">
        <v>6305</v>
      </c>
      <c r="H1238" s="3">
        <v>382</v>
      </c>
      <c r="I1238" s="4">
        <v>5967.11</v>
      </c>
      <c r="J1238" s="4">
        <v>38115.39</v>
      </c>
      <c r="K1238" s="3">
        <v>307</v>
      </c>
      <c r="L1238" s="2" t="s">
        <v>2536</v>
      </c>
      <c r="M1238" s="2" t="s">
        <v>2519</v>
      </c>
      <c r="N1238" t="str">
        <f>TRIM(PROPER(Tabla_auditoría[[#This Row],[ID_Campaña]]))</f>
        <v>Cmp-021</v>
      </c>
      <c r="O1238" t="str">
        <f>TRIM(PROPER(Tabla_auditoría[[#This Row],[Canal]]))</f>
        <v>Display</v>
      </c>
      <c r="P1238" t="str">
        <f>TRIM(PROPER(Tabla_auditoría[[#This Row],[País]]))</f>
        <v>España</v>
      </c>
      <c r="Q1238" t="str">
        <f>TRIM(PROPER(Tabla_auditoría[[#This Row],[Dispositivo]]))</f>
        <v>Mobile</v>
      </c>
      <c r="R1238" t="str">
        <f>TRIM(PROPER(Tabla_auditoría[[#This Row],[Tipo_Campaña]]))</f>
        <v>Reconocimiento</v>
      </c>
      <c r="S1238" t="str">
        <f>TRIM(PROPER(Tabla_auditoría[[#This Row],[Responsable]]))</f>
        <v>Carlos Ruiz</v>
      </c>
    </row>
    <row r="1239" spans="1:19" x14ac:dyDescent="0.3">
      <c r="A1239" s="1">
        <v>45940</v>
      </c>
      <c r="B1239" s="2" t="s">
        <v>2544</v>
      </c>
      <c r="C1239" s="2" t="s">
        <v>2541</v>
      </c>
      <c r="D1239" s="2" t="s">
        <v>2525</v>
      </c>
      <c r="E1239" s="2" t="s">
        <v>2529</v>
      </c>
      <c r="F1239" s="3">
        <v>73312</v>
      </c>
      <c r="G1239" s="3">
        <v>5571</v>
      </c>
      <c r="H1239" s="3">
        <v>333</v>
      </c>
      <c r="I1239" s="4">
        <v>3964.5</v>
      </c>
      <c r="J1239" s="4">
        <v>57216.34</v>
      </c>
      <c r="K1239" s="3">
        <v>217</v>
      </c>
      <c r="L1239" s="2" t="s">
        <v>2539</v>
      </c>
      <c r="M1239" s="2" t="s">
        <v>2537</v>
      </c>
      <c r="N1239" t="str">
        <f>TRIM(PROPER(Tabla_auditoría[[#This Row],[ID_Campaña]]))</f>
        <v>Cmp-006</v>
      </c>
      <c r="O1239" t="str">
        <f>TRIM(PROPER(Tabla_auditoría[[#This Row],[Canal]]))</f>
        <v>Display</v>
      </c>
      <c r="P1239" t="str">
        <f>TRIM(PROPER(Tabla_auditoría[[#This Row],[País]]))</f>
        <v>Francia</v>
      </c>
      <c r="Q1239" t="str">
        <f>TRIM(PROPER(Tabla_auditoría[[#This Row],[Dispositivo]]))</f>
        <v>Mobile</v>
      </c>
      <c r="R1239" t="str">
        <f>TRIM(PROPER(Tabla_auditoría[[#This Row],[Tipo_Campaña]]))</f>
        <v>Conversión</v>
      </c>
      <c r="S1239" t="str">
        <f>TRIM(PROPER(Tabla_auditoría[[#This Row],[Responsable]]))</f>
        <v>Marta López</v>
      </c>
    </row>
    <row r="1240" spans="1:19" x14ac:dyDescent="0.3">
      <c r="A1240" s="1">
        <v>45926</v>
      </c>
      <c r="B1240" s="2" t="s">
        <v>2556</v>
      </c>
      <c r="C1240" s="2" t="s">
        <v>2543</v>
      </c>
      <c r="D1240" s="2" t="s">
        <v>2516</v>
      </c>
      <c r="E1240" s="2" t="s">
        <v>2517</v>
      </c>
      <c r="F1240" s="3">
        <v>59498</v>
      </c>
      <c r="G1240" s="3">
        <v>2660</v>
      </c>
      <c r="H1240" s="3">
        <v>320</v>
      </c>
      <c r="I1240" s="4">
        <v>4543.1400000000003</v>
      </c>
      <c r="J1240" s="4">
        <v>30915.71</v>
      </c>
      <c r="K1240" s="3">
        <v>248</v>
      </c>
      <c r="L1240" s="2" t="s">
        <v>2536</v>
      </c>
      <c r="M1240" s="2" t="s">
        <v>2524</v>
      </c>
      <c r="N1240" t="str">
        <f>TRIM(PROPER(Tabla_auditoría[[#This Row],[ID_Campaña]]))</f>
        <v>Cmp-014</v>
      </c>
      <c r="O1240" t="str">
        <f>TRIM(PROPER(Tabla_auditoría[[#This Row],[Canal]]))</f>
        <v>Organic Social</v>
      </c>
      <c r="P1240" t="str">
        <f>TRIM(PROPER(Tabla_auditoría[[#This Row],[País]]))</f>
        <v>México</v>
      </c>
      <c r="Q1240" t="str">
        <f>TRIM(PROPER(Tabla_auditoría[[#This Row],[Dispositivo]]))</f>
        <v>Desktop</v>
      </c>
      <c r="R1240" t="str">
        <f>TRIM(PROPER(Tabla_auditoría[[#This Row],[Tipo_Campaña]]))</f>
        <v>Reconocimiento</v>
      </c>
      <c r="S1240" t="str">
        <f>TRIM(PROPER(Tabla_auditoría[[#This Row],[Responsable]]))</f>
        <v>Luis Martín</v>
      </c>
    </row>
    <row r="1241" spans="1:19" x14ac:dyDescent="0.3">
      <c r="A1241" s="1">
        <v>45801</v>
      </c>
      <c r="B1241" s="2" t="s">
        <v>2569</v>
      </c>
      <c r="C1241" s="2" t="s">
        <v>2521</v>
      </c>
      <c r="D1241" s="2" t="s">
        <v>2525</v>
      </c>
      <c r="E1241" s="2" t="s">
        <v>2517</v>
      </c>
      <c r="F1241" s="3">
        <v>164120</v>
      </c>
      <c r="G1241" s="3">
        <v>6823</v>
      </c>
      <c r="H1241" s="3">
        <v>814</v>
      </c>
      <c r="I1241" s="4">
        <v>2517.8000000000002</v>
      </c>
      <c r="J1241" s="4">
        <v>108637.63</v>
      </c>
      <c r="K1241" s="3">
        <v>405</v>
      </c>
      <c r="L1241" s="2" t="s">
        <v>2523</v>
      </c>
      <c r="M1241" s="2" t="s">
        <v>2524</v>
      </c>
      <c r="N1241" t="str">
        <f>TRIM(PROPER(Tabla_auditoría[[#This Row],[ID_Campaña]]))</f>
        <v>Cmp-013</v>
      </c>
      <c r="O1241" t="str">
        <f>TRIM(PROPER(Tabla_auditoría[[#This Row],[Canal]]))</f>
        <v>Paid Search</v>
      </c>
      <c r="P1241" t="str">
        <f>TRIM(PROPER(Tabla_auditoría[[#This Row],[País]]))</f>
        <v>Francia</v>
      </c>
      <c r="Q1241" t="str">
        <f>TRIM(PROPER(Tabla_auditoría[[#This Row],[Dispositivo]]))</f>
        <v>Desktop</v>
      </c>
      <c r="R1241" t="str">
        <f>TRIM(PROPER(Tabla_auditoría[[#This Row],[Tipo_Campaña]]))</f>
        <v>Retención</v>
      </c>
      <c r="S1241" t="str">
        <f>TRIM(PROPER(Tabla_auditoría[[#This Row],[Responsable]]))</f>
        <v>Luis Martín</v>
      </c>
    </row>
    <row r="1242" spans="1:19" x14ac:dyDescent="0.3">
      <c r="A1242" s="1">
        <v>45679</v>
      </c>
      <c r="B1242" s="2" t="s">
        <v>2545</v>
      </c>
      <c r="C1242" s="2" t="s">
        <v>2553</v>
      </c>
      <c r="D1242" s="2" t="s">
        <v>2516</v>
      </c>
      <c r="E1242" s="2" t="s">
        <v>2517</v>
      </c>
      <c r="F1242" s="3">
        <v>142128</v>
      </c>
      <c r="G1242" s="3">
        <v>10568</v>
      </c>
      <c r="H1242" s="3">
        <v>1021</v>
      </c>
      <c r="I1242" s="4">
        <v>18019.88</v>
      </c>
      <c r="J1242" s="4">
        <v>38713.51</v>
      </c>
      <c r="K1242" s="3">
        <v>724</v>
      </c>
      <c r="L1242" s="2" t="s">
        <v>2523</v>
      </c>
      <c r="M1242" s="2" t="s">
        <v>2519</v>
      </c>
      <c r="N1242" t="str">
        <f>TRIM(PROPER(Tabla_auditoría[[#This Row],[ID_Campaña]]))</f>
        <v>Cmp-011</v>
      </c>
      <c r="O1242" t="str">
        <f>TRIM(PROPER(Tabla_auditoría[[#This Row],[Canal]]))</f>
        <v>Email</v>
      </c>
      <c r="P1242" t="str">
        <f>TRIM(PROPER(Tabla_auditoría[[#This Row],[País]]))</f>
        <v>México</v>
      </c>
      <c r="Q1242" t="str">
        <f>TRIM(PROPER(Tabla_auditoría[[#This Row],[Dispositivo]]))</f>
        <v>Desktop</v>
      </c>
      <c r="R1242" t="str">
        <f>TRIM(PROPER(Tabla_auditoría[[#This Row],[Tipo_Campaña]]))</f>
        <v>Retención</v>
      </c>
      <c r="S1242" t="str">
        <f>TRIM(PROPER(Tabla_auditoría[[#This Row],[Responsable]]))</f>
        <v>Carlos Ruiz</v>
      </c>
    </row>
    <row r="1243" spans="1:19" x14ac:dyDescent="0.3">
      <c r="A1243" s="1">
        <v>46007</v>
      </c>
      <c r="B1243" s="2" t="s">
        <v>2555</v>
      </c>
      <c r="C1243" s="2" t="s">
        <v>2543</v>
      </c>
      <c r="D1243" s="2" t="s">
        <v>2531</v>
      </c>
      <c r="E1243" s="2" t="s">
        <v>2517</v>
      </c>
      <c r="F1243" s="3">
        <v>109966</v>
      </c>
      <c r="G1243" s="3">
        <v>3138</v>
      </c>
      <c r="H1243" s="3">
        <v>27</v>
      </c>
      <c r="I1243" s="4">
        <v>479.66</v>
      </c>
      <c r="J1243" s="4">
        <v>2545.06</v>
      </c>
      <c r="K1243" s="3">
        <v>13</v>
      </c>
      <c r="L1243" s="2" t="s">
        <v>2536</v>
      </c>
      <c r="M1243" s="2" t="s">
        <v>2537</v>
      </c>
      <c r="N1243" t="str">
        <f>TRIM(PROPER(Tabla_auditoría[[#This Row],[ID_Campaña]]))</f>
        <v>Cmp-010</v>
      </c>
      <c r="O1243" t="str">
        <f>TRIM(PROPER(Tabla_auditoría[[#This Row],[Canal]]))</f>
        <v>Organic Social</v>
      </c>
      <c r="P1243" t="str">
        <f>TRIM(PROPER(Tabla_auditoría[[#This Row],[País]]))</f>
        <v>Portugal</v>
      </c>
      <c r="Q1243" t="str">
        <f>TRIM(PROPER(Tabla_auditoría[[#This Row],[Dispositivo]]))</f>
        <v>Desktop</v>
      </c>
      <c r="R1243" t="str">
        <f>TRIM(PROPER(Tabla_auditoría[[#This Row],[Tipo_Campaña]]))</f>
        <v>Reconocimiento</v>
      </c>
      <c r="S1243" t="str">
        <f>TRIM(PROPER(Tabla_auditoría[[#This Row],[Responsable]]))</f>
        <v>Marta López</v>
      </c>
    </row>
    <row r="1244" spans="1:19" x14ac:dyDescent="0.3">
      <c r="A1244" s="1">
        <v>45984</v>
      </c>
      <c r="B1244" s="2" t="s">
        <v>2532</v>
      </c>
      <c r="C1244" s="2" t="s">
        <v>2541</v>
      </c>
      <c r="D1244" s="2" t="s">
        <v>2528</v>
      </c>
      <c r="E1244" s="2" t="s">
        <v>2529</v>
      </c>
      <c r="F1244" s="3">
        <v>76750</v>
      </c>
      <c r="G1244" s="3">
        <v>1281</v>
      </c>
      <c r="H1244" s="3">
        <v>74</v>
      </c>
      <c r="I1244" s="4">
        <v>686.19</v>
      </c>
      <c r="J1244" s="4">
        <v>15437.98</v>
      </c>
      <c r="K1244" s="3">
        <v>47</v>
      </c>
      <c r="L1244" s="2" t="s">
        <v>2523</v>
      </c>
      <c r="M1244" s="2" t="s">
        <v>2526</v>
      </c>
      <c r="N1244" t="str">
        <f>TRIM(PROPER(Tabla_auditoría[[#This Row],[ID_Campaña]]))</f>
        <v>Cmp-022</v>
      </c>
      <c r="O1244" t="str">
        <f>TRIM(PROPER(Tabla_auditoría[[#This Row],[Canal]]))</f>
        <v>Display</v>
      </c>
      <c r="P1244" t="str">
        <f>TRIM(PROPER(Tabla_auditoría[[#This Row],[País]]))</f>
        <v>España</v>
      </c>
      <c r="Q1244" t="str">
        <f>TRIM(PROPER(Tabla_auditoría[[#This Row],[Dispositivo]]))</f>
        <v>Mobile</v>
      </c>
      <c r="R1244" t="str">
        <f>TRIM(PROPER(Tabla_auditoría[[#This Row],[Tipo_Campaña]]))</f>
        <v>Retención</v>
      </c>
      <c r="S1244" t="str">
        <f>TRIM(PROPER(Tabla_auditoría[[#This Row],[Responsable]]))</f>
        <v>Laura Pérez</v>
      </c>
    </row>
    <row r="1245" spans="1:19" x14ac:dyDescent="0.3">
      <c r="A1245" s="1">
        <v>46020</v>
      </c>
      <c r="B1245" s="2" t="s">
        <v>2535</v>
      </c>
      <c r="C1245" s="2" t="s">
        <v>2533</v>
      </c>
      <c r="D1245" s="2" t="s">
        <v>2528</v>
      </c>
      <c r="E1245" s="2" t="s">
        <v>2517</v>
      </c>
      <c r="F1245" s="3">
        <v>70389</v>
      </c>
      <c r="G1245" s="3">
        <v>5733</v>
      </c>
      <c r="H1245" s="3">
        <v>93</v>
      </c>
      <c r="I1245" s="4">
        <v>6849.53</v>
      </c>
      <c r="J1245" s="4">
        <v>7654.1</v>
      </c>
      <c r="K1245" s="3">
        <v>54</v>
      </c>
      <c r="L1245" s="2" t="s">
        <v>2536</v>
      </c>
      <c r="M1245" s="2" t="s">
        <v>2524</v>
      </c>
      <c r="N1245" t="str">
        <f>TRIM(PROPER(Tabla_auditoría[[#This Row],[ID_Campaña]]))</f>
        <v>Cmp-015</v>
      </c>
      <c r="O1245" t="str">
        <f>TRIM(PROPER(Tabla_auditoría[[#This Row],[Canal]]))</f>
        <v>Paid Social</v>
      </c>
      <c r="P1245" t="str">
        <f>TRIM(PROPER(Tabla_auditoría[[#This Row],[País]]))</f>
        <v>España</v>
      </c>
      <c r="Q1245" t="str">
        <f>TRIM(PROPER(Tabla_auditoría[[#This Row],[Dispositivo]]))</f>
        <v>Desktop</v>
      </c>
      <c r="R1245" t="str">
        <f>TRIM(PROPER(Tabla_auditoría[[#This Row],[Tipo_Campaña]]))</f>
        <v>Reconocimiento</v>
      </c>
      <c r="S1245" t="str">
        <f>TRIM(PROPER(Tabla_auditoría[[#This Row],[Responsable]]))</f>
        <v>Luis Martín</v>
      </c>
    </row>
    <row r="1246" spans="1:19" x14ac:dyDescent="0.3">
      <c r="A1246" s="1">
        <v>45671</v>
      </c>
      <c r="B1246" s="2" t="s">
        <v>2535</v>
      </c>
      <c r="C1246" s="2" t="s">
        <v>2543</v>
      </c>
      <c r="D1246" s="2" t="s">
        <v>2525</v>
      </c>
      <c r="E1246" s="2" t="s">
        <v>2517</v>
      </c>
      <c r="F1246" s="3">
        <v>109765</v>
      </c>
      <c r="G1246" s="3">
        <v>7029</v>
      </c>
      <c r="H1246" s="3">
        <v>813</v>
      </c>
      <c r="I1246" s="4">
        <v>13419.36</v>
      </c>
      <c r="J1246" s="4">
        <v>148226.91</v>
      </c>
      <c r="K1246" s="3">
        <v>513</v>
      </c>
      <c r="L1246" s="2" t="s">
        <v>2523</v>
      </c>
      <c r="M1246" s="2" t="s">
        <v>2546</v>
      </c>
      <c r="N1246" t="str">
        <f>TRIM(PROPER(Tabla_auditoría[[#This Row],[ID_Campaña]]))</f>
        <v>Cmp-015</v>
      </c>
      <c r="O1246" t="str">
        <f>TRIM(PROPER(Tabla_auditoría[[#This Row],[Canal]]))</f>
        <v>Organic Social</v>
      </c>
      <c r="P1246" t="str">
        <f>TRIM(PROPER(Tabla_auditoría[[#This Row],[País]]))</f>
        <v>Francia</v>
      </c>
      <c r="Q1246" t="str">
        <f>TRIM(PROPER(Tabla_auditoría[[#This Row],[Dispositivo]]))</f>
        <v>Desktop</v>
      </c>
      <c r="R1246" t="str">
        <f>TRIM(PROPER(Tabla_auditoría[[#This Row],[Tipo_Campaña]]))</f>
        <v>Retención</v>
      </c>
      <c r="S1246" t="str">
        <f>TRIM(PROPER(Tabla_auditoría[[#This Row],[Responsable]]))</f>
        <v>Ana García</v>
      </c>
    </row>
    <row r="1247" spans="1:19" x14ac:dyDescent="0.3">
      <c r="A1247" s="1">
        <v>45771</v>
      </c>
      <c r="B1247" s="2" t="s">
        <v>2569</v>
      </c>
      <c r="C1247" s="2" t="s">
        <v>2521</v>
      </c>
      <c r="D1247" s="2" t="s">
        <v>2531</v>
      </c>
      <c r="E1247" s="2" t="s">
        <v>2517</v>
      </c>
      <c r="F1247" s="3">
        <v>37477</v>
      </c>
      <c r="G1247" s="3">
        <v>405</v>
      </c>
      <c r="H1247" s="3">
        <v>6</v>
      </c>
      <c r="I1247" s="4">
        <v>624.71</v>
      </c>
      <c r="J1247" s="4">
        <v>885.51</v>
      </c>
      <c r="K1247" s="3">
        <v>3</v>
      </c>
      <c r="L1247" s="2" t="s">
        <v>2523</v>
      </c>
      <c r="M1247" s="2" t="s">
        <v>2546</v>
      </c>
      <c r="N1247" t="str">
        <f>TRIM(PROPER(Tabla_auditoría[[#This Row],[ID_Campaña]]))</f>
        <v>Cmp-013</v>
      </c>
      <c r="O1247" t="str">
        <f>TRIM(PROPER(Tabla_auditoría[[#This Row],[Canal]]))</f>
        <v>Paid Search</v>
      </c>
      <c r="P1247" t="str">
        <f>TRIM(PROPER(Tabla_auditoría[[#This Row],[País]]))</f>
        <v>Portugal</v>
      </c>
      <c r="Q1247" t="str">
        <f>TRIM(PROPER(Tabla_auditoría[[#This Row],[Dispositivo]]))</f>
        <v>Desktop</v>
      </c>
      <c r="R1247" t="str">
        <f>TRIM(PROPER(Tabla_auditoría[[#This Row],[Tipo_Campaña]]))</f>
        <v>Retención</v>
      </c>
      <c r="S1247" t="str">
        <f>TRIM(PROPER(Tabla_auditoría[[#This Row],[Responsable]]))</f>
        <v>Ana García</v>
      </c>
    </row>
    <row r="1248" spans="1:19" x14ac:dyDescent="0.3">
      <c r="A1248" s="1">
        <v>45998</v>
      </c>
      <c r="B1248" s="2" t="s">
        <v>2535</v>
      </c>
      <c r="C1248" s="2" t="s">
        <v>2515</v>
      </c>
      <c r="D1248" s="2" t="s">
        <v>2528</v>
      </c>
      <c r="E1248" s="2" t="s">
        <v>2517</v>
      </c>
      <c r="F1248" s="3">
        <v>116562</v>
      </c>
      <c r="G1248" s="3">
        <v>621</v>
      </c>
      <c r="H1248" s="3">
        <v>45</v>
      </c>
      <c r="I1248" s="4">
        <v>69.91</v>
      </c>
      <c r="J1248" s="4">
        <v>7351.7</v>
      </c>
      <c r="K1248" s="3">
        <v>20</v>
      </c>
      <c r="L1248" s="2" t="s">
        <v>2539</v>
      </c>
      <c r="M1248" s="2" t="s">
        <v>2546</v>
      </c>
      <c r="N1248" t="str">
        <f>TRIM(PROPER(Tabla_auditoría[[#This Row],[ID_Campaña]]))</f>
        <v>Cmp-015</v>
      </c>
      <c r="O1248" t="str">
        <f>TRIM(PROPER(Tabla_auditoría[[#This Row],[Canal]]))</f>
        <v>Email</v>
      </c>
      <c r="P1248" t="str">
        <f>TRIM(PROPER(Tabla_auditoría[[#This Row],[País]]))</f>
        <v>España</v>
      </c>
      <c r="Q1248" t="str">
        <f>TRIM(PROPER(Tabla_auditoría[[#This Row],[Dispositivo]]))</f>
        <v>Desktop</v>
      </c>
      <c r="R1248" t="str">
        <f>TRIM(PROPER(Tabla_auditoría[[#This Row],[Tipo_Campaña]]))</f>
        <v>Conversión</v>
      </c>
      <c r="S1248" t="str">
        <f>TRIM(PROPER(Tabla_auditoría[[#This Row],[Responsable]]))</f>
        <v>Ana García</v>
      </c>
    </row>
    <row r="1249" spans="1:19" x14ac:dyDescent="0.3">
      <c r="A1249" s="1">
        <v>45935</v>
      </c>
      <c r="B1249" s="2" t="s">
        <v>2547</v>
      </c>
      <c r="C1249" s="2" t="s">
        <v>2515</v>
      </c>
      <c r="D1249" s="2" t="s">
        <v>2522</v>
      </c>
      <c r="E1249" s="2" t="s">
        <v>2517</v>
      </c>
      <c r="F1249" s="3">
        <v>138666</v>
      </c>
      <c r="G1249" s="3">
        <v>1973</v>
      </c>
      <c r="H1249" s="3">
        <v>248</v>
      </c>
      <c r="I1249" s="4">
        <v>4095.1</v>
      </c>
      <c r="J1249" s="4">
        <v>34064.93</v>
      </c>
      <c r="K1249" s="3">
        <v>155</v>
      </c>
      <c r="L1249" s="2" t="s">
        <v>2539</v>
      </c>
      <c r="M1249" s="2" t="s">
        <v>2524</v>
      </c>
      <c r="N1249" t="str">
        <f>TRIM(PROPER(Tabla_auditoría[[#This Row],[ID_Campaña]]))</f>
        <v>Cmp-018</v>
      </c>
      <c r="O1249" t="str">
        <f>TRIM(PROPER(Tabla_auditoría[[#This Row],[Canal]]))</f>
        <v>Email</v>
      </c>
      <c r="P1249" t="str">
        <f>TRIM(PROPER(Tabla_auditoría[[#This Row],[País]]))</f>
        <v>Italia</v>
      </c>
      <c r="Q1249" t="str">
        <f>TRIM(PROPER(Tabla_auditoría[[#This Row],[Dispositivo]]))</f>
        <v>Desktop</v>
      </c>
      <c r="R1249" t="str">
        <f>TRIM(PROPER(Tabla_auditoría[[#This Row],[Tipo_Campaña]]))</f>
        <v>Conversión</v>
      </c>
      <c r="S1249" t="str">
        <f>TRIM(PROPER(Tabla_auditoría[[#This Row],[Responsable]]))</f>
        <v>Luis Martín</v>
      </c>
    </row>
    <row r="1250" spans="1:19" x14ac:dyDescent="0.3">
      <c r="A1250" s="1">
        <v>45869</v>
      </c>
      <c r="B1250" s="2" t="s">
        <v>2570</v>
      </c>
      <c r="C1250" s="2" t="s">
        <v>2515</v>
      </c>
      <c r="D1250" s="2" t="s">
        <v>2516</v>
      </c>
      <c r="E1250" s="2" t="s">
        <v>2529</v>
      </c>
      <c r="F1250" s="3">
        <v>62801</v>
      </c>
      <c r="G1250" s="3">
        <v>349</v>
      </c>
      <c r="H1250" s="3">
        <v>44</v>
      </c>
      <c r="I1250" s="4">
        <v>162.9</v>
      </c>
      <c r="J1250" s="4">
        <v>8526.7800000000007</v>
      </c>
      <c r="K1250" s="3">
        <v>31</v>
      </c>
      <c r="L1250" s="2" t="s">
        <v>2536</v>
      </c>
      <c r="M1250" s="2" t="s">
        <v>2524</v>
      </c>
      <c r="N1250" t="str">
        <f>TRIM(PROPER(Tabla_auditoría[[#This Row],[ID_Campaña]]))</f>
        <v>Cmp-016</v>
      </c>
      <c r="O1250" t="str">
        <f>TRIM(PROPER(Tabla_auditoría[[#This Row],[Canal]]))</f>
        <v>Email</v>
      </c>
      <c r="P1250" t="str">
        <f>TRIM(PROPER(Tabla_auditoría[[#This Row],[País]]))</f>
        <v>México</v>
      </c>
      <c r="Q1250" t="str">
        <f>TRIM(PROPER(Tabla_auditoría[[#This Row],[Dispositivo]]))</f>
        <v>Mobile</v>
      </c>
      <c r="R1250" t="str">
        <f>TRIM(PROPER(Tabla_auditoría[[#This Row],[Tipo_Campaña]]))</f>
        <v>Reconocimiento</v>
      </c>
      <c r="S1250" t="str">
        <f>TRIM(PROPER(Tabla_auditoría[[#This Row],[Responsable]]))</f>
        <v>Luis Martín</v>
      </c>
    </row>
    <row r="1251" spans="1:19" x14ac:dyDescent="0.3">
      <c r="A1251" s="1">
        <v>45774</v>
      </c>
      <c r="B1251" s="2" t="s">
        <v>2540</v>
      </c>
      <c r="D1251" s="2" t="s">
        <v>2587</v>
      </c>
      <c r="E1251" s="2" t="s">
        <v>2517</v>
      </c>
      <c r="F1251" s="3">
        <v>47752</v>
      </c>
      <c r="G1251" s="3">
        <v>1936</v>
      </c>
      <c r="H1251" s="3">
        <v>264</v>
      </c>
      <c r="I1251" s="4">
        <v>1087.76</v>
      </c>
      <c r="J1251" s="4">
        <v>31600.35</v>
      </c>
      <c r="K1251" s="3">
        <v>237</v>
      </c>
      <c r="L1251" s="2" t="s">
        <v>2518</v>
      </c>
      <c r="M1251" s="2" t="s">
        <v>2519</v>
      </c>
      <c r="N1251" t="str">
        <f>TRIM(PROPER(Tabla_auditoría[[#This Row],[ID_Campaña]]))</f>
        <v>Cmp-017</v>
      </c>
      <c r="O1251" t="str">
        <f>TRIM(PROPER(Tabla_auditoría[[#This Row],[Canal]]))</f>
        <v/>
      </c>
      <c r="P1251" t="str">
        <f>TRIM(PROPER(Tabla_auditoría[[#This Row],[País]]))</f>
        <v>Italia</v>
      </c>
      <c r="Q1251" t="str">
        <f>TRIM(PROPER(Tabla_auditoría[[#This Row],[Dispositivo]]))</f>
        <v>Desktop</v>
      </c>
      <c r="R1251" t="str">
        <f>TRIM(PROPER(Tabla_auditoría[[#This Row],[Tipo_Campaña]]))</f>
        <v>Adquisición</v>
      </c>
      <c r="S1251" t="str">
        <f>TRIM(PROPER(Tabla_auditoría[[#This Row],[Responsable]]))</f>
        <v>Carlos Ruiz</v>
      </c>
    </row>
    <row r="1252" spans="1:19" x14ac:dyDescent="0.3">
      <c r="A1252" s="1">
        <v>45675</v>
      </c>
      <c r="B1252" s="2" t="s">
        <v>2571</v>
      </c>
      <c r="C1252" s="2" t="s">
        <v>2543</v>
      </c>
      <c r="D1252" s="2" t="s">
        <v>2528</v>
      </c>
      <c r="E1252" s="2" t="s">
        <v>2529</v>
      </c>
      <c r="F1252" s="3">
        <v>57300</v>
      </c>
      <c r="G1252" s="3">
        <v>1466</v>
      </c>
      <c r="H1252" s="3">
        <v>71</v>
      </c>
      <c r="I1252" s="4">
        <v>1091.8</v>
      </c>
      <c r="J1252" s="4">
        <v>6749.69</v>
      </c>
      <c r="K1252" s="3">
        <v>55</v>
      </c>
      <c r="L1252" s="2" t="s">
        <v>2518</v>
      </c>
      <c r="M1252" s="2" t="s">
        <v>2526</v>
      </c>
      <c r="N1252" t="str">
        <f>TRIM(PROPER(Tabla_auditoría[[#This Row],[ID_Campaña]]))</f>
        <v>Cmp-029</v>
      </c>
      <c r="O1252" t="str">
        <f>TRIM(PROPER(Tabla_auditoría[[#This Row],[Canal]]))</f>
        <v>Organic Social</v>
      </c>
      <c r="P1252" t="str">
        <f>TRIM(PROPER(Tabla_auditoría[[#This Row],[País]]))</f>
        <v>España</v>
      </c>
      <c r="Q1252" t="str">
        <f>TRIM(PROPER(Tabla_auditoría[[#This Row],[Dispositivo]]))</f>
        <v>Mobile</v>
      </c>
      <c r="R1252" t="str">
        <f>TRIM(PROPER(Tabla_auditoría[[#This Row],[Tipo_Campaña]]))</f>
        <v>Adquisición</v>
      </c>
      <c r="S1252" t="str">
        <f>TRIM(PROPER(Tabla_auditoría[[#This Row],[Responsable]]))</f>
        <v>Laura Pérez</v>
      </c>
    </row>
    <row r="1253" spans="1:19" x14ac:dyDescent="0.3">
      <c r="A1253" s="1">
        <v>45839</v>
      </c>
      <c r="B1253" s="2" t="s">
        <v>2560</v>
      </c>
      <c r="C1253" s="2" t="s">
        <v>2515</v>
      </c>
      <c r="D1253" s="2" t="s">
        <v>2528</v>
      </c>
      <c r="E1253" s="2" t="s">
        <v>2529</v>
      </c>
      <c r="F1253" s="3">
        <v>143790</v>
      </c>
      <c r="G1253" s="3">
        <v>8223</v>
      </c>
      <c r="H1253" s="3">
        <v>819</v>
      </c>
      <c r="I1253" s="4">
        <v>11984.24</v>
      </c>
      <c r="J1253" s="4">
        <v>40187.07</v>
      </c>
      <c r="K1253" s="3">
        <v>646</v>
      </c>
      <c r="L1253" s="2" t="s">
        <v>2536</v>
      </c>
      <c r="M1253" s="2" t="s">
        <v>2537</v>
      </c>
      <c r="N1253" t="str">
        <f>TRIM(PROPER(Tabla_auditoría[[#This Row],[ID_Campaña]]))</f>
        <v>Cmp-027</v>
      </c>
      <c r="O1253" t="str">
        <f>TRIM(PROPER(Tabla_auditoría[[#This Row],[Canal]]))</f>
        <v>Email</v>
      </c>
      <c r="P1253" t="str">
        <f>TRIM(PROPER(Tabla_auditoría[[#This Row],[País]]))</f>
        <v>España</v>
      </c>
      <c r="Q1253" t="str">
        <f>TRIM(PROPER(Tabla_auditoría[[#This Row],[Dispositivo]]))</f>
        <v>Mobile</v>
      </c>
      <c r="R1253" t="str">
        <f>TRIM(PROPER(Tabla_auditoría[[#This Row],[Tipo_Campaña]]))</f>
        <v>Reconocimiento</v>
      </c>
      <c r="S1253" t="str">
        <f>TRIM(PROPER(Tabla_auditoría[[#This Row],[Responsable]]))</f>
        <v>Marta López</v>
      </c>
    </row>
    <row r="1254" spans="1:19" x14ac:dyDescent="0.3">
      <c r="A1254" s="1">
        <v>45798</v>
      </c>
      <c r="B1254" s="2" t="s">
        <v>2542</v>
      </c>
      <c r="C1254" s="2" t="s">
        <v>2558</v>
      </c>
      <c r="D1254" s="2" t="s">
        <v>2531</v>
      </c>
      <c r="E1254" s="2" t="s">
        <v>2517</v>
      </c>
      <c r="F1254" s="3">
        <v>113661</v>
      </c>
      <c r="G1254" s="3">
        <v>6897</v>
      </c>
      <c r="H1254" s="3">
        <v>401</v>
      </c>
      <c r="I1254" s="4">
        <v>5828.71</v>
      </c>
      <c r="J1254" s="4">
        <v>30387.32</v>
      </c>
      <c r="K1254" s="3">
        <v>260</v>
      </c>
      <c r="L1254" s="2" t="s">
        <v>2536</v>
      </c>
      <c r="M1254" s="2" t="s">
        <v>2526</v>
      </c>
      <c r="N1254" t="str">
        <f>TRIM(PROPER(Tabla_auditoría[[#This Row],[ID_Campaña]]))</f>
        <v>Cmp-025</v>
      </c>
      <c r="O1254" t="str">
        <f>TRIM(PROPER(Tabla_auditoría[[#This Row],[Canal]]))</f>
        <v>Paid Social</v>
      </c>
      <c r="P1254" t="str">
        <f>TRIM(PROPER(Tabla_auditoría[[#This Row],[País]]))</f>
        <v>Portugal</v>
      </c>
      <c r="Q1254" t="str">
        <f>TRIM(PROPER(Tabla_auditoría[[#This Row],[Dispositivo]]))</f>
        <v>Desktop</v>
      </c>
      <c r="R1254" t="str">
        <f>TRIM(PROPER(Tabla_auditoría[[#This Row],[Tipo_Campaña]]))</f>
        <v>Reconocimiento</v>
      </c>
      <c r="S1254" t="str">
        <f>TRIM(PROPER(Tabla_auditoría[[#This Row],[Responsable]]))</f>
        <v>Laura Pérez</v>
      </c>
    </row>
    <row r="1255" spans="1:19" x14ac:dyDescent="0.3">
      <c r="A1255" s="1">
        <v>45724</v>
      </c>
      <c r="B1255" s="2" t="s">
        <v>2532</v>
      </c>
      <c r="C1255" s="2" t="s">
        <v>2541</v>
      </c>
      <c r="D1255" s="2" t="s">
        <v>2525</v>
      </c>
      <c r="E1255" s="2" t="s">
        <v>2529</v>
      </c>
      <c r="F1255" s="3">
        <v>135731</v>
      </c>
      <c r="G1255" s="3">
        <v>3895</v>
      </c>
      <c r="H1255" s="3">
        <v>344</v>
      </c>
      <c r="I1255" s="4">
        <v>4658.2299999999996</v>
      </c>
      <c r="J1255" s="4">
        <v>16750.2</v>
      </c>
      <c r="K1255" s="3">
        <v>175</v>
      </c>
      <c r="L1255" s="2" t="s">
        <v>2518</v>
      </c>
      <c r="M1255" s="2" t="s">
        <v>2546</v>
      </c>
      <c r="N1255" t="str">
        <f>TRIM(PROPER(Tabla_auditoría[[#This Row],[ID_Campaña]]))</f>
        <v>Cmp-022</v>
      </c>
      <c r="O1255" t="str">
        <f>TRIM(PROPER(Tabla_auditoría[[#This Row],[Canal]]))</f>
        <v>Display</v>
      </c>
      <c r="P1255" t="str">
        <f>TRIM(PROPER(Tabla_auditoría[[#This Row],[País]]))</f>
        <v>Francia</v>
      </c>
      <c r="Q1255" t="str">
        <f>TRIM(PROPER(Tabla_auditoría[[#This Row],[Dispositivo]]))</f>
        <v>Mobile</v>
      </c>
      <c r="R1255" t="str">
        <f>TRIM(PROPER(Tabla_auditoría[[#This Row],[Tipo_Campaña]]))</f>
        <v>Adquisición</v>
      </c>
      <c r="S1255" t="str">
        <f>TRIM(PROPER(Tabla_auditoría[[#This Row],[Responsable]]))</f>
        <v>Ana García</v>
      </c>
    </row>
    <row r="1256" spans="1:19" x14ac:dyDescent="0.3">
      <c r="A1256" s="1">
        <v>45713</v>
      </c>
      <c r="B1256" s="2" t="s">
        <v>2568</v>
      </c>
      <c r="C1256" s="2" t="s">
        <v>2521</v>
      </c>
      <c r="D1256" s="2" t="s">
        <v>2516</v>
      </c>
      <c r="E1256" s="2" t="s">
        <v>2529</v>
      </c>
      <c r="F1256" s="3">
        <v>143003</v>
      </c>
      <c r="G1256" s="3">
        <v>2900</v>
      </c>
      <c r="H1256" s="3">
        <v>86</v>
      </c>
      <c r="I1256" s="4">
        <v>968.8</v>
      </c>
      <c r="J1256" s="4">
        <v>8100</v>
      </c>
      <c r="K1256" s="3">
        <v>60</v>
      </c>
      <c r="L1256" s="2" t="s">
        <v>2518</v>
      </c>
      <c r="M1256" s="2" t="s">
        <v>2537</v>
      </c>
      <c r="N1256" t="str">
        <f>TRIM(PROPER(Tabla_auditoría[[#This Row],[ID_Campaña]]))</f>
        <v>Cmp-020</v>
      </c>
      <c r="O1256" t="str">
        <f>TRIM(PROPER(Tabla_auditoría[[#This Row],[Canal]]))</f>
        <v>Paid Search</v>
      </c>
      <c r="P1256" t="str">
        <f>TRIM(PROPER(Tabla_auditoría[[#This Row],[País]]))</f>
        <v>México</v>
      </c>
      <c r="Q1256" t="str">
        <f>TRIM(PROPER(Tabla_auditoría[[#This Row],[Dispositivo]]))</f>
        <v>Mobile</v>
      </c>
      <c r="R1256" t="str">
        <f>TRIM(PROPER(Tabla_auditoría[[#This Row],[Tipo_Campaña]]))</f>
        <v>Adquisición</v>
      </c>
      <c r="S1256" t="str">
        <f>TRIM(PROPER(Tabla_auditoría[[#This Row],[Responsable]]))</f>
        <v>Marta López</v>
      </c>
    </row>
    <row r="1257" spans="1:19" x14ac:dyDescent="0.3">
      <c r="A1257" s="1">
        <v>45782</v>
      </c>
      <c r="B1257" s="2" t="s">
        <v>2538</v>
      </c>
      <c r="C1257" s="2" t="s">
        <v>2543</v>
      </c>
      <c r="D1257" s="2" t="s">
        <v>2525</v>
      </c>
      <c r="E1257" s="2" t="s">
        <v>2517</v>
      </c>
      <c r="F1257" s="3">
        <v>23984</v>
      </c>
      <c r="G1257" s="3">
        <v>217</v>
      </c>
      <c r="H1257" s="3">
        <v>21</v>
      </c>
      <c r="I1257" s="4">
        <v>449.75</v>
      </c>
      <c r="J1257" s="4">
        <v>3256.86</v>
      </c>
      <c r="K1257" s="3">
        <v>16</v>
      </c>
      <c r="L1257" s="2" t="s">
        <v>2536</v>
      </c>
      <c r="M1257" s="2" t="s">
        <v>2526</v>
      </c>
      <c r="N1257" t="str">
        <f>TRIM(PROPER(Tabla_auditoría[[#This Row],[ID_Campaña]]))</f>
        <v>Cmp-004</v>
      </c>
      <c r="O1257" t="str">
        <f>TRIM(PROPER(Tabla_auditoría[[#This Row],[Canal]]))</f>
        <v>Organic Social</v>
      </c>
      <c r="P1257" t="str">
        <f>TRIM(PROPER(Tabla_auditoría[[#This Row],[País]]))</f>
        <v>Francia</v>
      </c>
      <c r="Q1257" t="str">
        <f>TRIM(PROPER(Tabla_auditoría[[#This Row],[Dispositivo]]))</f>
        <v>Desktop</v>
      </c>
      <c r="R1257" t="str">
        <f>TRIM(PROPER(Tabla_auditoría[[#This Row],[Tipo_Campaña]]))</f>
        <v>Reconocimiento</v>
      </c>
      <c r="S1257" t="str">
        <f>TRIM(PROPER(Tabla_auditoría[[#This Row],[Responsable]]))</f>
        <v>Laura Pérez</v>
      </c>
    </row>
    <row r="1258" spans="1:19" x14ac:dyDescent="0.3">
      <c r="A1258" s="1">
        <v>45935</v>
      </c>
      <c r="B1258" s="2" t="s">
        <v>2520</v>
      </c>
      <c r="C1258" s="2" t="s">
        <v>2543</v>
      </c>
      <c r="D1258" s="2" t="s">
        <v>2528</v>
      </c>
      <c r="E1258" s="2" t="s">
        <v>2517</v>
      </c>
      <c r="F1258" s="3">
        <v>80289</v>
      </c>
      <c r="G1258" s="3">
        <v>5767</v>
      </c>
      <c r="H1258" s="3">
        <v>43</v>
      </c>
      <c r="I1258" s="4">
        <v>11205.21</v>
      </c>
      <c r="J1258" s="4">
        <v>4062.18</v>
      </c>
      <c r="K1258" s="3">
        <v>32</v>
      </c>
      <c r="L1258" s="2" t="s">
        <v>2536</v>
      </c>
      <c r="M1258" s="2" t="s">
        <v>2537</v>
      </c>
      <c r="N1258" t="str">
        <f>TRIM(PROPER(Tabla_auditoría[[#This Row],[ID_Campaña]]))</f>
        <v>Cmp-009</v>
      </c>
      <c r="O1258" t="str">
        <f>TRIM(PROPER(Tabla_auditoría[[#This Row],[Canal]]))</f>
        <v>Organic Social</v>
      </c>
      <c r="P1258" t="str">
        <f>TRIM(PROPER(Tabla_auditoría[[#This Row],[País]]))</f>
        <v>España</v>
      </c>
      <c r="Q1258" t="str">
        <f>TRIM(PROPER(Tabla_auditoría[[#This Row],[Dispositivo]]))</f>
        <v>Desktop</v>
      </c>
      <c r="R1258" t="str">
        <f>TRIM(PROPER(Tabla_auditoría[[#This Row],[Tipo_Campaña]]))</f>
        <v>Reconocimiento</v>
      </c>
      <c r="S1258" t="str">
        <f>TRIM(PROPER(Tabla_auditoría[[#This Row],[Responsable]]))</f>
        <v>Marta López</v>
      </c>
    </row>
    <row r="1259" spans="1:19" x14ac:dyDescent="0.3">
      <c r="A1259" s="1">
        <v>45992</v>
      </c>
      <c r="B1259" s="2" t="s">
        <v>2574</v>
      </c>
      <c r="C1259" s="2" t="s">
        <v>2515</v>
      </c>
      <c r="D1259" s="2" t="s">
        <v>2525</v>
      </c>
      <c r="E1259" s="2" t="s">
        <v>2517</v>
      </c>
      <c r="F1259" s="3">
        <v>25525</v>
      </c>
      <c r="G1259" s="3">
        <v>1952</v>
      </c>
      <c r="H1259" s="3">
        <v>272</v>
      </c>
      <c r="I1259" s="4">
        <v>3800.76</v>
      </c>
      <c r="J1259" s="4">
        <v>42615.06</v>
      </c>
      <c r="K1259" s="3">
        <v>127</v>
      </c>
      <c r="L1259" s="2" t="s">
        <v>2523</v>
      </c>
      <c r="M1259" s="2" t="s">
        <v>2526</v>
      </c>
      <c r="N1259" t="str">
        <f>TRIM(PROPER(Tabla_auditoría[[#This Row],[ID_Campaña]]))</f>
        <v>Cmp-003</v>
      </c>
      <c r="O1259" t="str">
        <f>TRIM(PROPER(Tabla_auditoría[[#This Row],[Canal]]))</f>
        <v>Email</v>
      </c>
      <c r="P1259" t="str">
        <f>TRIM(PROPER(Tabla_auditoría[[#This Row],[País]]))</f>
        <v>Francia</v>
      </c>
      <c r="Q1259" t="str">
        <f>TRIM(PROPER(Tabla_auditoría[[#This Row],[Dispositivo]]))</f>
        <v>Desktop</v>
      </c>
      <c r="R1259" t="str">
        <f>TRIM(PROPER(Tabla_auditoría[[#This Row],[Tipo_Campaña]]))</f>
        <v>Retención</v>
      </c>
      <c r="S1259" t="str">
        <f>TRIM(PROPER(Tabla_auditoría[[#This Row],[Responsable]]))</f>
        <v>Laura Pérez</v>
      </c>
    </row>
    <row r="1260" spans="1:19" x14ac:dyDescent="0.3">
      <c r="A1260" s="1">
        <v>46002</v>
      </c>
      <c r="B1260" s="2" t="s">
        <v>2567</v>
      </c>
      <c r="C1260" s="2" t="s">
        <v>2521</v>
      </c>
      <c r="D1260" s="2" t="s">
        <v>2525</v>
      </c>
      <c r="E1260" s="2" t="s">
        <v>2517</v>
      </c>
      <c r="F1260" s="3">
        <v>162914</v>
      </c>
      <c r="G1260" s="3">
        <v>11368</v>
      </c>
      <c r="H1260" s="3">
        <v>363</v>
      </c>
      <c r="I1260" s="4">
        <v>2530.7800000000002</v>
      </c>
      <c r="J1260" s="4">
        <v>23289.55</v>
      </c>
      <c r="K1260" s="3">
        <v>289</v>
      </c>
      <c r="L1260" s="2" t="s">
        <v>2523</v>
      </c>
      <c r="M1260" s="2" t="s">
        <v>2526</v>
      </c>
      <c r="N1260" t="str">
        <f>TRIM(PROPER(Tabla_auditoría[[#This Row],[ID_Campaña]]))</f>
        <v>Cmp-021</v>
      </c>
      <c r="O1260" t="str">
        <f>TRIM(PROPER(Tabla_auditoría[[#This Row],[Canal]]))</f>
        <v>Paid Search</v>
      </c>
      <c r="P1260" t="str">
        <f>TRIM(PROPER(Tabla_auditoría[[#This Row],[País]]))</f>
        <v>Francia</v>
      </c>
      <c r="Q1260" t="str">
        <f>TRIM(PROPER(Tabla_auditoría[[#This Row],[Dispositivo]]))</f>
        <v>Desktop</v>
      </c>
      <c r="R1260" t="str">
        <f>TRIM(PROPER(Tabla_auditoría[[#This Row],[Tipo_Campaña]]))</f>
        <v>Retención</v>
      </c>
      <c r="S1260" t="str">
        <f>TRIM(PROPER(Tabla_auditoría[[#This Row],[Responsable]]))</f>
        <v>Laura Pérez</v>
      </c>
    </row>
    <row r="1261" spans="1:19" x14ac:dyDescent="0.3">
      <c r="A1261" s="1">
        <v>45958</v>
      </c>
      <c r="B1261" s="2" t="s">
        <v>2554</v>
      </c>
      <c r="C1261" s="2" t="s">
        <v>2533</v>
      </c>
      <c r="D1261" s="2" t="s">
        <v>2528</v>
      </c>
      <c r="E1261" s="2" t="s">
        <v>2529</v>
      </c>
      <c r="F1261" s="3">
        <v>69332</v>
      </c>
      <c r="G1261" s="3">
        <v>4558</v>
      </c>
      <c r="H1261" s="3">
        <v>76</v>
      </c>
      <c r="I1261" s="4">
        <v>6345.7</v>
      </c>
      <c r="J1261" s="4">
        <v>9773.16</v>
      </c>
      <c r="K1261" s="3">
        <v>61</v>
      </c>
      <c r="L1261" s="2" t="s">
        <v>2518</v>
      </c>
      <c r="M1261" s="2" t="s">
        <v>2519</v>
      </c>
      <c r="N1261" t="str">
        <f>TRIM(PROPER(Tabla_auditoría[[#This Row],[ID_Campaña]]))</f>
        <v>Cmp-019</v>
      </c>
      <c r="O1261" t="str">
        <f>TRIM(PROPER(Tabla_auditoría[[#This Row],[Canal]]))</f>
        <v>Paid Social</v>
      </c>
      <c r="P1261" t="str">
        <f>TRIM(PROPER(Tabla_auditoría[[#This Row],[País]]))</f>
        <v>España</v>
      </c>
      <c r="Q1261" t="str">
        <f>TRIM(PROPER(Tabla_auditoría[[#This Row],[Dispositivo]]))</f>
        <v>Mobile</v>
      </c>
      <c r="R1261" t="str">
        <f>TRIM(PROPER(Tabla_auditoría[[#This Row],[Tipo_Campaña]]))</f>
        <v>Adquisición</v>
      </c>
      <c r="S1261" t="str">
        <f>TRIM(PROPER(Tabla_auditoría[[#This Row],[Responsable]]))</f>
        <v>Carlos Ruiz</v>
      </c>
    </row>
    <row r="1262" spans="1:19" x14ac:dyDescent="0.3">
      <c r="A1262" s="1">
        <v>45859</v>
      </c>
      <c r="B1262" s="2" t="s">
        <v>2540</v>
      </c>
      <c r="C1262" s="2" t="s">
        <v>2533</v>
      </c>
      <c r="D1262" s="2" t="s">
        <v>2528</v>
      </c>
      <c r="E1262" s="2" t="s">
        <v>2529</v>
      </c>
      <c r="F1262" s="3">
        <v>57137</v>
      </c>
      <c r="G1262" s="3">
        <v>2229</v>
      </c>
      <c r="H1262" s="3">
        <v>284</v>
      </c>
      <c r="I1262" s="4">
        <v>1124.78</v>
      </c>
      <c r="J1262" s="4">
        <v>39241.07</v>
      </c>
      <c r="K1262" s="3">
        <v>168</v>
      </c>
      <c r="L1262" s="2" t="s">
        <v>2523</v>
      </c>
      <c r="M1262" s="2" t="s">
        <v>2524</v>
      </c>
      <c r="N1262" t="str">
        <f>TRIM(PROPER(Tabla_auditoría[[#This Row],[ID_Campaña]]))</f>
        <v>Cmp-017</v>
      </c>
      <c r="O1262" t="str">
        <f>TRIM(PROPER(Tabla_auditoría[[#This Row],[Canal]]))</f>
        <v>Paid Social</v>
      </c>
      <c r="P1262" t="str">
        <f>TRIM(PROPER(Tabla_auditoría[[#This Row],[País]]))</f>
        <v>España</v>
      </c>
      <c r="Q1262" t="str">
        <f>TRIM(PROPER(Tabla_auditoría[[#This Row],[Dispositivo]]))</f>
        <v>Mobile</v>
      </c>
      <c r="R1262" t="str">
        <f>TRIM(PROPER(Tabla_auditoría[[#This Row],[Tipo_Campaña]]))</f>
        <v>Retención</v>
      </c>
      <c r="S1262" t="str">
        <f>TRIM(PROPER(Tabla_auditoría[[#This Row],[Responsable]]))</f>
        <v>Luis Martín</v>
      </c>
    </row>
    <row r="1263" spans="1:19" x14ac:dyDescent="0.3">
      <c r="A1263" s="1">
        <v>46007</v>
      </c>
      <c r="B1263" s="2" t="s">
        <v>2544</v>
      </c>
      <c r="C1263" s="2" t="s">
        <v>2527</v>
      </c>
      <c r="D1263" s="2" t="s">
        <v>2525</v>
      </c>
      <c r="E1263" s="2" t="s">
        <v>2517</v>
      </c>
      <c r="F1263" s="3">
        <v>178438</v>
      </c>
      <c r="G1263" s="3">
        <v>14567</v>
      </c>
      <c r="H1263" s="3">
        <v>1255</v>
      </c>
      <c r="I1263" s="4">
        <v>7878.24</v>
      </c>
      <c r="J1263" s="4">
        <v>124885.36</v>
      </c>
      <c r="K1263" s="3">
        <v>955</v>
      </c>
      <c r="L1263" s="2" t="s">
        <v>2536</v>
      </c>
      <c r="M1263" s="2" t="s">
        <v>2524</v>
      </c>
      <c r="N1263" t="str">
        <f>TRIM(PROPER(Tabla_auditoría[[#This Row],[ID_Campaña]]))</f>
        <v>Cmp-006</v>
      </c>
      <c r="O1263" t="str">
        <f>TRIM(PROPER(Tabla_auditoría[[#This Row],[Canal]]))</f>
        <v>Affiliate</v>
      </c>
      <c r="P1263" t="str">
        <f>TRIM(PROPER(Tabla_auditoría[[#This Row],[País]]))</f>
        <v>Francia</v>
      </c>
      <c r="Q1263" t="str">
        <f>TRIM(PROPER(Tabla_auditoría[[#This Row],[Dispositivo]]))</f>
        <v>Desktop</v>
      </c>
      <c r="R1263" t="str">
        <f>TRIM(PROPER(Tabla_auditoría[[#This Row],[Tipo_Campaña]]))</f>
        <v>Reconocimiento</v>
      </c>
      <c r="S1263" t="str">
        <f>TRIM(PROPER(Tabla_auditoría[[#This Row],[Responsable]]))</f>
        <v>Luis Martín</v>
      </c>
    </row>
    <row r="1264" spans="1:19" x14ac:dyDescent="0.3">
      <c r="A1264" s="1">
        <v>45769</v>
      </c>
      <c r="B1264" s="2" t="s">
        <v>2569</v>
      </c>
      <c r="C1264" s="2" t="s">
        <v>2575</v>
      </c>
      <c r="D1264" s="2" t="s">
        <v>2522</v>
      </c>
      <c r="E1264" s="2" t="s">
        <v>2517</v>
      </c>
      <c r="F1264" s="3">
        <v>166207</v>
      </c>
      <c r="G1264" s="3">
        <v>2223</v>
      </c>
      <c r="H1264" s="3">
        <v>186</v>
      </c>
      <c r="I1264" s="4">
        <v>1244.1300000000001</v>
      </c>
      <c r="J1264" s="4">
        <v>10414.39</v>
      </c>
      <c r="K1264" s="3">
        <v>136</v>
      </c>
      <c r="L1264" s="2" t="s">
        <v>2523</v>
      </c>
      <c r="M1264" s="2" t="s">
        <v>2526</v>
      </c>
      <c r="N1264" t="str">
        <f>TRIM(PROPER(Tabla_auditoría[[#This Row],[ID_Campaña]]))</f>
        <v>Cmp-013</v>
      </c>
      <c r="O1264" t="str">
        <f>TRIM(PROPER(Tabla_auditoría[[#This Row],[Canal]]))</f>
        <v>Paid Search</v>
      </c>
      <c r="P1264" t="str">
        <f>TRIM(PROPER(Tabla_auditoría[[#This Row],[País]]))</f>
        <v>Italia</v>
      </c>
      <c r="Q1264" t="str">
        <f>TRIM(PROPER(Tabla_auditoría[[#This Row],[Dispositivo]]))</f>
        <v>Desktop</v>
      </c>
      <c r="R1264" t="str">
        <f>TRIM(PROPER(Tabla_auditoría[[#This Row],[Tipo_Campaña]]))</f>
        <v>Retención</v>
      </c>
      <c r="S1264" t="str">
        <f>TRIM(PROPER(Tabla_auditoría[[#This Row],[Responsable]]))</f>
        <v>Laura Pérez</v>
      </c>
    </row>
    <row r="1265" spans="1:19" x14ac:dyDescent="0.3">
      <c r="A1265" s="1">
        <v>45975</v>
      </c>
      <c r="B1265" s="2" t="s">
        <v>2554</v>
      </c>
      <c r="C1265" s="2" t="s">
        <v>2515</v>
      </c>
      <c r="D1265" s="2" t="s">
        <v>2531</v>
      </c>
      <c r="E1265" s="2" t="s">
        <v>2529</v>
      </c>
      <c r="F1265" s="3">
        <v>146762</v>
      </c>
      <c r="G1265" s="3">
        <v>1614</v>
      </c>
      <c r="H1265" s="3">
        <v>132</v>
      </c>
      <c r="I1265" s="4">
        <v>2670.53</v>
      </c>
      <c r="J1265" s="4">
        <v>24522.73</v>
      </c>
      <c r="K1265" s="3">
        <v>107</v>
      </c>
      <c r="L1265" s="2" t="s">
        <v>2518</v>
      </c>
      <c r="M1265" s="2" t="s">
        <v>2524</v>
      </c>
      <c r="N1265" t="str">
        <f>TRIM(PROPER(Tabla_auditoría[[#This Row],[ID_Campaña]]))</f>
        <v>Cmp-019</v>
      </c>
      <c r="O1265" t="str">
        <f>TRIM(PROPER(Tabla_auditoría[[#This Row],[Canal]]))</f>
        <v>Email</v>
      </c>
      <c r="P1265" t="str">
        <f>TRIM(PROPER(Tabla_auditoría[[#This Row],[País]]))</f>
        <v>Portugal</v>
      </c>
      <c r="Q1265" t="str">
        <f>TRIM(PROPER(Tabla_auditoría[[#This Row],[Dispositivo]]))</f>
        <v>Mobile</v>
      </c>
      <c r="R1265" t="str">
        <f>TRIM(PROPER(Tabla_auditoría[[#This Row],[Tipo_Campaña]]))</f>
        <v>Adquisición</v>
      </c>
      <c r="S1265" t="str">
        <f>TRIM(PROPER(Tabla_auditoría[[#This Row],[Responsable]]))</f>
        <v>Luis Martín</v>
      </c>
    </row>
    <row r="1266" spans="1:19" x14ac:dyDescent="0.3">
      <c r="A1266" s="1">
        <v>45845</v>
      </c>
      <c r="B1266" s="2" t="s">
        <v>2556</v>
      </c>
      <c r="C1266" s="2" t="s">
        <v>2541</v>
      </c>
      <c r="D1266" s="2" t="s">
        <v>2528</v>
      </c>
      <c r="E1266" s="2" t="s">
        <v>2529</v>
      </c>
      <c r="F1266" s="3">
        <v>55933</v>
      </c>
      <c r="G1266" s="3">
        <v>2235</v>
      </c>
      <c r="H1266" s="3">
        <v>302</v>
      </c>
      <c r="I1266" s="4">
        <v>4579.2700000000004</v>
      </c>
      <c r="J1266" s="4">
        <v>46845.24</v>
      </c>
      <c r="K1266" s="3">
        <v>243</v>
      </c>
      <c r="L1266" s="2" t="s">
        <v>2536</v>
      </c>
      <c r="M1266" s="2" t="s">
        <v>2546</v>
      </c>
      <c r="N1266" t="str">
        <f>TRIM(PROPER(Tabla_auditoría[[#This Row],[ID_Campaña]]))</f>
        <v>Cmp-014</v>
      </c>
      <c r="O1266" t="str">
        <f>TRIM(PROPER(Tabla_auditoría[[#This Row],[Canal]]))</f>
        <v>Display</v>
      </c>
      <c r="P1266" t="str">
        <f>TRIM(PROPER(Tabla_auditoría[[#This Row],[País]]))</f>
        <v>España</v>
      </c>
      <c r="Q1266" t="str">
        <f>TRIM(PROPER(Tabla_auditoría[[#This Row],[Dispositivo]]))</f>
        <v>Mobile</v>
      </c>
      <c r="R1266" t="str">
        <f>TRIM(PROPER(Tabla_auditoría[[#This Row],[Tipo_Campaña]]))</f>
        <v>Reconocimiento</v>
      </c>
      <c r="S1266" t="str">
        <f>TRIM(PROPER(Tabla_auditoría[[#This Row],[Responsable]]))</f>
        <v>Ana García</v>
      </c>
    </row>
    <row r="1267" spans="1:19" x14ac:dyDescent="0.3">
      <c r="A1267" s="1">
        <v>45999</v>
      </c>
      <c r="B1267" s="2" t="s">
        <v>2552</v>
      </c>
      <c r="C1267" s="2" t="s">
        <v>2541</v>
      </c>
      <c r="D1267" s="2" t="s">
        <v>2525</v>
      </c>
      <c r="E1267" s="2" t="s">
        <v>2529</v>
      </c>
      <c r="F1267" s="3">
        <v>37212</v>
      </c>
      <c r="G1267" s="3">
        <v>1278</v>
      </c>
      <c r="H1267" s="3">
        <v>56</v>
      </c>
      <c r="I1267" s="4">
        <v>389.28</v>
      </c>
      <c r="J1267" s="4">
        <v>8833.59</v>
      </c>
      <c r="K1267" s="3">
        <v>37</v>
      </c>
      <c r="L1267" s="2" t="s">
        <v>2523</v>
      </c>
      <c r="M1267" s="2" t="s">
        <v>2519</v>
      </c>
      <c r="N1267" t="str">
        <f>TRIM(PROPER(Tabla_auditoría[[#This Row],[ID_Campaña]]))</f>
        <v>Cmp-012</v>
      </c>
      <c r="O1267" t="str">
        <f>TRIM(PROPER(Tabla_auditoría[[#This Row],[Canal]]))</f>
        <v>Display</v>
      </c>
      <c r="P1267" t="str">
        <f>TRIM(PROPER(Tabla_auditoría[[#This Row],[País]]))</f>
        <v>Francia</v>
      </c>
      <c r="Q1267" t="str">
        <f>TRIM(PROPER(Tabla_auditoría[[#This Row],[Dispositivo]]))</f>
        <v>Mobile</v>
      </c>
      <c r="R1267" t="str">
        <f>TRIM(PROPER(Tabla_auditoría[[#This Row],[Tipo_Campaña]]))</f>
        <v>Retención</v>
      </c>
      <c r="S1267" t="str">
        <f>TRIM(PROPER(Tabla_auditoría[[#This Row],[Responsable]]))</f>
        <v>Carlos Ruiz</v>
      </c>
    </row>
    <row r="1268" spans="1:19" x14ac:dyDescent="0.3">
      <c r="A1268" s="1">
        <v>45942</v>
      </c>
      <c r="B1268" s="2" t="s">
        <v>2540</v>
      </c>
      <c r="C1268" s="2" t="s">
        <v>2521</v>
      </c>
      <c r="D1268" s="2" t="s">
        <v>2531</v>
      </c>
      <c r="E1268" s="2" t="s">
        <v>2529</v>
      </c>
      <c r="F1268" s="3">
        <v>90185</v>
      </c>
      <c r="G1268" s="3">
        <v>6892</v>
      </c>
      <c r="H1268" s="3">
        <v>576</v>
      </c>
      <c r="I1268" s="4">
        <v>12331.64</v>
      </c>
      <c r="J1268" s="4">
        <v>51773.97</v>
      </c>
      <c r="K1268" s="3">
        <v>344</v>
      </c>
      <c r="L1268" s="2" t="s">
        <v>2523</v>
      </c>
      <c r="M1268" s="2" t="s">
        <v>2546</v>
      </c>
      <c r="N1268" t="str">
        <f>TRIM(PROPER(Tabla_auditoría[[#This Row],[ID_Campaña]]))</f>
        <v>Cmp-017</v>
      </c>
      <c r="O1268" t="str">
        <f>TRIM(PROPER(Tabla_auditoría[[#This Row],[Canal]]))</f>
        <v>Paid Search</v>
      </c>
      <c r="P1268" t="str">
        <f>TRIM(PROPER(Tabla_auditoría[[#This Row],[País]]))</f>
        <v>Portugal</v>
      </c>
      <c r="Q1268" t="str">
        <f>TRIM(PROPER(Tabla_auditoría[[#This Row],[Dispositivo]]))</f>
        <v>Mobile</v>
      </c>
      <c r="R1268" t="str">
        <f>TRIM(PROPER(Tabla_auditoría[[#This Row],[Tipo_Campaña]]))</f>
        <v>Retención</v>
      </c>
      <c r="S1268" t="str">
        <f>TRIM(PROPER(Tabla_auditoría[[#This Row],[Responsable]]))</f>
        <v>Ana García</v>
      </c>
    </row>
    <row r="1269" spans="1:19" x14ac:dyDescent="0.3">
      <c r="A1269" s="1">
        <v>45991</v>
      </c>
      <c r="B1269" s="2" t="s">
        <v>2560</v>
      </c>
      <c r="C1269" s="2" t="s">
        <v>2533</v>
      </c>
      <c r="D1269" s="2" t="s">
        <v>2522</v>
      </c>
      <c r="E1269" s="2" t="s">
        <v>2529</v>
      </c>
      <c r="F1269" s="3">
        <v>117714</v>
      </c>
      <c r="G1269" s="3">
        <v>1488</v>
      </c>
      <c r="H1269" s="3">
        <v>207</v>
      </c>
      <c r="I1269" s="4">
        <v>869.51</v>
      </c>
      <c r="J1269" s="4">
        <v>18199.39</v>
      </c>
      <c r="K1269" s="3">
        <v>179</v>
      </c>
      <c r="L1269" s="2" t="s">
        <v>2518</v>
      </c>
      <c r="M1269" s="2" t="s">
        <v>2546</v>
      </c>
      <c r="N1269" t="str">
        <f>TRIM(PROPER(Tabla_auditoría[[#This Row],[ID_Campaña]]))</f>
        <v>Cmp-027</v>
      </c>
      <c r="O1269" t="str">
        <f>TRIM(PROPER(Tabla_auditoría[[#This Row],[Canal]]))</f>
        <v>Paid Social</v>
      </c>
      <c r="P1269" t="str">
        <f>TRIM(PROPER(Tabla_auditoría[[#This Row],[País]]))</f>
        <v>Italia</v>
      </c>
      <c r="Q1269" t="str">
        <f>TRIM(PROPER(Tabla_auditoría[[#This Row],[Dispositivo]]))</f>
        <v>Mobile</v>
      </c>
      <c r="R1269" t="str">
        <f>TRIM(PROPER(Tabla_auditoría[[#This Row],[Tipo_Campaña]]))</f>
        <v>Adquisición</v>
      </c>
      <c r="S1269" t="str">
        <f>TRIM(PROPER(Tabla_auditoría[[#This Row],[Responsable]]))</f>
        <v>Ana García</v>
      </c>
    </row>
    <row r="1270" spans="1:19" x14ac:dyDescent="0.3">
      <c r="A1270" s="1">
        <v>45862</v>
      </c>
      <c r="B1270" s="2" t="s">
        <v>2532</v>
      </c>
      <c r="C1270" s="2" t="s">
        <v>2527</v>
      </c>
      <c r="D1270" s="2" t="s">
        <v>2522</v>
      </c>
      <c r="E1270" s="2" t="s">
        <v>2529</v>
      </c>
      <c r="F1270" s="3">
        <v>143149</v>
      </c>
      <c r="G1270" s="3">
        <v>4780</v>
      </c>
      <c r="H1270" s="3">
        <v>227</v>
      </c>
      <c r="I1270" s="4">
        <v>5284.77</v>
      </c>
      <c r="J1270" s="4">
        <v>44097.48</v>
      </c>
      <c r="K1270" s="3">
        <v>118</v>
      </c>
      <c r="L1270" s="2" t="s">
        <v>2536</v>
      </c>
      <c r="M1270" s="2" t="s">
        <v>2537</v>
      </c>
      <c r="N1270" t="str">
        <f>TRIM(PROPER(Tabla_auditoría[[#This Row],[ID_Campaña]]))</f>
        <v>Cmp-022</v>
      </c>
      <c r="O1270" t="str">
        <f>TRIM(PROPER(Tabla_auditoría[[#This Row],[Canal]]))</f>
        <v>Affiliate</v>
      </c>
      <c r="P1270" t="str">
        <f>TRIM(PROPER(Tabla_auditoría[[#This Row],[País]]))</f>
        <v>Italia</v>
      </c>
      <c r="Q1270" t="str">
        <f>TRIM(PROPER(Tabla_auditoría[[#This Row],[Dispositivo]]))</f>
        <v>Mobile</v>
      </c>
      <c r="R1270" t="str">
        <f>TRIM(PROPER(Tabla_auditoría[[#This Row],[Tipo_Campaña]]))</f>
        <v>Reconocimiento</v>
      </c>
      <c r="S1270" t="str">
        <f>TRIM(PROPER(Tabla_auditoría[[#This Row],[Responsable]]))</f>
        <v>Marta López</v>
      </c>
    </row>
    <row r="1271" spans="1:19" x14ac:dyDescent="0.3">
      <c r="A1271" s="1">
        <v>45991</v>
      </c>
      <c r="B1271" s="2" t="s">
        <v>2520</v>
      </c>
      <c r="C1271" s="2" t="s">
        <v>2515</v>
      </c>
      <c r="D1271" s="2" t="s">
        <v>2531</v>
      </c>
      <c r="E1271" s="2" t="s">
        <v>2534</v>
      </c>
      <c r="F1271" s="3">
        <v>89565</v>
      </c>
      <c r="G1271" s="3">
        <v>7513</v>
      </c>
      <c r="H1271" s="3">
        <v>43</v>
      </c>
      <c r="I1271" s="4">
        <v>3499.8</v>
      </c>
      <c r="J1271" s="4">
        <v>1033.31</v>
      </c>
      <c r="K1271" s="3">
        <v>37</v>
      </c>
      <c r="L1271" s="2" t="s">
        <v>2536</v>
      </c>
      <c r="M1271" s="2" t="s">
        <v>2537</v>
      </c>
      <c r="N1271" t="str">
        <f>TRIM(PROPER(Tabla_auditoría[[#This Row],[ID_Campaña]]))</f>
        <v>Cmp-009</v>
      </c>
      <c r="O1271" t="str">
        <f>TRIM(PROPER(Tabla_auditoría[[#This Row],[Canal]]))</f>
        <v>Email</v>
      </c>
      <c r="P1271" t="str">
        <f>TRIM(PROPER(Tabla_auditoría[[#This Row],[País]]))</f>
        <v>Portugal</v>
      </c>
      <c r="Q1271" t="str">
        <f>TRIM(PROPER(Tabla_auditoría[[#This Row],[Dispositivo]]))</f>
        <v>Tablet</v>
      </c>
      <c r="R1271" t="str">
        <f>TRIM(PROPER(Tabla_auditoría[[#This Row],[Tipo_Campaña]]))</f>
        <v>Reconocimiento</v>
      </c>
      <c r="S1271" t="str">
        <f>TRIM(PROPER(Tabla_auditoría[[#This Row],[Responsable]]))</f>
        <v>Marta López</v>
      </c>
    </row>
    <row r="1272" spans="1:19" x14ac:dyDescent="0.3">
      <c r="A1272" s="1">
        <v>45672</v>
      </c>
      <c r="B1272" s="2" t="s">
        <v>2535</v>
      </c>
      <c r="C1272" s="2" t="s">
        <v>2541</v>
      </c>
      <c r="D1272" s="2" t="s">
        <v>2580</v>
      </c>
      <c r="E1272" s="2" t="s">
        <v>2529</v>
      </c>
      <c r="F1272" s="3">
        <v>95412</v>
      </c>
      <c r="G1272" s="3">
        <v>6296</v>
      </c>
      <c r="H1272" s="3">
        <v>513</v>
      </c>
      <c r="I1272" s="4">
        <v>9302.81</v>
      </c>
      <c r="J1272" s="4">
        <v>73987.03</v>
      </c>
      <c r="K1272" s="3">
        <v>271</v>
      </c>
      <c r="L1272" s="2" t="s">
        <v>2536</v>
      </c>
      <c r="M1272" s="2" t="s">
        <v>2537</v>
      </c>
      <c r="N1272" t="str">
        <f>TRIM(PROPER(Tabla_auditoría[[#This Row],[ID_Campaña]]))</f>
        <v>Cmp-015</v>
      </c>
      <c r="O1272" t="str">
        <f>TRIM(PROPER(Tabla_auditoría[[#This Row],[Canal]]))</f>
        <v>Display</v>
      </c>
      <c r="P1272" t="str">
        <f>TRIM(PROPER(Tabla_auditoría[[#This Row],[País]]))</f>
        <v>México</v>
      </c>
      <c r="Q1272" t="str">
        <f>TRIM(PROPER(Tabla_auditoría[[#This Row],[Dispositivo]]))</f>
        <v>Mobile</v>
      </c>
      <c r="R1272" t="str">
        <f>TRIM(PROPER(Tabla_auditoría[[#This Row],[Tipo_Campaña]]))</f>
        <v>Reconocimiento</v>
      </c>
      <c r="S1272" t="str">
        <f>TRIM(PROPER(Tabla_auditoría[[#This Row],[Responsable]]))</f>
        <v>Marta López</v>
      </c>
    </row>
    <row r="1273" spans="1:19" x14ac:dyDescent="0.3">
      <c r="A1273" s="1">
        <v>45805</v>
      </c>
      <c r="B1273" s="2" t="s">
        <v>2542</v>
      </c>
      <c r="C1273" s="2" t="s">
        <v>2515</v>
      </c>
      <c r="E1273" s="2" t="s">
        <v>2517</v>
      </c>
      <c r="F1273" s="3">
        <v>43342</v>
      </c>
      <c r="G1273" s="3">
        <v>2365</v>
      </c>
      <c r="H1273" s="3">
        <v>270</v>
      </c>
      <c r="I1273" s="4">
        <v>3269.21</v>
      </c>
      <c r="J1273" s="4">
        <v>37673.25</v>
      </c>
      <c r="K1273" s="3">
        <v>205</v>
      </c>
      <c r="L1273" s="2" t="s">
        <v>2539</v>
      </c>
      <c r="M1273" s="2" t="s">
        <v>2524</v>
      </c>
      <c r="N1273" t="str">
        <f>TRIM(PROPER(Tabla_auditoría[[#This Row],[ID_Campaña]]))</f>
        <v>Cmp-025</v>
      </c>
      <c r="O1273" t="str">
        <f>TRIM(PROPER(Tabla_auditoría[[#This Row],[Canal]]))</f>
        <v>Email</v>
      </c>
      <c r="P1273" t="str">
        <f>TRIM(PROPER(Tabla_auditoría[[#This Row],[País]]))</f>
        <v/>
      </c>
      <c r="Q1273" t="str">
        <f>TRIM(PROPER(Tabla_auditoría[[#This Row],[Dispositivo]]))</f>
        <v>Desktop</v>
      </c>
      <c r="R1273" t="str">
        <f>TRIM(PROPER(Tabla_auditoría[[#This Row],[Tipo_Campaña]]))</f>
        <v>Conversión</v>
      </c>
      <c r="S1273" t="str">
        <f>TRIM(PROPER(Tabla_auditoría[[#This Row],[Responsable]]))</f>
        <v>Luis Martín</v>
      </c>
    </row>
    <row r="1274" spans="1:19" x14ac:dyDescent="0.3">
      <c r="A1274" s="1">
        <v>45783</v>
      </c>
      <c r="B1274" s="2" t="s">
        <v>2549</v>
      </c>
      <c r="C1274" s="2" t="s">
        <v>2515</v>
      </c>
      <c r="D1274" s="2" t="s">
        <v>2528</v>
      </c>
      <c r="E1274" s="2" t="s">
        <v>2529</v>
      </c>
      <c r="F1274" s="3">
        <v>26679</v>
      </c>
      <c r="G1274" s="3">
        <v>178</v>
      </c>
      <c r="H1274" s="3">
        <v>9</v>
      </c>
      <c r="I1274" s="4">
        <v>311.75</v>
      </c>
      <c r="J1274" s="4">
        <v>426.39</v>
      </c>
      <c r="K1274" s="3">
        <v>5</v>
      </c>
      <c r="L1274" s="2" t="s">
        <v>2539</v>
      </c>
      <c r="M1274" s="2" t="s">
        <v>2526</v>
      </c>
      <c r="N1274" t="str">
        <f>TRIM(PROPER(Tabla_auditoría[[#This Row],[ID_Campaña]]))</f>
        <v>Cmp-007</v>
      </c>
      <c r="O1274" t="str">
        <f>TRIM(PROPER(Tabla_auditoría[[#This Row],[Canal]]))</f>
        <v>Email</v>
      </c>
      <c r="P1274" t="str">
        <f>TRIM(PROPER(Tabla_auditoría[[#This Row],[País]]))</f>
        <v>España</v>
      </c>
      <c r="Q1274" t="str">
        <f>TRIM(PROPER(Tabla_auditoría[[#This Row],[Dispositivo]]))</f>
        <v>Mobile</v>
      </c>
      <c r="R1274" t="str">
        <f>TRIM(PROPER(Tabla_auditoría[[#This Row],[Tipo_Campaña]]))</f>
        <v>Conversión</v>
      </c>
      <c r="S1274" t="str">
        <f>TRIM(PROPER(Tabla_auditoría[[#This Row],[Responsable]]))</f>
        <v>Laura Pérez</v>
      </c>
    </row>
    <row r="1275" spans="1:19" x14ac:dyDescent="0.3">
      <c r="A1275" s="1">
        <v>45833</v>
      </c>
      <c r="B1275" s="2" t="s">
        <v>2549</v>
      </c>
      <c r="C1275" s="2" t="s">
        <v>2521</v>
      </c>
      <c r="D1275" s="2" t="s">
        <v>2528</v>
      </c>
      <c r="E1275" s="2" t="s">
        <v>2517</v>
      </c>
      <c r="F1275" s="3">
        <v>116177</v>
      </c>
      <c r="G1275" s="3">
        <v>2522</v>
      </c>
      <c r="H1275" s="3">
        <v>295</v>
      </c>
      <c r="I1275" s="4">
        <v>4670.24</v>
      </c>
      <c r="J1275" s="4">
        <v>41820.199999999997</v>
      </c>
      <c r="K1275" s="3">
        <v>162</v>
      </c>
      <c r="L1275" s="2" t="s">
        <v>2518</v>
      </c>
      <c r="M1275" s="2" t="s">
        <v>2546</v>
      </c>
      <c r="N1275" t="str">
        <f>TRIM(PROPER(Tabla_auditoría[[#This Row],[ID_Campaña]]))</f>
        <v>Cmp-007</v>
      </c>
      <c r="O1275" t="str">
        <f>TRIM(PROPER(Tabla_auditoría[[#This Row],[Canal]]))</f>
        <v>Paid Search</v>
      </c>
      <c r="P1275" t="str">
        <f>TRIM(PROPER(Tabla_auditoría[[#This Row],[País]]))</f>
        <v>España</v>
      </c>
      <c r="Q1275" t="str">
        <f>TRIM(PROPER(Tabla_auditoría[[#This Row],[Dispositivo]]))</f>
        <v>Desktop</v>
      </c>
      <c r="R1275" t="str">
        <f>TRIM(PROPER(Tabla_auditoría[[#This Row],[Tipo_Campaña]]))</f>
        <v>Adquisición</v>
      </c>
      <c r="S1275" t="str">
        <f>TRIM(PROPER(Tabla_auditoría[[#This Row],[Responsable]]))</f>
        <v>Ana García</v>
      </c>
    </row>
    <row r="1276" spans="1:19" x14ac:dyDescent="0.3">
      <c r="A1276" s="1">
        <v>45809</v>
      </c>
      <c r="B1276" s="2" t="s">
        <v>2520</v>
      </c>
      <c r="C1276" s="2" t="s">
        <v>2527</v>
      </c>
      <c r="D1276" s="2" t="s">
        <v>2516</v>
      </c>
      <c r="E1276" s="2" t="s">
        <v>2517</v>
      </c>
      <c r="F1276" s="3">
        <v>168668</v>
      </c>
      <c r="G1276" s="3">
        <v>11018</v>
      </c>
      <c r="H1276" s="3">
        <v>1144</v>
      </c>
      <c r="I1276" s="4">
        <v>6803.68</v>
      </c>
      <c r="J1276" s="4">
        <v>146828.16</v>
      </c>
      <c r="K1276" s="3">
        <v>605</v>
      </c>
      <c r="L1276" s="2" t="s">
        <v>2536</v>
      </c>
      <c r="M1276" s="2" t="s">
        <v>2524</v>
      </c>
      <c r="N1276" t="str">
        <f>TRIM(PROPER(Tabla_auditoría[[#This Row],[ID_Campaña]]))</f>
        <v>Cmp-009</v>
      </c>
      <c r="O1276" t="str">
        <f>TRIM(PROPER(Tabla_auditoría[[#This Row],[Canal]]))</f>
        <v>Affiliate</v>
      </c>
      <c r="P1276" t="str">
        <f>TRIM(PROPER(Tabla_auditoría[[#This Row],[País]]))</f>
        <v>México</v>
      </c>
      <c r="Q1276" t="str">
        <f>TRIM(PROPER(Tabla_auditoría[[#This Row],[Dispositivo]]))</f>
        <v>Desktop</v>
      </c>
      <c r="R1276" t="str">
        <f>TRIM(PROPER(Tabla_auditoría[[#This Row],[Tipo_Campaña]]))</f>
        <v>Reconocimiento</v>
      </c>
      <c r="S1276" t="str">
        <f>TRIM(PROPER(Tabla_auditoría[[#This Row],[Responsable]]))</f>
        <v>Luis Martín</v>
      </c>
    </row>
    <row r="1277" spans="1:19" x14ac:dyDescent="0.3">
      <c r="A1277" s="1">
        <v>45954</v>
      </c>
      <c r="B1277" s="2" t="s">
        <v>2544</v>
      </c>
      <c r="C1277" s="2" t="s">
        <v>2543</v>
      </c>
      <c r="D1277" s="2" t="s">
        <v>2522</v>
      </c>
      <c r="E1277" s="2" t="s">
        <v>2529</v>
      </c>
      <c r="F1277" s="3">
        <v>162159</v>
      </c>
      <c r="G1277" s="3">
        <v>5588</v>
      </c>
      <c r="H1277" s="3">
        <v>139</v>
      </c>
      <c r="I1277" s="4">
        <v>8148.76</v>
      </c>
      <c r="J1277" s="4">
        <v>17106.45</v>
      </c>
      <c r="K1277" s="3">
        <v>83</v>
      </c>
      <c r="L1277" s="2" t="s">
        <v>2523</v>
      </c>
      <c r="M1277" s="2" t="s">
        <v>2546</v>
      </c>
      <c r="N1277" t="str">
        <f>TRIM(PROPER(Tabla_auditoría[[#This Row],[ID_Campaña]]))</f>
        <v>Cmp-006</v>
      </c>
      <c r="O1277" t="str">
        <f>TRIM(PROPER(Tabla_auditoría[[#This Row],[Canal]]))</f>
        <v>Organic Social</v>
      </c>
      <c r="P1277" t="str">
        <f>TRIM(PROPER(Tabla_auditoría[[#This Row],[País]]))</f>
        <v>Italia</v>
      </c>
      <c r="Q1277" t="str">
        <f>TRIM(PROPER(Tabla_auditoría[[#This Row],[Dispositivo]]))</f>
        <v>Mobile</v>
      </c>
      <c r="R1277" t="str">
        <f>TRIM(PROPER(Tabla_auditoría[[#This Row],[Tipo_Campaña]]))</f>
        <v>Retención</v>
      </c>
      <c r="S1277" t="str">
        <f>TRIM(PROPER(Tabla_auditoría[[#This Row],[Responsable]]))</f>
        <v>Ana García</v>
      </c>
    </row>
    <row r="1278" spans="1:19" x14ac:dyDescent="0.3">
      <c r="A1278" s="1">
        <v>45886</v>
      </c>
      <c r="B1278" s="2" t="s">
        <v>2567</v>
      </c>
      <c r="C1278" s="2" t="s">
        <v>2533</v>
      </c>
      <c r="D1278" s="2" t="s">
        <v>2522</v>
      </c>
      <c r="E1278" s="2" t="s">
        <v>2517</v>
      </c>
      <c r="F1278" s="3">
        <v>89788</v>
      </c>
      <c r="G1278" s="3">
        <v>2757</v>
      </c>
      <c r="H1278" s="3">
        <v>229</v>
      </c>
      <c r="I1278" s="4">
        <v>1157.5999999999999</v>
      </c>
      <c r="J1278" s="4">
        <v>22914.2</v>
      </c>
      <c r="K1278" s="3">
        <v>202</v>
      </c>
      <c r="L1278" s="2" t="s">
        <v>2523</v>
      </c>
      <c r="M1278" s="2" t="s">
        <v>2519</v>
      </c>
      <c r="N1278" t="str">
        <f>TRIM(PROPER(Tabla_auditoría[[#This Row],[ID_Campaña]]))</f>
        <v>Cmp-021</v>
      </c>
      <c r="O1278" t="str">
        <f>TRIM(PROPER(Tabla_auditoría[[#This Row],[Canal]]))</f>
        <v>Paid Social</v>
      </c>
      <c r="P1278" t="str">
        <f>TRIM(PROPER(Tabla_auditoría[[#This Row],[País]]))</f>
        <v>Italia</v>
      </c>
      <c r="Q1278" t="str">
        <f>TRIM(PROPER(Tabla_auditoría[[#This Row],[Dispositivo]]))</f>
        <v>Desktop</v>
      </c>
      <c r="R1278" t="str">
        <f>TRIM(PROPER(Tabla_auditoría[[#This Row],[Tipo_Campaña]]))</f>
        <v>Retención</v>
      </c>
      <c r="S1278" t="str">
        <f>TRIM(PROPER(Tabla_auditoría[[#This Row],[Responsable]]))</f>
        <v>Carlos Ruiz</v>
      </c>
    </row>
    <row r="1279" spans="1:19" x14ac:dyDescent="0.3">
      <c r="A1279" s="1">
        <v>45732</v>
      </c>
      <c r="B1279" s="2" t="s">
        <v>2556</v>
      </c>
      <c r="C1279" s="2" t="s">
        <v>2533</v>
      </c>
      <c r="D1279" s="2" t="s">
        <v>2516</v>
      </c>
      <c r="E1279" s="2" t="s">
        <v>2517</v>
      </c>
      <c r="F1279" s="3">
        <v>95984</v>
      </c>
      <c r="G1279" s="3">
        <v>1137</v>
      </c>
      <c r="H1279" s="3">
        <v>113</v>
      </c>
      <c r="I1279" s="4">
        <v>761.41</v>
      </c>
      <c r="J1279" s="4">
        <v>5484.78</v>
      </c>
      <c r="K1279" s="3">
        <v>95</v>
      </c>
      <c r="L1279" s="2" t="s">
        <v>2539</v>
      </c>
      <c r="M1279" s="2" t="s">
        <v>2537</v>
      </c>
      <c r="N1279" t="str">
        <f>TRIM(PROPER(Tabla_auditoría[[#This Row],[ID_Campaña]]))</f>
        <v>Cmp-014</v>
      </c>
      <c r="O1279" t="str">
        <f>TRIM(PROPER(Tabla_auditoría[[#This Row],[Canal]]))</f>
        <v>Paid Social</v>
      </c>
      <c r="P1279" t="str">
        <f>TRIM(PROPER(Tabla_auditoría[[#This Row],[País]]))</f>
        <v>México</v>
      </c>
      <c r="Q1279" t="str">
        <f>TRIM(PROPER(Tabla_auditoría[[#This Row],[Dispositivo]]))</f>
        <v>Desktop</v>
      </c>
      <c r="R1279" t="str">
        <f>TRIM(PROPER(Tabla_auditoría[[#This Row],[Tipo_Campaña]]))</f>
        <v>Conversión</v>
      </c>
      <c r="S1279" t="str">
        <f>TRIM(PROPER(Tabla_auditoría[[#This Row],[Responsable]]))</f>
        <v>Marta López</v>
      </c>
    </row>
    <row r="1280" spans="1:19" x14ac:dyDescent="0.3">
      <c r="A1280" s="1">
        <v>45726</v>
      </c>
      <c r="B1280" s="2" t="s">
        <v>2540</v>
      </c>
      <c r="C1280" s="2" t="s">
        <v>2541</v>
      </c>
      <c r="D1280" s="2" t="s">
        <v>2516</v>
      </c>
      <c r="E1280" s="2" t="s">
        <v>2517</v>
      </c>
      <c r="F1280" s="3">
        <v>86571</v>
      </c>
      <c r="G1280" s="3">
        <v>2063</v>
      </c>
      <c r="H1280" s="3">
        <v>247</v>
      </c>
      <c r="I1280" s="4">
        <v>1379.35</v>
      </c>
      <c r="J1280" s="4">
        <v>31659.45</v>
      </c>
      <c r="K1280" s="3">
        <v>215</v>
      </c>
      <c r="L1280" s="2" t="s">
        <v>2518</v>
      </c>
      <c r="M1280" s="2" t="s">
        <v>2537</v>
      </c>
      <c r="N1280" t="str">
        <f>TRIM(PROPER(Tabla_auditoría[[#This Row],[ID_Campaña]]))</f>
        <v>Cmp-017</v>
      </c>
      <c r="O1280" t="str">
        <f>TRIM(PROPER(Tabla_auditoría[[#This Row],[Canal]]))</f>
        <v>Display</v>
      </c>
      <c r="P1280" t="str">
        <f>TRIM(PROPER(Tabla_auditoría[[#This Row],[País]]))</f>
        <v>México</v>
      </c>
      <c r="Q1280" t="str">
        <f>TRIM(PROPER(Tabla_auditoría[[#This Row],[Dispositivo]]))</f>
        <v>Desktop</v>
      </c>
      <c r="R1280" t="str">
        <f>TRIM(PROPER(Tabla_auditoría[[#This Row],[Tipo_Campaña]]))</f>
        <v>Adquisición</v>
      </c>
      <c r="S1280" t="str">
        <f>TRIM(PROPER(Tabla_auditoría[[#This Row],[Responsable]]))</f>
        <v>Marta López</v>
      </c>
    </row>
    <row r="1281" spans="1:19" x14ac:dyDescent="0.3">
      <c r="A1281" s="1">
        <v>45687</v>
      </c>
      <c r="B1281" s="2" t="s">
        <v>2566</v>
      </c>
      <c r="C1281" s="2" t="s">
        <v>2541</v>
      </c>
      <c r="D1281" s="2" t="s">
        <v>2528</v>
      </c>
      <c r="E1281" s="2" t="s">
        <v>2534</v>
      </c>
      <c r="F1281" s="3">
        <v>49187</v>
      </c>
      <c r="G1281" s="3">
        <v>3064</v>
      </c>
      <c r="H1281" s="3">
        <v>138</v>
      </c>
      <c r="I1281" s="4">
        <v>1515.08</v>
      </c>
      <c r="J1281" s="4">
        <v>15808.3</v>
      </c>
      <c r="K1281" s="3">
        <v>74</v>
      </c>
      <c r="L1281" s="2" t="s">
        <v>2523</v>
      </c>
      <c r="M1281" s="2" t="s">
        <v>2546</v>
      </c>
      <c r="N1281" t="str">
        <f>TRIM(PROPER(Tabla_auditoría[[#This Row],[ID_Campaña]]))</f>
        <v>Cmp-001</v>
      </c>
      <c r="O1281" t="str">
        <f>TRIM(PROPER(Tabla_auditoría[[#This Row],[Canal]]))</f>
        <v>Display</v>
      </c>
      <c r="P1281" t="str">
        <f>TRIM(PROPER(Tabla_auditoría[[#This Row],[País]]))</f>
        <v>España</v>
      </c>
      <c r="Q1281" t="str">
        <f>TRIM(PROPER(Tabla_auditoría[[#This Row],[Dispositivo]]))</f>
        <v>Tablet</v>
      </c>
      <c r="R1281" t="str">
        <f>TRIM(PROPER(Tabla_auditoría[[#This Row],[Tipo_Campaña]]))</f>
        <v>Retención</v>
      </c>
      <c r="S1281" t="str">
        <f>TRIM(PROPER(Tabla_auditoría[[#This Row],[Responsable]]))</f>
        <v>Ana García</v>
      </c>
    </row>
    <row r="1282" spans="1:19" x14ac:dyDescent="0.3">
      <c r="A1282" s="1">
        <v>45697</v>
      </c>
      <c r="B1282" s="2" t="s">
        <v>2552</v>
      </c>
      <c r="C1282" s="2" t="s">
        <v>2521</v>
      </c>
      <c r="D1282" s="2" t="s">
        <v>2528</v>
      </c>
      <c r="E1282" s="2" t="s">
        <v>2517</v>
      </c>
      <c r="F1282" s="3">
        <v>127219</v>
      </c>
      <c r="G1282" s="3">
        <v>3424</v>
      </c>
      <c r="H1282" s="3">
        <v>129</v>
      </c>
      <c r="I1282" s="4">
        <v>5226.33</v>
      </c>
      <c r="J1282" s="4">
        <v>26534.76</v>
      </c>
      <c r="K1282" s="3">
        <v>101</v>
      </c>
      <c r="L1282" s="2" t="s">
        <v>2518</v>
      </c>
      <c r="M1282" s="2" t="s">
        <v>2524</v>
      </c>
      <c r="N1282" t="str">
        <f>TRIM(PROPER(Tabla_auditoría[[#This Row],[ID_Campaña]]))</f>
        <v>Cmp-012</v>
      </c>
      <c r="O1282" t="str">
        <f>TRIM(PROPER(Tabla_auditoría[[#This Row],[Canal]]))</f>
        <v>Paid Search</v>
      </c>
      <c r="P1282" t="str">
        <f>TRIM(PROPER(Tabla_auditoría[[#This Row],[País]]))</f>
        <v>España</v>
      </c>
      <c r="Q1282" t="str">
        <f>TRIM(PROPER(Tabla_auditoría[[#This Row],[Dispositivo]]))</f>
        <v>Desktop</v>
      </c>
      <c r="R1282" t="str">
        <f>TRIM(PROPER(Tabla_auditoría[[#This Row],[Tipo_Campaña]]))</f>
        <v>Adquisición</v>
      </c>
      <c r="S1282" t="str">
        <f>TRIM(PROPER(Tabla_auditoría[[#This Row],[Responsable]]))</f>
        <v>Luis Martín</v>
      </c>
    </row>
    <row r="1283" spans="1:19" x14ac:dyDescent="0.3">
      <c r="A1283" s="1">
        <v>45720</v>
      </c>
      <c r="B1283" s="2" t="s">
        <v>2565</v>
      </c>
      <c r="C1283" s="2" t="s">
        <v>2521</v>
      </c>
      <c r="D1283" s="2" t="s">
        <v>2531</v>
      </c>
      <c r="E1283" s="2" t="s">
        <v>2529</v>
      </c>
      <c r="F1283" s="3">
        <v>120016</v>
      </c>
      <c r="G1283" s="3">
        <v>708</v>
      </c>
      <c r="H1283" s="3">
        <v>12</v>
      </c>
      <c r="I1283" s="4">
        <v>556.61</v>
      </c>
      <c r="J1283" s="4">
        <v>2274.87</v>
      </c>
      <c r="K1283" s="3">
        <v>8</v>
      </c>
      <c r="L1283" s="2" t="s">
        <v>2518</v>
      </c>
      <c r="M1283" s="2" t="s">
        <v>2546</v>
      </c>
      <c r="N1283" t="str">
        <f>TRIM(PROPER(Tabla_auditoría[[#This Row],[ID_Campaña]]))</f>
        <v>Cmp-005</v>
      </c>
      <c r="O1283" t="str">
        <f>TRIM(PROPER(Tabla_auditoría[[#This Row],[Canal]]))</f>
        <v>Paid Search</v>
      </c>
      <c r="P1283" t="str">
        <f>TRIM(PROPER(Tabla_auditoría[[#This Row],[País]]))</f>
        <v>Portugal</v>
      </c>
      <c r="Q1283" t="str">
        <f>TRIM(PROPER(Tabla_auditoría[[#This Row],[Dispositivo]]))</f>
        <v>Mobile</v>
      </c>
      <c r="R1283" t="str">
        <f>TRIM(PROPER(Tabla_auditoría[[#This Row],[Tipo_Campaña]]))</f>
        <v>Adquisición</v>
      </c>
      <c r="S1283" t="str">
        <f>TRIM(PROPER(Tabla_auditoría[[#This Row],[Responsable]]))</f>
        <v>Ana García</v>
      </c>
    </row>
    <row r="1284" spans="1:19" x14ac:dyDescent="0.3">
      <c r="A1284" s="1">
        <v>45938</v>
      </c>
      <c r="B1284" s="2" t="s">
        <v>2540</v>
      </c>
      <c r="C1284" s="2" t="s">
        <v>2533</v>
      </c>
      <c r="D1284" s="2" t="s">
        <v>2525</v>
      </c>
      <c r="E1284" s="2" t="s">
        <v>2529</v>
      </c>
      <c r="F1284" s="3">
        <v>155418</v>
      </c>
      <c r="G1284" s="3">
        <v>2491</v>
      </c>
      <c r="H1284" s="3">
        <v>218</v>
      </c>
      <c r="I1284" s="4">
        <v>2322.06</v>
      </c>
      <c r="J1284" s="4">
        <v>12510.67</v>
      </c>
      <c r="K1284" s="3">
        <v>154</v>
      </c>
      <c r="L1284" s="2" t="s">
        <v>2536</v>
      </c>
      <c r="M1284" s="2" t="s">
        <v>2537</v>
      </c>
      <c r="N1284" t="str">
        <f>TRIM(PROPER(Tabla_auditoría[[#This Row],[ID_Campaña]]))</f>
        <v>Cmp-017</v>
      </c>
      <c r="O1284" t="str">
        <f>TRIM(PROPER(Tabla_auditoría[[#This Row],[Canal]]))</f>
        <v>Paid Social</v>
      </c>
      <c r="P1284" t="str">
        <f>TRIM(PROPER(Tabla_auditoría[[#This Row],[País]]))</f>
        <v>Francia</v>
      </c>
      <c r="Q1284" t="str">
        <f>TRIM(PROPER(Tabla_auditoría[[#This Row],[Dispositivo]]))</f>
        <v>Mobile</v>
      </c>
      <c r="R1284" t="str">
        <f>TRIM(PROPER(Tabla_auditoría[[#This Row],[Tipo_Campaña]]))</f>
        <v>Reconocimiento</v>
      </c>
      <c r="S1284" t="str">
        <f>TRIM(PROPER(Tabla_auditoría[[#This Row],[Responsable]]))</f>
        <v>Marta López</v>
      </c>
    </row>
    <row r="1285" spans="1:19" x14ac:dyDescent="0.3">
      <c r="A1285" s="1">
        <v>45680</v>
      </c>
      <c r="B1285" s="2" t="s">
        <v>2549</v>
      </c>
      <c r="C1285" s="2" t="s">
        <v>2533</v>
      </c>
      <c r="D1285" s="2" t="s">
        <v>2528</v>
      </c>
      <c r="E1285" s="2" t="s">
        <v>2529</v>
      </c>
      <c r="F1285" s="3">
        <v>62741</v>
      </c>
      <c r="G1285" s="3">
        <v>354</v>
      </c>
      <c r="H1285" s="3">
        <v>27</v>
      </c>
      <c r="I1285" s="4">
        <v>382.83</v>
      </c>
      <c r="J1285" s="4">
        <v>5473.73</v>
      </c>
      <c r="K1285" s="3">
        <v>21</v>
      </c>
      <c r="L1285" s="2" t="s">
        <v>2539</v>
      </c>
      <c r="M1285" s="2" t="s">
        <v>2526</v>
      </c>
      <c r="N1285" t="str">
        <f>TRIM(PROPER(Tabla_auditoría[[#This Row],[ID_Campaña]]))</f>
        <v>Cmp-007</v>
      </c>
      <c r="O1285" t="str">
        <f>TRIM(PROPER(Tabla_auditoría[[#This Row],[Canal]]))</f>
        <v>Paid Social</v>
      </c>
      <c r="P1285" t="str">
        <f>TRIM(PROPER(Tabla_auditoría[[#This Row],[País]]))</f>
        <v>España</v>
      </c>
      <c r="Q1285" t="str">
        <f>TRIM(PROPER(Tabla_auditoría[[#This Row],[Dispositivo]]))</f>
        <v>Mobile</v>
      </c>
      <c r="R1285" t="str">
        <f>TRIM(PROPER(Tabla_auditoría[[#This Row],[Tipo_Campaña]]))</f>
        <v>Conversión</v>
      </c>
      <c r="S1285" t="str">
        <f>TRIM(PROPER(Tabla_auditoría[[#This Row],[Responsable]]))</f>
        <v>Laura Pérez</v>
      </c>
    </row>
    <row r="1286" spans="1:19" x14ac:dyDescent="0.3">
      <c r="A1286" s="1">
        <v>45698</v>
      </c>
      <c r="B1286" s="2" t="s">
        <v>2514</v>
      </c>
      <c r="C1286" s="2" t="s">
        <v>2515</v>
      </c>
      <c r="D1286" s="2" t="s">
        <v>2525</v>
      </c>
      <c r="E1286" s="2" t="s">
        <v>2529</v>
      </c>
      <c r="F1286" s="3">
        <v>114767</v>
      </c>
      <c r="G1286" s="3">
        <v>4059</v>
      </c>
      <c r="H1286" s="3">
        <v>36</v>
      </c>
      <c r="I1286" s="4">
        <v>5186.1000000000004</v>
      </c>
      <c r="J1286" s="4">
        <v>6674.22</v>
      </c>
      <c r="K1286" s="3">
        <v>16</v>
      </c>
      <c r="L1286" s="2" t="s">
        <v>2536</v>
      </c>
      <c r="M1286" s="2" t="s">
        <v>2537</v>
      </c>
      <c r="N1286" t="str">
        <f>TRIM(PROPER(Tabla_auditoría[[#This Row],[ID_Campaña]]))</f>
        <v>Cmp-002</v>
      </c>
      <c r="O1286" t="str">
        <f>TRIM(PROPER(Tabla_auditoría[[#This Row],[Canal]]))</f>
        <v>Email</v>
      </c>
      <c r="P1286" t="str">
        <f>TRIM(PROPER(Tabla_auditoría[[#This Row],[País]]))</f>
        <v>Francia</v>
      </c>
      <c r="Q1286" t="str">
        <f>TRIM(PROPER(Tabla_auditoría[[#This Row],[Dispositivo]]))</f>
        <v>Mobile</v>
      </c>
      <c r="R1286" t="str">
        <f>TRIM(PROPER(Tabla_auditoría[[#This Row],[Tipo_Campaña]]))</f>
        <v>Reconocimiento</v>
      </c>
      <c r="S1286" t="str">
        <f>TRIM(PROPER(Tabla_auditoría[[#This Row],[Responsable]]))</f>
        <v>Marta López</v>
      </c>
    </row>
    <row r="1287" spans="1:19" x14ac:dyDescent="0.3">
      <c r="A1287" s="1">
        <v>45943</v>
      </c>
      <c r="B1287" s="2" t="s">
        <v>2565</v>
      </c>
      <c r="C1287" s="2" t="s">
        <v>2515</v>
      </c>
      <c r="D1287" s="2" t="s">
        <v>2525</v>
      </c>
      <c r="E1287" s="2" t="s">
        <v>2529</v>
      </c>
      <c r="F1287" s="3">
        <v>46522</v>
      </c>
      <c r="G1287" s="3">
        <v>3268</v>
      </c>
      <c r="H1287" s="3">
        <v>152</v>
      </c>
      <c r="I1287" s="4">
        <v>2733.63</v>
      </c>
      <c r="J1287" s="4">
        <v>20584.240000000002</v>
      </c>
      <c r="K1287" s="3">
        <v>123</v>
      </c>
      <c r="L1287" s="2" t="s">
        <v>2539</v>
      </c>
      <c r="M1287" s="2" t="s">
        <v>2526</v>
      </c>
      <c r="N1287" t="str">
        <f>TRIM(PROPER(Tabla_auditoría[[#This Row],[ID_Campaña]]))</f>
        <v>Cmp-005</v>
      </c>
      <c r="O1287" t="str">
        <f>TRIM(PROPER(Tabla_auditoría[[#This Row],[Canal]]))</f>
        <v>Email</v>
      </c>
      <c r="P1287" t="str">
        <f>TRIM(PROPER(Tabla_auditoría[[#This Row],[País]]))</f>
        <v>Francia</v>
      </c>
      <c r="Q1287" t="str">
        <f>TRIM(PROPER(Tabla_auditoría[[#This Row],[Dispositivo]]))</f>
        <v>Mobile</v>
      </c>
      <c r="R1287" t="str">
        <f>TRIM(PROPER(Tabla_auditoría[[#This Row],[Tipo_Campaña]]))</f>
        <v>Conversión</v>
      </c>
      <c r="S1287" t="str">
        <f>TRIM(PROPER(Tabla_auditoría[[#This Row],[Responsable]]))</f>
        <v>Laura Pérez</v>
      </c>
    </row>
    <row r="1288" spans="1:19" x14ac:dyDescent="0.3">
      <c r="A1288" s="1">
        <v>45698</v>
      </c>
      <c r="B1288" s="2" t="s">
        <v>2552</v>
      </c>
      <c r="C1288" s="2" t="s">
        <v>2533</v>
      </c>
      <c r="E1288" s="2" t="s">
        <v>2517</v>
      </c>
      <c r="F1288" s="3">
        <v>90182</v>
      </c>
      <c r="G1288" s="3">
        <v>6723</v>
      </c>
      <c r="H1288" s="3">
        <v>525</v>
      </c>
      <c r="I1288" s="4">
        <v>12012.57</v>
      </c>
      <c r="J1288" s="4">
        <v>104939.41</v>
      </c>
      <c r="K1288" s="3">
        <v>357</v>
      </c>
      <c r="L1288" s="2" t="s">
        <v>2539</v>
      </c>
      <c r="M1288" s="2" t="s">
        <v>2524</v>
      </c>
      <c r="N1288" t="str">
        <f>TRIM(PROPER(Tabla_auditoría[[#This Row],[ID_Campaña]]))</f>
        <v>Cmp-012</v>
      </c>
      <c r="O1288" t="str">
        <f>TRIM(PROPER(Tabla_auditoría[[#This Row],[Canal]]))</f>
        <v>Paid Social</v>
      </c>
      <c r="P1288" t="str">
        <f>TRIM(PROPER(Tabla_auditoría[[#This Row],[País]]))</f>
        <v/>
      </c>
      <c r="Q1288" t="str">
        <f>TRIM(PROPER(Tabla_auditoría[[#This Row],[Dispositivo]]))</f>
        <v>Desktop</v>
      </c>
      <c r="R1288" t="str">
        <f>TRIM(PROPER(Tabla_auditoría[[#This Row],[Tipo_Campaña]]))</f>
        <v>Conversión</v>
      </c>
      <c r="S1288" t="str">
        <f>TRIM(PROPER(Tabla_auditoría[[#This Row],[Responsable]]))</f>
        <v>Luis Martín</v>
      </c>
    </row>
    <row r="1289" spans="1:19" x14ac:dyDescent="0.3">
      <c r="A1289" s="1">
        <v>45789</v>
      </c>
      <c r="B1289" s="2" t="s">
        <v>2560</v>
      </c>
      <c r="C1289" s="2" t="s">
        <v>2515</v>
      </c>
      <c r="D1289" s="2" t="s">
        <v>2528</v>
      </c>
      <c r="E1289" s="2" t="s">
        <v>2517</v>
      </c>
      <c r="F1289" s="3">
        <v>78724</v>
      </c>
      <c r="G1289" s="3">
        <v>6219</v>
      </c>
      <c r="H1289" s="3">
        <v>847</v>
      </c>
      <c r="I1289" s="4">
        <v>1816.4</v>
      </c>
      <c r="J1289" s="4">
        <v>173348.56</v>
      </c>
      <c r="K1289" s="3">
        <v>670</v>
      </c>
      <c r="L1289" s="2" t="s">
        <v>2518</v>
      </c>
      <c r="M1289" s="2" t="s">
        <v>2519</v>
      </c>
      <c r="N1289" t="str">
        <f>TRIM(PROPER(Tabla_auditoría[[#This Row],[ID_Campaña]]))</f>
        <v>Cmp-027</v>
      </c>
      <c r="O1289" t="str">
        <f>TRIM(PROPER(Tabla_auditoría[[#This Row],[Canal]]))</f>
        <v>Email</v>
      </c>
      <c r="P1289" t="str">
        <f>TRIM(PROPER(Tabla_auditoría[[#This Row],[País]]))</f>
        <v>España</v>
      </c>
      <c r="Q1289" t="str">
        <f>TRIM(PROPER(Tabla_auditoría[[#This Row],[Dispositivo]]))</f>
        <v>Desktop</v>
      </c>
      <c r="R1289" t="str">
        <f>TRIM(PROPER(Tabla_auditoría[[#This Row],[Tipo_Campaña]]))</f>
        <v>Adquisición</v>
      </c>
      <c r="S1289" t="str">
        <f>TRIM(PROPER(Tabla_auditoría[[#This Row],[Responsable]]))</f>
        <v>Carlos Ruiz</v>
      </c>
    </row>
    <row r="1290" spans="1:19" x14ac:dyDescent="0.3">
      <c r="A1290" s="1">
        <v>45668</v>
      </c>
      <c r="B1290" s="2" t="s">
        <v>2570</v>
      </c>
      <c r="C1290" s="2" t="s">
        <v>2521</v>
      </c>
      <c r="D1290" s="2" t="s">
        <v>2528</v>
      </c>
      <c r="E1290" s="2" t="s">
        <v>2529</v>
      </c>
      <c r="F1290" s="3">
        <v>84247</v>
      </c>
      <c r="G1290" s="3">
        <v>5908</v>
      </c>
      <c r="H1290" s="3">
        <v>351</v>
      </c>
      <c r="I1290" s="4">
        <v>7686.04</v>
      </c>
      <c r="J1290" s="4">
        <v>12703.92</v>
      </c>
      <c r="K1290" s="3">
        <v>292</v>
      </c>
      <c r="L1290" s="2" t="s">
        <v>2539</v>
      </c>
      <c r="M1290" s="2" t="s">
        <v>2519</v>
      </c>
      <c r="N1290" t="str">
        <f>TRIM(PROPER(Tabla_auditoría[[#This Row],[ID_Campaña]]))</f>
        <v>Cmp-016</v>
      </c>
      <c r="O1290" t="str">
        <f>TRIM(PROPER(Tabla_auditoría[[#This Row],[Canal]]))</f>
        <v>Paid Search</v>
      </c>
      <c r="P1290" t="str">
        <f>TRIM(PROPER(Tabla_auditoría[[#This Row],[País]]))</f>
        <v>España</v>
      </c>
      <c r="Q1290" t="str">
        <f>TRIM(PROPER(Tabla_auditoría[[#This Row],[Dispositivo]]))</f>
        <v>Mobile</v>
      </c>
      <c r="R1290" t="str">
        <f>TRIM(PROPER(Tabla_auditoría[[#This Row],[Tipo_Campaña]]))</f>
        <v>Conversión</v>
      </c>
      <c r="S1290" t="str">
        <f>TRIM(PROPER(Tabla_auditoría[[#This Row],[Responsable]]))</f>
        <v>Carlos Ruiz</v>
      </c>
    </row>
    <row r="1291" spans="1:19" x14ac:dyDescent="0.3">
      <c r="A1291" s="1">
        <v>45948</v>
      </c>
      <c r="B1291" s="2" t="s">
        <v>2542</v>
      </c>
      <c r="C1291" s="2" t="s">
        <v>2527</v>
      </c>
      <c r="D1291" s="2" t="s">
        <v>2584</v>
      </c>
      <c r="E1291" s="2" t="s">
        <v>2529</v>
      </c>
      <c r="F1291" s="3">
        <v>103510</v>
      </c>
      <c r="G1291" s="3">
        <v>7103</v>
      </c>
      <c r="H1291" s="3">
        <v>628</v>
      </c>
      <c r="I1291" s="4">
        <v>12062.88</v>
      </c>
      <c r="J1291" s="4">
        <v>118018.57</v>
      </c>
      <c r="K1291" s="3">
        <v>307</v>
      </c>
      <c r="L1291" s="2" t="s">
        <v>2518</v>
      </c>
      <c r="M1291" s="2" t="s">
        <v>2524</v>
      </c>
      <c r="N1291" t="str">
        <f>TRIM(PROPER(Tabla_auditoría[[#This Row],[ID_Campaña]]))</f>
        <v>Cmp-025</v>
      </c>
      <c r="O1291" t="str">
        <f>TRIM(PROPER(Tabla_auditoría[[#This Row],[Canal]]))</f>
        <v>Affiliate</v>
      </c>
      <c r="P1291" t="str">
        <f>TRIM(PROPER(Tabla_auditoría[[#This Row],[País]]))</f>
        <v>Portugal</v>
      </c>
      <c r="Q1291" t="str">
        <f>TRIM(PROPER(Tabla_auditoría[[#This Row],[Dispositivo]]))</f>
        <v>Mobile</v>
      </c>
      <c r="R1291" t="str">
        <f>TRIM(PROPER(Tabla_auditoría[[#This Row],[Tipo_Campaña]]))</f>
        <v>Adquisición</v>
      </c>
      <c r="S1291" t="str">
        <f>TRIM(PROPER(Tabla_auditoría[[#This Row],[Responsable]]))</f>
        <v>Luis Martín</v>
      </c>
    </row>
    <row r="1292" spans="1:19" x14ac:dyDescent="0.3">
      <c r="A1292" s="1">
        <v>45992</v>
      </c>
      <c r="B1292" s="2" t="s">
        <v>2520</v>
      </c>
      <c r="C1292" s="2" t="s">
        <v>2515</v>
      </c>
      <c r="D1292" s="2" t="s">
        <v>2528</v>
      </c>
      <c r="E1292" s="2" t="s">
        <v>2529</v>
      </c>
      <c r="F1292" s="3">
        <v>170230</v>
      </c>
      <c r="G1292" s="3">
        <v>10698</v>
      </c>
      <c r="H1292" s="3">
        <v>95</v>
      </c>
      <c r="I1292" s="4">
        <v>2647.86</v>
      </c>
      <c r="J1292" s="4">
        <v>18471.66</v>
      </c>
      <c r="K1292" s="3">
        <v>64</v>
      </c>
      <c r="L1292" s="2" t="s">
        <v>2536</v>
      </c>
      <c r="M1292" s="2" t="s">
        <v>2519</v>
      </c>
      <c r="N1292" t="str">
        <f>TRIM(PROPER(Tabla_auditoría[[#This Row],[ID_Campaña]]))</f>
        <v>Cmp-009</v>
      </c>
      <c r="O1292" t="str">
        <f>TRIM(PROPER(Tabla_auditoría[[#This Row],[Canal]]))</f>
        <v>Email</v>
      </c>
      <c r="P1292" t="str">
        <f>TRIM(PROPER(Tabla_auditoría[[#This Row],[País]]))</f>
        <v>España</v>
      </c>
      <c r="Q1292" t="str">
        <f>TRIM(PROPER(Tabla_auditoría[[#This Row],[Dispositivo]]))</f>
        <v>Mobile</v>
      </c>
      <c r="R1292" t="str">
        <f>TRIM(PROPER(Tabla_auditoría[[#This Row],[Tipo_Campaña]]))</f>
        <v>Reconocimiento</v>
      </c>
      <c r="S1292" t="str">
        <f>TRIM(PROPER(Tabla_auditoría[[#This Row],[Responsable]]))</f>
        <v>Carlos Ruiz</v>
      </c>
    </row>
    <row r="1293" spans="1:19" x14ac:dyDescent="0.3">
      <c r="A1293" s="1">
        <v>45805</v>
      </c>
      <c r="B1293" s="2" t="s">
        <v>2545</v>
      </c>
      <c r="C1293" s="2" t="s">
        <v>2527</v>
      </c>
      <c r="D1293" s="2" t="s">
        <v>2522</v>
      </c>
      <c r="E1293" s="2" t="s">
        <v>2517</v>
      </c>
      <c r="F1293" s="3">
        <v>134095</v>
      </c>
      <c r="G1293" s="3">
        <v>10672</v>
      </c>
      <c r="H1293" s="3">
        <v>1120</v>
      </c>
      <c r="I1293" s="4">
        <v>16559.05</v>
      </c>
      <c r="J1293" s="4">
        <v>151623.4</v>
      </c>
      <c r="K1293" s="3">
        <v>916</v>
      </c>
      <c r="L1293" s="2" t="s">
        <v>2518</v>
      </c>
      <c r="M1293" s="2" t="s">
        <v>2519</v>
      </c>
      <c r="N1293" t="str">
        <f>TRIM(PROPER(Tabla_auditoría[[#This Row],[ID_Campaña]]))</f>
        <v>Cmp-011</v>
      </c>
      <c r="O1293" t="str">
        <f>TRIM(PROPER(Tabla_auditoría[[#This Row],[Canal]]))</f>
        <v>Affiliate</v>
      </c>
      <c r="P1293" t="str">
        <f>TRIM(PROPER(Tabla_auditoría[[#This Row],[País]]))</f>
        <v>Italia</v>
      </c>
      <c r="Q1293" t="str">
        <f>TRIM(PROPER(Tabla_auditoría[[#This Row],[Dispositivo]]))</f>
        <v>Desktop</v>
      </c>
      <c r="R1293" t="str">
        <f>TRIM(PROPER(Tabla_auditoría[[#This Row],[Tipo_Campaña]]))</f>
        <v>Adquisición</v>
      </c>
      <c r="S1293" t="str">
        <f>TRIM(PROPER(Tabla_auditoría[[#This Row],[Responsable]]))</f>
        <v>Carlos Ruiz</v>
      </c>
    </row>
    <row r="1294" spans="1:19" x14ac:dyDescent="0.3">
      <c r="A1294" s="1">
        <v>45929</v>
      </c>
      <c r="B1294" s="2" t="s">
        <v>2547</v>
      </c>
      <c r="C1294" s="2" t="s">
        <v>2533</v>
      </c>
      <c r="E1294" s="2" t="s">
        <v>2529</v>
      </c>
      <c r="F1294" s="3">
        <v>138122</v>
      </c>
      <c r="G1294" s="3">
        <v>9846</v>
      </c>
      <c r="H1294" s="3">
        <v>657</v>
      </c>
      <c r="I1294" s="4">
        <v>20352.79</v>
      </c>
      <c r="J1294" s="4">
        <v>73294.759999999995</v>
      </c>
      <c r="K1294" s="3">
        <v>301</v>
      </c>
      <c r="L1294" s="2" t="s">
        <v>2523</v>
      </c>
      <c r="M1294" s="2" t="s">
        <v>2519</v>
      </c>
      <c r="N1294" t="str">
        <f>TRIM(PROPER(Tabla_auditoría[[#This Row],[ID_Campaña]]))</f>
        <v>Cmp-018</v>
      </c>
      <c r="O1294" t="str">
        <f>TRIM(PROPER(Tabla_auditoría[[#This Row],[Canal]]))</f>
        <v>Paid Social</v>
      </c>
      <c r="P1294" t="str">
        <f>TRIM(PROPER(Tabla_auditoría[[#This Row],[País]]))</f>
        <v/>
      </c>
      <c r="Q1294" t="str">
        <f>TRIM(PROPER(Tabla_auditoría[[#This Row],[Dispositivo]]))</f>
        <v>Mobile</v>
      </c>
      <c r="R1294" t="str">
        <f>TRIM(PROPER(Tabla_auditoría[[#This Row],[Tipo_Campaña]]))</f>
        <v>Retención</v>
      </c>
      <c r="S1294" t="str">
        <f>TRIM(PROPER(Tabla_auditoría[[#This Row],[Responsable]]))</f>
        <v>Carlos Ruiz</v>
      </c>
    </row>
    <row r="1295" spans="1:19" x14ac:dyDescent="0.3">
      <c r="A1295" s="1">
        <v>45790</v>
      </c>
      <c r="B1295" s="2" t="s">
        <v>2540</v>
      </c>
      <c r="C1295" s="2" t="s">
        <v>2515</v>
      </c>
      <c r="D1295" s="2" t="s">
        <v>2528</v>
      </c>
      <c r="E1295" s="2" t="s">
        <v>2529</v>
      </c>
      <c r="F1295" s="3">
        <v>23293</v>
      </c>
      <c r="G1295" s="3">
        <v>262</v>
      </c>
      <c r="H1295" s="3">
        <v>23</v>
      </c>
      <c r="I1295" s="4">
        <v>195.1</v>
      </c>
      <c r="J1295" s="4">
        <v>4500.66</v>
      </c>
      <c r="K1295" s="3">
        <v>14</v>
      </c>
      <c r="L1295" s="2" t="s">
        <v>2536</v>
      </c>
      <c r="M1295" s="2" t="s">
        <v>2526</v>
      </c>
      <c r="N1295" t="str">
        <f>TRIM(PROPER(Tabla_auditoría[[#This Row],[ID_Campaña]]))</f>
        <v>Cmp-017</v>
      </c>
      <c r="O1295" t="str">
        <f>TRIM(PROPER(Tabla_auditoría[[#This Row],[Canal]]))</f>
        <v>Email</v>
      </c>
      <c r="P1295" t="str">
        <f>TRIM(PROPER(Tabla_auditoría[[#This Row],[País]]))</f>
        <v>España</v>
      </c>
      <c r="Q1295" t="str">
        <f>TRIM(PROPER(Tabla_auditoría[[#This Row],[Dispositivo]]))</f>
        <v>Mobile</v>
      </c>
      <c r="R1295" t="str">
        <f>TRIM(PROPER(Tabla_auditoría[[#This Row],[Tipo_Campaña]]))</f>
        <v>Reconocimiento</v>
      </c>
      <c r="S1295" t="str">
        <f>TRIM(PROPER(Tabla_auditoría[[#This Row],[Responsable]]))</f>
        <v>Laura Pérez</v>
      </c>
    </row>
    <row r="1296" spans="1:19" x14ac:dyDescent="0.3">
      <c r="A1296" s="1">
        <v>45856</v>
      </c>
      <c r="B1296" s="2" t="s">
        <v>2556</v>
      </c>
      <c r="C1296" s="2" t="s">
        <v>2521</v>
      </c>
      <c r="D1296" s="2" t="s">
        <v>2528</v>
      </c>
      <c r="E1296" s="2" t="s">
        <v>2517</v>
      </c>
      <c r="F1296" s="3">
        <v>38237</v>
      </c>
      <c r="G1296" s="3">
        <v>1052</v>
      </c>
      <c r="H1296" s="3">
        <v>140</v>
      </c>
      <c r="I1296" s="4">
        <v>1992.89</v>
      </c>
      <c r="J1296" s="4">
        <v>4146.05</v>
      </c>
      <c r="K1296" s="3">
        <v>113</v>
      </c>
      <c r="L1296" s="2" t="s">
        <v>2536</v>
      </c>
      <c r="M1296" s="2" t="s">
        <v>2526</v>
      </c>
      <c r="N1296" t="str">
        <f>TRIM(PROPER(Tabla_auditoría[[#This Row],[ID_Campaña]]))</f>
        <v>Cmp-014</v>
      </c>
      <c r="O1296" t="str">
        <f>TRIM(PROPER(Tabla_auditoría[[#This Row],[Canal]]))</f>
        <v>Paid Search</v>
      </c>
      <c r="P1296" t="str">
        <f>TRIM(PROPER(Tabla_auditoría[[#This Row],[País]]))</f>
        <v>España</v>
      </c>
      <c r="Q1296" t="str">
        <f>TRIM(PROPER(Tabla_auditoría[[#This Row],[Dispositivo]]))</f>
        <v>Desktop</v>
      </c>
      <c r="R1296" t="str">
        <f>TRIM(PROPER(Tabla_auditoría[[#This Row],[Tipo_Campaña]]))</f>
        <v>Reconocimiento</v>
      </c>
      <c r="S1296" t="str">
        <f>TRIM(PROPER(Tabla_auditoría[[#This Row],[Responsable]]))</f>
        <v>Laura Pérez</v>
      </c>
    </row>
    <row r="1297" spans="1:19" x14ac:dyDescent="0.3">
      <c r="A1297" s="1">
        <v>45973</v>
      </c>
      <c r="B1297" s="2" t="s">
        <v>2556</v>
      </c>
      <c r="C1297" s="2" t="s">
        <v>2541</v>
      </c>
      <c r="D1297" s="2" t="s">
        <v>2528</v>
      </c>
      <c r="E1297" s="2" t="s">
        <v>2559</v>
      </c>
      <c r="F1297" s="3">
        <v>128158</v>
      </c>
      <c r="G1297" s="3">
        <v>7202</v>
      </c>
      <c r="H1297" s="3">
        <v>271</v>
      </c>
      <c r="I1297" s="4">
        <v>4596.46</v>
      </c>
      <c r="J1297" s="4">
        <v>48387.87</v>
      </c>
      <c r="K1297" s="3">
        <v>154</v>
      </c>
      <c r="L1297" s="2" t="s">
        <v>2539</v>
      </c>
      <c r="M1297" s="2" t="s">
        <v>2546</v>
      </c>
      <c r="N1297" t="str">
        <f>TRIM(PROPER(Tabla_auditoría[[#This Row],[ID_Campaña]]))</f>
        <v>Cmp-014</v>
      </c>
      <c r="O1297" t="str">
        <f>TRIM(PROPER(Tabla_auditoría[[#This Row],[Canal]]))</f>
        <v>Display</v>
      </c>
      <c r="P1297" t="str">
        <f>TRIM(PROPER(Tabla_auditoría[[#This Row],[País]]))</f>
        <v>España</v>
      </c>
      <c r="Q1297" t="str">
        <f>TRIM(PROPER(Tabla_auditoría[[#This Row],[Dispositivo]]))</f>
        <v>Desktop</v>
      </c>
      <c r="R1297" t="str">
        <f>TRIM(PROPER(Tabla_auditoría[[#This Row],[Tipo_Campaña]]))</f>
        <v>Conversión</v>
      </c>
      <c r="S1297" t="str">
        <f>TRIM(PROPER(Tabla_auditoría[[#This Row],[Responsable]]))</f>
        <v>Ana García</v>
      </c>
    </row>
    <row r="1298" spans="1:19" x14ac:dyDescent="0.3">
      <c r="A1298" s="1">
        <v>46004</v>
      </c>
      <c r="B1298" s="2" t="s">
        <v>2566</v>
      </c>
      <c r="C1298" s="2" t="s">
        <v>2533</v>
      </c>
      <c r="D1298" s="2" t="s">
        <v>2528</v>
      </c>
      <c r="E1298" s="2" t="s">
        <v>2534</v>
      </c>
      <c r="F1298" s="3">
        <v>16855</v>
      </c>
      <c r="G1298" s="3">
        <v>170</v>
      </c>
      <c r="H1298" s="3">
        <v>9</v>
      </c>
      <c r="I1298" s="4">
        <v>176.75</v>
      </c>
      <c r="J1298" s="4">
        <v>1676.99</v>
      </c>
      <c r="K1298" s="3">
        <v>7</v>
      </c>
      <c r="L1298" s="2" t="s">
        <v>2523</v>
      </c>
      <c r="M1298" s="2" t="s">
        <v>2526</v>
      </c>
      <c r="N1298" t="str">
        <f>TRIM(PROPER(Tabla_auditoría[[#This Row],[ID_Campaña]]))</f>
        <v>Cmp-001</v>
      </c>
      <c r="O1298" t="str">
        <f>TRIM(PROPER(Tabla_auditoría[[#This Row],[Canal]]))</f>
        <v>Paid Social</v>
      </c>
      <c r="P1298" t="str">
        <f>TRIM(PROPER(Tabla_auditoría[[#This Row],[País]]))</f>
        <v>España</v>
      </c>
      <c r="Q1298" t="str">
        <f>TRIM(PROPER(Tabla_auditoría[[#This Row],[Dispositivo]]))</f>
        <v>Tablet</v>
      </c>
      <c r="R1298" t="str">
        <f>TRIM(PROPER(Tabla_auditoría[[#This Row],[Tipo_Campaña]]))</f>
        <v>Retención</v>
      </c>
      <c r="S1298" t="str">
        <f>TRIM(PROPER(Tabla_auditoría[[#This Row],[Responsable]]))</f>
        <v>Laura Pérez</v>
      </c>
    </row>
    <row r="1299" spans="1:19" x14ac:dyDescent="0.3">
      <c r="A1299" s="1">
        <v>45746</v>
      </c>
      <c r="B1299" s="2" t="s">
        <v>2520</v>
      </c>
      <c r="C1299" s="2" t="s">
        <v>2515</v>
      </c>
      <c r="D1299" s="2" t="s">
        <v>2522</v>
      </c>
      <c r="E1299" s="2" t="s">
        <v>2529</v>
      </c>
      <c r="F1299" s="3">
        <v>90343</v>
      </c>
      <c r="G1299" s="3">
        <v>3206</v>
      </c>
      <c r="H1299" s="3">
        <v>425</v>
      </c>
      <c r="I1299" s="4">
        <v>2181.39</v>
      </c>
      <c r="J1299" s="4">
        <v>38125.99</v>
      </c>
      <c r="K1299" s="3">
        <v>285</v>
      </c>
      <c r="L1299" s="2" t="s">
        <v>2518</v>
      </c>
      <c r="M1299" s="2" t="s">
        <v>2546</v>
      </c>
      <c r="N1299" t="str">
        <f>TRIM(PROPER(Tabla_auditoría[[#This Row],[ID_Campaña]]))</f>
        <v>Cmp-009</v>
      </c>
      <c r="O1299" t="str">
        <f>TRIM(PROPER(Tabla_auditoría[[#This Row],[Canal]]))</f>
        <v>Email</v>
      </c>
      <c r="P1299" t="str">
        <f>TRIM(PROPER(Tabla_auditoría[[#This Row],[País]]))</f>
        <v>Italia</v>
      </c>
      <c r="Q1299" t="str">
        <f>TRIM(PROPER(Tabla_auditoría[[#This Row],[Dispositivo]]))</f>
        <v>Mobile</v>
      </c>
      <c r="R1299" t="str">
        <f>TRIM(PROPER(Tabla_auditoría[[#This Row],[Tipo_Campaña]]))</f>
        <v>Adquisición</v>
      </c>
      <c r="S1299" t="str">
        <f>TRIM(PROPER(Tabla_auditoría[[#This Row],[Responsable]]))</f>
        <v>Ana García</v>
      </c>
    </row>
    <row r="1300" spans="1:19" x14ac:dyDescent="0.3">
      <c r="A1300" s="1">
        <v>45753</v>
      </c>
      <c r="B1300" s="2" t="s">
        <v>2520</v>
      </c>
      <c r="C1300" s="2" t="s">
        <v>2541</v>
      </c>
      <c r="D1300" s="2" t="s">
        <v>2531</v>
      </c>
      <c r="E1300" s="2" t="s">
        <v>2517</v>
      </c>
      <c r="F1300" s="3">
        <v>34909</v>
      </c>
      <c r="G1300" s="3">
        <v>268</v>
      </c>
      <c r="H1300" s="3">
        <v>9</v>
      </c>
      <c r="I1300" s="4">
        <v>315.08999999999997</v>
      </c>
      <c r="J1300" s="4">
        <v>1952.15</v>
      </c>
      <c r="K1300" s="3">
        <v>5</v>
      </c>
      <c r="L1300" s="2" t="s">
        <v>2518</v>
      </c>
      <c r="M1300" s="2" t="s">
        <v>2546</v>
      </c>
      <c r="N1300" t="str">
        <f>TRIM(PROPER(Tabla_auditoría[[#This Row],[ID_Campaña]]))</f>
        <v>Cmp-009</v>
      </c>
      <c r="O1300" t="str">
        <f>TRIM(PROPER(Tabla_auditoría[[#This Row],[Canal]]))</f>
        <v>Display</v>
      </c>
      <c r="P1300" t="str">
        <f>TRIM(PROPER(Tabla_auditoría[[#This Row],[País]]))</f>
        <v>Portugal</v>
      </c>
      <c r="Q1300" t="str">
        <f>TRIM(PROPER(Tabla_auditoría[[#This Row],[Dispositivo]]))</f>
        <v>Desktop</v>
      </c>
      <c r="R1300" t="str">
        <f>TRIM(PROPER(Tabla_auditoría[[#This Row],[Tipo_Campaña]]))</f>
        <v>Adquisición</v>
      </c>
      <c r="S1300" t="str">
        <f>TRIM(PROPER(Tabla_auditoría[[#This Row],[Responsable]]))</f>
        <v>Ana García</v>
      </c>
    </row>
    <row r="1301" spans="1:19" x14ac:dyDescent="0.3">
      <c r="A1301" s="1">
        <v>45739</v>
      </c>
      <c r="B1301" s="2" t="s">
        <v>2557</v>
      </c>
      <c r="C1301" s="2" t="s">
        <v>2515</v>
      </c>
      <c r="D1301" s="2" t="s">
        <v>2528</v>
      </c>
      <c r="E1301" s="2" t="s">
        <v>2529</v>
      </c>
      <c r="F1301" s="3">
        <v>103546</v>
      </c>
      <c r="G1301" s="3">
        <v>977</v>
      </c>
      <c r="H1301" s="3">
        <v>99</v>
      </c>
      <c r="I1301" s="4">
        <v>1972.26</v>
      </c>
      <c r="J1301" s="4">
        <v>6546.39</v>
      </c>
      <c r="K1301" s="3">
        <v>86</v>
      </c>
      <c r="L1301" s="2" t="s">
        <v>2523</v>
      </c>
      <c r="M1301" s="2" t="s">
        <v>2519</v>
      </c>
      <c r="N1301" t="str">
        <f>TRIM(PROPER(Tabla_auditoría[[#This Row],[ID_Campaña]]))</f>
        <v>Cmp-030</v>
      </c>
      <c r="O1301" t="str">
        <f>TRIM(PROPER(Tabla_auditoría[[#This Row],[Canal]]))</f>
        <v>Email</v>
      </c>
      <c r="P1301" t="str">
        <f>TRIM(PROPER(Tabla_auditoría[[#This Row],[País]]))</f>
        <v>España</v>
      </c>
      <c r="Q1301" t="str">
        <f>TRIM(PROPER(Tabla_auditoría[[#This Row],[Dispositivo]]))</f>
        <v>Mobile</v>
      </c>
      <c r="R1301" t="str">
        <f>TRIM(PROPER(Tabla_auditoría[[#This Row],[Tipo_Campaña]]))</f>
        <v>Retención</v>
      </c>
      <c r="S1301" t="str">
        <f>TRIM(PROPER(Tabla_auditoría[[#This Row],[Responsable]]))</f>
        <v>Carlos Ruiz</v>
      </c>
    </row>
    <row r="1302" spans="1:19" x14ac:dyDescent="0.3">
      <c r="A1302" s="1">
        <v>45784</v>
      </c>
      <c r="B1302" s="2" t="s">
        <v>2565</v>
      </c>
      <c r="C1302" s="2" t="s">
        <v>2515</v>
      </c>
      <c r="D1302" s="2" t="s">
        <v>2525</v>
      </c>
      <c r="E1302" s="2" t="s">
        <v>2517</v>
      </c>
      <c r="F1302" s="3">
        <v>107534</v>
      </c>
      <c r="G1302" s="3">
        <v>3414</v>
      </c>
      <c r="H1302" s="3">
        <v>259</v>
      </c>
      <c r="I1302" s="4">
        <v>-4327.8100000000004</v>
      </c>
      <c r="J1302" s="4">
        <v>29367.439999999999</v>
      </c>
      <c r="K1302" s="3">
        <v>188</v>
      </c>
      <c r="L1302" s="2" t="s">
        <v>2523</v>
      </c>
      <c r="M1302" s="2" t="s">
        <v>2537</v>
      </c>
      <c r="N1302" t="str">
        <f>TRIM(PROPER(Tabla_auditoría[[#This Row],[ID_Campaña]]))</f>
        <v>Cmp-005</v>
      </c>
      <c r="O1302" t="str">
        <f>TRIM(PROPER(Tabla_auditoría[[#This Row],[Canal]]))</f>
        <v>Email</v>
      </c>
      <c r="P1302" t="str">
        <f>TRIM(PROPER(Tabla_auditoría[[#This Row],[País]]))</f>
        <v>Francia</v>
      </c>
      <c r="Q1302" t="str">
        <f>TRIM(PROPER(Tabla_auditoría[[#This Row],[Dispositivo]]))</f>
        <v>Desktop</v>
      </c>
      <c r="R1302" t="str">
        <f>TRIM(PROPER(Tabla_auditoría[[#This Row],[Tipo_Campaña]]))</f>
        <v>Retención</v>
      </c>
      <c r="S1302" t="str">
        <f>TRIM(PROPER(Tabla_auditoría[[#This Row],[Responsable]]))</f>
        <v>Marta López</v>
      </c>
    </row>
    <row r="1303" spans="1:19" x14ac:dyDescent="0.3">
      <c r="A1303" s="1">
        <v>45674</v>
      </c>
      <c r="B1303" s="2" t="s">
        <v>2560</v>
      </c>
      <c r="C1303" s="2" t="s">
        <v>2515</v>
      </c>
      <c r="D1303" s="2" t="s">
        <v>2525</v>
      </c>
      <c r="E1303" s="2" t="s">
        <v>2529</v>
      </c>
      <c r="F1303" s="3">
        <v>68617</v>
      </c>
      <c r="G1303" s="3">
        <v>1122</v>
      </c>
      <c r="H1303" s="3">
        <v>97</v>
      </c>
      <c r="I1303" s="4">
        <v>889.33</v>
      </c>
      <c r="J1303" s="4">
        <v>4954.7700000000004</v>
      </c>
      <c r="K1303" s="3">
        <v>54</v>
      </c>
      <c r="L1303" s="2" t="s">
        <v>2539</v>
      </c>
      <c r="M1303" s="2" t="s">
        <v>2519</v>
      </c>
      <c r="N1303" t="str">
        <f>TRIM(PROPER(Tabla_auditoría[[#This Row],[ID_Campaña]]))</f>
        <v>Cmp-027</v>
      </c>
      <c r="O1303" t="str">
        <f>TRIM(PROPER(Tabla_auditoría[[#This Row],[Canal]]))</f>
        <v>Email</v>
      </c>
      <c r="P1303" t="str">
        <f>TRIM(PROPER(Tabla_auditoría[[#This Row],[País]]))</f>
        <v>Francia</v>
      </c>
      <c r="Q1303" t="str">
        <f>TRIM(PROPER(Tabla_auditoría[[#This Row],[Dispositivo]]))</f>
        <v>Mobile</v>
      </c>
      <c r="R1303" t="str">
        <f>TRIM(PROPER(Tabla_auditoría[[#This Row],[Tipo_Campaña]]))</f>
        <v>Conversión</v>
      </c>
      <c r="S1303" t="str">
        <f>TRIM(PROPER(Tabla_auditoría[[#This Row],[Responsable]]))</f>
        <v>Carlos Ruiz</v>
      </c>
    </row>
    <row r="1304" spans="1:19" x14ac:dyDescent="0.3">
      <c r="A1304" s="1">
        <v>45762</v>
      </c>
      <c r="B1304" s="2" t="s">
        <v>2540</v>
      </c>
      <c r="C1304" s="2" t="s">
        <v>2515</v>
      </c>
      <c r="D1304" s="2" t="s">
        <v>2528</v>
      </c>
      <c r="E1304" s="2" t="s">
        <v>2561</v>
      </c>
      <c r="F1304" s="3">
        <v>147868</v>
      </c>
      <c r="G1304" s="3">
        <v>9431</v>
      </c>
      <c r="H1304" s="3">
        <v>1298</v>
      </c>
      <c r="I1304" s="4">
        <v>17000.349999999999</v>
      </c>
      <c r="J1304" s="4">
        <v>45052.76</v>
      </c>
      <c r="K1304" s="3">
        <v>792</v>
      </c>
      <c r="L1304" s="2" t="s">
        <v>2539</v>
      </c>
      <c r="M1304" s="2" t="s">
        <v>2537</v>
      </c>
      <c r="N1304" t="str">
        <f>TRIM(PROPER(Tabla_auditoría[[#This Row],[ID_Campaña]]))</f>
        <v>Cmp-017</v>
      </c>
      <c r="O1304" t="str">
        <f>TRIM(PROPER(Tabla_auditoría[[#This Row],[Canal]]))</f>
        <v>Email</v>
      </c>
      <c r="P1304" t="str">
        <f>TRIM(PROPER(Tabla_auditoría[[#This Row],[País]]))</f>
        <v>España</v>
      </c>
      <c r="Q1304" t="str">
        <f>TRIM(PROPER(Tabla_auditoría[[#This Row],[Dispositivo]]))</f>
        <v>Mobile</v>
      </c>
      <c r="R1304" t="str">
        <f>TRIM(PROPER(Tabla_auditoría[[#This Row],[Tipo_Campaña]]))</f>
        <v>Conversión</v>
      </c>
      <c r="S1304" t="str">
        <f>TRIM(PROPER(Tabla_auditoría[[#This Row],[Responsable]]))</f>
        <v>Marta López</v>
      </c>
    </row>
    <row r="1305" spans="1:19" x14ac:dyDescent="0.3">
      <c r="A1305" s="1">
        <v>45666</v>
      </c>
      <c r="B1305" s="2" t="s">
        <v>2551</v>
      </c>
      <c r="C1305" s="2" t="s">
        <v>2533</v>
      </c>
      <c r="D1305" s="2" t="s">
        <v>2522</v>
      </c>
      <c r="E1305" s="2" t="s">
        <v>2517</v>
      </c>
      <c r="F1305" s="3">
        <v>103983</v>
      </c>
      <c r="G1305" s="3">
        <v>8707</v>
      </c>
      <c r="H1305" s="3">
        <v>713</v>
      </c>
      <c r="I1305" s="4">
        <v>8536.56</v>
      </c>
      <c r="J1305" s="4">
        <v>150770.19</v>
      </c>
      <c r="K1305" s="3">
        <v>532</v>
      </c>
      <c r="L1305" s="2" t="s">
        <v>2523</v>
      </c>
      <c r="M1305" s="2" t="s">
        <v>2519</v>
      </c>
      <c r="N1305" t="str">
        <f>TRIM(PROPER(Tabla_auditoría[[#This Row],[ID_Campaña]]))</f>
        <v>Cmp-028</v>
      </c>
      <c r="O1305" t="str">
        <f>TRIM(PROPER(Tabla_auditoría[[#This Row],[Canal]]))</f>
        <v>Paid Social</v>
      </c>
      <c r="P1305" t="str">
        <f>TRIM(PROPER(Tabla_auditoría[[#This Row],[País]]))</f>
        <v>Italia</v>
      </c>
      <c r="Q1305" t="str">
        <f>TRIM(PROPER(Tabla_auditoría[[#This Row],[Dispositivo]]))</f>
        <v>Desktop</v>
      </c>
      <c r="R1305" t="str">
        <f>TRIM(PROPER(Tabla_auditoría[[#This Row],[Tipo_Campaña]]))</f>
        <v>Retención</v>
      </c>
      <c r="S1305" t="str">
        <f>TRIM(PROPER(Tabla_auditoría[[#This Row],[Responsable]]))</f>
        <v>Carlos Ruiz</v>
      </c>
    </row>
    <row r="1306" spans="1:19" x14ac:dyDescent="0.3">
      <c r="A1306" s="1">
        <v>45971</v>
      </c>
      <c r="B1306" s="2" t="s">
        <v>2542</v>
      </c>
      <c r="C1306" s="2" t="s">
        <v>2533</v>
      </c>
      <c r="D1306" s="2" t="s">
        <v>2528</v>
      </c>
      <c r="E1306" s="2" t="s">
        <v>2529</v>
      </c>
      <c r="F1306" s="3">
        <v>138489</v>
      </c>
      <c r="G1306" s="3">
        <v>9738</v>
      </c>
      <c r="H1306" s="3">
        <v>720</v>
      </c>
      <c r="I1306" s="4">
        <v>9876.2999999999993</v>
      </c>
      <c r="J1306" s="4">
        <v>121819.86</v>
      </c>
      <c r="K1306" s="3">
        <v>507</v>
      </c>
      <c r="L1306" s="2" t="s">
        <v>2518</v>
      </c>
      <c r="M1306" s="2" t="s">
        <v>2546</v>
      </c>
      <c r="N1306" t="str">
        <f>TRIM(PROPER(Tabla_auditoría[[#This Row],[ID_Campaña]]))</f>
        <v>Cmp-025</v>
      </c>
      <c r="O1306" t="str">
        <f>TRIM(PROPER(Tabla_auditoría[[#This Row],[Canal]]))</f>
        <v>Paid Social</v>
      </c>
      <c r="P1306" t="str">
        <f>TRIM(PROPER(Tabla_auditoría[[#This Row],[País]]))</f>
        <v>España</v>
      </c>
      <c r="Q1306" t="str">
        <f>TRIM(PROPER(Tabla_auditoría[[#This Row],[Dispositivo]]))</f>
        <v>Mobile</v>
      </c>
      <c r="R1306" t="str">
        <f>TRIM(PROPER(Tabla_auditoría[[#This Row],[Tipo_Campaña]]))</f>
        <v>Adquisición</v>
      </c>
      <c r="S1306" t="str">
        <f>TRIM(PROPER(Tabla_auditoría[[#This Row],[Responsable]]))</f>
        <v>Ana García</v>
      </c>
    </row>
    <row r="1307" spans="1:19" x14ac:dyDescent="0.3">
      <c r="A1307" s="1">
        <v>45757</v>
      </c>
      <c r="B1307" s="2" t="s">
        <v>2560</v>
      </c>
      <c r="C1307" s="2" t="s">
        <v>2543</v>
      </c>
      <c r="D1307" s="2" t="s">
        <v>2528</v>
      </c>
      <c r="E1307" s="2" t="s">
        <v>2517</v>
      </c>
      <c r="F1307" s="3">
        <v>137951</v>
      </c>
      <c r="G1307" s="3">
        <v>6093</v>
      </c>
      <c r="H1307" s="3">
        <v>823</v>
      </c>
      <c r="I1307" s="4">
        <v>11964.11</v>
      </c>
      <c r="J1307" s="4">
        <v>56842.239999999998</v>
      </c>
      <c r="K1307" s="3">
        <v>423</v>
      </c>
      <c r="L1307" s="2" t="s">
        <v>2518</v>
      </c>
      <c r="M1307" s="2" t="s">
        <v>2546</v>
      </c>
      <c r="N1307" t="str">
        <f>TRIM(PROPER(Tabla_auditoría[[#This Row],[ID_Campaña]]))</f>
        <v>Cmp-027</v>
      </c>
      <c r="O1307" t="str">
        <f>TRIM(PROPER(Tabla_auditoría[[#This Row],[Canal]]))</f>
        <v>Organic Social</v>
      </c>
      <c r="P1307" t="str">
        <f>TRIM(PROPER(Tabla_auditoría[[#This Row],[País]]))</f>
        <v>España</v>
      </c>
      <c r="Q1307" t="str">
        <f>TRIM(PROPER(Tabla_auditoría[[#This Row],[Dispositivo]]))</f>
        <v>Desktop</v>
      </c>
      <c r="R1307" t="str">
        <f>TRIM(PROPER(Tabla_auditoría[[#This Row],[Tipo_Campaña]]))</f>
        <v>Adquisición</v>
      </c>
      <c r="S1307" t="str">
        <f>TRIM(PROPER(Tabla_auditoría[[#This Row],[Responsable]]))</f>
        <v>Ana García</v>
      </c>
    </row>
    <row r="1308" spans="1:19" x14ac:dyDescent="0.3">
      <c r="A1308" s="1">
        <v>45778</v>
      </c>
      <c r="B1308" s="2" t="s">
        <v>2569</v>
      </c>
      <c r="C1308" s="2" t="s">
        <v>2515</v>
      </c>
      <c r="D1308" s="2" t="s">
        <v>2525</v>
      </c>
      <c r="E1308" s="2" t="s">
        <v>2517</v>
      </c>
      <c r="F1308" s="3">
        <v>159462</v>
      </c>
      <c r="G1308" s="3">
        <v>3564</v>
      </c>
      <c r="H1308" s="3">
        <v>29</v>
      </c>
      <c r="I1308" s="4">
        <v>1257.1099999999999</v>
      </c>
      <c r="J1308" s="4">
        <v>945.72</v>
      </c>
      <c r="K1308" s="3">
        <v>22</v>
      </c>
      <c r="L1308" s="2" t="s">
        <v>2539</v>
      </c>
      <c r="M1308" s="2" t="s">
        <v>2537</v>
      </c>
      <c r="N1308" t="str">
        <f>TRIM(PROPER(Tabla_auditoría[[#This Row],[ID_Campaña]]))</f>
        <v>Cmp-013</v>
      </c>
      <c r="O1308" t="str">
        <f>TRIM(PROPER(Tabla_auditoría[[#This Row],[Canal]]))</f>
        <v>Email</v>
      </c>
      <c r="P1308" t="str">
        <f>TRIM(PROPER(Tabla_auditoría[[#This Row],[País]]))</f>
        <v>Francia</v>
      </c>
      <c r="Q1308" t="str">
        <f>TRIM(PROPER(Tabla_auditoría[[#This Row],[Dispositivo]]))</f>
        <v>Desktop</v>
      </c>
      <c r="R1308" t="str">
        <f>TRIM(PROPER(Tabla_auditoría[[#This Row],[Tipo_Campaña]]))</f>
        <v>Conversión</v>
      </c>
      <c r="S1308" t="str">
        <f>TRIM(PROPER(Tabla_auditoría[[#This Row],[Responsable]]))</f>
        <v>Marta López</v>
      </c>
    </row>
    <row r="1309" spans="1:19" x14ac:dyDescent="0.3">
      <c r="A1309" s="1">
        <v>46022</v>
      </c>
      <c r="B1309" s="2" t="s">
        <v>2567</v>
      </c>
      <c r="C1309" s="2" t="s">
        <v>2541</v>
      </c>
      <c r="D1309" s="2" t="s">
        <v>2528</v>
      </c>
      <c r="E1309" s="2" t="s">
        <v>2529</v>
      </c>
      <c r="F1309" s="3">
        <v>158017</v>
      </c>
      <c r="G1309" s="3">
        <v>9352</v>
      </c>
      <c r="H1309" s="3">
        <v>73</v>
      </c>
      <c r="I1309" s="4">
        <v>17338.740000000002</v>
      </c>
      <c r="J1309" s="4">
        <v>15116.08</v>
      </c>
      <c r="K1309" s="3">
        <v>34</v>
      </c>
      <c r="L1309" s="2" t="s">
        <v>2536</v>
      </c>
      <c r="M1309" s="2" t="s">
        <v>2524</v>
      </c>
      <c r="N1309" t="str">
        <f>TRIM(PROPER(Tabla_auditoría[[#This Row],[ID_Campaña]]))</f>
        <v>Cmp-021</v>
      </c>
      <c r="O1309" t="str">
        <f>TRIM(PROPER(Tabla_auditoría[[#This Row],[Canal]]))</f>
        <v>Display</v>
      </c>
      <c r="P1309" t="str">
        <f>TRIM(PROPER(Tabla_auditoría[[#This Row],[País]]))</f>
        <v>España</v>
      </c>
      <c r="Q1309" t="str">
        <f>TRIM(PROPER(Tabla_auditoría[[#This Row],[Dispositivo]]))</f>
        <v>Mobile</v>
      </c>
      <c r="R1309" t="str">
        <f>TRIM(PROPER(Tabla_auditoría[[#This Row],[Tipo_Campaña]]))</f>
        <v>Reconocimiento</v>
      </c>
      <c r="S1309" t="str">
        <f>TRIM(PROPER(Tabla_auditoría[[#This Row],[Responsable]]))</f>
        <v>Luis Martín</v>
      </c>
    </row>
    <row r="1310" spans="1:19" x14ac:dyDescent="0.3">
      <c r="A1310" s="1">
        <v>45991</v>
      </c>
      <c r="B1310" s="2" t="s">
        <v>2514</v>
      </c>
      <c r="C1310" s="2" t="s">
        <v>2543</v>
      </c>
      <c r="D1310" s="2" t="s">
        <v>2528</v>
      </c>
      <c r="E1310" s="2" t="s">
        <v>2534</v>
      </c>
      <c r="F1310" s="3">
        <v>31969</v>
      </c>
      <c r="G1310" s="3">
        <v>606</v>
      </c>
      <c r="H1310" s="3">
        <v>35</v>
      </c>
      <c r="I1310" s="4">
        <v>745.62</v>
      </c>
      <c r="J1310" s="4">
        <v>3954.22</v>
      </c>
      <c r="K1310" s="3">
        <v>19</v>
      </c>
      <c r="L1310" s="2" t="s">
        <v>2523</v>
      </c>
      <c r="M1310" s="2" t="s">
        <v>2519</v>
      </c>
      <c r="N1310" t="str">
        <f>TRIM(PROPER(Tabla_auditoría[[#This Row],[ID_Campaña]]))</f>
        <v>Cmp-002</v>
      </c>
      <c r="O1310" t="str">
        <f>TRIM(PROPER(Tabla_auditoría[[#This Row],[Canal]]))</f>
        <v>Organic Social</v>
      </c>
      <c r="P1310" t="str">
        <f>TRIM(PROPER(Tabla_auditoría[[#This Row],[País]]))</f>
        <v>España</v>
      </c>
      <c r="Q1310" t="str">
        <f>TRIM(PROPER(Tabla_auditoría[[#This Row],[Dispositivo]]))</f>
        <v>Tablet</v>
      </c>
      <c r="R1310" t="str">
        <f>TRIM(PROPER(Tabla_auditoría[[#This Row],[Tipo_Campaña]]))</f>
        <v>Retención</v>
      </c>
      <c r="S1310" t="str">
        <f>TRIM(PROPER(Tabla_auditoría[[#This Row],[Responsable]]))</f>
        <v>Carlos Ruiz</v>
      </c>
    </row>
    <row r="1311" spans="1:19" x14ac:dyDescent="0.3">
      <c r="A1311" s="1">
        <v>45983</v>
      </c>
      <c r="B1311" s="2" t="s">
        <v>2565</v>
      </c>
      <c r="C1311" s="2" t="s">
        <v>2521</v>
      </c>
      <c r="D1311" s="2" t="s">
        <v>2516</v>
      </c>
      <c r="E1311" s="2" t="s">
        <v>2534</v>
      </c>
      <c r="F1311" s="3">
        <v>108811</v>
      </c>
      <c r="G1311" s="3">
        <v>3297</v>
      </c>
      <c r="H1311" s="3">
        <v>133</v>
      </c>
      <c r="I1311" s="4">
        <v>5385.86</v>
      </c>
      <c r="J1311" s="4">
        <v>3993.13</v>
      </c>
      <c r="K1311" s="3">
        <v>109</v>
      </c>
      <c r="L1311" s="2" t="s">
        <v>2536</v>
      </c>
      <c r="M1311" s="2" t="s">
        <v>2519</v>
      </c>
      <c r="N1311" t="str">
        <f>TRIM(PROPER(Tabla_auditoría[[#This Row],[ID_Campaña]]))</f>
        <v>Cmp-005</v>
      </c>
      <c r="O1311" t="str">
        <f>TRIM(PROPER(Tabla_auditoría[[#This Row],[Canal]]))</f>
        <v>Paid Search</v>
      </c>
      <c r="P1311" t="str">
        <f>TRIM(PROPER(Tabla_auditoría[[#This Row],[País]]))</f>
        <v>México</v>
      </c>
      <c r="Q1311" t="str">
        <f>TRIM(PROPER(Tabla_auditoría[[#This Row],[Dispositivo]]))</f>
        <v>Tablet</v>
      </c>
      <c r="R1311" t="str">
        <f>TRIM(PROPER(Tabla_auditoría[[#This Row],[Tipo_Campaña]]))</f>
        <v>Reconocimiento</v>
      </c>
      <c r="S1311" t="str">
        <f>TRIM(PROPER(Tabla_auditoría[[#This Row],[Responsable]]))</f>
        <v>Carlos Ruiz</v>
      </c>
    </row>
    <row r="1312" spans="1:19" x14ac:dyDescent="0.3">
      <c r="A1312" s="1">
        <v>45863</v>
      </c>
      <c r="B1312" s="2" t="s">
        <v>2552</v>
      </c>
      <c r="C1312" s="2" t="s">
        <v>2541</v>
      </c>
      <c r="D1312" s="2" t="s">
        <v>2525</v>
      </c>
      <c r="E1312" s="2" t="s">
        <v>2517</v>
      </c>
      <c r="F1312" s="3">
        <v>174982</v>
      </c>
      <c r="G1312" s="3">
        <v>5102</v>
      </c>
      <c r="H1312" s="3">
        <v>27</v>
      </c>
      <c r="I1312" s="4">
        <v>7234.6</v>
      </c>
      <c r="J1312" s="4">
        <v>2276.87</v>
      </c>
      <c r="K1312" s="3">
        <v>14</v>
      </c>
      <c r="L1312" s="2" t="s">
        <v>2523</v>
      </c>
      <c r="M1312" s="2" t="s">
        <v>2546</v>
      </c>
      <c r="N1312" t="str">
        <f>TRIM(PROPER(Tabla_auditoría[[#This Row],[ID_Campaña]]))</f>
        <v>Cmp-012</v>
      </c>
      <c r="O1312" t="str">
        <f>TRIM(PROPER(Tabla_auditoría[[#This Row],[Canal]]))</f>
        <v>Display</v>
      </c>
      <c r="P1312" t="str">
        <f>TRIM(PROPER(Tabla_auditoría[[#This Row],[País]]))</f>
        <v>Francia</v>
      </c>
      <c r="Q1312" t="str">
        <f>TRIM(PROPER(Tabla_auditoría[[#This Row],[Dispositivo]]))</f>
        <v>Desktop</v>
      </c>
      <c r="R1312" t="str">
        <f>TRIM(PROPER(Tabla_auditoría[[#This Row],[Tipo_Campaña]]))</f>
        <v>Retención</v>
      </c>
      <c r="S1312" t="str">
        <f>TRIM(PROPER(Tabla_auditoría[[#This Row],[Responsable]]))</f>
        <v>Ana García</v>
      </c>
    </row>
    <row r="1313" spans="1:19" x14ac:dyDescent="0.3">
      <c r="A1313" s="1">
        <v>45936</v>
      </c>
      <c r="B1313" s="2" t="s">
        <v>2555</v>
      </c>
      <c r="C1313" s="2" t="s">
        <v>2533</v>
      </c>
      <c r="D1313" s="2" t="s">
        <v>2525</v>
      </c>
      <c r="E1313" s="2" t="s">
        <v>2517</v>
      </c>
      <c r="F1313" s="3">
        <v>85980</v>
      </c>
      <c r="G1313" s="3">
        <v>6196</v>
      </c>
      <c r="H1313" s="3">
        <v>529</v>
      </c>
      <c r="I1313" s="4">
        <v>6870.76</v>
      </c>
      <c r="J1313" s="4">
        <v>21937.59</v>
      </c>
      <c r="K1313" s="3">
        <v>394</v>
      </c>
      <c r="L1313" s="2" t="s">
        <v>2523</v>
      </c>
      <c r="M1313" s="2" t="s">
        <v>2526</v>
      </c>
      <c r="N1313" t="str">
        <f>TRIM(PROPER(Tabla_auditoría[[#This Row],[ID_Campaña]]))</f>
        <v>Cmp-010</v>
      </c>
      <c r="O1313" t="str">
        <f>TRIM(PROPER(Tabla_auditoría[[#This Row],[Canal]]))</f>
        <v>Paid Social</v>
      </c>
      <c r="P1313" t="str">
        <f>TRIM(PROPER(Tabla_auditoría[[#This Row],[País]]))</f>
        <v>Francia</v>
      </c>
      <c r="Q1313" t="str">
        <f>TRIM(PROPER(Tabla_auditoría[[#This Row],[Dispositivo]]))</f>
        <v>Desktop</v>
      </c>
      <c r="R1313" t="str">
        <f>TRIM(PROPER(Tabla_auditoría[[#This Row],[Tipo_Campaña]]))</f>
        <v>Retención</v>
      </c>
      <c r="S1313" t="str">
        <f>TRIM(PROPER(Tabla_auditoría[[#This Row],[Responsable]]))</f>
        <v>Laura Pérez</v>
      </c>
    </row>
    <row r="1314" spans="1:19" x14ac:dyDescent="0.3">
      <c r="A1314" s="1">
        <v>45666</v>
      </c>
      <c r="B1314" s="2" t="s">
        <v>2544</v>
      </c>
      <c r="C1314" s="2" t="s">
        <v>2543</v>
      </c>
      <c r="D1314" s="2" t="s">
        <v>2528</v>
      </c>
      <c r="E1314" s="2" t="s">
        <v>2529</v>
      </c>
      <c r="F1314" s="3">
        <v>131260</v>
      </c>
      <c r="G1314" s="3">
        <v>7604</v>
      </c>
      <c r="H1314" s="3">
        <v>247</v>
      </c>
      <c r="I1314" s="4">
        <v>15793.87</v>
      </c>
      <c r="J1314" s="4">
        <v>39228.879999999997</v>
      </c>
      <c r="K1314" s="3">
        <v>141</v>
      </c>
      <c r="L1314" s="2" t="s">
        <v>2523</v>
      </c>
      <c r="M1314" s="2" t="s">
        <v>2546</v>
      </c>
      <c r="N1314" t="str">
        <f>TRIM(PROPER(Tabla_auditoría[[#This Row],[ID_Campaña]]))</f>
        <v>Cmp-006</v>
      </c>
      <c r="O1314" t="str">
        <f>TRIM(PROPER(Tabla_auditoría[[#This Row],[Canal]]))</f>
        <v>Organic Social</v>
      </c>
      <c r="P1314" t="str">
        <f>TRIM(PROPER(Tabla_auditoría[[#This Row],[País]]))</f>
        <v>España</v>
      </c>
      <c r="Q1314" t="str">
        <f>TRIM(PROPER(Tabla_auditoría[[#This Row],[Dispositivo]]))</f>
        <v>Mobile</v>
      </c>
      <c r="R1314" t="str">
        <f>TRIM(PROPER(Tabla_auditoría[[#This Row],[Tipo_Campaña]]))</f>
        <v>Retención</v>
      </c>
      <c r="S1314" t="str">
        <f>TRIM(PROPER(Tabla_auditoría[[#This Row],[Responsable]]))</f>
        <v>Ana García</v>
      </c>
    </row>
    <row r="1315" spans="1:19" x14ac:dyDescent="0.3">
      <c r="A1315" s="1">
        <v>46016</v>
      </c>
      <c r="B1315" s="2" t="s">
        <v>2530</v>
      </c>
      <c r="C1315" s="2" t="s">
        <v>2541</v>
      </c>
      <c r="D1315" s="2" t="s">
        <v>2531</v>
      </c>
      <c r="E1315" s="2" t="s">
        <v>2534</v>
      </c>
      <c r="F1315" s="3">
        <v>146738</v>
      </c>
      <c r="G1315" s="3">
        <v>11190</v>
      </c>
      <c r="H1315" s="3">
        <v>809</v>
      </c>
      <c r="I1315" s="4">
        <v>3671.31</v>
      </c>
      <c r="J1315" s="4">
        <v>171892.14</v>
      </c>
      <c r="K1315" s="3">
        <v>716</v>
      </c>
      <c r="L1315" s="2" t="s">
        <v>2523</v>
      </c>
      <c r="M1315" s="2" t="s">
        <v>2519</v>
      </c>
      <c r="N1315" t="str">
        <f>TRIM(PROPER(Tabla_auditoría[[#This Row],[ID_Campaña]]))</f>
        <v>Cmp-026</v>
      </c>
      <c r="O1315" t="str">
        <f>TRIM(PROPER(Tabla_auditoría[[#This Row],[Canal]]))</f>
        <v>Display</v>
      </c>
      <c r="P1315" t="str">
        <f>TRIM(PROPER(Tabla_auditoría[[#This Row],[País]]))</f>
        <v>Portugal</v>
      </c>
      <c r="Q1315" t="str">
        <f>TRIM(PROPER(Tabla_auditoría[[#This Row],[Dispositivo]]))</f>
        <v>Tablet</v>
      </c>
      <c r="R1315" t="str">
        <f>TRIM(PROPER(Tabla_auditoría[[#This Row],[Tipo_Campaña]]))</f>
        <v>Retención</v>
      </c>
      <c r="S1315" t="str">
        <f>TRIM(PROPER(Tabla_auditoría[[#This Row],[Responsable]]))</f>
        <v>Carlos Ruiz</v>
      </c>
    </row>
    <row r="1316" spans="1:19" x14ac:dyDescent="0.3">
      <c r="A1316" s="1">
        <v>45665</v>
      </c>
      <c r="B1316" s="2" t="s">
        <v>2549</v>
      </c>
      <c r="C1316" s="2" t="s">
        <v>2541</v>
      </c>
      <c r="D1316" s="2" t="s">
        <v>2516</v>
      </c>
      <c r="E1316" s="2" t="s">
        <v>2529</v>
      </c>
      <c r="F1316" s="3">
        <v>146805</v>
      </c>
      <c r="G1316" s="3">
        <v>3775</v>
      </c>
      <c r="H1316" s="3">
        <v>356</v>
      </c>
      <c r="I1316" s="4">
        <v>1379.74</v>
      </c>
      <c r="J1316" s="4">
        <v>57735.37</v>
      </c>
      <c r="K1316" s="3">
        <v>184</v>
      </c>
      <c r="L1316" s="2" t="s">
        <v>2539</v>
      </c>
      <c r="M1316" s="2" t="s">
        <v>2519</v>
      </c>
      <c r="N1316" t="str">
        <f>TRIM(PROPER(Tabla_auditoría[[#This Row],[ID_Campaña]]))</f>
        <v>Cmp-007</v>
      </c>
      <c r="O1316" t="str">
        <f>TRIM(PROPER(Tabla_auditoría[[#This Row],[Canal]]))</f>
        <v>Display</v>
      </c>
      <c r="P1316" t="str">
        <f>TRIM(PROPER(Tabla_auditoría[[#This Row],[País]]))</f>
        <v>México</v>
      </c>
      <c r="Q1316" t="str">
        <f>TRIM(PROPER(Tabla_auditoría[[#This Row],[Dispositivo]]))</f>
        <v>Mobile</v>
      </c>
      <c r="R1316" t="str">
        <f>TRIM(PROPER(Tabla_auditoría[[#This Row],[Tipo_Campaña]]))</f>
        <v>Conversión</v>
      </c>
      <c r="S1316" t="str">
        <f>TRIM(PROPER(Tabla_auditoría[[#This Row],[Responsable]]))</f>
        <v>Carlos Ruiz</v>
      </c>
    </row>
    <row r="1317" spans="1:19" x14ac:dyDescent="0.3">
      <c r="A1317" s="1">
        <v>45998</v>
      </c>
      <c r="B1317" s="2" t="s">
        <v>2547</v>
      </c>
      <c r="C1317" s="2" t="s">
        <v>2543</v>
      </c>
      <c r="D1317" s="2" t="s">
        <v>2531</v>
      </c>
      <c r="E1317" s="2" t="s">
        <v>2529</v>
      </c>
      <c r="F1317" s="3">
        <v>26291</v>
      </c>
      <c r="G1317" s="3">
        <v>1134</v>
      </c>
      <c r="H1317" s="3">
        <v>110</v>
      </c>
      <c r="I1317" s="4">
        <v>351.97</v>
      </c>
      <c r="J1317" s="4">
        <v>20155.89</v>
      </c>
      <c r="K1317" s="3">
        <v>56</v>
      </c>
      <c r="L1317" s="2" t="s">
        <v>2539</v>
      </c>
      <c r="M1317" s="2" t="s">
        <v>2524</v>
      </c>
      <c r="N1317" t="str">
        <f>TRIM(PROPER(Tabla_auditoría[[#This Row],[ID_Campaña]]))</f>
        <v>Cmp-018</v>
      </c>
      <c r="O1317" t="str">
        <f>TRIM(PROPER(Tabla_auditoría[[#This Row],[Canal]]))</f>
        <v>Organic Social</v>
      </c>
      <c r="P1317" t="str">
        <f>TRIM(PROPER(Tabla_auditoría[[#This Row],[País]]))</f>
        <v>Portugal</v>
      </c>
      <c r="Q1317" t="str">
        <f>TRIM(PROPER(Tabla_auditoría[[#This Row],[Dispositivo]]))</f>
        <v>Mobile</v>
      </c>
      <c r="R1317" t="str">
        <f>TRIM(PROPER(Tabla_auditoría[[#This Row],[Tipo_Campaña]]))</f>
        <v>Conversión</v>
      </c>
      <c r="S1317" t="str">
        <f>TRIM(PROPER(Tabla_auditoría[[#This Row],[Responsable]]))</f>
        <v>Luis Martín</v>
      </c>
    </row>
    <row r="1318" spans="1:19" x14ac:dyDescent="0.3">
      <c r="A1318" s="1">
        <v>45953</v>
      </c>
      <c r="B1318" s="2" t="s">
        <v>2556</v>
      </c>
      <c r="C1318" s="2" t="s">
        <v>2541</v>
      </c>
      <c r="D1318" s="2" t="s">
        <v>2528</v>
      </c>
      <c r="E1318" s="2" t="s">
        <v>2517</v>
      </c>
      <c r="F1318" s="3">
        <v>35678</v>
      </c>
      <c r="G1318" s="3">
        <v>1657</v>
      </c>
      <c r="H1318" s="3">
        <v>220</v>
      </c>
      <c r="I1318" s="4">
        <v>2495.14</v>
      </c>
      <c r="J1318" s="4">
        <v>24232.99</v>
      </c>
      <c r="K1318" s="3">
        <v>126</v>
      </c>
      <c r="L1318" s="2" t="s">
        <v>2536</v>
      </c>
      <c r="M1318" s="2" t="s">
        <v>2546</v>
      </c>
      <c r="N1318" t="str">
        <f>TRIM(PROPER(Tabla_auditoría[[#This Row],[ID_Campaña]]))</f>
        <v>Cmp-014</v>
      </c>
      <c r="O1318" t="str">
        <f>TRIM(PROPER(Tabla_auditoría[[#This Row],[Canal]]))</f>
        <v>Display</v>
      </c>
      <c r="P1318" t="str">
        <f>TRIM(PROPER(Tabla_auditoría[[#This Row],[País]]))</f>
        <v>España</v>
      </c>
      <c r="Q1318" t="str">
        <f>TRIM(PROPER(Tabla_auditoría[[#This Row],[Dispositivo]]))</f>
        <v>Desktop</v>
      </c>
      <c r="R1318" t="str">
        <f>TRIM(PROPER(Tabla_auditoría[[#This Row],[Tipo_Campaña]]))</f>
        <v>Reconocimiento</v>
      </c>
      <c r="S1318" t="str">
        <f>TRIM(PROPER(Tabla_auditoría[[#This Row],[Responsable]]))</f>
        <v>Ana García</v>
      </c>
    </row>
    <row r="1319" spans="1:19" x14ac:dyDescent="0.3">
      <c r="A1319" s="1">
        <v>45964</v>
      </c>
      <c r="B1319" s="2" t="s">
        <v>2551</v>
      </c>
      <c r="C1319" s="2" t="s">
        <v>2533</v>
      </c>
      <c r="D1319" s="2" t="s">
        <v>2528</v>
      </c>
      <c r="E1319" s="2" t="s">
        <v>2529</v>
      </c>
      <c r="F1319" s="3">
        <v>135977</v>
      </c>
      <c r="G1319" s="3">
        <v>6918</v>
      </c>
      <c r="H1319" s="3">
        <v>483</v>
      </c>
      <c r="I1319" s="4">
        <v>8393.9699999999993</v>
      </c>
      <c r="J1319" s="4">
        <v>33461.629999999997</v>
      </c>
      <c r="K1319" s="3">
        <v>360</v>
      </c>
      <c r="L1319" s="2" t="s">
        <v>2518</v>
      </c>
      <c r="M1319" s="2" t="s">
        <v>2524</v>
      </c>
      <c r="N1319" t="str">
        <f>TRIM(PROPER(Tabla_auditoría[[#This Row],[ID_Campaña]]))</f>
        <v>Cmp-028</v>
      </c>
      <c r="O1319" t="str">
        <f>TRIM(PROPER(Tabla_auditoría[[#This Row],[Canal]]))</f>
        <v>Paid Social</v>
      </c>
      <c r="P1319" t="str">
        <f>TRIM(PROPER(Tabla_auditoría[[#This Row],[País]]))</f>
        <v>España</v>
      </c>
      <c r="Q1319" t="str">
        <f>TRIM(PROPER(Tabla_auditoría[[#This Row],[Dispositivo]]))</f>
        <v>Mobile</v>
      </c>
      <c r="R1319" t="str">
        <f>TRIM(PROPER(Tabla_auditoría[[#This Row],[Tipo_Campaña]]))</f>
        <v>Adquisición</v>
      </c>
      <c r="S1319" t="str">
        <f>TRIM(PROPER(Tabla_auditoría[[#This Row],[Responsable]]))</f>
        <v>Luis Martín</v>
      </c>
    </row>
    <row r="1320" spans="1:19" x14ac:dyDescent="0.3">
      <c r="A1320" s="1">
        <v>45690</v>
      </c>
      <c r="B1320" s="2" t="s">
        <v>2520</v>
      </c>
      <c r="C1320" s="2" t="s">
        <v>2541</v>
      </c>
      <c r="D1320" s="2" t="s">
        <v>2528</v>
      </c>
      <c r="E1320" s="2" t="s">
        <v>2517</v>
      </c>
      <c r="F1320" s="3">
        <v>26955</v>
      </c>
      <c r="G1320" s="3">
        <v>945</v>
      </c>
      <c r="H1320" s="3">
        <v>122</v>
      </c>
      <c r="I1320" s="4">
        <v>1383.05</v>
      </c>
      <c r="J1320" s="4">
        <v>18597.46</v>
      </c>
      <c r="K1320" s="3">
        <v>105</v>
      </c>
      <c r="L1320" s="2" t="s">
        <v>2523</v>
      </c>
      <c r="M1320" s="2" t="s">
        <v>2524</v>
      </c>
      <c r="N1320" t="str">
        <f>TRIM(PROPER(Tabla_auditoría[[#This Row],[ID_Campaña]]))</f>
        <v>Cmp-009</v>
      </c>
      <c r="O1320" t="str">
        <f>TRIM(PROPER(Tabla_auditoría[[#This Row],[Canal]]))</f>
        <v>Display</v>
      </c>
      <c r="P1320" t="str">
        <f>TRIM(PROPER(Tabla_auditoría[[#This Row],[País]]))</f>
        <v>España</v>
      </c>
      <c r="Q1320" t="str">
        <f>TRIM(PROPER(Tabla_auditoría[[#This Row],[Dispositivo]]))</f>
        <v>Desktop</v>
      </c>
      <c r="R1320" t="str">
        <f>TRIM(PROPER(Tabla_auditoría[[#This Row],[Tipo_Campaña]]))</f>
        <v>Retención</v>
      </c>
      <c r="S1320" t="str">
        <f>TRIM(PROPER(Tabla_auditoría[[#This Row],[Responsable]]))</f>
        <v>Luis Martín</v>
      </c>
    </row>
    <row r="1321" spans="1:19" x14ac:dyDescent="0.3">
      <c r="A1321" s="1">
        <v>45812</v>
      </c>
      <c r="B1321" s="2" t="s">
        <v>2565</v>
      </c>
      <c r="C1321" s="2" t="s">
        <v>2543</v>
      </c>
      <c r="D1321" s="2" t="s">
        <v>2528</v>
      </c>
      <c r="E1321" s="2" t="s">
        <v>2517</v>
      </c>
      <c r="F1321" s="3">
        <v>165607</v>
      </c>
      <c r="G1321" s="3">
        <v>2819</v>
      </c>
      <c r="H1321" s="3">
        <v>113</v>
      </c>
      <c r="I1321" s="4">
        <v>2051.6999999999998</v>
      </c>
      <c r="J1321" s="4">
        <v>6591.24</v>
      </c>
      <c r="K1321" s="3">
        <v>87</v>
      </c>
      <c r="L1321" s="2" t="s">
        <v>2536</v>
      </c>
      <c r="M1321" s="2" t="s">
        <v>2524</v>
      </c>
      <c r="N1321" t="str">
        <f>TRIM(PROPER(Tabla_auditoría[[#This Row],[ID_Campaña]]))</f>
        <v>Cmp-005</v>
      </c>
      <c r="O1321" t="str">
        <f>TRIM(PROPER(Tabla_auditoría[[#This Row],[Canal]]))</f>
        <v>Organic Social</v>
      </c>
      <c r="P1321" t="str">
        <f>TRIM(PROPER(Tabla_auditoría[[#This Row],[País]]))</f>
        <v>España</v>
      </c>
      <c r="Q1321" t="str">
        <f>TRIM(PROPER(Tabla_auditoría[[#This Row],[Dispositivo]]))</f>
        <v>Desktop</v>
      </c>
      <c r="R1321" t="str">
        <f>TRIM(PROPER(Tabla_auditoría[[#This Row],[Tipo_Campaña]]))</f>
        <v>Reconocimiento</v>
      </c>
      <c r="S1321" t="str">
        <f>TRIM(PROPER(Tabla_auditoría[[#This Row],[Responsable]]))</f>
        <v>Luis Martín</v>
      </c>
    </row>
    <row r="1322" spans="1:19" x14ac:dyDescent="0.3">
      <c r="A1322" s="1">
        <v>45794</v>
      </c>
      <c r="B1322" s="2" t="s">
        <v>2545</v>
      </c>
      <c r="C1322" s="2" t="s">
        <v>2515</v>
      </c>
      <c r="D1322" s="2" t="s">
        <v>2528</v>
      </c>
      <c r="E1322" s="2" t="s">
        <v>2534</v>
      </c>
      <c r="F1322" s="3">
        <v>37170</v>
      </c>
      <c r="G1322" s="3">
        <v>1498</v>
      </c>
      <c r="H1322" s="3">
        <v>105</v>
      </c>
      <c r="I1322" s="4">
        <v>1865.23</v>
      </c>
      <c r="J1322" s="4">
        <v>17967.7</v>
      </c>
      <c r="K1322" s="3">
        <v>58</v>
      </c>
      <c r="L1322" s="2" t="s">
        <v>2518</v>
      </c>
      <c r="M1322" s="2" t="s">
        <v>2537</v>
      </c>
      <c r="N1322" t="str">
        <f>TRIM(PROPER(Tabla_auditoría[[#This Row],[ID_Campaña]]))</f>
        <v>Cmp-011</v>
      </c>
      <c r="O1322" t="str">
        <f>TRIM(PROPER(Tabla_auditoría[[#This Row],[Canal]]))</f>
        <v>Email</v>
      </c>
      <c r="P1322" t="str">
        <f>TRIM(PROPER(Tabla_auditoría[[#This Row],[País]]))</f>
        <v>España</v>
      </c>
      <c r="Q1322" t="str">
        <f>TRIM(PROPER(Tabla_auditoría[[#This Row],[Dispositivo]]))</f>
        <v>Tablet</v>
      </c>
      <c r="R1322" t="str">
        <f>TRIM(PROPER(Tabla_auditoría[[#This Row],[Tipo_Campaña]]))</f>
        <v>Adquisición</v>
      </c>
      <c r="S1322" t="str">
        <f>TRIM(PROPER(Tabla_auditoría[[#This Row],[Responsable]]))</f>
        <v>Marta López</v>
      </c>
    </row>
    <row r="1323" spans="1:19" x14ac:dyDescent="0.3">
      <c r="A1323" s="1">
        <v>45954</v>
      </c>
      <c r="B1323" s="2" t="s">
        <v>2549</v>
      </c>
      <c r="C1323" s="2" t="s">
        <v>2533</v>
      </c>
      <c r="D1323" s="2" t="s">
        <v>2528</v>
      </c>
      <c r="E1323" s="2" t="s">
        <v>2517</v>
      </c>
      <c r="F1323" s="3">
        <v>69035</v>
      </c>
      <c r="G1323" s="3">
        <v>5031</v>
      </c>
      <c r="H1323" s="3">
        <v>181</v>
      </c>
      <c r="I1323" s="4">
        <v>6326.89</v>
      </c>
      <c r="J1323" s="4">
        <v>32771.72</v>
      </c>
      <c r="K1323" s="3">
        <v>161</v>
      </c>
      <c r="L1323" s="2" t="s">
        <v>2523</v>
      </c>
      <c r="M1323" s="2" t="s">
        <v>2519</v>
      </c>
      <c r="N1323" t="str">
        <f>TRIM(PROPER(Tabla_auditoría[[#This Row],[ID_Campaña]]))</f>
        <v>Cmp-007</v>
      </c>
      <c r="O1323" t="str">
        <f>TRIM(PROPER(Tabla_auditoría[[#This Row],[Canal]]))</f>
        <v>Paid Social</v>
      </c>
      <c r="P1323" t="str">
        <f>TRIM(PROPER(Tabla_auditoría[[#This Row],[País]]))</f>
        <v>España</v>
      </c>
      <c r="Q1323" t="str">
        <f>TRIM(PROPER(Tabla_auditoría[[#This Row],[Dispositivo]]))</f>
        <v>Desktop</v>
      </c>
      <c r="R1323" t="str">
        <f>TRIM(PROPER(Tabla_auditoría[[#This Row],[Tipo_Campaña]]))</f>
        <v>Retención</v>
      </c>
      <c r="S1323" t="str">
        <f>TRIM(PROPER(Tabla_auditoría[[#This Row],[Responsable]]))</f>
        <v>Carlos Ruiz</v>
      </c>
    </row>
    <row r="1324" spans="1:19" x14ac:dyDescent="0.3">
      <c r="A1324" s="1">
        <v>45872</v>
      </c>
      <c r="B1324" s="2" t="s">
        <v>2520</v>
      </c>
      <c r="C1324" s="2" t="s">
        <v>2527</v>
      </c>
      <c r="D1324" s="2" t="s">
        <v>2528</v>
      </c>
      <c r="E1324" s="2" t="s">
        <v>2529</v>
      </c>
      <c r="F1324" s="3">
        <v>168325</v>
      </c>
      <c r="G1324" s="3">
        <v>11484</v>
      </c>
      <c r="H1324" s="3">
        <v>603</v>
      </c>
      <c r="I1324" s="4">
        <v>12467.22</v>
      </c>
      <c r="J1324" s="4">
        <v>13973.87</v>
      </c>
      <c r="K1324" s="3">
        <v>434</v>
      </c>
      <c r="L1324" s="2" t="s">
        <v>2523</v>
      </c>
      <c r="M1324" s="2" t="s">
        <v>2519</v>
      </c>
      <c r="N1324" t="str">
        <f>TRIM(PROPER(Tabla_auditoría[[#This Row],[ID_Campaña]]))</f>
        <v>Cmp-009</v>
      </c>
      <c r="O1324" t="str">
        <f>TRIM(PROPER(Tabla_auditoría[[#This Row],[Canal]]))</f>
        <v>Affiliate</v>
      </c>
      <c r="P1324" t="str">
        <f>TRIM(PROPER(Tabla_auditoría[[#This Row],[País]]))</f>
        <v>España</v>
      </c>
      <c r="Q1324" t="str">
        <f>TRIM(PROPER(Tabla_auditoría[[#This Row],[Dispositivo]]))</f>
        <v>Mobile</v>
      </c>
      <c r="R1324" t="str">
        <f>TRIM(PROPER(Tabla_auditoría[[#This Row],[Tipo_Campaña]]))</f>
        <v>Retención</v>
      </c>
      <c r="S1324" t="str">
        <f>TRIM(PROPER(Tabla_auditoría[[#This Row],[Responsable]]))</f>
        <v>Carlos Ruiz</v>
      </c>
    </row>
    <row r="1325" spans="1:19" x14ac:dyDescent="0.3">
      <c r="A1325" s="1">
        <v>45989</v>
      </c>
      <c r="B1325" s="2" t="s">
        <v>2574</v>
      </c>
      <c r="C1325" s="2" t="s">
        <v>2543</v>
      </c>
      <c r="D1325" s="2" t="s">
        <v>2528</v>
      </c>
      <c r="E1325" s="2" t="s">
        <v>2529</v>
      </c>
      <c r="F1325" s="3">
        <v>10883</v>
      </c>
      <c r="G1325" s="3">
        <v>222</v>
      </c>
      <c r="H1325" s="3">
        <v>20</v>
      </c>
      <c r="I1325" s="4">
        <v>261.37</v>
      </c>
      <c r="J1325" s="4">
        <v>2042.82</v>
      </c>
      <c r="K1325" s="3">
        <v>14</v>
      </c>
      <c r="L1325" s="2" t="s">
        <v>2523</v>
      </c>
      <c r="M1325" s="2" t="s">
        <v>2537</v>
      </c>
      <c r="N1325" t="str">
        <f>TRIM(PROPER(Tabla_auditoría[[#This Row],[ID_Campaña]]))</f>
        <v>Cmp-003</v>
      </c>
      <c r="O1325" t="str">
        <f>TRIM(PROPER(Tabla_auditoría[[#This Row],[Canal]]))</f>
        <v>Organic Social</v>
      </c>
      <c r="P1325" t="str">
        <f>TRIM(PROPER(Tabla_auditoría[[#This Row],[País]]))</f>
        <v>España</v>
      </c>
      <c r="Q1325" t="str">
        <f>TRIM(PROPER(Tabla_auditoría[[#This Row],[Dispositivo]]))</f>
        <v>Mobile</v>
      </c>
      <c r="R1325" t="str">
        <f>TRIM(PROPER(Tabla_auditoría[[#This Row],[Tipo_Campaña]]))</f>
        <v>Retención</v>
      </c>
      <c r="S1325" t="str">
        <f>TRIM(PROPER(Tabla_auditoría[[#This Row],[Responsable]]))</f>
        <v>Marta López</v>
      </c>
    </row>
    <row r="1326" spans="1:19" x14ac:dyDescent="0.3">
      <c r="A1326" s="1">
        <v>46013</v>
      </c>
      <c r="B1326" s="2" t="s">
        <v>2545</v>
      </c>
      <c r="C1326" s="2" t="s">
        <v>2521</v>
      </c>
      <c r="D1326" s="2" t="s">
        <v>2528</v>
      </c>
      <c r="E1326" s="2" t="s">
        <v>2517</v>
      </c>
      <c r="F1326" s="3">
        <v>87923</v>
      </c>
      <c r="G1326" s="3">
        <v>7811</v>
      </c>
      <c r="H1326" s="3">
        <v>465</v>
      </c>
      <c r="I1326" s="4">
        <v>4694.37</v>
      </c>
      <c r="J1326" s="4">
        <v>32975.769999999997</v>
      </c>
      <c r="K1326" s="3">
        <v>291</v>
      </c>
      <c r="L1326" s="2" t="s">
        <v>2523</v>
      </c>
      <c r="M1326" s="2" t="s">
        <v>2524</v>
      </c>
      <c r="N1326" t="str">
        <f>TRIM(PROPER(Tabla_auditoría[[#This Row],[ID_Campaña]]))</f>
        <v>Cmp-011</v>
      </c>
      <c r="O1326" t="str">
        <f>TRIM(PROPER(Tabla_auditoría[[#This Row],[Canal]]))</f>
        <v>Paid Search</v>
      </c>
      <c r="P1326" t="str">
        <f>TRIM(PROPER(Tabla_auditoría[[#This Row],[País]]))</f>
        <v>España</v>
      </c>
      <c r="Q1326" t="str">
        <f>TRIM(PROPER(Tabla_auditoría[[#This Row],[Dispositivo]]))</f>
        <v>Desktop</v>
      </c>
      <c r="R1326" t="str">
        <f>TRIM(PROPER(Tabla_auditoría[[#This Row],[Tipo_Campaña]]))</f>
        <v>Retención</v>
      </c>
      <c r="S1326" t="str">
        <f>TRIM(PROPER(Tabla_auditoría[[#This Row],[Responsable]]))</f>
        <v>Luis Martín</v>
      </c>
    </row>
    <row r="1327" spans="1:19" x14ac:dyDescent="0.3">
      <c r="A1327" s="1">
        <v>45675</v>
      </c>
      <c r="B1327" s="2" t="s">
        <v>2538</v>
      </c>
      <c r="C1327" s="2" t="s">
        <v>2543</v>
      </c>
      <c r="D1327" s="2" t="s">
        <v>2525</v>
      </c>
      <c r="E1327" s="2" t="s">
        <v>2517</v>
      </c>
      <c r="F1327" s="3">
        <v>1730</v>
      </c>
      <c r="G1327" s="3">
        <v>133</v>
      </c>
      <c r="H1327" s="3">
        <v>7</v>
      </c>
      <c r="I1327" s="4">
        <v>198.12</v>
      </c>
      <c r="J1327" s="4">
        <v>118.68</v>
      </c>
      <c r="K1327" s="3">
        <v>5</v>
      </c>
      <c r="L1327" s="2" t="s">
        <v>2523</v>
      </c>
      <c r="M1327" s="2" t="s">
        <v>2546</v>
      </c>
      <c r="N1327" t="str">
        <f>TRIM(PROPER(Tabla_auditoría[[#This Row],[ID_Campaña]]))</f>
        <v>Cmp-004</v>
      </c>
      <c r="O1327" t="str">
        <f>TRIM(PROPER(Tabla_auditoría[[#This Row],[Canal]]))</f>
        <v>Organic Social</v>
      </c>
      <c r="P1327" t="str">
        <f>TRIM(PROPER(Tabla_auditoría[[#This Row],[País]]))</f>
        <v>Francia</v>
      </c>
      <c r="Q1327" t="str">
        <f>TRIM(PROPER(Tabla_auditoría[[#This Row],[Dispositivo]]))</f>
        <v>Desktop</v>
      </c>
      <c r="R1327" t="str">
        <f>TRIM(PROPER(Tabla_auditoría[[#This Row],[Tipo_Campaña]]))</f>
        <v>Retención</v>
      </c>
      <c r="S1327" t="str">
        <f>TRIM(PROPER(Tabla_auditoría[[#This Row],[Responsable]]))</f>
        <v>Ana García</v>
      </c>
    </row>
    <row r="1328" spans="1:19" x14ac:dyDescent="0.3">
      <c r="A1328" s="1">
        <v>45765</v>
      </c>
      <c r="B1328" s="2" t="s">
        <v>2551</v>
      </c>
      <c r="C1328" s="2" t="s">
        <v>2543</v>
      </c>
      <c r="D1328" s="2" t="s">
        <v>2516</v>
      </c>
      <c r="E1328" s="2" t="s">
        <v>2529</v>
      </c>
      <c r="F1328" s="3">
        <v>105584</v>
      </c>
      <c r="G1328" s="3">
        <v>2035</v>
      </c>
      <c r="H1328" s="3">
        <v>37</v>
      </c>
      <c r="I1328" s="4">
        <v>3720.36</v>
      </c>
      <c r="J1328" s="4">
        <v>5032.7299999999996</v>
      </c>
      <c r="K1328" s="3">
        <v>19</v>
      </c>
      <c r="L1328" s="2" t="s">
        <v>2523</v>
      </c>
      <c r="M1328" s="2" t="s">
        <v>2537</v>
      </c>
      <c r="N1328" t="str">
        <f>TRIM(PROPER(Tabla_auditoría[[#This Row],[ID_Campaña]]))</f>
        <v>Cmp-028</v>
      </c>
      <c r="O1328" t="str">
        <f>TRIM(PROPER(Tabla_auditoría[[#This Row],[Canal]]))</f>
        <v>Organic Social</v>
      </c>
      <c r="P1328" t="str">
        <f>TRIM(PROPER(Tabla_auditoría[[#This Row],[País]]))</f>
        <v>México</v>
      </c>
      <c r="Q1328" t="str">
        <f>TRIM(PROPER(Tabla_auditoría[[#This Row],[Dispositivo]]))</f>
        <v>Mobile</v>
      </c>
      <c r="R1328" t="str">
        <f>TRIM(PROPER(Tabla_auditoría[[#This Row],[Tipo_Campaña]]))</f>
        <v>Retención</v>
      </c>
      <c r="S1328" t="str">
        <f>TRIM(PROPER(Tabla_auditoría[[#This Row],[Responsable]]))</f>
        <v>Marta López</v>
      </c>
    </row>
    <row r="1329" spans="1:19" x14ac:dyDescent="0.3">
      <c r="A1329" s="1">
        <v>45933</v>
      </c>
      <c r="B1329" s="2" t="s">
        <v>2565</v>
      </c>
      <c r="C1329" s="2" t="s">
        <v>2521</v>
      </c>
      <c r="D1329" s="2" t="s">
        <v>2525</v>
      </c>
      <c r="E1329" s="2" t="s">
        <v>2517</v>
      </c>
      <c r="F1329" s="3">
        <v>60690</v>
      </c>
      <c r="G1329" s="3">
        <v>2237</v>
      </c>
      <c r="H1329" s="3">
        <v>256</v>
      </c>
      <c r="I1329" s="4">
        <v>2978.87</v>
      </c>
      <c r="J1329" s="4">
        <v>9714.4</v>
      </c>
      <c r="K1329" s="3">
        <v>129</v>
      </c>
      <c r="L1329" s="2" t="s">
        <v>2523</v>
      </c>
      <c r="M1329" s="2" t="s">
        <v>2519</v>
      </c>
      <c r="N1329" t="str">
        <f>TRIM(PROPER(Tabla_auditoría[[#This Row],[ID_Campaña]]))</f>
        <v>Cmp-005</v>
      </c>
      <c r="O1329" t="str">
        <f>TRIM(PROPER(Tabla_auditoría[[#This Row],[Canal]]))</f>
        <v>Paid Search</v>
      </c>
      <c r="P1329" t="str">
        <f>TRIM(PROPER(Tabla_auditoría[[#This Row],[País]]))</f>
        <v>Francia</v>
      </c>
      <c r="Q1329" t="str">
        <f>TRIM(PROPER(Tabla_auditoría[[#This Row],[Dispositivo]]))</f>
        <v>Desktop</v>
      </c>
      <c r="R1329" t="str">
        <f>TRIM(PROPER(Tabla_auditoría[[#This Row],[Tipo_Campaña]]))</f>
        <v>Retención</v>
      </c>
      <c r="S1329" t="str">
        <f>TRIM(PROPER(Tabla_auditoría[[#This Row],[Responsable]]))</f>
        <v>Carlos Ruiz</v>
      </c>
    </row>
    <row r="1330" spans="1:19" x14ac:dyDescent="0.3">
      <c r="A1330" s="1">
        <v>45754</v>
      </c>
      <c r="B1330" s="2" t="s">
        <v>2556</v>
      </c>
      <c r="C1330" s="2" t="s">
        <v>2541</v>
      </c>
      <c r="D1330" s="2" t="s">
        <v>2528</v>
      </c>
      <c r="E1330" s="2" t="s">
        <v>2529</v>
      </c>
      <c r="F1330" s="3">
        <v>175136</v>
      </c>
      <c r="G1330" s="3">
        <v>4361</v>
      </c>
      <c r="H1330" s="3">
        <v>402</v>
      </c>
      <c r="I1330" s="4">
        <v>7310.75</v>
      </c>
      <c r="J1330" s="4">
        <v>18613.18</v>
      </c>
      <c r="K1330" s="3">
        <v>199</v>
      </c>
      <c r="L1330" s="2" t="s">
        <v>2518</v>
      </c>
      <c r="M1330" s="2" t="s">
        <v>2537</v>
      </c>
      <c r="N1330" t="str">
        <f>TRIM(PROPER(Tabla_auditoría[[#This Row],[ID_Campaña]]))</f>
        <v>Cmp-014</v>
      </c>
      <c r="O1330" t="str">
        <f>TRIM(PROPER(Tabla_auditoría[[#This Row],[Canal]]))</f>
        <v>Display</v>
      </c>
      <c r="P1330" t="str">
        <f>TRIM(PROPER(Tabla_auditoría[[#This Row],[País]]))</f>
        <v>España</v>
      </c>
      <c r="Q1330" t="str">
        <f>TRIM(PROPER(Tabla_auditoría[[#This Row],[Dispositivo]]))</f>
        <v>Mobile</v>
      </c>
      <c r="R1330" t="str">
        <f>TRIM(PROPER(Tabla_auditoría[[#This Row],[Tipo_Campaña]]))</f>
        <v>Adquisición</v>
      </c>
      <c r="S1330" t="str">
        <f>TRIM(PROPER(Tabla_auditoría[[#This Row],[Responsable]]))</f>
        <v>Marta López</v>
      </c>
    </row>
    <row r="1331" spans="1:19" x14ac:dyDescent="0.3">
      <c r="A1331" s="1">
        <v>45709</v>
      </c>
      <c r="B1331" s="2" t="s">
        <v>2530</v>
      </c>
      <c r="C1331" s="2" t="s">
        <v>2533</v>
      </c>
      <c r="D1331" s="2" t="s">
        <v>2516</v>
      </c>
      <c r="E1331" s="2" t="s">
        <v>2534</v>
      </c>
      <c r="F1331" s="3">
        <v>72634</v>
      </c>
      <c r="G1331" s="3">
        <v>2875</v>
      </c>
      <c r="H1331" s="3">
        <v>400</v>
      </c>
      <c r="I1331" s="4">
        <v>3867.32</v>
      </c>
      <c r="J1331" s="4">
        <v>61763.35</v>
      </c>
      <c r="K1331" s="3">
        <v>359</v>
      </c>
      <c r="L1331" s="2" t="s">
        <v>2523</v>
      </c>
      <c r="M1331" s="2" t="s">
        <v>2526</v>
      </c>
      <c r="N1331" t="str">
        <f>TRIM(PROPER(Tabla_auditoría[[#This Row],[ID_Campaña]]))</f>
        <v>Cmp-026</v>
      </c>
      <c r="O1331" t="str">
        <f>TRIM(PROPER(Tabla_auditoría[[#This Row],[Canal]]))</f>
        <v>Paid Social</v>
      </c>
      <c r="P1331" t="str">
        <f>TRIM(PROPER(Tabla_auditoría[[#This Row],[País]]))</f>
        <v>México</v>
      </c>
      <c r="Q1331" t="str">
        <f>TRIM(PROPER(Tabla_auditoría[[#This Row],[Dispositivo]]))</f>
        <v>Tablet</v>
      </c>
      <c r="R1331" t="str">
        <f>TRIM(PROPER(Tabla_auditoría[[#This Row],[Tipo_Campaña]]))</f>
        <v>Retención</v>
      </c>
      <c r="S1331" t="str">
        <f>TRIM(PROPER(Tabla_auditoría[[#This Row],[Responsable]]))</f>
        <v>Laura Pérez</v>
      </c>
    </row>
    <row r="1332" spans="1:19" x14ac:dyDescent="0.3">
      <c r="A1332" s="1">
        <v>45817</v>
      </c>
      <c r="B1332" s="2" t="s">
        <v>2557</v>
      </c>
      <c r="C1332" s="2" t="s">
        <v>2541</v>
      </c>
      <c r="D1332" s="2" t="s">
        <v>2528</v>
      </c>
      <c r="E1332" s="2" t="s">
        <v>2517</v>
      </c>
      <c r="F1332" s="3">
        <v>173765</v>
      </c>
      <c r="G1332" s="3">
        <v>3097</v>
      </c>
      <c r="H1332" s="3">
        <v>75</v>
      </c>
      <c r="I1332" s="4">
        <v>1191.79</v>
      </c>
      <c r="J1332" s="4">
        <v>9241.5400000000009</v>
      </c>
      <c r="K1332" s="3">
        <v>37</v>
      </c>
      <c r="L1332" s="2" t="s">
        <v>2523</v>
      </c>
      <c r="M1332" s="2" t="s">
        <v>2546</v>
      </c>
      <c r="N1332" t="str">
        <f>TRIM(PROPER(Tabla_auditoría[[#This Row],[ID_Campaña]]))</f>
        <v>Cmp-030</v>
      </c>
      <c r="O1332" t="str">
        <f>TRIM(PROPER(Tabla_auditoría[[#This Row],[Canal]]))</f>
        <v>Display</v>
      </c>
      <c r="P1332" t="str">
        <f>TRIM(PROPER(Tabla_auditoría[[#This Row],[País]]))</f>
        <v>España</v>
      </c>
      <c r="Q1332" t="str">
        <f>TRIM(PROPER(Tabla_auditoría[[#This Row],[Dispositivo]]))</f>
        <v>Desktop</v>
      </c>
      <c r="R1332" t="str">
        <f>TRIM(PROPER(Tabla_auditoría[[#This Row],[Tipo_Campaña]]))</f>
        <v>Retención</v>
      </c>
      <c r="S1332" t="str">
        <f>TRIM(PROPER(Tabla_auditoría[[#This Row],[Responsable]]))</f>
        <v>Ana García</v>
      </c>
    </row>
    <row r="1333" spans="1:19" x14ac:dyDescent="0.3">
      <c r="A1333" s="1">
        <v>45995</v>
      </c>
      <c r="B1333" s="2" t="s">
        <v>2568</v>
      </c>
      <c r="C1333" s="2" t="s">
        <v>2515</v>
      </c>
      <c r="D1333" s="2" t="s">
        <v>2528</v>
      </c>
      <c r="E1333" s="2" t="s">
        <v>2517</v>
      </c>
      <c r="F1333" s="3">
        <v>88725</v>
      </c>
      <c r="G1333" s="3">
        <v>3231</v>
      </c>
      <c r="H1333" s="3">
        <v>389</v>
      </c>
      <c r="I1333" s="4">
        <v>4450.29</v>
      </c>
      <c r="J1333" s="4">
        <v>11851.28</v>
      </c>
      <c r="K1333" s="3">
        <v>325</v>
      </c>
      <c r="L1333" s="2" t="s">
        <v>2518</v>
      </c>
      <c r="M1333" s="2" t="s">
        <v>2546</v>
      </c>
      <c r="N1333" t="str">
        <f>TRIM(PROPER(Tabla_auditoría[[#This Row],[ID_Campaña]]))</f>
        <v>Cmp-020</v>
      </c>
      <c r="O1333" t="str">
        <f>TRIM(PROPER(Tabla_auditoría[[#This Row],[Canal]]))</f>
        <v>Email</v>
      </c>
      <c r="P1333" t="str">
        <f>TRIM(PROPER(Tabla_auditoría[[#This Row],[País]]))</f>
        <v>España</v>
      </c>
      <c r="Q1333" t="str">
        <f>TRIM(PROPER(Tabla_auditoría[[#This Row],[Dispositivo]]))</f>
        <v>Desktop</v>
      </c>
      <c r="R1333" t="str">
        <f>TRIM(PROPER(Tabla_auditoría[[#This Row],[Tipo_Campaña]]))</f>
        <v>Adquisición</v>
      </c>
      <c r="S1333" t="str">
        <f>TRIM(PROPER(Tabla_auditoría[[#This Row],[Responsable]]))</f>
        <v>Ana García</v>
      </c>
    </row>
    <row r="1334" spans="1:19" x14ac:dyDescent="0.3">
      <c r="A1334" s="1">
        <v>45803</v>
      </c>
      <c r="B1334" s="2" t="s">
        <v>2571</v>
      </c>
      <c r="C1334" s="2" t="s">
        <v>2541</v>
      </c>
      <c r="D1334" s="2" t="s">
        <v>2528</v>
      </c>
      <c r="E1334" s="2" t="s">
        <v>2534</v>
      </c>
      <c r="F1334" s="3">
        <v>79966</v>
      </c>
      <c r="G1334" s="3">
        <v>4883</v>
      </c>
      <c r="H1334" s="3">
        <v>306</v>
      </c>
      <c r="I1334" s="4">
        <v>3623.82</v>
      </c>
      <c r="J1334" s="4">
        <v>18074.73</v>
      </c>
      <c r="K1334" s="3">
        <v>170</v>
      </c>
      <c r="L1334" s="2" t="s">
        <v>2539</v>
      </c>
      <c r="M1334" s="2" t="s">
        <v>2526</v>
      </c>
      <c r="N1334" t="str">
        <f>TRIM(PROPER(Tabla_auditoría[[#This Row],[ID_Campaña]]))</f>
        <v>Cmp-029</v>
      </c>
      <c r="O1334" t="str">
        <f>TRIM(PROPER(Tabla_auditoría[[#This Row],[Canal]]))</f>
        <v>Display</v>
      </c>
      <c r="P1334" t="str">
        <f>TRIM(PROPER(Tabla_auditoría[[#This Row],[País]]))</f>
        <v>España</v>
      </c>
      <c r="Q1334" t="str">
        <f>TRIM(PROPER(Tabla_auditoría[[#This Row],[Dispositivo]]))</f>
        <v>Tablet</v>
      </c>
      <c r="R1334" t="str">
        <f>TRIM(PROPER(Tabla_auditoría[[#This Row],[Tipo_Campaña]]))</f>
        <v>Conversión</v>
      </c>
      <c r="S1334" t="str">
        <f>TRIM(PROPER(Tabla_auditoría[[#This Row],[Responsable]]))</f>
        <v>Laura Pérez</v>
      </c>
    </row>
    <row r="1335" spans="1:19" x14ac:dyDescent="0.3">
      <c r="A1335" s="1">
        <v>45780</v>
      </c>
      <c r="B1335" s="2" t="s">
        <v>2532</v>
      </c>
      <c r="C1335" s="2" t="s">
        <v>2541</v>
      </c>
      <c r="D1335" s="2" t="s">
        <v>2528</v>
      </c>
      <c r="E1335" s="2" t="s">
        <v>2517</v>
      </c>
      <c r="F1335" s="3">
        <v>174554</v>
      </c>
      <c r="G1335" s="3">
        <v>4349</v>
      </c>
      <c r="H1335" s="3">
        <v>4398</v>
      </c>
      <c r="I1335" s="4">
        <v>4329.24</v>
      </c>
      <c r="J1335" s="4">
        <v>22886.9</v>
      </c>
      <c r="K1335" s="3">
        <v>525</v>
      </c>
      <c r="L1335" s="2" t="s">
        <v>2523</v>
      </c>
      <c r="M1335" s="2" t="s">
        <v>2519</v>
      </c>
      <c r="N1335" t="str">
        <f>TRIM(PROPER(Tabla_auditoría[[#This Row],[ID_Campaña]]))</f>
        <v>Cmp-022</v>
      </c>
      <c r="O1335" t="str">
        <f>TRIM(PROPER(Tabla_auditoría[[#This Row],[Canal]]))</f>
        <v>Display</v>
      </c>
      <c r="P1335" t="str">
        <f>TRIM(PROPER(Tabla_auditoría[[#This Row],[País]]))</f>
        <v>España</v>
      </c>
      <c r="Q1335" t="str">
        <f>TRIM(PROPER(Tabla_auditoría[[#This Row],[Dispositivo]]))</f>
        <v>Desktop</v>
      </c>
      <c r="R1335" t="str">
        <f>TRIM(PROPER(Tabla_auditoría[[#This Row],[Tipo_Campaña]]))</f>
        <v>Retención</v>
      </c>
      <c r="S1335" t="str">
        <f>TRIM(PROPER(Tabla_auditoría[[#This Row],[Responsable]]))</f>
        <v>Carlos Ruiz</v>
      </c>
    </row>
    <row r="1336" spans="1:19" x14ac:dyDescent="0.3">
      <c r="A1336" s="1">
        <v>45660</v>
      </c>
      <c r="B1336" s="2" t="s">
        <v>2555</v>
      </c>
      <c r="C1336" s="2" t="s">
        <v>2533</v>
      </c>
      <c r="D1336" s="2" t="s">
        <v>2522</v>
      </c>
      <c r="E1336" s="2" t="s">
        <v>2534</v>
      </c>
      <c r="F1336" s="3">
        <v>161812</v>
      </c>
      <c r="G1336" s="3">
        <v>6760</v>
      </c>
      <c r="H1336" s="3">
        <v>625</v>
      </c>
      <c r="I1336" s="4">
        <v>4639.9799999999996</v>
      </c>
      <c r="J1336" s="4">
        <v>134146.43</v>
      </c>
      <c r="K1336" s="3">
        <v>459</v>
      </c>
      <c r="L1336" s="2" t="s">
        <v>2536</v>
      </c>
      <c r="M1336" s="2" t="s">
        <v>2519</v>
      </c>
      <c r="N1336" t="str">
        <f>TRIM(PROPER(Tabla_auditoría[[#This Row],[ID_Campaña]]))</f>
        <v>Cmp-010</v>
      </c>
      <c r="O1336" t="str">
        <f>TRIM(PROPER(Tabla_auditoría[[#This Row],[Canal]]))</f>
        <v>Paid Social</v>
      </c>
      <c r="P1336" t="str">
        <f>TRIM(PROPER(Tabla_auditoría[[#This Row],[País]]))</f>
        <v>Italia</v>
      </c>
      <c r="Q1336" t="str">
        <f>TRIM(PROPER(Tabla_auditoría[[#This Row],[Dispositivo]]))</f>
        <v>Tablet</v>
      </c>
      <c r="R1336" t="str">
        <f>TRIM(PROPER(Tabla_auditoría[[#This Row],[Tipo_Campaña]]))</f>
        <v>Reconocimiento</v>
      </c>
      <c r="S1336" t="str">
        <f>TRIM(PROPER(Tabla_auditoría[[#This Row],[Responsable]]))</f>
        <v>Carlos Ruiz</v>
      </c>
    </row>
    <row r="1337" spans="1:19" x14ac:dyDescent="0.3">
      <c r="A1337" s="1">
        <v>45972</v>
      </c>
      <c r="B1337" s="2" t="s">
        <v>2563</v>
      </c>
      <c r="C1337" s="2" t="s">
        <v>2541</v>
      </c>
      <c r="D1337" s="2" t="s">
        <v>2516</v>
      </c>
      <c r="E1337" s="2" t="s">
        <v>2529</v>
      </c>
      <c r="F1337" s="3">
        <v>8295</v>
      </c>
      <c r="G1337" s="3">
        <v>50</v>
      </c>
      <c r="H1337" s="3">
        <v>3</v>
      </c>
      <c r="I1337" s="4">
        <v>60.92</v>
      </c>
      <c r="J1337" s="4">
        <v>653.85</v>
      </c>
      <c r="K1337" s="3">
        <v>2</v>
      </c>
      <c r="L1337" s="2" t="s">
        <v>2536</v>
      </c>
      <c r="M1337" s="2" t="s">
        <v>2519</v>
      </c>
      <c r="N1337" t="str">
        <f>TRIM(PROPER(Tabla_auditoría[[#This Row],[ID_Campaña]]))</f>
        <v>Cmp-023</v>
      </c>
      <c r="O1337" t="str">
        <f>TRIM(PROPER(Tabla_auditoría[[#This Row],[Canal]]))</f>
        <v>Display</v>
      </c>
      <c r="P1337" t="str">
        <f>TRIM(PROPER(Tabla_auditoría[[#This Row],[País]]))</f>
        <v>México</v>
      </c>
      <c r="Q1337" t="str">
        <f>TRIM(PROPER(Tabla_auditoría[[#This Row],[Dispositivo]]))</f>
        <v>Mobile</v>
      </c>
      <c r="R1337" t="str">
        <f>TRIM(PROPER(Tabla_auditoría[[#This Row],[Tipo_Campaña]]))</f>
        <v>Reconocimiento</v>
      </c>
      <c r="S1337" t="str">
        <f>TRIM(PROPER(Tabla_auditoría[[#This Row],[Responsable]]))</f>
        <v>Carlos Ruiz</v>
      </c>
    </row>
    <row r="1338" spans="1:19" x14ac:dyDescent="0.3">
      <c r="A1338" s="1">
        <v>45942</v>
      </c>
      <c r="B1338" s="2" t="s">
        <v>2574</v>
      </c>
      <c r="C1338" s="2" t="s">
        <v>2527</v>
      </c>
      <c r="D1338" s="2" t="s">
        <v>2528</v>
      </c>
      <c r="E1338" s="2" t="s">
        <v>2517</v>
      </c>
      <c r="F1338" s="3">
        <v>101954</v>
      </c>
      <c r="G1338" s="3">
        <v>4634</v>
      </c>
      <c r="H1338" s="3">
        <v>201</v>
      </c>
      <c r="I1338" s="4">
        <v>7108.91</v>
      </c>
      <c r="J1338" s="4">
        <v>34025.82</v>
      </c>
      <c r="K1338" s="3">
        <v>99</v>
      </c>
      <c r="L1338" s="2" t="s">
        <v>2539</v>
      </c>
      <c r="M1338" s="2" t="s">
        <v>2524</v>
      </c>
      <c r="N1338" t="str">
        <f>TRIM(PROPER(Tabla_auditoría[[#This Row],[ID_Campaña]]))</f>
        <v>Cmp-003</v>
      </c>
      <c r="O1338" t="str">
        <f>TRIM(PROPER(Tabla_auditoría[[#This Row],[Canal]]))</f>
        <v>Affiliate</v>
      </c>
      <c r="P1338" t="str">
        <f>TRIM(PROPER(Tabla_auditoría[[#This Row],[País]]))</f>
        <v>España</v>
      </c>
      <c r="Q1338" t="str">
        <f>TRIM(PROPER(Tabla_auditoría[[#This Row],[Dispositivo]]))</f>
        <v>Desktop</v>
      </c>
      <c r="R1338" t="str">
        <f>TRIM(PROPER(Tabla_auditoría[[#This Row],[Tipo_Campaña]]))</f>
        <v>Conversión</v>
      </c>
      <c r="S1338" t="str">
        <f>TRIM(PROPER(Tabla_auditoría[[#This Row],[Responsable]]))</f>
        <v>Luis Martín</v>
      </c>
    </row>
    <row r="1339" spans="1:19" x14ac:dyDescent="0.3">
      <c r="A1339" s="1">
        <v>45887</v>
      </c>
      <c r="B1339" s="2" t="s">
        <v>2540</v>
      </c>
      <c r="C1339" s="2" t="s">
        <v>2543</v>
      </c>
      <c r="D1339" s="2" t="s">
        <v>2528</v>
      </c>
      <c r="E1339" s="2" t="s">
        <v>2534</v>
      </c>
      <c r="F1339" s="3">
        <v>161509</v>
      </c>
      <c r="G1339" s="3">
        <v>6257</v>
      </c>
      <c r="H1339" s="3">
        <v>701</v>
      </c>
      <c r="I1339" s="4">
        <v>6965.17</v>
      </c>
      <c r="J1339" s="4">
        <v>81589.81</v>
      </c>
      <c r="K1339" s="3">
        <v>430</v>
      </c>
      <c r="L1339" s="2" t="s">
        <v>2518</v>
      </c>
      <c r="M1339" s="2" t="s">
        <v>2537</v>
      </c>
      <c r="N1339" t="str">
        <f>TRIM(PROPER(Tabla_auditoría[[#This Row],[ID_Campaña]]))</f>
        <v>Cmp-017</v>
      </c>
      <c r="O1339" t="str">
        <f>TRIM(PROPER(Tabla_auditoría[[#This Row],[Canal]]))</f>
        <v>Organic Social</v>
      </c>
      <c r="P1339" t="str">
        <f>TRIM(PROPER(Tabla_auditoría[[#This Row],[País]]))</f>
        <v>España</v>
      </c>
      <c r="Q1339" t="str">
        <f>TRIM(PROPER(Tabla_auditoría[[#This Row],[Dispositivo]]))</f>
        <v>Tablet</v>
      </c>
      <c r="R1339" t="str">
        <f>TRIM(PROPER(Tabla_auditoría[[#This Row],[Tipo_Campaña]]))</f>
        <v>Adquisición</v>
      </c>
      <c r="S1339" t="str">
        <f>TRIM(PROPER(Tabla_auditoría[[#This Row],[Responsable]]))</f>
        <v>Marta López</v>
      </c>
    </row>
    <row r="1340" spans="1:19" x14ac:dyDescent="0.3">
      <c r="A1340" s="1">
        <v>45817</v>
      </c>
      <c r="B1340" s="2" t="s">
        <v>2540</v>
      </c>
      <c r="C1340" s="2" t="s">
        <v>2515</v>
      </c>
      <c r="D1340" s="2" t="s">
        <v>2531</v>
      </c>
      <c r="E1340" s="2" t="s">
        <v>2529</v>
      </c>
      <c r="F1340" s="3">
        <v>103784</v>
      </c>
      <c r="G1340" s="3">
        <v>810</v>
      </c>
      <c r="H1340" s="3">
        <v>110</v>
      </c>
      <c r="I1340" s="4">
        <v>1618.36</v>
      </c>
      <c r="J1340" s="4">
        <v>7423.06</v>
      </c>
      <c r="K1340" s="3">
        <v>77</v>
      </c>
      <c r="L1340" s="2" t="s">
        <v>2523</v>
      </c>
      <c r="M1340" s="2" t="s">
        <v>2546</v>
      </c>
      <c r="N1340" t="str">
        <f>TRIM(PROPER(Tabla_auditoría[[#This Row],[ID_Campaña]]))</f>
        <v>Cmp-017</v>
      </c>
      <c r="O1340" t="str">
        <f>TRIM(PROPER(Tabla_auditoría[[#This Row],[Canal]]))</f>
        <v>Email</v>
      </c>
      <c r="P1340" t="str">
        <f>TRIM(PROPER(Tabla_auditoría[[#This Row],[País]]))</f>
        <v>Portugal</v>
      </c>
      <c r="Q1340" t="str">
        <f>TRIM(PROPER(Tabla_auditoría[[#This Row],[Dispositivo]]))</f>
        <v>Mobile</v>
      </c>
      <c r="R1340" t="str">
        <f>TRIM(PROPER(Tabla_auditoría[[#This Row],[Tipo_Campaña]]))</f>
        <v>Retención</v>
      </c>
      <c r="S1340" t="str">
        <f>TRIM(PROPER(Tabla_auditoría[[#This Row],[Responsable]]))</f>
        <v>Ana García</v>
      </c>
    </row>
    <row r="1341" spans="1:19" x14ac:dyDescent="0.3">
      <c r="A1341" s="1">
        <v>45780</v>
      </c>
      <c r="B1341" s="2" t="s">
        <v>2556</v>
      </c>
      <c r="C1341" s="2" t="s">
        <v>2533</v>
      </c>
      <c r="D1341" s="2" t="s">
        <v>2531</v>
      </c>
      <c r="E1341" s="2" t="s">
        <v>2529</v>
      </c>
      <c r="F1341" s="3">
        <v>17455</v>
      </c>
      <c r="G1341" s="3">
        <v>760</v>
      </c>
      <c r="H1341" s="3">
        <v>19</v>
      </c>
      <c r="I1341" s="4">
        <v>978.22</v>
      </c>
      <c r="J1341" s="4">
        <v>2444.3000000000002</v>
      </c>
      <c r="K1341" s="3">
        <v>15</v>
      </c>
      <c r="L1341" s="2" t="s">
        <v>2523</v>
      </c>
      <c r="M1341" s="2" t="s">
        <v>2537</v>
      </c>
      <c r="N1341" t="str">
        <f>TRIM(PROPER(Tabla_auditoría[[#This Row],[ID_Campaña]]))</f>
        <v>Cmp-014</v>
      </c>
      <c r="O1341" t="str">
        <f>TRIM(PROPER(Tabla_auditoría[[#This Row],[Canal]]))</f>
        <v>Paid Social</v>
      </c>
      <c r="P1341" t="str">
        <f>TRIM(PROPER(Tabla_auditoría[[#This Row],[País]]))</f>
        <v>Portugal</v>
      </c>
      <c r="Q1341" t="str">
        <f>TRIM(PROPER(Tabla_auditoría[[#This Row],[Dispositivo]]))</f>
        <v>Mobile</v>
      </c>
      <c r="R1341" t="str">
        <f>TRIM(PROPER(Tabla_auditoría[[#This Row],[Tipo_Campaña]]))</f>
        <v>Retención</v>
      </c>
      <c r="S1341" t="str">
        <f>TRIM(PROPER(Tabla_auditoría[[#This Row],[Responsable]]))</f>
        <v>Marta López</v>
      </c>
    </row>
    <row r="1342" spans="1:19" x14ac:dyDescent="0.3">
      <c r="A1342" s="1">
        <v>45826</v>
      </c>
      <c r="B1342" s="2" t="s">
        <v>2538</v>
      </c>
      <c r="C1342" s="2" t="s">
        <v>2543</v>
      </c>
      <c r="D1342" s="2" t="s">
        <v>2531</v>
      </c>
      <c r="E1342" s="2" t="s">
        <v>2529</v>
      </c>
      <c r="F1342" s="3">
        <v>160474</v>
      </c>
      <c r="G1342" s="3">
        <v>13911</v>
      </c>
      <c r="H1342" s="3">
        <v>580</v>
      </c>
      <c r="I1342" s="4">
        <v>7292.51</v>
      </c>
      <c r="J1342" s="4">
        <v>122110.79</v>
      </c>
      <c r="K1342" s="3">
        <v>289</v>
      </c>
      <c r="L1342" s="2" t="s">
        <v>2536</v>
      </c>
      <c r="M1342" s="2" t="s">
        <v>2537</v>
      </c>
      <c r="N1342" t="str">
        <f>TRIM(PROPER(Tabla_auditoría[[#This Row],[ID_Campaña]]))</f>
        <v>Cmp-004</v>
      </c>
      <c r="O1342" t="str">
        <f>TRIM(PROPER(Tabla_auditoría[[#This Row],[Canal]]))</f>
        <v>Organic Social</v>
      </c>
      <c r="P1342" t="str">
        <f>TRIM(PROPER(Tabla_auditoría[[#This Row],[País]]))</f>
        <v>Portugal</v>
      </c>
      <c r="Q1342" t="str">
        <f>TRIM(PROPER(Tabla_auditoría[[#This Row],[Dispositivo]]))</f>
        <v>Mobile</v>
      </c>
      <c r="R1342" t="str">
        <f>TRIM(PROPER(Tabla_auditoría[[#This Row],[Tipo_Campaña]]))</f>
        <v>Reconocimiento</v>
      </c>
      <c r="S1342" t="str">
        <f>TRIM(PROPER(Tabla_auditoría[[#This Row],[Responsable]]))</f>
        <v>Marta López</v>
      </c>
    </row>
    <row r="1343" spans="1:19" x14ac:dyDescent="0.3">
      <c r="A1343" s="1">
        <v>45767</v>
      </c>
      <c r="B1343" s="2" t="s">
        <v>2535</v>
      </c>
      <c r="C1343" s="2" t="s">
        <v>2521</v>
      </c>
      <c r="D1343" s="2" t="s">
        <v>2528</v>
      </c>
      <c r="E1343" s="2" t="s">
        <v>2529</v>
      </c>
      <c r="F1343" s="3">
        <v>44965</v>
      </c>
      <c r="G1343" s="3">
        <v>3162</v>
      </c>
      <c r="H1343" s="3">
        <v>116</v>
      </c>
      <c r="I1343" s="4">
        <v>3476.19</v>
      </c>
      <c r="J1343" s="4">
        <v>3519.3</v>
      </c>
      <c r="K1343" s="3">
        <v>95</v>
      </c>
      <c r="L1343" s="2" t="s">
        <v>2523</v>
      </c>
      <c r="M1343" s="2" t="s">
        <v>2526</v>
      </c>
      <c r="N1343" t="str">
        <f>TRIM(PROPER(Tabla_auditoría[[#This Row],[ID_Campaña]]))</f>
        <v>Cmp-015</v>
      </c>
      <c r="O1343" t="str">
        <f>TRIM(PROPER(Tabla_auditoría[[#This Row],[Canal]]))</f>
        <v>Paid Search</v>
      </c>
      <c r="P1343" t="str">
        <f>TRIM(PROPER(Tabla_auditoría[[#This Row],[País]]))</f>
        <v>España</v>
      </c>
      <c r="Q1343" t="str">
        <f>TRIM(PROPER(Tabla_auditoría[[#This Row],[Dispositivo]]))</f>
        <v>Mobile</v>
      </c>
      <c r="R1343" t="str">
        <f>TRIM(PROPER(Tabla_auditoría[[#This Row],[Tipo_Campaña]]))</f>
        <v>Retención</v>
      </c>
      <c r="S1343" t="str">
        <f>TRIM(PROPER(Tabla_auditoría[[#This Row],[Responsable]]))</f>
        <v>Laura Pérez</v>
      </c>
    </row>
    <row r="1344" spans="1:19" x14ac:dyDescent="0.3">
      <c r="A1344" s="1">
        <v>45740</v>
      </c>
      <c r="B1344" s="2" t="s">
        <v>2574</v>
      </c>
      <c r="C1344" s="2" t="s">
        <v>2521</v>
      </c>
      <c r="D1344" s="2" t="s">
        <v>2522</v>
      </c>
      <c r="E1344" s="2" t="s">
        <v>2517</v>
      </c>
      <c r="F1344" s="3">
        <v>62735</v>
      </c>
      <c r="G1344" s="3">
        <v>5457</v>
      </c>
      <c r="H1344" s="3">
        <v>580</v>
      </c>
      <c r="I1344" s="4">
        <v>5012.1099999999997</v>
      </c>
      <c r="J1344" s="4">
        <v>41920.5</v>
      </c>
      <c r="K1344" s="3">
        <v>507</v>
      </c>
      <c r="L1344" s="2" t="s">
        <v>2518</v>
      </c>
      <c r="M1344" s="2" t="s">
        <v>2524</v>
      </c>
      <c r="N1344" t="str">
        <f>TRIM(PROPER(Tabla_auditoría[[#This Row],[ID_Campaña]]))</f>
        <v>Cmp-003</v>
      </c>
      <c r="O1344" t="str">
        <f>TRIM(PROPER(Tabla_auditoría[[#This Row],[Canal]]))</f>
        <v>Paid Search</v>
      </c>
      <c r="P1344" t="str">
        <f>TRIM(PROPER(Tabla_auditoría[[#This Row],[País]]))</f>
        <v>Italia</v>
      </c>
      <c r="Q1344" t="str">
        <f>TRIM(PROPER(Tabla_auditoría[[#This Row],[Dispositivo]]))</f>
        <v>Desktop</v>
      </c>
      <c r="R1344" t="str">
        <f>TRIM(PROPER(Tabla_auditoría[[#This Row],[Tipo_Campaña]]))</f>
        <v>Adquisición</v>
      </c>
      <c r="S1344" t="str">
        <f>TRIM(PROPER(Tabla_auditoría[[#This Row],[Responsable]]))</f>
        <v>Luis Martín</v>
      </c>
    </row>
    <row r="1345" spans="1:19" x14ac:dyDescent="0.3">
      <c r="A1345" s="1">
        <v>45722</v>
      </c>
      <c r="B1345" s="2" t="s">
        <v>2532</v>
      </c>
      <c r="C1345" s="2" t="s">
        <v>2521</v>
      </c>
      <c r="D1345" s="2" t="s">
        <v>2528</v>
      </c>
      <c r="E1345" s="2" t="s">
        <v>2517</v>
      </c>
      <c r="F1345" s="3">
        <v>144295</v>
      </c>
      <c r="G1345" s="3">
        <v>10429</v>
      </c>
      <c r="H1345" s="3">
        <v>689</v>
      </c>
      <c r="I1345" s="4">
        <v>19990.29</v>
      </c>
      <c r="J1345" s="4">
        <v>147345.35999999999</v>
      </c>
      <c r="K1345" s="3">
        <v>547</v>
      </c>
      <c r="L1345" s="2" t="s">
        <v>2523</v>
      </c>
      <c r="M1345" s="2" t="s">
        <v>2519</v>
      </c>
      <c r="N1345" t="str">
        <f>TRIM(PROPER(Tabla_auditoría[[#This Row],[ID_Campaña]]))</f>
        <v>Cmp-022</v>
      </c>
      <c r="O1345" t="str">
        <f>TRIM(PROPER(Tabla_auditoría[[#This Row],[Canal]]))</f>
        <v>Paid Search</v>
      </c>
      <c r="P1345" t="str">
        <f>TRIM(PROPER(Tabla_auditoría[[#This Row],[País]]))</f>
        <v>España</v>
      </c>
      <c r="Q1345" t="str">
        <f>TRIM(PROPER(Tabla_auditoría[[#This Row],[Dispositivo]]))</f>
        <v>Desktop</v>
      </c>
      <c r="R1345" t="str">
        <f>TRIM(PROPER(Tabla_auditoría[[#This Row],[Tipo_Campaña]]))</f>
        <v>Retención</v>
      </c>
      <c r="S1345" t="str">
        <f>TRIM(PROPER(Tabla_auditoría[[#This Row],[Responsable]]))</f>
        <v>Carlos Ruiz</v>
      </c>
    </row>
    <row r="1346" spans="1:19" x14ac:dyDescent="0.3">
      <c r="A1346" s="1">
        <v>45902</v>
      </c>
      <c r="B1346" s="2" t="s">
        <v>2554</v>
      </c>
      <c r="C1346" s="2" t="s">
        <v>2521</v>
      </c>
      <c r="D1346" s="2" t="s">
        <v>2528</v>
      </c>
      <c r="E1346" s="2" t="s">
        <v>2529</v>
      </c>
      <c r="F1346" s="3">
        <v>104663</v>
      </c>
      <c r="G1346" s="3">
        <v>3852</v>
      </c>
      <c r="H1346" s="3">
        <v>482</v>
      </c>
      <c r="I1346" s="4">
        <v>7692.25</v>
      </c>
      <c r="J1346" s="4">
        <v>74343.850000000006</v>
      </c>
      <c r="K1346" s="3">
        <v>302</v>
      </c>
      <c r="L1346" s="2" t="s">
        <v>2539</v>
      </c>
      <c r="M1346" s="2" t="s">
        <v>2524</v>
      </c>
      <c r="N1346" t="str">
        <f>TRIM(PROPER(Tabla_auditoría[[#This Row],[ID_Campaña]]))</f>
        <v>Cmp-019</v>
      </c>
      <c r="O1346" t="str">
        <f>TRIM(PROPER(Tabla_auditoría[[#This Row],[Canal]]))</f>
        <v>Paid Search</v>
      </c>
      <c r="P1346" t="str">
        <f>TRIM(PROPER(Tabla_auditoría[[#This Row],[País]]))</f>
        <v>España</v>
      </c>
      <c r="Q1346" t="str">
        <f>TRIM(PROPER(Tabla_auditoría[[#This Row],[Dispositivo]]))</f>
        <v>Mobile</v>
      </c>
      <c r="R1346" t="str">
        <f>TRIM(PROPER(Tabla_auditoría[[#This Row],[Tipo_Campaña]]))</f>
        <v>Conversión</v>
      </c>
      <c r="S1346" t="str">
        <f>TRIM(PROPER(Tabla_auditoría[[#This Row],[Responsable]]))</f>
        <v>Luis Martín</v>
      </c>
    </row>
    <row r="1347" spans="1:19" x14ac:dyDescent="0.3">
      <c r="A1347" s="1">
        <v>46020</v>
      </c>
      <c r="B1347" s="2" t="s">
        <v>2574</v>
      </c>
      <c r="C1347" s="2" t="s">
        <v>2533</v>
      </c>
      <c r="D1347" s="2" t="s">
        <v>2528</v>
      </c>
      <c r="E1347" s="2" t="s">
        <v>2534</v>
      </c>
      <c r="F1347" s="3">
        <v>123604</v>
      </c>
      <c r="G1347" s="3">
        <v>4616</v>
      </c>
      <c r="H1347" s="3">
        <v>86</v>
      </c>
      <c r="I1347" s="4">
        <v>7976.94</v>
      </c>
      <c r="J1347" s="4">
        <v>15889.32</v>
      </c>
      <c r="K1347" s="3">
        <v>54</v>
      </c>
      <c r="L1347" s="2" t="s">
        <v>2539</v>
      </c>
      <c r="M1347" s="2" t="s">
        <v>2526</v>
      </c>
      <c r="N1347" t="str">
        <f>TRIM(PROPER(Tabla_auditoría[[#This Row],[ID_Campaña]]))</f>
        <v>Cmp-003</v>
      </c>
      <c r="O1347" t="str">
        <f>TRIM(PROPER(Tabla_auditoría[[#This Row],[Canal]]))</f>
        <v>Paid Social</v>
      </c>
      <c r="P1347" t="str">
        <f>TRIM(PROPER(Tabla_auditoría[[#This Row],[País]]))</f>
        <v>España</v>
      </c>
      <c r="Q1347" t="str">
        <f>TRIM(PROPER(Tabla_auditoría[[#This Row],[Dispositivo]]))</f>
        <v>Tablet</v>
      </c>
      <c r="R1347" t="str">
        <f>TRIM(PROPER(Tabla_auditoría[[#This Row],[Tipo_Campaña]]))</f>
        <v>Conversión</v>
      </c>
      <c r="S1347" t="str">
        <f>TRIM(PROPER(Tabla_auditoría[[#This Row],[Responsable]]))</f>
        <v>Laura Pérez</v>
      </c>
    </row>
    <row r="1348" spans="1:19" x14ac:dyDescent="0.3">
      <c r="A1348" s="1">
        <v>45681</v>
      </c>
      <c r="B1348" s="2" t="s">
        <v>2570</v>
      </c>
      <c r="C1348" s="2" t="s">
        <v>2543</v>
      </c>
      <c r="D1348" s="2" t="s">
        <v>2525</v>
      </c>
      <c r="E1348" s="2" t="s">
        <v>2529</v>
      </c>
      <c r="F1348" s="3">
        <v>63216</v>
      </c>
      <c r="G1348" s="3">
        <v>5180</v>
      </c>
      <c r="H1348" s="3">
        <v>138</v>
      </c>
      <c r="I1348" s="4">
        <v>1605.14</v>
      </c>
      <c r="J1348" s="4">
        <v>24336.84</v>
      </c>
      <c r="K1348" s="3">
        <v>97</v>
      </c>
      <c r="L1348" s="2" t="s">
        <v>2518</v>
      </c>
      <c r="M1348" s="2" t="s">
        <v>2524</v>
      </c>
      <c r="N1348" t="str">
        <f>TRIM(PROPER(Tabla_auditoría[[#This Row],[ID_Campaña]]))</f>
        <v>Cmp-016</v>
      </c>
      <c r="O1348" t="str">
        <f>TRIM(PROPER(Tabla_auditoría[[#This Row],[Canal]]))</f>
        <v>Organic Social</v>
      </c>
      <c r="P1348" t="str">
        <f>TRIM(PROPER(Tabla_auditoría[[#This Row],[País]]))</f>
        <v>Francia</v>
      </c>
      <c r="Q1348" t="str">
        <f>TRIM(PROPER(Tabla_auditoría[[#This Row],[Dispositivo]]))</f>
        <v>Mobile</v>
      </c>
      <c r="R1348" t="str">
        <f>TRIM(PROPER(Tabla_auditoría[[#This Row],[Tipo_Campaña]]))</f>
        <v>Adquisición</v>
      </c>
      <c r="S1348" t="str">
        <f>TRIM(PROPER(Tabla_auditoría[[#This Row],[Responsable]]))</f>
        <v>Luis Martín</v>
      </c>
    </row>
    <row r="1349" spans="1:19" x14ac:dyDescent="0.3">
      <c r="A1349" s="1">
        <v>45906</v>
      </c>
      <c r="B1349" s="2" t="s">
        <v>2554</v>
      </c>
      <c r="C1349" s="2" t="s">
        <v>2515</v>
      </c>
      <c r="D1349" s="2" t="s">
        <v>2528</v>
      </c>
      <c r="E1349" s="2" t="s">
        <v>2529</v>
      </c>
      <c r="F1349" s="3">
        <v>132567</v>
      </c>
      <c r="G1349" s="3">
        <v>826</v>
      </c>
      <c r="H1349" s="3">
        <v>36</v>
      </c>
      <c r="I1349" s="4">
        <v>362.75</v>
      </c>
      <c r="J1349" s="4">
        <v>6631.67</v>
      </c>
      <c r="K1349" s="3">
        <v>25</v>
      </c>
      <c r="L1349" s="2" t="s">
        <v>2539</v>
      </c>
      <c r="M1349" s="2" t="s">
        <v>2519</v>
      </c>
      <c r="N1349" t="str">
        <f>TRIM(PROPER(Tabla_auditoría[[#This Row],[ID_Campaña]]))</f>
        <v>Cmp-019</v>
      </c>
      <c r="O1349" t="str">
        <f>TRIM(PROPER(Tabla_auditoría[[#This Row],[Canal]]))</f>
        <v>Email</v>
      </c>
      <c r="P1349" t="str">
        <f>TRIM(PROPER(Tabla_auditoría[[#This Row],[País]]))</f>
        <v>España</v>
      </c>
      <c r="Q1349" t="str">
        <f>TRIM(PROPER(Tabla_auditoría[[#This Row],[Dispositivo]]))</f>
        <v>Mobile</v>
      </c>
      <c r="R1349" t="str">
        <f>TRIM(PROPER(Tabla_auditoría[[#This Row],[Tipo_Campaña]]))</f>
        <v>Conversión</v>
      </c>
      <c r="S1349" t="str">
        <f>TRIM(PROPER(Tabla_auditoría[[#This Row],[Responsable]]))</f>
        <v>Carlos Ruiz</v>
      </c>
    </row>
    <row r="1350" spans="1:19" x14ac:dyDescent="0.3">
      <c r="A1350" s="1">
        <v>45862</v>
      </c>
      <c r="B1350" s="2" t="s">
        <v>2520</v>
      </c>
      <c r="C1350" s="2" t="s">
        <v>2533</v>
      </c>
      <c r="D1350" s="2" t="s">
        <v>2531</v>
      </c>
      <c r="E1350" s="2" t="s">
        <v>2529</v>
      </c>
      <c r="F1350" s="3">
        <v>172048</v>
      </c>
      <c r="G1350" s="3">
        <v>12622</v>
      </c>
      <c r="H1350" s="3">
        <v>446</v>
      </c>
      <c r="I1350" s="4">
        <v>7670.17</v>
      </c>
      <c r="J1350" s="4">
        <v>82355.149999999994</v>
      </c>
      <c r="K1350" s="3">
        <v>224</v>
      </c>
      <c r="L1350" s="2" t="s">
        <v>2518</v>
      </c>
      <c r="M1350" s="2" t="s">
        <v>2546</v>
      </c>
      <c r="N1350" t="str">
        <f>TRIM(PROPER(Tabla_auditoría[[#This Row],[ID_Campaña]]))</f>
        <v>Cmp-009</v>
      </c>
      <c r="O1350" t="str">
        <f>TRIM(PROPER(Tabla_auditoría[[#This Row],[Canal]]))</f>
        <v>Paid Social</v>
      </c>
      <c r="P1350" t="str">
        <f>TRIM(PROPER(Tabla_auditoría[[#This Row],[País]]))</f>
        <v>Portugal</v>
      </c>
      <c r="Q1350" t="str">
        <f>TRIM(PROPER(Tabla_auditoría[[#This Row],[Dispositivo]]))</f>
        <v>Mobile</v>
      </c>
      <c r="R1350" t="str">
        <f>TRIM(PROPER(Tabla_auditoría[[#This Row],[Tipo_Campaña]]))</f>
        <v>Adquisición</v>
      </c>
      <c r="S1350" t="str">
        <f>TRIM(PROPER(Tabla_auditoría[[#This Row],[Responsable]]))</f>
        <v>Ana García</v>
      </c>
    </row>
    <row r="1351" spans="1:19" x14ac:dyDescent="0.3">
      <c r="A1351" s="1">
        <v>45950</v>
      </c>
      <c r="B1351" s="2" t="s">
        <v>2556</v>
      </c>
      <c r="C1351" s="2" t="s">
        <v>2541</v>
      </c>
      <c r="D1351" s="2" t="s">
        <v>2528</v>
      </c>
      <c r="E1351" s="2" t="s">
        <v>2517</v>
      </c>
      <c r="F1351" s="3">
        <v>109858</v>
      </c>
      <c r="G1351" s="3">
        <v>4555</v>
      </c>
      <c r="H1351" s="3">
        <v>103</v>
      </c>
      <c r="I1351" s="4">
        <v>6968.21</v>
      </c>
      <c r="J1351" s="4">
        <v>11668.79</v>
      </c>
      <c r="K1351" s="3">
        <v>61</v>
      </c>
      <c r="L1351" s="2" t="s">
        <v>2539</v>
      </c>
      <c r="M1351" s="2" t="s">
        <v>2546</v>
      </c>
      <c r="N1351" t="str">
        <f>TRIM(PROPER(Tabla_auditoría[[#This Row],[ID_Campaña]]))</f>
        <v>Cmp-014</v>
      </c>
      <c r="O1351" t="str">
        <f>TRIM(PROPER(Tabla_auditoría[[#This Row],[Canal]]))</f>
        <v>Display</v>
      </c>
      <c r="P1351" t="str">
        <f>TRIM(PROPER(Tabla_auditoría[[#This Row],[País]]))</f>
        <v>España</v>
      </c>
      <c r="Q1351" t="str">
        <f>TRIM(PROPER(Tabla_auditoría[[#This Row],[Dispositivo]]))</f>
        <v>Desktop</v>
      </c>
      <c r="R1351" t="str">
        <f>TRIM(PROPER(Tabla_auditoría[[#This Row],[Tipo_Campaña]]))</f>
        <v>Conversión</v>
      </c>
      <c r="S1351" t="str">
        <f>TRIM(PROPER(Tabla_auditoría[[#This Row],[Responsable]]))</f>
        <v>Ana García</v>
      </c>
    </row>
    <row r="1352" spans="1:19" x14ac:dyDescent="0.3">
      <c r="A1352" s="1">
        <v>45732</v>
      </c>
      <c r="B1352" s="2" t="s">
        <v>2542</v>
      </c>
      <c r="C1352" s="2" t="s">
        <v>2527</v>
      </c>
      <c r="D1352" s="2" t="s">
        <v>2516</v>
      </c>
      <c r="E1352" s="2" t="s">
        <v>2529</v>
      </c>
      <c r="F1352" s="3">
        <v>141071</v>
      </c>
      <c r="G1352" s="3">
        <v>685</v>
      </c>
      <c r="H1352" s="3">
        <v>47</v>
      </c>
      <c r="I1352" s="4">
        <v>542.76</v>
      </c>
      <c r="J1352" s="4">
        <v>3499.37</v>
      </c>
      <c r="K1352" s="3">
        <v>31</v>
      </c>
      <c r="L1352" s="2" t="s">
        <v>2518</v>
      </c>
      <c r="M1352" s="2" t="s">
        <v>2546</v>
      </c>
      <c r="N1352" t="str">
        <f>TRIM(PROPER(Tabla_auditoría[[#This Row],[ID_Campaña]]))</f>
        <v>Cmp-025</v>
      </c>
      <c r="O1352" t="str">
        <f>TRIM(PROPER(Tabla_auditoría[[#This Row],[Canal]]))</f>
        <v>Affiliate</v>
      </c>
      <c r="P1352" t="str">
        <f>TRIM(PROPER(Tabla_auditoría[[#This Row],[País]]))</f>
        <v>México</v>
      </c>
      <c r="Q1352" t="str">
        <f>TRIM(PROPER(Tabla_auditoría[[#This Row],[Dispositivo]]))</f>
        <v>Mobile</v>
      </c>
      <c r="R1352" t="str">
        <f>TRIM(PROPER(Tabla_auditoría[[#This Row],[Tipo_Campaña]]))</f>
        <v>Adquisición</v>
      </c>
      <c r="S1352" t="str">
        <f>TRIM(PROPER(Tabla_auditoría[[#This Row],[Responsable]]))</f>
        <v>Ana García</v>
      </c>
    </row>
    <row r="1353" spans="1:19" x14ac:dyDescent="0.3">
      <c r="A1353" s="1">
        <v>46017</v>
      </c>
      <c r="B1353" s="2" t="s">
        <v>2565</v>
      </c>
      <c r="C1353" s="2" t="s">
        <v>2515</v>
      </c>
      <c r="D1353" s="2" t="s">
        <v>2516</v>
      </c>
      <c r="E1353" s="2" t="s">
        <v>2517</v>
      </c>
      <c r="F1353" s="3">
        <v>164565</v>
      </c>
      <c r="G1353" s="3">
        <v>7866</v>
      </c>
      <c r="H1353" s="3">
        <v>358</v>
      </c>
      <c r="I1353" s="4">
        <v>10028.65</v>
      </c>
      <c r="J1353" s="4">
        <v>69429.11</v>
      </c>
      <c r="K1353" s="3">
        <v>214</v>
      </c>
      <c r="L1353" s="2" t="s">
        <v>2536</v>
      </c>
      <c r="M1353" s="2" t="s">
        <v>2524</v>
      </c>
      <c r="N1353" t="str">
        <f>TRIM(PROPER(Tabla_auditoría[[#This Row],[ID_Campaña]]))</f>
        <v>Cmp-005</v>
      </c>
      <c r="O1353" t="str">
        <f>TRIM(PROPER(Tabla_auditoría[[#This Row],[Canal]]))</f>
        <v>Email</v>
      </c>
      <c r="P1353" t="str">
        <f>TRIM(PROPER(Tabla_auditoría[[#This Row],[País]]))</f>
        <v>México</v>
      </c>
      <c r="Q1353" t="str">
        <f>TRIM(PROPER(Tabla_auditoría[[#This Row],[Dispositivo]]))</f>
        <v>Desktop</v>
      </c>
      <c r="R1353" t="str">
        <f>TRIM(PROPER(Tabla_auditoría[[#This Row],[Tipo_Campaña]]))</f>
        <v>Reconocimiento</v>
      </c>
      <c r="S1353" t="str">
        <f>TRIM(PROPER(Tabla_auditoría[[#This Row],[Responsable]]))</f>
        <v>Luis Martín</v>
      </c>
    </row>
    <row r="1354" spans="1:19" x14ac:dyDescent="0.3">
      <c r="A1354" s="1">
        <v>45914</v>
      </c>
      <c r="B1354" s="2" t="s">
        <v>2532</v>
      </c>
      <c r="C1354" s="2" t="s">
        <v>2521</v>
      </c>
      <c r="D1354" s="2" t="s">
        <v>2525</v>
      </c>
      <c r="E1354" s="2" t="s">
        <v>2517</v>
      </c>
      <c r="F1354" s="3">
        <v>87155</v>
      </c>
      <c r="G1354" s="3">
        <v>4244</v>
      </c>
      <c r="H1354" s="3">
        <v>297</v>
      </c>
      <c r="I1354" s="4">
        <v>3582.3</v>
      </c>
      <c r="J1354" s="4">
        <v>33208.43</v>
      </c>
      <c r="K1354" s="3">
        <v>218</v>
      </c>
      <c r="L1354" s="2" t="s">
        <v>2536</v>
      </c>
      <c r="M1354" s="2" t="s">
        <v>2537</v>
      </c>
      <c r="N1354" t="str">
        <f>TRIM(PROPER(Tabla_auditoría[[#This Row],[ID_Campaña]]))</f>
        <v>Cmp-022</v>
      </c>
      <c r="O1354" t="str">
        <f>TRIM(PROPER(Tabla_auditoría[[#This Row],[Canal]]))</f>
        <v>Paid Search</v>
      </c>
      <c r="P1354" t="str">
        <f>TRIM(PROPER(Tabla_auditoría[[#This Row],[País]]))</f>
        <v>Francia</v>
      </c>
      <c r="Q1354" t="str">
        <f>TRIM(PROPER(Tabla_auditoría[[#This Row],[Dispositivo]]))</f>
        <v>Desktop</v>
      </c>
      <c r="R1354" t="str">
        <f>TRIM(PROPER(Tabla_auditoría[[#This Row],[Tipo_Campaña]]))</f>
        <v>Reconocimiento</v>
      </c>
      <c r="S1354" t="str">
        <f>TRIM(PROPER(Tabla_auditoría[[#This Row],[Responsable]]))</f>
        <v>Marta López</v>
      </c>
    </row>
    <row r="1355" spans="1:19" x14ac:dyDescent="0.3">
      <c r="A1355" s="1">
        <v>45845</v>
      </c>
      <c r="B1355" s="2" t="s">
        <v>2514</v>
      </c>
      <c r="C1355" s="2" t="s">
        <v>2543</v>
      </c>
      <c r="D1355" s="2" t="s">
        <v>2525</v>
      </c>
      <c r="E1355" s="2" t="s">
        <v>2529</v>
      </c>
      <c r="F1355" s="3">
        <v>57341</v>
      </c>
      <c r="G1355" s="3">
        <v>3351</v>
      </c>
      <c r="H1355" s="3">
        <v>19</v>
      </c>
      <c r="I1355" s="4">
        <v>4106.53</v>
      </c>
      <c r="J1355" s="4">
        <v>3053.74</v>
      </c>
      <c r="K1355" s="3">
        <v>15</v>
      </c>
      <c r="L1355" s="2" t="s">
        <v>2523</v>
      </c>
      <c r="M1355" s="2" t="s">
        <v>2546</v>
      </c>
      <c r="N1355" t="str">
        <f>TRIM(PROPER(Tabla_auditoría[[#This Row],[ID_Campaña]]))</f>
        <v>Cmp-002</v>
      </c>
      <c r="O1355" t="str">
        <f>TRIM(PROPER(Tabla_auditoría[[#This Row],[Canal]]))</f>
        <v>Organic Social</v>
      </c>
      <c r="P1355" t="str">
        <f>TRIM(PROPER(Tabla_auditoría[[#This Row],[País]]))</f>
        <v>Francia</v>
      </c>
      <c r="Q1355" t="str">
        <f>TRIM(PROPER(Tabla_auditoría[[#This Row],[Dispositivo]]))</f>
        <v>Mobile</v>
      </c>
      <c r="R1355" t="str">
        <f>TRIM(PROPER(Tabla_auditoría[[#This Row],[Tipo_Campaña]]))</f>
        <v>Retención</v>
      </c>
      <c r="S1355" t="str">
        <f>TRIM(PROPER(Tabla_auditoría[[#This Row],[Responsable]]))</f>
        <v>Ana García</v>
      </c>
    </row>
    <row r="1356" spans="1:19" x14ac:dyDescent="0.3">
      <c r="A1356" s="1">
        <v>45809</v>
      </c>
      <c r="B1356" s="2" t="s">
        <v>2588</v>
      </c>
      <c r="C1356" s="2" t="s">
        <v>2533</v>
      </c>
      <c r="D1356" s="2" t="s">
        <v>2525</v>
      </c>
      <c r="E1356" s="2" t="s">
        <v>2517</v>
      </c>
      <c r="F1356" s="3">
        <v>105464</v>
      </c>
      <c r="G1356" s="3">
        <v>105822</v>
      </c>
      <c r="H1356" s="3">
        <v>378</v>
      </c>
      <c r="I1356" s="4">
        <v>1877.42</v>
      </c>
      <c r="J1356" s="4">
        <v>74821.45</v>
      </c>
      <c r="K1356" s="3">
        <v>299</v>
      </c>
      <c r="L1356" s="2" t="s">
        <v>2539</v>
      </c>
      <c r="M1356" s="2" t="s">
        <v>2537</v>
      </c>
      <c r="N1356" t="str">
        <f>TRIM(PROPER(Tabla_auditoría[[#This Row],[ID_Campaña]]))</f>
        <v>Cmp-029</v>
      </c>
      <c r="O1356" t="str">
        <f>TRIM(PROPER(Tabla_auditoría[[#This Row],[Canal]]))</f>
        <v>Paid Social</v>
      </c>
      <c r="P1356" t="str">
        <f>TRIM(PROPER(Tabla_auditoría[[#This Row],[País]]))</f>
        <v>Francia</v>
      </c>
      <c r="Q1356" t="str">
        <f>TRIM(PROPER(Tabla_auditoría[[#This Row],[Dispositivo]]))</f>
        <v>Desktop</v>
      </c>
      <c r="R1356" t="str">
        <f>TRIM(PROPER(Tabla_auditoría[[#This Row],[Tipo_Campaña]]))</f>
        <v>Conversión</v>
      </c>
      <c r="S1356" t="str">
        <f>TRIM(PROPER(Tabla_auditoría[[#This Row],[Responsable]]))</f>
        <v>Marta López</v>
      </c>
    </row>
    <row r="1357" spans="1:19" x14ac:dyDescent="0.3">
      <c r="A1357" s="1">
        <v>45857</v>
      </c>
      <c r="B1357" s="2" t="s">
        <v>2583</v>
      </c>
      <c r="C1357" s="2" t="s">
        <v>2541</v>
      </c>
      <c r="D1357" s="2" t="s">
        <v>2531</v>
      </c>
      <c r="E1357" s="2" t="s">
        <v>2517</v>
      </c>
      <c r="F1357" s="3">
        <v>57451</v>
      </c>
      <c r="G1357" s="3">
        <v>2814</v>
      </c>
      <c r="H1357" s="3">
        <v>167</v>
      </c>
      <c r="I1357" s="4">
        <v>4567.8</v>
      </c>
      <c r="J1357" s="4">
        <v>9772.56</v>
      </c>
      <c r="K1357" s="3">
        <v>132</v>
      </c>
      <c r="L1357" s="2" t="s">
        <v>2536</v>
      </c>
      <c r="M1357" s="2" t="s">
        <v>2519</v>
      </c>
      <c r="N1357" t="str">
        <f>TRIM(PROPER(Tabla_auditoría[[#This Row],[ID_Campaña]]))</f>
        <v>Cmp-001</v>
      </c>
      <c r="O1357" t="str">
        <f>TRIM(PROPER(Tabla_auditoría[[#This Row],[Canal]]))</f>
        <v>Display</v>
      </c>
      <c r="P1357" t="str">
        <f>TRIM(PROPER(Tabla_auditoría[[#This Row],[País]]))</f>
        <v>Portugal</v>
      </c>
      <c r="Q1357" t="str">
        <f>TRIM(PROPER(Tabla_auditoría[[#This Row],[Dispositivo]]))</f>
        <v>Desktop</v>
      </c>
      <c r="R1357" t="str">
        <f>TRIM(PROPER(Tabla_auditoría[[#This Row],[Tipo_Campaña]]))</f>
        <v>Reconocimiento</v>
      </c>
      <c r="S1357" t="str">
        <f>TRIM(PROPER(Tabla_auditoría[[#This Row],[Responsable]]))</f>
        <v>Carlos Ruiz</v>
      </c>
    </row>
    <row r="1358" spans="1:19" x14ac:dyDescent="0.3">
      <c r="A1358" s="1">
        <v>45870</v>
      </c>
      <c r="B1358" s="2" t="s">
        <v>2544</v>
      </c>
      <c r="C1358" s="2" t="s">
        <v>2515</v>
      </c>
      <c r="D1358" s="2" t="s">
        <v>2516</v>
      </c>
      <c r="E1358" s="2" t="s">
        <v>2529</v>
      </c>
      <c r="F1358" s="3">
        <v>52333</v>
      </c>
      <c r="G1358" s="3">
        <v>4355</v>
      </c>
      <c r="H1358" s="3">
        <v>322</v>
      </c>
      <c r="I1358" s="4">
        <v>1058.74</v>
      </c>
      <c r="J1358" s="4">
        <v>40387.75</v>
      </c>
      <c r="K1358" s="3">
        <v>273</v>
      </c>
      <c r="L1358" s="2" t="s">
        <v>2518</v>
      </c>
      <c r="M1358" s="2" t="s">
        <v>2537</v>
      </c>
      <c r="N1358" t="str">
        <f>TRIM(PROPER(Tabla_auditoría[[#This Row],[ID_Campaña]]))</f>
        <v>Cmp-006</v>
      </c>
      <c r="O1358" t="str">
        <f>TRIM(PROPER(Tabla_auditoría[[#This Row],[Canal]]))</f>
        <v>Email</v>
      </c>
      <c r="P1358" t="str">
        <f>TRIM(PROPER(Tabla_auditoría[[#This Row],[País]]))</f>
        <v>México</v>
      </c>
      <c r="Q1358" t="str">
        <f>TRIM(PROPER(Tabla_auditoría[[#This Row],[Dispositivo]]))</f>
        <v>Mobile</v>
      </c>
      <c r="R1358" t="str">
        <f>TRIM(PROPER(Tabla_auditoría[[#This Row],[Tipo_Campaña]]))</f>
        <v>Adquisición</v>
      </c>
      <c r="S1358" t="str">
        <f>TRIM(PROPER(Tabla_auditoría[[#This Row],[Responsable]]))</f>
        <v>Marta López</v>
      </c>
    </row>
    <row r="1359" spans="1:19" x14ac:dyDescent="0.3">
      <c r="A1359" s="1">
        <v>45997</v>
      </c>
      <c r="B1359" s="2" t="s">
        <v>2514</v>
      </c>
      <c r="C1359" s="2" t="s">
        <v>2515</v>
      </c>
      <c r="D1359" s="2" t="s">
        <v>2528</v>
      </c>
      <c r="E1359" s="2" t="s">
        <v>2517</v>
      </c>
      <c r="F1359" s="3">
        <v>33376</v>
      </c>
      <c r="G1359" s="3">
        <v>2244</v>
      </c>
      <c r="H1359" s="3">
        <v>239</v>
      </c>
      <c r="I1359" s="4">
        <v>2193.23</v>
      </c>
      <c r="J1359" s="4">
        <v>20193.93</v>
      </c>
      <c r="K1359" s="3">
        <v>194</v>
      </c>
      <c r="L1359" s="2" t="s">
        <v>2539</v>
      </c>
      <c r="M1359" s="2" t="s">
        <v>2546</v>
      </c>
      <c r="N1359" t="str">
        <f>TRIM(PROPER(Tabla_auditoría[[#This Row],[ID_Campaña]]))</f>
        <v>Cmp-002</v>
      </c>
      <c r="O1359" t="str">
        <f>TRIM(PROPER(Tabla_auditoría[[#This Row],[Canal]]))</f>
        <v>Email</v>
      </c>
      <c r="P1359" t="str">
        <f>TRIM(PROPER(Tabla_auditoría[[#This Row],[País]]))</f>
        <v>España</v>
      </c>
      <c r="Q1359" t="str">
        <f>TRIM(PROPER(Tabla_auditoría[[#This Row],[Dispositivo]]))</f>
        <v>Desktop</v>
      </c>
      <c r="R1359" t="str">
        <f>TRIM(PROPER(Tabla_auditoría[[#This Row],[Tipo_Campaña]]))</f>
        <v>Conversión</v>
      </c>
      <c r="S1359" t="str">
        <f>TRIM(PROPER(Tabla_auditoría[[#This Row],[Responsable]]))</f>
        <v>Ana García</v>
      </c>
    </row>
    <row r="1360" spans="1:19" x14ac:dyDescent="0.3">
      <c r="A1360" s="1">
        <v>45855</v>
      </c>
      <c r="B1360" s="2" t="s">
        <v>2554</v>
      </c>
      <c r="C1360" s="2" t="s">
        <v>2527</v>
      </c>
      <c r="D1360" s="2" t="s">
        <v>2516</v>
      </c>
      <c r="E1360" s="2" t="s">
        <v>2517</v>
      </c>
      <c r="F1360" s="3">
        <v>150401</v>
      </c>
      <c r="G1360" s="3">
        <v>1049</v>
      </c>
      <c r="H1360" s="3">
        <v>58</v>
      </c>
      <c r="I1360" s="4">
        <v>223.74</v>
      </c>
      <c r="J1360" s="4">
        <v>11625.8</v>
      </c>
      <c r="K1360" s="3">
        <v>33</v>
      </c>
      <c r="L1360" s="2" t="s">
        <v>2518</v>
      </c>
      <c r="M1360" s="2" t="s">
        <v>2546</v>
      </c>
      <c r="N1360" t="str">
        <f>TRIM(PROPER(Tabla_auditoría[[#This Row],[ID_Campaña]]))</f>
        <v>Cmp-019</v>
      </c>
      <c r="O1360" t="str">
        <f>TRIM(PROPER(Tabla_auditoría[[#This Row],[Canal]]))</f>
        <v>Affiliate</v>
      </c>
      <c r="P1360" t="str">
        <f>TRIM(PROPER(Tabla_auditoría[[#This Row],[País]]))</f>
        <v>México</v>
      </c>
      <c r="Q1360" t="str">
        <f>TRIM(PROPER(Tabla_auditoría[[#This Row],[Dispositivo]]))</f>
        <v>Desktop</v>
      </c>
      <c r="R1360" t="str">
        <f>TRIM(PROPER(Tabla_auditoría[[#This Row],[Tipo_Campaña]]))</f>
        <v>Adquisición</v>
      </c>
      <c r="S1360" t="str">
        <f>TRIM(PROPER(Tabla_auditoría[[#This Row],[Responsable]]))</f>
        <v>Ana García</v>
      </c>
    </row>
    <row r="1361" spans="1:19" x14ac:dyDescent="0.3">
      <c r="A1361" s="1">
        <v>45686</v>
      </c>
      <c r="B1361" s="2" t="s">
        <v>2551</v>
      </c>
      <c r="C1361" s="2" t="s">
        <v>2527</v>
      </c>
      <c r="D1361" s="2" t="s">
        <v>2525</v>
      </c>
      <c r="E1361" s="2" t="s">
        <v>2517</v>
      </c>
      <c r="F1361" s="3">
        <v>167137</v>
      </c>
      <c r="G1361" s="3">
        <v>13537</v>
      </c>
      <c r="H1361" s="3">
        <v>1281</v>
      </c>
      <c r="I1361" s="4">
        <v>15796.99</v>
      </c>
      <c r="J1361" s="4">
        <v>57997.36</v>
      </c>
      <c r="K1361" s="3">
        <v>896</v>
      </c>
      <c r="L1361" s="2" t="s">
        <v>2536</v>
      </c>
      <c r="M1361" s="2" t="s">
        <v>2519</v>
      </c>
      <c r="N1361" t="str">
        <f>TRIM(PROPER(Tabla_auditoría[[#This Row],[ID_Campaña]]))</f>
        <v>Cmp-028</v>
      </c>
      <c r="O1361" t="str">
        <f>TRIM(PROPER(Tabla_auditoría[[#This Row],[Canal]]))</f>
        <v>Affiliate</v>
      </c>
      <c r="P1361" t="str">
        <f>TRIM(PROPER(Tabla_auditoría[[#This Row],[País]]))</f>
        <v>Francia</v>
      </c>
      <c r="Q1361" t="str">
        <f>TRIM(PROPER(Tabla_auditoría[[#This Row],[Dispositivo]]))</f>
        <v>Desktop</v>
      </c>
      <c r="R1361" t="str">
        <f>TRIM(PROPER(Tabla_auditoría[[#This Row],[Tipo_Campaña]]))</f>
        <v>Reconocimiento</v>
      </c>
      <c r="S1361" t="str">
        <f>TRIM(PROPER(Tabla_auditoría[[#This Row],[Responsable]]))</f>
        <v>Carlos Ruiz</v>
      </c>
    </row>
    <row r="1362" spans="1:19" x14ac:dyDescent="0.3">
      <c r="A1362" s="1">
        <v>45908</v>
      </c>
      <c r="B1362" s="2" t="s">
        <v>2564</v>
      </c>
      <c r="C1362" s="2" t="s">
        <v>2543</v>
      </c>
      <c r="D1362" s="2" t="s">
        <v>2525</v>
      </c>
      <c r="E1362" s="2" t="s">
        <v>2517</v>
      </c>
      <c r="F1362" s="3">
        <v>168137</v>
      </c>
      <c r="G1362" s="3">
        <v>13438</v>
      </c>
      <c r="H1362" s="3">
        <v>682</v>
      </c>
      <c r="I1362" s="4">
        <v>15331.58</v>
      </c>
      <c r="J1362" s="4">
        <v>77399.08</v>
      </c>
      <c r="K1362" s="3">
        <v>596</v>
      </c>
      <c r="L1362" s="2" t="s">
        <v>2536</v>
      </c>
      <c r="M1362" s="2" t="s">
        <v>2519</v>
      </c>
      <c r="N1362" t="str">
        <f>TRIM(PROPER(Tabla_auditoría[[#This Row],[ID_Campaña]]))</f>
        <v>Cmp-024</v>
      </c>
      <c r="O1362" t="str">
        <f>TRIM(PROPER(Tabla_auditoría[[#This Row],[Canal]]))</f>
        <v>Organic Social</v>
      </c>
      <c r="P1362" t="str">
        <f>TRIM(PROPER(Tabla_auditoría[[#This Row],[País]]))</f>
        <v>Francia</v>
      </c>
      <c r="Q1362" t="str">
        <f>TRIM(PROPER(Tabla_auditoría[[#This Row],[Dispositivo]]))</f>
        <v>Desktop</v>
      </c>
      <c r="R1362" t="str">
        <f>TRIM(PROPER(Tabla_auditoría[[#This Row],[Tipo_Campaña]]))</f>
        <v>Reconocimiento</v>
      </c>
      <c r="S1362" t="str">
        <f>TRIM(PROPER(Tabla_auditoría[[#This Row],[Responsable]]))</f>
        <v>Carlos Ruiz</v>
      </c>
    </row>
    <row r="1363" spans="1:19" x14ac:dyDescent="0.3">
      <c r="A1363" s="1">
        <v>45874</v>
      </c>
      <c r="B1363" s="2" t="s">
        <v>2563</v>
      </c>
      <c r="C1363" s="2" t="s">
        <v>2533</v>
      </c>
      <c r="D1363" s="2" t="s">
        <v>2522</v>
      </c>
      <c r="E1363" s="2" t="s">
        <v>2534</v>
      </c>
      <c r="F1363" s="3">
        <v>32703</v>
      </c>
      <c r="G1363" s="3">
        <v>1953</v>
      </c>
      <c r="H1363" s="3">
        <v>160</v>
      </c>
      <c r="I1363" s="4">
        <v>3285.02</v>
      </c>
      <c r="J1363" s="4">
        <v>3579.6</v>
      </c>
      <c r="K1363" s="3">
        <v>102</v>
      </c>
      <c r="L1363" s="2" t="s">
        <v>2539</v>
      </c>
      <c r="M1363" s="2" t="s">
        <v>2526</v>
      </c>
      <c r="N1363" t="str">
        <f>TRIM(PROPER(Tabla_auditoría[[#This Row],[ID_Campaña]]))</f>
        <v>Cmp-023</v>
      </c>
      <c r="O1363" t="str">
        <f>TRIM(PROPER(Tabla_auditoría[[#This Row],[Canal]]))</f>
        <v>Paid Social</v>
      </c>
      <c r="P1363" t="str">
        <f>TRIM(PROPER(Tabla_auditoría[[#This Row],[País]]))</f>
        <v>Italia</v>
      </c>
      <c r="Q1363" t="str">
        <f>TRIM(PROPER(Tabla_auditoría[[#This Row],[Dispositivo]]))</f>
        <v>Tablet</v>
      </c>
      <c r="R1363" t="str">
        <f>TRIM(PROPER(Tabla_auditoría[[#This Row],[Tipo_Campaña]]))</f>
        <v>Conversión</v>
      </c>
      <c r="S1363" t="str">
        <f>TRIM(PROPER(Tabla_auditoría[[#This Row],[Responsable]]))</f>
        <v>Laura Pérez</v>
      </c>
    </row>
    <row r="1364" spans="1:19" x14ac:dyDescent="0.3">
      <c r="A1364" s="1">
        <v>46017</v>
      </c>
      <c r="B1364" s="2" t="s">
        <v>2564</v>
      </c>
      <c r="C1364" s="2" t="s">
        <v>2541</v>
      </c>
      <c r="D1364" s="2" t="s">
        <v>2531</v>
      </c>
      <c r="E1364" s="2" t="s">
        <v>2517</v>
      </c>
      <c r="F1364" s="3">
        <v>49015</v>
      </c>
      <c r="G1364" s="3">
        <v>4409</v>
      </c>
      <c r="H1364" s="3">
        <v>392</v>
      </c>
      <c r="I1364" s="4">
        <v>1202.1600000000001</v>
      </c>
      <c r="J1364" s="4">
        <v>15116.88</v>
      </c>
      <c r="K1364" s="3">
        <v>178</v>
      </c>
      <c r="L1364" s="2" t="s">
        <v>2539</v>
      </c>
      <c r="M1364" s="2" t="s">
        <v>2546</v>
      </c>
      <c r="N1364" t="str">
        <f>TRIM(PROPER(Tabla_auditoría[[#This Row],[ID_Campaña]]))</f>
        <v>Cmp-024</v>
      </c>
      <c r="O1364" t="str">
        <f>TRIM(PROPER(Tabla_auditoría[[#This Row],[Canal]]))</f>
        <v>Display</v>
      </c>
      <c r="P1364" t="str">
        <f>TRIM(PROPER(Tabla_auditoría[[#This Row],[País]]))</f>
        <v>Portugal</v>
      </c>
      <c r="Q1364" t="str">
        <f>TRIM(PROPER(Tabla_auditoría[[#This Row],[Dispositivo]]))</f>
        <v>Desktop</v>
      </c>
      <c r="R1364" t="str">
        <f>TRIM(PROPER(Tabla_auditoría[[#This Row],[Tipo_Campaña]]))</f>
        <v>Conversión</v>
      </c>
      <c r="S1364" t="str">
        <f>TRIM(PROPER(Tabla_auditoría[[#This Row],[Responsable]]))</f>
        <v>Ana García</v>
      </c>
    </row>
    <row r="1365" spans="1:19" x14ac:dyDescent="0.3">
      <c r="A1365" s="1">
        <v>45716</v>
      </c>
      <c r="B1365" s="2" t="s">
        <v>2560</v>
      </c>
      <c r="C1365" s="2" t="s">
        <v>2543</v>
      </c>
      <c r="D1365" s="2" t="s">
        <v>2528</v>
      </c>
      <c r="E1365" s="2" t="s">
        <v>2517</v>
      </c>
      <c r="F1365" s="3">
        <v>21520</v>
      </c>
      <c r="G1365" s="3">
        <v>1699</v>
      </c>
      <c r="H1365" s="3">
        <v>187</v>
      </c>
      <c r="I1365" s="4">
        <v>2157.48</v>
      </c>
      <c r="J1365" s="4">
        <v>32714.11</v>
      </c>
      <c r="K1365" s="3">
        <v>148</v>
      </c>
      <c r="L1365" s="2" t="s">
        <v>2539</v>
      </c>
      <c r="M1365" s="2" t="s">
        <v>2524</v>
      </c>
      <c r="N1365" t="str">
        <f>TRIM(PROPER(Tabla_auditoría[[#This Row],[ID_Campaña]]))</f>
        <v>Cmp-027</v>
      </c>
      <c r="O1365" t="str">
        <f>TRIM(PROPER(Tabla_auditoría[[#This Row],[Canal]]))</f>
        <v>Organic Social</v>
      </c>
      <c r="P1365" t="str">
        <f>TRIM(PROPER(Tabla_auditoría[[#This Row],[País]]))</f>
        <v>España</v>
      </c>
      <c r="Q1365" t="str">
        <f>TRIM(PROPER(Tabla_auditoría[[#This Row],[Dispositivo]]))</f>
        <v>Desktop</v>
      </c>
      <c r="R1365" t="str">
        <f>TRIM(PROPER(Tabla_auditoría[[#This Row],[Tipo_Campaña]]))</f>
        <v>Conversión</v>
      </c>
      <c r="S1365" t="str">
        <f>TRIM(PROPER(Tabla_auditoría[[#This Row],[Responsable]]))</f>
        <v>Luis Martín</v>
      </c>
    </row>
    <row r="1366" spans="1:19" x14ac:dyDescent="0.3">
      <c r="A1366" s="1">
        <v>45717</v>
      </c>
      <c r="B1366" s="2" t="s">
        <v>2569</v>
      </c>
      <c r="C1366" s="2" t="s">
        <v>2543</v>
      </c>
      <c r="D1366" s="2" t="s">
        <v>2516</v>
      </c>
      <c r="E1366" s="2" t="s">
        <v>2517</v>
      </c>
      <c r="F1366" s="3">
        <v>67163</v>
      </c>
      <c r="G1366" s="3">
        <v>5572</v>
      </c>
      <c r="H1366" s="3">
        <v>658</v>
      </c>
      <c r="I1366" s="4">
        <v>6390.58</v>
      </c>
      <c r="J1366" s="4">
        <v>72534.09</v>
      </c>
      <c r="K1366" s="3">
        <v>529</v>
      </c>
      <c r="L1366" s="2" t="s">
        <v>2536</v>
      </c>
      <c r="M1366" s="2" t="s">
        <v>2537</v>
      </c>
      <c r="N1366" t="str">
        <f>TRIM(PROPER(Tabla_auditoría[[#This Row],[ID_Campaña]]))</f>
        <v>Cmp-013</v>
      </c>
      <c r="O1366" t="str">
        <f>TRIM(PROPER(Tabla_auditoría[[#This Row],[Canal]]))</f>
        <v>Organic Social</v>
      </c>
      <c r="P1366" t="str">
        <f>TRIM(PROPER(Tabla_auditoría[[#This Row],[País]]))</f>
        <v>México</v>
      </c>
      <c r="Q1366" t="str">
        <f>TRIM(PROPER(Tabla_auditoría[[#This Row],[Dispositivo]]))</f>
        <v>Desktop</v>
      </c>
      <c r="R1366" t="str">
        <f>TRIM(PROPER(Tabla_auditoría[[#This Row],[Tipo_Campaña]]))</f>
        <v>Reconocimiento</v>
      </c>
      <c r="S1366" t="str">
        <f>TRIM(PROPER(Tabla_auditoría[[#This Row],[Responsable]]))</f>
        <v>Marta López</v>
      </c>
    </row>
    <row r="1367" spans="1:19" x14ac:dyDescent="0.3">
      <c r="A1367" s="1">
        <v>45811</v>
      </c>
      <c r="B1367" s="2" t="s">
        <v>2567</v>
      </c>
      <c r="C1367" s="2" t="s">
        <v>2515</v>
      </c>
      <c r="D1367" s="2" t="s">
        <v>2525</v>
      </c>
      <c r="E1367" s="2" t="s">
        <v>2529</v>
      </c>
      <c r="F1367" s="3">
        <v>175538</v>
      </c>
      <c r="G1367" s="3">
        <v>6234</v>
      </c>
      <c r="H1367" s="3">
        <v>374</v>
      </c>
      <c r="I1367" s="4">
        <v>12125.44</v>
      </c>
      <c r="J1367" s="4">
        <v>15140.83</v>
      </c>
      <c r="K1367" s="3">
        <v>269</v>
      </c>
      <c r="L1367" s="2" t="s">
        <v>2539</v>
      </c>
      <c r="M1367" s="2" t="s">
        <v>2526</v>
      </c>
      <c r="N1367" t="str">
        <f>TRIM(PROPER(Tabla_auditoría[[#This Row],[ID_Campaña]]))</f>
        <v>Cmp-021</v>
      </c>
      <c r="O1367" t="str">
        <f>TRIM(PROPER(Tabla_auditoría[[#This Row],[Canal]]))</f>
        <v>Email</v>
      </c>
      <c r="P1367" t="str">
        <f>TRIM(PROPER(Tabla_auditoría[[#This Row],[País]]))</f>
        <v>Francia</v>
      </c>
      <c r="Q1367" t="str">
        <f>TRIM(PROPER(Tabla_auditoría[[#This Row],[Dispositivo]]))</f>
        <v>Mobile</v>
      </c>
      <c r="R1367" t="str">
        <f>TRIM(PROPER(Tabla_auditoría[[#This Row],[Tipo_Campaña]]))</f>
        <v>Conversión</v>
      </c>
      <c r="S1367" t="str">
        <f>TRIM(PROPER(Tabla_auditoría[[#This Row],[Responsable]]))</f>
        <v>Laura Pérez</v>
      </c>
    </row>
    <row r="1368" spans="1:19" x14ac:dyDescent="0.3">
      <c r="A1368" s="1">
        <v>45877</v>
      </c>
      <c r="B1368" s="2" t="s">
        <v>2571</v>
      </c>
      <c r="C1368" s="2" t="s">
        <v>2515</v>
      </c>
      <c r="D1368" s="2" t="s">
        <v>2525</v>
      </c>
      <c r="E1368" s="2" t="s">
        <v>2529</v>
      </c>
      <c r="F1368" s="3">
        <v>12581</v>
      </c>
      <c r="G1368" s="3">
        <v>248</v>
      </c>
      <c r="H1368" s="3">
        <v>3</v>
      </c>
      <c r="I1368" s="4">
        <v>344.53</v>
      </c>
      <c r="J1368" s="4">
        <v>512.78</v>
      </c>
      <c r="K1368" s="3">
        <v>2</v>
      </c>
      <c r="L1368" s="2" t="s">
        <v>2523</v>
      </c>
      <c r="M1368" s="2" t="s">
        <v>2524</v>
      </c>
      <c r="N1368" t="str">
        <f>TRIM(PROPER(Tabla_auditoría[[#This Row],[ID_Campaña]]))</f>
        <v>Cmp-029</v>
      </c>
      <c r="O1368" t="str">
        <f>TRIM(PROPER(Tabla_auditoría[[#This Row],[Canal]]))</f>
        <v>Email</v>
      </c>
      <c r="P1368" t="str">
        <f>TRIM(PROPER(Tabla_auditoría[[#This Row],[País]]))</f>
        <v>Francia</v>
      </c>
      <c r="Q1368" t="str">
        <f>TRIM(PROPER(Tabla_auditoría[[#This Row],[Dispositivo]]))</f>
        <v>Mobile</v>
      </c>
      <c r="R1368" t="str">
        <f>TRIM(PROPER(Tabla_auditoría[[#This Row],[Tipo_Campaña]]))</f>
        <v>Retención</v>
      </c>
      <c r="S1368" t="str">
        <f>TRIM(PROPER(Tabla_auditoría[[#This Row],[Responsable]]))</f>
        <v>Luis Martín</v>
      </c>
    </row>
    <row r="1369" spans="1:19" x14ac:dyDescent="0.3">
      <c r="A1369" s="1">
        <v>45986</v>
      </c>
      <c r="B1369" s="2" t="s">
        <v>2535</v>
      </c>
      <c r="C1369" s="2" t="s">
        <v>2541</v>
      </c>
      <c r="D1369" s="2" t="s">
        <v>2528</v>
      </c>
      <c r="E1369" s="2" t="s">
        <v>2517</v>
      </c>
      <c r="F1369" s="3">
        <v>127330</v>
      </c>
      <c r="G1369" s="3">
        <v>9608</v>
      </c>
      <c r="H1369" s="3">
        <v>1307</v>
      </c>
      <c r="I1369" s="4">
        <v>3866.57</v>
      </c>
      <c r="J1369" s="4">
        <v>117468.13</v>
      </c>
      <c r="K1369" s="3">
        <v>672</v>
      </c>
      <c r="L1369" s="2" t="s">
        <v>2518</v>
      </c>
      <c r="M1369" s="2" t="s">
        <v>2546</v>
      </c>
      <c r="N1369" t="str">
        <f>TRIM(PROPER(Tabla_auditoría[[#This Row],[ID_Campaña]]))</f>
        <v>Cmp-015</v>
      </c>
      <c r="O1369" t="str">
        <f>TRIM(PROPER(Tabla_auditoría[[#This Row],[Canal]]))</f>
        <v>Display</v>
      </c>
      <c r="P1369" t="str">
        <f>TRIM(PROPER(Tabla_auditoría[[#This Row],[País]]))</f>
        <v>España</v>
      </c>
      <c r="Q1369" t="str">
        <f>TRIM(PROPER(Tabla_auditoría[[#This Row],[Dispositivo]]))</f>
        <v>Desktop</v>
      </c>
      <c r="R1369" t="str">
        <f>TRIM(PROPER(Tabla_auditoría[[#This Row],[Tipo_Campaña]]))</f>
        <v>Adquisición</v>
      </c>
      <c r="S1369" t="str">
        <f>TRIM(PROPER(Tabla_auditoría[[#This Row],[Responsable]]))</f>
        <v>Ana García</v>
      </c>
    </row>
    <row r="1370" spans="1:19" x14ac:dyDescent="0.3">
      <c r="A1370" s="1">
        <v>45694</v>
      </c>
      <c r="B1370" s="2" t="s">
        <v>2569</v>
      </c>
      <c r="C1370" s="2" t="s">
        <v>2515</v>
      </c>
      <c r="D1370" s="2" t="s">
        <v>2528</v>
      </c>
      <c r="E1370" s="2" t="s">
        <v>2529</v>
      </c>
      <c r="F1370" s="3">
        <v>50484</v>
      </c>
      <c r="G1370" s="3">
        <v>2739</v>
      </c>
      <c r="H1370" s="3">
        <v>168</v>
      </c>
      <c r="I1370" s="4">
        <v>893.63</v>
      </c>
      <c r="J1370" s="4">
        <v>15349.97</v>
      </c>
      <c r="K1370" s="3">
        <v>85</v>
      </c>
      <c r="L1370" s="2" t="s">
        <v>2518</v>
      </c>
      <c r="M1370" s="2" t="s">
        <v>2524</v>
      </c>
      <c r="N1370" t="str">
        <f>TRIM(PROPER(Tabla_auditoría[[#This Row],[ID_Campaña]]))</f>
        <v>Cmp-013</v>
      </c>
      <c r="O1370" t="str">
        <f>TRIM(PROPER(Tabla_auditoría[[#This Row],[Canal]]))</f>
        <v>Email</v>
      </c>
      <c r="P1370" t="str">
        <f>TRIM(PROPER(Tabla_auditoría[[#This Row],[País]]))</f>
        <v>España</v>
      </c>
      <c r="Q1370" t="str">
        <f>TRIM(PROPER(Tabla_auditoría[[#This Row],[Dispositivo]]))</f>
        <v>Mobile</v>
      </c>
      <c r="R1370" t="str">
        <f>TRIM(PROPER(Tabla_auditoría[[#This Row],[Tipo_Campaña]]))</f>
        <v>Adquisición</v>
      </c>
      <c r="S1370" t="str">
        <f>TRIM(PROPER(Tabla_auditoría[[#This Row],[Responsable]]))</f>
        <v>Luis Martín</v>
      </c>
    </row>
    <row r="1371" spans="1:19" x14ac:dyDescent="0.3">
      <c r="A1371" s="1">
        <v>45938</v>
      </c>
      <c r="B1371" s="2" t="s">
        <v>2550</v>
      </c>
      <c r="C1371" s="2" t="s">
        <v>2533</v>
      </c>
      <c r="D1371" s="2" t="s">
        <v>2525</v>
      </c>
      <c r="E1371" s="2" t="s">
        <v>2517</v>
      </c>
      <c r="F1371" s="3">
        <v>122042</v>
      </c>
      <c r="G1371" s="3">
        <v>1700</v>
      </c>
      <c r="H1371" s="3">
        <v>55</v>
      </c>
      <c r="I1371" s="4">
        <v>953.51</v>
      </c>
      <c r="J1371" s="4">
        <v>2839.69</v>
      </c>
      <c r="K1371" s="3">
        <v>43</v>
      </c>
      <c r="L1371" s="2" t="s">
        <v>2523</v>
      </c>
      <c r="M1371" s="2" t="s">
        <v>2546</v>
      </c>
      <c r="N1371" t="str">
        <f>TRIM(PROPER(Tabla_auditoría[[#This Row],[ID_Campaña]]))</f>
        <v>Cmp-008</v>
      </c>
      <c r="O1371" t="str">
        <f>TRIM(PROPER(Tabla_auditoría[[#This Row],[Canal]]))</f>
        <v>Paid Social</v>
      </c>
      <c r="P1371" t="str">
        <f>TRIM(PROPER(Tabla_auditoría[[#This Row],[País]]))</f>
        <v>Francia</v>
      </c>
      <c r="Q1371" t="str">
        <f>TRIM(PROPER(Tabla_auditoría[[#This Row],[Dispositivo]]))</f>
        <v>Desktop</v>
      </c>
      <c r="R1371" t="str">
        <f>TRIM(PROPER(Tabla_auditoría[[#This Row],[Tipo_Campaña]]))</f>
        <v>Retención</v>
      </c>
      <c r="S1371" t="str">
        <f>TRIM(PROPER(Tabla_auditoría[[#This Row],[Responsable]]))</f>
        <v>Ana García</v>
      </c>
    </row>
    <row r="1372" spans="1:19" x14ac:dyDescent="0.3">
      <c r="A1372" s="1">
        <v>45879</v>
      </c>
      <c r="B1372" s="2" t="s">
        <v>2540</v>
      </c>
      <c r="C1372" s="2" t="s">
        <v>2543</v>
      </c>
      <c r="D1372" s="2" t="s">
        <v>2516</v>
      </c>
      <c r="E1372" s="2" t="s">
        <v>2517</v>
      </c>
      <c r="F1372" s="3">
        <v>41714</v>
      </c>
      <c r="G1372" s="3">
        <v>2447</v>
      </c>
      <c r="H1372" s="3">
        <v>192</v>
      </c>
      <c r="I1372" s="4">
        <v>2109.44</v>
      </c>
      <c r="J1372" s="4">
        <v>34702.43</v>
      </c>
      <c r="K1372" s="3">
        <v>127</v>
      </c>
      <c r="L1372" s="2" t="s">
        <v>2536</v>
      </c>
      <c r="M1372" s="2" t="s">
        <v>2526</v>
      </c>
      <c r="N1372" t="str">
        <f>TRIM(PROPER(Tabla_auditoría[[#This Row],[ID_Campaña]]))</f>
        <v>Cmp-017</v>
      </c>
      <c r="O1372" t="str">
        <f>TRIM(PROPER(Tabla_auditoría[[#This Row],[Canal]]))</f>
        <v>Organic Social</v>
      </c>
      <c r="P1372" t="str">
        <f>TRIM(PROPER(Tabla_auditoría[[#This Row],[País]]))</f>
        <v>México</v>
      </c>
      <c r="Q1372" t="str">
        <f>TRIM(PROPER(Tabla_auditoría[[#This Row],[Dispositivo]]))</f>
        <v>Desktop</v>
      </c>
      <c r="R1372" t="str">
        <f>TRIM(PROPER(Tabla_auditoría[[#This Row],[Tipo_Campaña]]))</f>
        <v>Reconocimiento</v>
      </c>
      <c r="S1372" t="str">
        <f>TRIM(PROPER(Tabla_auditoría[[#This Row],[Responsable]]))</f>
        <v>Laura Pérez</v>
      </c>
    </row>
    <row r="1373" spans="1:19" x14ac:dyDescent="0.3">
      <c r="A1373" s="1">
        <v>45812</v>
      </c>
      <c r="B1373" s="2" t="s">
        <v>2551</v>
      </c>
      <c r="C1373" s="2" t="s">
        <v>2543</v>
      </c>
      <c r="D1373" s="2" t="s">
        <v>2522</v>
      </c>
      <c r="E1373" s="2" t="s">
        <v>2529</v>
      </c>
      <c r="F1373" s="3">
        <v>37969</v>
      </c>
      <c r="G1373" s="3">
        <v>499</v>
      </c>
      <c r="H1373" s="3">
        <v>44</v>
      </c>
      <c r="I1373" s="4">
        <v>311.64999999999998</v>
      </c>
      <c r="J1373" s="4">
        <v>5166.9399999999996</v>
      </c>
      <c r="K1373" s="3">
        <v>32</v>
      </c>
      <c r="L1373" s="2" t="s">
        <v>2536</v>
      </c>
      <c r="M1373" s="2" t="s">
        <v>2546</v>
      </c>
      <c r="N1373" t="str">
        <f>TRIM(PROPER(Tabla_auditoría[[#This Row],[ID_Campaña]]))</f>
        <v>Cmp-028</v>
      </c>
      <c r="O1373" t="str">
        <f>TRIM(PROPER(Tabla_auditoría[[#This Row],[Canal]]))</f>
        <v>Organic Social</v>
      </c>
      <c r="P1373" t="str">
        <f>TRIM(PROPER(Tabla_auditoría[[#This Row],[País]]))</f>
        <v>Italia</v>
      </c>
      <c r="Q1373" t="str">
        <f>TRIM(PROPER(Tabla_auditoría[[#This Row],[Dispositivo]]))</f>
        <v>Mobile</v>
      </c>
      <c r="R1373" t="str">
        <f>TRIM(PROPER(Tabla_auditoría[[#This Row],[Tipo_Campaña]]))</f>
        <v>Reconocimiento</v>
      </c>
      <c r="S1373" t="str">
        <f>TRIM(PROPER(Tabla_auditoría[[#This Row],[Responsable]]))</f>
        <v>Ana García</v>
      </c>
    </row>
    <row r="1374" spans="1:19" x14ac:dyDescent="0.3">
      <c r="A1374" s="1">
        <v>45944</v>
      </c>
      <c r="B1374" s="2" t="s">
        <v>2544</v>
      </c>
      <c r="C1374" s="2" t="s">
        <v>2543</v>
      </c>
      <c r="D1374" s="2" t="s">
        <v>2525</v>
      </c>
      <c r="E1374" s="2" t="s">
        <v>2529</v>
      </c>
      <c r="F1374" s="3">
        <v>43647</v>
      </c>
      <c r="G1374" s="3">
        <v>1660</v>
      </c>
      <c r="H1374" s="3">
        <v>221</v>
      </c>
      <c r="I1374" s="4">
        <v>546.53</v>
      </c>
      <c r="J1374" s="4">
        <v>22738.5</v>
      </c>
      <c r="K1374" s="3">
        <v>172</v>
      </c>
      <c r="L1374" s="2" t="s">
        <v>2539</v>
      </c>
      <c r="M1374" s="2" t="s">
        <v>2519</v>
      </c>
      <c r="N1374" t="str">
        <f>TRIM(PROPER(Tabla_auditoría[[#This Row],[ID_Campaña]]))</f>
        <v>Cmp-006</v>
      </c>
      <c r="O1374" t="str">
        <f>TRIM(PROPER(Tabla_auditoría[[#This Row],[Canal]]))</f>
        <v>Organic Social</v>
      </c>
      <c r="P1374" t="str">
        <f>TRIM(PROPER(Tabla_auditoría[[#This Row],[País]]))</f>
        <v>Francia</v>
      </c>
      <c r="Q1374" t="str">
        <f>TRIM(PROPER(Tabla_auditoría[[#This Row],[Dispositivo]]))</f>
        <v>Mobile</v>
      </c>
      <c r="R1374" t="str">
        <f>TRIM(PROPER(Tabla_auditoría[[#This Row],[Tipo_Campaña]]))</f>
        <v>Conversión</v>
      </c>
      <c r="S1374" t="str">
        <f>TRIM(PROPER(Tabla_auditoría[[#This Row],[Responsable]]))</f>
        <v>Carlos Ruiz</v>
      </c>
    </row>
    <row r="1375" spans="1:19" x14ac:dyDescent="0.3">
      <c r="A1375" s="1">
        <v>46007</v>
      </c>
      <c r="B1375" s="2" t="s">
        <v>2532</v>
      </c>
      <c r="C1375" s="2" t="s">
        <v>2527</v>
      </c>
      <c r="D1375" s="2" t="s">
        <v>2528</v>
      </c>
      <c r="E1375" s="2" t="s">
        <v>2517</v>
      </c>
      <c r="F1375" s="3">
        <v>60005</v>
      </c>
      <c r="G1375" s="3">
        <v>3694</v>
      </c>
      <c r="H1375" s="3">
        <v>27</v>
      </c>
      <c r="I1375" s="4">
        <v>937.12</v>
      </c>
      <c r="J1375" s="4">
        <v>5669.27</v>
      </c>
      <c r="K1375" s="3">
        <v>19</v>
      </c>
      <c r="L1375" s="2" t="s">
        <v>2536</v>
      </c>
      <c r="M1375" s="2" t="s">
        <v>2537</v>
      </c>
      <c r="N1375" t="str">
        <f>TRIM(PROPER(Tabla_auditoría[[#This Row],[ID_Campaña]]))</f>
        <v>Cmp-022</v>
      </c>
      <c r="O1375" t="str">
        <f>TRIM(PROPER(Tabla_auditoría[[#This Row],[Canal]]))</f>
        <v>Affiliate</v>
      </c>
      <c r="P1375" t="str">
        <f>TRIM(PROPER(Tabla_auditoría[[#This Row],[País]]))</f>
        <v>España</v>
      </c>
      <c r="Q1375" t="str">
        <f>TRIM(PROPER(Tabla_auditoría[[#This Row],[Dispositivo]]))</f>
        <v>Desktop</v>
      </c>
      <c r="R1375" t="str">
        <f>TRIM(PROPER(Tabla_auditoría[[#This Row],[Tipo_Campaña]]))</f>
        <v>Reconocimiento</v>
      </c>
      <c r="S1375" t="str">
        <f>TRIM(PROPER(Tabla_auditoría[[#This Row],[Responsable]]))</f>
        <v>Marta López</v>
      </c>
    </row>
    <row r="1376" spans="1:19" x14ac:dyDescent="0.3">
      <c r="A1376" s="1">
        <v>45771</v>
      </c>
      <c r="B1376" s="2" t="s">
        <v>2551</v>
      </c>
      <c r="C1376" s="2" t="s">
        <v>2543</v>
      </c>
      <c r="D1376" s="2" t="s">
        <v>2522</v>
      </c>
      <c r="E1376" s="2" t="s">
        <v>2517</v>
      </c>
      <c r="F1376" s="3">
        <v>25943</v>
      </c>
      <c r="G1376" s="3">
        <v>357</v>
      </c>
      <c r="H1376" s="3">
        <v>42</v>
      </c>
      <c r="I1376" s="4">
        <v>747.3</v>
      </c>
      <c r="J1376" s="4">
        <v>3798.21</v>
      </c>
      <c r="K1376" s="3">
        <v>30</v>
      </c>
      <c r="L1376" s="2" t="s">
        <v>2518</v>
      </c>
      <c r="M1376" s="2" t="s">
        <v>2524</v>
      </c>
      <c r="N1376" t="str">
        <f>TRIM(PROPER(Tabla_auditoría[[#This Row],[ID_Campaña]]))</f>
        <v>Cmp-028</v>
      </c>
      <c r="O1376" t="str">
        <f>TRIM(PROPER(Tabla_auditoría[[#This Row],[Canal]]))</f>
        <v>Organic Social</v>
      </c>
      <c r="P1376" t="str">
        <f>TRIM(PROPER(Tabla_auditoría[[#This Row],[País]]))</f>
        <v>Italia</v>
      </c>
      <c r="Q1376" t="str">
        <f>TRIM(PROPER(Tabla_auditoría[[#This Row],[Dispositivo]]))</f>
        <v>Desktop</v>
      </c>
      <c r="R1376" t="str">
        <f>TRIM(PROPER(Tabla_auditoría[[#This Row],[Tipo_Campaña]]))</f>
        <v>Adquisición</v>
      </c>
      <c r="S1376" t="str">
        <f>TRIM(PROPER(Tabla_auditoría[[#This Row],[Responsable]]))</f>
        <v>Luis Martín</v>
      </c>
    </row>
    <row r="1377" spans="1:19" x14ac:dyDescent="0.3">
      <c r="A1377" s="1">
        <v>45988</v>
      </c>
      <c r="B1377" s="2" t="s">
        <v>2535</v>
      </c>
      <c r="C1377" s="2" t="s">
        <v>2541</v>
      </c>
      <c r="D1377" s="2" t="s">
        <v>2516</v>
      </c>
      <c r="E1377" s="2" t="s">
        <v>2517</v>
      </c>
      <c r="F1377" s="3">
        <v>131623</v>
      </c>
      <c r="G1377" s="3">
        <v>1844</v>
      </c>
      <c r="H1377" s="3">
        <v>60</v>
      </c>
      <c r="I1377" s="4">
        <v>903.93</v>
      </c>
      <c r="J1377" s="4">
        <v>9082.85</v>
      </c>
      <c r="K1377" s="3">
        <v>28</v>
      </c>
      <c r="L1377" s="2" t="s">
        <v>2536</v>
      </c>
      <c r="M1377" s="2" t="s">
        <v>2526</v>
      </c>
      <c r="N1377" t="str">
        <f>TRIM(PROPER(Tabla_auditoría[[#This Row],[ID_Campaña]]))</f>
        <v>Cmp-015</v>
      </c>
      <c r="O1377" t="str">
        <f>TRIM(PROPER(Tabla_auditoría[[#This Row],[Canal]]))</f>
        <v>Display</v>
      </c>
      <c r="P1377" t="str">
        <f>TRIM(PROPER(Tabla_auditoría[[#This Row],[País]]))</f>
        <v>México</v>
      </c>
      <c r="Q1377" t="str">
        <f>TRIM(PROPER(Tabla_auditoría[[#This Row],[Dispositivo]]))</f>
        <v>Desktop</v>
      </c>
      <c r="R1377" t="str">
        <f>TRIM(PROPER(Tabla_auditoría[[#This Row],[Tipo_Campaña]]))</f>
        <v>Reconocimiento</v>
      </c>
      <c r="S1377" t="str">
        <f>TRIM(PROPER(Tabla_auditoría[[#This Row],[Responsable]]))</f>
        <v>Laura Pérez</v>
      </c>
    </row>
    <row r="1378" spans="1:19" x14ac:dyDescent="0.3">
      <c r="A1378" s="1">
        <v>45991</v>
      </c>
      <c r="B1378" s="2" t="s">
        <v>2545</v>
      </c>
      <c r="C1378" s="2" t="s">
        <v>2527</v>
      </c>
      <c r="D1378" s="2" t="s">
        <v>2531</v>
      </c>
      <c r="E1378" s="2" t="s">
        <v>2529</v>
      </c>
      <c r="F1378" s="3">
        <v>109040</v>
      </c>
      <c r="G1378" s="3">
        <v>4274</v>
      </c>
      <c r="H1378" s="3">
        <v>405</v>
      </c>
      <c r="I1378" s="4">
        <v>1544.42</v>
      </c>
      <c r="J1378" s="4">
        <v>55818.91</v>
      </c>
      <c r="K1378" s="3">
        <v>234</v>
      </c>
      <c r="L1378" s="2" t="s">
        <v>2536</v>
      </c>
      <c r="M1378" s="2" t="s">
        <v>2524</v>
      </c>
      <c r="N1378" t="str">
        <f>TRIM(PROPER(Tabla_auditoría[[#This Row],[ID_Campaña]]))</f>
        <v>Cmp-011</v>
      </c>
      <c r="O1378" t="str">
        <f>TRIM(PROPER(Tabla_auditoría[[#This Row],[Canal]]))</f>
        <v>Affiliate</v>
      </c>
      <c r="P1378" t="str">
        <f>TRIM(PROPER(Tabla_auditoría[[#This Row],[País]]))</f>
        <v>Portugal</v>
      </c>
      <c r="Q1378" t="str">
        <f>TRIM(PROPER(Tabla_auditoría[[#This Row],[Dispositivo]]))</f>
        <v>Mobile</v>
      </c>
      <c r="R1378" t="str">
        <f>TRIM(PROPER(Tabla_auditoría[[#This Row],[Tipo_Campaña]]))</f>
        <v>Reconocimiento</v>
      </c>
      <c r="S1378" t="str">
        <f>TRIM(PROPER(Tabla_auditoría[[#This Row],[Responsable]]))</f>
        <v>Luis Martín</v>
      </c>
    </row>
    <row r="1379" spans="1:19" x14ac:dyDescent="0.3">
      <c r="A1379" s="1">
        <v>45874</v>
      </c>
      <c r="B1379" s="2" t="s">
        <v>2552</v>
      </c>
      <c r="C1379" s="2" t="s">
        <v>2521</v>
      </c>
      <c r="D1379" s="2" t="s">
        <v>2522</v>
      </c>
      <c r="E1379" s="2" t="s">
        <v>2517</v>
      </c>
      <c r="F1379" s="3">
        <v>81695</v>
      </c>
      <c r="G1379" s="3">
        <v>5685</v>
      </c>
      <c r="H1379" s="3">
        <v>535</v>
      </c>
      <c r="I1379" s="4">
        <v>1128</v>
      </c>
      <c r="J1379" s="4">
        <v>91321.15</v>
      </c>
      <c r="K1379" s="3">
        <v>468</v>
      </c>
      <c r="L1379" s="2" t="s">
        <v>2518</v>
      </c>
      <c r="M1379" s="2" t="s">
        <v>2526</v>
      </c>
      <c r="N1379" t="str">
        <f>TRIM(PROPER(Tabla_auditoría[[#This Row],[ID_Campaña]]))</f>
        <v>Cmp-012</v>
      </c>
      <c r="O1379" t="str">
        <f>TRIM(PROPER(Tabla_auditoría[[#This Row],[Canal]]))</f>
        <v>Paid Search</v>
      </c>
      <c r="P1379" t="str">
        <f>TRIM(PROPER(Tabla_auditoría[[#This Row],[País]]))</f>
        <v>Italia</v>
      </c>
      <c r="Q1379" t="str">
        <f>TRIM(PROPER(Tabla_auditoría[[#This Row],[Dispositivo]]))</f>
        <v>Desktop</v>
      </c>
      <c r="R1379" t="str">
        <f>TRIM(PROPER(Tabla_auditoría[[#This Row],[Tipo_Campaña]]))</f>
        <v>Adquisición</v>
      </c>
      <c r="S1379" t="str">
        <f>TRIM(PROPER(Tabla_auditoría[[#This Row],[Responsable]]))</f>
        <v>Laura Pérez</v>
      </c>
    </row>
    <row r="1380" spans="1:19" x14ac:dyDescent="0.3">
      <c r="A1380" s="1">
        <v>45939</v>
      </c>
      <c r="B1380" s="2" t="s">
        <v>2554</v>
      </c>
      <c r="C1380" s="2" t="s">
        <v>2527</v>
      </c>
      <c r="D1380" s="2" t="s">
        <v>2522</v>
      </c>
      <c r="E1380" s="2" t="s">
        <v>2517</v>
      </c>
      <c r="F1380" s="3">
        <v>22381</v>
      </c>
      <c r="G1380" s="3">
        <v>497</v>
      </c>
      <c r="H1380" s="3">
        <v>8</v>
      </c>
      <c r="I1380" s="4">
        <v>962.52</v>
      </c>
      <c r="J1380" s="4">
        <v>154.76</v>
      </c>
      <c r="K1380" s="3">
        <v>3</v>
      </c>
      <c r="L1380" s="2" t="s">
        <v>2523</v>
      </c>
      <c r="M1380" s="2" t="s">
        <v>2526</v>
      </c>
      <c r="N1380" t="str">
        <f>TRIM(PROPER(Tabla_auditoría[[#This Row],[ID_Campaña]]))</f>
        <v>Cmp-019</v>
      </c>
      <c r="O1380" t="str">
        <f>TRIM(PROPER(Tabla_auditoría[[#This Row],[Canal]]))</f>
        <v>Affiliate</v>
      </c>
      <c r="P1380" t="str">
        <f>TRIM(PROPER(Tabla_auditoría[[#This Row],[País]]))</f>
        <v>Italia</v>
      </c>
      <c r="Q1380" t="str">
        <f>TRIM(PROPER(Tabla_auditoría[[#This Row],[Dispositivo]]))</f>
        <v>Desktop</v>
      </c>
      <c r="R1380" t="str">
        <f>TRIM(PROPER(Tabla_auditoría[[#This Row],[Tipo_Campaña]]))</f>
        <v>Retención</v>
      </c>
      <c r="S1380" t="str">
        <f>TRIM(PROPER(Tabla_auditoría[[#This Row],[Responsable]]))</f>
        <v>Laura Pérez</v>
      </c>
    </row>
    <row r="1381" spans="1:19" x14ac:dyDescent="0.3">
      <c r="A1381" s="1">
        <v>45701</v>
      </c>
      <c r="B1381" s="2" t="s">
        <v>2542</v>
      </c>
      <c r="C1381" s="2" t="s">
        <v>2533</v>
      </c>
      <c r="D1381" s="2" t="s">
        <v>2522</v>
      </c>
      <c r="E1381" s="2" t="s">
        <v>2517</v>
      </c>
      <c r="F1381" s="3">
        <v>26073</v>
      </c>
      <c r="G1381" s="3">
        <v>2063</v>
      </c>
      <c r="H1381" s="3">
        <v>147</v>
      </c>
      <c r="I1381" s="4">
        <v>902.39</v>
      </c>
      <c r="J1381" s="4">
        <v>14102.13</v>
      </c>
      <c r="K1381" s="3">
        <v>112</v>
      </c>
      <c r="L1381" s="2" t="s">
        <v>2523</v>
      </c>
      <c r="M1381" s="2" t="s">
        <v>2537</v>
      </c>
      <c r="N1381" t="str">
        <f>TRIM(PROPER(Tabla_auditoría[[#This Row],[ID_Campaña]]))</f>
        <v>Cmp-025</v>
      </c>
      <c r="O1381" t="str">
        <f>TRIM(PROPER(Tabla_auditoría[[#This Row],[Canal]]))</f>
        <v>Paid Social</v>
      </c>
      <c r="P1381" t="str">
        <f>TRIM(PROPER(Tabla_auditoría[[#This Row],[País]]))</f>
        <v>Italia</v>
      </c>
      <c r="Q1381" t="str">
        <f>TRIM(PROPER(Tabla_auditoría[[#This Row],[Dispositivo]]))</f>
        <v>Desktop</v>
      </c>
      <c r="R1381" t="str">
        <f>TRIM(PROPER(Tabla_auditoría[[#This Row],[Tipo_Campaña]]))</f>
        <v>Retención</v>
      </c>
      <c r="S1381" t="str">
        <f>TRIM(PROPER(Tabla_auditoría[[#This Row],[Responsable]]))</f>
        <v>Marta López</v>
      </c>
    </row>
    <row r="1382" spans="1:19" x14ac:dyDescent="0.3">
      <c r="A1382" s="1">
        <v>45803</v>
      </c>
      <c r="B1382" s="2" t="s">
        <v>2545</v>
      </c>
      <c r="C1382" s="2" t="s">
        <v>2515</v>
      </c>
      <c r="D1382" s="2" t="s">
        <v>2528</v>
      </c>
      <c r="E1382" s="2" t="s">
        <v>2529</v>
      </c>
      <c r="F1382" s="3">
        <v>117657</v>
      </c>
      <c r="G1382" s="3">
        <v>8142</v>
      </c>
      <c r="H1382" s="3">
        <v>795</v>
      </c>
      <c r="I1382" s="4">
        <v>15246.53</v>
      </c>
      <c r="J1382" s="4">
        <v>161847.74</v>
      </c>
      <c r="K1382" s="3">
        <v>569</v>
      </c>
      <c r="L1382" s="2" t="s">
        <v>2523</v>
      </c>
      <c r="M1382" s="2" t="s">
        <v>2546</v>
      </c>
      <c r="N1382" t="str">
        <f>TRIM(PROPER(Tabla_auditoría[[#This Row],[ID_Campaña]]))</f>
        <v>Cmp-011</v>
      </c>
      <c r="O1382" t="str">
        <f>TRIM(PROPER(Tabla_auditoría[[#This Row],[Canal]]))</f>
        <v>Email</v>
      </c>
      <c r="P1382" t="str">
        <f>TRIM(PROPER(Tabla_auditoría[[#This Row],[País]]))</f>
        <v>España</v>
      </c>
      <c r="Q1382" t="str">
        <f>TRIM(PROPER(Tabla_auditoría[[#This Row],[Dispositivo]]))</f>
        <v>Mobile</v>
      </c>
      <c r="R1382" t="str">
        <f>TRIM(PROPER(Tabla_auditoría[[#This Row],[Tipo_Campaña]]))</f>
        <v>Retención</v>
      </c>
      <c r="S1382" t="str">
        <f>TRIM(PROPER(Tabla_auditoría[[#This Row],[Responsable]]))</f>
        <v>Ana García</v>
      </c>
    </row>
    <row r="1383" spans="1:19" x14ac:dyDescent="0.3">
      <c r="A1383" s="1">
        <v>46011</v>
      </c>
      <c r="B1383" s="2" t="s">
        <v>2570</v>
      </c>
      <c r="C1383" s="2" t="s">
        <v>2543</v>
      </c>
      <c r="D1383" s="2" t="s">
        <v>2522</v>
      </c>
      <c r="E1383" s="2" t="s">
        <v>2517</v>
      </c>
      <c r="F1383" s="3">
        <v>19155</v>
      </c>
      <c r="G1383" s="3">
        <v>1553</v>
      </c>
      <c r="H1383" s="3">
        <v>42</v>
      </c>
      <c r="I1383" s="4">
        <v>2419.85</v>
      </c>
      <c r="J1383" s="4">
        <v>1988.98</v>
      </c>
      <c r="K1383" s="3">
        <v>31</v>
      </c>
      <c r="L1383" s="2" t="s">
        <v>2539</v>
      </c>
      <c r="M1383" s="2" t="s">
        <v>2524</v>
      </c>
      <c r="N1383" t="str">
        <f>TRIM(PROPER(Tabla_auditoría[[#This Row],[ID_Campaña]]))</f>
        <v>Cmp-016</v>
      </c>
      <c r="O1383" t="str">
        <f>TRIM(PROPER(Tabla_auditoría[[#This Row],[Canal]]))</f>
        <v>Organic Social</v>
      </c>
      <c r="P1383" t="str">
        <f>TRIM(PROPER(Tabla_auditoría[[#This Row],[País]]))</f>
        <v>Italia</v>
      </c>
      <c r="Q1383" t="str">
        <f>TRIM(PROPER(Tabla_auditoría[[#This Row],[Dispositivo]]))</f>
        <v>Desktop</v>
      </c>
      <c r="R1383" t="str">
        <f>TRIM(PROPER(Tabla_auditoría[[#This Row],[Tipo_Campaña]]))</f>
        <v>Conversión</v>
      </c>
      <c r="S1383" t="str">
        <f>TRIM(PROPER(Tabla_auditoría[[#This Row],[Responsable]]))</f>
        <v>Luis Martín</v>
      </c>
    </row>
    <row r="1384" spans="1:19" x14ac:dyDescent="0.3">
      <c r="A1384" s="1">
        <v>45863</v>
      </c>
      <c r="B1384" s="2" t="s">
        <v>2595</v>
      </c>
      <c r="C1384" s="2" t="s">
        <v>2533</v>
      </c>
      <c r="D1384" s="2" t="s">
        <v>2522</v>
      </c>
      <c r="E1384" s="2" t="s">
        <v>2529</v>
      </c>
      <c r="F1384" s="3">
        <v>159728</v>
      </c>
      <c r="G1384" s="3">
        <v>13641</v>
      </c>
      <c r="H1384" s="3">
        <v>450</v>
      </c>
      <c r="I1384" s="4">
        <v>20262.900000000001</v>
      </c>
      <c r="J1384" s="4">
        <v>84589.48</v>
      </c>
      <c r="K1384" s="3">
        <v>258</v>
      </c>
      <c r="L1384" s="2" t="s">
        <v>2518</v>
      </c>
      <c r="M1384" s="2" t="s">
        <v>2519</v>
      </c>
      <c r="N1384" t="str">
        <f>TRIM(PROPER(Tabla_auditoría[[#This Row],[ID_Campaña]]))</f>
        <v>Cmp-023</v>
      </c>
      <c r="O1384" t="str">
        <f>TRIM(PROPER(Tabla_auditoría[[#This Row],[Canal]]))</f>
        <v>Paid Social</v>
      </c>
      <c r="P1384" t="str">
        <f>TRIM(PROPER(Tabla_auditoría[[#This Row],[País]]))</f>
        <v>Italia</v>
      </c>
      <c r="Q1384" t="str">
        <f>TRIM(PROPER(Tabla_auditoría[[#This Row],[Dispositivo]]))</f>
        <v>Mobile</v>
      </c>
      <c r="R1384" t="str">
        <f>TRIM(PROPER(Tabla_auditoría[[#This Row],[Tipo_Campaña]]))</f>
        <v>Adquisición</v>
      </c>
      <c r="S1384" t="str">
        <f>TRIM(PROPER(Tabla_auditoría[[#This Row],[Responsable]]))</f>
        <v>Carlos Ruiz</v>
      </c>
    </row>
    <row r="1385" spans="1:19" x14ac:dyDescent="0.3">
      <c r="A1385" s="1">
        <v>46011</v>
      </c>
      <c r="B1385" s="2" t="s">
        <v>2557</v>
      </c>
      <c r="C1385" s="2" t="s">
        <v>2541</v>
      </c>
      <c r="D1385" s="2" t="s">
        <v>2528</v>
      </c>
      <c r="E1385" s="2" t="s">
        <v>2529</v>
      </c>
      <c r="F1385" s="3">
        <v>38721</v>
      </c>
      <c r="G1385" s="3">
        <v>202</v>
      </c>
      <c r="H1385" s="3">
        <v>7</v>
      </c>
      <c r="I1385" s="4">
        <v>180.96</v>
      </c>
      <c r="J1385" s="4">
        <v>937.59</v>
      </c>
      <c r="K1385" s="3">
        <v>6</v>
      </c>
      <c r="L1385" s="2" t="s">
        <v>2523</v>
      </c>
      <c r="M1385" s="2" t="s">
        <v>2537</v>
      </c>
      <c r="N1385" t="str">
        <f>TRIM(PROPER(Tabla_auditoría[[#This Row],[ID_Campaña]]))</f>
        <v>Cmp-030</v>
      </c>
      <c r="O1385" t="str">
        <f>TRIM(PROPER(Tabla_auditoría[[#This Row],[Canal]]))</f>
        <v>Display</v>
      </c>
      <c r="P1385" t="str">
        <f>TRIM(PROPER(Tabla_auditoría[[#This Row],[País]]))</f>
        <v>España</v>
      </c>
      <c r="Q1385" t="str">
        <f>TRIM(PROPER(Tabla_auditoría[[#This Row],[Dispositivo]]))</f>
        <v>Mobile</v>
      </c>
      <c r="R1385" t="str">
        <f>TRIM(PROPER(Tabla_auditoría[[#This Row],[Tipo_Campaña]]))</f>
        <v>Retención</v>
      </c>
      <c r="S1385" t="str">
        <f>TRIM(PROPER(Tabla_auditoría[[#This Row],[Responsable]]))</f>
        <v>Marta López</v>
      </c>
    </row>
    <row r="1386" spans="1:19" x14ac:dyDescent="0.3">
      <c r="A1386" s="1">
        <v>45931</v>
      </c>
      <c r="B1386" s="2" t="s">
        <v>2552</v>
      </c>
      <c r="C1386" s="2" t="s">
        <v>2515</v>
      </c>
      <c r="D1386" s="2" t="s">
        <v>2516</v>
      </c>
      <c r="E1386" s="2" t="s">
        <v>2517</v>
      </c>
      <c r="F1386" s="3">
        <v>69623</v>
      </c>
      <c r="G1386" s="3">
        <v>3588</v>
      </c>
      <c r="H1386" s="3">
        <v>406</v>
      </c>
      <c r="I1386" s="4">
        <v>1979.26</v>
      </c>
      <c r="J1386" s="4">
        <v>10504.81</v>
      </c>
      <c r="K1386" s="3">
        <v>342</v>
      </c>
      <c r="L1386" s="2" t="s">
        <v>2539</v>
      </c>
      <c r="M1386" s="2" t="s">
        <v>2537</v>
      </c>
      <c r="N1386" t="str">
        <f>TRIM(PROPER(Tabla_auditoría[[#This Row],[ID_Campaña]]))</f>
        <v>Cmp-012</v>
      </c>
      <c r="O1386" t="str">
        <f>TRIM(PROPER(Tabla_auditoría[[#This Row],[Canal]]))</f>
        <v>Email</v>
      </c>
      <c r="P1386" t="str">
        <f>TRIM(PROPER(Tabla_auditoría[[#This Row],[País]]))</f>
        <v>México</v>
      </c>
      <c r="Q1386" t="str">
        <f>TRIM(PROPER(Tabla_auditoría[[#This Row],[Dispositivo]]))</f>
        <v>Desktop</v>
      </c>
      <c r="R1386" t="str">
        <f>TRIM(PROPER(Tabla_auditoría[[#This Row],[Tipo_Campaña]]))</f>
        <v>Conversión</v>
      </c>
      <c r="S1386" t="str">
        <f>TRIM(PROPER(Tabla_auditoría[[#This Row],[Responsable]]))</f>
        <v>Marta López</v>
      </c>
    </row>
    <row r="1387" spans="1:19" x14ac:dyDescent="0.3">
      <c r="A1387" s="1">
        <v>46004</v>
      </c>
      <c r="B1387" s="2" t="s">
        <v>2563</v>
      </c>
      <c r="C1387" s="2" t="s">
        <v>2527</v>
      </c>
      <c r="D1387" s="2" t="s">
        <v>2525</v>
      </c>
      <c r="E1387" s="2" t="s">
        <v>2529</v>
      </c>
      <c r="F1387" s="3">
        <v>108087</v>
      </c>
      <c r="G1387" s="3">
        <v>9588</v>
      </c>
      <c r="H1387" s="3">
        <v>553</v>
      </c>
      <c r="I1387" s="4">
        <v>18917.71</v>
      </c>
      <c r="J1387" s="4">
        <v>115610.31</v>
      </c>
      <c r="K1387" s="3">
        <v>321</v>
      </c>
      <c r="L1387" s="2" t="s">
        <v>2523</v>
      </c>
      <c r="M1387" s="2" t="s">
        <v>2526</v>
      </c>
      <c r="N1387" t="str">
        <f>TRIM(PROPER(Tabla_auditoría[[#This Row],[ID_Campaña]]))</f>
        <v>Cmp-023</v>
      </c>
      <c r="O1387" t="str">
        <f>TRIM(PROPER(Tabla_auditoría[[#This Row],[Canal]]))</f>
        <v>Affiliate</v>
      </c>
      <c r="P1387" t="str">
        <f>TRIM(PROPER(Tabla_auditoría[[#This Row],[País]]))</f>
        <v>Francia</v>
      </c>
      <c r="Q1387" t="str">
        <f>TRIM(PROPER(Tabla_auditoría[[#This Row],[Dispositivo]]))</f>
        <v>Mobile</v>
      </c>
      <c r="R1387" t="str">
        <f>TRIM(PROPER(Tabla_auditoría[[#This Row],[Tipo_Campaña]]))</f>
        <v>Retención</v>
      </c>
      <c r="S1387" t="str">
        <f>TRIM(PROPER(Tabla_auditoría[[#This Row],[Responsable]]))</f>
        <v>Laura Pérez</v>
      </c>
    </row>
    <row r="1388" spans="1:19" x14ac:dyDescent="0.3">
      <c r="A1388" s="1">
        <v>45940</v>
      </c>
      <c r="B1388" s="2" t="s">
        <v>2563</v>
      </c>
      <c r="C1388" s="2" t="s">
        <v>2541</v>
      </c>
      <c r="D1388" s="2" t="s">
        <v>2531</v>
      </c>
      <c r="E1388" s="2" t="s">
        <v>2529</v>
      </c>
      <c r="F1388" s="3">
        <v>101507</v>
      </c>
      <c r="G1388" s="3">
        <v>4375</v>
      </c>
      <c r="H1388" s="3">
        <v>467</v>
      </c>
      <c r="I1388" s="4">
        <v>2931.49</v>
      </c>
      <c r="J1388" s="4">
        <v>37273.49</v>
      </c>
      <c r="K1388" s="3">
        <v>416</v>
      </c>
      <c r="L1388" s="2" t="s">
        <v>2523</v>
      </c>
      <c r="M1388" s="2" t="s">
        <v>2524</v>
      </c>
      <c r="N1388" t="str">
        <f>TRIM(PROPER(Tabla_auditoría[[#This Row],[ID_Campaña]]))</f>
        <v>Cmp-023</v>
      </c>
      <c r="O1388" t="str">
        <f>TRIM(PROPER(Tabla_auditoría[[#This Row],[Canal]]))</f>
        <v>Display</v>
      </c>
      <c r="P1388" t="str">
        <f>TRIM(PROPER(Tabla_auditoría[[#This Row],[País]]))</f>
        <v>Portugal</v>
      </c>
      <c r="Q1388" t="str">
        <f>TRIM(PROPER(Tabla_auditoría[[#This Row],[Dispositivo]]))</f>
        <v>Mobile</v>
      </c>
      <c r="R1388" t="str">
        <f>TRIM(PROPER(Tabla_auditoría[[#This Row],[Tipo_Campaña]]))</f>
        <v>Retención</v>
      </c>
      <c r="S1388" t="str">
        <f>TRIM(PROPER(Tabla_auditoría[[#This Row],[Responsable]]))</f>
        <v>Luis Martín</v>
      </c>
    </row>
    <row r="1389" spans="1:19" x14ac:dyDescent="0.3">
      <c r="A1389" s="1">
        <v>45817</v>
      </c>
      <c r="B1389" s="2" t="s">
        <v>2560</v>
      </c>
      <c r="C1389" s="2" t="s">
        <v>2521</v>
      </c>
      <c r="D1389" s="2" t="s">
        <v>2528</v>
      </c>
      <c r="E1389" s="2" t="s">
        <v>2529</v>
      </c>
      <c r="F1389" s="3">
        <v>137784</v>
      </c>
      <c r="G1389" s="3">
        <v>1909</v>
      </c>
      <c r="H1389" s="3">
        <v>21</v>
      </c>
      <c r="I1389" s="4">
        <v>2987.78</v>
      </c>
      <c r="J1389" s="4">
        <v>4568.1400000000003</v>
      </c>
      <c r="K1389" s="3">
        <v>11</v>
      </c>
      <c r="L1389" s="2" t="s">
        <v>2523</v>
      </c>
      <c r="M1389" s="2" t="s">
        <v>2526</v>
      </c>
      <c r="N1389" t="str">
        <f>TRIM(PROPER(Tabla_auditoría[[#This Row],[ID_Campaña]]))</f>
        <v>Cmp-027</v>
      </c>
      <c r="O1389" t="str">
        <f>TRIM(PROPER(Tabla_auditoría[[#This Row],[Canal]]))</f>
        <v>Paid Search</v>
      </c>
      <c r="P1389" t="str">
        <f>TRIM(PROPER(Tabla_auditoría[[#This Row],[País]]))</f>
        <v>España</v>
      </c>
      <c r="Q1389" t="str">
        <f>TRIM(PROPER(Tabla_auditoría[[#This Row],[Dispositivo]]))</f>
        <v>Mobile</v>
      </c>
      <c r="R1389" t="str">
        <f>TRIM(PROPER(Tabla_auditoría[[#This Row],[Tipo_Campaña]]))</f>
        <v>Retención</v>
      </c>
      <c r="S1389" t="str">
        <f>TRIM(PROPER(Tabla_auditoría[[#This Row],[Responsable]]))</f>
        <v>Laura Pérez</v>
      </c>
    </row>
    <row r="1390" spans="1:19" x14ac:dyDescent="0.3">
      <c r="A1390" s="1">
        <v>45778</v>
      </c>
      <c r="B1390" s="2" t="s">
        <v>2532</v>
      </c>
      <c r="C1390" s="2" t="s">
        <v>2533</v>
      </c>
      <c r="D1390" s="2" t="s">
        <v>2528</v>
      </c>
      <c r="E1390" s="2" t="s">
        <v>2517</v>
      </c>
      <c r="F1390" s="3">
        <v>122753</v>
      </c>
      <c r="G1390" s="3">
        <v>9771</v>
      </c>
      <c r="H1390" s="3">
        <v>692</v>
      </c>
      <c r="I1390" s="4">
        <v>14537.3</v>
      </c>
      <c r="J1390" s="4">
        <v>131196.4</v>
      </c>
      <c r="K1390" s="3">
        <v>429</v>
      </c>
      <c r="L1390" s="2" t="s">
        <v>2523</v>
      </c>
      <c r="M1390" s="2" t="s">
        <v>2537</v>
      </c>
      <c r="N1390" t="str">
        <f>TRIM(PROPER(Tabla_auditoría[[#This Row],[ID_Campaña]]))</f>
        <v>Cmp-022</v>
      </c>
      <c r="O1390" t="str">
        <f>TRIM(PROPER(Tabla_auditoría[[#This Row],[Canal]]))</f>
        <v>Paid Social</v>
      </c>
      <c r="P1390" t="str">
        <f>TRIM(PROPER(Tabla_auditoría[[#This Row],[País]]))</f>
        <v>España</v>
      </c>
      <c r="Q1390" t="str">
        <f>TRIM(PROPER(Tabla_auditoría[[#This Row],[Dispositivo]]))</f>
        <v>Desktop</v>
      </c>
      <c r="R1390" t="str">
        <f>TRIM(PROPER(Tabla_auditoría[[#This Row],[Tipo_Campaña]]))</f>
        <v>Retención</v>
      </c>
      <c r="S1390" t="str">
        <f>TRIM(PROPER(Tabla_auditoría[[#This Row],[Responsable]]))</f>
        <v>Marta López</v>
      </c>
    </row>
    <row r="1391" spans="1:19" x14ac:dyDescent="0.3">
      <c r="A1391" s="1">
        <v>45818</v>
      </c>
      <c r="B1391" s="2" t="s">
        <v>2569</v>
      </c>
      <c r="C1391" s="2" t="s">
        <v>2541</v>
      </c>
      <c r="D1391" s="2" t="s">
        <v>2528</v>
      </c>
      <c r="E1391" s="2" t="s">
        <v>2596</v>
      </c>
      <c r="F1391" s="3">
        <v>137750</v>
      </c>
      <c r="G1391" s="3">
        <v>9704</v>
      </c>
      <c r="H1391" s="3">
        <v>167</v>
      </c>
      <c r="I1391" s="4">
        <v>12793.63</v>
      </c>
      <c r="J1391" s="4">
        <v>32224.46</v>
      </c>
      <c r="K1391" s="3">
        <v>94</v>
      </c>
      <c r="L1391" s="2" t="s">
        <v>2539</v>
      </c>
      <c r="M1391" s="2" t="s">
        <v>2526</v>
      </c>
      <c r="N1391" t="str">
        <f>TRIM(PROPER(Tabla_auditoría[[#This Row],[ID_Campaña]]))</f>
        <v>Cmp-013</v>
      </c>
      <c r="O1391" t="str">
        <f>TRIM(PROPER(Tabla_auditoría[[#This Row],[Canal]]))</f>
        <v>Display</v>
      </c>
      <c r="P1391" t="str">
        <f>TRIM(PROPER(Tabla_auditoría[[#This Row],[País]]))</f>
        <v>España</v>
      </c>
      <c r="Q1391" t="str">
        <f>TRIM(PROPER(Tabla_auditoría[[#This Row],[Dispositivo]]))</f>
        <v>Tablet</v>
      </c>
      <c r="R1391" t="str">
        <f>TRIM(PROPER(Tabla_auditoría[[#This Row],[Tipo_Campaña]]))</f>
        <v>Conversión</v>
      </c>
      <c r="S1391" t="str">
        <f>TRIM(PROPER(Tabla_auditoría[[#This Row],[Responsable]]))</f>
        <v>Laura Pérez</v>
      </c>
    </row>
    <row r="1392" spans="1:19" x14ac:dyDescent="0.3">
      <c r="A1392" s="1">
        <v>45784</v>
      </c>
      <c r="B1392" s="2" t="s">
        <v>2571</v>
      </c>
      <c r="C1392" s="2" t="s">
        <v>2541</v>
      </c>
      <c r="D1392" s="2" t="s">
        <v>2531</v>
      </c>
      <c r="E1392" s="2" t="s">
        <v>2529</v>
      </c>
      <c r="F1392" s="3">
        <v>31845</v>
      </c>
      <c r="G1392" s="3">
        <v>2333</v>
      </c>
      <c r="H1392" s="3">
        <v>63</v>
      </c>
      <c r="I1392" s="4">
        <v>704.27</v>
      </c>
      <c r="J1392" s="4">
        <v>2239.48</v>
      </c>
      <c r="K1392" s="3">
        <v>43</v>
      </c>
      <c r="L1392" s="2" t="s">
        <v>2518</v>
      </c>
      <c r="M1392" s="2" t="s">
        <v>2524</v>
      </c>
      <c r="N1392" t="str">
        <f>TRIM(PROPER(Tabla_auditoría[[#This Row],[ID_Campaña]]))</f>
        <v>Cmp-029</v>
      </c>
      <c r="O1392" t="str">
        <f>TRIM(PROPER(Tabla_auditoría[[#This Row],[Canal]]))</f>
        <v>Display</v>
      </c>
      <c r="P1392" t="str">
        <f>TRIM(PROPER(Tabla_auditoría[[#This Row],[País]]))</f>
        <v>Portugal</v>
      </c>
      <c r="Q1392" t="str">
        <f>TRIM(PROPER(Tabla_auditoría[[#This Row],[Dispositivo]]))</f>
        <v>Mobile</v>
      </c>
      <c r="R1392" t="str">
        <f>TRIM(PROPER(Tabla_auditoría[[#This Row],[Tipo_Campaña]]))</f>
        <v>Adquisición</v>
      </c>
      <c r="S1392" t="str">
        <f>TRIM(PROPER(Tabla_auditoría[[#This Row],[Responsable]]))</f>
        <v>Luis Martín</v>
      </c>
    </row>
    <row r="1393" spans="1:19" x14ac:dyDescent="0.3">
      <c r="A1393" s="1">
        <v>45865</v>
      </c>
      <c r="B1393" s="2" t="s">
        <v>2560</v>
      </c>
      <c r="C1393" s="2" t="s">
        <v>2533</v>
      </c>
      <c r="D1393" s="2" t="s">
        <v>2516</v>
      </c>
      <c r="E1393" s="2" t="s">
        <v>2517</v>
      </c>
      <c r="F1393" s="3">
        <v>90775</v>
      </c>
      <c r="G1393" s="3">
        <v>1355</v>
      </c>
      <c r="H1393" s="3">
        <v>40</v>
      </c>
      <c r="I1393" s="4">
        <v>2626.64</v>
      </c>
      <c r="J1393" s="4">
        <v>1207.93</v>
      </c>
      <c r="K1393" s="3">
        <v>21</v>
      </c>
      <c r="L1393" s="2" t="s">
        <v>2536</v>
      </c>
      <c r="M1393" s="2" t="s">
        <v>2526</v>
      </c>
      <c r="N1393" t="str">
        <f>TRIM(PROPER(Tabla_auditoría[[#This Row],[ID_Campaña]]))</f>
        <v>Cmp-027</v>
      </c>
      <c r="O1393" t="str">
        <f>TRIM(PROPER(Tabla_auditoría[[#This Row],[Canal]]))</f>
        <v>Paid Social</v>
      </c>
      <c r="P1393" t="str">
        <f>TRIM(PROPER(Tabla_auditoría[[#This Row],[País]]))</f>
        <v>México</v>
      </c>
      <c r="Q1393" t="str">
        <f>TRIM(PROPER(Tabla_auditoría[[#This Row],[Dispositivo]]))</f>
        <v>Desktop</v>
      </c>
      <c r="R1393" t="str">
        <f>TRIM(PROPER(Tabla_auditoría[[#This Row],[Tipo_Campaña]]))</f>
        <v>Reconocimiento</v>
      </c>
      <c r="S1393" t="str">
        <f>TRIM(PROPER(Tabla_auditoría[[#This Row],[Responsable]]))</f>
        <v>Laura Pérez</v>
      </c>
    </row>
    <row r="1394" spans="1:19" x14ac:dyDescent="0.3">
      <c r="A1394" s="1">
        <v>45901</v>
      </c>
      <c r="B1394" s="2" t="s">
        <v>2563</v>
      </c>
      <c r="C1394" s="2" t="s">
        <v>2548</v>
      </c>
      <c r="D1394" s="2" t="s">
        <v>2528</v>
      </c>
      <c r="E1394" s="2" t="s">
        <v>2534</v>
      </c>
      <c r="F1394" s="3">
        <v>1107</v>
      </c>
      <c r="G1394" s="3">
        <v>44</v>
      </c>
      <c r="H1394" s="3">
        <v>3</v>
      </c>
      <c r="J1394" s="4">
        <v>525.47</v>
      </c>
      <c r="K1394" s="3">
        <v>1</v>
      </c>
      <c r="L1394" s="2" t="s">
        <v>2536</v>
      </c>
      <c r="M1394" s="2" t="s">
        <v>2526</v>
      </c>
      <c r="N1394" t="str">
        <f>TRIM(PROPER(Tabla_auditoría[[#This Row],[ID_Campaña]]))</f>
        <v>Cmp-023</v>
      </c>
      <c r="O1394" t="str">
        <f>TRIM(PROPER(Tabla_auditoría[[#This Row],[Canal]]))</f>
        <v>Display</v>
      </c>
      <c r="P1394" t="str">
        <f>TRIM(PROPER(Tabla_auditoría[[#This Row],[País]]))</f>
        <v>España</v>
      </c>
      <c r="Q1394" t="str">
        <f>TRIM(PROPER(Tabla_auditoría[[#This Row],[Dispositivo]]))</f>
        <v>Tablet</v>
      </c>
      <c r="R1394" t="str">
        <f>TRIM(PROPER(Tabla_auditoría[[#This Row],[Tipo_Campaña]]))</f>
        <v>Reconocimiento</v>
      </c>
      <c r="S1394" t="str">
        <f>TRIM(PROPER(Tabla_auditoría[[#This Row],[Responsable]]))</f>
        <v>Laura Pérez</v>
      </c>
    </row>
    <row r="1395" spans="1:19" x14ac:dyDescent="0.3">
      <c r="A1395" s="1">
        <v>45789</v>
      </c>
      <c r="B1395" s="2" t="s">
        <v>2551</v>
      </c>
      <c r="C1395" s="2" t="s">
        <v>2515</v>
      </c>
      <c r="D1395" s="2" t="s">
        <v>2528</v>
      </c>
      <c r="E1395" s="2" t="s">
        <v>2517</v>
      </c>
      <c r="F1395" s="3">
        <v>90241</v>
      </c>
      <c r="G1395" s="3">
        <v>5367</v>
      </c>
      <c r="H1395" s="3">
        <v>697</v>
      </c>
      <c r="I1395" s="4">
        <v>11216.52</v>
      </c>
      <c r="J1395" s="4">
        <v>53170.720000000001</v>
      </c>
      <c r="K1395" s="3">
        <v>616</v>
      </c>
      <c r="L1395" s="2" t="s">
        <v>2518</v>
      </c>
      <c r="M1395" s="2" t="s">
        <v>2526</v>
      </c>
      <c r="N1395" t="str">
        <f>TRIM(PROPER(Tabla_auditoría[[#This Row],[ID_Campaña]]))</f>
        <v>Cmp-028</v>
      </c>
      <c r="O1395" t="str">
        <f>TRIM(PROPER(Tabla_auditoría[[#This Row],[Canal]]))</f>
        <v>Email</v>
      </c>
      <c r="P1395" t="str">
        <f>TRIM(PROPER(Tabla_auditoría[[#This Row],[País]]))</f>
        <v>España</v>
      </c>
      <c r="Q1395" t="str">
        <f>TRIM(PROPER(Tabla_auditoría[[#This Row],[Dispositivo]]))</f>
        <v>Desktop</v>
      </c>
      <c r="R1395" t="str">
        <f>TRIM(PROPER(Tabla_auditoría[[#This Row],[Tipo_Campaña]]))</f>
        <v>Adquisición</v>
      </c>
      <c r="S1395" t="str">
        <f>TRIM(PROPER(Tabla_auditoría[[#This Row],[Responsable]]))</f>
        <v>Laura Pérez</v>
      </c>
    </row>
    <row r="1396" spans="1:19" x14ac:dyDescent="0.3">
      <c r="A1396" s="1">
        <v>45697</v>
      </c>
      <c r="B1396" s="2" t="s">
        <v>2545</v>
      </c>
      <c r="C1396" s="2" t="s">
        <v>2515</v>
      </c>
      <c r="D1396" s="2" t="s">
        <v>2531</v>
      </c>
      <c r="E1396" s="2" t="s">
        <v>2517</v>
      </c>
      <c r="F1396" s="3">
        <v>20365</v>
      </c>
      <c r="G1396" s="3">
        <v>1124</v>
      </c>
      <c r="H1396" s="3">
        <v>96</v>
      </c>
      <c r="I1396" s="4">
        <v>256.45999999999998</v>
      </c>
      <c r="J1396" s="4">
        <v>9825.4699999999993</v>
      </c>
      <c r="K1396" s="3">
        <v>50</v>
      </c>
      <c r="L1396" s="2" t="s">
        <v>2539</v>
      </c>
      <c r="M1396" s="2" t="s">
        <v>2537</v>
      </c>
      <c r="N1396" t="str">
        <f>TRIM(PROPER(Tabla_auditoría[[#This Row],[ID_Campaña]]))</f>
        <v>Cmp-011</v>
      </c>
      <c r="O1396" t="str">
        <f>TRIM(PROPER(Tabla_auditoría[[#This Row],[Canal]]))</f>
        <v>Email</v>
      </c>
      <c r="P1396" t="str">
        <f>TRIM(PROPER(Tabla_auditoría[[#This Row],[País]]))</f>
        <v>Portugal</v>
      </c>
      <c r="Q1396" t="str">
        <f>TRIM(PROPER(Tabla_auditoría[[#This Row],[Dispositivo]]))</f>
        <v>Desktop</v>
      </c>
      <c r="R1396" t="str">
        <f>TRIM(PROPER(Tabla_auditoría[[#This Row],[Tipo_Campaña]]))</f>
        <v>Conversión</v>
      </c>
      <c r="S1396" t="str">
        <f>TRIM(PROPER(Tabla_auditoría[[#This Row],[Responsable]]))</f>
        <v>Marta López</v>
      </c>
    </row>
    <row r="1397" spans="1:19" x14ac:dyDescent="0.3">
      <c r="A1397" s="1">
        <v>45677</v>
      </c>
      <c r="B1397" s="2" t="s">
        <v>2554</v>
      </c>
      <c r="C1397" s="2" t="s">
        <v>2521</v>
      </c>
      <c r="D1397" s="2" t="s">
        <v>2516</v>
      </c>
      <c r="E1397" s="2" t="s">
        <v>2517</v>
      </c>
      <c r="F1397" s="3">
        <v>121456</v>
      </c>
      <c r="G1397" s="3">
        <v>2581</v>
      </c>
      <c r="H1397" s="3">
        <v>197</v>
      </c>
      <c r="I1397" s="4">
        <v>4160.5200000000004</v>
      </c>
      <c r="J1397" s="4">
        <v>43205.440000000002</v>
      </c>
      <c r="K1397" s="3">
        <v>166</v>
      </c>
      <c r="L1397" s="2" t="s">
        <v>2539</v>
      </c>
      <c r="M1397" s="2" t="s">
        <v>2519</v>
      </c>
      <c r="N1397" t="str">
        <f>TRIM(PROPER(Tabla_auditoría[[#This Row],[ID_Campaña]]))</f>
        <v>Cmp-019</v>
      </c>
      <c r="O1397" t="str">
        <f>TRIM(PROPER(Tabla_auditoría[[#This Row],[Canal]]))</f>
        <v>Paid Search</v>
      </c>
      <c r="P1397" t="str">
        <f>TRIM(PROPER(Tabla_auditoría[[#This Row],[País]]))</f>
        <v>México</v>
      </c>
      <c r="Q1397" t="str">
        <f>TRIM(PROPER(Tabla_auditoría[[#This Row],[Dispositivo]]))</f>
        <v>Desktop</v>
      </c>
      <c r="R1397" t="str">
        <f>TRIM(PROPER(Tabla_auditoría[[#This Row],[Tipo_Campaña]]))</f>
        <v>Conversión</v>
      </c>
      <c r="S1397" t="str">
        <f>TRIM(PROPER(Tabla_auditoría[[#This Row],[Responsable]]))</f>
        <v>Carlos Ruiz</v>
      </c>
    </row>
    <row r="1398" spans="1:19" x14ac:dyDescent="0.3">
      <c r="A1398" s="1">
        <v>45771</v>
      </c>
      <c r="B1398" s="2" t="s">
        <v>2565</v>
      </c>
      <c r="C1398" s="2" t="s">
        <v>2541</v>
      </c>
      <c r="D1398" s="2" t="s">
        <v>2528</v>
      </c>
      <c r="E1398" s="2" t="s">
        <v>2529</v>
      </c>
      <c r="F1398" s="3">
        <v>98915</v>
      </c>
      <c r="G1398" s="3">
        <v>3255</v>
      </c>
      <c r="H1398" s="3">
        <v>185</v>
      </c>
      <c r="I1398" s="4">
        <v>1878.5</v>
      </c>
      <c r="J1398" s="4">
        <v>38992.94</v>
      </c>
      <c r="K1398" s="3">
        <v>155</v>
      </c>
      <c r="L1398" s="2" t="s">
        <v>2536</v>
      </c>
      <c r="M1398" s="2" t="s">
        <v>2546</v>
      </c>
      <c r="N1398" t="str">
        <f>TRIM(PROPER(Tabla_auditoría[[#This Row],[ID_Campaña]]))</f>
        <v>Cmp-005</v>
      </c>
      <c r="O1398" t="str">
        <f>TRIM(PROPER(Tabla_auditoría[[#This Row],[Canal]]))</f>
        <v>Display</v>
      </c>
      <c r="P1398" t="str">
        <f>TRIM(PROPER(Tabla_auditoría[[#This Row],[País]]))</f>
        <v>España</v>
      </c>
      <c r="Q1398" t="str">
        <f>TRIM(PROPER(Tabla_auditoría[[#This Row],[Dispositivo]]))</f>
        <v>Mobile</v>
      </c>
      <c r="R1398" t="str">
        <f>TRIM(PROPER(Tabla_auditoría[[#This Row],[Tipo_Campaña]]))</f>
        <v>Reconocimiento</v>
      </c>
      <c r="S1398" t="str">
        <f>TRIM(PROPER(Tabla_auditoría[[#This Row],[Responsable]]))</f>
        <v>Ana García</v>
      </c>
    </row>
    <row r="1399" spans="1:19" x14ac:dyDescent="0.3">
      <c r="A1399" s="1">
        <v>45857</v>
      </c>
      <c r="B1399" s="2" t="s">
        <v>2530</v>
      </c>
      <c r="C1399" s="2" t="s">
        <v>2543</v>
      </c>
      <c r="D1399" s="2" t="s">
        <v>2516</v>
      </c>
      <c r="E1399" s="2" t="s">
        <v>2529</v>
      </c>
      <c r="F1399" s="3">
        <v>167922</v>
      </c>
      <c r="G1399" s="3">
        <v>10840</v>
      </c>
      <c r="H1399" s="3">
        <v>1053</v>
      </c>
      <c r="I1399" s="4">
        <v>10855.87</v>
      </c>
      <c r="J1399" s="4">
        <v>156224.57</v>
      </c>
      <c r="K1399" s="3">
        <v>528</v>
      </c>
      <c r="L1399" s="2" t="s">
        <v>2539</v>
      </c>
      <c r="M1399" s="2" t="s">
        <v>2546</v>
      </c>
      <c r="N1399" t="str">
        <f>TRIM(PROPER(Tabla_auditoría[[#This Row],[ID_Campaña]]))</f>
        <v>Cmp-026</v>
      </c>
      <c r="O1399" t="str">
        <f>TRIM(PROPER(Tabla_auditoría[[#This Row],[Canal]]))</f>
        <v>Organic Social</v>
      </c>
      <c r="P1399" t="str">
        <f>TRIM(PROPER(Tabla_auditoría[[#This Row],[País]]))</f>
        <v>México</v>
      </c>
      <c r="Q1399" t="str">
        <f>TRIM(PROPER(Tabla_auditoría[[#This Row],[Dispositivo]]))</f>
        <v>Mobile</v>
      </c>
      <c r="R1399" t="str">
        <f>TRIM(PROPER(Tabla_auditoría[[#This Row],[Tipo_Campaña]]))</f>
        <v>Conversión</v>
      </c>
      <c r="S1399" t="str">
        <f>TRIM(PROPER(Tabla_auditoría[[#This Row],[Responsable]]))</f>
        <v>Ana García</v>
      </c>
    </row>
    <row r="1400" spans="1:19" x14ac:dyDescent="0.3">
      <c r="A1400" s="1">
        <v>45714</v>
      </c>
      <c r="B1400" s="2" t="s">
        <v>2514</v>
      </c>
      <c r="C1400" s="2" t="s">
        <v>2541</v>
      </c>
      <c r="D1400" s="2" t="s">
        <v>2528</v>
      </c>
      <c r="E1400" s="2" t="s">
        <v>2529</v>
      </c>
      <c r="F1400" s="3">
        <v>147670</v>
      </c>
      <c r="G1400" s="3">
        <v>11109</v>
      </c>
      <c r="H1400" s="3">
        <v>293</v>
      </c>
      <c r="I1400" s="4">
        <v>12040.77</v>
      </c>
      <c r="J1400" s="4">
        <v>5299.35</v>
      </c>
      <c r="K1400" s="3">
        <v>151</v>
      </c>
      <c r="L1400" s="2" t="s">
        <v>2518</v>
      </c>
      <c r="M1400" s="2" t="s">
        <v>2524</v>
      </c>
      <c r="N1400" t="str">
        <f>TRIM(PROPER(Tabla_auditoría[[#This Row],[ID_Campaña]]))</f>
        <v>Cmp-002</v>
      </c>
      <c r="O1400" t="str">
        <f>TRIM(PROPER(Tabla_auditoría[[#This Row],[Canal]]))</f>
        <v>Display</v>
      </c>
      <c r="P1400" t="str">
        <f>TRIM(PROPER(Tabla_auditoría[[#This Row],[País]]))</f>
        <v>España</v>
      </c>
      <c r="Q1400" t="str">
        <f>TRIM(PROPER(Tabla_auditoría[[#This Row],[Dispositivo]]))</f>
        <v>Mobile</v>
      </c>
      <c r="R1400" t="str">
        <f>TRIM(PROPER(Tabla_auditoría[[#This Row],[Tipo_Campaña]]))</f>
        <v>Adquisición</v>
      </c>
      <c r="S1400" t="str">
        <f>TRIM(PROPER(Tabla_auditoría[[#This Row],[Responsable]]))</f>
        <v>Luis Martín</v>
      </c>
    </row>
    <row r="1401" spans="1:19" x14ac:dyDescent="0.3">
      <c r="A1401" s="1">
        <v>45752</v>
      </c>
      <c r="B1401" s="2" t="s">
        <v>2570</v>
      </c>
      <c r="C1401" s="2" t="s">
        <v>2515</v>
      </c>
      <c r="D1401" s="2" t="s">
        <v>2528</v>
      </c>
      <c r="E1401" s="2" t="s">
        <v>2517</v>
      </c>
      <c r="F1401" s="3">
        <v>70321</v>
      </c>
      <c r="G1401" s="3">
        <v>4372</v>
      </c>
      <c r="H1401" s="3">
        <v>359</v>
      </c>
      <c r="I1401" s="4">
        <v>467.89</v>
      </c>
      <c r="J1401" s="4">
        <v>66108.600000000006</v>
      </c>
      <c r="K1401" s="3">
        <v>180</v>
      </c>
      <c r="L1401" s="2" t="s">
        <v>2539</v>
      </c>
      <c r="M1401" s="2" t="s">
        <v>2519</v>
      </c>
      <c r="N1401" t="str">
        <f>TRIM(PROPER(Tabla_auditoría[[#This Row],[ID_Campaña]]))</f>
        <v>Cmp-016</v>
      </c>
      <c r="O1401" t="str">
        <f>TRIM(PROPER(Tabla_auditoría[[#This Row],[Canal]]))</f>
        <v>Email</v>
      </c>
      <c r="P1401" t="str">
        <f>TRIM(PROPER(Tabla_auditoría[[#This Row],[País]]))</f>
        <v>España</v>
      </c>
      <c r="Q1401" t="str">
        <f>TRIM(PROPER(Tabla_auditoría[[#This Row],[Dispositivo]]))</f>
        <v>Desktop</v>
      </c>
      <c r="R1401" t="str">
        <f>TRIM(PROPER(Tabla_auditoría[[#This Row],[Tipo_Campaña]]))</f>
        <v>Conversión</v>
      </c>
      <c r="S1401" t="str">
        <f>TRIM(PROPER(Tabla_auditoría[[#This Row],[Responsable]]))</f>
        <v>Carlos Ruiz</v>
      </c>
    </row>
    <row r="1402" spans="1:19" x14ac:dyDescent="0.3">
      <c r="A1402" s="1">
        <v>45695</v>
      </c>
      <c r="B1402" s="2" t="s">
        <v>2560</v>
      </c>
      <c r="C1402" s="2" t="s">
        <v>2515</v>
      </c>
      <c r="D1402" s="2" t="s">
        <v>2525</v>
      </c>
      <c r="E1402" s="2" t="s">
        <v>2517</v>
      </c>
      <c r="F1402" s="3">
        <v>113620</v>
      </c>
      <c r="G1402" s="3">
        <v>4875</v>
      </c>
      <c r="H1402" s="3">
        <v>268</v>
      </c>
      <c r="I1402" s="4">
        <v>6289.02</v>
      </c>
      <c r="J1402" s="4">
        <v>12077.01</v>
      </c>
      <c r="K1402" s="3">
        <v>189</v>
      </c>
      <c r="L1402" s="2" t="s">
        <v>2536</v>
      </c>
      <c r="M1402" s="2" t="s">
        <v>2526</v>
      </c>
      <c r="N1402" t="str">
        <f>TRIM(PROPER(Tabla_auditoría[[#This Row],[ID_Campaña]]))</f>
        <v>Cmp-027</v>
      </c>
      <c r="O1402" t="str">
        <f>TRIM(PROPER(Tabla_auditoría[[#This Row],[Canal]]))</f>
        <v>Email</v>
      </c>
      <c r="P1402" t="str">
        <f>TRIM(PROPER(Tabla_auditoría[[#This Row],[País]]))</f>
        <v>Francia</v>
      </c>
      <c r="Q1402" t="str">
        <f>TRIM(PROPER(Tabla_auditoría[[#This Row],[Dispositivo]]))</f>
        <v>Desktop</v>
      </c>
      <c r="R1402" t="str">
        <f>TRIM(PROPER(Tabla_auditoría[[#This Row],[Tipo_Campaña]]))</f>
        <v>Reconocimiento</v>
      </c>
      <c r="S1402" t="str">
        <f>TRIM(PROPER(Tabla_auditoría[[#This Row],[Responsable]]))</f>
        <v>Laura Pérez</v>
      </c>
    </row>
    <row r="1403" spans="1:19" x14ac:dyDescent="0.3">
      <c r="A1403" s="1">
        <v>45875</v>
      </c>
      <c r="B1403" s="2" t="s">
        <v>2545</v>
      </c>
      <c r="C1403" s="2" t="s">
        <v>2533</v>
      </c>
      <c r="D1403" s="2" t="s">
        <v>2528</v>
      </c>
      <c r="E1403" s="2" t="s">
        <v>2529</v>
      </c>
      <c r="F1403" s="3">
        <v>29752</v>
      </c>
      <c r="G1403" s="3">
        <v>1450</v>
      </c>
      <c r="H1403" s="3">
        <v>45</v>
      </c>
      <c r="I1403" s="4">
        <v>384.26</v>
      </c>
      <c r="J1403" s="4">
        <v>9049.51</v>
      </c>
      <c r="K1403" s="3">
        <v>31</v>
      </c>
      <c r="L1403" s="2" t="s">
        <v>2523</v>
      </c>
      <c r="M1403" s="2" t="s">
        <v>2546</v>
      </c>
      <c r="N1403" t="str">
        <f>TRIM(PROPER(Tabla_auditoría[[#This Row],[ID_Campaña]]))</f>
        <v>Cmp-011</v>
      </c>
      <c r="O1403" t="str">
        <f>TRIM(PROPER(Tabla_auditoría[[#This Row],[Canal]]))</f>
        <v>Paid Social</v>
      </c>
      <c r="P1403" t="str">
        <f>TRIM(PROPER(Tabla_auditoría[[#This Row],[País]]))</f>
        <v>España</v>
      </c>
      <c r="Q1403" t="str">
        <f>TRIM(PROPER(Tabla_auditoría[[#This Row],[Dispositivo]]))</f>
        <v>Mobile</v>
      </c>
      <c r="R1403" t="str">
        <f>TRIM(PROPER(Tabla_auditoría[[#This Row],[Tipo_Campaña]]))</f>
        <v>Retención</v>
      </c>
      <c r="S1403" t="str">
        <f>TRIM(PROPER(Tabla_auditoría[[#This Row],[Responsable]]))</f>
        <v>Ana García</v>
      </c>
    </row>
    <row r="1404" spans="1:19" x14ac:dyDescent="0.3">
      <c r="A1404" s="1">
        <v>45904</v>
      </c>
      <c r="B1404" s="2" t="s">
        <v>2547</v>
      </c>
      <c r="C1404" s="2" t="s">
        <v>2543</v>
      </c>
      <c r="D1404" s="2" t="s">
        <v>2528</v>
      </c>
      <c r="E1404" s="2" t="s">
        <v>2517</v>
      </c>
      <c r="F1404" s="3">
        <v>8125</v>
      </c>
      <c r="G1404" s="3">
        <v>352</v>
      </c>
      <c r="H1404" s="3">
        <v>27</v>
      </c>
      <c r="I1404" s="4">
        <v>639.34</v>
      </c>
      <c r="J1404" s="4">
        <v>906.81</v>
      </c>
      <c r="K1404" s="3">
        <v>24</v>
      </c>
      <c r="L1404" s="2" t="s">
        <v>2523</v>
      </c>
      <c r="M1404" s="2" t="s">
        <v>2537</v>
      </c>
      <c r="N1404" t="str">
        <f>TRIM(PROPER(Tabla_auditoría[[#This Row],[ID_Campaña]]))</f>
        <v>Cmp-018</v>
      </c>
      <c r="O1404" t="str">
        <f>TRIM(PROPER(Tabla_auditoría[[#This Row],[Canal]]))</f>
        <v>Organic Social</v>
      </c>
      <c r="P1404" t="str">
        <f>TRIM(PROPER(Tabla_auditoría[[#This Row],[País]]))</f>
        <v>España</v>
      </c>
      <c r="Q1404" t="str">
        <f>TRIM(PROPER(Tabla_auditoría[[#This Row],[Dispositivo]]))</f>
        <v>Desktop</v>
      </c>
      <c r="R1404" t="str">
        <f>TRIM(PROPER(Tabla_auditoría[[#This Row],[Tipo_Campaña]]))</f>
        <v>Retención</v>
      </c>
      <c r="S1404" t="str">
        <f>TRIM(PROPER(Tabla_auditoría[[#This Row],[Responsable]]))</f>
        <v>Marta López</v>
      </c>
    </row>
    <row r="1405" spans="1:19" x14ac:dyDescent="0.3">
      <c r="A1405" s="1">
        <v>45812</v>
      </c>
      <c r="B1405" s="2" t="s">
        <v>2555</v>
      </c>
      <c r="C1405" s="2" t="s">
        <v>2521</v>
      </c>
      <c r="D1405" s="2" t="s">
        <v>2528</v>
      </c>
      <c r="E1405" s="2" t="s">
        <v>2529</v>
      </c>
      <c r="F1405" s="3">
        <v>88571</v>
      </c>
      <c r="G1405" s="3">
        <v>4924</v>
      </c>
      <c r="H1405" s="3">
        <v>543</v>
      </c>
      <c r="I1405" s="4">
        <v>1933.38</v>
      </c>
      <c r="J1405" s="4">
        <v>58873.8</v>
      </c>
      <c r="K1405" s="3">
        <v>440</v>
      </c>
      <c r="L1405" s="2" t="s">
        <v>2536</v>
      </c>
      <c r="M1405" s="2" t="s">
        <v>2537</v>
      </c>
      <c r="N1405" t="str">
        <f>TRIM(PROPER(Tabla_auditoría[[#This Row],[ID_Campaña]]))</f>
        <v>Cmp-010</v>
      </c>
      <c r="O1405" t="str">
        <f>TRIM(PROPER(Tabla_auditoría[[#This Row],[Canal]]))</f>
        <v>Paid Search</v>
      </c>
      <c r="P1405" t="str">
        <f>TRIM(PROPER(Tabla_auditoría[[#This Row],[País]]))</f>
        <v>España</v>
      </c>
      <c r="Q1405" t="str">
        <f>TRIM(PROPER(Tabla_auditoría[[#This Row],[Dispositivo]]))</f>
        <v>Mobile</v>
      </c>
      <c r="R1405" t="str">
        <f>TRIM(PROPER(Tabla_auditoría[[#This Row],[Tipo_Campaña]]))</f>
        <v>Reconocimiento</v>
      </c>
      <c r="S1405" t="str">
        <f>TRIM(PROPER(Tabla_auditoría[[#This Row],[Responsable]]))</f>
        <v>Marta López</v>
      </c>
    </row>
    <row r="1406" spans="1:19" x14ac:dyDescent="0.3">
      <c r="A1406" s="1">
        <v>45740</v>
      </c>
      <c r="B1406" s="2" t="s">
        <v>2557</v>
      </c>
      <c r="C1406" s="2" t="s">
        <v>2543</v>
      </c>
      <c r="D1406" s="2" t="s">
        <v>2528</v>
      </c>
      <c r="E1406" s="2" t="s">
        <v>2534</v>
      </c>
      <c r="F1406" s="3">
        <v>8105</v>
      </c>
      <c r="G1406" s="3">
        <v>123</v>
      </c>
      <c r="H1406" s="3">
        <v>14</v>
      </c>
      <c r="I1406" s="4">
        <v>111.25</v>
      </c>
      <c r="J1406" s="4">
        <v>1557.09</v>
      </c>
      <c r="K1406" s="3">
        <v>11</v>
      </c>
      <c r="L1406" s="2" t="s">
        <v>2536</v>
      </c>
      <c r="M1406" s="2" t="s">
        <v>2519</v>
      </c>
      <c r="N1406" t="str">
        <f>TRIM(PROPER(Tabla_auditoría[[#This Row],[ID_Campaña]]))</f>
        <v>Cmp-030</v>
      </c>
      <c r="O1406" t="str">
        <f>TRIM(PROPER(Tabla_auditoría[[#This Row],[Canal]]))</f>
        <v>Organic Social</v>
      </c>
      <c r="P1406" t="str">
        <f>TRIM(PROPER(Tabla_auditoría[[#This Row],[País]]))</f>
        <v>España</v>
      </c>
      <c r="Q1406" t="str">
        <f>TRIM(PROPER(Tabla_auditoría[[#This Row],[Dispositivo]]))</f>
        <v>Tablet</v>
      </c>
      <c r="R1406" t="str">
        <f>TRIM(PROPER(Tabla_auditoría[[#This Row],[Tipo_Campaña]]))</f>
        <v>Reconocimiento</v>
      </c>
      <c r="S1406" t="str">
        <f>TRIM(PROPER(Tabla_auditoría[[#This Row],[Responsable]]))</f>
        <v>Carlos Ruiz</v>
      </c>
    </row>
    <row r="1407" spans="1:19" x14ac:dyDescent="0.3">
      <c r="A1407" s="1">
        <v>45683</v>
      </c>
      <c r="B1407" s="2" t="s">
        <v>2545</v>
      </c>
      <c r="C1407" s="2" t="s">
        <v>2541</v>
      </c>
      <c r="D1407" s="2" t="s">
        <v>2531</v>
      </c>
      <c r="E1407" s="2" t="s">
        <v>2529</v>
      </c>
      <c r="F1407" s="3">
        <v>153799</v>
      </c>
      <c r="G1407" s="3">
        <v>13478</v>
      </c>
      <c r="H1407" s="3">
        <v>1011</v>
      </c>
      <c r="I1407" s="4">
        <v>7598.32</v>
      </c>
      <c r="J1407" s="4">
        <v>137373.91</v>
      </c>
      <c r="K1407" s="3">
        <v>808</v>
      </c>
      <c r="L1407" s="2" t="s">
        <v>2539</v>
      </c>
      <c r="M1407" s="2" t="s">
        <v>2537</v>
      </c>
      <c r="N1407" t="str">
        <f>TRIM(PROPER(Tabla_auditoría[[#This Row],[ID_Campaña]]))</f>
        <v>Cmp-011</v>
      </c>
      <c r="O1407" t="str">
        <f>TRIM(PROPER(Tabla_auditoría[[#This Row],[Canal]]))</f>
        <v>Display</v>
      </c>
      <c r="P1407" t="str">
        <f>TRIM(PROPER(Tabla_auditoría[[#This Row],[País]]))</f>
        <v>Portugal</v>
      </c>
      <c r="Q1407" t="str">
        <f>TRIM(PROPER(Tabla_auditoría[[#This Row],[Dispositivo]]))</f>
        <v>Mobile</v>
      </c>
      <c r="R1407" t="str">
        <f>TRIM(PROPER(Tabla_auditoría[[#This Row],[Tipo_Campaña]]))</f>
        <v>Conversión</v>
      </c>
      <c r="S1407" t="str">
        <f>TRIM(PROPER(Tabla_auditoría[[#This Row],[Responsable]]))</f>
        <v>Marta López</v>
      </c>
    </row>
    <row r="1408" spans="1:19" x14ac:dyDescent="0.3">
      <c r="A1408" s="1">
        <v>45673</v>
      </c>
      <c r="B1408" s="2" t="s">
        <v>2554</v>
      </c>
      <c r="C1408" s="2" t="s">
        <v>2543</v>
      </c>
      <c r="D1408" s="2" t="s">
        <v>2528</v>
      </c>
      <c r="E1408" s="2" t="s">
        <v>2529</v>
      </c>
      <c r="F1408" s="3">
        <v>157079</v>
      </c>
      <c r="G1408" s="3">
        <v>5127</v>
      </c>
      <c r="H1408" s="3">
        <v>531</v>
      </c>
      <c r="I1408" s="4">
        <v>8414</v>
      </c>
      <c r="J1408" s="4">
        <v>34222.47</v>
      </c>
      <c r="K1408" s="3">
        <v>321</v>
      </c>
      <c r="L1408" s="2" t="s">
        <v>2518</v>
      </c>
      <c r="M1408" s="2" t="s">
        <v>2537</v>
      </c>
      <c r="N1408" t="str">
        <f>TRIM(PROPER(Tabla_auditoría[[#This Row],[ID_Campaña]]))</f>
        <v>Cmp-019</v>
      </c>
      <c r="O1408" t="str">
        <f>TRIM(PROPER(Tabla_auditoría[[#This Row],[Canal]]))</f>
        <v>Organic Social</v>
      </c>
      <c r="P1408" t="str">
        <f>TRIM(PROPER(Tabla_auditoría[[#This Row],[País]]))</f>
        <v>España</v>
      </c>
      <c r="Q1408" t="str">
        <f>TRIM(PROPER(Tabla_auditoría[[#This Row],[Dispositivo]]))</f>
        <v>Mobile</v>
      </c>
      <c r="R1408" t="str">
        <f>TRIM(PROPER(Tabla_auditoría[[#This Row],[Tipo_Campaña]]))</f>
        <v>Adquisición</v>
      </c>
      <c r="S1408" t="str">
        <f>TRIM(PROPER(Tabla_auditoría[[#This Row],[Responsable]]))</f>
        <v>Marta López</v>
      </c>
    </row>
    <row r="1409" spans="1:19" x14ac:dyDescent="0.3">
      <c r="A1409" s="1">
        <v>45899</v>
      </c>
      <c r="B1409" s="2" t="s">
        <v>2555</v>
      </c>
      <c r="C1409" s="2" t="s">
        <v>2515</v>
      </c>
      <c r="D1409" s="2" t="s">
        <v>2516</v>
      </c>
      <c r="E1409" s="2" t="s">
        <v>2529</v>
      </c>
      <c r="F1409" s="3">
        <v>12603</v>
      </c>
      <c r="G1409" s="3">
        <v>316</v>
      </c>
      <c r="H1409" s="3">
        <v>10</v>
      </c>
      <c r="I1409" s="4">
        <v>589.63</v>
      </c>
      <c r="J1409" s="4">
        <v>2172.6999999999998</v>
      </c>
      <c r="K1409" s="3">
        <v>6</v>
      </c>
      <c r="L1409" s="2" t="s">
        <v>2523</v>
      </c>
      <c r="M1409" s="2" t="s">
        <v>2537</v>
      </c>
      <c r="N1409" t="str">
        <f>TRIM(PROPER(Tabla_auditoría[[#This Row],[ID_Campaña]]))</f>
        <v>Cmp-010</v>
      </c>
      <c r="O1409" t="str">
        <f>TRIM(PROPER(Tabla_auditoría[[#This Row],[Canal]]))</f>
        <v>Email</v>
      </c>
      <c r="P1409" t="str">
        <f>TRIM(PROPER(Tabla_auditoría[[#This Row],[País]]))</f>
        <v>México</v>
      </c>
      <c r="Q1409" t="str">
        <f>TRIM(PROPER(Tabla_auditoría[[#This Row],[Dispositivo]]))</f>
        <v>Mobile</v>
      </c>
      <c r="R1409" t="str">
        <f>TRIM(PROPER(Tabla_auditoría[[#This Row],[Tipo_Campaña]]))</f>
        <v>Retención</v>
      </c>
      <c r="S1409" t="str">
        <f>TRIM(PROPER(Tabla_auditoría[[#This Row],[Responsable]]))</f>
        <v>Marta López</v>
      </c>
    </row>
    <row r="1410" spans="1:19" x14ac:dyDescent="0.3">
      <c r="A1410" s="1">
        <v>45990</v>
      </c>
      <c r="B1410" s="2" t="s">
        <v>2532</v>
      </c>
      <c r="C1410" s="2" t="s">
        <v>2533</v>
      </c>
      <c r="D1410" s="2" t="s">
        <v>2522</v>
      </c>
      <c r="E1410" s="2" t="s">
        <v>2517</v>
      </c>
      <c r="F1410" s="3">
        <v>30947</v>
      </c>
      <c r="G1410" s="3">
        <v>1116</v>
      </c>
      <c r="H1410" s="3">
        <v>47</v>
      </c>
      <c r="I1410" s="4">
        <v>2018.09</v>
      </c>
      <c r="J1410" s="4">
        <v>7571.93</v>
      </c>
      <c r="K1410" s="3">
        <v>40</v>
      </c>
      <c r="L1410" s="2" t="s">
        <v>2539</v>
      </c>
      <c r="M1410" s="2" t="s">
        <v>2526</v>
      </c>
      <c r="N1410" t="str">
        <f>TRIM(PROPER(Tabla_auditoría[[#This Row],[ID_Campaña]]))</f>
        <v>Cmp-022</v>
      </c>
      <c r="O1410" t="str">
        <f>TRIM(PROPER(Tabla_auditoría[[#This Row],[Canal]]))</f>
        <v>Paid Social</v>
      </c>
      <c r="P1410" t="str">
        <f>TRIM(PROPER(Tabla_auditoría[[#This Row],[País]]))</f>
        <v>Italia</v>
      </c>
      <c r="Q1410" t="str">
        <f>TRIM(PROPER(Tabla_auditoría[[#This Row],[Dispositivo]]))</f>
        <v>Desktop</v>
      </c>
      <c r="R1410" t="str">
        <f>TRIM(PROPER(Tabla_auditoría[[#This Row],[Tipo_Campaña]]))</f>
        <v>Conversión</v>
      </c>
      <c r="S1410" t="str">
        <f>TRIM(PROPER(Tabla_auditoría[[#This Row],[Responsable]]))</f>
        <v>Laura Pérez</v>
      </c>
    </row>
    <row r="1411" spans="1:19" x14ac:dyDescent="0.3">
      <c r="A1411" s="1">
        <v>45765</v>
      </c>
      <c r="B1411" s="2" t="s">
        <v>2567</v>
      </c>
      <c r="C1411" s="2" t="s">
        <v>2541</v>
      </c>
      <c r="D1411" s="2" t="s">
        <v>2516</v>
      </c>
      <c r="E1411" s="2" t="s">
        <v>2517</v>
      </c>
      <c r="F1411" s="3">
        <v>131188</v>
      </c>
      <c r="G1411" s="3">
        <v>6918</v>
      </c>
      <c r="H1411" s="3">
        <v>750</v>
      </c>
      <c r="I1411" s="4">
        <v>13825.98</v>
      </c>
      <c r="J1411" s="4">
        <v>56164.53</v>
      </c>
      <c r="K1411" s="3">
        <v>345</v>
      </c>
      <c r="L1411" s="2" t="s">
        <v>2539</v>
      </c>
      <c r="M1411" s="2" t="s">
        <v>2519</v>
      </c>
      <c r="N1411" t="str">
        <f>TRIM(PROPER(Tabla_auditoría[[#This Row],[ID_Campaña]]))</f>
        <v>Cmp-021</v>
      </c>
      <c r="O1411" t="str">
        <f>TRIM(PROPER(Tabla_auditoría[[#This Row],[Canal]]))</f>
        <v>Display</v>
      </c>
      <c r="P1411" t="str">
        <f>TRIM(PROPER(Tabla_auditoría[[#This Row],[País]]))</f>
        <v>México</v>
      </c>
      <c r="Q1411" t="str">
        <f>TRIM(PROPER(Tabla_auditoría[[#This Row],[Dispositivo]]))</f>
        <v>Desktop</v>
      </c>
      <c r="R1411" t="str">
        <f>TRIM(PROPER(Tabla_auditoría[[#This Row],[Tipo_Campaña]]))</f>
        <v>Conversión</v>
      </c>
      <c r="S1411" t="str">
        <f>TRIM(PROPER(Tabla_auditoría[[#This Row],[Responsable]]))</f>
        <v>Carlos Ruiz</v>
      </c>
    </row>
    <row r="1412" spans="1:19" x14ac:dyDescent="0.3">
      <c r="A1412" s="1">
        <v>45814</v>
      </c>
      <c r="B1412" s="2" t="s">
        <v>2557</v>
      </c>
      <c r="C1412" s="2" t="s">
        <v>2521</v>
      </c>
      <c r="D1412" s="2" t="s">
        <v>2528</v>
      </c>
      <c r="E1412" s="2" t="s">
        <v>2529</v>
      </c>
      <c r="F1412" s="3">
        <v>50273</v>
      </c>
      <c r="G1412" s="3">
        <v>655</v>
      </c>
      <c r="H1412" s="3">
        <v>79</v>
      </c>
      <c r="I1412" s="4">
        <v>1309.6099999999999</v>
      </c>
      <c r="J1412" s="4">
        <v>5382.81</v>
      </c>
      <c r="K1412" s="3">
        <v>68</v>
      </c>
      <c r="L1412" s="2" t="s">
        <v>2536</v>
      </c>
      <c r="M1412" s="2" t="s">
        <v>2524</v>
      </c>
      <c r="N1412" t="str">
        <f>TRIM(PROPER(Tabla_auditoría[[#This Row],[ID_Campaña]]))</f>
        <v>Cmp-030</v>
      </c>
      <c r="O1412" t="str">
        <f>TRIM(PROPER(Tabla_auditoría[[#This Row],[Canal]]))</f>
        <v>Paid Search</v>
      </c>
      <c r="P1412" t="str">
        <f>TRIM(PROPER(Tabla_auditoría[[#This Row],[País]]))</f>
        <v>España</v>
      </c>
      <c r="Q1412" t="str">
        <f>TRIM(PROPER(Tabla_auditoría[[#This Row],[Dispositivo]]))</f>
        <v>Mobile</v>
      </c>
      <c r="R1412" t="str">
        <f>TRIM(PROPER(Tabla_auditoría[[#This Row],[Tipo_Campaña]]))</f>
        <v>Reconocimiento</v>
      </c>
      <c r="S1412" t="str">
        <f>TRIM(PROPER(Tabla_auditoría[[#This Row],[Responsable]]))</f>
        <v>Luis Martín</v>
      </c>
    </row>
    <row r="1413" spans="1:19" x14ac:dyDescent="0.3">
      <c r="A1413" s="1">
        <v>45788</v>
      </c>
      <c r="B1413" s="2" t="s">
        <v>2532</v>
      </c>
      <c r="C1413" s="2" t="s">
        <v>2533</v>
      </c>
      <c r="D1413" s="2" t="s">
        <v>2573</v>
      </c>
      <c r="E1413" s="2" t="s">
        <v>2517</v>
      </c>
      <c r="F1413" s="3">
        <v>154262</v>
      </c>
      <c r="G1413" s="3">
        <v>2825</v>
      </c>
      <c r="H1413" s="3">
        <v>390</v>
      </c>
      <c r="I1413" s="4">
        <v>2855.96</v>
      </c>
      <c r="J1413" s="4">
        <v>7112.68</v>
      </c>
      <c r="K1413" s="3">
        <v>188</v>
      </c>
      <c r="L1413" s="2" t="s">
        <v>2539</v>
      </c>
      <c r="M1413" s="2" t="s">
        <v>2526</v>
      </c>
      <c r="N1413" t="str">
        <f>TRIM(PROPER(Tabla_auditoría[[#This Row],[ID_Campaña]]))</f>
        <v>Cmp-022</v>
      </c>
      <c r="O1413" t="str">
        <f>TRIM(PROPER(Tabla_auditoría[[#This Row],[Canal]]))</f>
        <v>Paid Social</v>
      </c>
      <c r="P1413" t="str">
        <f>TRIM(PROPER(Tabla_auditoría[[#This Row],[País]]))</f>
        <v>España</v>
      </c>
      <c r="Q1413" t="str">
        <f>TRIM(PROPER(Tabla_auditoría[[#This Row],[Dispositivo]]))</f>
        <v>Desktop</v>
      </c>
      <c r="R1413" t="str">
        <f>TRIM(PROPER(Tabla_auditoría[[#This Row],[Tipo_Campaña]]))</f>
        <v>Conversión</v>
      </c>
      <c r="S1413" t="str">
        <f>TRIM(PROPER(Tabla_auditoría[[#This Row],[Responsable]]))</f>
        <v>Laura Pérez</v>
      </c>
    </row>
    <row r="1414" spans="1:19" x14ac:dyDescent="0.3">
      <c r="A1414" s="1">
        <v>45873</v>
      </c>
      <c r="B1414" s="2" t="s">
        <v>2571</v>
      </c>
      <c r="C1414" s="2" t="s">
        <v>2543</v>
      </c>
      <c r="D1414" s="2" t="s">
        <v>2531</v>
      </c>
      <c r="E1414" s="2" t="s">
        <v>2529</v>
      </c>
      <c r="F1414" s="3">
        <v>79781</v>
      </c>
      <c r="G1414" s="3">
        <v>4728</v>
      </c>
      <c r="H1414" s="3">
        <v>374</v>
      </c>
      <c r="I1414" s="4">
        <v>7506.15</v>
      </c>
      <c r="J1414" s="4">
        <v>81617.710000000006</v>
      </c>
      <c r="K1414" s="3">
        <v>268</v>
      </c>
      <c r="L1414" s="2" t="s">
        <v>2523</v>
      </c>
      <c r="M1414" s="2" t="s">
        <v>2524</v>
      </c>
      <c r="N1414" t="str">
        <f>TRIM(PROPER(Tabla_auditoría[[#This Row],[ID_Campaña]]))</f>
        <v>Cmp-029</v>
      </c>
      <c r="O1414" t="str">
        <f>TRIM(PROPER(Tabla_auditoría[[#This Row],[Canal]]))</f>
        <v>Organic Social</v>
      </c>
      <c r="P1414" t="str">
        <f>TRIM(PROPER(Tabla_auditoría[[#This Row],[País]]))</f>
        <v>Portugal</v>
      </c>
      <c r="Q1414" t="str">
        <f>TRIM(PROPER(Tabla_auditoría[[#This Row],[Dispositivo]]))</f>
        <v>Mobile</v>
      </c>
      <c r="R1414" t="str">
        <f>TRIM(PROPER(Tabla_auditoría[[#This Row],[Tipo_Campaña]]))</f>
        <v>Retención</v>
      </c>
      <c r="S1414" t="str">
        <f>TRIM(PROPER(Tabla_auditoría[[#This Row],[Responsable]]))</f>
        <v>Luis Martín</v>
      </c>
    </row>
    <row r="1415" spans="1:19" x14ac:dyDescent="0.3">
      <c r="A1415" s="1">
        <v>45874</v>
      </c>
      <c r="B1415" s="2" t="s">
        <v>2552</v>
      </c>
      <c r="C1415" s="2" t="s">
        <v>2533</v>
      </c>
      <c r="D1415" s="2" t="s">
        <v>2528</v>
      </c>
      <c r="E1415" s="2" t="s">
        <v>2529</v>
      </c>
      <c r="F1415" s="3">
        <v>32930</v>
      </c>
      <c r="G1415" s="3">
        <v>961</v>
      </c>
      <c r="H1415" s="3">
        <v>67</v>
      </c>
      <c r="I1415" s="4">
        <v>1202.95</v>
      </c>
      <c r="J1415" s="4">
        <v>5692.84</v>
      </c>
      <c r="K1415" s="3">
        <v>44</v>
      </c>
      <c r="L1415" s="2" t="s">
        <v>2518</v>
      </c>
      <c r="M1415" s="2" t="s">
        <v>2524</v>
      </c>
      <c r="N1415" t="str">
        <f>TRIM(PROPER(Tabla_auditoría[[#This Row],[ID_Campaña]]))</f>
        <v>Cmp-012</v>
      </c>
      <c r="O1415" t="str">
        <f>TRIM(PROPER(Tabla_auditoría[[#This Row],[Canal]]))</f>
        <v>Paid Social</v>
      </c>
      <c r="P1415" t="str">
        <f>TRIM(PROPER(Tabla_auditoría[[#This Row],[País]]))</f>
        <v>España</v>
      </c>
      <c r="Q1415" t="str">
        <f>TRIM(PROPER(Tabla_auditoría[[#This Row],[Dispositivo]]))</f>
        <v>Mobile</v>
      </c>
      <c r="R1415" t="str">
        <f>TRIM(PROPER(Tabla_auditoría[[#This Row],[Tipo_Campaña]]))</f>
        <v>Adquisición</v>
      </c>
      <c r="S1415" t="str">
        <f>TRIM(PROPER(Tabla_auditoría[[#This Row],[Responsable]]))</f>
        <v>Luis Martín</v>
      </c>
    </row>
    <row r="1416" spans="1:19" x14ac:dyDescent="0.3">
      <c r="A1416" s="1">
        <v>45790</v>
      </c>
      <c r="B1416" s="2" t="s">
        <v>2544</v>
      </c>
      <c r="C1416" s="2" t="s">
        <v>2521</v>
      </c>
      <c r="D1416" s="2" t="s">
        <v>2531</v>
      </c>
      <c r="E1416" s="2" t="s">
        <v>2517</v>
      </c>
      <c r="F1416" s="3">
        <v>15642</v>
      </c>
      <c r="G1416" s="3">
        <v>1146</v>
      </c>
      <c r="H1416" s="3">
        <v>108</v>
      </c>
      <c r="I1416" s="4">
        <v>521.38</v>
      </c>
      <c r="J1416" s="4">
        <v>12405.33</v>
      </c>
      <c r="K1416" s="3">
        <v>59</v>
      </c>
      <c r="L1416" s="2" t="s">
        <v>2536</v>
      </c>
      <c r="M1416" s="2" t="s">
        <v>2524</v>
      </c>
      <c r="N1416" t="str">
        <f>TRIM(PROPER(Tabla_auditoría[[#This Row],[ID_Campaña]]))</f>
        <v>Cmp-006</v>
      </c>
      <c r="O1416" t="str">
        <f>TRIM(PROPER(Tabla_auditoría[[#This Row],[Canal]]))</f>
        <v>Paid Search</v>
      </c>
      <c r="P1416" t="str">
        <f>TRIM(PROPER(Tabla_auditoría[[#This Row],[País]]))</f>
        <v>Portugal</v>
      </c>
      <c r="Q1416" t="str">
        <f>TRIM(PROPER(Tabla_auditoría[[#This Row],[Dispositivo]]))</f>
        <v>Desktop</v>
      </c>
      <c r="R1416" t="str">
        <f>TRIM(PROPER(Tabla_auditoría[[#This Row],[Tipo_Campaña]]))</f>
        <v>Reconocimiento</v>
      </c>
      <c r="S1416" t="str">
        <f>TRIM(PROPER(Tabla_auditoría[[#This Row],[Responsable]]))</f>
        <v>Luis Martín</v>
      </c>
    </row>
    <row r="1417" spans="1:19" x14ac:dyDescent="0.3">
      <c r="A1417" s="1">
        <v>45676</v>
      </c>
      <c r="B1417" s="2" t="s">
        <v>2520</v>
      </c>
      <c r="C1417" s="2" t="s">
        <v>2541</v>
      </c>
      <c r="D1417" s="2" t="s">
        <v>2525</v>
      </c>
      <c r="E1417" s="2" t="s">
        <v>2529</v>
      </c>
      <c r="F1417" s="3">
        <v>164543</v>
      </c>
      <c r="G1417" s="3">
        <v>1783</v>
      </c>
      <c r="H1417" s="3">
        <v>48</v>
      </c>
      <c r="I1417" s="4">
        <v>335.24</v>
      </c>
      <c r="J1417" s="4">
        <v>4381.3599999999997</v>
      </c>
      <c r="K1417" s="3">
        <v>36</v>
      </c>
      <c r="L1417" s="2" t="s">
        <v>2539</v>
      </c>
      <c r="M1417" s="2" t="s">
        <v>2524</v>
      </c>
      <c r="N1417" t="str">
        <f>TRIM(PROPER(Tabla_auditoría[[#This Row],[ID_Campaña]]))</f>
        <v>Cmp-009</v>
      </c>
      <c r="O1417" t="str">
        <f>TRIM(PROPER(Tabla_auditoría[[#This Row],[Canal]]))</f>
        <v>Display</v>
      </c>
      <c r="P1417" t="str">
        <f>TRIM(PROPER(Tabla_auditoría[[#This Row],[País]]))</f>
        <v>Francia</v>
      </c>
      <c r="Q1417" t="str">
        <f>TRIM(PROPER(Tabla_auditoría[[#This Row],[Dispositivo]]))</f>
        <v>Mobile</v>
      </c>
      <c r="R1417" t="str">
        <f>TRIM(PROPER(Tabla_auditoría[[#This Row],[Tipo_Campaña]]))</f>
        <v>Conversión</v>
      </c>
      <c r="S1417" t="str">
        <f>TRIM(PROPER(Tabla_auditoría[[#This Row],[Responsable]]))</f>
        <v>Luis Martín</v>
      </c>
    </row>
    <row r="1418" spans="1:19" x14ac:dyDescent="0.3">
      <c r="A1418" s="1">
        <v>45882</v>
      </c>
      <c r="B1418" s="2" t="s">
        <v>2552</v>
      </c>
      <c r="C1418" s="2" t="s">
        <v>2521</v>
      </c>
      <c r="D1418" s="2" t="s">
        <v>2522</v>
      </c>
      <c r="E1418" s="2" t="s">
        <v>2529</v>
      </c>
      <c r="F1418" s="3">
        <v>150527</v>
      </c>
      <c r="G1418" s="3">
        <v>6648</v>
      </c>
      <c r="H1418" s="3">
        <v>882</v>
      </c>
      <c r="I1418" s="4">
        <v>1778.87</v>
      </c>
      <c r="J1418" s="4">
        <v>132901.84</v>
      </c>
      <c r="K1418" s="3">
        <v>660</v>
      </c>
      <c r="L1418" s="2" t="s">
        <v>2536</v>
      </c>
      <c r="M1418" s="2" t="s">
        <v>2546</v>
      </c>
      <c r="N1418" t="str">
        <f>TRIM(PROPER(Tabla_auditoría[[#This Row],[ID_Campaña]]))</f>
        <v>Cmp-012</v>
      </c>
      <c r="O1418" t="str">
        <f>TRIM(PROPER(Tabla_auditoría[[#This Row],[Canal]]))</f>
        <v>Paid Search</v>
      </c>
      <c r="P1418" t="str">
        <f>TRIM(PROPER(Tabla_auditoría[[#This Row],[País]]))</f>
        <v>Italia</v>
      </c>
      <c r="Q1418" t="str">
        <f>TRIM(PROPER(Tabla_auditoría[[#This Row],[Dispositivo]]))</f>
        <v>Mobile</v>
      </c>
      <c r="R1418" t="str">
        <f>TRIM(PROPER(Tabla_auditoría[[#This Row],[Tipo_Campaña]]))</f>
        <v>Reconocimiento</v>
      </c>
      <c r="S1418" t="str">
        <f>TRIM(PROPER(Tabla_auditoría[[#This Row],[Responsable]]))</f>
        <v>Ana García</v>
      </c>
    </row>
    <row r="1419" spans="1:19" x14ac:dyDescent="0.3">
      <c r="A1419" s="1">
        <v>46006</v>
      </c>
      <c r="B1419" s="2" t="s">
        <v>2538</v>
      </c>
      <c r="C1419" s="2" t="s">
        <v>2541</v>
      </c>
      <c r="D1419" s="2" t="s">
        <v>2528</v>
      </c>
      <c r="E1419" s="2" t="s">
        <v>2517</v>
      </c>
      <c r="F1419" s="3">
        <v>102652</v>
      </c>
      <c r="G1419" s="3">
        <v>6331</v>
      </c>
      <c r="H1419" s="3">
        <v>741</v>
      </c>
      <c r="I1419" s="4">
        <v>7654.88</v>
      </c>
      <c r="J1419" s="4">
        <v>12865.93</v>
      </c>
      <c r="K1419" s="3">
        <v>396</v>
      </c>
      <c r="L1419" s="2" t="s">
        <v>2536</v>
      </c>
      <c r="M1419" s="2" t="s">
        <v>2519</v>
      </c>
      <c r="N1419" t="str">
        <f>TRIM(PROPER(Tabla_auditoría[[#This Row],[ID_Campaña]]))</f>
        <v>Cmp-004</v>
      </c>
      <c r="O1419" t="str">
        <f>TRIM(PROPER(Tabla_auditoría[[#This Row],[Canal]]))</f>
        <v>Display</v>
      </c>
      <c r="P1419" t="str">
        <f>TRIM(PROPER(Tabla_auditoría[[#This Row],[País]]))</f>
        <v>España</v>
      </c>
      <c r="Q1419" t="str">
        <f>TRIM(PROPER(Tabla_auditoría[[#This Row],[Dispositivo]]))</f>
        <v>Desktop</v>
      </c>
      <c r="R1419" t="str">
        <f>TRIM(PROPER(Tabla_auditoría[[#This Row],[Tipo_Campaña]]))</f>
        <v>Reconocimiento</v>
      </c>
      <c r="S1419" t="str">
        <f>TRIM(PROPER(Tabla_auditoría[[#This Row],[Responsable]]))</f>
        <v>Carlos Ruiz</v>
      </c>
    </row>
    <row r="1420" spans="1:19" x14ac:dyDescent="0.3">
      <c r="A1420" s="1">
        <v>45909</v>
      </c>
      <c r="B1420" s="2" t="s">
        <v>2564</v>
      </c>
      <c r="C1420" s="2" t="s">
        <v>2533</v>
      </c>
      <c r="D1420" s="2" t="s">
        <v>2528</v>
      </c>
      <c r="E1420" s="2" t="s">
        <v>2529</v>
      </c>
      <c r="F1420" s="3">
        <v>142149</v>
      </c>
      <c r="G1420" s="3">
        <v>5151</v>
      </c>
      <c r="H1420" s="3">
        <v>209</v>
      </c>
      <c r="I1420" s="4">
        <v>10034.25</v>
      </c>
      <c r="J1420" s="4">
        <v>3188.46</v>
      </c>
      <c r="K1420" s="3">
        <v>120</v>
      </c>
      <c r="L1420" s="2" t="s">
        <v>2518</v>
      </c>
      <c r="M1420" s="2" t="s">
        <v>2524</v>
      </c>
      <c r="N1420" t="str">
        <f>TRIM(PROPER(Tabla_auditoría[[#This Row],[ID_Campaña]]))</f>
        <v>Cmp-024</v>
      </c>
      <c r="O1420" t="str">
        <f>TRIM(PROPER(Tabla_auditoría[[#This Row],[Canal]]))</f>
        <v>Paid Social</v>
      </c>
      <c r="P1420" t="str">
        <f>TRIM(PROPER(Tabla_auditoría[[#This Row],[País]]))</f>
        <v>España</v>
      </c>
      <c r="Q1420" t="str">
        <f>TRIM(PROPER(Tabla_auditoría[[#This Row],[Dispositivo]]))</f>
        <v>Mobile</v>
      </c>
      <c r="R1420" t="str">
        <f>TRIM(PROPER(Tabla_auditoría[[#This Row],[Tipo_Campaña]]))</f>
        <v>Adquisición</v>
      </c>
      <c r="S1420" t="str">
        <f>TRIM(PROPER(Tabla_auditoría[[#This Row],[Responsable]]))</f>
        <v>Luis Martín</v>
      </c>
    </row>
    <row r="1421" spans="1:19" x14ac:dyDescent="0.3">
      <c r="A1421" s="1">
        <v>46011</v>
      </c>
      <c r="B1421" s="2" t="s">
        <v>2547</v>
      </c>
      <c r="C1421" s="2" t="s">
        <v>2515</v>
      </c>
      <c r="D1421" s="2" t="s">
        <v>2528</v>
      </c>
      <c r="E1421" s="2" t="s">
        <v>2517</v>
      </c>
      <c r="F1421" s="3">
        <v>52292</v>
      </c>
      <c r="G1421" s="3">
        <v>3312</v>
      </c>
      <c r="H1421" s="3">
        <v>360</v>
      </c>
      <c r="I1421" s="4">
        <v>3057.14</v>
      </c>
      <c r="J1421" s="4">
        <v>69437.990000000005</v>
      </c>
      <c r="K1421" s="3">
        <v>238</v>
      </c>
      <c r="L1421" s="2" t="s">
        <v>2523</v>
      </c>
      <c r="M1421" s="2" t="s">
        <v>2519</v>
      </c>
      <c r="N1421" t="str">
        <f>TRIM(PROPER(Tabla_auditoría[[#This Row],[ID_Campaña]]))</f>
        <v>Cmp-018</v>
      </c>
      <c r="O1421" t="str">
        <f>TRIM(PROPER(Tabla_auditoría[[#This Row],[Canal]]))</f>
        <v>Email</v>
      </c>
      <c r="P1421" t="str">
        <f>TRIM(PROPER(Tabla_auditoría[[#This Row],[País]]))</f>
        <v>España</v>
      </c>
      <c r="Q1421" t="str">
        <f>TRIM(PROPER(Tabla_auditoría[[#This Row],[Dispositivo]]))</f>
        <v>Desktop</v>
      </c>
      <c r="R1421" t="str">
        <f>TRIM(PROPER(Tabla_auditoría[[#This Row],[Tipo_Campaña]]))</f>
        <v>Retención</v>
      </c>
      <c r="S1421" t="str">
        <f>TRIM(PROPER(Tabla_auditoría[[#This Row],[Responsable]]))</f>
        <v>Carlos Ruiz</v>
      </c>
    </row>
    <row r="1422" spans="1:19" x14ac:dyDescent="0.3">
      <c r="A1422" s="1">
        <v>45948</v>
      </c>
      <c r="B1422" s="2" t="s">
        <v>2535</v>
      </c>
      <c r="C1422" s="2" t="s">
        <v>2541</v>
      </c>
      <c r="D1422" s="2" t="s">
        <v>2522</v>
      </c>
      <c r="E1422" s="2" t="s">
        <v>2517</v>
      </c>
      <c r="F1422" s="3">
        <v>156599</v>
      </c>
      <c r="G1422" s="3">
        <v>4886</v>
      </c>
      <c r="H1422" s="3">
        <v>403</v>
      </c>
      <c r="I1422" s="4">
        <v>5879.31</v>
      </c>
      <c r="J1422" s="4">
        <v>53974.45</v>
      </c>
      <c r="K1422" s="3">
        <v>261</v>
      </c>
      <c r="L1422" s="2" t="s">
        <v>2536</v>
      </c>
      <c r="M1422" s="2" t="s">
        <v>2526</v>
      </c>
      <c r="N1422" t="str">
        <f>TRIM(PROPER(Tabla_auditoría[[#This Row],[ID_Campaña]]))</f>
        <v>Cmp-015</v>
      </c>
      <c r="O1422" t="str">
        <f>TRIM(PROPER(Tabla_auditoría[[#This Row],[Canal]]))</f>
        <v>Display</v>
      </c>
      <c r="P1422" t="str">
        <f>TRIM(PROPER(Tabla_auditoría[[#This Row],[País]]))</f>
        <v>Italia</v>
      </c>
      <c r="Q1422" t="str">
        <f>TRIM(PROPER(Tabla_auditoría[[#This Row],[Dispositivo]]))</f>
        <v>Desktop</v>
      </c>
      <c r="R1422" t="str">
        <f>TRIM(PROPER(Tabla_auditoría[[#This Row],[Tipo_Campaña]]))</f>
        <v>Reconocimiento</v>
      </c>
      <c r="S1422" t="str">
        <f>TRIM(PROPER(Tabla_auditoría[[#This Row],[Responsable]]))</f>
        <v>Laura Pérez</v>
      </c>
    </row>
    <row r="1423" spans="1:19" x14ac:dyDescent="0.3">
      <c r="A1423" s="1">
        <v>46013</v>
      </c>
      <c r="B1423" s="2" t="s">
        <v>2570</v>
      </c>
      <c r="C1423" s="2" t="s">
        <v>2515</v>
      </c>
      <c r="D1423" s="2" t="s">
        <v>2528</v>
      </c>
      <c r="E1423" s="2" t="s">
        <v>2529</v>
      </c>
      <c r="F1423" s="3">
        <v>123525</v>
      </c>
      <c r="G1423" s="3">
        <v>4416</v>
      </c>
      <c r="H1423" s="3">
        <v>443</v>
      </c>
      <c r="I1423" s="4">
        <v>9002.16</v>
      </c>
      <c r="J1423" s="4">
        <v>7346.83</v>
      </c>
      <c r="K1423" s="3">
        <v>271</v>
      </c>
      <c r="L1423" s="2" t="s">
        <v>2536</v>
      </c>
      <c r="M1423" s="2" t="s">
        <v>2519</v>
      </c>
      <c r="N1423" t="str">
        <f>TRIM(PROPER(Tabla_auditoría[[#This Row],[ID_Campaña]]))</f>
        <v>Cmp-016</v>
      </c>
      <c r="O1423" t="str">
        <f>TRIM(PROPER(Tabla_auditoría[[#This Row],[Canal]]))</f>
        <v>Email</v>
      </c>
      <c r="P1423" t="str">
        <f>TRIM(PROPER(Tabla_auditoría[[#This Row],[País]]))</f>
        <v>España</v>
      </c>
      <c r="Q1423" t="str">
        <f>TRIM(PROPER(Tabla_auditoría[[#This Row],[Dispositivo]]))</f>
        <v>Mobile</v>
      </c>
      <c r="R1423" t="str">
        <f>TRIM(PROPER(Tabla_auditoría[[#This Row],[Tipo_Campaña]]))</f>
        <v>Reconocimiento</v>
      </c>
      <c r="S1423" t="str">
        <f>TRIM(PROPER(Tabla_auditoría[[#This Row],[Responsable]]))</f>
        <v>Carlos Ruiz</v>
      </c>
    </row>
    <row r="1424" spans="1:19" x14ac:dyDescent="0.3">
      <c r="A1424" s="1">
        <v>45677</v>
      </c>
      <c r="B1424" s="2" t="s">
        <v>2566</v>
      </c>
      <c r="C1424" s="2" t="s">
        <v>2521</v>
      </c>
      <c r="D1424" s="2" t="s">
        <v>2531</v>
      </c>
      <c r="E1424" s="2" t="s">
        <v>2529</v>
      </c>
      <c r="F1424" s="3">
        <v>6385</v>
      </c>
      <c r="G1424" s="3">
        <v>378</v>
      </c>
      <c r="H1424" s="3">
        <v>51</v>
      </c>
      <c r="I1424" s="4">
        <v>554.84</v>
      </c>
      <c r="J1424" s="4">
        <v>2938.27</v>
      </c>
      <c r="K1424" s="3">
        <v>24</v>
      </c>
      <c r="L1424" s="2" t="s">
        <v>2539</v>
      </c>
      <c r="M1424" s="2" t="s">
        <v>2526</v>
      </c>
      <c r="N1424" t="str">
        <f>TRIM(PROPER(Tabla_auditoría[[#This Row],[ID_Campaña]]))</f>
        <v>Cmp-001</v>
      </c>
      <c r="O1424" t="str">
        <f>TRIM(PROPER(Tabla_auditoría[[#This Row],[Canal]]))</f>
        <v>Paid Search</v>
      </c>
      <c r="P1424" t="str">
        <f>TRIM(PROPER(Tabla_auditoría[[#This Row],[País]]))</f>
        <v>Portugal</v>
      </c>
      <c r="Q1424" t="str">
        <f>TRIM(PROPER(Tabla_auditoría[[#This Row],[Dispositivo]]))</f>
        <v>Mobile</v>
      </c>
      <c r="R1424" t="str">
        <f>TRIM(PROPER(Tabla_auditoría[[#This Row],[Tipo_Campaña]]))</f>
        <v>Conversión</v>
      </c>
      <c r="S1424" t="str">
        <f>TRIM(PROPER(Tabla_auditoría[[#This Row],[Responsable]]))</f>
        <v>Laura Pérez</v>
      </c>
    </row>
    <row r="1425" spans="1:19" x14ac:dyDescent="0.3">
      <c r="A1425" s="1">
        <v>45742</v>
      </c>
      <c r="B1425" s="2" t="s">
        <v>2565</v>
      </c>
      <c r="C1425" s="2" t="s">
        <v>2527</v>
      </c>
      <c r="D1425" s="2" t="s">
        <v>2528</v>
      </c>
      <c r="E1425" s="2" t="s">
        <v>2529</v>
      </c>
      <c r="F1425" s="3">
        <v>130044</v>
      </c>
      <c r="G1425" s="3">
        <v>7319</v>
      </c>
      <c r="H1425" s="3">
        <v>386</v>
      </c>
      <c r="I1425" s="4">
        <v>13151.05</v>
      </c>
      <c r="J1425" s="4">
        <v>68396.33</v>
      </c>
      <c r="K1425" s="3">
        <v>304</v>
      </c>
      <c r="L1425" s="2" t="s">
        <v>2536</v>
      </c>
      <c r="M1425" s="2" t="s">
        <v>2546</v>
      </c>
      <c r="N1425" t="str">
        <f>TRIM(PROPER(Tabla_auditoría[[#This Row],[ID_Campaña]]))</f>
        <v>Cmp-005</v>
      </c>
      <c r="O1425" t="str">
        <f>TRIM(PROPER(Tabla_auditoría[[#This Row],[Canal]]))</f>
        <v>Affiliate</v>
      </c>
      <c r="P1425" t="str">
        <f>TRIM(PROPER(Tabla_auditoría[[#This Row],[País]]))</f>
        <v>España</v>
      </c>
      <c r="Q1425" t="str">
        <f>TRIM(PROPER(Tabla_auditoría[[#This Row],[Dispositivo]]))</f>
        <v>Mobile</v>
      </c>
      <c r="R1425" t="str">
        <f>TRIM(PROPER(Tabla_auditoría[[#This Row],[Tipo_Campaña]]))</f>
        <v>Reconocimiento</v>
      </c>
      <c r="S1425" t="str">
        <f>TRIM(PROPER(Tabla_auditoría[[#This Row],[Responsable]]))</f>
        <v>Ana García</v>
      </c>
    </row>
    <row r="1426" spans="1:19" x14ac:dyDescent="0.3">
      <c r="A1426" s="1">
        <v>45733</v>
      </c>
      <c r="B1426" s="2" t="s">
        <v>2557</v>
      </c>
      <c r="C1426" s="2" t="s">
        <v>2515</v>
      </c>
      <c r="D1426" s="2" t="s">
        <v>2516</v>
      </c>
      <c r="E1426" s="2" t="s">
        <v>2534</v>
      </c>
      <c r="F1426" s="3">
        <v>88209</v>
      </c>
      <c r="G1426" s="3">
        <v>398</v>
      </c>
      <c r="H1426" s="3">
        <v>49</v>
      </c>
      <c r="I1426" s="4">
        <v>539.1</v>
      </c>
      <c r="J1426" s="4">
        <v>8477.5300000000007</v>
      </c>
      <c r="K1426" s="3">
        <v>29</v>
      </c>
      <c r="L1426" s="2" t="s">
        <v>2523</v>
      </c>
      <c r="M1426" s="2" t="s">
        <v>2524</v>
      </c>
      <c r="N1426" t="str">
        <f>TRIM(PROPER(Tabla_auditoría[[#This Row],[ID_Campaña]]))</f>
        <v>Cmp-030</v>
      </c>
      <c r="O1426" t="str">
        <f>TRIM(PROPER(Tabla_auditoría[[#This Row],[Canal]]))</f>
        <v>Email</v>
      </c>
      <c r="P1426" t="str">
        <f>TRIM(PROPER(Tabla_auditoría[[#This Row],[País]]))</f>
        <v>México</v>
      </c>
      <c r="Q1426" t="str">
        <f>TRIM(PROPER(Tabla_auditoría[[#This Row],[Dispositivo]]))</f>
        <v>Tablet</v>
      </c>
      <c r="R1426" t="str">
        <f>TRIM(PROPER(Tabla_auditoría[[#This Row],[Tipo_Campaña]]))</f>
        <v>Retención</v>
      </c>
      <c r="S1426" t="str">
        <f>TRIM(PROPER(Tabla_auditoría[[#This Row],[Responsable]]))</f>
        <v>Luis Martín</v>
      </c>
    </row>
    <row r="1427" spans="1:19" x14ac:dyDescent="0.3">
      <c r="A1427" s="1">
        <v>45932</v>
      </c>
      <c r="B1427" s="2" t="s">
        <v>2549</v>
      </c>
      <c r="C1427" s="2" t="s">
        <v>2527</v>
      </c>
      <c r="D1427" s="2" t="s">
        <v>2528</v>
      </c>
      <c r="E1427" s="2" t="s">
        <v>2534</v>
      </c>
      <c r="F1427" s="3">
        <v>155618</v>
      </c>
      <c r="G1427" s="3">
        <v>11634</v>
      </c>
      <c r="H1427" s="3">
        <v>1171</v>
      </c>
      <c r="I1427" s="4">
        <v>16483.939999999999</v>
      </c>
      <c r="J1427" s="4">
        <v>142358.87</v>
      </c>
      <c r="K1427" s="3">
        <v>668</v>
      </c>
      <c r="L1427" s="2" t="s">
        <v>2536</v>
      </c>
      <c r="M1427" s="2" t="s">
        <v>2546</v>
      </c>
      <c r="N1427" t="str">
        <f>TRIM(PROPER(Tabla_auditoría[[#This Row],[ID_Campaña]]))</f>
        <v>Cmp-007</v>
      </c>
      <c r="O1427" t="str">
        <f>TRIM(PROPER(Tabla_auditoría[[#This Row],[Canal]]))</f>
        <v>Affiliate</v>
      </c>
      <c r="P1427" t="str">
        <f>TRIM(PROPER(Tabla_auditoría[[#This Row],[País]]))</f>
        <v>España</v>
      </c>
      <c r="Q1427" t="str">
        <f>TRIM(PROPER(Tabla_auditoría[[#This Row],[Dispositivo]]))</f>
        <v>Tablet</v>
      </c>
      <c r="R1427" t="str">
        <f>TRIM(PROPER(Tabla_auditoría[[#This Row],[Tipo_Campaña]]))</f>
        <v>Reconocimiento</v>
      </c>
      <c r="S1427" t="str">
        <f>TRIM(PROPER(Tabla_auditoría[[#This Row],[Responsable]]))</f>
        <v>Ana García</v>
      </c>
    </row>
    <row r="1428" spans="1:19" x14ac:dyDescent="0.3">
      <c r="A1428" s="1">
        <v>45874</v>
      </c>
      <c r="B1428" s="2" t="s">
        <v>2554</v>
      </c>
      <c r="C1428" s="2" t="s">
        <v>2521</v>
      </c>
      <c r="D1428" s="2" t="s">
        <v>2525</v>
      </c>
      <c r="E1428" s="2" t="s">
        <v>2517</v>
      </c>
      <c r="F1428" s="3">
        <v>130763</v>
      </c>
      <c r="G1428" s="3">
        <v>890</v>
      </c>
      <c r="H1428" s="3">
        <v>25</v>
      </c>
      <c r="I1428" s="4">
        <v>694.99</v>
      </c>
      <c r="J1428" s="4">
        <v>745.93</v>
      </c>
      <c r="K1428" s="3">
        <v>14</v>
      </c>
      <c r="L1428" s="2" t="s">
        <v>2536</v>
      </c>
      <c r="M1428" s="2" t="s">
        <v>2524</v>
      </c>
      <c r="N1428" t="str">
        <f>TRIM(PROPER(Tabla_auditoría[[#This Row],[ID_Campaña]]))</f>
        <v>Cmp-019</v>
      </c>
      <c r="O1428" t="str">
        <f>TRIM(PROPER(Tabla_auditoría[[#This Row],[Canal]]))</f>
        <v>Paid Search</v>
      </c>
      <c r="P1428" t="str">
        <f>TRIM(PROPER(Tabla_auditoría[[#This Row],[País]]))</f>
        <v>Francia</v>
      </c>
      <c r="Q1428" t="str">
        <f>TRIM(PROPER(Tabla_auditoría[[#This Row],[Dispositivo]]))</f>
        <v>Desktop</v>
      </c>
      <c r="R1428" t="str">
        <f>TRIM(PROPER(Tabla_auditoría[[#This Row],[Tipo_Campaña]]))</f>
        <v>Reconocimiento</v>
      </c>
      <c r="S1428" t="str">
        <f>TRIM(PROPER(Tabla_auditoría[[#This Row],[Responsable]]))</f>
        <v>Luis Martín</v>
      </c>
    </row>
    <row r="1429" spans="1:19" x14ac:dyDescent="0.3">
      <c r="A1429" s="1">
        <v>45714</v>
      </c>
      <c r="B1429" s="2" t="s">
        <v>2530</v>
      </c>
      <c r="C1429" s="2" t="s">
        <v>2533</v>
      </c>
      <c r="D1429" s="2" t="s">
        <v>2516</v>
      </c>
      <c r="E1429" s="2" t="s">
        <v>2529</v>
      </c>
      <c r="F1429" s="3">
        <v>77734</v>
      </c>
      <c r="G1429" s="3">
        <v>4952</v>
      </c>
      <c r="H1429" s="3">
        <v>31</v>
      </c>
      <c r="I1429" s="4">
        <v>6671.24</v>
      </c>
      <c r="J1429" s="4">
        <v>2890.66</v>
      </c>
      <c r="K1429" s="3">
        <v>19</v>
      </c>
      <c r="L1429" s="2" t="s">
        <v>2536</v>
      </c>
      <c r="M1429" s="2" t="s">
        <v>2524</v>
      </c>
      <c r="N1429" t="str">
        <f>TRIM(PROPER(Tabla_auditoría[[#This Row],[ID_Campaña]]))</f>
        <v>Cmp-026</v>
      </c>
      <c r="O1429" t="str">
        <f>TRIM(PROPER(Tabla_auditoría[[#This Row],[Canal]]))</f>
        <v>Paid Social</v>
      </c>
      <c r="P1429" t="str">
        <f>TRIM(PROPER(Tabla_auditoría[[#This Row],[País]]))</f>
        <v>México</v>
      </c>
      <c r="Q1429" t="str">
        <f>TRIM(PROPER(Tabla_auditoría[[#This Row],[Dispositivo]]))</f>
        <v>Mobile</v>
      </c>
      <c r="R1429" t="str">
        <f>TRIM(PROPER(Tabla_auditoría[[#This Row],[Tipo_Campaña]]))</f>
        <v>Reconocimiento</v>
      </c>
      <c r="S1429" t="str">
        <f>TRIM(PROPER(Tabla_auditoría[[#This Row],[Responsable]]))</f>
        <v>Luis Martín</v>
      </c>
    </row>
    <row r="1430" spans="1:19" x14ac:dyDescent="0.3">
      <c r="A1430" s="1">
        <v>45870</v>
      </c>
      <c r="B1430" s="2" t="s">
        <v>2520</v>
      </c>
      <c r="C1430" s="2" t="s">
        <v>2541</v>
      </c>
      <c r="D1430" s="2" t="s">
        <v>2525</v>
      </c>
      <c r="E1430" s="2" t="s">
        <v>2529</v>
      </c>
      <c r="F1430" s="3">
        <v>147578</v>
      </c>
      <c r="G1430" s="3">
        <v>10590</v>
      </c>
      <c r="H1430" s="3">
        <v>573</v>
      </c>
      <c r="I1430" s="4">
        <v>12512.4</v>
      </c>
      <c r="J1430" s="4">
        <v>83779.899999999994</v>
      </c>
      <c r="K1430" s="3">
        <v>411</v>
      </c>
      <c r="L1430" s="2" t="s">
        <v>2539</v>
      </c>
      <c r="M1430" s="2" t="s">
        <v>2519</v>
      </c>
      <c r="N1430" t="str">
        <f>TRIM(PROPER(Tabla_auditoría[[#This Row],[ID_Campaña]]))</f>
        <v>Cmp-009</v>
      </c>
      <c r="O1430" t="str">
        <f>TRIM(PROPER(Tabla_auditoría[[#This Row],[Canal]]))</f>
        <v>Display</v>
      </c>
      <c r="P1430" t="str">
        <f>TRIM(PROPER(Tabla_auditoría[[#This Row],[País]]))</f>
        <v>Francia</v>
      </c>
      <c r="Q1430" t="str">
        <f>TRIM(PROPER(Tabla_auditoría[[#This Row],[Dispositivo]]))</f>
        <v>Mobile</v>
      </c>
      <c r="R1430" t="str">
        <f>TRIM(PROPER(Tabla_auditoría[[#This Row],[Tipo_Campaña]]))</f>
        <v>Conversión</v>
      </c>
      <c r="S1430" t="str">
        <f>TRIM(PROPER(Tabla_auditoría[[#This Row],[Responsable]]))</f>
        <v>Carlos Ruiz</v>
      </c>
    </row>
    <row r="1431" spans="1:19" x14ac:dyDescent="0.3">
      <c r="A1431" s="1">
        <v>45668</v>
      </c>
      <c r="B1431" s="2" t="s">
        <v>2574</v>
      </c>
      <c r="C1431" s="2" t="s">
        <v>2533</v>
      </c>
      <c r="D1431" s="2" t="s">
        <v>2528</v>
      </c>
      <c r="E1431" s="2" t="s">
        <v>2517</v>
      </c>
      <c r="F1431" s="3">
        <v>156532</v>
      </c>
      <c r="G1431" s="3">
        <v>1322</v>
      </c>
      <c r="H1431" s="3">
        <v>161</v>
      </c>
      <c r="I1431" s="4">
        <v>2354.91</v>
      </c>
      <c r="J1431" s="4">
        <v>23218.41</v>
      </c>
      <c r="K1431" s="3">
        <v>122</v>
      </c>
      <c r="L1431" s="2" t="s">
        <v>2518</v>
      </c>
      <c r="M1431" s="2" t="s">
        <v>2537</v>
      </c>
      <c r="N1431" t="str">
        <f>TRIM(PROPER(Tabla_auditoría[[#This Row],[ID_Campaña]]))</f>
        <v>Cmp-003</v>
      </c>
      <c r="O1431" t="str">
        <f>TRIM(PROPER(Tabla_auditoría[[#This Row],[Canal]]))</f>
        <v>Paid Social</v>
      </c>
      <c r="P1431" t="str">
        <f>TRIM(PROPER(Tabla_auditoría[[#This Row],[País]]))</f>
        <v>España</v>
      </c>
      <c r="Q1431" t="str">
        <f>TRIM(PROPER(Tabla_auditoría[[#This Row],[Dispositivo]]))</f>
        <v>Desktop</v>
      </c>
      <c r="R1431" t="str">
        <f>TRIM(PROPER(Tabla_auditoría[[#This Row],[Tipo_Campaña]]))</f>
        <v>Adquisición</v>
      </c>
      <c r="S1431" t="str">
        <f>TRIM(PROPER(Tabla_auditoría[[#This Row],[Responsable]]))</f>
        <v>Marta López</v>
      </c>
    </row>
    <row r="1432" spans="1:19" x14ac:dyDescent="0.3">
      <c r="A1432" s="1">
        <v>45672</v>
      </c>
      <c r="B1432" s="2" t="s">
        <v>2570</v>
      </c>
      <c r="C1432" s="2" t="s">
        <v>2527</v>
      </c>
      <c r="D1432" s="2" t="s">
        <v>2528</v>
      </c>
      <c r="E1432" s="2" t="s">
        <v>2529</v>
      </c>
      <c r="F1432" s="3">
        <v>103037</v>
      </c>
      <c r="G1432" s="3">
        <v>5721</v>
      </c>
      <c r="H1432" s="3">
        <v>686</v>
      </c>
      <c r="I1432" s="4">
        <v>10224.799999999999</v>
      </c>
      <c r="J1432" s="4">
        <v>31502.94</v>
      </c>
      <c r="K1432" s="3">
        <v>428</v>
      </c>
      <c r="L1432" s="2" t="s">
        <v>2518</v>
      </c>
      <c r="M1432" s="2" t="s">
        <v>2526</v>
      </c>
      <c r="N1432" t="str">
        <f>TRIM(PROPER(Tabla_auditoría[[#This Row],[ID_Campaña]]))</f>
        <v>Cmp-016</v>
      </c>
      <c r="O1432" t="str">
        <f>TRIM(PROPER(Tabla_auditoría[[#This Row],[Canal]]))</f>
        <v>Affiliate</v>
      </c>
      <c r="P1432" t="str">
        <f>TRIM(PROPER(Tabla_auditoría[[#This Row],[País]]))</f>
        <v>España</v>
      </c>
      <c r="Q1432" t="str">
        <f>TRIM(PROPER(Tabla_auditoría[[#This Row],[Dispositivo]]))</f>
        <v>Mobile</v>
      </c>
      <c r="R1432" t="str">
        <f>TRIM(PROPER(Tabla_auditoría[[#This Row],[Tipo_Campaña]]))</f>
        <v>Adquisición</v>
      </c>
      <c r="S1432" t="str">
        <f>TRIM(PROPER(Tabla_auditoría[[#This Row],[Responsable]]))</f>
        <v>Laura Pérez</v>
      </c>
    </row>
    <row r="1433" spans="1:19" x14ac:dyDescent="0.3">
      <c r="A1433" s="1">
        <v>45991</v>
      </c>
      <c r="B1433" s="2" t="s">
        <v>2568</v>
      </c>
      <c r="C1433" s="2" t="s">
        <v>2527</v>
      </c>
      <c r="D1433" s="2" t="s">
        <v>2531</v>
      </c>
      <c r="E1433" s="2" t="s">
        <v>2517</v>
      </c>
      <c r="F1433" s="3">
        <v>120105</v>
      </c>
      <c r="G1433" s="3">
        <v>10302</v>
      </c>
      <c r="H1433" s="3">
        <v>299</v>
      </c>
      <c r="I1433" s="4">
        <v>1537.67</v>
      </c>
      <c r="J1433" s="4">
        <v>23534.49</v>
      </c>
      <c r="K1433" s="3">
        <v>228</v>
      </c>
      <c r="L1433" s="2" t="s">
        <v>2539</v>
      </c>
      <c r="M1433" s="2" t="s">
        <v>2546</v>
      </c>
      <c r="N1433" t="str">
        <f>TRIM(PROPER(Tabla_auditoría[[#This Row],[ID_Campaña]]))</f>
        <v>Cmp-020</v>
      </c>
      <c r="O1433" t="str">
        <f>TRIM(PROPER(Tabla_auditoría[[#This Row],[Canal]]))</f>
        <v>Affiliate</v>
      </c>
      <c r="P1433" t="str">
        <f>TRIM(PROPER(Tabla_auditoría[[#This Row],[País]]))</f>
        <v>Portugal</v>
      </c>
      <c r="Q1433" t="str">
        <f>TRIM(PROPER(Tabla_auditoría[[#This Row],[Dispositivo]]))</f>
        <v>Desktop</v>
      </c>
      <c r="R1433" t="str">
        <f>TRIM(PROPER(Tabla_auditoría[[#This Row],[Tipo_Campaña]]))</f>
        <v>Conversión</v>
      </c>
      <c r="S1433" t="str">
        <f>TRIM(PROPER(Tabla_auditoría[[#This Row],[Responsable]]))</f>
        <v>Ana García</v>
      </c>
    </row>
    <row r="1434" spans="1:19" x14ac:dyDescent="0.3">
      <c r="A1434" s="1">
        <v>45898</v>
      </c>
      <c r="B1434" s="2" t="s">
        <v>2565</v>
      </c>
      <c r="C1434" s="2" t="s">
        <v>2521</v>
      </c>
      <c r="D1434" s="2" t="s">
        <v>2528</v>
      </c>
      <c r="E1434" s="2" t="s">
        <v>2529</v>
      </c>
      <c r="F1434" s="3">
        <v>36498</v>
      </c>
      <c r="G1434" s="3">
        <v>2356</v>
      </c>
      <c r="H1434" s="3">
        <v>299</v>
      </c>
      <c r="I1434" s="4">
        <v>486.73</v>
      </c>
      <c r="J1434" s="4">
        <v>40535.910000000003</v>
      </c>
      <c r="K1434" s="3">
        <v>231</v>
      </c>
      <c r="L1434" s="2" t="s">
        <v>2523</v>
      </c>
      <c r="M1434" s="2" t="s">
        <v>2526</v>
      </c>
      <c r="N1434" t="str">
        <f>TRIM(PROPER(Tabla_auditoría[[#This Row],[ID_Campaña]]))</f>
        <v>Cmp-005</v>
      </c>
      <c r="O1434" t="str">
        <f>TRIM(PROPER(Tabla_auditoría[[#This Row],[Canal]]))</f>
        <v>Paid Search</v>
      </c>
      <c r="P1434" t="str">
        <f>TRIM(PROPER(Tabla_auditoría[[#This Row],[País]]))</f>
        <v>España</v>
      </c>
      <c r="Q1434" t="str">
        <f>TRIM(PROPER(Tabla_auditoría[[#This Row],[Dispositivo]]))</f>
        <v>Mobile</v>
      </c>
      <c r="R1434" t="str">
        <f>TRIM(PROPER(Tabla_auditoría[[#This Row],[Tipo_Campaña]]))</f>
        <v>Retención</v>
      </c>
      <c r="S1434" t="str">
        <f>TRIM(PROPER(Tabla_auditoría[[#This Row],[Responsable]]))</f>
        <v>Laura Pérez</v>
      </c>
    </row>
    <row r="1435" spans="1:19" x14ac:dyDescent="0.3">
      <c r="A1435" s="1">
        <v>45845</v>
      </c>
      <c r="B1435" s="2" t="s">
        <v>2569</v>
      </c>
      <c r="C1435" s="2" t="s">
        <v>2543</v>
      </c>
      <c r="E1435" s="2" t="s">
        <v>2529</v>
      </c>
      <c r="F1435" s="3">
        <v>169826</v>
      </c>
      <c r="G1435" s="3">
        <v>12317</v>
      </c>
      <c r="H1435" s="3">
        <v>344</v>
      </c>
      <c r="I1435" s="4">
        <v>16000.14</v>
      </c>
      <c r="J1435" s="4">
        <v>22173.88</v>
      </c>
      <c r="K1435" s="3">
        <v>226</v>
      </c>
      <c r="L1435" s="2" t="s">
        <v>2518</v>
      </c>
      <c r="M1435" s="2" t="s">
        <v>2524</v>
      </c>
      <c r="N1435" t="str">
        <f>TRIM(PROPER(Tabla_auditoría[[#This Row],[ID_Campaña]]))</f>
        <v>Cmp-013</v>
      </c>
      <c r="O1435" t="str">
        <f>TRIM(PROPER(Tabla_auditoría[[#This Row],[Canal]]))</f>
        <v>Organic Social</v>
      </c>
      <c r="P1435" t="str">
        <f>TRIM(PROPER(Tabla_auditoría[[#This Row],[País]]))</f>
        <v/>
      </c>
      <c r="Q1435" t="str">
        <f>TRIM(PROPER(Tabla_auditoría[[#This Row],[Dispositivo]]))</f>
        <v>Mobile</v>
      </c>
      <c r="R1435" t="str">
        <f>TRIM(PROPER(Tabla_auditoría[[#This Row],[Tipo_Campaña]]))</f>
        <v>Adquisición</v>
      </c>
      <c r="S1435" t="str">
        <f>TRIM(PROPER(Tabla_auditoría[[#This Row],[Responsable]]))</f>
        <v>Luis Martín</v>
      </c>
    </row>
    <row r="1436" spans="1:19" x14ac:dyDescent="0.3">
      <c r="A1436" s="1">
        <v>45723</v>
      </c>
      <c r="B1436" s="2" t="s">
        <v>2568</v>
      </c>
      <c r="C1436" s="2" t="s">
        <v>2541</v>
      </c>
      <c r="D1436" s="2" t="s">
        <v>2531</v>
      </c>
      <c r="E1436" s="2" t="s">
        <v>2517</v>
      </c>
      <c r="F1436" s="3">
        <v>31003</v>
      </c>
      <c r="G1436" s="3">
        <v>553</v>
      </c>
      <c r="H1436" s="3">
        <v>35</v>
      </c>
      <c r="I1436" s="4">
        <v>680.31</v>
      </c>
      <c r="J1436" s="4">
        <v>2094.81</v>
      </c>
      <c r="K1436" s="3">
        <v>22</v>
      </c>
      <c r="L1436" s="2" t="s">
        <v>2539</v>
      </c>
      <c r="M1436" s="2" t="s">
        <v>2546</v>
      </c>
      <c r="N1436" t="str">
        <f>TRIM(PROPER(Tabla_auditoría[[#This Row],[ID_Campaña]]))</f>
        <v>Cmp-020</v>
      </c>
      <c r="O1436" t="str">
        <f>TRIM(PROPER(Tabla_auditoría[[#This Row],[Canal]]))</f>
        <v>Display</v>
      </c>
      <c r="P1436" t="str">
        <f>TRIM(PROPER(Tabla_auditoría[[#This Row],[País]]))</f>
        <v>Portugal</v>
      </c>
      <c r="Q1436" t="str">
        <f>TRIM(PROPER(Tabla_auditoría[[#This Row],[Dispositivo]]))</f>
        <v>Desktop</v>
      </c>
      <c r="R1436" t="str">
        <f>TRIM(PROPER(Tabla_auditoría[[#This Row],[Tipo_Campaña]]))</f>
        <v>Conversión</v>
      </c>
      <c r="S1436" t="str">
        <f>TRIM(PROPER(Tabla_auditoría[[#This Row],[Responsable]]))</f>
        <v>Ana García</v>
      </c>
    </row>
    <row r="1437" spans="1:19" x14ac:dyDescent="0.3">
      <c r="A1437" s="1">
        <v>45901</v>
      </c>
      <c r="B1437" s="2" t="s">
        <v>2550</v>
      </c>
      <c r="C1437" s="2" t="s">
        <v>2527</v>
      </c>
      <c r="D1437" s="2" t="s">
        <v>2528</v>
      </c>
      <c r="E1437" s="2" t="s">
        <v>2529</v>
      </c>
      <c r="F1437" s="3">
        <v>14291</v>
      </c>
      <c r="G1437" s="3">
        <v>1198</v>
      </c>
      <c r="H1437" s="3">
        <v>152</v>
      </c>
      <c r="I1437" s="4">
        <v>2139.21</v>
      </c>
      <c r="J1437" s="4">
        <v>19147.919999999998</v>
      </c>
      <c r="K1437" s="3">
        <v>96</v>
      </c>
      <c r="L1437" s="2" t="s">
        <v>2518</v>
      </c>
      <c r="M1437" s="2" t="s">
        <v>2526</v>
      </c>
      <c r="N1437" t="str">
        <f>TRIM(PROPER(Tabla_auditoría[[#This Row],[ID_Campaña]]))</f>
        <v>Cmp-008</v>
      </c>
      <c r="O1437" t="str">
        <f>TRIM(PROPER(Tabla_auditoría[[#This Row],[Canal]]))</f>
        <v>Affiliate</v>
      </c>
      <c r="P1437" t="str">
        <f>TRIM(PROPER(Tabla_auditoría[[#This Row],[País]]))</f>
        <v>España</v>
      </c>
      <c r="Q1437" t="str">
        <f>TRIM(PROPER(Tabla_auditoría[[#This Row],[Dispositivo]]))</f>
        <v>Mobile</v>
      </c>
      <c r="R1437" t="str">
        <f>TRIM(PROPER(Tabla_auditoría[[#This Row],[Tipo_Campaña]]))</f>
        <v>Adquisición</v>
      </c>
      <c r="S1437" t="str">
        <f>TRIM(PROPER(Tabla_auditoría[[#This Row],[Responsable]]))</f>
        <v>Laura Pérez</v>
      </c>
    </row>
    <row r="1438" spans="1:19" x14ac:dyDescent="0.3">
      <c r="A1438" s="1">
        <v>45703</v>
      </c>
      <c r="B1438" s="2" t="s">
        <v>2565</v>
      </c>
      <c r="C1438" s="2" t="s">
        <v>2515</v>
      </c>
      <c r="D1438" s="2" t="s">
        <v>2531</v>
      </c>
      <c r="E1438" s="2" t="s">
        <v>2517</v>
      </c>
      <c r="F1438" s="3">
        <v>71668</v>
      </c>
      <c r="G1438" s="3">
        <v>5069</v>
      </c>
      <c r="H1438" s="3">
        <v>594</v>
      </c>
      <c r="I1438" s="4">
        <v>7828.79</v>
      </c>
      <c r="J1438" s="4">
        <v>54460.88</v>
      </c>
      <c r="K1438" s="3">
        <v>309</v>
      </c>
      <c r="L1438" s="2" t="s">
        <v>2518</v>
      </c>
      <c r="M1438" s="2" t="s">
        <v>2526</v>
      </c>
      <c r="N1438" t="str">
        <f>TRIM(PROPER(Tabla_auditoría[[#This Row],[ID_Campaña]]))</f>
        <v>Cmp-005</v>
      </c>
      <c r="O1438" t="str">
        <f>TRIM(PROPER(Tabla_auditoría[[#This Row],[Canal]]))</f>
        <v>Email</v>
      </c>
      <c r="P1438" t="str">
        <f>TRIM(PROPER(Tabla_auditoría[[#This Row],[País]]))</f>
        <v>Portugal</v>
      </c>
      <c r="Q1438" t="str">
        <f>TRIM(PROPER(Tabla_auditoría[[#This Row],[Dispositivo]]))</f>
        <v>Desktop</v>
      </c>
      <c r="R1438" t="str">
        <f>TRIM(PROPER(Tabla_auditoría[[#This Row],[Tipo_Campaña]]))</f>
        <v>Adquisición</v>
      </c>
      <c r="S1438" t="str">
        <f>TRIM(PROPER(Tabla_auditoría[[#This Row],[Responsable]]))</f>
        <v>Laura Pérez</v>
      </c>
    </row>
    <row r="1439" spans="1:19" x14ac:dyDescent="0.3">
      <c r="A1439" s="1">
        <v>45853</v>
      </c>
      <c r="B1439" s="2" t="s">
        <v>2550</v>
      </c>
      <c r="C1439" s="2" t="s">
        <v>2521</v>
      </c>
      <c r="D1439" s="2" t="s">
        <v>2531</v>
      </c>
      <c r="E1439" s="2" t="s">
        <v>2529</v>
      </c>
      <c r="F1439" s="3">
        <v>47262</v>
      </c>
      <c r="G1439" s="3">
        <v>399</v>
      </c>
      <c r="H1439" s="3">
        <v>43</v>
      </c>
      <c r="I1439" s="4">
        <v>123.13</v>
      </c>
      <c r="J1439" s="4">
        <v>3262.63</v>
      </c>
      <c r="K1439" s="3">
        <v>30</v>
      </c>
      <c r="L1439" s="2" t="s">
        <v>2518</v>
      </c>
      <c r="M1439" s="2" t="s">
        <v>2546</v>
      </c>
      <c r="N1439" t="str">
        <f>TRIM(PROPER(Tabla_auditoría[[#This Row],[ID_Campaña]]))</f>
        <v>Cmp-008</v>
      </c>
      <c r="O1439" t="str">
        <f>TRIM(PROPER(Tabla_auditoría[[#This Row],[Canal]]))</f>
        <v>Paid Search</v>
      </c>
      <c r="P1439" t="str">
        <f>TRIM(PROPER(Tabla_auditoría[[#This Row],[País]]))</f>
        <v>Portugal</v>
      </c>
      <c r="Q1439" t="str">
        <f>TRIM(PROPER(Tabla_auditoría[[#This Row],[Dispositivo]]))</f>
        <v>Mobile</v>
      </c>
      <c r="R1439" t="str">
        <f>TRIM(PROPER(Tabla_auditoría[[#This Row],[Tipo_Campaña]]))</f>
        <v>Adquisición</v>
      </c>
      <c r="S1439" t="str">
        <f>TRIM(PROPER(Tabla_auditoría[[#This Row],[Responsable]]))</f>
        <v>Ana García</v>
      </c>
    </row>
    <row r="1440" spans="1:19" x14ac:dyDescent="0.3">
      <c r="A1440" s="1">
        <v>45908</v>
      </c>
      <c r="B1440" s="2" t="s">
        <v>2569</v>
      </c>
      <c r="C1440" s="2" t="s">
        <v>2515</v>
      </c>
      <c r="D1440" s="2" t="s">
        <v>2531</v>
      </c>
      <c r="E1440" s="2" t="s">
        <v>2517</v>
      </c>
      <c r="F1440" s="3">
        <v>103575</v>
      </c>
      <c r="G1440" s="3">
        <v>1136</v>
      </c>
      <c r="H1440" s="3">
        <v>82</v>
      </c>
      <c r="I1440" s="4">
        <v>2365.1999999999998</v>
      </c>
      <c r="J1440" s="4">
        <v>4606.62</v>
      </c>
      <c r="K1440" s="3">
        <v>45</v>
      </c>
      <c r="L1440" s="2" t="s">
        <v>2539</v>
      </c>
      <c r="M1440" s="2" t="s">
        <v>2524</v>
      </c>
      <c r="N1440" t="str">
        <f>TRIM(PROPER(Tabla_auditoría[[#This Row],[ID_Campaña]]))</f>
        <v>Cmp-013</v>
      </c>
      <c r="O1440" t="str">
        <f>TRIM(PROPER(Tabla_auditoría[[#This Row],[Canal]]))</f>
        <v>Email</v>
      </c>
      <c r="P1440" t="str">
        <f>TRIM(PROPER(Tabla_auditoría[[#This Row],[País]]))</f>
        <v>Portugal</v>
      </c>
      <c r="Q1440" t="str">
        <f>TRIM(PROPER(Tabla_auditoría[[#This Row],[Dispositivo]]))</f>
        <v>Desktop</v>
      </c>
      <c r="R1440" t="str">
        <f>TRIM(PROPER(Tabla_auditoría[[#This Row],[Tipo_Campaña]]))</f>
        <v>Conversión</v>
      </c>
      <c r="S1440" t="str">
        <f>TRIM(PROPER(Tabla_auditoría[[#This Row],[Responsable]]))</f>
        <v>Luis Martín</v>
      </c>
    </row>
    <row r="1441" spans="1:19" x14ac:dyDescent="0.3">
      <c r="A1441" s="1">
        <v>45871</v>
      </c>
      <c r="B1441" s="2" t="s">
        <v>2544</v>
      </c>
      <c r="C1441" s="2" t="s">
        <v>2521</v>
      </c>
      <c r="D1441" s="2" t="s">
        <v>2531</v>
      </c>
      <c r="E1441" s="2" t="s">
        <v>2529</v>
      </c>
      <c r="F1441" s="3">
        <v>141767</v>
      </c>
      <c r="G1441" s="3">
        <v>6496</v>
      </c>
      <c r="H1441" s="3">
        <v>657</v>
      </c>
      <c r="I1441" s="4">
        <v>1147.97</v>
      </c>
      <c r="J1441" s="4">
        <v>21812.31</v>
      </c>
      <c r="K1441" s="3">
        <v>573</v>
      </c>
      <c r="L1441" s="2" t="s">
        <v>2523</v>
      </c>
      <c r="M1441" s="2" t="s">
        <v>2537</v>
      </c>
      <c r="N1441" t="str">
        <f>TRIM(PROPER(Tabla_auditoría[[#This Row],[ID_Campaña]]))</f>
        <v>Cmp-006</v>
      </c>
      <c r="O1441" t="str">
        <f>TRIM(PROPER(Tabla_auditoría[[#This Row],[Canal]]))</f>
        <v>Paid Search</v>
      </c>
      <c r="P1441" t="str">
        <f>TRIM(PROPER(Tabla_auditoría[[#This Row],[País]]))</f>
        <v>Portugal</v>
      </c>
      <c r="Q1441" t="str">
        <f>TRIM(PROPER(Tabla_auditoría[[#This Row],[Dispositivo]]))</f>
        <v>Mobile</v>
      </c>
      <c r="R1441" t="str">
        <f>TRIM(PROPER(Tabla_auditoría[[#This Row],[Tipo_Campaña]]))</f>
        <v>Retención</v>
      </c>
      <c r="S1441" t="str">
        <f>TRIM(PROPER(Tabla_auditoría[[#This Row],[Responsable]]))</f>
        <v>Marta López</v>
      </c>
    </row>
    <row r="1442" spans="1:19" x14ac:dyDescent="0.3">
      <c r="A1442" s="1">
        <v>45775</v>
      </c>
      <c r="B1442" s="2" t="s">
        <v>2564</v>
      </c>
      <c r="C1442" s="2" t="s">
        <v>2541</v>
      </c>
      <c r="D1442" s="2" t="s">
        <v>2522</v>
      </c>
      <c r="E1442" s="2" t="s">
        <v>2517</v>
      </c>
      <c r="F1442" s="3">
        <v>78313</v>
      </c>
      <c r="G1442" s="3">
        <v>1331</v>
      </c>
      <c r="H1442" s="3">
        <v>93</v>
      </c>
      <c r="I1442" s="4">
        <v>1476.85</v>
      </c>
      <c r="J1442" s="4">
        <v>11856.12</v>
      </c>
      <c r="K1442" s="3">
        <v>79</v>
      </c>
      <c r="L1442" s="2" t="s">
        <v>2518</v>
      </c>
      <c r="M1442" s="2" t="s">
        <v>2519</v>
      </c>
      <c r="N1442" t="str">
        <f>TRIM(PROPER(Tabla_auditoría[[#This Row],[ID_Campaña]]))</f>
        <v>Cmp-024</v>
      </c>
      <c r="O1442" t="str">
        <f>TRIM(PROPER(Tabla_auditoría[[#This Row],[Canal]]))</f>
        <v>Display</v>
      </c>
      <c r="P1442" t="str">
        <f>TRIM(PROPER(Tabla_auditoría[[#This Row],[País]]))</f>
        <v>Italia</v>
      </c>
      <c r="Q1442" t="str">
        <f>TRIM(PROPER(Tabla_auditoría[[#This Row],[Dispositivo]]))</f>
        <v>Desktop</v>
      </c>
      <c r="R1442" t="str">
        <f>TRIM(PROPER(Tabla_auditoría[[#This Row],[Tipo_Campaña]]))</f>
        <v>Adquisición</v>
      </c>
      <c r="S1442" t="str">
        <f>TRIM(PROPER(Tabla_auditoría[[#This Row],[Responsable]]))</f>
        <v>Carlos Ruiz</v>
      </c>
    </row>
    <row r="1443" spans="1:19" x14ac:dyDescent="0.3">
      <c r="A1443" s="1">
        <v>45695</v>
      </c>
      <c r="B1443" s="2" t="s">
        <v>2569</v>
      </c>
      <c r="C1443" s="2" t="s">
        <v>2521</v>
      </c>
      <c r="D1443" s="2" t="s">
        <v>2528</v>
      </c>
      <c r="E1443" s="2" t="s">
        <v>2529</v>
      </c>
      <c r="F1443" s="3">
        <v>97509</v>
      </c>
      <c r="G1443" s="3">
        <v>1056</v>
      </c>
      <c r="H1443" s="3">
        <v>109</v>
      </c>
      <c r="I1443" s="4">
        <v>197.82</v>
      </c>
      <c r="J1443" s="4">
        <v>6537.22</v>
      </c>
      <c r="K1443" s="3">
        <v>55</v>
      </c>
      <c r="L1443" s="2" t="s">
        <v>2518</v>
      </c>
      <c r="M1443" s="2" t="s">
        <v>2537</v>
      </c>
      <c r="N1443" t="str">
        <f>TRIM(PROPER(Tabla_auditoría[[#This Row],[ID_Campaña]]))</f>
        <v>Cmp-013</v>
      </c>
      <c r="O1443" t="str">
        <f>TRIM(PROPER(Tabla_auditoría[[#This Row],[Canal]]))</f>
        <v>Paid Search</v>
      </c>
      <c r="P1443" t="str">
        <f>TRIM(PROPER(Tabla_auditoría[[#This Row],[País]]))</f>
        <v>España</v>
      </c>
      <c r="Q1443" t="str">
        <f>TRIM(PROPER(Tabla_auditoría[[#This Row],[Dispositivo]]))</f>
        <v>Mobile</v>
      </c>
      <c r="R1443" t="str">
        <f>TRIM(PROPER(Tabla_auditoría[[#This Row],[Tipo_Campaña]]))</f>
        <v>Adquisición</v>
      </c>
      <c r="S1443" t="str">
        <f>TRIM(PROPER(Tabla_auditoría[[#This Row],[Responsable]]))</f>
        <v>Marta López</v>
      </c>
    </row>
    <row r="1444" spans="1:19" x14ac:dyDescent="0.3">
      <c r="A1444" s="1">
        <v>45770</v>
      </c>
      <c r="B1444" s="2" t="s">
        <v>2532</v>
      </c>
      <c r="C1444" s="2" t="s">
        <v>2521</v>
      </c>
      <c r="D1444" s="2" t="s">
        <v>2522</v>
      </c>
      <c r="E1444" s="2" t="s">
        <v>2534</v>
      </c>
      <c r="F1444" s="3">
        <v>43260</v>
      </c>
      <c r="G1444" s="3">
        <v>1015</v>
      </c>
      <c r="H1444" s="3">
        <v>110</v>
      </c>
      <c r="I1444" s="4">
        <v>1803.86</v>
      </c>
      <c r="J1444" s="4">
        <v>7877.76</v>
      </c>
      <c r="K1444" s="3">
        <v>91</v>
      </c>
      <c r="L1444" s="2" t="s">
        <v>2539</v>
      </c>
      <c r="M1444" s="2" t="s">
        <v>2526</v>
      </c>
      <c r="N1444" t="str">
        <f>TRIM(PROPER(Tabla_auditoría[[#This Row],[ID_Campaña]]))</f>
        <v>Cmp-022</v>
      </c>
      <c r="O1444" t="str">
        <f>TRIM(PROPER(Tabla_auditoría[[#This Row],[Canal]]))</f>
        <v>Paid Search</v>
      </c>
      <c r="P1444" t="str">
        <f>TRIM(PROPER(Tabla_auditoría[[#This Row],[País]]))</f>
        <v>Italia</v>
      </c>
      <c r="Q1444" t="str">
        <f>TRIM(PROPER(Tabla_auditoría[[#This Row],[Dispositivo]]))</f>
        <v>Tablet</v>
      </c>
      <c r="R1444" t="str">
        <f>TRIM(PROPER(Tabla_auditoría[[#This Row],[Tipo_Campaña]]))</f>
        <v>Conversión</v>
      </c>
      <c r="S1444" t="str">
        <f>TRIM(PROPER(Tabla_auditoría[[#This Row],[Responsable]]))</f>
        <v>Laura Pérez</v>
      </c>
    </row>
    <row r="1445" spans="1:19" x14ac:dyDescent="0.3">
      <c r="A1445" s="1">
        <v>45889</v>
      </c>
      <c r="B1445" s="2" t="s">
        <v>2530</v>
      </c>
      <c r="C1445" s="2" t="s">
        <v>2515</v>
      </c>
      <c r="D1445" s="2" t="s">
        <v>2528</v>
      </c>
      <c r="E1445" s="2" t="s">
        <v>2517</v>
      </c>
      <c r="F1445" s="3">
        <v>105343</v>
      </c>
      <c r="G1445" s="3">
        <v>3588</v>
      </c>
      <c r="H1445" s="3">
        <v>250</v>
      </c>
      <c r="I1445" s="4">
        <v>2248.35</v>
      </c>
      <c r="J1445" s="4">
        <v>10991.46</v>
      </c>
      <c r="K1445" s="3">
        <v>167</v>
      </c>
      <c r="L1445" s="2" t="s">
        <v>2523</v>
      </c>
      <c r="M1445" s="2" t="s">
        <v>2537</v>
      </c>
      <c r="N1445" t="str">
        <f>TRIM(PROPER(Tabla_auditoría[[#This Row],[ID_Campaña]]))</f>
        <v>Cmp-026</v>
      </c>
      <c r="O1445" t="str">
        <f>TRIM(PROPER(Tabla_auditoría[[#This Row],[Canal]]))</f>
        <v>Email</v>
      </c>
      <c r="P1445" t="str">
        <f>TRIM(PROPER(Tabla_auditoría[[#This Row],[País]]))</f>
        <v>España</v>
      </c>
      <c r="Q1445" t="str">
        <f>TRIM(PROPER(Tabla_auditoría[[#This Row],[Dispositivo]]))</f>
        <v>Desktop</v>
      </c>
      <c r="R1445" t="str">
        <f>TRIM(PROPER(Tabla_auditoría[[#This Row],[Tipo_Campaña]]))</f>
        <v>Retención</v>
      </c>
      <c r="S1445" t="str">
        <f>TRIM(PROPER(Tabla_auditoría[[#This Row],[Responsable]]))</f>
        <v>Marta López</v>
      </c>
    </row>
    <row r="1446" spans="1:19" x14ac:dyDescent="0.3">
      <c r="A1446" s="1">
        <v>46002</v>
      </c>
      <c r="B1446" s="2" t="s">
        <v>2554</v>
      </c>
      <c r="C1446" s="2" t="s">
        <v>2543</v>
      </c>
      <c r="D1446" s="2" t="s">
        <v>2528</v>
      </c>
      <c r="E1446" s="2" t="s">
        <v>2517</v>
      </c>
      <c r="F1446" s="3">
        <v>59936</v>
      </c>
      <c r="G1446" s="3">
        <v>878</v>
      </c>
      <c r="H1446" s="3">
        <v>5</v>
      </c>
      <c r="I1446" s="4">
        <v>871.58</v>
      </c>
      <c r="J1446" s="4">
        <v>346.49</v>
      </c>
      <c r="K1446" s="3">
        <v>3</v>
      </c>
      <c r="L1446" s="2" t="s">
        <v>2518</v>
      </c>
      <c r="M1446" s="2" t="s">
        <v>2526</v>
      </c>
      <c r="N1446" t="str">
        <f>TRIM(PROPER(Tabla_auditoría[[#This Row],[ID_Campaña]]))</f>
        <v>Cmp-019</v>
      </c>
      <c r="O1446" t="str">
        <f>TRIM(PROPER(Tabla_auditoría[[#This Row],[Canal]]))</f>
        <v>Organic Social</v>
      </c>
      <c r="P1446" t="str">
        <f>TRIM(PROPER(Tabla_auditoría[[#This Row],[País]]))</f>
        <v>España</v>
      </c>
      <c r="Q1446" t="str">
        <f>TRIM(PROPER(Tabla_auditoría[[#This Row],[Dispositivo]]))</f>
        <v>Desktop</v>
      </c>
      <c r="R1446" t="str">
        <f>TRIM(PROPER(Tabla_auditoría[[#This Row],[Tipo_Campaña]]))</f>
        <v>Adquisición</v>
      </c>
      <c r="S1446" t="str">
        <f>TRIM(PROPER(Tabla_auditoría[[#This Row],[Responsable]]))</f>
        <v>Laura Pérez</v>
      </c>
    </row>
    <row r="1447" spans="1:19" x14ac:dyDescent="0.3">
      <c r="A1447" s="1">
        <v>45744</v>
      </c>
      <c r="B1447" s="2" t="s">
        <v>2571</v>
      </c>
      <c r="C1447" s="2" t="s">
        <v>2533</v>
      </c>
      <c r="D1447" s="2" t="s">
        <v>2528</v>
      </c>
      <c r="E1447" s="2" t="s">
        <v>2529</v>
      </c>
      <c r="F1447" s="3">
        <v>14341</v>
      </c>
      <c r="G1447" s="3">
        <v>242</v>
      </c>
      <c r="H1447" s="3">
        <v>32</v>
      </c>
      <c r="I1447" s="4">
        <v>224.46</v>
      </c>
      <c r="J1447" s="4">
        <v>3504.1</v>
      </c>
      <c r="K1447" s="3">
        <v>15</v>
      </c>
      <c r="L1447" s="2" t="s">
        <v>2518</v>
      </c>
      <c r="M1447" s="2" t="s">
        <v>2519</v>
      </c>
      <c r="N1447" t="str">
        <f>TRIM(PROPER(Tabla_auditoría[[#This Row],[ID_Campaña]]))</f>
        <v>Cmp-029</v>
      </c>
      <c r="O1447" t="str">
        <f>TRIM(PROPER(Tabla_auditoría[[#This Row],[Canal]]))</f>
        <v>Paid Social</v>
      </c>
      <c r="P1447" t="str">
        <f>TRIM(PROPER(Tabla_auditoría[[#This Row],[País]]))</f>
        <v>España</v>
      </c>
      <c r="Q1447" t="str">
        <f>TRIM(PROPER(Tabla_auditoría[[#This Row],[Dispositivo]]))</f>
        <v>Mobile</v>
      </c>
      <c r="R1447" t="str">
        <f>TRIM(PROPER(Tabla_auditoría[[#This Row],[Tipo_Campaña]]))</f>
        <v>Adquisición</v>
      </c>
      <c r="S1447" t="str">
        <f>TRIM(PROPER(Tabla_auditoría[[#This Row],[Responsable]]))</f>
        <v>Carlos Ruiz</v>
      </c>
    </row>
    <row r="1448" spans="1:19" x14ac:dyDescent="0.3">
      <c r="A1448" s="1">
        <v>45868</v>
      </c>
      <c r="B1448" s="2" t="s">
        <v>2520</v>
      </c>
      <c r="C1448" s="2" t="s">
        <v>2541</v>
      </c>
      <c r="D1448" s="2" t="s">
        <v>2528</v>
      </c>
      <c r="E1448" s="2" t="s">
        <v>2517</v>
      </c>
      <c r="F1448" s="3">
        <v>95745</v>
      </c>
      <c r="G1448" s="3">
        <v>5589</v>
      </c>
      <c r="H1448" s="3">
        <v>779</v>
      </c>
      <c r="I1448" s="4">
        <v>10587.37</v>
      </c>
      <c r="J1448" s="4">
        <v>65434.22</v>
      </c>
      <c r="K1448" s="3">
        <v>623</v>
      </c>
      <c r="L1448" s="2" t="s">
        <v>2518</v>
      </c>
      <c r="M1448" s="2" t="s">
        <v>2524</v>
      </c>
      <c r="N1448" t="str">
        <f>TRIM(PROPER(Tabla_auditoría[[#This Row],[ID_Campaña]]))</f>
        <v>Cmp-009</v>
      </c>
      <c r="O1448" t="str">
        <f>TRIM(PROPER(Tabla_auditoría[[#This Row],[Canal]]))</f>
        <v>Display</v>
      </c>
      <c r="P1448" t="str">
        <f>TRIM(PROPER(Tabla_auditoría[[#This Row],[País]]))</f>
        <v>España</v>
      </c>
      <c r="Q1448" t="str">
        <f>TRIM(PROPER(Tabla_auditoría[[#This Row],[Dispositivo]]))</f>
        <v>Desktop</v>
      </c>
      <c r="R1448" t="str">
        <f>TRIM(PROPER(Tabla_auditoría[[#This Row],[Tipo_Campaña]]))</f>
        <v>Adquisición</v>
      </c>
      <c r="S1448" t="str">
        <f>TRIM(PROPER(Tabla_auditoría[[#This Row],[Responsable]]))</f>
        <v>Luis Martín</v>
      </c>
    </row>
    <row r="1449" spans="1:19" x14ac:dyDescent="0.3">
      <c r="A1449" s="1">
        <v>45834</v>
      </c>
      <c r="B1449" s="2" t="s">
        <v>2563</v>
      </c>
      <c r="C1449" s="2" t="s">
        <v>2543</v>
      </c>
      <c r="D1449" s="2" t="s">
        <v>2528</v>
      </c>
      <c r="E1449" s="2" t="s">
        <v>2517</v>
      </c>
      <c r="F1449" s="3">
        <v>100907</v>
      </c>
      <c r="G1449" s="3">
        <v>6795</v>
      </c>
      <c r="H1449" s="3">
        <v>406</v>
      </c>
      <c r="I1449" s="4">
        <v>7949.67</v>
      </c>
      <c r="J1449" s="4">
        <v>58762.21</v>
      </c>
      <c r="K1449" s="3">
        <v>201</v>
      </c>
      <c r="L1449" s="2" t="s">
        <v>2518</v>
      </c>
      <c r="M1449" s="2" t="s">
        <v>2524</v>
      </c>
      <c r="N1449" t="str">
        <f>TRIM(PROPER(Tabla_auditoría[[#This Row],[ID_Campaña]]))</f>
        <v>Cmp-023</v>
      </c>
      <c r="O1449" t="str">
        <f>TRIM(PROPER(Tabla_auditoría[[#This Row],[Canal]]))</f>
        <v>Organic Social</v>
      </c>
      <c r="P1449" t="str">
        <f>TRIM(PROPER(Tabla_auditoría[[#This Row],[País]]))</f>
        <v>España</v>
      </c>
      <c r="Q1449" t="str">
        <f>TRIM(PROPER(Tabla_auditoría[[#This Row],[Dispositivo]]))</f>
        <v>Desktop</v>
      </c>
      <c r="R1449" t="str">
        <f>TRIM(PROPER(Tabla_auditoría[[#This Row],[Tipo_Campaña]]))</f>
        <v>Adquisición</v>
      </c>
      <c r="S1449" t="str">
        <f>TRIM(PROPER(Tabla_auditoría[[#This Row],[Responsable]]))</f>
        <v>Luis Martín</v>
      </c>
    </row>
    <row r="1450" spans="1:19" x14ac:dyDescent="0.3">
      <c r="A1450" s="1">
        <v>45754</v>
      </c>
      <c r="B1450" s="2" t="s">
        <v>2535</v>
      </c>
      <c r="C1450" s="2" t="s">
        <v>2527</v>
      </c>
      <c r="D1450" s="2" t="s">
        <v>2525</v>
      </c>
      <c r="E1450" s="2" t="s">
        <v>2517</v>
      </c>
      <c r="F1450" s="3">
        <v>61294</v>
      </c>
      <c r="G1450" s="3">
        <v>3468</v>
      </c>
      <c r="H1450" s="3">
        <v>317</v>
      </c>
      <c r="I1450" s="4">
        <v>1246.53</v>
      </c>
      <c r="J1450" s="4">
        <v>12563.6</v>
      </c>
      <c r="K1450" s="3">
        <v>234</v>
      </c>
      <c r="L1450" s="2" t="s">
        <v>2536</v>
      </c>
      <c r="M1450" s="2" t="s">
        <v>2524</v>
      </c>
      <c r="N1450" t="str">
        <f>TRIM(PROPER(Tabla_auditoría[[#This Row],[ID_Campaña]]))</f>
        <v>Cmp-015</v>
      </c>
      <c r="O1450" t="str">
        <f>TRIM(PROPER(Tabla_auditoría[[#This Row],[Canal]]))</f>
        <v>Affiliate</v>
      </c>
      <c r="P1450" t="str">
        <f>TRIM(PROPER(Tabla_auditoría[[#This Row],[País]]))</f>
        <v>Francia</v>
      </c>
      <c r="Q1450" t="str">
        <f>TRIM(PROPER(Tabla_auditoría[[#This Row],[Dispositivo]]))</f>
        <v>Desktop</v>
      </c>
      <c r="R1450" t="str">
        <f>TRIM(PROPER(Tabla_auditoría[[#This Row],[Tipo_Campaña]]))</f>
        <v>Reconocimiento</v>
      </c>
      <c r="S1450" t="str">
        <f>TRIM(PROPER(Tabla_auditoría[[#This Row],[Responsable]]))</f>
        <v>Luis Martín</v>
      </c>
    </row>
    <row r="1451" spans="1:19" x14ac:dyDescent="0.3">
      <c r="A1451" s="1">
        <v>45898</v>
      </c>
      <c r="B1451" s="2" t="s">
        <v>2530</v>
      </c>
      <c r="C1451" s="2" t="s">
        <v>2533</v>
      </c>
      <c r="D1451" s="2" t="s">
        <v>2528</v>
      </c>
      <c r="E1451" s="2" t="s">
        <v>2529</v>
      </c>
      <c r="F1451" s="3">
        <v>137519</v>
      </c>
      <c r="G1451" s="3">
        <v>2555</v>
      </c>
      <c r="H1451" s="3">
        <v>240</v>
      </c>
      <c r="I1451" s="4">
        <v>1327.45</v>
      </c>
      <c r="J1451" s="4">
        <v>33367.160000000003</v>
      </c>
      <c r="K1451" s="3">
        <v>115</v>
      </c>
      <c r="L1451" s="2" t="s">
        <v>2523</v>
      </c>
      <c r="M1451" s="2" t="s">
        <v>2526</v>
      </c>
      <c r="N1451" t="str">
        <f>TRIM(PROPER(Tabla_auditoría[[#This Row],[ID_Campaña]]))</f>
        <v>Cmp-026</v>
      </c>
      <c r="O1451" t="str">
        <f>TRIM(PROPER(Tabla_auditoría[[#This Row],[Canal]]))</f>
        <v>Paid Social</v>
      </c>
      <c r="P1451" t="str">
        <f>TRIM(PROPER(Tabla_auditoría[[#This Row],[País]]))</f>
        <v>España</v>
      </c>
      <c r="Q1451" t="str">
        <f>TRIM(PROPER(Tabla_auditoría[[#This Row],[Dispositivo]]))</f>
        <v>Mobile</v>
      </c>
      <c r="R1451" t="str">
        <f>TRIM(PROPER(Tabla_auditoría[[#This Row],[Tipo_Campaña]]))</f>
        <v>Retención</v>
      </c>
      <c r="S1451" t="str">
        <f>TRIM(PROPER(Tabla_auditoría[[#This Row],[Responsable]]))</f>
        <v>Laura Pérez</v>
      </c>
    </row>
    <row r="1452" spans="1:19" x14ac:dyDescent="0.3">
      <c r="A1452" s="1">
        <v>45719</v>
      </c>
      <c r="B1452" s="2" t="s">
        <v>2549</v>
      </c>
      <c r="C1452" s="2" t="s">
        <v>2533</v>
      </c>
      <c r="D1452" s="2" t="s">
        <v>2525</v>
      </c>
      <c r="E1452" s="2" t="s">
        <v>2517</v>
      </c>
      <c r="F1452" s="3">
        <v>89898</v>
      </c>
      <c r="G1452" s="3">
        <v>4328</v>
      </c>
      <c r="H1452" s="3">
        <v>477</v>
      </c>
      <c r="I1452" s="4">
        <v>4689.42</v>
      </c>
      <c r="J1452" s="4">
        <v>25295.24</v>
      </c>
      <c r="K1452" s="3">
        <v>242</v>
      </c>
      <c r="L1452" s="2" t="s">
        <v>2523</v>
      </c>
      <c r="M1452" s="2" t="s">
        <v>2524</v>
      </c>
      <c r="N1452" t="str">
        <f>TRIM(PROPER(Tabla_auditoría[[#This Row],[ID_Campaña]]))</f>
        <v>Cmp-007</v>
      </c>
      <c r="O1452" t="str">
        <f>TRIM(PROPER(Tabla_auditoría[[#This Row],[Canal]]))</f>
        <v>Paid Social</v>
      </c>
      <c r="P1452" t="str">
        <f>TRIM(PROPER(Tabla_auditoría[[#This Row],[País]]))</f>
        <v>Francia</v>
      </c>
      <c r="Q1452" t="str">
        <f>TRIM(PROPER(Tabla_auditoría[[#This Row],[Dispositivo]]))</f>
        <v>Desktop</v>
      </c>
      <c r="R1452" t="str">
        <f>TRIM(PROPER(Tabla_auditoría[[#This Row],[Tipo_Campaña]]))</f>
        <v>Retención</v>
      </c>
      <c r="S1452" t="str">
        <f>TRIM(PROPER(Tabla_auditoría[[#This Row],[Responsable]]))</f>
        <v>Luis Martín</v>
      </c>
    </row>
    <row r="1453" spans="1:19" x14ac:dyDescent="0.3">
      <c r="A1453" s="1">
        <v>45717</v>
      </c>
      <c r="B1453" s="2" t="s">
        <v>2549</v>
      </c>
      <c r="C1453" s="2" t="s">
        <v>2533</v>
      </c>
      <c r="D1453" s="2" t="s">
        <v>2525</v>
      </c>
      <c r="E1453" s="2" t="s">
        <v>2517</v>
      </c>
      <c r="F1453" s="3">
        <v>32732</v>
      </c>
      <c r="G1453" s="3">
        <v>2044</v>
      </c>
      <c r="H1453" s="3">
        <v>225</v>
      </c>
      <c r="I1453" s="4">
        <v>1603.67</v>
      </c>
      <c r="J1453" s="4">
        <v>33187.96</v>
      </c>
      <c r="K1453" s="3">
        <v>112</v>
      </c>
      <c r="L1453" s="2" t="s">
        <v>2536</v>
      </c>
      <c r="M1453" s="2" t="s">
        <v>2526</v>
      </c>
      <c r="N1453" t="str">
        <f>TRIM(PROPER(Tabla_auditoría[[#This Row],[ID_Campaña]]))</f>
        <v>Cmp-007</v>
      </c>
      <c r="O1453" t="str">
        <f>TRIM(PROPER(Tabla_auditoría[[#This Row],[Canal]]))</f>
        <v>Paid Social</v>
      </c>
      <c r="P1453" t="str">
        <f>TRIM(PROPER(Tabla_auditoría[[#This Row],[País]]))</f>
        <v>Francia</v>
      </c>
      <c r="Q1453" t="str">
        <f>TRIM(PROPER(Tabla_auditoría[[#This Row],[Dispositivo]]))</f>
        <v>Desktop</v>
      </c>
      <c r="R1453" t="str">
        <f>TRIM(PROPER(Tabla_auditoría[[#This Row],[Tipo_Campaña]]))</f>
        <v>Reconocimiento</v>
      </c>
      <c r="S1453" t="str">
        <f>TRIM(PROPER(Tabla_auditoría[[#This Row],[Responsable]]))</f>
        <v>Laura Pérez</v>
      </c>
    </row>
    <row r="1454" spans="1:19" x14ac:dyDescent="0.3">
      <c r="A1454" s="1">
        <v>45799</v>
      </c>
      <c r="B1454" s="2" t="s">
        <v>2544</v>
      </c>
      <c r="C1454" s="2" t="s">
        <v>2543</v>
      </c>
      <c r="D1454" s="2" t="s">
        <v>2525</v>
      </c>
      <c r="E1454" s="2" t="s">
        <v>2596</v>
      </c>
      <c r="F1454" s="3">
        <v>115864</v>
      </c>
      <c r="G1454" s="3">
        <v>4552</v>
      </c>
      <c r="H1454" s="3">
        <v>279</v>
      </c>
      <c r="I1454" s="4">
        <v>4546.0600000000004</v>
      </c>
      <c r="J1454" s="4">
        <v>19995.349999999999</v>
      </c>
      <c r="K1454" s="3">
        <v>199</v>
      </c>
      <c r="L1454" s="2" t="s">
        <v>2518</v>
      </c>
      <c r="M1454" s="2" t="s">
        <v>2519</v>
      </c>
      <c r="N1454" t="str">
        <f>TRIM(PROPER(Tabla_auditoría[[#This Row],[ID_Campaña]]))</f>
        <v>Cmp-006</v>
      </c>
      <c r="O1454" t="str">
        <f>TRIM(PROPER(Tabla_auditoría[[#This Row],[Canal]]))</f>
        <v>Organic Social</v>
      </c>
      <c r="P1454" t="str">
        <f>TRIM(PROPER(Tabla_auditoría[[#This Row],[País]]))</f>
        <v>Francia</v>
      </c>
      <c r="Q1454" t="str">
        <f>TRIM(PROPER(Tabla_auditoría[[#This Row],[Dispositivo]]))</f>
        <v>Tablet</v>
      </c>
      <c r="R1454" t="str">
        <f>TRIM(PROPER(Tabla_auditoría[[#This Row],[Tipo_Campaña]]))</f>
        <v>Adquisición</v>
      </c>
      <c r="S1454" t="str">
        <f>TRIM(PROPER(Tabla_auditoría[[#This Row],[Responsable]]))</f>
        <v>Carlos Ruiz</v>
      </c>
    </row>
    <row r="1455" spans="1:19" x14ac:dyDescent="0.3">
      <c r="A1455" s="1">
        <v>45926</v>
      </c>
      <c r="B1455" s="2" t="s">
        <v>2514</v>
      </c>
      <c r="C1455" s="2" t="s">
        <v>2527</v>
      </c>
      <c r="D1455" s="2" t="s">
        <v>2531</v>
      </c>
      <c r="E1455" s="2" t="s">
        <v>2517</v>
      </c>
      <c r="F1455" s="3">
        <v>65814</v>
      </c>
      <c r="G1455" s="3">
        <v>3778</v>
      </c>
      <c r="H1455" s="3">
        <v>521</v>
      </c>
      <c r="I1455" s="4">
        <v>2008.57</v>
      </c>
      <c r="J1455" s="4">
        <v>21391.54</v>
      </c>
      <c r="K1455" s="3">
        <v>310</v>
      </c>
      <c r="L1455" s="2" t="s">
        <v>2523</v>
      </c>
      <c r="M1455" s="2" t="s">
        <v>2546</v>
      </c>
      <c r="N1455" t="str">
        <f>TRIM(PROPER(Tabla_auditoría[[#This Row],[ID_Campaña]]))</f>
        <v>Cmp-002</v>
      </c>
      <c r="O1455" t="str">
        <f>TRIM(PROPER(Tabla_auditoría[[#This Row],[Canal]]))</f>
        <v>Affiliate</v>
      </c>
      <c r="P1455" t="str">
        <f>TRIM(PROPER(Tabla_auditoría[[#This Row],[País]]))</f>
        <v>Portugal</v>
      </c>
      <c r="Q1455" t="str">
        <f>TRIM(PROPER(Tabla_auditoría[[#This Row],[Dispositivo]]))</f>
        <v>Desktop</v>
      </c>
      <c r="R1455" t="str">
        <f>TRIM(PROPER(Tabla_auditoría[[#This Row],[Tipo_Campaña]]))</f>
        <v>Retención</v>
      </c>
      <c r="S1455" t="str">
        <f>TRIM(PROPER(Tabla_auditoría[[#This Row],[Responsable]]))</f>
        <v>Ana García</v>
      </c>
    </row>
    <row r="1456" spans="1:19" x14ac:dyDescent="0.3">
      <c r="A1456" s="1">
        <v>46008</v>
      </c>
      <c r="B1456" s="2" t="s">
        <v>2550</v>
      </c>
      <c r="C1456" s="2" t="s">
        <v>2527</v>
      </c>
      <c r="D1456" s="2" t="s">
        <v>2528</v>
      </c>
      <c r="E1456" s="2" t="s">
        <v>2529</v>
      </c>
      <c r="F1456" s="3">
        <v>177117</v>
      </c>
      <c r="G1456" s="3">
        <v>10686</v>
      </c>
      <c r="H1456" s="3">
        <v>912</v>
      </c>
      <c r="I1456" s="4">
        <v>18761.16</v>
      </c>
      <c r="J1456" s="4">
        <v>76201.42</v>
      </c>
      <c r="K1456" s="3">
        <v>531</v>
      </c>
      <c r="L1456" s="2" t="s">
        <v>2518</v>
      </c>
      <c r="M1456" s="2" t="s">
        <v>2537</v>
      </c>
      <c r="N1456" t="str">
        <f>TRIM(PROPER(Tabla_auditoría[[#This Row],[ID_Campaña]]))</f>
        <v>Cmp-008</v>
      </c>
      <c r="O1456" t="str">
        <f>TRIM(PROPER(Tabla_auditoría[[#This Row],[Canal]]))</f>
        <v>Affiliate</v>
      </c>
      <c r="P1456" t="str">
        <f>TRIM(PROPER(Tabla_auditoría[[#This Row],[País]]))</f>
        <v>España</v>
      </c>
      <c r="Q1456" t="str">
        <f>TRIM(PROPER(Tabla_auditoría[[#This Row],[Dispositivo]]))</f>
        <v>Mobile</v>
      </c>
      <c r="R1456" t="str">
        <f>TRIM(PROPER(Tabla_auditoría[[#This Row],[Tipo_Campaña]]))</f>
        <v>Adquisición</v>
      </c>
      <c r="S1456" t="str">
        <f>TRIM(PROPER(Tabla_auditoría[[#This Row],[Responsable]]))</f>
        <v>Marta López</v>
      </c>
    </row>
    <row r="1457" spans="1:19" x14ac:dyDescent="0.3">
      <c r="A1457" s="1">
        <v>45948</v>
      </c>
      <c r="B1457" s="2" t="s">
        <v>2567</v>
      </c>
      <c r="C1457" s="2" t="s">
        <v>2543</v>
      </c>
      <c r="D1457" s="2" t="s">
        <v>2528</v>
      </c>
      <c r="E1457" s="2" t="s">
        <v>2529</v>
      </c>
      <c r="F1457" s="3">
        <v>30956</v>
      </c>
      <c r="G1457" s="3">
        <v>1616</v>
      </c>
      <c r="H1457" s="3">
        <v>112</v>
      </c>
      <c r="I1457" s="4">
        <v>1529.88</v>
      </c>
      <c r="J1457" s="4">
        <v>18220.28</v>
      </c>
      <c r="K1457" s="3">
        <v>71</v>
      </c>
      <c r="L1457" s="2" t="s">
        <v>2523</v>
      </c>
      <c r="M1457" s="2" t="s">
        <v>2519</v>
      </c>
      <c r="N1457" t="str">
        <f>TRIM(PROPER(Tabla_auditoría[[#This Row],[ID_Campaña]]))</f>
        <v>Cmp-021</v>
      </c>
      <c r="O1457" t="str">
        <f>TRIM(PROPER(Tabla_auditoría[[#This Row],[Canal]]))</f>
        <v>Organic Social</v>
      </c>
      <c r="P1457" t="str">
        <f>TRIM(PROPER(Tabla_auditoría[[#This Row],[País]]))</f>
        <v>España</v>
      </c>
      <c r="Q1457" t="str">
        <f>TRIM(PROPER(Tabla_auditoría[[#This Row],[Dispositivo]]))</f>
        <v>Mobile</v>
      </c>
      <c r="R1457" t="str">
        <f>TRIM(PROPER(Tabla_auditoría[[#This Row],[Tipo_Campaña]]))</f>
        <v>Retención</v>
      </c>
      <c r="S1457" t="str">
        <f>TRIM(PROPER(Tabla_auditoría[[#This Row],[Responsable]]))</f>
        <v>Carlos Ruiz</v>
      </c>
    </row>
    <row r="1458" spans="1:19" x14ac:dyDescent="0.3">
      <c r="A1458" s="1">
        <v>45719</v>
      </c>
      <c r="B1458" s="2" t="s">
        <v>2550</v>
      </c>
      <c r="C1458" s="2" t="s">
        <v>2533</v>
      </c>
      <c r="D1458" s="2" t="s">
        <v>2525</v>
      </c>
      <c r="E1458" s="2" t="s">
        <v>2517</v>
      </c>
      <c r="F1458" s="3">
        <v>46440</v>
      </c>
      <c r="G1458" s="3">
        <v>257</v>
      </c>
      <c r="H1458" s="3">
        <v>270</v>
      </c>
      <c r="I1458" s="4">
        <v>209.65</v>
      </c>
      <c r="J1458" s="4">
        <v>1610.07</v>
      </c>
      <c r="K1458" s="3">
        <v>14</v>
      </c>
      <c r="L1458" s="2" t="s">
        <v>2518</v>
      </c>
      <c r="M1458" s="2" t="s">
        <v>2546</v>
      </c>
      <c r="N1458" t="str">
        <f>TRIM(PROPER(Tabla_auditoría[[#This Row],[ID_Campaña]]))</f>
        <v>Cmp-008</v>
      </c>
      <c r="O1458" t="str">
        <f>TRIM(PROPER(Tabla_auditoría[[#This Row],[Canal]]))</f>
        <v>Paid Social</v>
      </c>
      <c r="P1458" t="str">
        <f>TRIM(PROPER(Tabla_auditoría[[#This Row],[País]]))</f>
        <v>Francia</v>
      </c>
      <c r="Q1458" t="str">
        <f>TRIM(PROPER(Tabla_auditoría[[#This Row],[Dispositivo]]))</f>
        <v>Desktop</v>
      </c>
      <c r="R1458" t="str">
        <f>TRIM(PROPER(Tabla_auditoría[[#This Row],[Tipo_Campaña]]))</f>
        <v>Adquisición</v>
      </c>
      <c r="S1458" t="str">
        <f>TRIM(PROPER(Tabla_auditoría[[#This Row],[Responsable]]))</f>
        <v>Ana García</v>
      </c>
    </row>
    <row r="1459" spans="1:19" x14ac:dyDescent="0.3">
      <c r="A1459" s="1">
        <v>46019</v>
      </c>
      <c r="B1459" s="2" t="s">
        <v>2542</v>
      </c>
      <c r="C1459" s="2" t="s">
        <v>2543</v>
      </c>
      <c r="D1459" s="2" t="s">
        <v>2525</v>
      </c>
      <c r="E1459" s="2" t="s">
        <v>2529</v>
      </c>
      <c r="F1459" s="3">
        <v>65148</v>
      </c>
      <c r="G1459" s="3">
        <v>5478</v>
      </c>
      <c r="H1459" s="3">
        <v>697</v>
      </c>
      <c r="I1459" s="4">
        <v>1304.8399999999999</v>
      </c>
      <c r="J1459" s="4">
        <v>59311</v>
      </c>
      <c r="K1459" s="3">
        <v>598</v>
      </c>
      <c r="L1459" s="2" t="s">
        <v>2518</v>
      </c>
      <c r="M1459" s="2" t="s">
        <v>2524</v>
      </c>
      <c r="N1459" t="str">
        <f>TRIM(PROPER(Tabla_auditoría[[#This Row],[ID_Campaña]]))</f>
        <v>Cmp-025</v>
      </c>
      <c r="O1459" t="str">
        <f>TRIM(PROPER(Tabla_auditoría[[#This Row],[Canal]]))</f>
        <v>Organic Social</v>
      </c>
      <c r="P1459" t="str">
        <f>TRIM(PROPER(Tabla_auditoría[[#This Row],[País]]))</f>
        <v>Francia</v>
      </c>
      <c r="Q1459" t="str">
        <f>TRIM(PROPER(Tabla_auditoría[[#This Row],[Dispositivo]]))</f>
        <v>Mobile</v>
      </c>
      <c r="R1459" t="str">
        <f>TRIM(PROPER(Tabla_auditoría[[#This Row],[Tipo_Campaña]]))</f>
        <v>Adquisición</v>
      </c>
      <c r="S1459" t="str">
        <f>TRIM(PROPER(Tabla_auditoría[[#This Row],[Responsable]]))</f>
        <v>Luis Martín</v>
      </c>
    </row>
    <row r="1460" spans="1:19" x14ac:dyDescent="0.3">
      <c r="A1460" s="1">
        <v>45832</v>
      </c>
      <c r="B1460" s="2" t="s">
        <v>2550</v>
      </c>
      <c r="C1460" s="2" t="s">
        <v>2527</v>
      </c>
      <c r="D1460" s="2" t="s">
        <v>2516</v>
      </c>
      <c r="E1460" s="2" t="s">
        <v>2559</v>
      </c>
      <c r="F1460" s="3">
        <v>123366</v>
      </c>
      <c r="G1460" s="3">
        <v>3519</v>
      </c>
      <c r="H1460" s="3">
        <v>124</v>
      </c>
      <c r="I1460" s="4">
        <v>2945.05</v>
      </c>
      <c r="J1460" s="4">
        <v>23793.19</v>
      </c>
      <c r="K1460" s="3">
        <v>55</v>
      </c>
      <c r="L1460" s="2" t="s">
        <v>2536</v>
      </c>
      <c r="M1460" s="2" t="s">
        <v>2546</v>
      </c>
      <c r="N1460" t="str">
        <f>TRIM(PROPER(Tabla_auditoría[[#This Row],[ID_Campaña]]))</f>
        <v>Cmp-008</v>
      </c>
      <c r="O1460" t="str">
        <f>TRIM(PROPER(Tabla_auditoría[[#This Row],[Canal]]))</f>
        <v>Affiliate</v>
      </c>
      <c r="P1460" t="str">
        <f>TRIM(PROPER(Tabla_auditoría[[#This Row],[País]]))</f>
        <v>México</v>
      </c>
      <c r="Q1460" t="str">
        <f>TRIM(PROPER(Tabla_auditoría[[#This Row],[Dispositivo]]))</f>
        <v>Desktop</v>
      </c>
      <c r="R1460" t="str">
        <f>TRIM(PROPER(Tabla_auditoría[[#This Row],[Tipo_Campaña]]))</f>
        <v>Reconocimiento</v>
      </c>
      <c r="S1460" t="str">
        <f>TRIM(PROPER(Tabla_auditoría[[#This Row],[Responsable]]))</f>
        <v>Ana García</v>
      </c>
    </row>
    <row r="1461" spans="1:19" x14ac:dyDescent="0.3">
      <c r="A1461" s="1">
        <v>45672</v>
      </c>
      <c r="B1461" s="2" t="s">
        <v>2547</v>
      </c>
      <c r="C1461" s="2" t="s">
        <v>2533</v>
      </c>
      <c r="D1461" s="2" t="s">
        <v>2528</v>
      </c>
      <c r="E1461" s="2" t="s">
        <v>2529</v>
      </c>
      <c r="F1461" s="3">
        <v>104439</v>
      </c>
      <c r="G1461" s="3">
        <v>8477</v>
      </c>
      <c r="H1461" s="3">
        <v>689</v>
      </c>
      <c r="I1461" s="4">
        <v>13753.4</v>
      </c>
      <c r="J1461" s="4">
        <v>33004.33</v>
      </c>
      <c r="K1461" s="3">
        <v>491</v>
      </c>
      <c r="L1461" s="2" t="s">
        <v>2523</v>
      </c>
      <c r="M1461" s="2" t="s">
        <v>2537</v>
      </c>
      <c r="N1461" t="str">
        <f>TRIM(PROPER(Tabla_auditoría[[#This Row],[ID_Campaña]]))</f>
        <v>Cmp-018</v>
      </c>
      <c r="O1461" t="str">
        <f>TRIM(PROPER(Tabla_auditoría[[#This Row],[Canal]]))</f>
        <v>Paid Social</v>
      </c>
      <c r="P1461" t="str">
        <f>TRIM(PROPER(Tabla_auditoría[[#This Row],[País]]))</f>
        <v>España</v>
      </c>
      <c r="Q1461" t="str">
        <f>TRIM(PROPER(Tabla_auditoría[[#This Row],[Dispositivo]]))</f>
        <v>Mobile</v>
      </c>
      <c r="R1461" t="str">
        <f>TRIM(PROPER(Tabla_auditoría[[#This Row],[Tipo_Campaña]]))</f>
        <v>Retención</v>
      </c>
      <c r="S1461" t="str">
        <f>TRIM(PROPER(Tabla_auditoría[[#This Row],[Responsable]]))</f>
        <v>Marta López</v>
      </c>
    </row>
    <row r="1462" spans="1:19" x14ac:dyDescent="0.3">
      <c r="A1462" s="1">
        <v>45917</v>
      </c>
      <c r="B1462" s="2" t="s">
        <v>2557</v>
      </c>
      <c r="C1462" s="2" t="s">
        <v>2533</v>
      </c>
      <c r="D1462" s="2" t="s">
        <v>2528</v>
      </c>
      <c r="E1462" s="2" t="s">
        <v>2529</v>
      </c>
      <c r="F1462" s="3">
        <v>44892</v>
      </c>
      <c r="G1462" s="3">
        <v>2443</v>
      </c>
      <c r="H1462" s="3">
        <v>301</v>
      </c>
      <c r="I1462" s="4">
        <v>813.09</v>
      </c>
      <c r="J1462" s="4">
        <v>19562.759999999998</v>
      </c>
      <c r="K1462" s="3">
        <v>254</v>
      </c>
      <c r="L1462" s="2" t="s">
        <v>2539</v>
      </c>
      <c r="M1462" s="2" t="s">
        <v>2526</v>
      </c>
      <c r="N1462" t="str">
        <f>TRIM(PROPER(Tabla_auditoría[[#This Row],[ID_Campaña]]))</f>
        <v>Cmp-030</v>
      </c>
      <c r="O1462" t="str">
        <f>TRIM(PROPER(Tabla_auditoría[[#This Row],[Canal]]))</f>
        <v>Paid Social</v>
      </c>
      <c r="P1462" t="str">
        <f>TRIM(PROPER(Tabla_auditoría[[#This Row],[País]]))</f>
        <v>España</v>
      </c>
      <c r="Q1462" t="str">
        <f>TRIM(PROPER(Tabla_auditoría[[#This Row],[Dispositivo]]))</f>
        <v>Mobile</v>
      </c>
      <c r="R1462" t="str">
        <f>TRIM(PROPER(Tabla_auditoría[[#This Row],[Tipo_Campaña]]))</f>
        <v>Conversión</v>
      </c>
      <c r="S1462" t="str">
        <f>TRIM(PROPER(Tabla_auditoría[[#This Row],[Responsable]]))</f>
        <v>Laura Pérez</v>
      </c>
    </row>
    <row r="1463" spans="1:19" x14ac:dyDescent="0.3">
      <c r="A1463" s="1">
        <v>45958</v>
      </c>
      <c r="B1463" s="2" t="s">
        <v>2532</v>
      </c>
      <c r="C1463" s="2" t="s">
        <v>2533</v>
      </c>
      <c r="D1463" s="2" t="s">
        <v>2531</v>
      </c>
      <c r="E1463" s="2" t="s">
        <v>2529</v>
      </c>
      <c r="F1463" s="3">
        <v>177937</v>
      </c>
      <c r="G1463" s="3">
        <v>3230</v>
      </c>
      <c r="H1463" s="3">
        <v>356</v>
      </c>
      <c r="I1463" s="4">
        <v>1618.3</v>
      </c>
      <c r="J1463" s="4">
        <v>34214.57</v>
      </c>
      <c r="K1463" s="3">
        <v>255</v>
      </c>
      <c r="L1463" s="2" t="s">
        <v>2518</v>
      </c>
      <c r="M1463" s="2" t="s">
        <v>2537</v>
      </c>
      <c r="N1463" t="str">
        <f>TRIM(PROPER(Tabla_auditoría[[#This Row],[ID_Campaña]]))</f>
        <v>Cmp-022</v>
      </c>
      <c r="O1463" t="str">
        <f>TRIM(PROPER(Tabla_auditoría[[#This Row],[Canal]]))</f>
        <v>Paid Social</v>
      </c>
      <c r="P1463" t="str">
        <f>TRIM(PROPER(Tabla_auditoría[[#This Row],[País]]))</f>
        <v>Portugal</v>
      </c>
      <c r="Q1463" t="str">
        <f>TRIM(PROPER(Tabla_auditoría[[#This Row],[Dispositivo]]))</f>
        <v>Mobile</v>
      </c>
      <c r="R1463" t="str">
        <f>TRIM(PROPER(Tabla_auditoría[[#This Row],[Tipo_Campaña]]))</f>
        <v>Adquisición</v>
      </c>
      <c r="S1463" t="str">
        <f>TRIM(PROPER(Tabla_auditoría[[#This Row],[Responsable]]))</f>
        <v>Marta López</v>
      </c>
    </row>
    <row r="1464" spans="1:19" x14ac:dyDescent="0.3">
      <c r="A1464" s="1">
        <v>45957</v>
      </c>
      <c r="B1464" s="2" t="s">
        <v>2574</v>
      </c>
      <c r="C1464" s="2" t="s">
        <v>2533</v>
      </c>
      <c r="D1464" s="2" t="s">
        <v>2528</v>
      </c>
      <c r="E1464" s="2" t="s">
        <v>2517</v>
      </c>
      <c r="F1464" s="3">
        <v>142148</v>
      </c>
      <c r="G1464" s="3">
        <v>2833</v>
      </c>
      <c r="H1464" s="3">
        <v>338</v>
      </c>
      <c r="I1464" s="4">
        <v>2789.32</v>
      </c>
      <c r="J1464" s="4">
        <v>61252.53</v>
      </c>
      <c r="K1464" s="3">
        <v>206</v>
      </c>
      <c r="L1464" s="2" t="s">
        <v>2518</v>
      </c>
      <c r="M1464" s="2" t="s">
        <v>2546</v>
      </c>
      <c r="N1464" t="str">
        <f>TRIM(PROPER(Tabla_auditoría[[#This Row],[ID_Campaña]]))</f>
        <v>Cmp-003</v>
      </c>
      <c r="O1464" t="str">
        <f>TRIM(PROPER(Tabla_auditoría[[#This Row],[Canal]]))</f>
        <v>Paid Social</v>
      </c>
      <c r="P1464" t="str">
        <f>TRIM(PROPER(Tabla_auditoría[[#This Row],[País]]))</f>
        <v>España</v>
      </c>
      <c r="Q1464" t="str">
        <f>TRIM(PROPER(Tabla_auditoría[[#This Row],[Dispositivo]]))</f>
        <v>Desktop</v>
      </c>
      <c r="R1464" t="str">
        <f>TRIM(PROPER(Tabla_auditoría[[#This Row],[Tipo_Campaña]]))</f>
        <v>Adquisición</v>
      </c>
      <c r="S1464" t="str">
        <f>TRIM(PROPER(Tabla_auditoría[[#This Row],[Responsable]]))</f>
        <v>Ana García</v>
      </c>
    </row>
    <row r="1465" spans="1:19" x14ac:dyDescent="0.3">
      <c r="A1465" s="1">
        <v>45956</v>
      </c>
      <c r="B1465" s="2" t="s">
        <v>2550</v>
      </c>
      <c r="C1465" s="2" t="s">
        <v>2541</v>
      </c>
      <c r="D1465" s="2" t="s">
        <v>2516</v>
      </c>
      <c r="E1465" s="2" t="s">
        <v>2517</v>
      </c>
      <c r="F1465" s="3">
        <v>121475</v>
      </c>
      <c r="G1465" s="3">
        <v>1959</v>
      </c>
      <c r="H1465" s="3">
        <v>73</v>
      </c>
      <c r="I1465" s="4">
        <v>3983.78</v>
      </c>
      <c r="J1465" s="4">
        <v>14765.1</v>
      </c>
      <c r="K1465" s="3">
        <v>48</v>
      </c>
      <c r="L1465" s="2" t="s">
        <v>2523</v>
      </c>
      <c r="M1465" s="2" t="s">
        <v>2537</v>
      </c>
      <c r="N1465" t="str">
        <f>TRIM(PROPER(Tabla_auditoría[[#This Row],[ID_Campaña]]))</f>
        <v>Cmp-008</v>
      </c>
      <c r="O1465" t="str">
        <f>TRIM(PROPER(Tabla_auditoría[[#This Row],[Canal]]))</f>
        <v>Display</v>
      </c>
      <c r="P1465" t="str">
        <f>TRIM(PROPER(Tabla_auditoría[[#This Row],[País]]))</f>
        <v>México</v>
      </c>
      <c r="Q1465" t="str">
        <f>TRIM(PROPER(Tabla_auditoría[[#This Row],[Dispositivo]]))</f>
        <v>Desktop</v>
      </c>
      <c r="R1465" t="str">
        <f>TRIM(PROPER(Tabla_auditoría[[#This Row],[Tipo_Campaña]]))</f>
        <v>Retención</v>
      </c>
      <c r="S1465" t="str">
        <f>TRIM(PROPER(Tabla_auditoría[[#This Row],[Responsable]]))</f>
        <v>Marta López</v>
      </c>
    </row>
    <row r="1466" spans="1:19" x14ac:dyDescent="0.3">
      <c r="A1466" s="1">
        <v>46019</v>
      </c>
      <c r="B1466" s="2" t="s">
        <v>2544</v>
      </c>
      <c r="C1466" s="2" t="s">
        <v>2533</v>
      </c>
      <c r="D1466" s="2" t="s">
        <v>2528</v>
      </c>
      <c r="E1466" s="2" t="s">
        <v>2529</v>
      </c>
      <c r="F1466" s="3">
        <v>91902</v>
      </c>
      <c r="G1466" s="3">
        <v>5068</v>
      </c>
      <c r="H1466" s="3">
        <v>154</v>
      </c>
      <c r="I1466" s="4">
        <v>4909.76</v>
      </c>
      <c r="J1466" s="4">
        <v>4848.04</v>
      </c>
      <c r="K1466" s="3">
        <v>109</v>
      </c>
      <c r="L1466" s="2" t="s">
        <v>2539</v>
      </c>
      <c r="M1466" s="2" t="s">
        <v>2546</v>
      </c>
      <c r="N1466" t="str">
        <f>TRIM(PROPER(Tabla_auditoría[[#This Row],[ID_Campaña]]))</f>
        <v>Cmp-006</v>
      </c>
      <c r="O1466" t="str">
        <f>TRIM(PROPER(Tabla_auditoría[[#This Row],[Canal]]))</f>
        <v>Paid Social</v>
      </c>
      <c r="P1466" t="str">
        <f>TRIM(PROPER(Tabla_auditoría[[#This Row],[País]]))</f>
        <v>España</v>
      </c>
      <c r="Q1466" t="str">
        <f>TRIM(PROPER(Tabla_auditoría[[#This Row],[Dispositivo]]))</f>
        <v>Mobile</v>
      </c>
      <c r="R1466" t="str">
        <f>TRIM(PROPER(Tabla_auditoría[[#This Row],[Tipo_Campaña]]))</f>
        <v>Conversión</v>
      </c>
      <c r="S1466" t="str">
        <f>TRIM(PROPER(Tabla_auditoría[[#This Row],[Responsable]]))</f>
        <v>Ana García</v>
      </c>
    </row>
    <row r="1467" spans="1:19" x14ac:dyDescent="0.3">
      <c r="A1467" s="1">
        <v>45734</v>
      </c>
      <c r="B1467" s="2" t="s">
        <v>2554</v>
      </c>
      <c r="C1467" s="2" t="s">
        <v>2527</v>
      </c>
      <c r="D1467" s="2" t="s">
        <v>2516</v>
      </c>
      <c r="E1467" s="2" t="s">
        <v>2517</v>
      </c>
      <c r="F1467" s="3">
        <v>12214</v>
      </c>
      <c r="G1467" s="3">
        <v>515</v>
      </c>
      <c r="H1467" s="3">
        <v>62</v>
      </c>
      <c r="I1467" s="4">
        <v>611.52</v>
      </c>
      <c r="J1467" s="4">
        <v>11637.69</v>
      </c>
      <c r="K1467" s="3">
        <v>49</v>
      </c>
      <c r="L1467" s="2" t="s">
        <v>2539</v>
      </c>
      <c r="M1467" s="2" t="s">
        <v>2524</v>
      </c>
      <c r="N1467" t="str">
        <f>TRIM(PROPER(Tabla_auditoría[[#This Row],[ID_Campaña]]))</f>
        <v>Cmp-019</v>
      </c>
      <c r="O1467" t="str">
        <f>TRIM(PROPER(Tabla_auditoría[[#This Row],[Canal]]))</f>
        <v>Affiliate</v>
      </c>
      <c r="P1467" t="str">
        <f>TRIM(PROPER(Tabla_auditoría[[#This Row],[País]]))</f>
        <v>México</v>
      </c>
      <c r="Q1467" t="str">
        <f>TRIM(PROPER(Tabla_auditoría[[#This Row],[Dispositivo]]))</f>
        <v>Desktop</v>
      </c>
      <c r="R1467" t="str">
        <f>TRIM(PROPER(Tabla_auditoría[[#This Row],[Tipo_Campaña]]))</f>
        <v>Conversión</v>
      </c>
      <c r="S1467" t="str">
        <f>TRIM(PROPER(Tabla_auditoría[[#This Row],[Responsable]]))</f>
        <v>Luis Martín</v>
      </c>
    </row>
    <row r="1468" spans="1:19" x14ac:dyDescent="0.3">
      <c r="A1468" s="1">
        <v>45927</v>
      </c>
      <c r="B1468" s="2" t="s">
        <v>2569</v>
      </c>
      <c r="C1468" s="2" t="s">
        <v>2533</v>
      </c>
      <c r="D1468" s="2" t="s">
        <v>2525</v>
      </c>
      <c r="E1468" s="2" t="s">
        <v>2517</v>
      </c>
      <c r="F1468" s="3">
        <v>121233</v>
      </c>
      <c r="G1468" s="3">
        <v>3134</v>
      </c>
      <c r="H1468" s="3">
        <v>289</v>
      </c>
      <c r="I1468" s="4">
        <v>1018.03</v>
      </c>
      <c r="J1468" s="4">
        <v>24867.32</v>
      </c>
      <c r="K1468" s="3">
        <v>190</v>
      </c>
      <c r="L1468" s="2" t="s">
        <v>2539</v>
      </c>
      <c r="M1468" s="2" t="s">
        <v>2537</v>
      </c>
      <c r="N1468" t="str">
        <f>TRIM(PROPER(Tabla_auditoría[[#This Row],[ID_Campaña]]))</f>
        <v>Cmp-013</v>
      </c>
      <c r="O1468" t="str">
        <f>TRIM(PROPER(Tabla_auditoría[[#This Row],[Canal]]))</f>
        <v>Paid Social</v>
      </c>
      <c r="P1468" t="str">
        <f>TRIM(PROPER(Tabla_auditoría[[#This Row],[País]]))</f>
        <v>Francia</v>
      </c>
      <c r="Q1468" t="str">
        <f>TRIM(PROPER(Tabla_auditoría[[#This Row],[Dispositivo]]))</f>
        <v>Desktop</v>
      </c>
      <c r="R1468" t="str">
        <f>TRIM(PROPER(Tabla_auditoría[[#This Row],[Tipo_Campaña]]))</f>
        <v>Conversión</v>
      </c>
      <c r="S1468" t="str">
        <f>TRIM(PROPER(Tabla_auditoría[[#This Row],[Responsable]]))</f>
        <v>Marta López</v>
      </c>
    </row>
    <row r="1469" spans="1:19" x14ac:dyDescent="0.3">
      <c r="A1469" s="1">
        <v>46021</v>
      </c>
      <c r="B1469" s="2" t="s">
        <v>2551</v>
      </c>
      <c r="C1469" s="2" t="s">
        <v>2541</v>
      </c>
      <c r="D1469" s="2" t="s">
        <v>2525</v>
      </c>
      <c r="E1469" s="2" t="s">
        <v>2529</v>
      </c>
      <c r="F1469" s="3">
        <v>49658</v>
      </c>
      <c r="G1469" s="3">
        <v>1904</v>
      </c>
      <c r="H1469" s="3">
        <v>70</v>
      </c>
      <c r="I1469" s="4">
        <v>3995.77</v>
      </c>
      <c r="J1469" s="4">
        <v>11925.35</v>
      </c>
      <c r="K1469" s="3">
        <v>62</v>
      </c>
      <c r="L1469" s="2" t="s">
        <v>2523</v>
      </c>
      <c r="M1469" s="2" t="s">
        <v>2546</v>
      </c>
      <c r="N1469" t="str">
        <f>TRIM(PROPER(Tabla_auditoría[[#This Row],[ID_Campaña]]))</f>
        <v>Cmp-028</v>
      </c>
      <c r="O1469" t="str">
        <f>TRIM(PROPER(Tabla_auditoría[[#This Row],[Canal]]))</f>
        <v>Display</v>
      </c>
      <c r="P1469" t="str">
        <f>TRIM(PROPER(Tabla_auditoría[[#This Row],[País]]))</f>
        <v>Francia</v>
      </c>
      <c r="Q1469" t="str">
        <f>TRIM(PROPER(Tabla_auditoría[[#This Row],[Dispositivo]]))</f>
        <v>Mobile</v>
      </c>
      <c r="R1469" t="str">
        <f>TRIM(PROPER(Tabla_auditoría[[#This Row],[Tipo_Campaña]]))</f>
        <v>Retención</v>
      </c>
      <c r="S1469" t="str">
        <f>TRIM(PROPER(Tabla_auditoría[[#This Row],[Responsable]]))</f>
        <v>Ana García</v>
      </c>
    </row>
    <row r="1470" spans="1:19" x14ac:dyDescent="0.3">
      <c r="A1470" s="1">
        <v>45731</v>
      </c>
      <c r="B1470" s="2" t="s">
        <v>2552</v>
      </c>
      <c r="C1470" s="2" t="s">
        <v>2541</v>
      </c>
      <c r="D1470" s="2" t="s">
        <v>2525</v>
      </c>
      <c r="E1470" s="2" t="s">
        <v>2529</v>
      </c>
      <c r="F1470" s="3">
        <v>113579</v>
      </c>
      <c r="G1470" s="3">
        <v>4972</v>
      </c>
      <c r="H1470" s="3">
        <v>613</v>
      </c>
      <c r="I1470" s="4">
        <v>5914.33</v>
      </c>
      <c r="J1470" s="4">
        <v>47603.82</v>
      </c>
      <c r="K1470" s="3">
        <v>355</v>
      </c>
      <c r="L1470" s="2" t="s">
        <v>2523</v>
      </c>
      <c r="M1470" s="2" t="s">
        <v>2537</v>
      </c>
      <c r="N1470" t="str">
        <f>TRIM(PROPER(Tabla_auditoría[[#This Row],[ID_Campaña]]))</f>
        <v>Cmp-012</v>
      </c>
      <c r="O1470" t="str">
        <f>TRIM(PROPER(Tabla_auditoría[[#This Row],[Canal]]))</f>
        <v>Display</v>
      </c>
      <c r="P1470" t="str">
        <f>TRIM(PROPER(Tabla_auditoría[[#This Row],[País]]))</f>
        <v>Francia</v>
      </c>
      <c r="Q1470" t="str">
        <f>TRIM(PROPER(Tabla_auditoría[[#This Row],[Dispositivo]]))</f>
        <v>Mobile</v>
      </c>
      <c r="R1470" t="str">
        <f>TRIM(PROPER(Tabla_auditoría[[#This Row],[Tipo_Campaña]]))</f>
        <v>Retención</v>
      </c>
      <c r="S1470" t="str">
        <f>TRIM(PROPER(Tabla_auditoría[[#This Row],[Responsable]]))</f>
        <v>Marta López</v>
      </c>
    </row>
    <row r="1471" spans="1:19" x14ac:dyDescent="0.3">
      <c r="A1471" s="1">
        <v>45694</v>
      </c>
      <c r="B1471" s="2" t="s">
        <v>2547</v>
      </c>
      <c r="C1471" s="2" t="s">
        <v>2533</v>
      </c>
      <c r="D1471" s="2" t="s">
        <v>2528</v>
      </c>
      <c r="E1471" s="2" t="s">
        <v>2529</v>
      </c>
      <c r="F1471" s="3">
        <v>32411</v>
      </c>
      <c r="G1471" s="3">
        <v>2739</v>
      </c>
      <c r="H1471" s="3">
        <v>319</v>
      </c>
      <c r="I1471" s="4">
        <v>1985.78</v>
      </c>
      <c r="J1471" s="4">
        <v>33572.839999999997</v>
      </c>
      <c r="K1471" s="3">
        <v>159</v>
      </c>
      <c r="L1471" s="2" t="s">
        <v>2539</v>
      </c>
      <c r="M1471" s="2" t="s">
        <v>2526</v>
      </c>
      <c r="N1471" t="str">
        <f>TRIM(PROPER(Tabla_auditoría[[#This Row],[ID_Campaña]]))</f>
        <v>Cmp-018</v>
      </c>
      <c r="O1471" t="str">
        <f>TRIM(PROPER(Tabla_auditoría[[#This Row],[Canal]]))</f>
        <v>Paid Social</v>
      </c>
      <c r="P1471" t="str">
        <f>TRIM(PROPER(Tabla_auditoría[[#This Row],[País]]))</f>
        <v>España</v>
      </c>
      <c r="Q1471" t="str">
        <f>TRIM(PROPER(Tabla_auditoría[[#This Row],[Dispositivo]]))</f>
        <v>Mobile</v>
      </c>
      <c r="R1471" t="str">
        <f>TRIM(PROPER(Tabla_auditoría[[#This Row],[Tipo_Campaña]]))</f>
        <v>Conversión</v>
      </c>
      <c r="S1471" t="str">
        <f>TRIM(PROPER(Tabla_auditoría[[#This Row],[Responsable]]))</f>
        <v>Laura Pérez</v>
      </c>
    </row>
    <row r="1472" spans="1:19" x14ac:dyDescent="0.3">
      <c r="A1472" s="1">
        <v>45883</v>
      </c>
      <c r="B1472" s="2" t="s">
        <v>2555</v>
      </c>
      <c r="C1472" s="2" t="s">
        <v>2527</v>
      </c>
      <c r="D1472" s="2" t="s">
        <v>2525</v>
      </c>
      <c r="E1472" s="2" t="s">
        <v>2529</v>
      </c>
      <c r="F1472" s="3">
        <v>132260</v>
      </c>
      <c r="G1472" s="3">
        <v>5197</v>
      </c>
      <c r="H1472" s="3">
        <v>318</v>
      </c>
      <c r="I1472" s="4">
        <v>2568.9899999999998</v>
      </c>
      <c r="J1472" s="4">
        <v>10505.95</v>
      </c>
      <c r="K1472" s="3">
        <v>196</v>
      </c>
      <c r="L1472" s="2" t="s">
        <v>2539</v>
      </c>
      <c r="M1472" s="2" t="s">
        <v>2537</v>
      </c>
      <c r="N1472" t="str">
        <f>TRIM(PROPER(Tabla_auditoría[[#This Row],[ID_Campaña]]))</f>
        <v>Cmp-010</v>
      </c>
      <c r="O1472" t="str">
        <f>TRIM(PROPER(Tabla_auditoría[[#This Row],[Canal]]))</f>
        <v>Affiliate</v>
      </c>
      <c r="P1472" t="str">
        <f>TRIM(PROPER(Tabla_auditoría[[#This Row],[País]]))</f>
        <v>Francia</v>
      </c>
      <c r="Q1472" t="str">
        <f>TRIM(PROPER(Tabla_auditoría[[#This Row],[Dispositivo]]))</f>
        <v>Mobile</v>
      </c>
      <c r="R1472" t="str">
        <f>TRIM(PROPER(Tabla_auditoría[[#This Row],[Tipo_Campaña]]))</f>
        <v>Conversión</v>
      </c>
      <c r="S1472" t="str">
        <f>TRIM(PROPER(Tabla_auditoría[[#This Row],[Responsable]]))</f>
        <v>Marta López</v>
      </c>
    </row>
    <row r="1473" spans="1:19" x14ac:dyDescent="0.3">
      <c r="A1473" s="1">
        <v>45739</v>
      </c>
      <c r="B1473" s="2" t="s">
        <v>2569</v>
      </c>
      <c r="C1473" s="2" t="s">
        <v>2515</v>
      </c>
      <c r="D1473" s="2" t="s">
        <v>2516</v>
      </c>
      <c r="E1473" s="2" t="s">
        <v>2529</v>
      </c>
      <c r="F1473" s="3">
        <v>162511</v>
      </c>
      <c r="G1473" s="3">
        <v>4762</v>
      </c>
      <c r="H1473" s="3">
        <v>357</v>
      </c>
      <c r="I1473" s="4">
        <v>9509.9</v>
      </c>
      <c r="J1473" s="4">
        <v>76410.14</v>
      </c>
      <c r="K1473" s="3">
        <v>194</v>
      </c>
      <c r="L1473" s="2" t="s">
        <v>2523</v>
      </c>
      <c r="M1473" s="2" t="s">
        <v>2526</v>
      </c>
      <c r="N1473" t="str">
        <f>TRIM(PROPER(Tabla_auditoría[[#This Row],[ID_Campaña]]))</f>
        <v>Cmp-013</v>
      </c>
      <c r="O1473" t="str">
        <f>TRIM(PROPER(Tabla_auditoría[[#This Row],[Canal]]))</f>
        <v>Email</v>
      </c>
      <c r="P1473" t="str">
        <f>TRIM(PROPER(Tabla_auditoría[[#This Row],[País]]))</f>
        <v>México</v>
      </c>
      <c r="Q1473" t="str">
        <f>TRIM(PROPER(Tabla_auditoría[[#This Row],[Dispositivo]]))</f>
        <v>Mobile</v>
      </c>
      <c r="R1473" t="str">
        <f>TRIM(PROPER(Tabla_auditoría[[#This Row],[Tipo_Campaña]]))</f>
        <v>Retención</v>
      </c>
      <c r="S1473" t="str">
        <f>TRIM(PROPER(Tabla_auditoría[[#This Row],[Responsable]]))</f>
        <v>Laura Pérez</v>
      </c>
    </row>
    <row r="1474" spans="1:19" x14ac:dyDescent="0.3">
      <c r="A1474" s="1">
        <v>45999</v>
      </c>
      <c r="B1474" s="2" t="s">
        <v>2520</v>
      </c>
      <c r="C1474" s="2" t="s">
        <v>2527</v>
      </c>
      <c r="D1474" s="2" t="s">
        <v>2531</v>
      </c>
      <c r="E1474" s="2" t="s">
        <v>2517</v>
      </c>
      <c r="F1474" s="3">
        <v>121663</v>
      </c>
      <c r="G1474" s="3">
        <v>2711</v>
      </c>
      <c r="H1474" s="3">
        <v>154</v>
      </c>
      <c r="I1474" s="4">
        <v>4025.94</v>
      </c>
      <c r="J1474" s="4">
        <v>32322.080000000002</v>
      </c>
      <c r="K1474" s="3">
        <v>128</v>
      </c>
      <c r="L1474" s="2" t="s">
        <v>2536</v>
      </c>
      <c r="M1474" s="2" t="s">
        <v>2519</v>
      </c>
      <c r="N1474" t="str">
        <f>TRIM(PROPER(Tabla_auditoría[[#This Row],[ID_Campaña]]))</f>
        <v>Cmp-009</v>
      </c>
      <c r="O1474" t="str">
        <f>TRIM(PROPER(Tabla_auditoría[[#This Row],[Canal]]))</f>
        <v>Affiliate</v>
      </c>
      <c r="P1474" t="str">
        <f>TRIM(PROPER(Tabla_auditoría[[#This Row],[País]]))</f>
        <v>Portugal</v>
      </c>
      <c r="Q1474" t="str">
        <f>TRIM(PROPER(Tabla_auditoría[[#This Row],[Dispositivo]]))</f>
        <v>Desktop</v>
      </c>
      <c r="R1474" t="str">
        <f>TRIM(PROPER(Tabla_auditoría[[#This Row],[Tipo_Campaña]]))</f>
        <v>Reconocimiento</v>
      </c>
      <c r="S1474" t="str">
        <f>TRIM(PROPER(Tabla_auditoría[[#This Row],[Responsable]]))</f>
        <v>Carlos Ruiz</v>
      </c>
    </row>
    <row r="1475" spans="1:19" x14ac:dyDescent="0.3">
      <c r="A1475" s="1">
        <v>45770</v>
      </c>
      <c r="B1475" s="2" t="s">
        <v>2552</v>
      </c>
      <c r="C1475" s="2" t="s">
        <v>2543</v>
      </c>
      <c r="D1475" s="2" t="s">
        <v>2525</v>
      </c>
      <c r="E1475" s="2" t="s">
        <v>2529</v>
      </c>
      <c r="F1475" s="3">
        <v>129675</v>
      </c>
      <c r="G1475" s="3">
        <v>9097</v>
      </c>
      <c r="H1475" s="3">
        <v>481</v>
      </c>
      <c r="I1475" s="4">
        <v>7556.3</v>
      </c>
      <c r="J1475" s="4">
        <v>89908.26</v>
      </c>
      <c r="K1475" s="3">
        <v>375</v>
      </c>
      <c r="L1475" s="2" t="s">
        <v>2523</v>
      </c>
      <c r="M1475" s="2" t="s">
        <v>2519</v>
      </c>
      <c r="N1475" t="str">
        <f>TRIM(PROPER(Tabla_auditoría[[#This Row],[ID_Campaña]]))</f>
        <v>Cmp-012</v>
      </c>
      <c r="O1475" t="str">
        <f>TRIM(PROPER(Tabla_auditoría[[#This Row],[Canal]]))</f>
        <v>Organic Social</v>
      </c>
      <c r="P1475" t="str">
        <f>TRIM(PROPER(Tabla_auditoría[[#This Row],[País]]))</f>
        <v>Francia</v>
      </c>
      <c r="Q1475" t="str">
        <f>TRIM(PROPER(Tabla_auditoría[[#This Row],[Dispositivo]]))</f>
        <v>Mobile</v>
      </c>
      <c r="R1475" t="str">
        <f>TRIM(PROPER(Tabla_auditoría[[#This Row],[Tipo_Campaña]]))</f>
        <v>Retención</v>
      </c>
      <c r="S1475" t="str">
        <f>TRIM(PROPER(Tabla_auditoría[[#This Row],[Responsable]]))</f>
        <v>Carlos Ruiz</v>
      </c>
    </row>
    <row r="1476" spans="1:19" x14ac:dyDescent="0.3">
      <c r="A1476" s="1">
        <v>46013</v>
      </c>
      <c r="B1476" s="2" t="s">
        <v>2514</v>
      </c>
      <c r="C1476" s="2" t="s">
        <v>2521</v>
      </c>
      <c r="D1476" s="2" t="s">
        <v>2516</v>
      </c>
      <c r="E1476" s="2" t="s">
        <v>2529</v>
      </c>
      <c r="F1476" s="3">
        <v>172498</v>
      </c>
      <c r="G1476" s="3">
        <v>6969</v>
      </c>
      <c r="H1476" s="3">
        <v>635</v>
      </c>
      <c r="I1476" s="4">
        <v>14570.57</v>
      </c>
      <c r="J1476" s="4">
        <v>86623.86</v>
      </c>
      <c r="K1476" s="3">
        <v>518</v>
      </c>
      <c r="L1476" s="2" t="s">
        <v>2518</v>
      </c>
      <c r="M1476" s="2" t="s">
        <v>2546</v>
      </c>
      <c r="N1476" t="str">
        <f>TRIM(PROPER(Tabla_auditoría[[#This Row],[ID_Campaña]]))</f>
        <v>Cmp-002</v>
      </c>
      <c r="O1476" t="str">
        <f>TRIM(PROPER(Tabla_auditoría[[#This Row],[Canal]]))</f>
        <v>Paid Search</v>
      </c>
      <c r="P1476" t="str">
        <f>TRIM(PROPER(Tabla_auditoría[[#This Row],[País]]))</f>
        <v>México</v>
      </c>
      <c r="Q1476" t="str">
        <f>TRIM(PROPER(Tabla_auditoría[[#This Row],[Dispositivo]]))</f>
        <v>Mobile</v>
      </c>
      <c r="R1476" t="str">
        <f>TRIM(PROPER(Tabla_auditoría[[#This Row],[Tipo_Campaña]]))</f>
        <v>Adquisición</v>
      </c>
      <c r="S1476" t="str">
        <f>TRIM(PROPER(Tabla_auditoría[[#This Row],[Responsable]]))</f>
        <v>Ana García</v>
      </c>
    </row>
    <row r="1477" spans="1:19" x14ac:dyDescent="0.3">
      <c r="A1477" s="1">
        <v>45802</v>
      </c>
      <c r="B1477" s="2" t="s">
        <v>2540</v>
      </c>
      <c r="C1477" s="2" t="s">
        <v>2543</v>
      </c>
      <c r="D1477" s="2" t="s">
        <v>2587</v>
      </c>
      <c r="E1477" s="2" t="s">
        <v>2517</v>
      </c>
      <c r="F1477" s="3">
        <v>77926</v>
      </c>
      <c r="G1477" s="3">
        <v>4121</v>
      </c>
      <c r="H1477" s="3">
        <v>275</v>
      </c>
      <c r="I1477" s="4">
        <v>3793.32</v>
      </c>
      <c r="J1477" s="4">
        <v>44396.71</v>
      </c>
      <c r="K1477" s="3">
        <v>222</v>
      </c>
      <c r="L1477" s="2" t="s">
        <v>2523</v>
      </c>
      <c r="M1477" s="2" t="s">
        <v>2519</v>
      </c>
      <c r="N1477" t="str">
        <f>TRIM(PROPER(Tabla_auditoría[[#This Row],[ID_Campaña]]))</f>
        <v>Cmp-017</v>
      </c>
      <c r="O1477" t="str">
        <f>TRIM(PROPER(Tabla_auditoría[[#This Row],[Canal]]))</f>
        <v>Organic Social</v>
      </c>
      <c r="P1477" t="str">
        <f>TRIM(PROPER(Tabla_auditoría[[#This Row],[País]]))</f>
        <v>Italia</v>
      </c>
      <c r="Q1477" t="str">
        <f>TRIM(PROPER(Tabla_auditoría[[#This Row],[Dispositivo]]))</f>
        <v>Desktop</v>
      </c>
      <c r="R1477" t="str">
        <f>TRIM(PROPER(Tabla_auditoría[[#This Row],[Tipo_Campaña]]))</f>
        <v>Retención</v>
      </c>
      <c r="S1477" t="str">
        <f>TRIM(PROPER(Tabla_auditoría[[#This Row],[Responsable]]))</f>
        <v>Carlos Ruiz</v>
      </c>
    </row>
    <row r="1478" spans="1:19" x14ac:dyDescent="0.3">
      <c r="A1478" s="1">
        <v>45998</v>
      </c>
      <c r="B1478" s="2" t="s">
        <v>2597</v>
      </c>
      <c r="C1478" s="2" t="s">
        <v>2521</v>
      </c>
      <c r="D1478" s="2" t="s">
        <v>2528</v>
      </c>
      <c r="E1478" s="2" t="s">
        <v>2529</v>
      </c>
      <c r="F1478" s="3">
        <v>140104</v>
      </c>
      <c r="G1478" s="3">
        <v>12034</v>
      </c>
      <c r="H1478" s="3">
        <v>1380</v>
      </c>
      <c r="I1478" s="4">
        <v>3485.22</v>
      </c>
      <c r="J1478" s="4">
        <v>194633.15</v>
      </c>
      <c r="K1478" s="3">
        <v>762</v>
      </c>
      <c r="L1478" s="2" t="s">
        <v>2518</v>
      </c>
      <c r="M1478" s="2" t="s">
        <v>2537</v>
      </c>
      <c r="N1478" t="str">
        <f>TRIM(PROPER(Tabla_auditoría[[#This Row],[ID_Campaña]]))</f>
        <v>Cmp-027</v>
      </c>
      <c r="O1478" t="str">
        <f>TRIM(PROPER(Tabla_auditoría[[#This Row],[Canal]]))</f>
        <v>Paid Search</v>
      </c>
      <c r="P1478" t="str">
        <f>TRIM(PROPER(Tabla_auditoría[[#This Row],[País]]))</f>
        <v>España</v>
      </c>
      <c r="Q1478" t="str">
        <f>TRIM(PROPER(Tabla_auditoría[[#This Row],[Dispositivo]]))</f>
        <v>Mobile</v>
      </c>
      <c r="R1478" t="str">
        <f>TRIM(PROPER(Tabla_auditoría[[#This Row],[Tipo_Campaña]]))</f>
        <v>Adquisición</v>
      </c>
      <c r="S1478" t="str">
        <f>TRIM(PROPER(Tabla_auditoría[[#This Row],[Responsable]]))</f>
        <v>Marta López</v>
      </c>
    </row>
    <row r="1479" spans="1:19" x14ac:dyDescent="0.3">
      <c r="A1479" s="1">
        <v>45827</v>
      </c>
      <c r="B1479" s="2" t="s">
        <v>2540</v>
      </c>
      <c r="C1479" s="2" t="s">
        <v>2515</v>
      </c>
      <c r="D1479" s="2" t="s">
        <v>2531</v>
      </c>
      <c r="E1479" s="2" t="s">
        <v>2529</v>
      </c>
      <c r="F1479" s="3">
        <v>80074</v>
      </c>
      <c r="G1479" s="3">
        <v>1419</v>
      </c>
      <c r="H1479" s="3">
        <v>69</v>
      </c>
      <c r="I1479" s="4">
        <v>1135.52</v>
      </c>
      <c r="J1479" s="4">
        <v>9606.93</v>
      </c>
      <c r="K1479" s="3">
        <v>36</v>
      </c>
      <c r="L1479" s="2" t="s">
        <v>2523</v>
      </c>
      <c r="M1479" s="2" t="s">
        <v>2537</v>
      </c>
      <c r="N1479" t="str">
        <f>TRIM(PROPER(Tabla_auditoría[[#This Row],[ID_Campaña]]))</f>
        <v>Cmp-017</v>
      </c>
      <c r="O1479" t="str">
        <f>TRIM(PROPER(Tabla_auditoría[[#This Row],[Canal]]))</f>
        <v>Email</v>
      </c>
      <c r="P1479" t="str">
        <f>TRIM(PROPER(Tabla_auditoría[[#This Row],[País]]))</f>
        <v>Portugal</v>
      </c>
      <c r="Q1479" t="str">
        <f>TRIM(PROPER(Tabla_auditoría[[#This Row],[Dispositivo]]))</f>
        <v>Mobile</v>
      </c>
      <c r="R1479" t="str">
        <f>TRIM(PROPER(Tabla_auditoría[[#This Row],[Tipo_Campaña]]))</f>
        <v>Retención</v>
      </c>
      <c r="S1479" t="str">
        <f>TRIM(PROPER(Tabla_auditoría[[#This Row],[Responsable]]))</f>
        <v>Marta López</v>
      </c>
    </row>
    <row r="1480" spans="1:19" x14ac:dyDescent="0.3">
      <c r="A1480" s="1">
        <v>45901</v>
      </c>
      <c r="B1480" s="2" t="s">
        <v>2567</v>
      </c>
      <c r="C1480" s="2" t="s">
        <v>2527</v>
      </c>
      <c r="D1480" s="2" t="s">
        <v>2528</v>
      </c>
      <c r="E1480" s="2" t="s">
        <v>2529</v>
      </c>
      <c r="F1480" s="3">
        <v>164149</v>
      </c>
      <c r="G1480" s="3">
        <v>1435</v>
      </c>
      <c r="H1480" s="3">
        <v>84</v>
      </c>
      <c r="I1480" s="4">
        <v>2385.5</v>
      </c>
      <c r="J1480" s="4">
        <v>16617.77</v>
      </c>
      <c r="K1480" s="3">
        <v>49</v>
      </c>
      <c r="L1480" s="2" t="s">
        <v>2536</v>
      </c>
      <c r="M1480" s="2" t="s">
        <v>2526</v>
      </c>
      <c r="N1480" t="str">
        <f>TRIM(PROPER(Tabla_auditoría[[#This Row],[ID_Campaña]]))</f>
        <v>Cmp-021</v>
      </c>
      <c r="O1480" t="str">
        <f>TRIM(PROPER(Tabla_auditoría[[#This Row],[Canal]]))</f>
        <v>Affiliate</v>
      </c>
      <c r="P1480" t="str">
        <f>TRIM(PROPER(Tabla_auditoría[[#This Row],[País]]))</f>
        <v>España</v>
      </c>
      <c r="Q1480" t="str">
        <f>TRIM(PROPER(Tabla_auditoría[[#This Row],[Dispositivo]]))</f>
        <v>Mobile</v>
      </c>
      <c r="R1480" t="str">
        <f>TRIM(PROPER(Tabla_auditoría[[#This Row],[Tipo_Campaña]]))</f>
        <v>Reconocimiento</v>
      </c>
      <c r="S1480" t="str">
        <f>TRIM(PROPER(Tabla_auditoría[[#This Row],[Responsable]]))</f>
        <v>Laura Pérez</v>
      </c>
    </row>
    <row r="1481" spans="1:19" x14ac:dyDescent="0.3">
      <c r="A1481" s="1">
        <v>45854</v>
      </c>
      <c r="B1481" s="2" t="s">
        <v>2574</v>
      </c>
      <c r="C1481" s="2" t="s">
        <v>2541</v>
      </c>
      <c r="D1481" s="2" t="s">
        <v>2528</v>
      </c>
      <c r="E1481" s="2" t="s">
        <v>2529</v>
      </c>
      <c r="F1481" s="3">
        <v>52142</v>
      </c>
      <c r="G1481" s="3">
        <v>2674</v>
      </c>
      <c r="H1481" s="3">
        <v>91</v>
      </c>
      <c r="I1481" s="4">
        <v>3473.56</v>
      </c>
      <c r="J1481" s="4">
        <v>4686.01</v>
      </c>
      <c r="K1481" s="3">
        <v>67</v>
      </c>
      <c r="L1481" s="2" t="s">
        <v>2523</v>
      </c>
      <c r="M1481" s="2" t="s">
        <v>2546</v>
      </c>
      <c r="N1481" t="str">
        <f>TRIM(PROPER(Tabla_auditoría[[#This Row],[ID_Campaña]]))</f>
        <v>Cmp-003</v>
      </c>
      <c r="O1481" t="str">
        <f>TRIM(PROPER(Tabla_auditoría[[#This Row],[Canal]]))</f>
        <v>Display</v>
      </c>
      <c r="P1481" t="str">
        <f>TRIM(PROPER(Tabla_auditoría[[#This Row],[País]]))</f>
        <v>España</v>
      </c>
      <c r="Q1481" t="str">
        <f>TRIM(PROPER(Tabla_auditoría[[#This Row],[Dispositivo]]))</f>
        <v>Mobile</v>
      </c>
      <c r="R1481" t="str">
        <f>TRIM(PROPER(Tabla_auditoría[[#This Row],[Tipo_Campaña]]))</f>
        <v>Retención</v>
      </c>
      <c r="S1481" t="str">
        <f>TRIM(PROPER(Tabla_auditoría[[#This Row],[Responsable]]))</f>
        <v>Ana García</v>
      </c>
    </row>
    <row r="1482" spans="1:19" x14ac:dyDescent="0.3">
      <c r="A1482" s="1">
        <v>45683</v>
      </c>
      <c r="B1482" s="2" t="s">
        <v>2520</v>
      </c>
      <c r="C1482" s="2" t="s">
        <v>2541</v>
      </c>
      <c r="D1482" s="2" t="s">
        <v>2525</v>
      </c>
      <c r="E1482" s="2" t="s">
        <v>2517</v>
      </c>
      <c r="F1482" s="3">
        <v>68689</v>
      </c>
      <c r="G1482" s="3">
        <v>5617</v>
      </c>
      <c r="H1482" s="3">
        <v>542</v>
      </c>
      <c r="I1482" s="4">
        <v>9192.32</v>
      </c>
      <c r="J1482" s="4">
        <v>48814.239999999998</v>
      </c>
      <c r="K1482" s="3">
        <v>483</v>
      </c>
      <c r="L1482" s="2" t="s">
        <v>2539</v>
      </c>
      <c r="M1482" s="2" t="s">
        <v>2546</v>
      </c>
      <c r="N1482" t="str">
        <f>TRIM(PROPER(Tabla_auditoría[[#This Row],[ID_Campaña]]))</f>
        <v>Cmp-009</v>
      </c>
      <c r="O1482" t="str">
        <f>TRIM(PROPER(Tabla_auditoría[[#This Row],[Canal]]))</f>
        <v>Display</v>
      </c>
      <c r="P1482" t="str">
        <f>TRIM(PROPER(Tabla_auditoría[[#This Row],[País]]))</f>
        <v>Francia</v>
      </c>
      <c r="Q1482" t="str">
        <f>TRIM(PROPER(Tabla_auditoría[[#This Row],[Dispositivo]]))</f>
        <v>Desktop</v>
      </c>
      <c r="R1482" t="str">
        <f>TRIM(PROPER(Tabla_auditoría[[#This Row],[Tipo_Campaña]]))</f>
        <v>Conversión</v>
      </c>
      <c r="S1482" t="str">
        <f>TRIM(PROPER(Tabla_auditoría[[#This Row],[Responsable]]))</f>
        <v>Ana García</v>
      </c>
    </row>
    <row r="1483" spans="1:19" x14ac:dyDescent="0.3">
      <c r="A1483" s="1">
        <v>45746</v>
      </c>
      <c r="B1483" s="2" t="s">
        <v>2550</v>
      </c>
      <c r="C1483" s="2" t="s">
        <v>2543</v>
      </c>
      <c r="D1483" s="2" t="s">
        <v>2522</v>
      </c>
      <c r="E1483" s="2" t="s">
        <v>2534</v>
      </c>
      <c r="F1483" s="3">
        <v>4187</v>
      </c>
      <c r="G1483" s="3">
        <v>172</v>
      </c>
      <c r="H1483" s="3">
        <v>10</v>
      </c>
      <c r="I1483" s="4">
        <v>111.79</v>
      </c>
      <c r="J1483" s="4">
        <v>545.27</v>
      </c>
      <c r="K1483" s="3">
        <v>5</v>
      </c>
      <c r="L1483" s="2" t="s">
        <v>2523</v>
      </c>
      <c r="M1483" s="2" t="s">
        <v>2526</v>
      </c>
      <c r="N1483" t="str">
        <f>TRIM(PROPER(Tabla_auditoría[[#This Row],[ID_Campaña]]))</f>
        <v>Cmp-008</v>
      </c>
      <c r="O1483" t="str">
        <f>TRIM(PROPER(Tabla_auditoría[[#This Row],[Canal]]))</f>
        <v>Organic Social</v>
      </c>
      <c r="P1483" t="str">
        <f>TRIM(PROPER(Tabla_auditoría[[#This Row],[País]]))</f>
        <v>Italia</v>
      </c>
      <c r="Q1483" t="str">
        <f>TRIM(PROPER(Tabla_auditoría[[#This Row],[Dispositivo]]))</f>
        <v>Tablet</v>
      </c>
      <c r="R1483" t="str">
        <f>TRIM(PROPER(Tabla_auditoría[[#This Row],[Tipo_Campaña]]))</f>
        <v>Retención</v>
      </c>
      <c r="S1483" t="str">
        <f>TRIM(PROPER(Tabla_auditoría[[#This Row],[Responsable]]))</f>
        <v>Laura Pérez</v>
      </c>
    </row>
    <row r="1484" spans="1:19" x14ac:dyDescent="0.3">
      <c r="A1484" s="1">
        <v>46005</v>
      </c>
      <c r="B1484" s="2" t="s">
        <v>2532</v>
      </c>
      <c r="C1484" s="2" t="s">
        <v>2527</v>
      </c>
      <c r="D1484" s="2" t="s">
        <v>2516</v>
      </c>
      <c r="E1484" s="2" t="s">
        <v>2517</v>
      </c>
      <c r="F1484" s="3">
        <v>115538</v>
      </c>
      <c r="G1484" s="3">
        <v>7868</v>
      </c>
      <c r="H1484" s="3">
        <v>401</v>
      </c>
      <c r="I1484" s="4">
        <v>10789.71</v>
      </c>
      <c r="J1484" s="4">
        <v>17948.68</v>
      </c>
      <c r="K1484" s="3">
        <v>234</v>
      </c>
      <c r="L1484" s="2" t="s">
        <v>2539</v>
      </c>
      <c r="M1484" s="2" t="s">
        <v>2546</v>
      </c>
      <c r="N1484" t="str">
        <f>TRIM(PROPER(Tabla_auditoría[[#This Row],[ID_Campaña]]))</f>
        <v>Cmp-022</v>
      </c>
      <c r="O1484" t="str">
        <f>TRIM(PROPER(Tabla_auditoría[[#This Row],[Canal]]))</f>
        <v>Affiliate</v>
      </c>
      <c r="P1484" t="str">
        <f>TRIM(PROPER(Tabla_auditoría[[#This Row],[País]]))</f>
        <v>México</v>
      </c>
      <c r="Q1484" t="str">
        <f>TRIM(PROPER(Tabla_auditoría[[#This Row],[Dispositivo]]))</f>
        <v>Desktop</v>
      </c>
      <c r="R1484" t="str">
        <f>TRIM(PROPER(Tabla_auditoría[[#This Row],[Tipo_Campaña]]))</f>
        <v>Conversión</v>
      </c>
      <c r="S1484" t="str">
        <f>TRIM(PROPER(Tabla_auditoría[[#This Row],[Responsable]]))</f>
        <v>Ana García</v>
      </c>
    </row>
    <row r="1485" spans="1:19" x14ac:dyDescent="0.3">
      <c r="A1485" s="1">
        <v>45668</v>
      </c>
      <c r="B1485" s="2" t="s">
        <v>2551</v>
      </c>
      <c r="C1485" s="2" t="s">
        <v>2533</v>
      </c>
      <c r="D1485" s="2" t="s">
        <v>2528</v>
      </c>
      <c r="E1485" s="2" t="s">
        <v>2529</v>
      </c>
      <c r="F1485" s="3">
        <v>67479</v>
      </c>
      <c r="G1485" s="3">
        <v>1847</v>
      </c>
      <c r="H1485" s="3">
        <v>151</v>
      </c>
      <c r="I1485" s="4">
        <v>1818.24</v>
      </c>
      <c r="J1485" s="4">
        <v>7795.88</v>
      </c>
      <c r="K1485" s="3">
        <v>91</v>
      </c>
      <c r="L1485" s="2" t="s">
        <v>2518</v>
      </c>
      <c r="M1485" s="2" t="s">
        <v>2546</v>
      </c>
      <c r="N1485" t="str">
        <f>TRIM(PROPER(Tabla_auditoría[[#This Row],[ID_Campaña]]))</f>
        <v>Cmp-028</v>
      </c>
      <c r="O1485" t="str">
        <f>TRIM(PROPER(Tabla_auditoría[[#This Row],[Canal]]))</f>
        <v>Paid Social</v>
      </c>
      <c r="P1485" t="str">
        <f>TRIM(PROPER(Tabla_auditoría[[#This Row],[País]]))</f>
        <v>España</v>
      </c>
      <c r="Q1485" t="str">
        <f>TRIM(PROPER(Tabla_auditoría[[#This Row],[Dispositivo]]))</f>
        <v>Mobile</v>
      </c>
      <c r="R1485" t="str">
        <f>TRIM(PROPER(Tabla_auditoría[[#This Row],[Tipo_Campaña]]))</f>
        <v>Adquisición</v>
      </c>
      <c r="S1485" t="str">
        <f>TRIM(PROPER(Tabla_auditoría[[#This Row],[Responsable]]))</f>
        <v>Ana García</v>
      </c>
    </row>
    <row r="1486" spans="1:19" x14ac:dyDescent="0.3">
      <c r="A1486" s="1">
        <v>45975</v>
      </c>
      <c r="B1486" s="2" t="s">
        <v>2530</v>
      </c>
      <c r="C1486" s="2" t="s">
        <v>2543</v>
      </c>
      <c r="D1486" s="2" t="s">
        <v>2525</v>
      </c>
      <c r="E1486" s="2" t="s">
        <v>2517</v>
      </c>
      <c r="F1486" s="3">
        <v>47396</v>
      </c>
      <c r="G1486" s="3">
        <v>1954</v>
      </c>
      <c r="H1486" s="3">
        <v>199</v>
      </c>
      <c r="I1486" s="4">
        <v>2025.71</v>
      </c>
      <c r="J1486" s="4">
        <v>23777.75</v>
      </c>
      <c r="K1486" s="3">
        <v>147</v>
      </c>
      <c r="L1486" s="2" t="s">
        <v>2539</v>
      </c>
      <c r="M1486" s="2" t="s">
        <v>2524</v>
      </c>
      <c r="N1486" t="str">
        <f>TRIM(PROPER(Tabla_auditoría[[#This Row],[ID_Campaña]]))</f>
        <v>Cmp-026</v>
      </c>
      <c r="O1486" t="str">
        <f>TRIM(PROPER(Tabla_auditoría[[#This Row],[Canal]]))</f>
        <v>Organic Social</v>
      </c>
      <c r="P1486" t="str">
        <f>TRIM(PROPER(Tabla_auditoría[[#This Row],[País]]))</f>
        <v>Francia</v>
      </c>
      <c r="Q1486" t="str">
        <f>TRIM(PROPER(Tabla_auditoría[[#This Row],[Dispositivo]]))</f>
        <v>Desktop</v>
      </c>
      <c r="R1486" t="str">
        <f>TRIM(PROPER(Tabla_auditoría[[#This Row],[Tipo_Campaña]]))</f>
        <v>Conversión</v>
      </c>
      <c r="S1486" t="str">
        <f>TRIM(PROPER(Tabla_auditoría[[#This Row],[Responsable]]))</f>
        <v>Luis Martín</v>
      </c>
    </row>
    <row r="1487" spans="1:19" x14ac:dyDescent="0.3">
      <c r="A1487" s="1">
        <v>45965</v>
      </c>
      <c r="B1487" s="2" t="s">
        <v>2568</v>
      </c>
      <c r="C1487" s="2" t="s">
        <v>2541</v>
      </c>
      <c r="D1487" s="2" t="s">
        <v>2522</v>
      </c>
      <c r="E1487" s="2" t="s">
        <v>2517</v>
      </c>
      <c r="F1487" s="3">
        <v>104829</v>
      </c>
      <c r="G1487" s="3">
        <v>2094</v>
      </c>
      <c r="H1487" s="3">
        <v>256</v>
      </c>
      <c r="I1487" s="4">
        <v>1131.48</v>
      </c>
      <c r="J1487" s="4">
        <v>37276.69</v>
      </c>
      <c r="K1487" s="3">
        <v>188</v>
      </c>
      <c r="L1487" s="2" t="s">
        <v>2523</v>
      </c>
      <c r="M1487" s="2" t="s">
        <v>2519</v>
      </c>
      <c r="N1487" t="str">
        <f>TRIM(PROPER(Tabla_auditoría[[#This Row],[ID_Campaña]]))</f>
        <v>Cmp-020</v>
      </c>
      <c r="O1487" t="str">
        <f>TRIM(PROPER(Tabla_auditoría[[#This Row],[Canal]]))</f>
        <v>Display</v>
      </c>
      <c r="P1487" t="str">
        <f>TRIM(PROPER(Tabla_auditoría[[#This Row],[País]]))</f>
        <v>Italia</v>
      </c>
      <c r="Q1487" t="str">
        <f>TRIM(PROPER(Tabla_auditoría[[#This Row],[Dispositivo]]))</f>
        <v>Desktop</v>
      </c>
      <c r="R1487" t="str">
        <f>TRIM(PROPER(Tabla_auditoría[[#This Row],[Tipo_Campaña]]))</f>
        <v>Retención</v>
      </c>
      <c r="S1487" t="str">
        <f>TRIM(PROPER(Tabla_auditoría[[#This Row],[Responsable]]))</f>
        <v>Carlos Ruiz</v>
      </c>
    </row>
    <row r="1488" spans="1:19" x14ac:dyDescent="0.3">
      <c r="A1488" s="1">
        <v>45928</v>
      </c>
      <c r="B1488" s="2" t="s">
        <v>2530</v>
      </c>
      <c r="C1488" s="2" t="s">
        <v>2533</v>
      </c>
      <c r="D1488" s="2" t="s">
        <v>2528</v>
      </c>
      <c r="E1488" s="2" t="s">
        <v>2529</v>
      </c>
      <c r="F1488" s="3">
        <v>168175</v>
      </c>
      <c r="G1488" s="3">
        <v>8443</v>
      </c>
      <c r="H1488" s="3">
        <v>736</v>
      </c>
      <c r="I1488" s="4">
        <v>16195.15</v>
      </c>
      <c r="J1488" s="4">
        <v>44539.13</v>
      </c>
      <c r="K1488" s="3">
        <v>425</v>
      </c>
      <c r="L1488" s="2" t="s">
        <v>2536</v>
      </c>
      <c r="M1488" s="2" t="s">
        <v>2537</v>
      </c>
      <c r="N1488" t="str">
        <f>TRIM(PROPER(Tabla_auditoría[[#This Row],[ID_Campaña]]))</f>
        <v>Cmp-026</v>
      </c>
      <c r="O1488" t="str">
        <f>TRIM(PROPER(Tabla_auditoría[[#This Row],[Canal]]))</f>
        <v>Paid Social</v>
      </c>
      <c r="P1488" t="str">
        <f>TRIM(PROPER(Tabla_auditoría[[#This Row],[País]]))</f>
        <v>España</v>
      </c>
      <c r="Q1488" t="str">
        <f>TRIM(PROPER(Tabla_auditoría[[#This Row],[Dispositivo]]))</f>
        <v>Mobile</v>
      </c>
      <c r="R1488" t="str">
        <f>TRIM(PROPER(Tabla_auditoría[[#This Row],[Tipo_Campaña]]))</f>
        <v>Reconocimiento</v>
      </c>
      <c r="S1488" t="str">
        <f>TRIM(PROPER(Tabla_auditoría[[#This Row],[Responsable]]))</f>
        <v>Marta López</v>
      </c>
    </row>
    <row r="1489" spans="1:19" x14ac:dyDescent="0.3">
      <c r="A1489" s="1">
        <v>45997</v>
      </c>
      <c r="B1489" s="2" t="s">
        <v>2565</v>
      </c>
      <c r="C1489" s="2" t="s">
        <v>2515</v>
      </c>
      <c r="D1489" s="2" t="s">
        <v>2525</v>
      </c>
      <c r="E1489" s="2" t="s">
        <v>2529</v>
      </c>
      <c r="F1489" s="3">
        <v>95465</v>
      </c>
      <c r="G1489" s="3">
        <v>2894</v>
      </c>
      <c r="H1489" s="3">
        <v>191</v>
      </c>
      <c r="I1489" s="4">
        <v>5175.6099999999997</v>
      </c>
      <c r="J1489" s="4">
        <v>23261</v>
      </c>
      <c r="K1489" s="3">
        <v>121</v>
      </c>
      <c r="L1489" s="2" t="s">
        <v>2518</v>
      </c>
      <c r="M1489" s="2" t="s">
        <v>2519</v>
      </c>
      <c r="N1489" t="str">
        <f>TRIM(PROPER(Tabla_auditoría[[#This Row],[ID_Campaña]]))</f>
        <v>Cmp-005</v>
      </c>
      <c r="O1489" t="str">
        <f>TRIM(PROPER(Tabla_auditoría[[#This Row],[Canal]]))</f>
        <v>Email</v>
      </c>
      <c r="P1489" t="str">
        <f>TRIM(PROPER(Tabla_auditoría[[#This Row],[País]]))</f>
        <v>Francia</v>
      </c>
      <c r="Q1489" t="str">
        <f>TRIM(PROPER(Tabla_auditoría[[#This Row],[Dispositivo]]))</f>
        <v>Mobile</v>
      </c>
      <c r="R1489" t="str">
        <f>TRIM(PROPER(Tabla_auditoría[[#This Row],[Tipo_Campaña]]))</f>
        <v>Adquisición</v>
      </c>
      <c r="S1489" t="str">
        <f>TRIM(PROPER(Tabla_auditoría[[#This Row],[Responsable]]))</f>
        <v>Carlos Ruiz</v>
      </c>
    </row>
    <row r="1490" spans="1:19" x14ac:dyDescent="0.3">
      <c r="A1490" s="1">
        <v>45889</v>
      </c>
      <c r="B1490" s="2" t="s">
        <v>2554</v>
      </c>
      <c r="C1490" s="2" t="s">
        <v>2521</v>
      </c>
      <c r="D1490" s="2" t="s">
        <v>2528</v>
      </c>
      <c r="E1490" s="2" t="s">
        <v>2517</v>
      </c>
      <c r="F1490" s="3">
        <v>145636</v>
      </c>
      <c r="G1490" s="3">
        <v>1712</v>
      </c>
      <c r="H1490" s="3">
        <v>72</v>
      </c>
      <c r="I1490" s="4">
        <v>1111.6600000000001</v>
      </c>
      <c r="J1490" s="4">
        <v>4309.42</v>
      </c>
      <c r="K1490" s="3">
        <v>57</v>
      </c>
      <c r="L1490" s="2" t="s">
        <v>2518</v>
      </c>
      <c r="M1490" s="2" t="s">
        <v>2524</v>
      </c>
      <c r="N1490" t="str">
        <f>TRIM(PROPER(Tabla_auditoría[[#This Row],[ID_Campaña]]))</f>
        <v>Cmp-019</v>
      </c>
      <c r="O1490" t="str">
        <f>TRIM(PROPER(Tabla_auditoría[[#This Row],[Canal]]))</f>
        <v>Paid Search</v>
      </c>
      <c r="P1490" t="str">
        <f>TRIM(PROPER(Tabla_auditoría[[#This Row],[País]]))</f>
        <v>España</v>
      </c>
      <c r="Q1490" t="str">
        <f>TRIM(PROPER(Tabla_auditoría[[#This Row],[Dispositivo]]))</f>
        <v>Desktop</v>
      </c>
      <c r="R1490" t="str">
        <f>TRIM(PROPER(Tabla_auditoría[[#This Row],[Tipo_Campaña]]))</f>
        <v>Adquisición</v>
      </c>
      <c r="S1490" t="str">
        <f>TRIM(PROPER(Tabla_auditoría[[#This Row],[Responsable]]))</f>
        <v>Luis Martín</v>
      </c>
    </row>
    <row r="1491" spans="1:19" x14ac:dyDescent="0.3">
      <c r="A1491" s="1">
        <v>45941</v>
      </c>
      <c r="B1491" s="2" t="s">
        <v>2514</v>
      </c>
      <c r="C1491" s="2" t="s">
        <v>2541</v>
      </c>
      <c r="D1491" s="2" t="s">
        <v>2531</v>
      </c>
      <c r="E1491" s="2" t="s">
        <v>2529</v>
      </c>
      <c r="F1491" s="3">
        <v>148076</v>
      </c>
      <c r="G1491" s="3">
        <v>12039</v>
      </c>
      <c r="H1491" s="3">
        <v>363</v>
      </c>
      <c r="I1491" s="4">
        <v>11346.86</v>
      </c>
      <c r="J1491" s="4">
        <v>13567.09</v>
      </c>
      <c r="K1491" s="3">
        <v>287</v>
      </c>
      <c r="L1491" s="2" t="s">
        <v>2539</v>
      </c>
      <c r="M1491" s="2" t="s">
        <v>2524</v>
      </c>
      <c r="N1491" t="str">
        <f>TRIM(PROPER(Tabla_auditoría[[#This Row],[ID_Campaña]]))</f>
        <v>Cmp-002</v>
      </c>
      <c r="O1491" t="str">
        <f>TRIM(PROPER(Tabla_auditoría[[#This Row],[Canal]]))</f>
        <v>Display</v>
      </c>
      <c r="P1491" t="str">
        <f>TRIM(PROPER(Tabla_auditoría[[#This Row],[País]]))</f>
        <v>Portugal</v>
      </c>
      <c r="Q1491" t="str">
        <f>TRIM(PROPER(Tabla_auditoría[[#This Row],[Dispositivo]]))</f>
        <v>Mobile</v>
      </c>
      <c r="R1491" t="str">
        <f>TRIM(PROPER(Tabla_auditoría[[#This Row],[Tipo_Campaña]]))</f>
        <v>Conversión</v>
      </c>
      <c r="S1491" t="str">
        <f>TRIM(PROPER(Tabla_auditoría[[#This Row],[Responsable]]))</f>
        <v>Luis Martín</v>
      </c>
    </row>
    <row r="1492" spans="1:19" x14ac:dyDescent="0.3">
      <c r="A1492" s="1">
        <v>45818</v>
      </c>
      <c r="B1492" s="2" t="s">
        <v>2565</v>
      </c>
      <c r="C1492" s="2" t="s">
        <v>2575</v>
      </c>
      <c r="D1492" s="2" t="s">
        <v>2531</v>
      </c>
      <c r="E1492" s="2" t="s">
        <v>2529</v>
      </c>
      <c r="F1492" s="3">
        <v>71097</v>
      </c>
      <c r="G1492" s="3">
        <v>2060</v>
      </c>
      <c r="H1492" s="3">
        <v>233</v>
      </c>
      <c r="I1492" s="4">
        <v>1399.39</v>
      </c>
      <c r="J1492" s="4">
        <v>50583.79</v>
      </c>
      <c r="K1492" s="3">
        <v>191</v>
      </c>
      <c r="L1492" s="2" t="s">
        <v>2536</v>
      </c>
      <c r="M1492" s="2" t="s">
        <v>2524</v>
      </c>
      <c r="N1492" t="str">
        <f>TRIM(PROPER(Tabla_auditoría[[#This Row],[ID_Campaña]]))</f>
        <v>Cmp-005</v>
      </c>
      <c r="O1492" t="str">
        <f>TRIM(PROPER(Tabla_auditoría[[#This Row],[Canal]]))</f>
        <v>Paid Search</v>
      </c>
      <c r="P1492" t="str">
        <f>TRIM(PROPER(Tabla_auditoría[[#This Row],[País]]))</f>
        <v>Portugal</v>
      </c>
      <c r="Q1492" t="str">
        <f>TRIM(PROPER(Tabla_auditoría[[#This Row],[Dispositivo]]))</f>
        <v>Mobile</v>
      </c>
      <c r="R1492" t="str">
        <f>TRIM(PROPER(Tabla_auditoría[[#This Row],[Tipo_Campaña]]))</f>
        <v>Reconocimiento</v>
      </c>
      <c r="S1492" t="str">
        <f>TRIM(PROPER(Tabla_auditoría[[#This Row],[Responsable]]))</f>
        <v>Luis Martín</v>
      </c>
    </row>
    <row r="1493" spans="1:19" x14ac:dyDescent="0.3">
      <c r="A1493" s="1">
        <v>45937</v>
      </c>
      <c r="B1493" s="2" t="s">
        <v>2566</v>
      </c>
      <c r="C1493" s="2" t="s">
        <v>2515</v>
      </c>
      <c r="D1493" s="2" t="s">
        <v>2522</v>
      </c>
      <c r="E1493" s="2" t="s">
        <v>2517</v>
      </c>
      <c r="F1493" s="3">
        <v>46108</v>
      </c>
      <c r="G1493" s="3">
        <v>453</v>
      </c>
      <c r="H1493" s="3">
        <v>49</v>
      </c>
      <c r="I1493" s="4">
        <v>384.76</v>
      </c>
      <c r="J1493" s="4">
        <v>10165.56</v>
      </c>
      <c r="K1493" s="3">
        <v>38</v>
      </c>
      <c r="L1493" s="2" t="s">
        <v>2536</v>
      </c>
      <c r="M1493" s="2" t="s">
        <v>2519</v>
      </c>
      <c r="N1493" t="str">
        <f>TRIM(PROPER(Tabla_auditoría[[#This Row],[ID_Campaña]]))</f>
        <v>Cmp-001</v>
      </c>
      <c r="O1493" t="str">
        <f>TRIM(PROPER(Tabla_auditoría[[#This Row],[Canal]]))</f>
        <v>Email</v>
      </c>
      <c r="P1493" t="str">
        <f>TRIM(PROPER(Tabla_auditoría[[#This Row],[País]]))</f>
        <v>Italia</v>
      </c>
      <c r="Q1493" t="str">
        <f>TRIM(PROPER(Tabla_auditoría[[#This Row],[Dispositivo]]))</f>
        <v>Desktop</v>
      </c>
      <c r="R1493" t="str">
        <f>TRIM(PROPER(Tabla_auditoría[[#This Row],[Tipo_Campaña]]))</f>
        <v>Reconocimiento</v>
      </c>
      <c r="S1493" t="str">
        <f>TRIM(PROPER(Tabla_auditoría[[#This Row],[Responsable]]))</f>
        <v>Carlos Ruiz</v>
      </c>
    </row>
    <row r="1494" spans="1:19" x14ac:dyDescent="0.3">
      <c r="A1494" s="1">
        <v>45874</v>
      </c>
      <c r="B1494" s="2" t="s">
        <v>2555</v>
      </c>
      <c r="C1494" s="2" t="s">
        <v>2543</v>
      </c>
      <c r="D1494" s="2" t="s">
        <v>2528</v>
      </c>
      <c r="E1494" s="2" t="s">
        <v>2529</v>
      </c>
      <c r="F1494" s="3">
        <v>78759</v>
      </c>
      <c r="G1494" s="3">
        <v>3641</v>
      </c>
      <c r="H1494" s="3">
        <v>360</v>
      </c>
      <c r="I1494" s="4">
        <v>988.59</v>
      </c>
      <c r="J1494" s="4">
        <v>30605.48</v>
      </c>
      <c r="K1494" s="3">
        <v>215</v>
      </c>
      <c r="L1494" s="2" t="s">
        <v>2536</v>
      </c>
      <c r="M1494" s="2" t="s">
        <v>2526</v>
      </c>
      <c r="N1494" t="str">
        <f>TRIM(PROPER(Tabla_auditoría[[#This Row],[ID_Campaña]]))</f>
        <v>Cmp-010</v>
      </c>
      <c r="O1494" t="str">
        <f>TRIM(PROPER(Tabla_auditoría[[#This Row],[Canal]]))</f>
        <v>Organic Social</v>
      </c>
      <c r="P1494" t="str">
        <f>TRIM(PROPER(Tabla_auditoría[[#This Row],[País]]))</f>
        <v>España</v>
      </c>
      <c r="Q1494" t="str">
        <f>TRIM(PROPER(Tabla_auditoría[[#This Row],[Dispositivo]]))</f>
        <v>Mobile</v>
      </c>
      <c r="R1494" t="str">
        <f>TRIM(PROPER(Tabla_auditoría[[#This Row],[Tipo_Campaña]]))</f>
        <v>Reconocimiento</v>
      </c>
      <c r="S1494" t="str">
        <f>TRIM(PROPER(Tabla_auditoría[[#This Row],[Responsable]]))</f>
        <v>Laura Pérez</v>
      </c>
    </row>
    <row r="1495" spans="1:19" x14ac:dyDescent="0.3">
      <c r="A1495" s="1">
        <v>45881</v>
      </c>
      <c r="B1495" s="2" t="s">
        <v>2538</v>
      </c>
      <c r="C1495" s="2" t="s">
        <v>2543</v>
      </c>
      <c r="D1495" s="2" t="s">
        <v>2531</v>
      </c>
      <c r="E1495" s="2" t="s">
        <v>2517</v>
      </c>
      <c r="F1495" s="3">
        <v>38667</v>
      </c>
      <c r="G1495" s="3">
        <v>1438</v>
      </c>
      <c r="H1495" s="3">
        <v>183</v>
      </c>
      <c r="I1495" s="4">
        <v>2653.82</v>
      </c>
      <c r="J1495" s="4">
        <v>26139.439999999999</v>
      </c>
      <c r="K1495" s="3">
        <v>146</v>
      </c>
      <c r="L1495" s="2" t="s">
        <v>2523</v>
      </c>
      <c r="M1495" s="2" t="s">
        <v>2519</v>
      </c>
      <c r="N1495" t="str">
        <f>TRIM(PROPER(Tabla_auditoría[[#This Row],[ID_Campaña]]))</f>
        <v>Cmp-004</v>
      </c>
      <c r="O1495" t="str">
        <f>TRIM(PROPER(Tabla_auditoría[[#This Row],[Canal]]))</f>
        <v>Organic Social</v>
      </c>
      <c r="P1495" t="str">
        <f>TRIM(PROPER(Tabla_auditoría[[#This Row],[País]]))</f>
        <v>Portugal</v>
      </c>
      <c r="Q1495" t="str">
        <f>TRIM(PROPER(Tabla_auditoría[[#This Row],[Dispositivo]]))</f>
        <v>Desktop</v>
      </c>
      <c r="R1495" t="str">
        <f>TRIM(PROPER(Tabla_auditoría[[#This Row],[Tipo_Campaña]]))</f>
        <v>Retención</v>
      </c>
      <c r="S1495" t="str">
        <f>TRIM(PROPER(Tabla_auditoría[[#This Row],[Responsable]]))</f>
        <v>Carlos Ruiz</v>
      </c>
    </row>
    <row r="1496" spans="1:19" x14ac:dyDescent="0.3">
      <c r="A1496" s="1">
        <v>45753</v>
      </c>
      <c r="B1496" s="2" t="s">
        <v>2535</v>
      </c>
      <c r="C1496" s="2" t="s">
        <v>2541</v>
      </c>
      <c r="D1496" s="2" t="s">
        <v>2516</v>
      </c>
      <c r="E1496" s="2" t="s">
        <v>2529</v>
      </c>
      <c r="F1496" s="3">
        <v>4736</v>
      </c>
      <c r="G1496" s="3">
        <v>89</v>
      </c>
      <c r="H1496" s="3">
        <v>2</v>
      </c>
      <c r="I1496" s="4">
        <v>65.27</v>
      </c>
      <c r="J1496" s="4">
        <v>312.08999999999997</v>
      </c>
      <c r="K1496" s="3">
        <v>1</v>
      </c>
      <c r="L1496" s="2" t="s">
        <v>2539</v>
      </c>
      <c r="M1496" s="2" t="s">
        <v>2537</v>
      </c>
      <c r="N1496" t="str">
        <f>TRIM(PROPER(Tabla_auditoría[[#This Row],[ID_Campaña]]))</f>
        <v>Cmp-015</v>
      </c>
      <c r="O1496" t="str">
        <f>TRIM(PROPER(Tabla_auditoría[[#This Row],[Canal]]))</f>
        <v>Display</v>
      </c>
      <c r="P1496" t="str">
        <f>TRIM(PROPER(Tabla_auditoría[[#This Row],[País]]))</f>
        <v>México</v>
      </c>
      <c r="Q1496" t="str">
        <f>TRIM(PROPER(Tabla_auditoría[[#This Row],[Dispositivo]]))</f>
        <v>Mobile</v>
      </c>
      <c r="R1496" t="str">
        <f>TRIM(PROPER(Tabla_auditoría[[#This Row],[Tipo_Campaña]]))</f>
        <v>Conversión</v>
      </c>
      <c r="S1496" t="str">
        <f>TRIM(PROPER(Tabla_auditoría[[#This Row],[Responsable]]))</f>
        <v>Marta López</v>
      </c>
    </row>
    <row r="1497" spans="1:19" x14ac:dyDescent="0.3">
      <c r="A1497" s="1">
        <v>45969</v>
      </c>
      <c r="B1497" s="2" t="s">
        <v>2542</v>
      </c>
      <c r="C1497" s="2" t="s">
        <v>2521</v>
      </c>
      <c r="D1497" s="2" t="s">
        <v>2528</v>
      </c>
      <c r="E1497" s="2" t="s">
        <v>2529</v>
      </c>
      <c r="F1497" s="3">
        <v>133873</v>
      </c>
      <c r="G1497" s="3">
        <v>5754</v>
      </c>
      <c r="H1497" s="3">
        <v>227</v>
      </c>
      <c r="I1497" s="4">
        <v>9041.98</v>
      </c>
      <c r="J1497" s="4">
        <v>25729.51</v>
      </c>
      <c r="K1497" s="3">
        <v>187</v>
      </c>
      <c r="L1497" s="2" t="s">
        <v>2523</v>
      </c>
      <c r="M1497" s="2" t="s">
        <v>2524</v>
      </c>
      <c r="N1497" t="str">
        <f>TRIM(PROPER(Tabla_auditoría[[#This Row],[ID_Campaña]]))</f>
        <v>Cmp-025</v>
      </c>
      <c r="O1497" t="str">
        <f>TRIM(PROPER(Tabla_auditoría[[#This Row],[Canal]]))</f>
        <v>Paid Search</v>
      </c>
      <c r="P1497" t="str">
        <f>TRIM(PROPER(Tabla_auditoría[[#This Row],[País]]))</f>
        <v>España</v>
      </c>
      <c r="Q1497" t="str">
        <f>TRIM(PROPER(Tabla_auditoría[[#This Row],[Dispositivo]]))</f>
        <v>Mobile</v>
      </c>
      <c r="R1497" t="str">
        <f>TRIM(PROPER(Tabla_auditoría[[#This Row],[Tipo_Campaña]]))</f>
        <v>Retención</v>
      </c>
      <c r="S1497" t="str">
        <f>TRIM(PROPER(Tabla_auditoría[[#This Row],[Responsable]]))</f>
        <v>Luis Martín</v>
      </c>
    </row>
    <row r="1498" spans="1:19" x14ac:dyDescent="0.3">
      <c r="A1498" s="1">
        <v>46020</v>
      </c>
      <c r="B1498" s="2" t="s">
        <v>2567</v>
      </c>
      <c r="C1498" s="2" t="s">
        <v>2575</v>
      </c>
      <c r="D1498" s="2" t="s">
        <v>2528</v>
      </c>
      <c r="E1498" s="2" t="s">
        <v>2517</v>
      </c>
      <c r="F1498" s="3">
        <v>84498</v>
      </c>
      <c r="G1498" s="3">
        <v>2915</v>
      </c>
      <c r="H1498" s="3">
        <v>71</v>
      </c>
      <c r="I1498" s="4">
        <v>5566.83</v>
      </c>
      <c r="J1498" s="4">
        <v>5839.43</v>
      </c>
      <c r="K1498" s="3">
        <v>39</v>
      </c>
      <c r="L1498" s="2" t="s">
        <v>2518</v>
      </c>
      <c r="M1498" s="2" t="s">
        <v>2546</v>
      </c>
      <c r="N1498" t="str">
        <f>TRIM(PROPER(Tabla_auditoría[[#This Row],[ID_Campaña]]))</f>
        <v>Cmp-021</v>
      </c>
      <c r="O1498" t="str">
        <f>TRIM(PROPER(Tabla_auditoría[[#This Row],[Canal]]))</f>
        <v>Paid Search</v>
      </c>
      <c r="P1498" t="str">
        <f>TRIM(PROPER(Tabla_auditoría[[#This Row],[País]]))</f>
        <v>España</v>
      </c>
      <c r="Q1498" t="str">
        <f>TRIM(PROPER(Tabla_auditoría[[#This Row],[Dispositivo]]))</f>
        <v>Desktop</v>
      </c>
      <c r="R1498" t="str">
        <f>TRIM(PROPER(Tabla_auditoría[[#This Row],[Tipo_Campaña]]))</f>
        <v>Adquisición</v>
      </c>
      <c r="S1498" t="str">
        <f>TRIM(PROPER(Tabla_auditoría[[#This Row],[Responsable]]))</f>
        <v>Ana García</v>
      </c>
    </row>
    <row r="1499" spans="1:19" x14ac:dyDescent="0.3">
      <c r="A1499" s="1">
        <v>45699</v>
      </c>
      <c r="B1499" s="2" t="s">
        <v>2540</v>
      </c>
      <c r="C1499" s="2" t="s">
        <v>2543</v>
      </c>
      <c r="D1499" s="2" t="s">
        <v>2528</v>
      </c>
      <c r="E1499" s="2" t="s">
        <v>2529</v>
      </c>
      <c r="F1499" s="3">
        <v>98763</v>
      </c>
      <c r="G1499" s="3">
        <v>1996</v>
      </c>
      <c r="H1499" s="3">
        <v>119</v>
      </c>
      <c r="I1499" s="4">
        <v>415.01</v>
      </c>
      <c r="J1499" s="4">
        <v>24438.47</v>
      </c>
      <c r="K1499" s="3">
        <v>54</v>
      </c>
      <c r="L1499" s="2" t="s">
        <v>2523</v>
      </c>
      <c r="M1499" s="2" t="s">
        <v>2537</v>
      </c>
      <c r="N1499" t="str">
        <f>TRIM(PROPER(Tabla_auditoría[[#This Row],[ID_Campaña]]))</f>
        <v>Cmp-017</v>
      </c>
      <c r="O1499" t="str">
        <f>TRIM(PROPER(Tabla_auditoría[[#This Row],[Canal]]))</f>
        <v>Organic Social</v>
      </c>
      <c r="P1499" t="str">
        <f>TRIM(PROPER(Tabla_auditoría[[#This Row],[País]]))</f>
        <v>España</v>
      </c>
      <c r="Q1499" t="str">
        <f>TRIM(PROPER(Tabla_auditoría[[#This Row],[Dispositivo]]))</f>
        <v>Mobile</v>
      </c>
      <c r="R1499" t="str">
        <f>TRIM(PROPER(Tabla_auditoría[[#This Row],[Tipo_Campaña]]))</f>
        <v>Retención</v>
      </c>
      <c r="S1499" t="str">
        <f>TRIM(PROPER(Tabla_auditoría[[#This Row],[Responsable]]))</f>
        <v>Marta López</v>
      </c>
    </row>
    <row r="1500" spans="1:19" x14ac:dyDescent="0.3">
      <c r="A1500" s="1">
        <v>45885</v>
      </c>
      <c r="B1500" s="2" t="s">
        <v>2565</v>
      </c>
      <c r="C1500" s="2" t="s">
        <v>2575</v>
      </c>
      <c r="D1500" s="2" t="s">
        <v>2528</v>
      </c>
      <c r="E1500" s="2" t="s">
        <v>2529</v>
      </c>
      <c r="F1500" s="3">
        <v>172006</v>
      </c>
      <c r="G1500" s="3">
        <v>7724</v>
      </c>
      <c r="H1500" s="3">
        <v>972</v>
      </c>
      <c r="I1500" s="4">
        <v>9945.25</v>
      </c>
      <c r="J1500" s="4">
        <v>158576.32000000001</v>
      </c>
      <c r="K1500" s="3">
        <v>629</v>
      </c>
      <c r="L1500" s="2" t="s">
        <v>2523</v>
      </c>
      <c r="M1500" s="2" t="s">
        <v>2537</v>
      </c>
      <c r="N1500" t="str">
        <f>TRIM(PROPER(Tabla_auditoría[[#This Row],[ID_Campaña]]))</f>
        <v>Cmp-005</v>
      </c>
      <c r="O1500" t="str">
        <f>TRIM(PROPER(Tabla_auditoría[[#This Row],[Canal]]))</f>
        <v>Paid Search</v>
      </c>
      <c r="P1500" t="str">
        <f>TRIM(PROPER(Tabla_auditoría[[#This Row],[País]]))</f>
        <v>España</v>
      </c>
      <c r="Q1500" t="str">
        <f>TRIM(PROPER(Tabla_auditoría[[#This Row],[Dispositivo]]))</f>
        <v>Mobile</v>
      </c>
      <c r="R1500" t="str">
        <f>TRIM(PROPER(Tabla_auditoría[[#This Row],[Tipo_Campaña]]))</f>
        <v>Retención</v>
      </c>
      <c r="S1500" t="str">
        <f>TRIM(PROPER(Tabla_auditoría[[#This Row],[Responsable]]))</f>
        <v>Marta López</v>
      </c>
    </row>
    <row r="1501" spans="1:19" x14ac:dyDescent="0.3">
      <c r="A1501" s="1">
        <v>45952</v>
      </c>
      <c r="B1501" s="2" t="s">
        <v>2551</v>
      </c>
      <c r="C1501" s="2" t="s">
        <v>2541</v>
      </c>
      <c r="D1501" s="2" t="s">
        <v>2525</v>
      </c>
      <c r="E1501" s="2" t="s">
        <v>2529</v>
      </c>
      <c r="F1501" s="3">
        <v>91874</v>
      </c>
      <c r="G1501" s="3">
        <v>6704</v>
      </c>
      <c r="H1501" s="3">
        <v>118</v>
      </c>
      <c r="I1501" s="4">
        <v>1700.48</v>
      </c>
      <c r="J1501" s="4">
        <v>15971.23</v>
      </c>
      <c r="K1501" s="3">
        <v>104</v>
      </c>
      <c r="L1501" s="2" t="s">
        <v>2539</v>
      </c>
      <c r="M1501" s="2" t="s">
        <v>2524</v>
      </c>
      <c r="N1501" t="str">
        <f>TRIM(PROPER(Tabla_auditoría[[#This Row],[ID_Campaña]]))</f>
        <v>Cmp-028</v>
      </c>
      <c r="O1501" t="str">
        <f>TRIM(PROPER(Tabla_auditoría[[#This Row],[Canal]]))</f>
        <v>Display</v>
      </c>
      <c r="P1501" t="str">
        <f>TRIM(PROPER(Tabla_auditoría[[#This Row],[País]]))</f>
        <v>Francia</v>
      </c>
      <c r="Q1501" t="str">
        <f>TRIM(PROPER(Tabla_auditoría[[#This Row],[Dispositivo]]))</f>
        <v>Mobile</v>
      </c>
      <c r="R1501" t="str">
        <f>TRIM(PROPER(Tabla_auditoría[[#This Row],[Tipo_Campaña]]))</f>
        <v>Conversión</v>
      </c>
      <c r="S1501" t="str">
        <f>TRIM(PROPER(Tabla_auditoría[[#This Row],[Responsable]]))</f>
        <v>Luis Martín</v>
      </c>
    </row>
    <row r="1502" spans="1:19" x14ac:dyDescent="0.3">
      <c r="A1502" s="1">
        <v>45689</v>
      </c>
      <c r="B1502" s="2" t="s">
        <v>2569</v>
      </c>
      <c r="C1502" s="2" t="s">
        <v>2575</v>
      </c>
      <c r="D1502" s="2" t="s">
        <v>2516</v>
      </c>
      <c r="E1502" s="2" t="s">
        <v>2529</v>
      </c>
      <c r="F1502" s="3">
        <v>45273</v>
      </c>
      <c r="G1502" s="3">
        <v>3937</v>
      </c>
      <c r="H1502" s="3">
        <v>350</v>
      </c>
      <c r="I1502" s="4">
        <v>1985.81</v>
      </c>
      <c r="J1502" s="4">
        <v>44887.839999999997</v>
      </c>
      <c r="K1502" s="3">
        <v>263</v>
      </c>
      <c r="L1502" s="2" t="s">
        <v>2539</v>
      </c>
      <c r="M1502" s="2" t="s">
        <v>2537</v>
      </c>
      <c r="N1502" t="str">
        <f>TRIM(PROPER(Tabla_auditoría[[#This Row],[ID_Campaña]]))</f>
        <v>Cmp-013</v>
      </c>
      <c r="O1502" t="str">
        <f>TRIM(PROPER(Tabla_auditoría[[#This Row],[Canal]]))</f>
        <v>Paid Search</v>
      </c>
      <c r="P1502" t="str">
        <f>TRIM(PROPER(Tabla_auditoría[[#This Row],[País]]))</f>
        <v>México</v>
      </c>
      <c r="Q1502" t="str">
        <f>TRIM(PROPER(Tabla_auditoría[[#This Row],[Dispositivo]]))</f>
        <v>Mobile</v>
      </c>
      <c r="R1502" t="str">
        <f>TRIM(PROPER(Tabla_auditoría[[#This Row],[Tipo_Campaña]]))</f>
        <v>Conversión</v>
      </c>
      <c r="S1502" t="str">
        <f>TRIM(PROPER(Tabla_auditoría[[#This Row],[Responsable]]))</f>
        <v>Marta López</v>
      </c>
    </row>
    <row r="1503" spans="1:19" x14ac:dyDescent="0.3">
      <c r="A1503" s="1">
        <v>45698</v>
      </c>
      <c r="B1503" s="2" t="s">
        <v>2564</v>
      </c>
      <c r="C1503" s="2" t="s">
        <v>2527</v>
      </c>
      <c r="D1503" s="2" t="s">
        <v>2528</v>
      </c>
      <c r="E1503" s="2" t="s">
        <v>2517</v>
      </c>
      <c r="F1503" s="3">
        <v>158231</v>
      </c>
      <c r="G1503" s="3">
        <v>1738</v>
      </c>
      <c r="H1503" s="3">
        <v>26</v>
      </c>
      <c r="I1503" s="4">
        <v>2529.31</v>
      </c>
      <c r="J1503" s="4">
        <v>5349.07</v>
      </c>
      <c r="K1503" s="3">
        <v>12</v>
      </c>
      <c r="L1503" s="2" t="s">
        <v>2539</v>
      </c>
      <c r="M1503" s="2" t="s">
        <v>2546</v>
      </c>
      <c r="N1503" t="str">
        <f>TRIM(PROPER(Tabla_auditoría[[#This Row],[ID_Campaña]]))</f>
        <v>Cmp-024</v>
      </c>
      <c r="O1503" t="str">
        <f>TRIM(PROPER(Tabla_auditoría[[#This Row],[Canal]]))</f>
        <v>Affiliate</v>
      </c>
      <c r="P1503" t="str">
        <f>TRIM(PROPER(Tabla_auditoría[[#This Row],[País]]))</f>
        <v>España</v>
      </c>
      <c r="Q1503" t="str">
        <f>TRIM(PROPER(Tabla_auditoría[[#This Row],[Dispositivo]]))</f>
        <v>Desktop</v>
      </c>
      <c r="R1503" t="str">
        <f>TRIM(PROPER(Tabla_auditoría[[#This Row],[Tipo_Campaña]]))</f>
        <v>Conversión</v>
      </c>
      <c r="S1503" t="str">
        <f>TRIM(PROPER(Tabla_auditoría[[#This Row],[Responsable]]))</f>
        <v>Ana García</v>
      </c>
    </row>
    <row r="1504" spans="1:19" x14ac:dyDescent="0.3">
      <c r="A1504" s="1">
        <v>45943</v>
      </c>
      <c r="B1504" s="2" t="s">
        <v>2530</v>
      </c>
      <c r="C1504" s="2" t="s">
        <v>2543</v>
      </c>
      <c r="D1504" s="2" t="s">
        <v>2525</v>
      </c>
      <c r="E1504" s="2" t="s">
        <v>2529</v>
      </c>
      <c r="F1504" s="3">
        <v>145476</v>
      </c>
      <c r="G1504" s="3">
        <v>7420</v>
      </c>
      <c r="H1504" s="3">
        <v>101</v>
      </c>
      <c r="I1504" s="4">
        <v>5015.18</v>
      </c>
      <c r="J1504" s="4">
        <v>7222.67</v>
      </c>
      <c r="K1504" s="3">
        <v>58</v>
      </c>
      <c r="L1504" s="2" t="s">
        <v>2539</v>
      </c>
      <c r="M1504" s="2" t="s">
        <v>2546</v>
      </c>
      <c r="N1504" t="str">
        <f>TRIM(PROPER(Tabla_auditoría[[#This Row],[ID_Campaña]]))</f>
        <v>Cmp-026</v>
      </c>
      <c r="O1504" t="str">
        <f>TRIM(PROPER(Tabla_auditoría[[#This Row],[Canal]]))</f>
        <v>Organic Social</v>
      </c>
      <c r="P1504" t="str">
        <f>TRIM(PROPER(Tabla_auditoría[[#This Row],[País]]))</f>
        <v>Francia</v>
      </c>
      <c r="Q1504" t="str">
        <f>TRIM(PROPER(Tabla_auditoría[[#This Row],[Dispositivo]]))</f>
        <v>Mobile</v>
      </c>
      <c r="R1504" t="str">
        <f>TRIM(PROPER(Tabla_auditoría[[#This Row],[Tipo_Campaña]]))</f>
        <v>Conversión</v>
      </c>
      <c r="S1504" t="str">
        <f>TRIM(PROPER(Tabla_auditoría[[#This Row],[Responsable]]))</f>
        <v>Ana García</v>
      </c>
    </row>
    <row r="1505" spans="1:19" x14ac:dyDescent="0.3">
      <c r="A1505" s="1">
        <v>45659</v>
      </c>
      <c r="B1505" s="2" t="s">
        <v>2557</v>
      </c>
      <c r="C1505" s="2" t="s">
        <v>2521</v>
      </c>
      <c r="D1505" s="2" t="s">
        <v>2531</v>
      </c>
      <c r="E1505" s="2" t="s">
        <v>2534</v>
      </c>
      <c r="F1505" s="3">
        <v>177271</v>
      </c>
      <c r="G1505" s="3">
        <v>1610</v>
      </c>
      <c r="H1505" s="3">
        <v>113</v>
      </c>
      <c r="I1505" s="4">
        <v>303.5</v>
      </c>
      <c r="J1505" s="4">
        <v>17854.919999999998</v>
      </c>
      <c r="K1505" s="3">
        <v>67</v>
      </c>
      <c r="L1505" s="2" t="s">
        <v>2518</v>
      </c>
      <c r="M1505" s="2" t="s">
        <v>2519</v>
      </c>
      <c r="N1505" t="str">
        <f>TRIM(PROPER(Tabla_auditoría[[#This Row],[ID_Campaña]]))</f>
        <v>Cmp-030</v>
      </c>
      <c r="O1505" t="str">
        <f>TRIM(PROPER(Tabla_auditoría[[#This Row],[Canal]]))</f>
        <v>Paid Search</v>
      </c>
      <c r="P1505" t="str">
        <f>TRIM(PROPER(Tabla_auditoría[[#This Row],[País]]))</f>
        <v>Portugal</v>
      </c>
      <c r="Q1505" t="str">
        <f>TRIM(PROPER(Tabla_auditoría[[#This Row],[Dispositivo]]))</f>
        <v>Tablet</v>
      </c>
      <c r="R1505" t="str">
        <f>TRIM(PROPER(Tabla_auditoría[[#This Row],[Tipo_Campaña]]))</f>
        <v>Adquisición</v>
      </c>
      <c r="S1505" t="str">
        <f>TRIM(PROPER(Tabla_auditoría[[#This Row],[Responsable]]))</f>
        <v>Carlos Ruiz</v>
      </c>
    </row>
    <row r="1506" spans="1:19" x14ac:dyDescent="0.3">
      <c r="A1506" s="1">
        <v>45997</v>
      </c>
      <c r="B1506" s="2" t="s">
        <v>2571</v>
      </c>
      <c r="C1506" s="2" t="s">
        <v>2515</v>
      </c>
      <c r="D1506" s="2" t="s">
        <v>2528</v>
      </c>
      <c r="E1506" s="2" t="s">
        <v>2529</v>
      </c>
      <c r="F1506" s="3">
        <v>157010</v>
      </c>
      <c r="G1506" s="3">
        <v>12792</v>
      </c>
      <c r="H1506" s="3">
        <v>1357</v>
      </c>
      <c r="I1506" s="4">
        <v>6607.34</v>
      </c>
      <c r="J1506" s="4">
        <v>60926.28</v>
      </c>
      <c r="K1506" s="3">
        <v>641</v>
      </c>
      <c r="L1506" s="2" t="s">
        <v>2523</v>
      </c>
      <c r="M1506" s="2" t="s">
        <v>2546</v>
      </c>
      <c r="N1506" t="str">
        <f>TRIM(PROPER(Tabla_auditoría[[#This Row],[ID_Campaña]]))</f>
        <v>Cmp-029</v>
      </c>
      <c r="O1506" t="str">
        <f>TRIM(PROPER(Tabla_auditoría[[#This Row],[Canal]]))</f>
        <v>Email</v>
      </c>
      <c r="P1506" t="str">
        <f>TRIM(PROPER(Tabla_auditoría[[#This Row],[País]]))</f>
        <v>España</v>
      </c>
      <c r="Q1506" t="str">
        <f>TRIM(PROPER(Tabla_auditoría[[#This Row],[Dispositivo]]))</f>
        <v>Mobile</v>
      </c>
      <c r="R1506" t="str">
        <f>TRIM(PROPER(Tabla_auditoría[[#This Row],[Tipo_Campaña]]))</f>
        <v>Retención</v>
      </c>
      <c r="S1506" t="str">
        <f>TRIM(PROPER(Tabla_auditoría[[#This Row],[Responsable]]))</f>
        <v>Ana García</v>
      </c>
    </row>
    <row r="1507" spans="1:19" x14ac:dyDescent="0.3">
      <c r="A1507" s="1">
        <v>46002</v>
      </c>
      <c r="B1507" s="2" t="s">
        <v>2538</v>
      </c>
      <c r="C1507" s="2" t="s">
        <v>2521</v>
      </c>
      <c r="D1507" s="2" t="s">
        <v>2531</v>
      </c>
      <c r="E1507" s="2" t="s">
        <v>2517</v>
      </c>
      <c r="F1507" s="3">
        <v>47879</v>
      </c>
      <c r="G1507" s="3">
        <v>523</v>
      </c>
      <c r="H1507" s="3">
        <v>20</v>
      </c>
      <c r="I1507" s="4">
        <v>559.54</v>
      </c>
      <c r="J1507" s="4">
        <v>3437</v>
      </c>
      <c r="K1507" s="3">
        <v>11</v>
      </c>
      <c r="L1507" s="2" t="s">
        <v>2539</v>
      </c>
      <c r="M1507" s="2" t="s">
        <v>2546</v>
      </c>
      <c r="N1507" t="str">
        <f>TRIM(PROPER(Tabla_auditoría[[#This Row],[ID_Campaña]]))</f>
        <v>Cmp-004</v>
      </c>
      <c r="O1507" t="str">
        <f>TRIM(PROPER(Tabla_auditoría[[#This Row],[Canal]]))</f>
        <v>Paid Search</v>
      </c>
      <c r="P1507" t="str">
        <f>TRIM(PROPER(Tabla_auditoría[[#This Row],[País]]))</f>
        <v>Portugal</v>
      </c>
      <c r="Q1507" t="str">
        <f>TRIM(PROPER(Tabla_auditoría[[#This Row],[Dispositivo]]))</f>
        <v>Desktop</v>
      </c>
      <c r="R1507" t="str">
        <f>TRIM(PROPER(Tabla_auditoría[[#This Row],[Tipo_Campaña]]))</f>
        <v>Conversión</v>
      </c>
      <c r="S1507" t="str">
        <f>TRIM(PROPER(Tabla_auditoría[[#This Row],[Responsable]]))</f>
        <v>Ana García</v>
      </c>
    </row>
    <row r="1508" spans="1:19" x14ac:dyDescent="0.3">
      <c r="A1508" s="1">
        <v>45765</v>
      </c>
      <c r="B1508" s="2" t="s">
        <v>2568</v>
      </c>
      <c r="C1508" s="2" t="s">
        <v>2527</v>
      </c>
      <c r="D1508" s="2" t="s">
        <v>2516</v>
      </c>
      <c r="E1508" s="2" t="s">
        <v>2529</v>
      </c>
      <c r="F1508" s="3">
        <v>72088</v>
      </c>
      <c r="G1508" s="3">
        <v>1935</v>
      </c>
      <c r="H1508" s="3">
        <v>23</v>
      </c>
      <c r="I1508" s="4">
        <v>3622.5</v>
      </c>
      <c r="J1508" s="4">
        <v>2753.12</v>
      </c>
      <c r="K1508" s="3">
        <v>19</v>
      </c>
      <c r="L1508" s="2" t="s">
        <v>2536</v>
      </c>
      <c r="M1508" s="2" t="s">
        <v>2537</v>
      </c>
      <c r="N1508" t="str">
        <f>TRIM(PROPER(Tabla_auditoría[[#This Row],[ID_Campaña]]))</f>
        <v>Cmp-020</v>
      </c>
      <c r="O1508" t="str">
        <f>TRIM(PROPER(Tabla_auditoría[[#This Row],[Canal]]))</f>
        <v>Affiliate</v>
      </c>
      <c r="P1508" t="str">
        <f>TRIM(PROPER(Tabla_auditoría[[#This Row],[País]]))</f>
        <v>México</v>
      </c>
      <c r="Q1508" t="str">
        <f>TRIM(PROPER(Tabla_auditoría[[#This Row],[Dispositivo]]))</f>
        <v>Mobile</v>
      </c>
      <c r="R1508" t="str">
        <f>TRIM(PROPER(Tabla_auditoría[[#This Row],[Tipo_Campaña]]))</f>
        <v>Reconocimiento</v>
      </c>
      <c r="S1508" t="str">
        <f>TRIM(PROPER(Tabla_auditoría[[#This Row],[Responsable]]))</f>
        <v>Marta López</v>
      </c>
    </row>
    <row r="1509" spans="1:19" x14ac:dyDescent="0.3">
      <c r="A1509" s="1">
        <v>45698</v>
      </c>
      <c r="B1509" s="2" t="s">
        <v>2554</v>
      </c>
      <c r="C1509" s="2" t="s">
        <v>2521</v>
      </c>
      <c r="D1509" s="2" t="s">
        <v>2531</v>
      </c>
      <c r="E1509" s="2" t="s">
        <v>2517</v>
      </c>
      <c r="F1509" s="3">
        <v>78862</v>
      </c>
      <c r="G1509" s="3">
        <v>6396</v>
      </c>
      <c r="H1509" s="3">
        <v>471</v>
      </c>
      <c r="I1509" s="4">
        <v>8180.75</v>
      </c>
      <c r="J1509" s="4">
        <v>64875.29</v>
      </c>
      <c r="K1509" s="3">
        <v>374</v>
      </c>
      <c r="L1509" s="2" t="s">
        <v>2518</v>
      </c>
      <c r="M1509" s="2" t="s">
        <v>2526</v>
      </c>
      <c r="N1509" t="str">
        <f>TRIM(PROPER(Tabla_auditoría[[#This Row],[ID_Campaña]]))</f>
        <v>Cmp-019</v>
      </c>
      <c r="O1509" t="str">
        <f>TRIM(PROPER(Tabla_auditoría[[#This Row],[Canal]]))</f>
        <v>Paid Search</v>
      </c>
      <c r="P1509" t="str">
        <f>TRIM(PROPER(Tabla_auditoría[[#This Row],[País]]))</f>
        <v>Portugal</v>
      </c>
      <c r="Q1509" t="str">
        <f>TRIM(PROPER(Tabla_auditoría[[#This Row],[Dispositivo]]))</f>
        <v>Desktop</v>
      </c>
      <c r="R1509" t="str">
        <f>TRIM(PROPER(Tabla_auditoría[[#This Row],[Tipo_Campaña]]))</f>
        <v>Adquisición</v>
      </c>
      <c r="S1509" t="str">
        <f>TRIM(PROPER(Tabla_auditoría[[#This Row],[Responsable]]))</f>
        <v>Laura Pérez</v>
      </c>
    </row>
    <row r="1510" spans="1:19" x14ac:dyDescent="0.3">
      <c r="A1510" s="1">
        <v>45767</v>
      </c>
      <c r="B1510" s="2" t="s">
        <v>2565</v>
      </c>
      <c r="C1510" s="2" t="s">
        <v>2543</v>
      </c>
      <c r="D1510" s="2" t="s">
        <v>2516</v>
      </c>
      <c r="E1510" s="2" t="s">
        <v>2529</v>
      </c>
      <c r="F1510" s="3">
        <v>1807</v>
      </c>
      <c r="G1510" s="3">
        <v>38</v>
      </c>
      <c r="H1510" s="3">
        <v>0</v>
      </c>
      <c r="I1510" s="4">
        <v>36.81</v>
      </c>
      <c r="J1510" s="4">
        <v>0</v>
      </c>
      <c r="K1510" s="3">
        <v>0</v>
      </c>
      <c r="L1510" s="2" t="s">
        <v>2539</v>
      </c>
      <c r="M1510" s="2" t="s">
        <v>2537</v>
      </c>
      <c r="N1510" t="str">
        <f>TRIM(PROPER(Tabla_auditoría[[#This Row],[ID_Campaña]]))</f>
        <v>Cmp-005</v>
      </c>
      <c r="O1510" t="str">
        <f>TRIM(PROPER(Tabla_auditoría[[#This Row],[Canal]]))</f>
        <v>Organic Social</v>
      </c>
      <c r="P1510" t="str">
        <f>TRIM(PROPER(Tabla_auditoría[[#This Row],[País]]))</f>
        <v>México</v>
      </c>
      <c r="Q1510" t="str">
        <f>TRIM(PROPER(Tabla_auditoría[[#This Row],[Dispositivo]]))</f>
        <v>Mobile</v>
      </c>
      <c r="R1510" t="str">
        <f>TRIM(PROPER(Tabla_auditoría[[#This Row],[Tipo_Campaña]]))</f>
        <v>Conversión</v>
      </c>
      <c r="S1510" t="str">
        <f>TRIM(PROPER(Tabla_auditoría[[#This Row],[Responsable]]))</f>
        <v>Marta López</v>
      </c>
    </row>
    <row r="1511" spans="1:19" x14ac:dyDescent="0.3">
      <c r="A1511" s="1">
        <v>45854</v>
      </c>
      <c r="B1511" s="2" t="s">
        <v>2532</v>
      </c>
      <c r="C1511" s="2" t="s">
        <v>2541</v>
      </c>
      <c r="D1511" s="2" t="s">
        <v>2528</v>
      </c>
      <c r="E1511" s="2" t="s">
        <v>2529</v>
      </c>
      <c r="F1511" s="3">
        <v>158920</v>
      </c>
      <c r="G1511" s="3">
        <v>2089</v>
      </c>
      <c r="H1511" s="3">
        <v>69</v>
      </c>
      <c r="I1511" s="4">
        <v>1037.3399999999999</v>
      </c>
      <c r="J1511" s="4">
        <v>14341.85</v>
      </c>
      <c r="K1511" s="3">
        <v>56</v>
      </c>
      <c r="L1511" s="2" t="s">
        <v>2518</v>
      </c>
      <c r="M1511" s="2" t="s">
        <v>2524</v>
      </c>
      <c r="N1511" t="str">
        <f>TRIM(PROPER(Tabla_auditoría[[#This Row],[ID_Campaña]]))</f>
        <v>Cmp-022</v>
      </c>
      <c r="O1511" t="str">
        <f>TRIM(PROPER(Tabla_auditoría[[#This Row],[Canal]]))</f>
        <v>Display</v>
      </c>
      <c r="P1511" t="str">
        <f>TRIM(PROPER(Tabla_auditoría[[#This Row],[País]]))</f>
        <v>España</v>
      </c>
      <c r="Q1511" t="str">
        <f>TRIM(PROPER(Tabla_auditoría[[#This Row],[Dispositivo]]))</f>
        <v>Mobile</v>
      </c>
      <c r="R1511" t="str">
        <f>TRIM(PROPER(Tabla_auditoría[[#This Row],[Tipo_Campaña]]))</f>
        <v>Adquisición</v>
      </c>
      <c r="S1511" t="str">
        <f>TRIM(PROPER(Tabla_auditoría[[#This Row],[Responsable]]))</f>
        <v>Luis Martín</v>
      </c>
    </row>
    <row r="1512" spans="1:19" x14ac:dyDescent="0.3">
      <c r="A1512" s="1">
        <v>45979</v>
      </c>
      <c r="B1512" s="2" t="s">
        <v>2563</v>
      </c>
      <c r="C1512" s="2" t="s">
        <v>2577</v>
      </c>
      <c r="D1512" s="2" t="s">
        <v>2516</v>
      </c>
      <c r="E1512" s="2" t="s">
        <v>2529</v>
      </c>
      <c r="F1512" s="3">
        <v>136608</v>
      </c>
      <c r="G1512" s="3">
        <v>4923</v>
      </c>
      <c r="H1512" s="3">
        <v>546</v>
      </c>
      <c r="I1512" s="4">
        <v>1368.55</v>
      </c>
      <c r="J1512" s="4">
        <v>85584.75</v>
      </c>
      <c r="K1512" s="3">
        <v>386</v>
      </c>
      <c r="L1512" s="2" t="s">
        <v>2518</v>
      </c>
      <c r="M1512" s="2" t="s">
        <v>2537</v>
      </c>
      <c r="N1512" t="str">
        <f>TRIM(PROPER(Tabla_auditoría[[#This Row],[ID_Campaña]]))</f>
        <v>Cmp-023</v>
      </c>
      <c r="O1512" t="str">
        <f>TRIM(PROPER(Tabla_auditoría[[#This Row],[Canal]]))</f>
        <v>Affiliate</v>
      </c>
      <c r="P1512" t="str">
        <f>TRIM(PROPER(Tabla_auditoría[[#This Row],[País]]))</f>
        <v>México</v>
      </c>
      <c r="Q1512" t="str">
        <f>TRIM(PROPER(Tabla_auditoría[[#This Row],[Dispositivo]]))</f>
        <v>Mobile</v>
      </c>
      <c r="R1512" t="str">
        <f>TRIM(PROPER(Tabla_auditoría[[#This Row],[Tipo_Campaña]]))</f>
        <v>Adquisición</v>
      </c>
      <c r="S1512" t="str">
        <f>TRIM(PROPER(Tabla_auditoría[[#This Row],[Responsable]]))</f>
        <v>Marta López</v>
      </c>
    </row>
    <row r="1513" spans="1:19" x14ac:dyDescent="0.3">
      <c r="A1513" s="1">
        <v>45827</v>
      </c>
      <c r="B1513" s="2" t="s">
        <v>2538</v>
      </c>
      <c r="C1513" s="2" t="s">
        <v>2527</v>
      </c>
      <c r="D1513" s="2" t="s">
        <v>2525</v>
      </c>
      <c r="E1513" s="2" t="s">
        <v>2529</v>
      </c>
      <c r="F1513" s="3">
        <v>22459</v>
      </c>
      <c r="G1513" s="3">
        <v>1676</v>
      </c>
      <c r="H1513" s="3">
        <v>69</v>
      </c>
      <c r="I1513" s="4">
        <v>374.14</v>
      </c>
      <c r="J1513" s="4">
        <v>4041</v>
      </c>
      <c r="K1513" s="3">
        <v>52</v>
      </c>
      <c r="L1513" s="2" t="s">
        <v>2523</v>
      </c>
      <c r="M1513" s="2" t="s">
        <v>2537</v>
      </c>
      <c r="N1513" t="str">
        <f>TRIM(PROPER(Tabla_auditoría[[#This Row],[ID_Campaña]]))</f>
        <v>Cmp-004</v>
      </c>
      <c r="O1513" t="str">
        <f>TRIM(PROPER(Tabla_auditoría[[#This Row],[Canal]]))</f>
        <v>Affiliate</v>
      </c>
      <c r="P1513" t="str">
        <f>TRIM(PROPER(Tabla_auditoría[[#This Row],[País]]))</f>
        <v>Francia</v>
      </c>
      <c r="Q1513" t="str">
        <f>TRIM(PROPER(Tabla_auditoría[[#This Row],[Dispositivo]]))</f>
        <v>Mobile</v>
      </c>
      <c r="R1513" t="str">
        <f>TRIM(PROPER(Tabla_auditoría[[#This Row],[Tipo_Campaña]]))</f>
        <v>Retención</v>
      </c>
      <c r="S1513" t="str">
        <f>TRIM(PROPER(Tabla_auditoría[[#This Row],[Responsable]]))</f>
        <v>Marta López</v>
      </c>
    </row>
    <row r="1514" spans="1:19" x14ac:dyDescent="0.3">
      <c r="A1514" s="1">
        <v>46000</v>
      </c>
      <c r="B1514" s="2" t="s">
        <v>2564</v>
      </c>
      <c r="C1514" s="2" t="s">
        <v>2543</v>
      </c>
      <c r="D1514" s="2" t="s">
        <v>2516</v>
      </c>
      <c r="E1514" s="2" t="s">
        <v>2529</v>
      </c>
      <c r="F1514" s="3">
        <v>75462</v>
      </c>
      <c r="G1514" s="3">
        <v>6531</v>
      </c>
      <c r="H1514" s="3">
        <v>246</v>
      </c>
      <c r="I1514" s="4">
        <v>11768.5</v>
      </c>
      <c r="J1514" s="4">
        <v>42199.03</v>
      </c>
      <c r="K1514" s="3">
        <v>146</v>
      </c>
      <c r="L1514" s="2" t="s">
        <v>2518</v>
      </c>
      <c r="M1514" s="2" t="s">
        <v>2519</v>
      </c>
      <c r="N1514" t="str">
        <f>TRIM(PROPER(Tabla_auditoría[[#This Row],[ID_Campaña]]))</f>
        <v>Cmp-024</v>
      </c>
      <c r="O1514" t="str">
        <f>TRIM(PROPER(Tabla_auditoría[[#This Row],[Canal]]))</f>
        <v>Organic Social</v>
      </c>
      <c r="P1514" t="str">
        <f>TRIM(PROPER(Tabla_auditoría[[#This Row],[País]]))</f>
        <v>México</v>
      </c>
      <c r="Q1514" t="str">
        <f>TRIM(PROPER(Tabla_auditoría[[#This Row],[Dispositivo]]))</f>
        <v>Mobile</v>
      </c>
      <c r="R1514" t="str">
        <f>TRIM(PROPER(Tabla_auditoría[[#This Row],[Tipo_Campaña]]))</f>
        <v>Adquisición</v>
      </c>
      <c r="S1514" t="str">
        <f>TRIM(PROPER(Tabla_auditoría[[#This Row],[Responsable]]))</f>
        <v>Carlos Ruiz</v>
      </c>
    </row>
    <row r="1515" spans="1:19" x14ac:dyDescent="0.3">
      <c r="A1515" s="1">
        <v>46013</v>
      </c>
      <c r="B1515" s="2" t="s">
        <v>2563</v>
      </c>
      <c r="C1515" s="2" t="s">
        <v>2543</v>
      </c>
      <c r="D1515" s="2" t="s">
        <v>2528</v>
      </c>
      <c r="E1515" s="2" t="s">
        <v>2517</v>
      </c>
      <c r="F1515" s="3">
        <v>152923</v>
      </c>
      <c r="G1515" s="3">
        <v>4709</v>
      </c>
      <c r="H1515" s="3">
        <v>630</v>
      </c>
      <c r="I1515" s="4">
        <v>7324.54</v>
      </c>
      <c r="J1515" s="4">
        <v>83882.91</v>
      </c>
      <c r="K1515" s="3">
        <v>297</v>
      </c>
      <c r="L1515" s="2" t="s">
        <v>2523</v>
      </c>
      <c r="M1515" s="2" t="s">
        <v>2526</v>
      </c>
      <c r="N1515" t="str">
        <f>TRIM(PROPER(Tabla_auditoría[[#This Row],[ID_Campaña]]))</f>
        <v>Cmp-023</v>
      </c>
      <c r="O1515" t="str">
        <f>TRIM(PROPER(Tabla_auditoría[[#This Row],[Canal]]))</f>
        <v>Organic Social</v>
      </c>
      <c r="P1515" t="str">
        <f>TRIM(PROPER(Tabla_auditoría[[#This Row],[País]]))</f>
        <v>España</v>
      </c>
      <c r="Q1515" t="str">
        <f>TRIM(PROPER(Tabla_auditoría[[#This Row],[Dispositivo]]))</f>
        <v>Desktop</v>
      </c>
      <c r="R1515" t="str">
        <f>TRIM(PROPER(Tabla_auditoría[[#This Row],[Tipo_Campaña]]))</f>
        <v>Retención</v>
      </c>
      <c r="S1515" t="str">
        <f>TRIM(PROPER(Tabla_auditoría[[#This Row],[Responsable]]))</f>
        <v>Laura Pérez</v>
      </c>
    </row>
    <row r="1516" spans="1:19" x14ac:dyDescent="0.3">
      <c r="A1516" s="1">
        <v>45846</v>
      </c>
      <c r="B1516" s="2" t="s">
        <v>2570</v>
      </c>
      <c r="C1516" s="2" t="s">
        <v>2575</v>
      </c>
      <c r="D1516" s="2" t="s">
        <v>2516</v>
      </c>
      <c r="E1516" s="2" t="s">
        <v>2517</v>
      </c>
      <c r="F1516" s="3">
        <v>48618</v>
      </c>
      <c r="G1516" s="3">
        <v>3916</v>
      </c>
      <c r="H1516" s="3">
        <v>26</v>
      </c>
      <c r="I1516" s="4">
        <v>6871.39</v>
      </c>
      <c r="J1516" s="4">
        <v>2490.69</v>
      </c>
      <c r="K1516" s="3">
        <v>14</v>
      </c>
      <c r="L1516" s="2" t="s">
        <v>2523</v>
      </c>
      <c r="M1516" s="2" t="s">
        <v>2526</v>
      </c>
      <c r="N1516" t="str">
        <f>TRIM(PROPER(Tabla_auditoría[[#This Row],[ID_Campaña]]))</f>
        <v>Cmp-016</v>
      </c>
      <c r="O1516" t="str">
        <f>TRIM(PROPER(Tabla_auditoría[[#This Row],[Canal]]))</f>
        <v>Paid Search</v>
      </c>
      <c r="P1516" t="str">
        <f>TRIM(PROPER(Tabla_auditoría[[#This Row],[País]]))</f>
        <v>México</v>
      </c>
      <c r="Q1516" t="str">
        <f>TRIM(PROPER(Tabla_auditoría[[#This Row],[Dispositivo]]))</f>
        <v>Desktop</v>
      </c>
      <c r="R1516" t="str">
        <f>TRIM(PROPER(Tabla_auditoría[[#This Row],[Tipo_Campaña]]))</f>
        <v>Retención</v>
      </c>
      <c r="S1516" t="str">
        <f>TRIM(PROPER(Tabla_auditoría[[#This Row],[Responsable]]))</f>
        <v>Laura Pérez</v>
      </c>
    </row>
    <row r="1517" spans="1:19" x14ac:dyDescent="0.3">
      <c r="A1517" s="1">
        <v>45751</v>
      </c>
      <c r="B1517" s="2" t="s">
        <v>2571</v>
      </c>
      <c r="C1517" s="2" t="s">
        <v>2541</v>
      </c>
      <c r="D1517" s="2" t="s">
        <v>2528</v>
      </c>
      <c r="E1517" s="2" t="s">
        <v>2559</v>
      </c>
      <c r="F1517" s="3">
        <v>26210</v>
      </c>
      <c r="G1517" s="3">
        <v>1978</v>
      </c>
      <c r="H1517" s="3">
        <v>167</v>
      </c>
      <c r="I1517" s="4">
        <v>1578</v>
      </c>
      <c r="J1517" s="4">
        <v>9949.9699999999993</v>
      </c>
      <c r="K1517" s="3">
        <v>115</v>
      </c>
      <c r="L1517" s="2" t="s">
        <v>2523</v>
      </c>
      <c r="M1517" s="2" t="s">
        <v>2546</v>
      </c>
      <c r="N1517" t="str">
        <f>TRIM(PROPER(Tabla_auditoría[[#This Row],[ID_Campaña]]))</f>
        <v>Cmp-029</v>
      </c>
      <c r="O1517" t="str">
        <f>TRIM(PROPER(Tabla_auditoría[[#This Row],[Canal]]))</f>
        <v>Display</v>
      </c>
      <c r="P1517" t="str">
        <f>TRIM(PROPER(Tabla_auditoría[[#This Row],[País]]))</f>
        <v>España</v>
      </c>
      <c r="Q1517" t="str">
        <f>TRIM(PROPER(Tabla_auditoría[[#This Row],[Dispositivo]]))</f>
        <v>Desktop</v>
      </c>
      <c r="R1517" t="str">
        <f>TRIM(PROPER(Tabla_auditoría[[#This Row],[Tipo_Campaña]]))</f>
        <v>Retención</v>
      </c>
      <c r="S1517" t="str">
        <f>TRIM(PROPER(Tabla_auditoría[[#This Row],[Responsable]]))</f>
        <v>Ana García</v>
      </c>
    </row>
    <row r="1518" spans="1:19" x14ac:dyDescent="0.3">
      <c r="A1518" s="1">
        <v>45945</v>
      </c>
      <c r="B1518" s="2" t="s">
        <v>2569</v>
      </c>
      <c r="C1518" s="2" t="s">
        <v>2527</v>
      </c>
      <c r="D1518" s="2" t="s">
        <v>2531</v>
      </c>
      <c r="E1518" s="2" t="s">
        <v>2529</v>
      </c>
      <c r="F1518" s="3">
        <v>113803</v>
      </c>
      <c r="G1518" s="3">
        <v>5875</v>
      </c>
      <c r="H1518" s="3">
        <v>797</v>
      </c>
      <c r="I1518" s="4">
        <v>10508.4</v>
      </c>
      <c r="J1518" s="4">
        <v>123064.24</v>
      </c>
      <c r="K1518" s="3">
        <v>609</v>
      </c>
      <c r="L1518" s="2" t="s">
        <v>2523</v>
      </c>
      <c r="M1518" s="2" t="s">
        <v>2524</v>
      </c>
      <c r="N1518" t="str">
        <f>TRIM(PROPER(Tabla_auditoría[[#This Row],[ID_Campaña]]))</f>
        <v>Cmp-013</v>
      </c>
      <c r="O1518" t="str">
        <f>TRIM(PROPER(Tabla_auditoría[[#This Row],[Canal]]))</f>
        <v>Affiliate</v>
      </c>
      <c r="P1518" t="str">
        <f>TRIM(PROPER(Tabla_auditoría[[#This Row],[País]]))</f>
        <v>Portugal</v>
      </c>
      <c r="Q1518" t="str">
        <f>TRIM(PROPER(Tabla_auditoría[[#This Row],[Dispositivo]]))</f>
        <v>Mobile</v>
      </c>
      <c r="R1518" t="str">
        <f>TRIM(PROPER(Tabla_auditoría[[#This Row],[Tipo_Campaña]]))</f>
        <v>Retención</v>
      </c>
      <c r="S1518" t="str">
        <f>TRIM(PROPER(Tabla_auditoría[[#This Row],[Responsable]]))</f>
        <v>Luis Martín</v>
      </c>
    </row>
    <row r="1519" spans="1:19" x14ac:dyDescent="0.3">
      <c r="A1519" s="1">
        <v>45828</v>
      </c>
      <c r="B1519" s="2" t="s">
        <v>2514</v>
      </c>
      <c r="C1519" s="2" t="s">
        <v>2533</v>
      </c>
      <c r="D1519" s="2" t="s">
        <v>2516</v>
      </c>
      <c r="E1519" s="2" t="s">
        <v>2517</v>
      </c>
      <c r="F1519" s="3">
        <v>161358</v>
      </c>
      <c r="G1519" s="3">
        <v>9911</v>
      </c>
      <c r="H1519" s="3">
        <v>1297</v>
      </c>
      <c r="I1519" s="4">
        <v>11371.4</v>
      </c>
      <c r="J1519" s="4">
        <v>44199.28</v>
      </c>
      <c r="K1519" s="3">
        <v>1054</v>
      </c>
      <c r="L1519" s="2" t="s">
        <v>2539</v>
      </c>
      <c r="M1519" s="2" t="s">
        <v>2519</v>
      </c>
      <c r="N1519" t="str">
        <f>TRIM(PROPER(Tabla_auditoría[[#This Row],[ID_Campaña]]))</f>
        <v>Cmp-002</v>
      </c>
      <c r="O1519" t="str">
        <f>TRIM(PROPER(Tabla_auditoría[[#This Row],[Canal]]))</f>
        <v>Paid Social</v>
      </c>
      <c r="P1519" t="str">
        <f>TRIM(PROPER(Tabla_auditoría[[#This Row],[País]]))</f>
        <v>México</v>
      </c>
      <c r="Q1519" t="str">
        <f>TRIM(PROPER(Tabla_auditoría[[#This Row],[Dispositivo]]))</f>
        <v>Desktop</v>
      </c>
      <c r="R1519" t="str">
        <f>TRIM(PROPER(Tabla_auditoría[[#This Row],[Tipo_Campaña]]))</f>
        <v>Conversión</v>
      </c>
      <c r="S1519" t="str">
        <f>TRIM(PROPER(Tabla_auditoría[[#This Row],[Responsable]]))</f>
        <v>Carlos Ruiz</v>
      </c>
    </row>
    <row r="1520" spans="1:19" x14ac:dyDescent="0.3">
      <c r="A1520" s="1">
        <v>45946</v>
      </c>
      <c r="B1520" s="2" t="s">
        <v>2560</v>
      </c>
      <c r="C1520" s="2" t="s">
        <v>2515</v>
      </c>
      <c r="D1520" s="2" t="s">
        <v>2528</v>
      </c>
      <c r="E1520" s="2" t="s">
        <v>2529</v>
      </c>
      <c r="F1520" s="3">
        <v>153744</v>
      </c>
      <c r="G1520" s="3">
        <v>11044</v>
      </c>
      <c r="H1520" s="3">
        <v>958</v>
      </c>
      <c r="I1520" s="4">
        <v>4148.63</v>
      </c>
      <c r="J1520" s="4">
        <v>32501.49</v>
      </c>
      <c r="K1520" s="3">
        <v>751</v>
      </c>
      <c r="L1520" s="2" t="s">
        <v>2539</v>
      </c>
      <c r="M1520" s="2" t="s">
        <v>2546</v>
      </c>
      <c r="N1520" t="str">
        <f>TRIM(PROPER(Tabla_auditoría[[#This Row],[ID_Campaña]]))</f>
        <v>Cmp-027</v>
      </c>
      <c r="O1520" t="str">
        <f>TRIM(PROPER(Tabla_auditoría[[#This Row],[Canal]]))</f>
        <v>Email</v>
      </c>
      <c r="P1520" t="str">
        <f>TRIM(PROPER(Tabla_auditoría[[#This Row],[País]]))</f>
        <v>España</v>
      </c>
      <c r="Q1520" t="str">
        <f>TRIM(PROPER(Tabla_auditoría[[#This Row],[Dispositivo]]))</f>
        <v>Mobile</v>
      </c>
      <c r="R1520" t="str">
        <f>TRIM(PROPER(Tabla_auditoría[[#This Row],[Tipo_Campaña]]))</f>
        <v>Conversión</v>
      </c>
      <c r="S1520" t="str">
        <f>TRIM(PROPER(Tabla_auditoría[[#This Row],[Responsable]]))</f>
        <v>Ana García</v>
      </c>
    </row>
    <row r="1521" spans="1:19" x14ac:dyDescent="0.3">
      <c r="A1521" s="1">
        <v>45798</v>
      </c>
      <c r="B1521" s="2" t="s">
        <v>2538</v>
      </c>
      <c r="C1521" s="2" t="s">
        <v>2515</v>
      </c>
      <c r="D1521" s="2" t="s">
        <v>2528</v>
      </c>
      <c r="E1521" s="2" t="s">
        <v>2517</v>
      </c>
      <c r="F1521" s="3">
        <v>116040</v>
      </c>
      <c r="G1521" s="3">
        <v>9271</v>
      </c>
      <c r="H1521" s="3">
        <v>956</v>
      </c>
      <c r="I1521" s="4">
        <v>11988.86</v>
      </c>
      <c r="J1521" s="4">
        <v>117902.95</v>
      </c>
      <c r="K1521" s="3">
        <v>636</v>
      </c>
      <c r="L1521" s="2" t="s">
        <v>2518</v>
      </c>
      <c r="M1521" s="2" t="s">
        <v>2526</v>
      </c>
      <c r="N1521" t="str">
        <f>TRIM(PROPER(Tabla_auditoría[[#This Row],[ID_Campaña]]))</f>
        <v>Cmp-004</v>
      </c>
      <c r="O1521" t="str">
        <f>TRIM(PROPER(Tabla_auditoría[[#This Row],[Canal]]))</f>
        <v>Email</v>
      </c>
      <c r="P1521" t="str">
        <f>TRIM(PROPER(Tabla_auditoría[[#This Row],[País]]))</f>
        <v>España</v>
      </c>
      <c r="Q1521" t="str">
        <f>TRIM(PROPER(Tabla_auditoría[[#This Row],[Dispositivo]]))</f>
        <v>Desktop</v>
      </c>
      <c r="R1521" t="str">
        <f>TRIM(PROPER(Tabla_auditoría[[#This Row],[Tipo_Campaña]]))</f>
        <v>Adquisición</v>
      </c>
      <c r="S1521" t="str">
        <f>TRIM(PROPER(Tabla_auditoría[[#This Row],[Responsable]]))</f>
        <v>Laura Pérez</v>
      </c>
    </row>
    <row r="1522" spans="1:19" x14ac:dyDescent="0.3">
      <c r="A1522" s="1">
        <v>45772</v>
      </c>
      <c r="B1522" s="2" t="s">
        <v>2551</v>
      </c>
      <c r="C1522" s="2" t="s">
        <v>2543</v>
      </c>
      <c r="D1522" s="2" t="s">
        <v>2528</v>
      </c>
      <c r="E1522" s="2" t="s">
        <v>2534</v>
      </c>
      <c r="F1522" s="3">
        <v>60203</v>
      </c>
      <c r="G1522" s="3">
        <v>1955</v>
      </c>
      <c r="H1522" s="3">
        <v>238</v>
      </c>
      <c r="I1522" s="4">
        <v>3510.59</v>
      </c>
      <c r="J1522" s="4">
        <v>32237.42</v>
      </c>
      <c r="K1522" s="3">
        <v>151</v>
      </c>
      <c r="L1522" s="2" t="s">
        <v>2523</v>
      </c>
      <c r="M1522" s="2" t="s">
        <v>2526</v>
      </c>
      <c r="N1522" t="str">
        <f>TRIM(PROPER(Tabla_auditoría[[#This Row],[ID_Campaña]]))</f>
        <v>Cmp-028</v>
      </c>
      <c r="O1522" t="str">
        <f>TRIM(PROPER(Tabla_auditoría[[#This Row],[Canal]]))</f>
        <v>Organic Social</v>
      </c>
      <c r="P1522" t="str">
        <f>TRIM(PROPER(Tabla_auditoría[[#This Row],[País]]))</f>
        <v>España</v>
      </c>
      <c r="Q1522" t="str">
        <f>TRIM(PROPER(Tabla_auditoría[[#This Row],[Dispositivo]]))</f>
        <v>Tablet</v>
      </c>
      <c r="R1522" t="str">
        <f>TRIM(PROPER(Tabla_auditoría[[#This Row],[Tipo_Campaña]]))</f>
        <v>Retención</v>
      </c>
      <c r="S1522" t="str">
        <f>TRIM(PROPER(Tabla_auditoría[[#This Row],[Responsable]]))</f>
        <v>Laura Pérez</v>
      </c>
    </row>
    <row r="1523" spans="1:19" x14ac:dyDescent="0.3">
      <c r="A1523" s="1">
        <v>45856</v>
      </c>
      <c r="B1523" s="2" t="s">
        <v>2563</v>
      </c>
      <c r="C1523" s="2" t="s">
        <v>2521</v>
      </c>
      <c r="D1523" s="2" t="s">
        <v>2528</v>
      </c>
      <c r="E1523" s="2" t="s">
        <v>2534</v>
      </c>
      <c r="F1523" s="3">
        <v>32797</v>
      </c>
      <c r="G1523" s="3">
        <v>2493</v>
      </c>
      <c r="H1523" s="3">
        <v>220</v>
      </c>
      <c r="I1523" s="4">
        <v>3726.11</v>
      </c>
      <c r="J1523" s="4">
        <v>45238.48</v>
      </c>
      <c r="K1523" s="3">
        <v>186</v>
      </c>
      <c r="L1523" s="2" t="s">
        <v>2539</v>
      </c>
      <c r="M1523" s="2" t="s">
        <v>2546</v>
      </c>
      <c r="N1523" t="str">
        <f>TRIM(PROPER(Tabla_auditoría[[#This Row],[ID_Campaña]]))</f>
        <v>Cmp-023</v>
      </c>
      <c r="O1523" t="str">
        <f>TRIM(PROPER(Tabla_auditoría[[#This Row],[Canal]]))</f>
        <v>Paid Search</v>
      </c>
      <c r="P1523" t="str">
        <f>TRIM(PROPER(Tabla_auditoría[[#This Row],[País]]))</f>
        <v>España</v>
      </c>
      <c r="Q1523" t="str">
        <f>TRIM(PROPER(Tabla_auditoría[[#This Row],[Dispositivo]]))</f>
        <v>Tablet</v>
      </c>
      <c r="R1523" t="str">
        <f>TRIM(PROPER(Tabla_auditoría[[#This Row],[Tipo_Campaña]]))</f>
        <v>Conversión</v>
      </c>
      <c r="S1523" t="str">
        <f>TRIM(PROPER(Tabla_auditoría[[#This Row],[Responsable]]))</f>
        <v>Ana García</v>
      </c>
    </row>
    <row r="1524" spans="1:19" x14ac:dyDescent="0.3">
      <c r="A1524" s="1">
        <v>45871</v>
      </c>
      <c r="B1524" s="2" t="s">
        <v>2598</v>
      </c>
      <c r="C1524" s="2" t="s">
        <v>2543</v>
      </c>
      <c r="D1524" s="2" t="s">
        <v>2516</v>
      </c>
      <c r="E1524" s="2" t="s">
        <v>2529</v>
      </c>
      <c r="F1524" s="3">
        <v>117265</v>
      </c>
      <c r="G1524" s="3">
        <v>5454</v>
      </c>
      <c r="H1524" s="3">
        <v>453</v>
      </c>
      <c r="I1524" s="4">
        <v>9160.43</v>
      </c>
      <c r="J1524" s="4">
        <v>23853.34</v>
      </c>
      <c r="K1524" s="3">
        <v>304</v>
      </c>
      <c r="L1524" s="2" t="s">
        <v>2518</v>
      </c>
      <c r="M1524" s="2" t="s">
        <v>2519</v>
      </c>
      <c r="N1524" t="str">
        <f>TRIM(PROPER(Tabla_auditoría[[#This Row],[ID_Campaña]]))</f>
        <v>Cmp-008</v>
      </c>
      <c r="O1524" t="str">
        <f>TRIM(PROPER(Tabla_auditoría[[#This Row],[Canal]]))</f>
        <v>Organic Social</v>
      </c>
      <c r="P1524" t="str">
        <f>TRIM(PROPER(Tabla_auditoría[[#This Row],[País]]))</f>
        <v>México</v>
      </c>
      <c r="Q1524" t="str">
        <f>TRIM(PROPER(Tabla_auditoría[[#This Row],[Dispositivo]]))</f>
        <v>Mobile</v>
      </c>
      <c r="R1524" t="str">
        <f>TRIM(PROPER(Tabla_auditoría[[#This Row],[Tipo_Campaña]]))</f>
        <v>Adquisición</v>
      </c>
      <c r="S1524" t="str">
        <f>TRIM(PROPER(Tabla_auditoría[[#This Row],[Responsable]]))</f>
        <v>Carlos Ruiz</v>
      </c>
    </row>
    <row r="1525" spans="1:19" x14ac:dyDescent="0.3">
      <c r="A1525" s="1">
        <v>45895</v>
      </c>
      <c r="B1525" s="2" t="s">
        <v>2568</v>
      </c>
      <c r="C1525" s="2" t="s">
        <v>2515</v>
      </c>
      <c r="D1525" s="2" t="s">
        <v>2528</v>
      </c>
      <c r="E1525" s="2" t="s">
        <v>2517</v>
      </c>
      <c r="F1525" s="3">
        <v>37609</v>
      </c>
      <c r="G1525" s="3">
        <v>1494</v>
      </c>
      <c r="H1525" s="3">
        <v>119</v>
      </c>
      <c r="I1525" s="4">
        <v>590.79999999999995</v>
      </c>
      <c r="J1525" s="4">
        <v>3939.41</v>
      </c>
      <c r="K1525" s="3">
        <v>95</v>
      </c>
      <c r="L1525" s="2" t="s">
        <v>2539</v>
      </c>
      <c r="M1525" s="2" t="s">
        <v>2537</v>
      </c>
      <c r="N1525" t="str">
        <f>TRIM(PROPER(Tabla_auditoría[[#This Row],[ID_Campaña]]))</f>
        <v>Cmp-020</v>
      </c>
      <c r="O1525" t="str">
        <f>TRIM(PROPER(Tabla_auditoría[[#This Row],[Canal]]))</f>
        <v>Email</v>
      </c>
      <c r="P1525" t="str">
        <f>TRIM(PROPER(Tabla_auditoría[[#This Row],[País]]))</f>
        <v>España</v>
      </c>
      <c r="Q1525" t="str">
        <f>TRIM(PROPER(Tabla_auditoría[[#This Row],[Dispositivo]]))</f>
        <v>Desktop</v>
      </c>
      <c r="R1525" t="str">
        <f>TRIM(PROPER(Tabla_auditoría[[#This Row],[Tipo_Campaña]]))</f>
        <v>Conversión</v>
      </c>
      <c r="S1525" t="str">
        <f>TRIM(PROPER(Tabla_auditoría[[#This Row],[Responsable]]))</f>
        <v>Marta López</v>
      </c>
    </row>
    <row r="1526" spans="1:19" x14ac:dyDescent="0.3">
      <c r="A1526" s="1">
        <v>45979</v>
      </c>
      <c r="B1526" s="2" t="s">
        <v>2549</v>
      </c>
      <c r="C1526" s="2" t="s">
        <v>2521</v>
      </c>
      <c r="D1526" s="2" t="s">
        <v>2525</v>
      </c>
      <c r="E1526" s="2" t="s">
        <v>2529</v>
      </c>
      <c r="F1526" s="3">
        <v>59056</v>
      </c>
      <c r="G1526" s="3">
        <v>3130</v>
      </c>
      <c r="H1526" s="3">
        <v>303</v>
      </c>
      <c r="I1526" s="4">
        <v>5041.21</v>
      </c>
      <c r="J1526" s="4">
        <v>60426.22</v>
      </c>
      <c r="K1526" s="3">
        <v>250</v>
      </c>
      <c r="L1526" s="2" t="s">
        <v>2536</v>
      </c>
      <c r="M1526" s="2" t="s">
        <v>2524</v>
      </c>
      <c r="N1526" t="str">
        <f>TRIM(PROPER(Tabla_auditoría[[#This Row],[ID_Campaña]]))</f>
        <v>Cmp-007</v>
      </c>
      <c r="O1526" t="str">
        <f>TRIM(PROPER(Tabla_auditoría[[#This Row],[Canal]]))</f>
        <v>Paid Search</v>
      </c>
      <c r="P1526" t="str">
        <f>TRIM(PROPER(Tabla_auditoría[[#This Row],[País]]))</f>
        <v>Francia</v>
      </c>
      <c r="Q1526" t="str">
        <f>TRIM(PROPER(Tabla_auditoría[[#This Row],[Dispositivo]]))</f>
        <v>Mobile</v>
      </c>
      <c r="R1526" t="str">
        <f>TRIM(PROPER(Tabla_auditoría[[#This Row],[Tipo_Campaña]]))</f>
        <v>Reconocimiento</v>
      </c>
      <c r="S1526" t="str">
        <f>TRIM(PROPER(Tabla_auditoría[[#This Row],[Responsable]]))</f>
        <v>Luis Martín</v>
      </c>
    </row>
    <row r="1527" spans="1:19" x14ac:dyDescent="0.3">
      <c r="A1527" s="1">
        <v>45792</v>
      </c>
      <c r="B1527" s="2" t="s">
        <v>2566</v>
      </c>
      <c r="C1527" s="2" t="s">
        <v>2543</v>
      </c>
      <c r="D1527" s="2" t="s">
        <v>2516</v>
      </c>
      <c r="E1527" s="2" t="s">
        <v>2529</v>
      </c>
      <c r="F1527" s="3">
        <v>34557</v>
      </c>
      <c r="G1527" s="3">
        <v>975</v>
      </c>
      <c r="H1527" s="3">
        <v>21</v>
      </c>
      <c r="I1527" s="4">
        <v>729.13</v>
      </c>
      <c r="J1527" s="4">
        <v>4314.3900000000003</v>
      </c>
      <c r="K1527" s="3">
        <v>17</v>
      </c>
      <c r="L1527" s="2" t="s">
        <v>2539</v>
      </c>
      <c r="M1527" s="2" t="s">
        <v>2524</v>
      </c>
      <c r="N1527" t="str">
        <f>TRIM(PROPER(Tabla_auditoría[[#This Row],[ID_Campaña]]))</f>
        <v>Cmp-001</v>
      </c>
      <c r="O1527" t="str">
        <f>TRIM(PROPER(Tabla_auditoría[[#This Row],[Canal]]))</f>
        <v>Organic Social</v>
      </c>
      <c r="P1527" t="str">
        <f>TRIM(PROPER(Tabla_auditoría[[#This Row],[País]]))</f>
        <v>México</v>
      </c>
      <c r="Q1527" t="str">
        <f>TRIM(PROPER(Tabla_auditoría[[#This Row],[Dispositivo]]))</f>
        <v>Mobile</v>
      </c>
      <c r="R1527" t="str">
        <f>TRIM(PROPER(Tabla_auditoría[[#This Row],[Tipo_Campaña]]))</f>
        <v>Conversión</v>
      </c>
      <c r="S1527" t="str">
        <f>TRIM(PROPER(Tabla_auditoría[[#This Row],[Responsable]]))</f>
        <v>Luis Martín</v>
      </c>
    </row>
    <row r="1528" spans="1:19" x14ac:dyDescent="0.3">
      <c r="A1528" s="1">
        <v>45987</v>
      </c>
      <c r="B1528" s="2" t="s">
        <v>2565</v>
      </c>
      <c r="C1528" s="2" t="s">
        <v>2527</v>
      </c>
      <c r="D1528" s="2" t="s">
        <v>2525</v>
      </c>
      <c r="E1528" s="2" t="s">
        <v>2529</v>
      </c>
      <c r="F1528" s="3">
        <v>171703</v>
      </c>
      <c r="G1528" s="3">
        <v>2050</v>
      </c>
      <c r="H1528" s="3">
        <v>271</v>
      </c>
      <c r="I1528" s="4">
        <v>1097.48</v>
      </c>
      <c r="J1528" s="4">
        <v>11264.4</v>
      </c>
      <c r="K1528" s="3">
        <v>223</v>
      </c>
      <c r="L1528" s="2" t="s">
        <v>2518</v>
      </c>
      <c r="M1528" s="2" t="s">
        <v>2537</v>
      </c>
      <c r="N1528" t="str">
        <f>TRIM(PROPER(Tabla_auditoría[[#This Row],[ID_Campaña]]))</f>
        <v>Cmp-005</v>
      </c>
      <c r="O1528" t="str">
        <f>TRIM(PROPER(Tabla_auditoría[[#This Row],[Canal]]))</f>
        <v>Affiliate</v>
      </c>
      <c r="P1528" t="str">
        <f>TRIM(PROPER(Tabla_auditoría[[#This Row],[País]]))</f>
        <v>Francia</v>
      </c>
      <c r="Q1528" t="str">
        <f>TRIM(PROPER(Tabla_auditoría[[#This Row],[Dispositivo]]))</f>
        <v>Mobile</v>
      </c>
      <c r="R1528" t="str">
        <f>TRIM(PROPER(Tabla_auditoría[[#This Row],[Tipo_Campaña]]))</f>
        <v>Adquisición</v>
      </c>
      <c r="S1528" t="str">
        <f>TRIM(PROPER(Tabla_auditoría[[#This Row],[Responsable]]))</f>
        <v>Marta López</v>
      </c>
    </row>
    <row r="1529" spans="1:19" x14ac:dyDescent="0.3">
      <c r="A1529" s="1">
        <v>46012</v>
      </c>
      <c r="B1529" s="2" t="s">
        <v>2552</v>
      </c>
      <c r="C1529" s="2" t="s">
        <v>2521</v>
      </c>
      <c r="D1529" s="2" t="s">
        <v>2522</v>
      </c>
      <c r="E1529" s="2" t="s">
        <v>2517</v>
      </c>
      <c r="F1529" s="3">
        <v>30764</v>
      </c>
      <c r="G1529" s="3">
        <v>1062</v>
      </c>
      <c r="H1529" s="3">
        <v>110</v>
      </c>
      <c r="I1529" s="4">
        <v>1249.1199999999999</v>
      </c>
      <c r="J1529" s="4">
        <v>10191.85</v>
      </c>
      <c r="K1529" s="3">
        <v>61</v>
      </c>
      <c r="L1529" s="2" t="s">
        <v>2523</v>
      </c>
      <c r="M1529" s="2" t="s">
        <v>2526</v>
      </c>
      <c r="N1529" t="str">
        <f>TRIM(PROPER(Tabla_auditoría[[#This Row],[ID_Campaña]]))</f>
        <v>Cmp-012</v>
      </c>
      <c r="O1529" t="str">
        <f>TRIM(PROPER(Tabla_auditoría[[#This Row],[Canal]]))</f>
        <v>Paid Search</v>
      </c>
      <c r="P1529" t="str">
        <f>TRIM(PROPER(Tabla_auditoría[[#This Row],[País]]))</f>
        <v>Italia</v>
      </c>
      <c r="Q1529" t="str">
        <f>TRIM(PROPER(Tabla_auditoría[[#This Row],[Dispositivo]]))</f>
        <v>Desktop</v>
      </c>
      <c r="R1529" t="str">
        <f>TRIM(PROPER(Tabla_auditoría[[#This Row],[Tipo_Campaña]]))</f>
        <v>Retención</v>
      </c>
      <c r="S1529" t="str">
        <f>TRIM(PROPER(Tabla_auditoría[[#This Row],[Responsable]]))</f>
        <v>Laura Pérez</v>
      </c>
    </row>
    <row r="1530" spans="1:19" x14ac:dyDescent="0.3">
      <c r="A1530" s="1">
        <v>45827</v>
      </c>
      <c r="B1530" s="2" t="s">
        <v>2574</v>
      </c>
      <c r="C1530" s="2" t="s">
        <v>2541</v>
      </c>
      <c r="D1530" s="2" t="s">
        <v>2528</v>
      </c>
      <c r="E1530" s="2" t="s">
        <v>2529</v>
      </c>
      <c r="F1530" s="3">
        <v>25311</v>
      </c>
      <c r="G1530" s="3">
        <v>422</v>
      </c>
      <c r="H1530" s="3">
        <v>27</v>
      </c>
      <c r="I1530" s="4">
        <v>278.01</v>
      </c>
      <c r="J1530" s="4">
        <v>1050.1199999999999</v>
      </c>
      <c r="K1530" s="3">
        <v>21</v>
      </c>
      <c r="L1530" s="2" t="s">
        <v>2523</v>
      </c>
      <c r="M1530" s="2" t="s">
        <v>2537</v>
      </c>
      <c r="N1530" t="str">
        <f>TRIM(PROPER(Tabla_auditoría[[#This Row],[ID_Campaña]]))</f>
        <v>Cmp-003</v>
      </c>
      <c r="O1530" t="str">
        <f>TRIM(PROPER(Tabla_auditoría[[#This Row],[Canal]]))</f>
        <v>Display</v>
      </c>
      <c r="P1530" t="str">
        <f>TRIM(PROPER(Tabla_auditoría[[#This Row],[País]]))</f>
        <v>España</v>
      </c>
      <c r="Q1530" t="str">
        <f>TRIM(PROPER(Tabla_auditoría[[#This Row],[Dispositivo]]))</f>
        <v>Mobile</v>
      </c>
      <c r="R1530" t="str">
        <f>TRIM(PROPER(Tabla_auditoría[[#This Row],[Tipo_Campaña]]))</f>
        <v>Retención</v>
      </c>
      <c r="S1530" t="str">
        <f>TRIM(PROPER(Tabla_auditoría[[#This Row],[Responsable]]))</f>
        <v>Marta López</v>
      </c>
    </row>
    <row r="1531" spans="1:19" x14ac:dyDescent="0.3">
      <c r="A1531" s="1">
        <v>45724</v>
      </c>
      <c r="B1531" s="2" t="s">
        <v>2574</v>
      </c>
      <c r="C1531" s="2" t="s">
        <v>2515</v>
      </c>
      <c r="D1531" s="2" t="s">
        <v>2516</v>
      </c>
      <c r="E1531" s="2" t="s">
        <v>2517</v>
      </c>
      <c r="F1531" s="3">
        <v>97627</v>
      </c>
      <c r="G1531" s="3">
        <v>5878</v>
      </c>
      <c r="H1531" s="3">
        <v>748</v>
      </c>
      <c r="I1531" s="4">
        <v>777.87</v>
      </c>
      <c r="J1531" s="4">
        <v>151240.46</v>
      </c>
      <c r="K1531" s="3">
        <v>427</v>
      </c>
      <c r="L1531" s="2" t="s">
        <v>2523</v>
      </c>
      <c r="M1531" s="2" t="s">
        <v>2526</v>
      </c>
      <c r="N1531" t="str">
        <f>TRIM(PROPER(Tabla_auditoría[[#This Row],[ID_Campaña]]))</f>
        <v>Cmp-003</v>
      </c>
      <c r="O1531" t="str">
        <f>TRIM(PROPER(Tabla_auditoría[[#This Row],[Canal]]))</f>
        <v>Email</v>
      </c>
      <c r="P1531" t="str">
        <f>TRIM(PROPER(Tabla_auditoría[[#This Row],[País]]))</f>
        <v>México</v>
      </c>
      <c r="Q1531" t="str">
        <f>TRIM(PROPER(Tabla_auditoría[[#This Row],[Dispositivo]]))</f>
        <v>Desktop</v>
      </c>
      <c r="R1531" t="str">
        <f>TRIM(PROPER(Tabla_auditoría[[#This Row],[Tipo_Campaña]]))</f>
        <v>Retención</v>
      </c>
      <c r="S1531" t="str">
        <f>TRIM(PROPER(Tabla_auditoría[[#This Row],[Responsable]]))</f>
        <v>Laura Pérez</v>
      </c>
    </row>
    <row r="1532" spans="1:19" x14ac:dyDescent="0.3">
      <c r="A1532" s="1">
        <v>45674</v>
      </c>
      <c r="B1532" s="2" t="s">
        <v>2563</v>
      </c>
      <c r="C1532" s="2" t="s">
        <v>2533</v>
      </c>
      <c r="D1532" s="2" t="s">
        <v>2528</v>
      </c>
      <c r="E1532" s="2" t="s">
        <v>2517</v>
      </c>
      <c r="F1532" s="3">
        <v>76464</v>
      </c>
      <c r="G1532" s="3">
        <v>5607</v>
      </c>
      <c r="H1532" s="3">
        <v>317</v>
      </c>
      <c r="I1532" s="4">
        <v>7789.48</v>
      </c>
      <c r="J1532" s="4">
        <v>6149.77</v>
      </c>
      <c r="K1532" s="3">
        <v>160</v>
      </c>
      <c r="L1532" s="2" t="s">
        <v>2518</v>
      </c>
      <c r="M1532" s="2" t="s">
        <v>2537</v>
      </c>
      <c r="N1532" t="str">
        <f>TRIM(PROPER(Tabla_auditoría[[#This Row],[ID_Campaña]]))</f>
        <v>Cmp-023</v>
      </c>
      <c r="O1532" t="str">
        <f>TRIM(PROPER(Tabla_auditoría[[#This Row],[Canal]]))</f>
        <v>Paid Social</v>
      </c>
      <c r="P1532" t="str">
        <f>TRIM(PROPER(Tabla_auditoría[[#This Row],[País]]))</f>
        <v>España</v>
      </c>
      <c r="Q1532" t="str">
        <f>TRIM(PROPER(Tabla_auditoría[[#This Row],[Dispositivo]]))</f>
        <v>Desktop</v>
      </c>
      <c r="R1532" t="str">
        <f>TRIM(PROPER(Tabla_auditoría[[#This Row],[Tipo_Campaña]]))</f>
        <v>Adquisición</v>
      </c>
      <c r="S1532" t="str">
        <f>TRIM(PROPER(Tabla_auditoría[[#This Row],[Responsable]]))</f>
        <v>Marta López</v>
      </c>
    </row>
    <row r="1533" spans="1:19" x14ac:dyDescent="0.3">
      <c r="A1533" s="1">
        <v>45977</v>
      </c>
      <c r="B1533" s="2" t="s">
        <v>2566</v>
      </c>
      <c r="C1533" s="2" t="s">
        <v>2527</v>
      </c>
      <c r="D1533" s="2" t="s">
        <v>2525</v>
      </c>
      <c r="E1533" s="2" t="s">
        <v>2517</v>
      </c>
      <c r="F1533" s="3">
        <v>73846</v>
      </c>
      <c r="G1533" s="3">
        <v>4345</v>
      </c>
      <c r="H1533" s="3">
        <v>460</v>
      </c>
      <c r="I1533" s="4">
        <v>6235.57</v>
      </c>
      <c r="J1533" s="4">
        <v>88640.97</v>
      </c>
      <c r="K1533" s="3">
        <v>289</v>
      </c>
      <c r="L1533" s="2" t="s">
        <v>2539</v>
      </c>
      <c r="M1533" s="2" t="s">
        <v>2537</v>
      </c>
      <c r="N1533" t="str">
        <f>TRIM(PROPER(Tabla_auditoría[[#This Row],[ID_Campaña]]))</f>
        <v>Cmp-001</v>
      </c>
      <c r="O1533" t="str">
        <f>TRIM(PROPER(Tabla_auditoría[[#This Row],[Canal]]))</f>
        <v>Affiliate</v>
      </c>
      <c r="P1533" t="str">
        <f>TRIM(PROPER(Tabla_auditoría[[#This Row],[País]]))</f>
        <v>Francia</v>
      </c>
      <c r="Q1533" t="str">
        <f>TRIM(PROPER(Tabla_auditoría[[#This Row],[Dispositivo]]))</f>
        <v>Desktop</v>
      </c>
      <c r="R1533" t="str">
        <f>TRIM(PROPER(Tabla_auditoría[[#This Row],[Tipo_Campaña]]))</f>
        <v>Conversión</v>
      </c>
      <c r="S1533" t="str">
        <f>TRIM(PROPER(Tabla_auditoría[[#This Row],[Responsable]]))</f>
        <v>Marta López</v>
      </c>
    </row>
    <row r="1534" spans="1:19" x14ac:dyDescent="0.3">
      <c r="A1534" s="1">
        <v>45753</v>
      </c>
      <c r="B1534" s="2" t="s">
        <v>2535</v>
      </c>
      <c r="C1534" s="2" t="s">
        <v>2541</v>
      </c>
      <c r="D1534" s="2" t="s">
        <v>2516</v>
      </c>
      <c r="E1534" s="2" t="s">
        <v>2529</v>
      </c>
      <c r="F1534" s="3">
        <v>4736</v>
      </c>
      <c r="G1534" s="3">
        <v>89</v>
      </c>
      <c r="H1534" s="3">
        <v>2</v>
      </c>
      <c r="I1534" s="4">
        <v>65.27</v>
      </c>
      <c r="J1534" s="4">
        <v>312.08999999999997</v>
      </c>
      <c r="K1534" s="3">
        <v>1</v>
      </c>
      <c r="L1534" s="2" t="s">
        <v>2539</v>
      </c>
      <c r="M1534" s="2" t="s">
        <v>2537</v>
      </c>
      <c r="N1534" t="str">
        <f>TRIM(PROPER(Tabla_auditoría[[#This Row],[ID_Campaña]]))</f>
        <v>Cmp-015</v>
      </c>
      <c r="O1534" t="str">
        <f>TRIM(PROPER(Tabla_auditoría[[#This Row],[Canal]]))</f>
        <v>Display</v>
      </c>
      <c r="P1534" t="str">
        <f>TRIM(PROPER(Tabla_auditoría[[#This Row],[País]]))</f>
        <v>México</v>
      </c>
      <c r="Q1534" t="str">
        <f>TRIM(PROPER(Tabla_auditoría[[#This Row],[Dispositivo]]))</f>
        <v>Mobile</v>
      </c>
      <c r="R1534" t="str">
        <f>TRIM(PROPER(Tabla_auditoría[[#This Row],[Tipo_Campaña]]))</f>
        <v>Conversión</v>
      </c>
      <c r="S1534" t="str">
        <f>TRIM(PROPER(Tabla_auditoría[[#This Row],[Responsable]]))</f>
        <v>Marta López</v>
      </c>
    </row>
    <row r="1535" spans="1:19" x14ac:dyDescent="0.3">
      <c r="A1535" s="1">
        <v>45764</v>
      </c>
      <c r="B1535" s="2" t="s">
        <v>2568</v>
      </c>
      <c r="C1535" s="2" t="s">
        <v>2533</v>
      </c>
      <c r="D1535" s="2" t="s">
        <v>2516</v>
      </c>
      <c r="E1535" s="2" t="s">
        <v>2517</v>
      </c>
      <c r="F1535" s="3">
        <v>154483</v>
      </c>
      <c r="G1535" s="3">
        <v>9189</v>
      </c>
      <c r="H1535" s="3">
        <v>106</v>
      </c>
      <c r="I1535" s="4">
        <v>1923.74</v>
      </c>
      <c r="J1535" s="4">
        <v>15317.67</v>
      </c>
      <c r="K1535" s="3">
        <v>70</v>
      </c>
      <c r="L1535" s="2" t="s">
        <v>2523</v>
      </c>
      <c r="M1535" s="2" t="s">
        <v>2537</v>
      </c>
      <c r="N1535" t="str">
        <f>TRIM(PROPER(Tabla_auditoría[[#This Row],[ID_Campaña]]))</f>
        <v>Cmp-020</v>
      </c>
      <c r="O1535" t="str">
        <f>TRIM(PROPER(Tabla_auditoría[[#This Row],[Canal]]))</f>
        <v>Paid Social</v>
      </c>
      <c r="P1535" t="str">
        <f>TRIM(PROPER(Tabla_auditoría[[#This Row],[País]]))</f>
        <v>México</v>
      </c>
      <c r="Q1535" t="str">
        <f>TRIM(PROPER(Tabla_auditoría[[#This Row],[Dispositivo]]))</f>
        <v>Desktop</v>
      </c>
      <c r="R1535" t="str">
        <f>TRIM(PROPER(Tabla_auditoría[[#This Row],[Tipo_Campaña]]))</f>
        <v>Retención</v>
      </c>
      <c r="S1535" t="str">
        <f>TRIM(PROPER(Tabla_auditoría[[#This Row],[Responsable]]))</f>
        <v>Marta López</v>
      </c>
    </row>
    <row r="1536" spans="1:19" x14ac:dyDescent="0.3">
      <c r="A1536" s="1">
        <v>45998</v>
      </c>
      <c r="B1536" s="2" t="s">
        <v>2530</v>
      </c>
      <c r="C1536" s="2" t="s">
        <v>2543</v>
      </c>
      <c r="D1536" s="2" t="s">
        <v>2531</v>
      </c>
      <c r="E1536" s="2" t="s">
        <v>2529</v>
      </c>
      <c r="F1536" s="3">
        <v>143169</v>
      </c>
      <c r="G1536" s="3">
        <v>4384</v>
      </c>
      <c r="H1536" s="3">
        <v>435</v>
      </c>
      <c r="I1536" s="4">
        <v>4824.95</v>
      </c>
      <c r="J1536" s="4">
        <v>58617.86</v>
      </c>
      <c r="K1536" s="3">
        <v>367</v>
      </c>
      <c r="L1536" s="2" t="s">
        <v>2536</v>
      </c>
      <c r="M1536" s="2" t="s">
        <v>2526</v>
      </c>
      <c r="N1536" t="str">
        <f>TRIM(PROPER(Tabla_auditoría[[#This Row],[ID_Campaña]]))</f>
        <v>Cmp-026</v>
      </c>
      <c r="O1536" t="str">
        <f>TRIM(PROPER(Tabla_auditoría[[#This Row],[Canal]]))</f>
        <v>Organic Social</v>
      </c>
      <c r="P1536" t="str">
        <f>TRIM(PROPER(Tabla_auditoría[[#This Row],[País]]))</f>
        <v>Portugal</v>
      </c>
      <c r="Q1536" t="str">
        <f>TRIM(PROPER(Tabla_auditoría[[#This Row],[Dispositivo]]))</f>
        <v>Mobile</v>
      </c>
      <c r="R1536" t="str">
        <f>TRIM(PROPER(Tabla_auditoría[[#This Row],[Tipo_Campaña]]))</f>
        <v>Reconocimiento</v>
      </c>
      <c r="S1536" t="str">
        <f>TRIM(PROPER(Tabla_auditoría[[#This Row],[Responsable]]))</f>
        <v>Laura Pérez</v>
      </c>
    </row>
    <row r="1537" spans="1:19" x14ac:dyDescent="0.3">
      <c r="A1537" s="1">
        <v>45802</v>
      </c>
      <c r="B1537" s="2" t="s">
        <v>2552</v>
      </c>
      <c r="C1537" s="2" t="s">
        <v>2527</v>
      </c>
      <c r="D1537" s="2" t="s">
        <v>2528</v>
      </c>
      <c r="E1537" s="2" t="s">
        <v>2517</v>
      </c>
      <c r="F1537" s="3">
        <v>132279</v>
      </c>
      <c r="G1537" s="3">
        <v>10352</v>
      </c>
      <c r="H1537" s="3">
        <v>931</v>
      </c>
      <c r="I1537" s="4">
        <v>15918.6</v>
      </c>
      <c r="J1537" s="4">
        <v>134045.31</v>
      </c>
      <c r="K1537" s="3">
        <v>660</v>
      </c>
      <c r="L1537" s="2" t="s">
        <v>2523</v>
      </c>
      <c r="M1537" s="2" t="s">
        <v>2537</v>
      </c>
      <c r="N1537" t="str">
        <f>TRIM(PROPER(Tabla_auditoría[[#This Row],[ID_Campaña]]))</f>
        <v>Cmp-012</v>
      </c>
      <c r="O1537" t="str">
        <f>TRIM(PROPER(Tabla_auditoría[[#This Row],[Canal]]))</f>
        <v>Affiliate</v>
      </c>
      <c r="P1537" t="str">
        <f>TRIM(PROPER(Tabla_auditoría[[#This Row],[País]]))</f>
        <v>España</v>
      </c>
      <c r="Q1537" t="str">
        <f>TRIM(PROPER(Tabla_auditoría[[#This Row],[Dispositivo]]))</f>
        <v>Desktop</v>
      </c>
      <c r="R1537" t="str">
        <f>TRIM(PROPER(Tabla_auditoría[[#This Row],[Tipo_Campaña]]))</f>
        <v>Retención</v>
      </c>
      <c r="S1537" t="str">
        <f>TRIM(PROPER(Tabla_auditoría[[#This Row],[Responsable]]))</f>
        <v>Marta López</v>
      </c>
    </row>
    <row r="1538" spans="1:19" x14ac:dyDescent="0.3">
      <c r="A1538" s="1">
        <v>45666</v>
      </c>
      <c r="B1538" s="2" t="s">
        <v>2538</v>
      </c>
      <c r="C1538" s="2" t="s">
        <v>2543</v>
      </c>
      <c r="D1538" s="2" t="s">
        <v>2516</v>
      </c>
      <c r="E1538" s="2" t="s">
        <v>2529</v>
      </c>
      <c r="F1538" s="3">
        <v>5773</v>
      </c>
      <c r="G1538" s="3">
        <v>428</v>
      </c>
      <c r="H1538" s="3">
        <v>43</v>
      </c>
      <c r="I1538" s="4">
        <v>120.06</v>
      </c>
      <c r="J1538" s="4">
        <v>7050.5</v>
      </c>
      <c r="K1538" s="3">
        <v>23</v>
      </c>
      <c r="L1538" s="2" t="s">
        <v>2523</v>
      </c>
      <c r="M1538" s="2" t="s">
        <v>2519</v>
      </c>
      <c r="N1538" t="str">
        <f>TRIM(PROPER(Tabla_auditoría[[#This Row],[ID_Campaña]]))</f>
        <v>Cmp-004</v>
      </c>
      <c r="O1538" t="str">
        <f>TRIM(PROPER(Tabla_auditoría[[#This Row],[Canal]]))</f>
        <v>Organic Social</v>
      </c>
      <c r="P1538" t="str">
        <f>TRIM(PROPER(Tabla_auditoría[[#This Row],[País]]))</f>
        <v>México</v>
      </c>
      <c r="Q1538" t="str">
        <f>TRIM(PROPER(Tabla_auditoría[[#This Row],[Dispositivo]]))</f>
        <v>Mobile</v>
      </c>
      <c r="R1538" t="str">
        <f>TRIM(PROPER(Tabla_auditoría[[#This Row],[Tipo_Campaña]]))</f>
        <v>Retención</v>
      </c>
      <c r="S1538" t="str">
        <f>TRIM(PROPER(Tabla_auditoría[[#This Row],[Responsable]]))</f>
        <v>Carlos Ruiz</v>
      </c>
    </row>
    <row r="1539" spans="1:19" x14ac:dyDescent="0.3">
      <c r="A1539" s="1">
        <v>45921</v>
      </c>
      <c r="B1539" s="2" t="s">
        <v>2554</v>
      </c>
      <c r="C1539" s="2" t="s">
        <v>2515</v>
      </c>
      <c r="D1539" s="2" t="s">
        <v>2516</v>
      </c>
      <c r="E1539" s="2" t="s">
        <v>2517</v>
      </c>
      <c r="F1539" s="3">
        <v>3959</v>
      </c>
      <c r="G1539" s="3">
        <v>210</v>
      </c>
      <c r="H1539" s="3">
        <v>22</v>
      </c>
      <c r="I1539" s="4">
        <v>179.58</v>
      </c>
      <c r="J1539" s="4">
        <v>371.04</v>
      </c>
      <c r="K1539" s="3">
        <v>13</v>
      </c>
      <c r="L1539" s="2" t="s">
        <v>2539</v>
      </c>
      <c r="M1539" s="2" t="s">
        <v>2546</v>
      </c>
      <c r="N1539" t="str">
        <f>TRIM(PROPER(Tabla_auditoría[[#This Row],[ID_Campaña]]))</f>
        <v>Cmp-019</v>
      </c>
      <c r="O1539" t="str">
        <f>TRIM(PROPER(Tabla_auditoría[[#This Row],[Canal]]))</f>
        <v>Email</v>
      </c>
      <c r="P1539" t="str">
        <f>TRIM(PROPER(Tabla_auditoría[[#This Row],[País]]))</f>
        <v>México</v>
      </c>
      <c r="Q1539" t="str">
        <f>TRIM(PROPER(Tabla_auditoría[[#This Row],[Dispositivo]]))</f>
        <v>Desktop</v>
      </c>
      <c r="R1539" t="str">
        <f>TRIM(PROPER(Tabla_auditoría[[#This Row],[Tipo_Campaña]]))</f>
        <v>Conversión</v>
      </c>
      <c r="S1539" t="str">
        <f>TRIM(PROPER(Tabla_auditoría[[#This Row],[Responsable]]))</f>
        <v>Ana García</v>
      </c>
    </row>
    <row r="1540" spans="1:19" x14ac:dyDescent="0.3">
      <c r="A1540" s="1">
        <v>45678</v>
      </c>
      <c r="B1540" s="2" t="s">
        <v>2566</v>
      </c>
      <c r="C1540" s="2" t="s">
        <v>2541</v>
      </c>
      <c r="D1540" s="2" t="s">
        <v>2528</v>
      </c>
      <c r="E1540" s="2" t="s">
        <v>2517</v>
      </c>
      <c r="F1540" s="3">
        <v>35813</v>
      </c>
      <c r="G1540" s="3">
        <v>2804</v>
      </c>
      <c r="H1540" s="3">
        <v>358</v>
      </c>
      <c r="I1540" s="4">
        <v>877.97</v>
      </c>
      <c r="J1540" s="4">
        <v>73336.14</v>
      </c>
      <c r="K1540" s="3">
        <v>255</v>
      </c>
      <c r="L1540" s="2" t="s">
        <v>2523</v>
      </c>
      <c r="M1540" s="2" t="s">
        <v>2519</v>
      </c>
      <c r="N1540" t="str">
        <f>TRIM(PROPER(Tabla_auditoría[[#This Row],[ID_Campaña]]))</f>
        <v>Cmp-001</v>
      </c>
      <c r="O1540" t="str">
        <f>TRIM(PROPER(Tabla_auditoría[[#This Row],[Canal]]))</f>
        <v>Display</v>
      </c>
      <c r="P1540" t="str">
        <f>TRIM(PROPER(Tabla_auditoría[[#This Row],[País]]))</f>
        <v>España</v>
      </c>
      <c r="Q1540" t="str">
        <f>TRIM(PROPER(Tabla_auditoría[[#This Row],[Dispositivo]]))</f>
        <v>Desktop</v>
      </c>
      <c r="R1540" t="str">
        <f>TRIM(PROPER(Tabla_auditoría[[#This Row],[Tipo_Campaña]]))</f>
        <v>Retención</v>
      </c>
      <c r="S1540" t="str">
        <f>TRIM(PROPER(Tabla_auditoría[[#This Row],[Responsable]]))</f>
        <v>Carlos Ruiz</v>
      </c>
    </row>
    <row r="1541" spans="1:19" x14ac:dyDescent="0.3">
      <c r="A1541" s="1">
        <v>45690</v>
      </c>
      <c r="B1541" s="2" t="s">
        <v>2574</v>
      </c>
      <c r="C1541" s="2" t="s">
        <v>2541</v>
      </c>
      <c r="D1541" s="2" t="s">
        <v>2522</v>
      </c>
      <c r="E1541" s="2" t="s">
        <v>2529</v>
      </c>
      <c r="F1541" s="3">
        <v>87035</v>
      </c>
      <c r="G1541" s="3">
        <v>7449</v>
      </c>
      <c r="H1541" s="3">
        <v>992</v>
      </c>
      <c r="I1541" s="4">
        <v>1271.33</v>
      </c>
      <c r="J1541" s="4">
        <v>119307.94</v>
      </c>
      <c r="K1541" s="3">
        <v>804</v>
      </c>
      <c r="L1541" s="2" t="s">
        <v>2518</v>
      </c>
      <c r="M1541" s="2" t="s">
        <v>2546</v>
      </c>
      <c r="N1541" t="str">
        <f>TRIM(PROPER(Tabla_auditoría[[#This Row],[ID_Campaña]]))</f>
        <v>Cmp-003</v>
      </c>
      <c r="O1541" t="str">
        <f>TRIM(PROPER(Tabla_auditoría[[#This Row],[Canal]]))</f>
        <v>Display</v>
      </c>
      <c r="P1541" t="str">
        <f>TRIM(PROPER(Tabla_auditoría[[#This Row],[País]]))</f>
        <v>Italia</v>
      </c>
      <c r="Q1541" t="str">
        <f>TRIM(PROPER(Tabla_auditoría[[#This Row],[Dispositivo]]))</f>
        <v>Mobile</v>
      </c>
      <c r="R1541" t="str">
        <f>TRIM(PROPER(Tabla_auditoría[[#This Row],[Tipo_Campaña]]))</f>
        <v>Adquisición</v>
      </c>
      <c r="S1541" t="str">
        <f>TRIM(PROPER(Tabla_auditoría[[#This Row],[Responsable]]))</f>
        <v>Ana García</v>
      </c>
    </row>
    <row r="1542" spans="1:19" x14ac:dyDescent="0.3">
      <c r="A1542" s="1">
        <v>45759</v>
      </c>
      <c r="B1542" s="2" t="s">
        <v>2554</v>
      </c>
      <c r="C1542" s="2" t="s">
        <v>2543</v>
      </c>
      <c r="D1542" s="2" t="s">
        <v>2528</v>
      </c>
      <c r="E1542" s="2" t="s">
        <v>2517</v>
      </c>
      <c r="F1542" s="3">
        <v>148867</v>
      </c>
      <c r="G1542" s="3">
        <v>10163</v>
      </c>
      <c r="H1542" s="3">
        <v>579</v>
      </c>
      <c r="I1542" s="4">
        <v>18664.95</v>
      </c>
      <c r="J1542" s="4">
        <v>36056.85</v>
      </c>
      <c r="K1542" s="3">
        <v>375</v>
      </c>
      <c r="L1542" s="2" t="s">
        <v>2518</v>
      </c>
      <c r="M1542" s="2" t="s">
        <v>2524</v>
      </c>
      <c r="N1542" t="str">
        <f>TRIM(PROPER(Tabla_auditoría[[#This Row],[ID_Campaña]]))</f>
        <v>Cmp-019</v>
      </c>
      <c r="O1542" t="str">
        <f>TRIM(PROPER(Tabla_auditoría[[#This Row],[Canal]]))</f>
        <v>Organic Social</v>
      </c>
      <c r="P1542" t="str">
        <f>TRIM(PROPER(Tabla_auditoría[[#This Row],[País]]))</f>
        <v>España</v>
      </c>
      <c r="Q1542" t="str">
        <f>TRIM(PROPER(Tabla_auditoría[[#This Row],[Dispositivo]]))</f>
        <v>Desktop</v>
      </c>
      <c r="R1542" t="str">
        <f>TRIM(PROPER(Tabla_auditoría[[#This Row],[Tipo_Campaña]]))</f>
        <v>Adquisición</v>
      </c>
      <c r="S1542" t="str">
        <f>TRIM(PROPER(Tabla_auditoría[[#This Row],[Responsable]]))</f>
        <v>Luis Martín</v>
      </c>
    </row>
    <row r="1543" spans="1:19" x14ac:dyDescent="0.3">
      <c r="A1543" s="1">
        <v>45959</v>
      </c>
      <c r="B1543" s="2" t="s">
        <v>2556</v>
      </c>
      <c r="C1543" s="2" t="s">
        <v>2562</v>
      </c>
      <c r="D1543" s="2" t="s">
        <v>2531</v>
      </c>
      <c r="E1543" s="2" t="s">
        <v>2517</v>
      </c>
      <c r="F1543" s="3">
        <v>140142</v>
      </c>
      <c r="G1543" s="3">
        <v>720</v>
      </c>
      <c r="H1543" s="3">
        <v>86</v>
      </c>
      <c r="I1543" s="4">
        <v>654.98</v>
      </c>
      <c r="J1543" s="4">
        <v>7203.58</v>
      </c>
      <c r="K1543" s="3">
        <v>63</v>
      </c>
      <c r="L1543" s="2" t="s">
        <v>2518</v>
      </c>
      <c r="M1543" s="2" t="s">
        <v>2524</v>
      </c>
      <c r="N1543" t="str">
        <f>TRIM(PROPER(Tabla_auditoría[[#This Row],[ID_Campaña]]))</f>
        <v>Cmp-014</v>
      </c>
      <c r="O1543" t="str">
        <f>TRIM(PROPER(Tabla_auditoría[[#This Row],[Canal]]))</f>
        <v>Organic Social</v>
      </c>
      <c r="P1543" t="str">
        <f>TRIM(PROPER(Tabla_auditoría[[#This Row],[País]]))</f>
        <v>Portugal</v>
      </c>
      <c r="Q1543" t="str">
        <f>TRIM(PROPER(Tabla_auditoría[[#This Row],[Dispositivo]]))</f>
        <v>Desktop</v>
      </c>
      <c r="R1543" t="str">
        <f>TRIM(PROPER(Tabla_auditoría[[#This Row],[Tipo_Campaña]]))</f>
        <v>Adquisición</v>
      </c>
      <c r="S1543" t="str">
        <f>TRIM(PROPER(Tabla_auditoría[[#This Row],[Responsable]]))</f>
        <v>Luis Martín</v>
      </c>
    </row>
    <row r="1544" spans="1:19" x14ac:dyDescent="0.3">
      <c r="A1544" s="1">
        <v>45971</v>
      </c>
      <c r="B1544" s="2" t="s">
        <v>2530</v>
      </c>
      <c r="C1544" s="2" t="s">
        <v>2521</v>
      </c>
      <c r="D1544" s="2" t="s">
        <v>2528</v>
      </c>
      <c r="E1544" s="2" t="s">
        <v>2529</v>
      </c>
      <c r="F1544" s="3">
        <v>15921</v>
      </c>
      <c r="G1544" s="3">
        <v>518</v>
      </c>
      <c r="H1544" s="3">
        <v>13</v>
      </c>
      <c r="I1544" s="4">
        <v>573.85</v>
      </c>
      <c r="J1544" s="4">
        <v>384.86</v>
      </c>
      <c r="K1544" s="3">
        <v>10</v>
      </c>
      <c r="L1544" s="2" t="s">
        <v>2536</v>
      </c>
      <c r="M1544" s="2" t="s">
        <v>2519</v>
      </c>
      <c r="N1544" t="str">
        <f>TRIM(PROPER(Tabla_auditoría[[#This Row],[ID_Campaña]]))</f>
        <v>Cmp-026</v>
      </c>
      <c r="O1544" t="str">
        <f>TRIM(PROPER(Tabla_auditoría[[#This Row],[Canal]]))</f>
        <v>Paid Search</v>
      </c>
      <c r="P1544" t="str">
        <f>TRIM(PROPER(Tabla_auditoría[[#This Row],[País]]))</f>
        <v>España</v>
      </c>
      <c r="Q1544" t="str">
        <f>TRIM(PROPER(Tabla_auditoría[[#This Row],[Dispositivo]]))</f>
        <v>Mobile</v>
      </c>
      <c r="R1544" t="str">
        <f>TRIM(PROPER(Tabla_auditoría[[#This Row],[Tipo_Campaña]]))</f>
        <v>Reconocimiento</v>
      </c>
      <c r="S1544" t="str">
        <f>TRIM(PROPER(Tabla_auditoría[[#This Row],[Responsable]]))</f>
        <v>Carlos Ruiz</v>
      </c>
    </row>
    <row r="1545" spans="1:19" x14ac:dyDescent="0.3">
      <c r="A1545" s="1">
        <v>45697</v>
      </c>
      <c r="B1545" s="2" t="s">
        <v>2564</v>
      </c>
      <c r="C1545" s="2" t="s">
        <v>2543</v>
      </c>
      <c r="D1545" s="2" t="s">
        <v>2528</v>
      </c>
      <c r="E1545" s="2" t="s">
        <v>2517</v>
      </c>
      <c r="F1545" s="3">
        <v>66085</v>
      </c>
      <c r="G1545" s="3">
        <v>3463</v>
      </c>
      <c r="H1545" s="3">
        <v>216</v>
      </c>
      <c r="I1545" s="4">
        <v>5661.18</v>
      </c>
      <c r="J1545" s="4">
        <v>4707.47</v>
      </c>
      <c r="K1545" s="3">
        <v>123</v>
      </c>
      <c r="L1545" s="2" t="s">
        <v>2518</v>
      </c>
      <c r="M1545" s="2" t="s">
        <v>2546</v>
      </c>
      <c r="N1545" t="str">
        <f>TRIM(PROPER(Tabla_auditoría[[#This Row],[ID_Campaña]]))</f>
        <v>Cmp-024</v>
      </c>
      <c r="O1545" t="str">
        <f>TRIM(PROPER(Tabla_auditoría[[#This Row],[Canal]]))</f>
        <v>Organic Social</v>
      </c>
      <c r="P1545" t="str">
        <f>TRIM(PROPER(Tabla_auditoría[[#This Row],[País]]))</f>
        <v>España</v>
      </c>
      <c r="Q1545" t="str">
        <f>TRIM(PROPER(Tabla_auditoría[[#This Row],[Dispositivo]]))</f>
        <v>Desktop</v>
      </c>
      <c r="R1545" t="str">
        <f>TRIM(PROPER(Tabla_auditoría[[#This Row],[Tipo_Campaña]]))</f>
        <v>Adquisición</v>
      </c>
      <c r="S1545" t="str">
        <f>TRIM(PROPER(Tabla_auditoría[[#This Row],[Responsable]]))</f>
        <v>Ana García</v>
      </c>
    </row>
    <row r="1546" spans="1:19" x14ac:dyDescent="0.3">
      <c r="A1546" s="1">
        <v>45747</v>
      </c>
      <c r="B1546" s="2" t="s">
        <v>2530</v>
      </c>
      <c r="C1546" s="2" t="s">
        <v>2515</v>
      </c>
      <c r="D1546" s="2" t="s">
        <v>2528</v>
      </c>
      <c r="E1546" s="2" t="s">
        <v>2529</v>
      </c>
      <c r="F1546" s="3">
        <v>124600</v>
      </c>
      <c r="G1546" s="3">
        <v>5189</v>
      </c>
      <c r="H1546" s="3">
        <v>60</v>
      </c>
      <c r="I1546" s="4">
        <v>8713.31</v>
      </c>
      <c r="J1546" s="4">
        <v>10827.38</v>
      </c>
      <c r="K1546" s="3">
        <v>38</v>
      </c>
      <c r="L1546" s="2" t="s">
        <v>2523</v>
      </c>
      <c r="M1546" s="2" t="s">
        <v>2519</v>
      </c>
      <c r="N1546" t="str">
        <f>TRIM(PROPER(Tabla_auditoría[[#This Row],[ID_Campaña]]))</f>
        <v>Cmp-026</v>
      </c>
      <c r="O1546" t="str">
        <f>TRIM(PROPER(Tabla_auditoría[[#This Row],[Canal]]))</f>
        <v>Email</v>
      </c>
      <c r="P1546" t="str">
        <f>TRIM(PROPER(Tabla_auditoría[[#This Row],[País]]))</f>
        <v>España</v>
      </c>
      <c r="Q1546" t="str">
        <f>TRIM(PROPER(Tabla_auditoría[[#This Row],[Dispositivo]]))</f>
        <v>Mobile</v>
      </c>
      <c r="R1546" t="str">
        <f>TRIM(PROPER(Tabla_auditoría[[#This Row],[Tipo_Campaña]]))</f>
        <v>Retención</v>
      </c>
      <c r="S1546" t="str">
        <f>TRIM(PROPER(Tabla_auditoría[[#This Row],[Responsable]]))</f>
        <v>Carlos Ruiz</v>
      </c>
    </row>
    <row r="1547" spans="1:19" x14ac:dyDescent="0.3">
      <c r="A1547" s="1">
        <v>45939</v>
      </c>
      <c r="B1547" s="2" t="s">
        <v>2565</v>
      </c>
      <c r="C1547" s="2" t="s">
        <v>2541</v>
      </c>
      <c r="D1547" s="2" t="s">
        <v>2516</v>
      </c>
      <c r="E1547" s="2" t="s">
        <v>2517</v>
      </c>
      <c r="F1547" s="3">
        <v>177580</v>
      </c>
      <c r="G1547" s="3">
        <v>3544</v>
      </c>
      <c r="H1547" s="3">
        <v>135</v>
      </c>
      <c r="I1547" s="4">
        <v>4192.04</v>
      </c>
      <c r="J1547" s="4">
        <v>15346.32</v>
      </c>
      <c r="K1547" s="3">
        <v>67</v>
      </c>
      <c r="L1547" s="2" t="s">
        <v>2523</v>
      </c>
      <c r="M1547" s="2" t="s">
        <v>2546</v>
      </c>
      <c r="N1547" t="str">
        <f>TRIM(PROPER(Tabla_auditoría[[#This Row],[ID_Campaña]]))</f>
        <v>Cmp-005</v>
      </c>
      <c r="O1547" t="str">
        <f>TRIM(PROPER(Tabla_auditoría[[#This Row],[Canal]]))</f>
        <v>Display</v>
      </c>
      <c r="P1547" t="str">
        <f>TRIM(PROPER(Tabla_auditoría[[#This Row],[País]]))</f>
        <v>México</v>
      </c>
      <c r="Q1547" t="str">
        <f>TRIM(PROPER(Tabla_auditoría[[#This Row],[Dispositivo]]))</f>
        <v>Desktop</v>
      </c>
      <c r="R1547" t="str">
        <f>TRIM(PROPER(Tabla_auditoría[[#This Row],[Tipo_Campaña]]))</f>
        <v>Retención</v>
      </c>
      <c r="S1547" t="str">
        <f>TRIM(PROPER(Tabla_auditoría[[#This Row],[Responsable]]))</f>
        <v>Ana García</v>
      </c>
    </row>
    <row r="1548" spans="1:19" x14ac:dyDescent="0.3">
      <c r="A1548" s="1">
        <v>45980</v>
      </c>
      <c r="B1548" s="2" t="s">
        <v>2574</v>
      </c>
      <c r="C1548" s="2" t="s">
        <v>2543</v>
      </c>
      <c r="D1548" s="2" t="s">
        <v>2522</v>
      </c>
      <c r="E1548" s="2" t="s">
        <v>2529</v>
      </c>
      <c r="F1548" s="3">
        <v>162787</v>
      </c>
      <c r="G1548" s="3">
        <v>4642</v>
      </c>
      <c r="H1548" s="3">
        <v>181</v>
      </c>
      <c r="I1548" s="4">
        <v>3446.08</v>
      </c>
      <c r="J1548" s="4">
        <v>12832.43</v>
      </c>
      <c r="K1548" s="3">
        <v>131</v>
      </c>
      <c r="L1548" s="2" t="s">
        <v>2536</v>
      </c>
      <c r="M1548" s="2" t="s">
        <v>2537</v>
      </c>
      <c r="N1548" t="str">
        <f>TRIM(PROPER(Tabla_auditoría[[#This Row],[ID_Campaña]]))</f>
        <v>Cmp-003</v>
      </c>
      <c r="O1548" t="str">
        <f>TRIM(PROPER(Tabla_auditoría[[#This Row],[Canal]]))</f>
        <v>Organic Social</v>
      </c>
      <c r="P1548" t="str">
        <f>TRIM(PROPER(Tabla_auditoría[[#This Row],[País]]))</f>
        <v>Italia</v>
      </c>
      <c r="Q1548" t="str">
        <f>TRIM(PROPER(Tabla_auditoría[[#This Row],[Dispositivo]]))</f>
        <v>Mobile</v>
      </c>
      <c r="R1548" t="str">
        <f>TRIM(PROPER(Tabla_auditoría[[#This Row],[Tipo_Campaña]]))</f>
        <v>Reconocimiento</v>
      </c>
      <c r="S1548" t="str">
        <f>TRIM(PROPER(Tabla_auditoría[[#This Row],[Responsable]]))</f>
        <v>Marta López</v>
      </c>
    </row>
    <row r="1549" spans="1:19" x14ac:dyDescent="0.3">
      <c r="A1549" s="1">
        <v>45667</v>
      </c>
      <c r="B1549" s="2" t="s">
        <v>2532</v>
      </c>
      <c r="C1549" s="2" t="s">
        <v>2515</v>
      </c>
      <c r="D1549" s="2" t="s">
        <v>2580</v>
      </c>
      <c r="E1549" s="2" t="s">
        <v>2529</v>
      </c>
      <c r="F1549" s="3">
        <v>78808</v>
      </c>
      <c r="G1549" s="3">
        <v>2281</v>
      </c>
      <c r="H1549" s="3">
        <v>253</v>
      </c>
      <c r="I1549" s="4">
        <v>746.58</v>
      </c>
      <c r="J1549" s="4">
        <v>21512.11</v>
      </c>
      <c r="K1549" s="3">
        <v>146</v>
      </c>
      <c r="L1549" s="2" t="s">
        <v>2518</v>
      </c>
      <c r="M1549" s="2" t="s">
        <v>2537</v>
      </c>
      <c r="N1549" t="str">
        <f>TRIM(PROPER(Tabla_auditoría[[#This Row],[ID_Campaña]]))</f>
        <v>Cmp-022</v>
      </c>
      <c r="O1549" t="str">
        <f>TRIM(PROPER(Tabla_auditoría[[#This Row],[Canal]]))</f>
        <v>Email</v>
      </c>
      <c r="P1549" t="str">
        <f>TRIM(PROPER(Tabla_auditoría[[#This Row],[País]]))</f>
        <v>México</v>
      </c>
      <c r="Q1549" t="str">
        <f>TRIM(PROPER(Tabla_auditoría[[#This Row],[Dispositivo]]))</f>
        <v>Mobile</v>
      </c>
      <c r="R1549" t="str">
        <f>TRIM(PROPER(Tabla_auditoría[[#This Row],[Tipo_Campaña]]))</f>
        <v>Adquisición</v>
      </c>
      <c r="S1549" t="str">
        <f>TRIM(PROPER(Tabla_auditoría[[#This Row],[Responsable]]))</f>
        <v>Marta López</v>
      </c>
    </row>
    <row r="1550" spans="1:19" x14ac:dyDescent="0.3">
      <c r="A1550" s="1">
        <v>45788</v>
      </c>
      <c r="B1550" s="2" t="s">
        <v>2566</v>
      </c>
      <c r="C1550" s="2" t="s">
        <v>2533</v>
      </c>
      <c r="D1550" s="2" t="s">
        <v>2531</v>
      </c>
      <c r="E1550" s="2" t="s">
        <v>2517</v>
      </c>
      <c r="F1550" s="3">
        <v>168664</v>
      </c>
      <c r="G1550" s="3">
        <v>13474</v>
      </c>
      <c r="H1550" s="3">
        <v>1668</v>
      </c>
      <c r="I1550" s="4">
        <v>16926.439999999999</v>
      </c>
      <c r="J1550" s="4">
        <v>234966.05</v>
      </c>
      <c r="K1550" s="3">
        <v>1054</v>
      </c>
      <c r="L1550" s="2" t="s">
        <v>2536</v>
      </c>
      <c r="M1550" s="2" t="s">
        <v>2524</v>
      </c>
      <c r="N1550" t="str">
        <f>TRIM(PROPER(Tabla_auditoría[[#This Row],[ID_Campaña]]))</f>
        <v>Cmp-001</v>
      </c>
      <c r="O1550" t="str">
        <f>TRIM(PROPER(Tabla_auditoría[[#This Row],[Canal]]))</f>
        <v>Paid Social</v>
      </c>
      <c r="P1550" t="str">
        <f>TRIM(PROPER(Tabla_auditoría[[#This Row],[País]]))</f>
        <v>Portugal</v>
      </c>
      <c r="Q1550" t="str">
        <f>TRIM(PROPER(Tabla_auditoría[[#This Row],[Dispositivo]]))</f>
        <v>Desktop</v>
      </c>
      <c r="R1550" t="str">
        <f>TRIM(PROPER(Tabla_auditoría[[#This Row],[Tipo_Campaña]]))</f>
        <v>Reconocimiento</v>
      </c>
      <c r="S1550" t="str">
        <f>TRIM(PROPER(Tabla_auditoría[[#This Row],[Responsable]]))</f>
        <v>Luis Martín</v>
      </c>
    </row>
    <row r="1551" spans="1:19" x14ac:dyDescent="0.3">
      <c r="A1551" s="1">
        <v>45751</v>
      </c>
      <c r="B1551" s="2" t="s">
        <v>2535</v>
      </c>
      <c r="C1551" s="2" t="s">
        <v>2527</v>
      </c>
      <c r="D1551" s="2" t="s">
        <v>2528</v>
      </c>
      <c r="E1551" s="2" t="s">
        <v>2517</v>
      </c>
      <c r="F1551" s="3">
        <v>121777</v>
      </c>
      <c r="G1551" s="3">
        <v>3191</v>
      </c>
      <c r="H1551" s="3">
        <v>303</v>
      </c>
      <c r="I1551" s="4">
        <v>5930.38</v>
      </c>
      <c r="J1551" s="4">
        <v>34446.480000000003</v>
      </c>
      <c r="K1551" s="3">
        <v>223</v>
      </c>
      <c r="L1551" s="2" t="s">
        <v>2523</v>
      </c>
      <c r="M1551" s="2" t="s">
        <v>2537</v>
      </c>
      <c r="N1551" t="str">
        <f>TRIM(PROPER(Tabla_auditoría[[#This Row],[ID_Campaña]]))</f>
        <v>Cmp-015</v>
      </c>
      <c r="O1551" t="str">
        <f>TRIM(PROPER(Tabla_auditoría[[#This Row],[Canal]]))</f>
        <v>Affiliate</v>
      </c>
      <c r="P1551" t="str">
        <f>TRIM(PROPER(Tabla_auditoría[[#This Row],[País]]))</f>
        <v>España</v>
      </c>
      <c r="Q1551" t="str">
        <f>TRIM(PROPER(Tabla_auditoría[[#This Row],[Dispositivo]]))</f>
        <v>Desktop</v>
      </c>
      <c r="R1551" t="str">
        <f>TRIM(PROPER(Tabla_auditoría[[#This Row],[Tipo_Campaña]]))</f>
        <v>Retención</v>
      </c>
      <c r="S1551" t="str">
        <f>TRIM(PROPER(Tabla_auditoría[[#This Row],[Responsable]]))</f>
        <v>Marta López</v>
      </c>
    </row>
    <row r="1552" spans="1:19" x14ac:dyDescent="0.3">
      <c r="A1552" s="1">
        <v>45801</v>
      </c>
      <c r="B1552" s="2" t="s">
        <v>2565</v>
      </c>
      <c r="C1552" s="2" t="s">
        <v>2527</v>
      </c>
      <c r="D1552" s="2" t="s">
        <v>2528</v>
      </c>
      <c r="E1552" s="2" t="s">
        <v>2517</v>
      </c>
      <c r="F1552" s="3">
        <v>46429</v>
      </c>
      <c r="G1552" s="3">
        <v>3679</v>
      </c>
      <c r="H1552" s="3">
        <v>323</v>
      </c>
      <c r="I1552" s="4">
        <v>4349.8599999999997</v>
      </c>
      <c r="J1552" s="4">
        <v>11847.41</v>
      </c>
      <c r="K1552" s="3">
        <v>162</v>
      </c>
      <c r="L1552" s="2" t="s">
        <v>2539</v>
      </c>
      <c r="M1552" s="2" t="s">
        <v>2519</v>
      </c>
      <c r="N1552" t="str">
        <f>TRIM(PROPER(Tabla_auditoría[[#This Row],[ID_Campaña]]))</f>
        <v>Cmp-005</v>
      </c>
      <c r="O1552" t="str">
        <f>TRIM(PROPER(Tabla_auditoría[[#This Row],[Canal]]))</f>
        <v>Affiliate</v>
      </c>
      <c r="P1552" t="str">
        <f>TRIM(PROPER(Tabla_auditoría[[#This Row],[País]]))</f>
        <v>España</v>
      </c>
      <c r="Q1552" t="str">
        <f>TRIM(PROPER(Tabla_auditoría[[#This Row],[Dispositivo]]))</f>
        <v>Desktop</v>
      </c>
      <c r="R1552" t="str">
        <f>TRIM(PROPER(Tabla_auditoría[[#This Row],[Tipo_Campaña]]))</f>
        <v>Conversión</v>
      </c>
      <c r="S1552" t="str">
        <f>TRIM(PROPER(Tabla_auditoría[[#This Row],[Responsable]]))</f>
        <v>Carlos Ruiz</v>
      </c>
    </row>
    <row r="1553" spans="1:19" x14ac:dyDescent="0.3">
      <c r="A1553" s="1">
        <v>45679</v>
      </c>
      <c r="B1553" s="2" t="s">
        <v>2571</v>
      </c>
      <c r="C1553" s="2" t="s">
        <v>2521</v>
      </c>
      <c r="D1553" s="2" t="s">
        <v>2528</v>
      </c>
      <c r="E1553" s="2" t="s">
        <v>2517</v>
      </c>
      <c r="F1553" s="3">
        <v>139403</v>
      </c>
      <c r="G1553" s="3">
        <v>1430</v>
      </c>
      <c r="H1553" s="3">
        <v>172</v>
      </c>
      <c r="I1553" s="4">
        <v>1804.26</v>
      </c>
      <c r="J1553" s="4">
        <v>7979.76</v>
      </c>
      <c r="K1553" s="3">
        <v>111</v>
      </c>
      <c r="L1553" s="2" t="s">
        <v>2523</v>
      </c>
      <c r="M1553" s="2" t="s">
        <v>2546</v>
      </c>
      <c r="N1553" t="str">
        <f>TRIM(PROPER(Tabla_auditoría[[#This Row],[ID_Campaña]]))</f>
        <v>Cmp-029</v>
      </c>
      <c r="O1553" t="str">
        <f>TRIM(PROPER(Tabla_auditoría[[#This Row],[Canal]]))</f>
        <v>Paid Search</v>
      </c>
      <c r="P1553" t="str">
        <f>TRIM(PROPER(Tabla_auditoría[[#This Row],[País]]))</f>
        <v>España</v>
      </c>
      <c r="Q1553" t="str">
        <f>TRIM(PROPER(Tabla_auditoría[[#This Row],[Dispositivo]]))</f>
        <v>Desktop</v>
      </c>
      <c r="R1553" t="str">
        <f>TRIM(PROPER(Tabla_auditoría[[#This Row],[Tipo_Campaña]]))</f>
        <v>Retención</v>
      </c>
      <c r="S1553" t="str">
        <f>TRIM(PROPER(Tabla_auditoría[[#This Row],[Responsable]]))</f>
        <v>Ana García</v>
      </c>
    </row>
    <row r="1554" spans="1:19" x14ac:dyDescent="0.3">
      <c r="A1554" s="1">
        <v>45702</v>
      </c>
      <c r="B1554" s="2" t="s">
        <v>2556</v>
      </c>
      <c r="C1554" s="2" t="s">
        <v>2521</v>
      </c>
      <c r="D1554" s="2" t="s">
        <v>2516</v>
      </c>
      <c r="E1554" s="2" t="s">
        <v>2529</v>
      </c>
      <c r="F1554" s="3">
        <v>158003</v>
      </c>
      <c r="G1554" s="3">
        <v>7990</v>
      </c>
      <c r="H1554" s="3">
        <v>643</v>
      </c>
      <c r="I1554" s="4">
        <v>15771.09</v>
      </c>
      <c r="J1554" s="4">
        <v>14383.5</v>
      </c>
      <c r="K1554" s="3">
        <v>405</v>
      </c>
      <c r="L1554" s="2" t="s">
        <v>2536</v>
      </c>
      <c r="M1554" s="2" t="s">
        <v>2537</v>
      </c>
      <c r="N1554" t="str">
        <f>TRIM(PROPER(Tabla_auditoría[[#This Row],[ID_Campaña]]))</f>
        <v>Cmp-014</v>
      </c>
      <c r="O1554" t="str">
        <f>TRIM(PROPER(Tabla_auditoría[[#This Row],[Canal]]))</f>
        <v>Paid Search</v>
      </c>
      <c r="P1554" t="str">
        <f>TRIM(PROPER(Tabla_auditoría[[#This Row],[País]]))</f>
        <v>México</v>
      </c>
      <c r="Q1554" t="str">
        <f>TRIM(PROPER(Tabla_auditoría[[#This Row],[Dispositivo]]))</f>
        <v>Mobile</v>
      </c>
      <c r="R1554" t="str">
        <f>TRIM(PROPER(Tabla_auditoría[[#This Row],[Tipo_Campaña]]))</f>
        <v>Reconocimiento</v>
      </c>
      <c r="S1554" t="str">
        <f>TRIM(PROPER(Tabla_auditoría[[#This Row],[Responsable]]))</f>
        <v>Marta López</v>
      </c>
    </row>
    <row r="1555" spans="1:19" x14ac:dyDescent="0.3">
      <c r="A1555" s="1">
        <v>46022</v>
      </c>
      <c r="B1555" s="2" t="s">
        <v>2550</v>
      </c>
      <c r="C1555" s="2" t="s">
        <v>2543</v>
      </c>
      <c r="D1555" s="2" t="s">
        <v>2528</v>
      </c>
      <c r="E1555" s="2" t="s">
        <v>2529</v>
      </c>
      <c r="F1555" s="3">
        <v>85913</v>
      </c>
      <c r="G1555" s="3">
        <v>649</v>
      </c>
      <c r="H1555" s="3">
        <v>31</v>
      </c>
      <c r="I1555" s="4">
        <v>946.95</v>
      </c>
      <c r="J1555" s="4">
        <v>4384.24</v>
      </c>
      <c r="K1555" s="3">
        <v>25</v>
      </c>
      <c r="L1555" s="2" t="s">
        <v>2536</v>
      </c>
      <c r="M1555" s="2" t="s">
        <v>2524</v>
      </c>
      <c r="N1555" t="str">
        <f>TRIM(PROPER(Tabla_auditoría[[#This Row],[ID_Campaña]]))</f>
        <v>Cmp-008</v>
      </c>
      <c r="O1555" t="str">
        <f>TRIM(PROPER(Tabla_auditoría[[#This Row],[Canal]]))</f>
        <v>Organic Social</v>
      </c>
      <c r="P1555" t="str">
        <f>TRIM(PROPER(Tabla_auditoría[[#This Row],[País]]))</f>
        <v>España</v>
      </c>
      <c r="Q1555" t="str">
        <f>TRIM(PROPER(Tabla_auditoría[[#This Row],[Dispositivo]]))</f>
        <v>Mobile</v>
      </c>
      <c r="R1555" t="str">
        <f>TRIM(PROPER(Tabla_auditoría[[#This Row],[Tipo_Campaña]]))</f>
        <v>Reconocimiento</v>
      </c>
      <c r="S1555" t="str">
        <f>TRIM(PROPER(Tabla_auditoría[[#This Row],[Responsable]]))</f>
        <v>Luis Martín</v>
      </c>
    </row>
    <row r="1556" spans="1:19" x14ac:dyDescent="0.3">
      <c r="A1556" s="1">
        <v>46003</v>
      </c>
      <c r="B1556" s="2" t="s">
        <v>2570</v>
      </c>
      <c r="C1556" s="2" t="s">
        <v>2541</v>
      </c>
      <c r="D1556" s="2" t="s">
        <v>2528</v>
      </c>
      <c r="E1556" s="2" t="s">
        <v>2529</v>
      </c>
      <c r="F1556" s="3">
        <v>13719</v>
      </c>
      <c r="G1556" s="3">
        <v>413</v>
      </c>
      <c r="H1556" s="3">
        <v>47</v>
      </c>
      <c r="I1556" s="4">
        <v>88.82</v>
      </c>
      <c r="J1556" s="4">
        <v>5065.41</v>
      </c>
      <c r="K1556" s="3">
        <v>34</v>
      </c>
      <c r="L1556" s="2" t="s">
        <v>2539</v>
      </c>
      <c r="M1556" s="2" t="s">
        <v>2524</v>
      </c>
      <c r="N1556" t="str">
        <f>TRIM(PROPER(Tabla_auditoría[[#This Row],[ID_Campaña]]))</f>
        <v>Cmp-016</v>
      </c>
      <c r="O1556" t="str">
        <f>TRIM(PROPER(Tabla_auditoría[[#This Row],[Canal]]))</f>
        <v>Display</v>
      </c>
      <c r="P1556" t="str">
        <f>TRIM(PROPER(Tabla_auditoría[[#This Row],[País]]))</f>
        <v>España</v>
      </c>
      <c r="Q1556" t="str">
        <f>TRIM(PROPER(Tabla_auditoría[[#This Row],[Dispositivo]]))</f>
        <v>Mobile</v>
      </c>
      <c r="R1556" t="str">
        <f>TRIM(PROPER(Tabla_auditoría[[#This Row],[Tipo_Campaña]]))</f>
        <v>Conversión</v>
      </c>
      <c r="S1556" t="str">
        <f>TRIM(PROPER(Tabla_auditoría[[#This Row],[Responsable]]))</f>
        <v>Luis Martín</v>
      </c>
    </row>
    <row r="1557" spans="1:19" x14ac:dyDescent="0.3">
      <c r="A1557" s="1">
        <v>45687</v>
      </c>
      <c r="B1557" s="2" t="s">
        <v>2570</v>
      </c>
      <c r="C1557" s="2" t="s">
        <v>2521</v>
      </c>
      <c r="D1557" s="2" t="s">
        <v>2528</v>
      </c>
      <c r="E1557" s="2" t="s">
        <v>2534</v>
      </c>
      <c r="F1557" s="3">
        <v>23943</v>
      </c>
      <c r="G1557" s="3">
        <v>1274</v>
      </c>
      <c r="H1557" s="3">
        <v>107</v>
      </c>
      <c r="I1557" s="4">
        <v>2222.29</v>
      </c>
      <c r="J1557" s="4">
        <v>9235.9500000000007</v>
      </c>
      <c r="K1557" s="3">
        <v>66</v>
      </c>
      <c r="L1557" s="2" t="s">
        <v>2536</v>
      </c>
      <c r="M1557" s="2" t="s">
        <v>2526</v>
      </c>
      <c r="N1557" t="str">
        <f>TRIM(PROPER(Tabla_auditoría[[#This Row],[ID_Campaña]]))</f>
        <v>Cmp-016</v>
      </c>
      <c r="O1557" t="str">
        <f>TRIM(PROPER(Tabla_auditoría[[#This Row],[Canal]]))</f>
        <v>Paid Search</v>
      </c>
      <c r="P1557" t="str">
        <f>TRIM(PROPER(Tabla_auditoría[[#This Row],[País]]))</f>
        <v>España</v>
      </c>
      <c r="Q1557" t="str">
        <f>TRIM(PROPER(Tabla_auditoría[[#This Row],[Dispositivo]]))</f>
        <v>Tablet</v>
      </c>
      <c r="R1557" t="str">
        <f>TRIM(PROPER(Tabla_auditoría[[#This Row],[Tipo_Campaña]]))</f>
        <v>Reconocimiento</v>
      </c>
      <c r="S1557" t="str">
        <f>TRIM(PROPER(Tabla_auditoría[[#This Row],[Responsable]]))</f>
        <v>Laura Pérez</v>
      </c>
    </row>
    <row r="1558" spans="1:19" x14ac:dyDescent="0.3">
      <c r="A1558" s="1">
        <v>45796</v>
      </c>
      <c r="B1558" s="2" t="s">
        <v>2547</v>
      </c>
      <c r="C1558" s="2" t="s">
        <v>2543</v>
      </c>
      <c r="D1558" s="2" t="s">
        <v>2525</v>
      </c>
      <c r="E1558" s="2" t="s">
        <v>2529</v>
      </c>
      <c r="F1558" s="3">
        <v>69001</v>
      </c>
      <c r="G1558" s="3">
        <v>4027</v>
      </c>
      <c r="H1558" s="3">
        <v>316</v>
      </c>
      <c r="I1558" s="4">
        <v>8249.01</v>
      </c>
      <c r="J1558" s="4">
        <v>30459.07</v>
      </c>
      <c r="K1558" s="3">
        <v>253</v>
      </c>
      <c r="L1558" s="2" t="s">
        <v>2536</v>
      </c>
      <c r="M1558" s="2" t="s">
        <v>2519</v>
      </c>
      <c r="N1558" t="str">
        <f>TRIM(PROPER(Tabla_auditoría[[#This Row],[ID_Campaña]]))</f>
        <v>Cmp-018</v>
      </c>
      <c r="O1558" t="str">
        <f>TRIM(PROPER(Tabla_auditoría[[#This Row],[Canal]]))</f>
        <v>Organic Social</v>
      </c>
      <c r="P1558" t="str">
        <f>TRIM(PROPER(Tabla_auditoría[[#This Row],[País]]))</f>
        <v>Francia</v>
      </c>
      <c r="Q1558" t="str">
        <f>TRIM(PROPER(Tabla_auditoría[[#This Row],[Dispositivo]]))</f>
        <v>Mobile</v>
      </c>
      <c r="R1558" t="str">
        <f>TRIM(PROPER(Tabla_auditoría[[#This Row],[Tipo_Campaña]]))</f>
        <v>Reconocimiento</v>
      </c>
      <c r="S1558" t="str">
        <f>TRIM(PROPER(Tabla_auditoría[[#This Row],[Responsable]]))</f>
        <v>Carlos Ruiz</v>
      </c>
    </row>
    <row r="1559" spans="1:19" x14ac:dyDescent="0.3">
      <c r="A1559" s="1">
        <v>45752</v>
      </c>
      <c r="B1559" s="2" t="s">
        <v>2552</v>
      </c>
      <c r="C1559" s="2" t="s">
        <v>2543</v>
      </c>
      <c r="D1559" s="2" t="s">
        <v>2531</v>
      </c>
      <c r="E1559" s="2" t="s">
        <v>2561</v>
      </c>
      <c r="F1559" s="3">
        <v>80135</v>
      </c>
      <c r="G1559" s="3">
        <v>6495</v>
      </c>
      <c r="H1559" s="3">
        <v>617</v>
      </c>
      <c r="I1559" s="4">
        <v>1951.46</v>
      </c>
      <c r="J1559" s="4">
        <v>63056.72</v>
      </c>
      <c r="K1559" s="3">
        <v>482</v>
      </c>
      <c r="L1559" s="2" t="s">
        <v>2523</v>
      </c>
      <c r="M1559" s="2" t="s">
        <v>2526</v>
      </c>
      <c r="N1559" t="str">
        <f>TRIM(PROPER(Tabla_auditoría[[#This Row],[ID_Campaña]]))</f>
        <v>Cmp-012</v>
      </c>
      <c r="O1559" t="str">
        <f>TRIM(PROPER(Tabla_auditoría[[#This Row],[Canal]]))</f>
        <v>Organic Social</v>
      </c>
      <c r="P1559" t="str">
        <f>TRIM(PROPER(Tabla_auditoría[[#This Row],[País]]))</f>
        <v>Portugal</v>
      </c>
      <c r="Q1559" t="str">
        <f>TRIM(PROPER(Tabla_auditoría[[#This Row],[Dispositivo]]))</f>
        <v>Mobile</v>
      </c>
      <c r="R1559" t="str">
        <f>TRIM(PROPER(Tabla_auditoría[[#This Row],[Tipo_Campaña]]))</f>
        <v>Retención</v>
      </c>
      <c r="S1559" t="str">
        <f>TRIM(PROPER(Tabla_auditoría[[#This Row],[Responsable]]))</f>
        <v>Laura Pérez</v>
      </c>
    </row>
    <row r="1560" spans="1:19" x14ac:dyDescent="0.3">
      <c r="A1560" s="1">
        <v>45702</v>
      </c>
      <c r="B1560" s="2" t="s">
        <v>2569</v>
      </c>
      <c r="C1560" s="2" t="s">
        <v>2543</v>
      </c>
      <c r="D1560" s="2" t="s">
        <v>2528</v>
      </c>
      <c r="E1560" s="2" t="s">
        <v>2517</v>
      </c>
      <c r="F1560" s="3">
        <v>32523</v>
      </c>
      <c r="G1560" s="3">
        <v>1867</v>
      </c>
      <c r="H1560" s="3">
        <v>109</v>
      </c>
      <c r="I1560" s="4">
        <v>1969.11</v>
      </c>
      <c r="J1560" s="4">
        <v>11350.4</v>
      </c>
      <c r="K1560" s="3">
        <v>76</v>
      </c>
      <c r="L1560" s="2" t="s">
        <v>2536</v>
      </c>
      <c r="M1560" s="2" t="s">
        <v>2526</v>
      </c>
      <c r="N1560" t="str">
        <f>TRIM(PROPER(Tabla_auditoría[[#This Row],[ID_Campaña]]))</f>
        <v>Cmp-013</v>
      </c>
      <c r="O1560" t="str">
        <f>TRIM(PROPER(Tabla_auditoría[[#This Row],[Canal]]))</f>
        <v>Organic Social</v>
      </c>
      <c r="P1560" t="str">
        <f>TRIM(PROPER(Tabla_auditoría[[#This Row],[País]]))</f>
        <v>España</v>
      </c>
      <c r="Q1560" t="str">
        <f>TRIM(PROPER(Tabla_auditoría[[#This Row],[Dispositivo]]))</f>
        <v>Desktop</v>
      </c>
      <c r="R1560" t="str">
        <f>TRIM(PROPER(Tabla_auditoría[[#This Row],[Tipo_Campaña]]))</f>
        <v>Reconocimiento</v>
      </c>
      <c r="S1560" t="str">
        <f>TRIM(PROPER(Tabla_auditoría[[#This Row],[Responsable]]))</f>
        <v>Laura Pérez</v>
      </c>
    </row>
    <row r="1561" spans="1:19" x14ac:dyDescent="0.3">
      <c r="A1561" s="1">
        <v>45936</v>
      </c>
      <c r="B1561" s="2" t="s">
        <v>2571</v>
      </c>
      <c r="C1561" s="2" t="s">
        <v>2527</v>
      </c>
      <c r="D1561" s="2" t="s">
        <v>2531</v>
      </c>
      <c r="E1561" s="2" t="s">
        <v>2529</v>
      </c>
      <c r="F1561" s="3">
        <v>36245</v>
      </c>
      <c r="G1561" s="3">
        <v>452</v>
      </c>
      <c r="H1561" s="3">
        <v>12</v>
      </c>
      <c r="I1561" s="4">
        <v>336.79</v>
      </c>
      <c r="J1561" s="4">
        <v>1522.32</v>
      </c>
      <c r="K1561" s="3">
        <v>7</v>
      </c>
      <c r="L1561" s="2" t="s">
        <v>2523</v>
      </c>
      <c r="M1561" s="2" t="s">
        <v>2546</v>
      </c>
      <c r="N1561" t="str">
        <f>TRIM(PROPER(Tabla_auditoría[[#This Row],[ID_Campaña]]))</f>
        <v>Cmp-029</v>
      </c>
      <c r="O1561" t="str">
        <f>TRIM(PROPER(Tabla_auditoría[[#This Row],[Canal]]))</f>
        <v>Affiliate</v>
      </c>
      <c r="P1561" t="str">
        <f>TRIM(PROPER(Tabla_auditoría[[#This Row],[País]]))</f>
        <v>Portugal</v>
      </c>
      <c r="Q1561" t="str">
        <f>TRIM(PROPER(Tabla_auditoría[[#This Row],[Dispositivo]]))</f>
        <v>Mobile</v>
      </c>
      <c r="R1561" t="str">
        <f>TRIM(PROPER(Tabla_auditoría[[#This Row],[Tipo_Campaña]]))</f>
        <v>Retención</v>
      </c>
      <c r="S1561" t="str">
        <f>TRIM(PROPER(Tabla_auditoría[[#This Row],[Responsable]]))</f>
        <v>Ana García</v>
      </c>
    </row>
    <row r="1562" spans="1:19" x14ac:dyDescent="0.3">
      <c r="A1562" s="1">
        <v>45934</v>
      </c>
      <c r="B1562" s="2" t="s">
        <v>2574</v>
      </c>
      <c r="C1562" s="2" t="s">
        <v>2541</v>
      </c>
      <c r="D1562" s="2" t="s">
        <v>2516</v>
      </c>
      <c r="E1562" s="2" t="s">
        <v>2517</v>
      </c>
      <c r="F1562" s="3">
        <v>91166</v>
      </c>
      <c r="G1562" s="3">
        <v>2900</v>
      </c>
      <c r="H1562" s="3">
        <v>325</v>
      </c>
      <c r="I1562" s="4">
        <v>733.59</v>
      </c>
      <c r="J1562" s="4">
        <v>65334.28</v>
      </c>
      <c r="K1562" s="3">
        <v>244</v>
      </c>
      <c r="L1562" s="2" t="s">
        <v>2523</v>
      </c>
      <c r="M1562" s="2" t="s">
        <v>2524</v>
      </c>
      <c r="N1562" t="str">
        <f>TRIM(PROPER(Tabla_auditoría[[#This Row],[ID_Campaña]]))</f>
        <v>Cmp-003</v>
      </c>
      <c r="O1562" t="str">
        <f>TRIM(PROPER(Tabla_auditoría[[#This Row],[Canal]]))</f>
        <v>Display</v>
      </c>
      <c r="P1562" t="str">
        <f>TRIM(PROPER(Tabla_auditoría[[#This Row],[País]]))</f>
        <v>México</v>
      </c>
      <c r="Q1562" t="str">
        <f>TRIM(PROPER(Tabla_auditoría[[#This Row],[Dispositivo]]))</f>
        <v>Desktop</v>
      </c>
      <c r="R1562" t="str">
        <f>TRIM(PROPER(Tabla_auditoría[[#This Row],[Tipo_Campaña]]))</f>
        <v>Retención</v>
      </c>
      <c r="S1562" t="str">
        <f>TRIM(PROPER(Tabla_auditoría[[#This Row],[Responsable]]))</f>
        <v>Luis Martín</v>
      </c>
    </row>
    <row r="1563" spans="1:19" x14ac:dyDescent="0.3">
      <c r="A1563" s="1">
        <v>45809</v>
      </c>
      <c r="B1563" s="2" t="s">
        <v>2535</v>
      </c>
      <c r="C1563" s="2" t="s">
        <v>2521</v>
      </c>
      <c r="D1563" s="2" t="s">
        <v>2528</v>
      </c>
      <c r="E1563" s="2" t="s">
        <v>2529</v>
      </c>
      <c r="F1563" s="3">
        <v>174485</v>
      </c>
      <c r="G1563" s="3">
        <v>8504</v>
      </c>
      <c r="H1563" s="3">
        <v>1126</v>
      </c>
      <c r="I1563" s="4">
        <v>12769.07</v>
      </c>
      <c r="J1563" s="4">
        <v>104774.34</v>
      </c>
      <c r="K1563" s="3">
        <v>851</v>
      </c>
      <c r="L1563" s="2" t="s">
        <v>2536</v>
      </c>
      <c r="M1563" s="2" t="s">
        <v>2546</v>
      </c>
      <c r="N1563" t="str">
        <f>TRIM(PROPER(Tabla_auditoría[[#This Row],[ID_Campaña]]))</f>
        <v>Cmp-015</v>
      </c>
      <c r="O1563" t="str">
        <f>TRIM(PROPER(Tabla_auditoría[[#This Row],[Canal]]))</f>
        <v>Paid Search</v>
      </c>
      <c r="P1563" t="str">
        <f>TRIM(PROPER(Tabla_auditoría[[#This Row],[País]]))</f>
        <v>España</v>
      </c>
      <c r="Q1563" t="str">
        <f>TRIM(PROPER(Tabla_auditoría[[#This Row],[Dispositivo]]))</f>
        <v>Mobile</v>
      </c>
      <c r="R1563" t="str">
        <f>TRIM(PROPER(Tabla_auditoría[[#This Row],[Tipo_Campaña]]))</f>
        <v>Reconocimiento</v>
      </c>
      <c r="S1563" t="str">
        <f>TRIM(PROPER(Tabla_auditoría[[#This Row],[Responsable]]))</f>
        <v>Ana García</v>
      </c>
    </row>
    <row r="1564" spans="1:19" x14ac:dyDescent="0.3">
      <c r="A1564" s="1">
        <v>45896</v>
      </c>
      <c r="B1564" s="2" t="s">
        <v>2549</v>
      </c>
      <c r="C1564" s="2" t="s">
        <v>2533</v>
      </c>
      <c r="D1564" s="2" t="s">
        <v>2528</v>
      </c>
      <c r="E1564" s="2" t="s">
        <v>2529</v>
      </c>
      <c r="F1564" s="3">
        <v>86575</v>
      </c>
      <c r="G1564" s="3">
        <v>3825</v>
      </c>
      <c r="H1564" s="3">
        <v>308</v>
      </c>
      <c r="I1564" s="4">
        <v>5908.47</v>
      </c>
      <c r="J1564" s="4">
        <v>61375.07</v>
      </c>
      <c r="K1564" s="3">
        <v>229</v>
      </c>
      <c r="L1564" s="2" t="s">
        <v>2518</v>
      </c>
      <c r="M1564" s="2" t="s">
        <v>2524</v>
      </c>
      <c r="N1564" t="str">
        <f>TRIM(PROPER(Tabla_auditoría[[#This Row],[ID_Campaña]]))</f>
        <v>Cmp-007</v>
      </c>
      <c r="O1564" t="str">
        <f>TRIM(PROPER(Tabla_auditoría[[#This Row],[Canal]]))</f>
        <v>Paid Social</v>
      </c>
      <c r="P1564" t="str">
        <f>TRIM(PROPER(Tabla_auditoría[[#This Row],[País]]))</f>
        <v>España</v>
      </c>
      <c r="Q1564" t="str">
        <f>TRIM(PROPER(Tabla_auditoría[[#This Row],[Dispositivo]]))</f>
        <v>Mobile</v>
      </c>
      <c r="R1564" t="str">
        <f>TRIM(PROPER(Tabla_auditoría[[#This Row],[Tipo_Campaña]]))</f>
        <v>Adquisición</v>
      </c>
      <c r="S1564" t="str">
        <f>TRIM(PROPER(Tabla_auditoría[[#This Row],[Responsable]]))</f>
        <v>Luis Martín</v>
      </c>
    </row>
    <row r="1565" spans="1:19" x14ac:dyDescent="0.3">
      <c r="A1565" s="1">
        <v>46015</v>
      </c>
      <c r="B1565" s="2" t="s">
        <v>2532</v>
      </c>
      <c r="C1565" s="2" t="s">
        <v>2527</v>
      </c>
      <c r="D1565" s="2" t="s">
        <v>2531</v>
      </c>
      <c r="E1565" s="2" t="s">
        <v>2529</v>
      </c>
      <c r="F1565" s="3">
        <v>94123</v>
      </c>
      <c r="G1565" s="3">
        <v>2531</v>
      </c>
      <c r="H1565" s="3">
        <v>125</v>
      </c>
      <c r="I1565" s="4">
        <v>2996.88</v>
      </c>
      <c r="J1565" s="4">
        <v>23461.31</v>
      </c>
      <c r="K1565" s="3">
        <v>78</v>
      </c>
      <c r="L1565" s="2" t="s">
        <v>2523</v>
      </c>
      <c r="M1565" s="2" t="s">
        <v>2519</v>
      </c>
      <c r="N1565" t="str">
        <f>TRIM(PROPER(Tabla_auditoría[[#This Row],[ID_Campaña]]))</f>
        <v>Cmp-022</v>
      </c>
      <c r="O1565" t="str">
        <f>TRIM(PROPER(Tabla_auditoría[[#This Row],[Canal]]))</f>
        <v>Affiliate</v>
      </c>
      <c r="P1565" t="str">
        <f>TRIM(PROPER(Tabla_auditoría[[#This Row],[País]]))</f>
        <v>Portugal</v>
      </c>
      <c r="Q1565" t="str">
        <f>TRIM(PROPER(Tabla_auditoría[[#This Row],[Dispositivo]]))</f>
        <v>Mobile</v>
      </c>
      <c r="R1565" t="str">
        <f>TRIM(PROPER(Tabla_auditoría[[#This Row],[Tipo_Campaña]]))</f>
        <v>Retención</v>
      </c>
      <c r="S1565" t="str">
        <f>TRIM(PROPER(Tabla_auditoría[[#This Row],[Responsable]]))</f>
        <v>Carlos Ruiz</v>
      </c>
    </row>
    <row r="1566" spans="1:19" x14ac:dyDescent="0.3">
      <c r="A1566" s="1">
        <v>45823</v>
      </c>
      <c r="B1566" s="2" t="s">
        <v>2560</v>
      </c>
      <c r="C1566" s="2" t="s">
        <v>2527</v>
      </c>
      <c r="D1566" s="2" t="s">
        <v>2531</v>
      </c>
      <c r="E1566" s="2" t="s">
        <v>2529</v>
      </c>
      <c r="F1566" s="3">
        <v>41742</v>
      </c>
      <c r="G1566" s="3">
        <v>3075</v>
      </c>
      <c r="H1566" s="3">
        <v>180</v>
      </c>
      <c r="I1566" s="4">
        <v>2383.98</v>
      </c>
      <c r="J1566" s="4">
        <v>16501.62</v>
      </c>
      <c r="K1566" s="3">
        <v>144</v>
      </c>
      <c r="L1566" s="2" t="s">
        <v>2536</v>
      </c>
      <c r="M1566" s="2" t="s">
        <v>2524</v>
      </c>
      <c r="N1566" t="str">
        <f>TRIM(PROPER(Tabla_auditoría[[#This Row],[ID_Campaña]]))</f>
        <v>Cmp-027</v>
      </c>
      <c r="O1566" t="str">
        <f>TRIM(PROPER(Tabla_auditoría[[#This Row],[Canal]]))</f>
        <v>Affiliate</v>
      </c>
      <c r="P1566" t="str">
        <f>TRIM(PROPER(Tabla_auditoría[[#This Row],[País]]))</f>
        <v>Portugal</v>
      </c>
      <c r="Q1566" t="str">
        <f>TRIM(PROPER(Tabla_auditoría[[#This Row],[Dispositivo]]))</f>
        <v>Mobile</v>
      </c>
      <c r="R1566" t="str">
        <f>TRIM(PROPER(Tabla_auditoría[[#This Row],[Tipo_Campaña]]))</f>
        <v>Reconocimiento</v>
      </c>
      <c r="S1566" t="str">
        <f>TRIM(PROPER(Tabla_auditoría[[#This Row],[Responsable]]))</f>
        <v>Luis Martín</v>
      </c>
    </row>
    <row r="1567" spans="1:19" x14ac:dyDescent="0.3">
      <c r="A1567" s="1">
        <v>45809</v>
      </c>
      <c r="B1567" s="2" t="s">
        <v>2563</v>
      </c>
      <c r="C1567" s="2" t="s">
        <v>2527</v>
      </c>
      <c r="D1567" s="2" t="s">
        <v>2528</v>
      </c>
      <c r="E1567" s="2" t="s">
        <v>2529</v>
      </c>
      <c r="F1567" s="3">
        <v>88001</v>
      </c>
      <c r="G1567" s="3">
        <v>3204</v>
      </c>
      <c r="H1567" s="3">
        <v>334</v>
      </c>
      <c r="I1567" s="4">
        <v>2322.64</v>
      </c>
      <c r="J1567" s="4">
        <v>62734.87</v>
      </c>
      <c r="K1567" s="3">
        <v>282</v>
      </c>
      <c r="L1567" s="2" t="s">
        <v>2518</v>
      </c>
      <c r="M1567" s="2" t="s">
        <v>2537</v>
      </c>
      <c r="N1567" t="str">
        <f>TRIM(PROPER(Tabla_auditoría[[#This Row],[ID_Campaña]]))</f>
        <v>Cmp-023</v>
      </c>
      <c r="O1567" t="str">
        <f>TRIM(PROPER(Tabla_auditoría[[#This Row],[Canal]]))</f>
        <v>Affiliate</v>
      </c>
      <c r="P1567" t="str">
        <f>TRIM(PROPER(Tabla_auditoría[[#This Row],[País]]))</f>
        <v>España</v>
      </c>
      <c r="Q1567" t="str">
        <f>TRIM(PROPER(Tabla_auditoría[[#This Row],[Dispositivo]]))</f>
        <v>Mobile</v>
      </c>
      <c r="R1567" t="str">
        <f>TRIM(PROPER(Tabla_auditoría[[#This Row],[Tipo_Campaña]]))</f>
        <v>Adquisición</v>
      </c>
      <c r="S1567" t="str">
        <f>TRIM(PROPER(Tabla_auditoría[[#This Row],[Responsable]]))</f>
        <v>Marta López</v>
      </c>
    </row>
    <row r="1568" spans="1:19" x14ac:dyDescent="0.3">
      <c r="A1568" s="1">
        <v>46022</v>
      </c>
      <c r="B1568" s="2" t="s">
        <v>2563</v>
      </c>
      <c r="C1568" s="2" t="s">
        <v>2541</v>
      </c>
      <c r="D1568" s="2" t="s">
        <v>2528</v>
      </c>
      <c r="E1568" s="2" t="s">
        <v>2529</v>
      </c>
      <c r="F1568" s="3">
        <v>45858</v>
      </c>
      <c r="G1568" s="3">
        <v>2950</v>
      </c>
      <c r="H1568" s="3">
        <v>391</v>
      </c>
      <c r="I1568" s="4">
        <v>3752.98</v>
      </c>
      <c r="J1568" s="4">
        <v>55230.080000000002</v>
      </c>
      <c r="K1568" s="3">
        <v>241</v>
      </c>
      <c r="L1568" s="2" t="s">
        <v>2523</v>
      </c>
      <c r="M1568" s="2" t="s">
        <v>2546</v>
      </c>
      <c r="N1568" t="str">
        <f>TRIM(PROPER(Tabla_auditoría[[#This Row],[ID_Campaña]]))</f>
        <v>Cmp-023</v>
      </c>
      <c r="O1568" t="str">
        <f>TRIM(PROPER(Tabla_auditoría[[#This Row],[Canal]]))</f>
        <v>Display</v>
      </c>
      <c r="P1568" t="str">
        <f>TRIM(PROPER(Tabla_auditoría[[#This Row],[País]]))</f>
        <v>España</v>
      </c>
      <c r="Q1568" t="str">
        <f>TRIM(PROPER(Tabla_auditoría[[#This Row],[Dispositivo]]))</f>
        <v>Mobile</v>
      </c>
      <c r="R1568" t="str">
        <f>TRIM(PROPER(Tabla_auditoría[[#This Row],[Tipo_Campaña]]))</f>
        <v>Retención</v>
      </c>
      <c r="S1568" t="str">
        <f>TRIM(PROPER(Tabla_auditoría[[#This Row],[Responsable]]))</f>
        <v>Ana García</v>
      </c>
    </row>
    <row r="1569" spans="1:19" x14ac:dyDescent="0.3">
      <c r="A1569" s="1">
        <v>45810</v>
      </c>
      <c r="B1569" s="2" t="s">
        <v>2569</v>
      </c>
      <c r="C1569" s="2" t="s">
        <v>2533</v>
      </c>
      <c r="D1569" s="2" t="s">
        <v>2528</v>
      </c>
      <c r="E1569" s="2" t="s">
        <v>2517</v>
      </c>
      <c r="F1569" s="3">
        <v>11350</v>
      </c>
      <c r="G1569" s="3">
        <v>603</v>
      </c>
      <c r="H1569" s="3">
        <v>10</v>
      </c>
      <c r="I1569" s="4">
        <v>237.73</v>
      </c>
      <c r="J1569" s="4">
        <v>954.66</v>
      </c>
      <c r="K1569" s="3">
        <v>5</v>
      </c>
      <c r="L1569" s="2" t="s">
        <v>2523</v>
      </c>
      <c r="M1569" s="2" t="s">
        <v>2519</v>
      </c>
      <c r="N1569" t="str">
        <f>TRIM(PROPER(Tabla_auditoría[[#This Row],[ID_Campaña]]))</f>
        <v>Cmp-013</v>
      </c>
      <c r="O1569" t="str">
        <f>TRIM(PROPER(Tabla_auditoría[[#This Row],[Canal]]))</f>
        <v>Paid Social</v>
      </c>
      <c r="P1569" t="str">
        <f>TRIM(PROPER(Tabla_auditoría[[#This Row],[País]]))</f>
        <v>España</v>
      </c>
      <c r="Q1569" t="str">
        <f>TRIM(PROPER(Tabla_auditoría[[#This Row],[Dispositivo]]))</f>
        <v>Desktop</v>
      </c>
      <c r="R1569" t="str">
        <f>TRIM(PROPER(Tabla_auditoría[[#This Row],[Tipo_Campaña]]))</f>
        <v>Retención</v>
      </c>
      <c r="S1569" t="str">
        <f>TRIM(PROPER(Tabla_auditoría[[#This Row],[Responsable]]))</f>
        <v>Carlos Ruiz</v>
      </c>
    </row>
    <row r="1570" spans="1:19" x14ac:dyDescent="0.3">
      <c r="A1570" s="1">
        <v>45867</v>
      </c>
      <c r="B1570" s="2" t="s">
        <v>2599</v>
      </c>
      <c r="C1570" s="2" t="s">
        <v>2521</v>
      </c>
      <c r="D1570" s="2" t="s">
        <v>2528</v>
      </c>
      <c r="E1570" s="2" t="s">
        <v>2517</v>
      </c>
      <c r="F1570" s="3">
        <v>74680</v>
      </c>
      <c r="G1570" s="3">
        <v>3150</v>
      </c>
      <c r="H1570" s="3">
        <v>59</v>
      </c>
      <c r="I1570" s="4">
        <v>565.36</v>
      </c>
      <c r="J1570" s="4">
        <v>2981.63</v>
      </c>
      <c r="K1570" s="3">
        <v>41</v>
      </c>
      <c r="L1570" s="2" t="s">
        <v>2523</v>
      </c>
      <c r="M1570" s="2" t="s">
        <v>2524</v>
      </c>
      <c r="N1570" t="str">
        <f>TRIM(PROPER(Tabla_auditoría[[#This Row],[ID_Campaña]]))</f>
        <v>Cmp-022</v>
      </c>
      <c r="O1570" t="str">
        <f>TRIM(PROPER(Tabla_auditoría[[#This Row],[Canal]]))</f>
        <v>Paid Search</v>
      </c>
      <c r="P1570" t="str">
        <f>TRIM(PROPER(Tabla_auditoría[[#This Row],[País]]))</f>
        <v>España</v>
      </c>
      <c r="Q1570" t="str">
        <f>TRIM(PROPER(Tabla_auditoría[[#This Row],[Dispositivo]]))</f>
        <v>Desktop</v>
      </c>
      <c r="R1570" t="str">
        <f>TRIM(PROPER(Tabla_auditoría[[#This Row],[Tipo_Campaña]]))</f>
        <v>Retención</v>
      </c>
      <c r="S1570" t="str">
        <f>TRIM(PROPER(Tabla_auditoría[[#This Row],[Responsable]]))</f>
        <v>Luis Martín</v>
      </c>
    </row>
    <row r="1571" spans="1:19" x14ac:dyDescent="0.3">
      <c r="A1571" s="1">
        <v>45850</v>
      </c>
      <c r="B1571" s="2" t="s">
        <v>2520</v>
      </c>
      <c r="C1571" s="2" t="s">
        <v>2521</v>
      </c>
      <c r="D1571" s="2" t="s">
        <v>2528</v>
      </c>
      <c r="E1571" s="2" t="s">
        <v>2529</v>
      </c>
      <c r="F1571" s="3">
        <v>123567</v>
      </c>
      <c r="G1571" s="3">
        <v>9558</v>
      </c>
      <c r="H1571" s="3">
        <v>997</v>
      </c>
      <c r="I1571" s="4">
        <v>-7388.71</v>
      </c>
      <c r="J1571" s="4">
        <v>65729.63</v>
      </c>
      <c r="K1571" s="3">
        <v>607</v>
      </c>
      <c r="L1571" s="2" t="s">
        <v>2536</v>
      </c>
      <c r="M1571" s="2" t="s">
        <v>2526</v>
      </c>
      <c r="N1571" t="str">
        <f>TRIM(PROPER(Tabla_auditoría[[#This Row],[ID_Campaña]]))</f>
        <v>Cmp-009</v>
      </c>
      <c r="O1571" t="str">
        <f>TRIM(PROPER(Tabla_auditoría[[#This Row],[Canal]]))</f>
        <v>Paid Search</v>
      </c>
      <c r="P1571" t="str">
        <f>TRIM(PROPER(Tabla_auditoría[[#This Row],[País]]))</f>
        <v>España</v>
      </c>
      <c r="Q1571" t="str">
        <f>TRIM(PROPER(Tabla_auditoría[[#This Row],[Dispositivo]]))</f>
        <v>Mobile</v>
      </c>
      <c r="R1571" t="str">
        <f>TRIM(PROPER(Tabla_auditoría[[#This Row],[Tipo_Campaña]]))</f>
        <v>Reconocimiento</v>
      </c>
      <c r="S1571" t="str">
        <f>TRIM(PROPER(Tabla_auditoría[[#This Row],[Responsable]]))</f>
        <v>Laura Pérez</v>
      </c>
    </row>
    <row r="1572" spans="1:19" x14ac:dyDescent="0.3">
      <c r="A1572" s="1">
        <v>46020</v>
      </c>
      <c r="B1572" s="2" t="s">
        <v>2538</v>
      </c>
      <c r="C1572" s="2" t="s">
        <v>2533</v>
      </c>
      <c r="D1572" s="2" t="s">
        <v>2528</v>
      </c>
      <c r="E1572" s="2" t="s">
        <v>2529</v>
      </c>
      <c r="F1572" s="3">
        <v>91013</v>
      </c>
      <c r="G1572" s="3">
        <v>3403</v>
      </c>
      <c r="H1572" s="3">
        <v>211</v>
      </c>
      <c r="I1572" s="4">
        <v>2061.77</v>
      </c>
      <c r="J1572" s="4">
        <v>38741.919999999998</v>
      </c>
      <c r="K1572" s="3">
        <v>126</v>
      </c>
      <c r="L1572" s="2" t="s">
        <v>2539</v>
      </c>
      <c r="M1572" s="2" t="s">
        <v>2519</v>
      </c>
      <c r="N1572" t="str">
        <f>TRIM(PROPER(Tabla_auditoría[[#This Row],[ID_Campaña]]))</f>
        <v>Cmp-004</v>
      </c>
      <c r="O1572" t="str">
        <f>TRIM(PROPER(Tabla_auditoría[[#This Row],[Canal]]))</f>
        <v>Paid Social</v>
      </c>
      <c r="P1572" t="str">
        <f>TRIM(PROPER(Tabla_auditoría[[#This Row],[País]]))</f>
        <v>España</v>
      </c>
      <c r="Q1572" t="str">
        <f>TRIM(PROPER(Tabla_auditoría[[#This Row],[Dispositivo]]))</f>
        <v>Mobile</v>
      </c>
      <c r="R1572" t="str">
        <f>TRIM(PROPER(Tabla_auditoría[[#This Row],[Tipo_Campaña]]))</f>
        <v>Conversión</v>
      </c>
      <c r="S1572" t="str">
        <f>TRIM(PROPER(Tabla_auditoría[[#This Row],[Responsable]]))</f>
        <v>Carlos Ruiz</v>
      </c>
    </row>
    <row r="1573" spans="1:19" x14ac:dyDescent="0.3">
      <c r="A1573" s="1">
        <v>45706</v>
      </c>
      <c r="B1573" s="2" t="s">
        <v>2547</v>
      </c>
      <c r="C1573" s="2" t="s">
        <v>2543</v>
      </c>
      <c r="D1573" s="2" t="s">
        <v>2528</v>
      </c>
      <c r="E1573" s="2" t="s">
        <v>2517</v>
      </c>
      <c r="F1573" s="3">
        <v>176740</v>
      </c>
      <c r="G1573" s="3">
        <v>10149</v>
      </c>
      <c r="H1573" s="3">
        <v>1252</v>
      </c>
      <c r="I1573" s="4">
        <v>21305.42</v>
      </c>
      <c r="J1573" s="4">
        <v>122622.73</v>
      </c>
      <c r="K1573" s="3">
        <v>716</v>
      </c>
      <c r="L1573" s="2" t="s">
        <v>2539</v>
      </c>
      <c r="M1573" s="2" t="s">
        <v>2546</v>
      </c>
      <c r="N1573" t="str">
        <f>TRIM(PROPER(Tabla_auditoría[[#This Row],[ID_Campaña]]))</f>
        <v>Cmp-018</v>
      </c>
      <c r="O1573" t="str">
        <f>TRIM(PROPER(Tabla_auditoría[[#This Row],[Canal]]))</f>
        <v>Organic Social</v>
      </c>
      <c r="P1573" t="str">
        <f>TRIM(PROPER(Tabla_auditoría[[#This Row],[País]]))</f>
        <v>España</v>
      </c>
      <c r="Q1573" t="str">
        <f>TRIM(PROPER(Tabla_auditoría[[#This Row],[Dispositivo]]))</f>
        <v>Desktop</v>
      </c>
      <c r="R1573" t="str">
        <f>TRIM(PROPER(Tabla_auditoría[[#This Row],[Tipo_Campaña]]))</f>
        <v>Conversión</v>
      </c>
      <c r="S1573" t="str">
        <f>TRIM(PROPER(Tabla_auditoría[[#This Row],[Responsable]]))</f>
        <v>Ana García</v>
      </c>
    </row>
    <row r="1574" spans="1:19" x14ac:dyDescent="0.3">
      <c r="A1574" s="1">
        <v>45906</v>
      </c>
      <c r="B1574" s="2" t="s">
        <v>2544</v>
      </c>
      <c r="C1574" s="2" t="s">
        <v>2533</v>
      </c>
      <c r="D1574" s="2" t="s">
        <v>2525</v>
      </c>
      <c r="E1574" s="2" t="s">
        <v>2517</v>
      </c>
      <c r="F1574" s="3">
        <v>110772</v>
      </c>
      <c r="G1574" s="3">
        <v>1358</v>
      </c>
      <c r="H1574" s="3">
        <v>185</v>
      </c>
      <c r="I1574" s="4">
        <v>2142.0700000000002</v>
      </c>
      <c r="J1574" s="4">
        <v>3234.59</v>
      </c>
      <c r="K1574" s="3">
        <v>102</v>
      </c>
      <c r="L1574" s="2" t="s">
        <v>2536</v>
      </c>
      <c r="M1574" s="2" t="s">
        <v>2546</v>
      </c>
      <c r="N1574" t="str">
        <f>TRIM(PROPER(Tabla_auditoría[[#This Row],[ID_Campaña]]))</f>
        <v>Cmp-006</v>
      </c>
      <c r="O1574" t="str">
        <f>TRIM(PROPER(Tabla_auditoría[[#This Row],[Canal]]))</f>
        <v>Paid Social</v>
      </c>
      <c r="P1574" t="str">
        <f>TRIM(PROPER(Tabla_auditoría[[#This Row],[País]]))</f>
        <v>Francia</v>
      </c>
      <c r="Q1574" t="str">
        <f>TRIM(PROPER(Tabla_auditoría[[#This Row],[Dispositivo]]))</f>
        <v>Desktop</v>
      </c>
      <c r="R1574" t="str">
        <f>TRIM(PROPER(Tabla_auditoría[[#This Row],[Tipo_Campaña]]))</f>
        <v>Reconocimiento</v>
      </c>
      <c r="S1574" t="str">
        <f>TRIM(PROPER(Tabla_auditoría[[#This Row],[Responsable]]))</f>
        <v>Ana García</v>
      </c>
    </row>
    <row r="1575" spans="1:19" x14ac:dyDescent="0.3">
      <c r="A1575" s="1">
        <v>45691</v>
      </c>
      <c r="B1575" s="2" t="s">
        <v>2540</v>
      </c>
      <c r="C1575" s="2" t="s">
        <v>2515</v>
      </c>
      <c r="D1575" s="2" t="s">
        <v>2528</v>
      </c>
      <c r="E1575" s="2" t="s">
        <v>2534</v>
      </c>
      <c r="F1575" s="3">
        <v>13726</v>
      </c>
      <c r="G1575" s="3">
        <v>949</v>
      </c>
      <c r="H1575" s="3">
        <v>52</v>
      </c>
      <c r="I1575" s="4">
        <v>1111.44</v>
      </c>
      <c r="J1575" s="4">
        <v>5434.39</v>
      </c>
      <c r="K1575" s="3">
        <v>41</v>
      </c>
      <c r="L1575" s="2" t="s">
        <v>2518</v>
      </c>
      <c r="M1575" s="2" t="s">
        <v>2519</v>
      </c>
      <c r="N1575" t="str">
        <f>TRIM(PROPER(Tabla_auditoría[[#This Row],[ID_Campaña]]))</f>
        <v>Cmp-017</v>
      </c>
      <c r="O1575" t="str">
        <f>TRIM(PROPER(Tabla_auditoría[[#This Row],[Canal]]))</f>
        <v>Email</v>
      </c>
      <c r="P1575" t="str">
        <f>TRIM(PROPER(Tabla_auditoría[[#This Row],[País]]))</f>
        <v>España</v>
      </c>
      <c r="Q1575" t="str">
        <f>TRIM(PROPER(Tabla_auditoría[[#This Row],[Dispositivo]]))</f>
        <v>Tablet</v>
      </c>
      <c r="R1575" t="str">
        <f>TRIM(PROPER(Tabla_auditoría[[#This Row],[Tipo_Campaña]]))</f>
        <v>Adquisición</v>
      </c>
      <c r="S1575" t="str">
        <f>TRIM(PROPER(Tabla_auditoría[[#This Row],[Responsable]]))</f>
        <v>Carlos Ruiz</v>
      </c>
    </row>
    <row r="1576" spans="1:19" x14ac:dyDescent="0.3">
      <c r="A1576" s="1">
        <v>45916</v>
      </c>
      <c r="B1576" s="2" t="s">
        <v>2550</v>
      </c>
      <c r="C1576" s="2" t="s">
        <v>2521</v>
      </c>
      <c r="D1576" s="2" t="s">
        <v>2528</v>
      </c>
      <c r="E1576" s="2" t="s">
        <v>2517</v>
      </c>
      <c r="F1576" s="3">
        <v>157486</v>
      </c>
      <c r="G1576" s="3">
        <v>12942</v>
      </c>
      <c r="H1576" s="3">
        <v>1529</v>
      </c>
      <c r="I1576" s="4">
        <v>10116.94</v>
      </c>
      <c r="J1576" s="4">
        <v>206637.16</v>
      </c>
      <c r="K1576" s="3">
        <v>1091</v>
      </c>
      <c r="L1576" s="2" t="s">
        <v>2539</v>
      </c>
      <c r="M1576" s="2" t="s">
        <v>2526</v>
      </c>
      <c r="N1576" t="str">
        <f>TRIM(PROPER(Tabla_auditoría[[#This Row],[ID_Campaña]]))</f>
        <v>Cmp-008</v>
      </c>
      <c r="O1576" t="str">
        <f>TRIM(PROPER(Tabla_auditoría[[#This Row],[Canal]]))</f>
        <v>Paid Search</v>
      </c>
      <c r="P1576" t="str">
        <f>TRIM(PROPER(Tabla_auditoría[[#This Row],[País]]))</f>
        <v>España</v>
      </c>
      <c r="Q1576" t="str">
        <f>TRIM(PROPER(Tabla_auditoría[[#This Row],[Dispositivo]]))</f>
        <v>Desktop</v>
      </c>
      <c r="R1576" t="str">
        <f>TRIM(PROPER(Tabla_auditoría[[#This Row],[Tipo_Campaña]]))</f>
        <v>Conversión</v>
      </c>
      <c r="S1576" t="str">
        <f>TRIM(PROPER(Tabla_auditoría[[#This Row],[Responsable]]))</f>
        <v>Laura Pérez</v>
      </c>
    </row>
    <row r="1577" spans="1:19" x14ac:dyDescent="0.3">
      <c r="A1577" s="1">
        <v>45963</v>
      </c>
      <c r="B1577" s="2" t="s">
        <v>2535</v>
      </c>
      <c r="C1577" s="2" t="s">
        <v>2515</v>
      </c>
      <c r="D1577" s="2" t="s">
        <v>2525</v>
      </c>
      <c r="E1577" s="2" t="s">
        <v>2529</v>
      </c>
      <c r="F1577" s="3">
        <v>38730</v>
      </c>
      <c r="G1577" s="3">
        <v>1561</v>
      </c>
      <c r="H1577" s="3">
        <v>170</v>
      </c>
      <c r="I1577" s="4">
        <v>2202.38</v>
      </c>
      <c r="J1577" s="4">
        <v>26518.39</v>
      </c>
      <c r="K1577" s="3">
        <v>119</v>
      </c>
      <c r="L1577" s="2" t="s">
        <v>2523</v>
      </c>
      <c r="M1577" s="2" t="s">
        <v>2524</v>
      </c>
      <c r="N1577" t="str">
        <f>TRIM(PROPER(Tabla_auditoría[[#This Row],[ID_Campaña]]))</f>
        <v>Cmp-015</v>
      </c>
      <c r="O1577" t="str">
        <f>TRIM(PROPER(Tabla_auditoría[[#This Row],[Canal]]))</f>
        <v>Email</v>
      </c>
      <c r="P1577" t="str">
        <f>TRIM(PROPER(Tabla_auditoría[[#This Row],[País]]))</f>
        <v>Francia</v>
      </c>
      <c r="Q1577" t="str">
        <f>TRIM(PROPER(Tabla_auditoría[[#This Row],[Dispositivo]]))</f>
        <v>Mobile</v>
      </c>
      <c r="R1577" t="str">
        <f>TRIM(PROPER(Tabla_auditoría[[#This Row],[Tipo_Campaña]]))</f>
        <v>Retención</v>
      </c>
      <c r="S1577" t="str">
        <f>TRIM(PROPER(Tabla_auditoría[[#This Row],[Responsable]]))</f>
        <v>Luis Martín</v>
      </c>
    </row>
    <row r="1578" spans="1:19" x14ac:dyDescent="0.3">
      <c r="A1578" s="1">
        <v>45710</v>
      </c>
      <c r="B1578" s="2" t="s">
        <v>2574</v>
      </c>
      <c r="C1578" s="2" t="s">
        <v>2541</v>
      </c>
      <c r="D1578" s="2" t="s">
        <v>2528</v>
      </c>
      <c r="E1578" s="2" t="s">
        <v>2529</v>
      </c>
      <c r="F1578" s="3">
        <v>4752</v>
      </c>
      <c r="G1578" s="3">
        <v>164</v>
      </c>
      <c r="H1578" s="3">
        <v>17</v>
      </c>
      <c r="I1578" s="4">
        <v>177.56</v>
      </c>
      <c r="J1578" s="4">
        <v>1617.48</v>
      </c>
      <c r="K1578" s="3">
        <v>11</v>
      </c>
      <c r="L1578" s="2" t="s">
        <v>2523</v>
      </c>
      <c r="M1578" s="2" t="s">
        <v>2524</v>
      </c>
      <c r="N1578" t="str">
        <f>TRIM(PROPER(Tabla_auditoría[[#This Row],[ID_Campaña]]))</f>
        <v>Cmp-003</v>
      </c>
      <c r="O1578" t="str">
        <f>TRIM(PROPER(Tabla_auditoría[[#This Row],[Canal]]))</f>
        <v>Display</v>
      </c>
      <c r="P1578" t="str">
        <f>TRIM(PROPER(Tabla_auditoría[[#This Row],[País]]))</f>
        <v>España</v>
      </c>
      <c r="Q1578" t="str">
        <f>TRIM(PROPER(Tabla_auditoría[[#This Row],[Dispositivo]]))</f>
        <v>Mobile</v>
      </c>
      <c r="R1578" t="str">
        <f>TRIM(PROPER(Tabla_auditoría[[#This Row],[Tipo_Campaña]]))</f>
        <v>Retención</v>
      </c>
      <c r="S1578" t="str">
        <f>TRIM(PROPER(Tabla_auditoría[[#This Row],[Responsable]]))</f>
        <v>Luis Martín</v>
      </c>
    </row>
    <row r="1579" spans="1:19" x14ac:dyDescent="0.3">
      <c r="A1579" s="1">
        <v>45766</v>
      </c>
      <c r="B1579" s="2" t="s">
        <v>2571</v>
      </c>
      <c r="C1579" s="2" t="s">
        <v>2541</v>
      </c>
      <c r="D1579" s="2" t="s">
        <v>2525</v>
      </c>
      <c r="E1579" s="2" t="s">
        <v>2517</v>
      </c>
      <c r="F1579" s="3">
        <v>1185</v>
      </c>
      <c r="G1579" s="3">
        <v>88</v>
      </c>
      <c r="H1579" s="3">
        <v>10</v>
      </c>
      <c r="I1579" s="4">
        <v>181.64</v>
      </c>
      <c r="J1579" s="4">
        <v>1223.23</v>
      </c>
      <c r="K1579" s="3">
        <v>5</v>
      </c>
      <c r="L1579" s="2" t="s">
        <v>2539</v>
      </c>
      <c r="M1579" s="2" t="s">
        <v>2519</v>
      </c>
      <c r="N1579" t="str">
        <f>TRIM(PROPER(Tabla_auditoría[[#This Row],[ID_Campaña]]))</f>
        <v>Cmp-029</v>
      </c>
      <c r="O1579" t="str">
        <f>TRIM(PROPER(Tabla_auditoría[[#This Row],[Canal]]))</f>
        <v>Display</v>
      </c>
      <c r="P1579" t="str">
        <f>TRIM(PROPER(Tabla_auditoría[[#This Row],[País]]))</f>
        <v>Francia</v>
      </c>
      <c r="Q1579" t="str">
        <f>TRIM(PROPER(Tabla_auditoría[[#This Row],[Dispositivo]]))</f>
        <v>Desktop</v>
      </c>
      <c r="R1579" t="str">
        <f>TRIM(PROPER(Tabla_auditoría[[#This Row],[Tipo_Campaña]]))</f>
        <v>Conversión</v>
      </c>
      <c r="S1579" t="str">
        <f>TRIM(PROPER(Tabla_auditoría[[#This Row],[Responsable]]))</f>
        <v>Carlos Ruiz</v>
      </c>
    </row>
    <row r="1580" spans="1:19" x14ac:dyDescent="0.3">
      <c r="A1580" s="1">
        <v>45726</v>
      </c>
      <c r="B1580" s="2" t="s">
        <v>2568</v>
      </c>
      <c r="C1580" s="2" t="s">
        <v>2527</v>
      </c>
      <c r="D1580" s="2" t="s">
        <v>2525</v>
      </c>
      <c r="E1580" s="2" t="s">
        <v>2529</v>
      </c>
      <c r="F1580" s="3">
        <v>82624</v>
      </c>
      <c r="G1580" s="3">
        <v>4522</v>
      </c>
      <c r="H1580" s="3">
        <v>212</v>
      </c>
      <c r="I1580" s="4">
        <v>3235.26</v>
      </c>
      <c r="J1580" s="4">
        <v>15902.27</v>
      </c>
      <c r="K1580" s="3">
        <v>115</v>
      </c>
      <c r="L1580" s="2" t="s">
        <v>2536</v>
      </c>
      <c r="M1580" s="2" t="s">
        <v>2519</v>
      </c>
      <c r="N1580" t="str">
        <f>TRIM(PROPER(Tabla_auditoría[[#This Row],[ID_Campaña]]))</f>
        <v>Cmp-020</v>
      </c>
      <c r="O1580" t="str">
        <f>TRIM(PROPER(Tabla_auditoría[[#This Row],[Canal]]))</f>
        <v>Affiliate</v>
      </c>
      <c r="P1580" t="str">
        <f>TRIM(PROPER(Tabla_auditoría[[#This Row],[País]]))</f>
        <v>Francia</v>
      </c>
      <c r="Q1580" t="str">
        <f>TRIM(PROPER(Tabla_auditoría[[#This Row],[Dispositivo]]))</f>
        <v>Mobile</v>
      </c>
      <c r="R1580" t="str">
        <f>TRIM(PROPER(Tabla_auditoría[[#This Row],[Tipo_Campaña]]))</f>
        <v>Reconocimiento</v>
      </c>
      <c r="S1580" t="str">
        <f>TRIM(PROPER(Tabla_auditoría[[#This Row],[Responsable]]))</f>
        <v>Carlos Ruiz</v>
      </c>
    </row>
    <row r="1581" spans="1:19" x14ac:dyDescent="0.3">
      <c r="A1581" s="1">
        <v>46002</v>
      </c>
      <c r="B1581" s="2" t="s">
        <v>2530</v>
      </c>
      <c r="C1581" s="2" t="s">
        <v>2527</v>
      </c>
      <c r="D1581" s="2" t="s">
        <v>2528</v>
      </c>
      <c r="E1581" s="2" t="s">
        <v>2529</v>
      </c>
      <c r="F1581" s="3">
        <v>129286</v>
      </c>
      <c r="G1581" s="3">
        <v>9189</v>
      </c>
      <c r="H1581" s="3">
        <v>625</v>
      </c>
      <c r="I1581" s="4">
        <v>17817.09</v>
      </c>
      <c r="J1581" s="4">
        <v>46659.23</v>
      </c>
      <c r="K1581" s="3">
        <v>358</v>
      </c>
      <c r="L1581" s="2" t="s">
        <v>2518</v>
      </c>
      <c r="M1581" s="2" t="s">
        <v>2546</v>
      </c>
      <c r="N1581" t="str">
        <f>TRIM(PROPER(Tabla_auditoría[[#This Row],[ID_Campaña]]))</f>
        <v>Cmp-026</v>
      </c>
      <c r="O1581" t="str">
        <f>TRIM(PROPER(Tabla_auditoría[[#This Row],[Canal]]))</f>
        <v>Affiliate</v>
      </c>
      <c r="P1581" t="str">
        <f>TRIM(PROPER(Tabla_auditoría[[#This Row],[País]]))</f>
        <v>España</v>
      </c>
      <c r="Q1581" t="str">
        <f>TRIM(PROPER(Tabla_auditoría[[#This Row],[Dispositivo]]))</f>
        <v>Mobile</v>
      </c>
      <c r="R1581" t="str">
        <f>TRIM(PROPER(Tabla_auditoría[[#This Row],[Tipo_Campaña]]))</f>
        <v>Adquisición</v>
      </c>
      <c r="S1581" t="str">
        <f>TRIM(PROPER(Tabla_auditoría[[#This Row],[Responsable]]))</f>
        <v>Ana García</v>
      </c>
    </row>
    <row r="1582" spans="1:19" x14ac:dyDescent="0.3">
      <c r="A1582" s="1">
        <v>45917</v>
      </c>
      <c r="B1582" s="2" t="s">
        <v>2549</v>
      </c>
      <c r="C1582" s="2" t="s">
        <v>2521</v>
      </c>
      <c r="D1582" s="2" t="s">
        <v>2522</v>
      </c>
      <c r="E1582" s="2" t="s">
        <v>2529</v>
      </c>
      <c r="F1582" s="3">
        <v>167190</v>
      </c>
      <c r="G1582" s="3">
        <v>2077</v>
      </c>
      <c r="H1582" s="3">
        <v>61</v>
      </c>
      <c r="I1582" s="4">
        <v>3229.3</v>
      </c>
      <c r="J1582" s="4">
        <v>2247.06</v>
      </c>
      <c r="K1582" s="3">
        <v>30</v>
      </c>
      <c r="L1582" s="2" t="s">
        <v>2518</v>
      </c>
      <c r="M1582" s="2" t="s">
        <v>2546</v>
      </c>
      <c r="N1582" t="str">
        <f>TRIM(PROPER(Tabla_auditoría[[#This Row],[ID_Campaña]]))</f>
        <v>Cmp-007</v>
      </c>
      <c r="O1582" t="str">
        <f>TRIM(PROPER(Tabla_auditoría[[#This Row],[Canal]]))</f>
        <v>Paid Search</v>
      </c>
      <c r="P1582" t="str">
        <f>TRIM(PROPER(Tabla_auditoría[[#This Row],[País]]))</f>
        <v>Italia</v>
      </c>
      <c r="Q1582" t="str">
        <f>TRIM(PROPER(Tabla_auditoría[[#This Row],[Dispositivo]]))</f>
        <v>Mobile</v>
      </c>
      <c r="R1582" t="str">
        <f>TRIM(PROPER(Tabla_auditoría[[#This Row],[Tipo_Campaña]]))</f>
        <v>Adquisición</v>
      </c>
      <c r="S1582" t="str">
        <f>TRIM(PROPER(Tabla_auditoría[[#This Row],[Responsable]]))</f>
        <v>Ana García</v>
      </c>
    </row>
    <row r="1583" spans="1:19" x14ac:dyDescent="0.3">
      <c r="A1583" s="1">
        <v>45891</v>
      </c>
      <c r="B1583" s="2" t="s">
        <v>2564</v>
      </c>
      <c r="C1583" s="2" t="s">
        <v>2521</v>
      </c>
      <c r="D1583" s="2" t="s">
        <v>2528</v>
      </c>
      <c r="E1583" s="2" t="s">
        <v>2534</v>
      </c>
      <c r="F1583" s="3">
        <v>74186</v>
      </c>
      <c r="G1583" s="3">
        <v>4019</v>
      </c>
      <c r="H1583" s="3">
        <v>48</v>
      </c>
      <c r="I1583" s="4">
        <v>2379.06</v>
      </c>
      <c r="J1583" s="4">
        <v>5100.57</v>
      </c>
      <c r="K1583" s="3">
        <v>29</v>
      </c>
      <c r="L1583" s="2" t="s">
        <v>2518</v>
      </c>
      <c r="M1583" s="2" t="s">
        <v>2519</v>
      </c>
      <c r="N1583" t="str">
        <f>TRIM(PROPER(Tabla_auditoría[[#This Row],[ID_Campaña]]))</f>
        <v>Cmp-024</v>
      </c>
      <c r="O1583" t="str">
        <f>TRIM(PROPER(Tabla_auditoría[[#This Row],[Canal]]))</f>
        <v>Paid Search</v>
      </c>
      <c r="P1583" t="str">
        <f>TRIM(PROPER(Tabla_auditoría[[#This Row],[País]]))</f>
        <v>España</v>
      </c>
      <c r="Q1583" t="str">
        <f>TRIM(PROPER(Tabla_auditoría[[#This Row],[Dispositivo]]))</f>
        <v>Tablet</v>
      </c>
      <c r="R1583" t="str">
        <f>TRIM(PROPER(Tabla_auditoría[[#This Row],[Tipo_Campaña]]))</f>
        <v>Adquisición</v>
      </c>
      <c r="S1583" t="str">
        <f>TRIM(PROPER(Tabla_auditoría[[#This Row],[Responsable]]))</f>
        <v>Carlos Ruiz</v>
      </c>
    </row>
    <row r="1584" spans="1:19" x14ac:dyDescent="0.3">
      <c r="A1584" s="1">
        <v>45776</v>
      </c>
      <c r="B1584" s="2" t="s">
        <v>2545</v>
      </c>
      <c r="C1584" s="2" t="s">
        <v>2515</v>
      </c>
      <c r="D1584" s="2" t="s">
        <v>2528</v>
      </c>
      <c r="E1584" s="2" t="s">
        <v>2529</v>
      </c>
      <c r="F1584" s="3">
        <v>49392</v>
      </c>
      <c r="G1584" s="3">
        <v>2731</v>
      </c>
      <c r="H1584" s="3">
        <v>36</v>
      </c>
      <c r="I1584" s="4">
        <v>980.5</v>
      </c>
      <c r="J1584" s="4">
        <v>4555.1000000000004</v>
      </c>
      <c r="K1584" s="3">
        <v>21</v>
      </c>
      <c r="L1584" s="2" t="s">
        <v>2523</v>
      </c>
      <c r="M1584" s="2" t="s">
        <v>2537</v>
      </c>
      <c r="N1584" t="str">
        <f>TRIM(PROPER(Tabla_auditoría[[#This Row],[ID_Campaña]]))</f>
        <v>Cmp-011</v>
      </c>
      <c r="O1584" t="str">
        <f>TRIM(PROPER(Tabla_auditoría[[#This Row],[Canal]]))</f>
        <v>Email</v>
      </c>
      <c r="P1584" t="str">
        <f>TRIM(PROPER(Tabla_auditoría[[#This Row],[País]]))</f>
        <v>España</v>
      </c>
      <c r="Q1584" t="str">
        <f>TRIM(PROPER(Tabla_auditoría[[#This Row],[Dispositivo]]))</f>
        <v>Mobile</v>
      </c>
      <c r="R1584" t="str">
        <f>TRIM(PROPER(Tabla_auditoría[[#This Row],[Tipo_Campaña]]))</f>
        <v>Retención</v>
      </c>
      <c r="S1584" t="str">
        <f>TRIM(PROPER(Tabla_auditoría[[#This Row],[Responsable]]))</f>
        <v>Marta López</v>
      </c>
    </row>
    <row r="1585" spans="1:19" x14ac:dyDescent="0.3">
      <c r="A1585" s="1">
        <v>45846</v>
      </c>
      <c r="B1585" s="2" t="s">
        <v>2554</v>
      </c>
      <c r="C1585" s="2" t="s">
        <v>2533</v>
      </c>
      <c r="D1585" s="2" t="s">
        <v>2528</v>
      </c>
      <c r="E1585" s="2" t="s">
        <v>2517</v>
      </c>
      <c r="F1585" s="3">
        <v>57283</v>
      </c>
      <c r="G1585" s="3">
        <v>4474</v>
      </c>
      <c r="H1585" s="3">
        <v>396</v>
      </c>
      <c r="I1585" s="4">
        <v>6905.08</v>
      </c>
      <c r="J1585" s="4">
        <v>28974.29</v>
      </c>
      <c r="K1585" s="3">
        <v>206</v>
      </c>
      <c r="L1585" s="2" t="s">
        <v>2539</v>
      </c>
      <c r="M1585" s="2" t="s">
        <v>2519</v>
      </c>
      <c r="N1585" t="str">
        <f>TRIM(PROPER(Tabla_auditoría[[#This Row],[ID_Campaña]]))</f>
        <v>Cmp-019</v>
      </c>
      <c r="O1585" t="str">
        <f>TRIM(PROPER(Tabla_auditoría[[#This Row],[Canal]]))</f>
        <v>Paid Social</v>
      </c>
      <c r="P1585" t="str">
        <f>TRIM(PROPER(Tabla_auditoría[[#This Row],[País]]))</f>
        <v>España</v>
      </c>
      <c r="Q1585" t="str">
        <f>TRIM(PROPER(Tabla_auditoría[[#This Row],[Dispositivo]]))</f>
        <v>Desktop</v>
      </c>
      <c r="R1585" t="str">
        <f>TRIM(PROPER(Tabla_auditoría[[#This Row],[Tipo_Campaña]]))</f>
        <v>Conversión</v>
      </c>
      <c r="S1585" t="str">
        <f>TRIM(PROPER(Tabla_auditoría[[#This Row],[Responsable]]))</f>
        <v>Carlos Ruiz</v>
      </c>
    </row>
    <row r="1586" spans="1:19" x14ac:dyDescent="0.3">
      <c r="A1586" s="1">
        <v>46002</v>
      </c>
      <c r="B1586" s="2" t="s">
        <v>2552</v>
      </c>
      <c r="C1586" s="2" t="s">
        <v>2533</v>
      </c>
      <c r="D1586" s="2" t="s">
        <v>2525</v>
      </c>
      <c r="E1586" s="2" t="s">
        <v>2517</v>
      </c>
      <c r="F1586" s="3">
        <v>104330</v>
      </c>
      <c r="G1586" s="3">
        <v>9220</v>
      </c>
      <c r="H1586" s="3">
        <v>979</v>
      </c>
      <c r="I1586" s="4">
        <v>10409.629999999999</v>
      </c>
      <c r="J1586" s="4">
        <v>41594.449999999997</v>
      </c>
      <c r="K1586" s="3">
        <v>472</v>
      </c>
      <c r="L1586" s="2" t="s">
        <v>2539</v>
      </c>
      <c r="M1586" s="2" t="s">
        <v>2546</v>
      </c>
      <c r="N1586" t="str">
        <f>TRIM(PROPER(Tabla_auditoría[[#This Row],[ID_Campaña]]))</f>
        <v>Cmp-012</v>
      </c>
      <c r="O1586" t="str">
        <f>TRIM(PROPER(Tabla_auditoría[[#This Row],[Canal]]))</f>
        <v>Paid Social</v>
      </c>
      <c r="P1586" t="str">
        <f>TRIM(PROPER(Tabla_auditoría[[#This Row],[País]]))</f>
        <v>Francia</v>
      </c>
      <c r="Q1586" t="str">
        <f>TRIM(PROPER(Tabla_auditoría[[#This Row],[Dispositivo]]))</f>
        <v>Desktop</v>
      </c>
      <c r="R1586" t="str">
        <f>TRIM(PROPER(Tabla_auditoría[[#This Row],[Tipo_Campaña]]))</f>
        <v>Conversión</v>
      </c>
      <c r="S1586" t="str">
        <f>TRIM(PROPER(Tabla_auditoría[[#This Row],[Responsable]]))</f>
        <v>Ana García</v>
      </c>
    </row>
    <row r="1587" spans="1:19" x14ac:dyDescent="0.3">
      <c r="A1587" s="1">
        <v>45681</v>
      </c>
      <c r="B1587" s="2" t="s">
        <v>2568</v>
      </c>
      <c r="C1587" s="2" t="s">
        <v>2562</v>
      </c>
      <c r="D1587" s="2" t="s">
        <v>2531</v>
      </c>
      <c r="E1587" s="2" t="s">
        <v>2517</v>
      </c>
      <c r="F1587" s="3">
        <v>84643</v>
      </c>
      <c r="G1587" s="3">
        <v>5051</v>
      </c>
      <c r="H1587" s="3">
        <v>554</v>
      </c>
      <c r="I1587" s="4">
        <v>4726.66</v>
      </c>
      <c r="J1587" s="4">
        <v>110230.7</v>
      </c>
      <c r="K1587" s="3">
        <v>321</v>
      </c>
      <c r="L1587" s="2" t="s">
        <v>2539</v>
      </c>
      <c r="M1587" s="2" t="s">
        <v>2546</v>
      </c>
      <c r="N1587" t="str">
        <f>TRIM(PROPER(Tabla_auditoría[[#This Row],[ID_Campaña]]))</f>
        <v>Cmp-020</v>
      </c>
      <c r="O1587" t="str">
        <f>TRIM(PROPER(Tabla_auditoría[[#This Row],[Canal]]))</f>
        <v>Organic Social</v>
      </c>
      <c r="P1587" t="str">
        <f>TRIM(PROPER(Tabla_auditoría[[#This Row],[País]]))</f>
        <v>Portugal</v>
      </c>
      <c r="Q1587" t="str">
        <f>TRIM(PROPER(Tabla_auditoría[[#This Row],[Dispositivo]]))</f>
        <v>Desktop</v>
      </c>
      <c r="R1587" t="str">
        <f>TRIM(PROPER(Tabla_auditoría[[#This Row],[Tipo_Campaña]]))</f>
        <v>Conversión</v>
      </c>
      <c r="S1587" t="str">
        <f>TRIM(PROPER(Tabla_auditoría[[#This Row],[Responsable]]))</f>
        <v>Ana García</v>
      </c>
    </row>
    <row r="1588" spans="1:19" x14ac:dyDescent="0.3">
      <c r="A1588" s="1">
        <v>45952</v>
      </c>
      <c r="B1588" s="2" t="s">
        <v>2560</v>
      </c>
      <c r="C1588" s="2" t="s">
        <v>2527</v>
      </c>
      <c r="D1588" s="2" t="s">
        <v>2522</v>
      </c>
      <c r="E1588" s="2" t="s">
        <v>2529</v>
      </c>
      <c r="F1588" s="3">
        <v>178509</v>
      </c>
      <c r="G1588" s="3">
        <v>1179</v>
      </c>
      <c r="H1588" s="3">
        <v>77</v>
      </c>
      <c r="I1588" s="4">
        <v>1091.9100000000001</v>
      </c>
      <c r="J1588" s="4">
        <v>16699.88</v>
      </c>
      <c r="K1588" s="3">
        <v>37</v>
      </c>
      <c r="L1588" s="2" t="s">
        <v>2523</v>
      </c>
      <c r="M1588" s="2" t="s">
        <v>2526</v>
      </c>
      <c r="N1588" t="str">
        <f>TRIM(PROPER(Tabla_auditoría[[#This Row],[ID_Campaña]]))</f>
        <v>Cmp-027</v>
      </c>
      <c r="O1588" t="str">
        <f>TRIM(PROPER(Tabla_auditoría[[#This Row],[Canal]]))</f>
        <v>Affiliate</v>
      </c>
      <c r="P1588" t="str">
        <f>TRIM(PROPER(Tabla_auditoría[[#This Row],[País]]))</f>
        <v>Italia</v>
      </c>
      <c r="Q1588" t="str">
        <f>TRIM(PROPER(Tabla_auditoría[[#This Row],[Dispositivo]]))</f>
        <v>Mobile</v>
      </c>
      <c r="R1588" t="str">
        <f>TRIM(PROPER(Tabla_auditoría[[#This Row],[Tipo_Campaña]]))</f>
        <v>Retención</v>
      </c>
      <c r="S1588" t="str">
        <f>TRIM(PROPER(Tabla_auditoría[[#This Row],[Responsable]]))</f>
        <v>Laura Pérez</v>
      </c>
    </row>
    <row r="1589" spans="1:19" x14ac:dyDescent="0.3">
      <c r="A1589" s="1">
        <v>45893</v>
      </c>
      <c r="B1589" s="2" t="s">
        <v>2557</v>
      </c>
      <c r="C1589" s="2" t="s">
        <v>2515</v>
      </c>
      <c r="D1589" s="2" t="s">
        <v>2528</v>
      </c>
      <c r="E1589" s="2" t="s">
        <v>2517</v>
      </c>
      <c r="F1589" s="3">
        <v>123937</v>
      </c>
      <c r="G1589" s="3">
        <v>1556</v>
      </c>
      <c r="H1589" s="3">
        <v>95</v>
      </c>
      <c r="I1589" s="4">
        <v>2520.98</v>
      </c>
      <c r="J1589" s="4">
        <v>6338.43</v>
      </c>
      <c r="K1589" s="3">
        <v>42</v>
      </c>
      <c r="L1589" s="2" t="s">
        <v>2539</v>
      </c>
      <c r="M1589" s="2" t="s">
        <v>2519</v>
      </c>
      <c r="N1589" t="str">
        <f>TRIM(PROPER(Tabla_auditoría[[#This Row],[ID_Campaña]]))</f>
        <v>Cmp-030</v>
      </c>
      <c r="O1589" t="str">
        <f>TRIM(PROPER(Tabla_auditoría[[#This Row],[Canal]]))</f>
        <v>Email</v>
      </c>
      <c r="P1589" t="str">
        <f>TRIM(PROPER(Tabla_auditoría[[#This Row],[País]]))</f>
        <v>España</v>
      </c>
      <c r="Q1589" t="str">
        <f>TRIM(PROPER(Tabla_auditoría[[#This Row],[Dispositivo]]))</f>
        <v>Desktop</v>
      </c>
      <c r="R1589" t="str">
        <f>TRIM(PROPER(Tabla_auditoría[[#This Row],[Tipo_Campaña]]))</f>
        <v>Conversión</v>
      </c>
      <c r="S1589" t="str">
        <f>TRIM(PROPER(Tabla_auditoría[[#This Row],[Responsable]]))</f>
        <v>Carlos Ruiz</v>
      </c>
    </row>
    <row r="1590" spans="1:19" x14ac:dyDescent="0.3">
      <c r="A1590" s="1">
        <v>45997</v>
      </c>
      <c r="B1590" s="2" t="s">
        <v>2557</v>
      </c>
      <c r="C1590" s="2" t="s">
        <v>2515</v>
      </c>
      <c r="D1590" s="2" t="s">
        <v>2528</v>
      </c>
      <c r="E1590" s="2" t="s">
        <v>2517</v>
      </c>
      <c r="F1590" s="3">
        <v>21280</v>
      </c>
      <c r="G1590" s="3">
        <v>879</v>
      </c>
      <c r="H1590" s="3">
        <v>97</v>
      </c>
      <c r="I1590" s="4">
        <v>293.60000000000002</v>
      </c>
      <c r="J1590" s="4">
        <v>9794.2999999999993</v>
      </c>
      <c r="K1590" s="3">
        <v>47</v>
      </c>
      <c r="L1590" s="2" t="s">
        <v>2539</v>
      </c>
      <c r="M1590" s="2" t="s">
        <v>2519</v>
      </c>
      <c r="N1590" t="str">
        <f>TRIM(PROPER(Tabla_auditoría[[#This Row],[ID_Campaña]]))</f>
        <v>Cmp-030</v>
      </c>
      <c r="O1590" t="str">
        <f>TRIM(PROPER(Tabla_auditoría[[#This Row],[Canal]]))</f>
        <v>Email</v>
      </c>
      <c r="P1590" t="str">
        <f>TRIM(PROPER(Tabla_auditoría[[#This Row],[País]]))</f>
        <v>España</v>
      </c>
      <c r="Q1590" t="str">
        <f>TRIM(PROPER(Tabla_auditoría[[#This Row],[Dispositivo]]))</f>
        <v>Desktop</v>
      </c>
      <c r="R1590" t="str">
        <f>TRIM(PROPER(Tabla_auditoría[[#This Row],[Tipo_Campaña]]))</f>
        <v>Conversión</v>
      </c>
      <c r="S1590" t="str">
        <f>TRIM(PROPER(Tabla_auditoría[[#This Row],[Responsable]]))</f>
        <v>Carlos Ruiz</v>
      </c>
    </row>
    <row r="1591" spans="1:19" x14ac:dyDescent="0.3">
      <c r="A1591" s="1">
        <v>45665</v>
      </c>
      <c r="B1591" s="2" t="s">
        <v>2569</v>
      </c>
      <c r="C1591" s="2" t="s">
        <v>2533</v>
      </c>
      <c r="D1591" s="2" t="s">
        <v>2516</v>
      </c>
      <c r="E1591" s="2" t="s">
        <v>2517</v>
      </c>
      <c r="F1591" s="3">
        <v>139243</v>
      </c>
      <c r="G1591" s="3">
        <v>6012</v>
      </c>
      <c r="H1591" s="3">
        <v>566</v>
      </c>
      <c r="I1591" s="4">
        <v>8344.8799999999992</v>
      </c>
      <c r="J1591" s="4">
        <v>31694.12</v>
      </c>
      <c r="K1591" s="3">
        <v>384</v>
      </c>
      <c r="L1591" s="2" t="s">
        <v>2539</v>
      </c>
      <c r="M1591" s="2" t="s">
        <v>2526</v>
      </c>
      <c r="N1591" t="str">
        <f>TRIM(PROPER(Tabla_auditoría[[#This Row],[ID_Campaña]]))</f>
        <v>Cmp-013</v>
      </c>
      <c r="O1591" t="str">
        <f>TRIM(PROPER(Tabla_auditoría[[#This Row],[Canal]]))</f>
        <v>Paid Social</v>
      </c>
      <c r="P1591" t="str">
        <f>TRIM(PROPER(Tabla_auditoría[[#This Row],[País]]))</f>
        <v>México</v>
      </c>
      <c r="Q1591" t="str">
        <f>TRIM(PROPER(Tabla_auditoría[[#This Row],[Dispositivo]]))</f>
        <v>Desktop</v>
      </c>
      <c r="R1591" t="str">
        <f>TRIM(PROPER(Tabla_auditoría[[#This Row],[Tipo_Campaña]]))</f>
        <v>Conversión</v>
      </c>
      <c r="S1591" t="str">
        <f>TRIM(PROPER(Tabla_auditoría[[#This Row],[Responsable]]))</f>
        <v>Laura Pérez</v>
      </c>
    </row>
    <row r="1592" spans="1:19" x14ac:dyDescent="0.3">
      <c r="A1592" s="1">
        <v>45911</v>
      </c>
      <c r="B1592" s="2" t="s">
        <v>2547</v>
      </c>
      <c r="C1592" s="2" t="s">
        <v>2543</v>
      </c>
      <c r="D1592" s="2" t="s">
        <v>2525</v>
      </c>
      <c r="E1592" s="2" t="s">
        <v>2517</v>
      </c>
      <c r="F1592" s="3">
        <v>123999</v>
      </c>
      <c r="G1592" s="3">
        <v>9153</v>
      </c>
      <c r="H1592" s="3">
        <v>916</v>
      </c>
      <c r="I1592" s="4">
        <v>1722.21</v>
      </c>
      <c r="J1592" s="4">
        <v>36661.31</v>
      </c>
      <c r="K1592" s="3">
        <v>768</v>
      </c>
      <c r="L1592" s="2" t="s">
        <v>2536</v>
      </c>
      <c r="N1592" t="str">
        <f>TRIM(PROPER(Tabla_auditoría[[#This Row],[ID_Campaña]]))</f>
        <v>Cmp-018</v>
      </c>
      <c r="O1592" t="str">
        <f>TRIM(PROPER(Tabla_auditoría[[#This Row],[Canal]]))</f>
        <v>Organic Social</v>
      </c>
      <c r="P1592" t="str">
        <f>TRIM(PROPER(Tabla_auditoría[[#This Row],[País]]))</f>
        <v>Francia</v>
      </c>
      <c r="Q1592" t="str">
        <f>TRIM(PROPER(Tabla_auditoría[[#This Row],[Dispositivo]]))</f>
        <v>Desktop</v>
      </c>
      <c r="R1592" t="str">
        <f>TRIM(PROPER(Tabla_auditoría[[#This Row],[Tipo_Campaña]]))</f>
        <v>Reconocimiento</v>
      </c>
      <c r="S1592" t="str">
        <f>TRIM(PROPER(Tabla_auditoría[[#This Row],[Responsable]]))</f>
        <v/>
      </c>
    </row>
    <row r="1593" spans="1:19" x14ac:dyDescent="0.3">
      <c r="A1593" s="1">
        <v>45822</v>
      </c>
      <c r="B1593" s="2" t="s">
        <v>2564</v>
      </c>
      <c r="C1593" s="2" t="s">
        <v>2543</v>
      </c>
      <c r="D1593" s="2" t="s">
        <v>2528</v>
      </c>
      <c r="E1593" s="2" t="s">
        <v>2529</v>
      </c>
      <c r="F1593" s="3">
        <v>54298</v>
      </c>
      <c r="G1593" s="3">
        <v>3585</v>
      </c>
      <c r="H1593" s="3">
        <v>474</v>
      </c>
      <c r="I1593" s="4">
        <v>1866.61</v>
      </c>
      <c r="J1593" s="4">
        <v>55675.3</v>
      </c>
      <c r="K1593" s="3">
        <v>365</v>
      </c>
      <c r="L1593" s="2" t="s">
        <v>2523</v>
      </c>
      <c r="M1593" s="2" t="s">
        <v>2546</v>
      </c>
      <c r="N1593" t="str">
        <f>TRIM(PROPER(Tabla_auditoría[[#This Row],[ID_Campaña]]))</f>
        <v>Cmp-024</v>
      </c>
      <c r="O1593" t="str">
        <f>TRIM(PROPER(Tabla_auditoría[[#This Row],[Canal]]))</f>
        <v>Organic Social</v>
      </c>
      <c r="P1593" t="str">
        <f>TRIM(PROPER(Tabla_auditoría[[#This Row],[País]]))</f>
        <v>España</v>
      </c>
      <c r="Q1593" t="str">
        <f>TRIM(PROPER(Tabla_auditoría[[#This Row],[Dispositivo]]))</f>
        <v>Mobile</v>
      </c>
      <c r="R1593" t="str">
        <f>TRIM(PROPER(Tabla_auditoría[[#This Row],[Tipo_Campaña]]))</f>
        <v>Retención</v>
      </c>
      <c r="S1593" t="str">
        <f>TRIM(PROPER(Tabla_auditoría[[#This Row],[Responsable]]))</f>
        <v>Ana García</v>
      </c>
    </row>
    <row r="1594" spans="1:19" x14ac:dyDescent="0.3">
      <c r="A1594" s="1">
        <v>45774</v>
      </c>
      <c r="B1594" s="2" t="s">
        <v>2540</v>
      </c>
      <c r="C1594" s="2" t="s">
        <v>2527</v>
      </c>
      <c r="D1594" s="2" t="s">
        <v>2528</v>
      </c>
      <c r="E1594" s="2" t="s">
        <v>2529</v>
      </c>
      <c r="F1594" s="3">
        <v>14546</v>
      </c>
      <c r="G1594" s="3">
        <v>1006</v>
      </c>
      <c r="H1594" s="3">
        <v>27</v>
      </c>
      <c r="I1594" s="4">
        <v>178.34</v>
      </c>
      <c r="J1594" s="4">
        <v>1291.8699999999999</v>
      </c>
      <c r="K1594" s="3">
        <v>15</v>
      </c>
      <c r="L1594" s="2" t="s">
        <v>2523</v>
      </c>
      <c r="M1594" s="2" t="s">
        <v>2526</v>
      </c>
      <c r="N1594" t="str">
        <f>TRIM(PROPER(Tabla_auditoría[[#This Row],[ID_Campaña]]))</f>
        <v>Cmp-017</v>
      </c>
      <c r="O1594" t="str">
        <f>TRIM(PROPER(Tabla_auditoría[[#This Row],[Canal]]))</f>
        <v>Affiliate</v>
      </c>
      <c r="P1594" t="str">
        <f>TRIM(PROPER(Tabla_auditoría[[#This Row],[País]]))</f>
        <v>España</v>
      </c>
      <c r="Q1594" t="str">
        <f>TRIM(PROPER(Tabla_auditoría[[#This Row],[Dispositivo]]))</f>
        <v>Mobile</v>
      </c>
      <c r="R1594" t="str">
        <f>TRIM(PROPER(Tabla_auditoría[[#This Row],[Tipo_Campaña]]))</f>
        <v>Retención</v>
      </c>
      <c r="S1594" t="str">
        <f>TRIM(PROPER(Tabla_auditoría[[#This Row],[Responsable]]))</f>
        <v>Laura Pérez</v>
      </c>
    </row>
    <row r="1595" spans="1:19" x14ac:dyDescent="0.3">
      <c r="A1595" s="1">
        <v>45837</v>
      </c>
      <c r="B1595" s="2" t="s">
        <v>2563</v>
      </c>
      <c r="C1595" s="2" t="s">
        <v>2541</v>
      </c>
      <c r="D1595" s="2" t="s">
        <v>2531</v>
      </c>
      <c r="E1595" s="2" t="s">
        <v>2517</v>
      </c>
      <c r="F1595" s="3">
        <v>37219</v>
      </c>
      <c r="G1595" s="3">
        <v>1261</v>
      </c>
      <c r="H1595" s="3">
        <v>54</v>
      </c>
      <c r="I1595" s="4">
        <v>2110.19</v>
      </c>
      <c r="J1595" s="4">
        <v>3560.58</v>
      </c>
      <c r="K1595" s="3">
        <v>45</v>
      </c>
      <c r="L1595" s="2" t="s">
        <v>2523</v>
      </c>
      <c r="M1595" s="2" t="s">
        <v>2526</v>
      </c>
      <c r="N1595" t="str">
        <f>TRIM(PROPER(Tabla_auditoría[[#This Row],[ID_Campaña]]))</f>
        <v>Cmp-023</v>
      </c>
      <c r="O1595" t="str">
        <f>TRIM(PROPER(Tabla_auditoría[[#This Row],[Canal]]))</f>
        <v>Display</v>
      </c>
      <c r="P1595" t="str">
        <f>TRIM(PROPER(Tabla_auditoría[[#This Row],[País]]))</f>
        <v>Portugal</v>
      </c>
      <c r="Q1595" t="str">
        <f>TRIM(PROPER(Tabla_auditoría[[#This Row],[Dispositivo]]))</f>
        <v>Desktop</v>
      </c>
      <c r="R1595" t="str">
        <f>TRIM(PROPER(Tabla_auditoría[[#This Row],[Tipo_Campaña]]))</f>
        <v>Retención</v>
      </c>
      <c r="S1595" t="str">
        <f>TRIM(PROPER(Tabla_auditoría[[#This Row],[Responsable]]))</f>
        <v>Laura Pérez</v>
      </c>
    </row>
    <row r="1596" spans="1:19" x14ac:dyDescent="0.3">
      <c r="A1596" s="1">
        <v>45753</v>
      </c>
      <c r="B1596" s="2" t="s">
        <v>2568</v>
      </c>
      <c r="C1596" s="2" t="s">
        <v>2515</v>
      </c>
      <c r="D1596" s="2" t="s">
        <v>2528</v>
      </c>
      <c r="E1596" s="2" t="s">
        <v>2529</v>
      </c>
      <c r="F1596" s="3">
        <v>173819</v>
      </c>
      <c r="G1596" s="3">
        <v>12630</v>
      </c>
      <c r="H1596" s="3">
        <v>1384</v>
      </c>
      <c r="I1596" s="4">
        <v>18048.96</v>
      </c>
      <c r="J1596" s="4">
        <v>116701.43</v>
      </c>
      <c r="K1596" s="3">
        <v>663</v>
      </c>
      <c r="L1596" s="2" t="s">
        <v>2539</v>
      </c>
      <c r="M1596" s="2" t="s">
        <v>2526</v>
      </c>
      <c r="N1596" t="str">
        <f>TRIM(PROPER(Tabla_auditoría[[#This Row],[ID_Campaña]]))</f>
        <v>Cmp-020</v>
      </c>
      <c r="O1596" t="str">
        <f>TRIM(PROPER(Tabla_auditoría[[#This Row],[Canal]]))</f>
        <v>Email</v>
      </c>
      <c r="P1596" t="str">
        <f>TRIM(PROPER(Tabla_auditoría[[#This Row],[País]]))</f>
        <v>España</v>
      </c>
      <c r="Q1596" t="str">
        <f>TRIM(PROPER(Tabla_auditoría[[#This Row],[Dispositivo]]))</f>
        <v>Mobile</v>
      </c>
      <c r="R1596" t="str">
        <f>TRIM(PROPER(Tabla_auditoría[[#This Row],[Tipo_Campaña]]))</f>
        <v>Conversión</v>
      </c>
      <c r="S1596" t="str">
        <f>TRIM(PROPER(Tabla_auditoría[[#This Row],[Responsable]]))</f>
        <v>Laura Pérez</v>
      </c>
    </row>
    <row r="1597" spans="1:19" x14ac:dyDescent="0.3">
      <c r="A1597" s="1">
        <v>45976</v>
      </c>
      <c r="B1597" s="2" t="s">
        <v>2565</v>
      </c>
      <c r="C1597" s="2" t="s">
        <v>2533</v>
      </c>
      <c r="D1597" s="2" t="s">
        <v>2522</v>
      </c>
      <c r="E1597" s="2" t="s">
        <v>2517</v>
      </c>
      <c r="F1597" s="3">
        <v>121538</v>
      </c>
      <c r="G1597" s="3">
        <v>2165</v>
      </c>
      <c r="H1597" s="3">
        <v>260</v>
      </c>
      <c r="I1597" s="4">
        <v>3395.25</v>
      </c>
      <c r="J1597" s="4">
        <v>50662.65</v>
      </c>
      <c r="K1597" s="3">
        <v>214</v>
      </c>
      <c r="L1597" s="2" t="s">
        <v>2536</v>
      </c>
      <c r="M1597" s="2" t="s">
        <v>2526</v>
      </c>
      <c r="N1597" t="str">
        <f>TRIM(PROPER(Tabla_auditoría[[#This Row],[ID_Campaña]]))</f>
        <v>Cmp-005</v>
      </c>
      <c r="O1597" t="str">
        <f>TRIM(PROPER(Tabla_auditoría[[#This Row],[Canal]]))</f>
        <v>Paid Social</v>
      </c>
      <c r="P1597" t="str">
        <f>TRIM(PROPER(Tabla_auditoría[[#This Row],[País]]))</f>
        <v>Italia</v>
      </c>
      <c r="Q1597" t="str">
        <f>TRIM(PROPER(Tabla_auditoría[[#This Row],[Dispositivo]]))</f>
        <v>Desktop</v>
      </c>
      <c r="R1597" t="str">
        <f>TRIM(PROPER(Tabla_auditoría[[#This Row],[Tipo_Campaña]]))</f>
        <v>Reconocimiento</v>
      </c>
      <c r="S1597" t="str">
        <f>TRIM(PROPER(Tabla_auditoría[[#This Row],[Responsable]]))</f>
        <v>Laura Pérez</v>
      </c>
    </row>
    <row r="1598" spans="1:19" x14ac:dyDescent="0.3">
      <c r="A1598" s="1">
        <v>45690</v>
      </c>
      <c r="B1598" s="2" t="s">
        <v>2545</v>
      </c>
      <c r="C1598" s="2" t="s">
        <v>2543</v>
      </c>
      <c r="D1598" s="2" t="s">
        <v>2528</v>
      </c>
      <c r="E1598" s="2" t="s">
        <v>2517</v>
      </c>
      <c r="F1598" s="3">
        <v>13188</v>
      </c>
      <c r="G1598" s="3">
        <v>144</v>
      </c>
      <c r="H1598" s="3">
        <v>2</v>
      </c>
      <c r="I1598" s="4">
        <v>150.33000000000001</v>
      </c>
      <c r="J1598" s="4">
        <v>179.64</v>
      </c>
      <c r="K1598" s="3">
        <v>1</v>
      </c>
      <c r="L1598" s="2" t="s">
        <v>2539</v>
      </c>
      <c r="M1598" s="2" t="s">
        <v>2524</v>
      </c>
      <c r="N1598" t="str">
        <f>TRIM(PROPER(Tabla_auditoría[[#This Row],[ID_Campaña]]))</f>
        <v>Cmp-011</v>
      </c>
      <c r="O1598" t="str">
        <f>TRIM(PROPER(Tabla_auditoría[[#This Row],[Canal]]))</f>
        <v>Organic Social</v>
      </c>
      <c r="P1598" t="str">
        <f>TRIM(PROPER(Tabla_auditoría[[#This Row],[País]]))</f>
        <v>España</v>
      </c>
      <c r="Q1598" t="str">
        <f>TRIM(PROPER(Tabla_auditoría[[#This Row],[Dispositivo]]))</f>
        <v>Desktop</v>
      </c>
      <c r="R1598" t="str">
        <f>TRIM(PROPER(Tabla_auditoría[[#This Row],[Tipo_Campaña]]))</f>
        <v>Conversión</v>
      </c>
      <c r="S1598" t="str">
        <f>TRIM(PROPER(Tabla_auditoría[[#This Row],[Responsable]]))</f>
        <v>Luis Martín</v>
      </c>
    </row>
    <row r="1599" spans="1:19" x14ac:dyDescent="0.3">
      <c r="A1599" s="1">
        <v>45913</v>
      </c>
      <c r="B1599" s="2" t="s">
        <v>2574</v>
      </c>
      <c r="C1599" s="2" t="s">
        <v>2521</v>
      </c>
      <c r="E1599" s="2" t="s">
        <v>2529</v>
      </c>
      <c r="F1599" s="3">
        <v>124056</v>
      </c>
      <c r="G1599" s="3">
        <v>5690</v>
      </c>
      <c r="H1599" s="3">
        <v>354</v>
      </c>
      <c r="I1599" s="4">
        <v>4860.13</v>
      </c>
      <c r="J1599" s="4">
        <v>69220.759999999995</v>
      </c>
      <c r="K1599" s="3">
        <v>196</v>
      </c>
      <c r="L1599" s="2" t="s">
        <v>2518</v>
      </c>
      <c r="M1599" s="2" t="s">
        <v>2537</v>
      </c>
      <c r="N1599" t="str">
        <f>TRIM(PROPER(Tabla_auditoría[[#This Row],[ID_Campaña]]))</f>
        <v>Cmp-003</v>
      </c>
      <c r="O1599" t="str">
        <f>TRIM(PROPER(Tabla_auditoría[[#This Row],[Canal]]))</f>
        <v>Paid Search</v>
      </c>
      <c r="P1599" t="str">
        <f>TRIM(PROPER(Tabla_auditoría[[#This Row],[País]]))</f>
        <v/>
      </c>
      <c r="Q1599" t="str">
        <f>TRIM(PROPER(Tabla_auditoría[[#This Row],[Dispositivo]]))</f>
        <v>Mobile</v>
      </c>
      <c r="R1599" t="str">
        <f>TRIM(PROPER(Tabla_auditoría[[#This Row],[Tipo_Campaña]]))</f>
        <v>Adquisición</v>
      </c>
      <c r="S1599" t="str">
        <f>TRIM(PROPER(Tabla_auditoría[[#This Row],[Responsable]]))</f>
        <v>Marta López</v>
      </c>
    </row>
    <row r="1600" spans="1:19" x14ac:dyDescent="0.3">
      <c r="A1600" s="1">
        <v>46010</v>
      </c>
      <c r="B1600" s="2" t="s">
        <v>2547</v>
      </c>
      <c r="C1600" s="2" t="s">
        <v>2541</v>
      </c>
      <c r="D1600" s="2" t="s">
        <v>2528</v>
      </c>
      <c r="E1600" s="2" t="s">
        <v>2529</v>
      </c>
      <c r="F1600" s="3">
        <v>17448</v>
      </c>
      <c r="G1600" s="3">
        <v>1127</v>
      </c>
      <c r="H1600" s="3">
        <v>91</v>
      </c>
      <c r="I1600" s="4">
        <v>2150.16</v>
      </c>
      <c r="J1600" s="4">
        <v>1420.76</v>
      </c>
      <c r="K1600" s="3">
        <v>74</v>
      </c>
      <c r="L1600" s="2" t="s">
        <v>2539</v>
      </c>
      <c r="M1600" s="2" t="s">
        <v>2519</v>
      </c>
      <c r="N1600" t="str">
        <f>TRIM(PROPER(Tabla_auditoría[[#This Row],[ID_Campaña]]))</f>
        <v>Cmp-018</v>
      </c>
      <c r="O1600" t="str">
        <f>TRIM(PROPER(Tabla_auditoría[[#This Row],[Canal]]))</f>
        <v>Display</v>
      </c>
      <c r="P1600" t="str">
        <f>TRIM(PROPER(Tabla_auditoría[[#This Row],[País]]))</f>
        <v>España</v>
      </c>
      <c r="Q1600" t="str">
        <f>TRIM(PROPER(Tabla_auditoría[[#This Row],[Dispositivo]]))</f>
        <v>Mobile</v>
      </c>
      <c r="R1600" t="str">
        <f>TRIM(PROPER(Tabla_auditoría[[#This Row],[Tipo_Campaña]]))</f>
        <v>Conversión</v>
      </c>
      <c r="S1600" t="str">
        <f>TRIM(PROPER(Tabla_auditoría[[#This Row],[Responsable]]))</f>
        <v>Carlos Ruiz</v>
      </c>
    </row>
    <row r="1601" spans="1:19" x14ac:dyDescent="0.3">
      <c r="A1601" s="1">
        <v>45715</v>
      </c>
      <c r="B1601" s="2" t="s">
        <v>2532</v>
      </c>
      <c r="C1601" s="2" t="s">
        <v>2533</v>
      </c>
      <c r="D1601" s="2" t="s">
        <v>2528</v>
      </c>
      <c r="E1601" s="2" t="s">
        <v>2529</v>
      </c>
      <c r="F1601" s="3">
        <v>160119</v>
      </c>
      <c r="G1601" s="3">
        <v>7944</v>
      </c>
      <c r="H1601" s="3">
        <v>93</v>
      </c>
      <c r="I1601" s="4">
        <v>1382.1</v>
      </c>
      <c r="J1601" s="4">
        <v>3713.46</v>
      </c>
      <c r="K1601" s="3">
        <v>73</v>
      </c>
      <c r="L1601" s="2" t="s">
        <v>2539</v>
      </c>
      <c r="M1601" s="2" t="s">
        <v>2546</v>
      </c>
      <c r="N1601" t="str">
        <f>TRIM(PROPER(Tabla_auditoría[[#This Row],[ID_Campaña]]))</f>
        <v>Cmp-022</v>
      </c>
      <c r="O1601" t="str">
        <f>TRIM(PROPER(Tabla_auditoría[[#This Row],[Canal]]))</f>
        <v>Paid Social</v>
      </c>
      <c r="P1601" t="str">
        <f>TRIM(PROPER(Tabla_auditoría[[#This Row],[País]]))</f>
        <v>España</v>
      </c>
      <c r="Q1601" t="str">
        <f>TRIM(PROPER(Tabla_auditoría[[#This Row],[Dispositivo]]))</f>
        <v>Mobile</v>
      </c>
      <c r="R1601" t="str">
        <f>TRIM(PROPER(Tabla_auditoría[[#This Row],[Tipo_Campaña]]))</f>
        <v>Conversión</v>
      </c>
      <c r="S1601" t="str">
        <f>TRIM(PROPER(Tabla_auditoría[[#This Row],[Responsable]]))</f>
        <v>Ana García</v>
      </c>
    </row>
    <row r="1602" spans="1:19" x14ac:dyDescent="0.3">
      <c r="A1602" s="1">
        <v>45877</v>
      </c>
      <c r="B1602" s="2" t="s">
        <v>2551</v>
      </c>
      <c r="C1602" s="2" t="s">
        <v>2515</v>
      </c>
      <c r="D1602" s="2" t="s">
        <v>2528</v>
      </c>
      <c r="E1602" s="2" t="s">
        <v>2529</v>
      </c>
      <c r="F1602" s="3">
        <v>102033</v>
      </c>
      <c r="G1602" s="3">
        <v>3550</v>
      </c>
      <c r="H1602" s="3">
        <v>365</v>
      </c>
      <c r="I1602" s="4">
        <v>4691.45</v>
      </c>
      <c r="J1602" s="4">
        <v>29458.14</v>
      </c>
      <c r="K1602" s="3">
        <v>268</v>
      </c>
      <c r="L1602" s="2" t="s">
        <v>2518</v>
      </c>
      <c r="M1602" s="2" t="s">
        <v>2524</v>
      </c>
      <c r="N1602" t="str">
        <f>TRIM(PROPER(Tabla_auditoría[[#This Row],[ID_Campaña]]))</f>
        <v>Cmp-028</v>
      </c>
      <c r="O1602" t="str">
        <f>TRIM(PROPER(Tabla_auditoría[[#This Row],[Canal]]))</f>
        <v>Email</v>
      </c>
      <c r="P1602" t="str">
        <f>TRIM(PROPER(Tabla_auditoría[[#This Row],[País]]))</f>
        <v>España</v>
      </c>
      <c r="Q1602" t="str">
        <f>TRIM(PROPER(Tabla_auditoría[[#This Row],[Dispositivo]]))</f>
        <v>Mobile</v>
      </c>
      <c r="R1602" t="str">
        <f>TRIM(PROPER(Tabla_auditoría[[#This Row],[Tipo_Campaña]]))</f>
        <v>Adquisición</v>
      </c>
      <c r="S1602" t="str">
        <f>TRIM(PROPER(Tabla_auditoría[[#This Row],[Responsable]]))</f>
        <v>Luis Martín</v>
      </c>
    </row>
    <row r="1603" spans="1:19" x14ac:dyDescent="0.3">
      <c r="A1603" s="1">
        <v>46017</v>
      </c>
      <c r="B1603" s="2" t="s">
        <v>2545</v>
      </c>
      <c r="C1603" s="2" t="s">
        <v>2533</v>
      </c>
      <c r="D1603" s="2" t="s">
        <v>2528</v>
      </c>
      <c r="E1603" s="2" t="s">
        <v>2534</v>
      </c>
      <c r="F1603" s="3">
        <v>56132</v>
      </c>
      <c r="G1603" s="3">
        <v>4795</v>
      </c>
      <c r="H1603" s="3">
        <v>657</v>
      </c>
      <c r="I1603" s="4">
        <v>8067.37</v>
      </c>
      <c r="J1603" s="4">
        <v>16643.04</v>
      </c>
      <c r="K1603" s="3">
        <v>490</v>
      </c>
      <c r="L1603" s="2" t="s">
        <v>2539</v>
      </c>
      <c r="M1603" s="2" t="s">
        <v>2524</v>
      </c>
      <c r="N1603" t="str">
        <f>TRIM(PROPER(Tabla_auditoría[[#This Row],[ID_Campaña]]))</f>
        <v>Cmp-011</v>
      </c>
      <c r="O1603" t="str">
        <f>TRIM(PROPER(Tabla_auditoría[[#This Row],[Canal]]))</f>
        <v>Paid Social</v>
      </c>
      <c r="P1603" t="str">
        <f>TRIM(PROPER(Tabla_auditoría[[#This Row],[País]]))</f>
        <v>España</v>
      </c>
      <c r="Q1603" t="str">
        <f>TRIM(PROPER(Tabla_auditoría[[#This Row],[Dispositivo]]))</f>
        <v>Tablet</v>
      </c>
      <c r="R1603" t="str">
        <f>TRIM(PROPER(Tabla_auditoría[[#This Row],[Tipo_Campaña]]))</f>
        <v>Conversión</v>
      </c>
      <c r="S1603" t="str">
        <f>TRIM(PROPER(Tabla_auditoría[[#This Row],[Responsable]]))</f>
        <v>Luis Martín</v>
      </c>
    </row>
    <row r="1604" spans="1:19" x14ac:dyDescent="0.3">
      <c r="A1604" s="1">
        <v>46014</v>
      </c>
      <c r="B1604" s="2" t="s">
        <v>2566</v>
      </c>
      <c r="C1604" s="2" t="s">
        <v>2521</v>
      </c>
      <c r="D1604" s="2" t="s">
        <v>2516</v>
      </c>
      <c r="E1604" s="2" t="s">
        <v>2517</v>
      </c>
      <c r="F1604" s="3">
        <v>90513</v>
      </c>
      <c r="G1604" s="3">
        <v>6985</v>
      </c>
      <c r="H1604" s="3">
        <v>258</v>
      </c>
      <c r="I1604" s="4">
        <v>6921.46</v>
      </c>
      <c r="J1604" s="4">
        <v>14260.11</v>
      </c>
      <c r="K1604" s="3">
        <v>146</v>
      </c>
      <c r="L1604" s="2" t="s">
        <v>2539</v>
      </c>
      <c r="M1604" s="2" t="s">
        <v>2537</v>
      </c>
      <c r="N1604" t="str">
        <f>TRIM(PROPER(Tabla_auditoría[[#This Row],[ID_Campaña]]))</f>
        <v>Cmp-001</v>
      </c>
      <c r="O1604" t="str">
        <f>TRIM(PROPER(Tabla_auditoría[[#This Row],[Canal]]))</f>
        <v>Paid Search</v>
      </c>
      <c r="P1604" t="str">
        <f>TRIM(PROPER(Tabla_auditoría[[#This Row],[País]]))</f>
        <v>México</v>
      </c>
      <c r="Q1604" t="str">
        <f>TRIM(PROPER(Tabla_auditoría[[#This Row],[Dispositivo]]))</f>
        <v>Desktop</v>
      </c>
      <c r="R1604" t="str">
        <f>TRIM(PROPER(Tabla_auditoría[[#This Row],[Tipo_Campaña]]))</f>
        <v>Conversión</v>
      </c>
      <c r="S1604" t="str">
        <f>TRIM(PROPER(Tabla_auditoría[[#This Row],[Responsable]]))</f>
        <v>Marta López</v>
      </c>
    </row>
    <row r="1605" spans="1:19" x14ac:dyDescent="0.3">
      <c r="A1605" s="1">
        <v>45795</v>
      </c>
      <c r="B1605" s="2" t="s">
        <v>2520</v>
      </c>
      <c r="C1605" s="2" t="s">
        <v>2541</v>
      </c>
      <c r="D1605" s="2" t="s">
        <v>2522</v>
      </c>
      <c r="E1605" s="2" t="s">
        <v>2529</v>
      </c>
      <c r="F1605" s="3">
        <v>65699</v>
      </c>
      <c r="G1605" s="3">
        <v>1387</v>
      </c>
      <c r="H1605" s="3">
        <v>35</v>
      </c>
      <c r="I1605" s="4">
        <v>2659.35</v>
      </c>
      <c r="J1605" s="4">
        <v>4678.46</v>
      </c>
      <c r="K1605" s="3">
        <v>22</v>
      </c>
      <c r="L1605" s="2" t="s">
        <v>2539</v>
      </c>
      <c r="M1605" s="2" t="s">
        <v>2537</v>
      </c>
      <c r="N1605" t="str">
        <f>TRIM(PROPER(Tabla_auditoría[[#This Row],[ID_Campaña]]))</f>
        <v>Cmp-009</v>
      </c>
      <c r="O1605" t="str">
        <f>TRIM(PROPER(Tabla_auditoría[[#This Row],[Canal]]))</f>
        <v>Display</v>
      </c>
      <c r="P1605" t="str">
        <f>TRIM(PROPER(Tabla_auditoría[[#This Row],[País]]))</f>
        <v>Italia</v>
      </c>
      <c r="Q1605" t="str">
        <f>TRIM(PROPER(Tabla_auditoría[[#This Row],[Dispositivo]]))</f>
        <v>Mobile</v>
      </c>
      <c r="R1605" t="str">
        <f>TRIM(PROPER(Tabla_auditoría[[#This Row],[Tipo_Campaña]]))</f>
        <v>Conversión</v>
      </c>
      <c r="S1605" t="str">
        <f>TRIM(PROPER(Tabla_auditoría[[#This Row],[Responsable]]))</f>
        <v>Marta López</v>
      </c>
    </row>
    <row r="1606" spans="1:19" x14ac:dyDescent="0.3">
      <c r="A1606" s="1">
        <v>45951</v>
      </c>
      <c r="B1606" s="2" t="s">
        <v>2532</v>
      </c>
      <c r="C1606" s="2" t="s">
        <v>2533</v>
      </c>
      <c r="D1606" s="2" t="s">
        <v>2516</v>
      </c>
      <c r="E1606" s="2" t="s">
        <v>2517</v>
      </c>
      <c r="F1606" s="3">
        <v>66844</v>
      </c>
      <c r="G1606" s="3">
        <v>2803</v>
      </c>
      <c r="H1606" s="3">
        <v>166</v>
      </c>
      <c r="I1606" s="4">
        <v>4311.42</v>
      </c>
      <c r="J1606" s="4">
        <v>21428.29</v>
      </c>
      <c r="K1606" s="3">
        <v>129</v>
      </c>
      <c r="L1606" s="2" t="s">
        <v>2536</v>
      </c>
      <c r="M1606" s="2" t="s">
        <v>2546</v>
      </c>
      <c r="N1606" t="str">
        <f>TRIM(PROPER(Tabla_auditoría[[#This Row],[ID_Campaña]]))</f>
        <v>Cmp-022</v>
      </c>
      <c r="O1606" t="str">
        <f>TRIM(PROPER(Tabla_auditoría[[#This Row],[Canal]]))</f>
        <v>Paid Social</v>
      </c>
      <c r="P1606" t="str">
        <f>TRIM(PROPER(Tabla_auditoría[[#This Row],[País]]))</f>
        <v>México</v>
      </c>
      <c r="Q1606" t="str">
        <f>TRIM(PROPER(Tabla_auditoría[[#This Row],[Dispositivo]]))</f>
        <v>Desktop</v>
      </c>
      <c r="R1606" t="str">
        <f>TRIM(PROPER(Tabla_auditoría[[#This Row],[Tipo_Campaña]]))</f>
        <v>Reconocimiento</v>
      </c>
      <c r="S1606" t="str">
        <f>TRIM(PROPER(Tabla_auditoría[[#This Row],[Responsable]]))</f>
        <v>Ana García</v>
      </c>
    </row>
    <row r="1607" spans="1:19" x14ac:dyDescent="0.3">
      <c r="A1607" s="1">
        <v>45822</v>
      </c>
      <c r="B1607" s="2" t="s">
        <v>2568</v>
      </c>
      <c r="C1607" s="2" t="s">
        <v>2515</v>
      </c>
      <c r="D1607" s="2" t="s">
        <v>2528</v>
      </c>
      <c r="E1607" s="2" t="s">
        <v>2517</v>
      </c>
      <c r="F1607" s="3">
        <v>125492</v>
      </c>
      <c r="G1607" s="3">
        <v>2416</v>
      </c>
      <c r="H1607" s="3">
        <v>198</v>
      </c>
      <c r="I1607" s="4">
        <v>3077.51</v>
      </c>
      <c r="J1607" s="4">
        <v>3227.08</v>
      </c>
      <c r="K1607" s="3">
        <v>89</v>
      </c>
      <c r="L1607" s="2" t="s">
        <v>2518</v>
      </c>
      <c r="M1607" s="2" t="s">
        <v>2526</v>
      </c>
      <c r="N1607" t="str">
        <f>TRIM(PROPER(Tabla_auditoría[[#This Row],[ID_Campaña]]))</f>
        <v>Cmp-020</v>
      </c>
      <c r="O1607" t="str">
        <f>TRIM(PROPER(Tabla_auditoría[[#This Row],[Canal]]))</f>
        <v>Email</v>
      </c>
      <c r="P1607" t="str">
        <f>TRIM(PROPER(Tabla_auditoría[[#This Row],[País]]))</f>
        <v>España</v>
      </c>
      <c r="Q1607" t="str">
        <f>TRIM(PROPER(Tabla_auditoría[[#This Row],[Dispositivo]]))</f>
        <v>Desktop</v>
      </c>
      <c r="R1607" t="str">
        <f>TRIM(PROPER(Tabla_auditoría[[#This Row],[Tipo_Campaña]]))</f>
        <v>Adquisición</v>
      </c>
      <c r="S1607" t="str">
        <f>TRIM(PROPER(Tabla_auditoría[[#This Row],[Responsable]]))</f>
        <v>Laura Pérez</v>
      </c>
    </row>
    <row r="1608" spans="1:19" x14ac:dyDescent="0.3">
      <c r="A1608" s="1">
        <v>45764</v>
      </c>
      <c r="B1608" s="2" t="s">
        <v>2565</v>
      </c>
      <c r="C1608" s="2" t="s">
        <v>2543</v>
      </c>
      <c r="D1608" s="2" t="s">
        <v>2528</v>
      </c>
      <c r="E1608" s="2" t="s">
        <v>2561</v>
      </c>
      <c r="F1608" s="3">
        <v>71498</v>
      </c>
      <c r="G1608" s="3">
        <v>5021</v>
      </c>
      <c r="H1608" s="3">
        <v>510</v>
      </c>
      <c r="I1608" s="4">
        <v>9677.1</v>
      </c>
      <c r="J1608" s="4">
        <v>64149.66</v>
      </c>
      <c r="K1608" s="3">
        <v>297</v>
      </c>
      <c r="L1608" s="2" t="s">
        <v>2539</v>
      </c>
      <c r="M1608" s="2" t="s">
        <v>2546</v>
      </c>
      <c r="N1608" t="str">
        <f>TRIM(PROPER(Tabla_auditoría[[#This Row],[ID_Campaña]]))</f>
        <v>Cmp-005</v>
      </c>
      <c r="O1608" t="str">
        <f>TRIM(PROPER(Tabla_auditoría[[#This Row],[Canal]]))</f>
        <v>Organic Social</v>
      </c>
      <c r="P1608" t="str">
        <f>TRIM(PROPER(Tabla_auditoría[[#This Row],[País]]))</f>
        <v>España</v>
      </c>
      <c r="Q1608" t="str">
        <f>TRIM(PROPER(Tabla_auditoría[[#This Row],[Dispositivo]]))</f>
        <v>Mobile</v>
      </c>
      <c r="R1608" t="str">
        <f>TRIM(PROPER(Tabla_auditoría[[#This Row],[Tipo_Campaña]]))</f>
        <v>Conversión</v>
      </c>
      <c r="S1608" t="str">
        <f>TRIM(PROPER(Tabla_auditoría[[#This Row],[Responsable]]))</f>
        <v>Ana García</v>
      </c>
    </row>
    <row r="1609" spans="1:19" x14ac:dyDescent="0.3">
      <c r="A1609" s="1">
        <v>45697</v>
      </c>
      <c r="B1609" s="2" t="s">
        <v>2569</v>
      </c>
      <c r="C1609" s="2" t="s">
        <v>2521</v>
      </c>
      <c r="D1609" s="2" t="s">
        <v>2528</v>
      </c>
      <c r="E1609" s="2" t="s">
        <v>2529</v>
      </c>
      <c r="F1609" s="3">
        <v>91373</v>
      </c>
      <c r="G1609" s="3">
        <v>830</v>
      </c>
      <c r="H1609" s="3">
        <v>6</v>
      </c>
      <c r="I1609" s="4">
        <v>1088.79</v>
      </c>
      <c r="J1609" s="4">
        <v>299.73</v>
      </c>
      <c r="K1609" s="3">
        <v>3</v>
      </c>
      <c r="L1609" s="2" t="s">
        <v>2518</v>
      </c>
      <c r="M1609" s="2" t="s">
        <v>2537</v>
      </c>
      <c r="N1609" t="str">
        <f>TRIM(PROPER(Tabla_auditoría[[#This Row],[ID_Campaña]]))</f>
        <v>Cmp-013</v>
      </c>
      <c r="O1609" t="str">
        <f>TRIM(PROPER(Tabla_auditoría[[#This Row],[Canal]]))</f>
        <v>Paid Search</v>
      </c>
      <c r="P1609" t="str">
        <f>TRIM(PROPER(Tabla_auditoría[[#This Row],[País]]))</f>
        <v>España</v>
      </c>
      <c r="Q1609" t="str">
        <f>TRIM(PROPER(Tabla_auditoría[[#This Row],[Dispositivo]]))</f>
        <v>Mobile</v>
      </c>
      <c r="R1609" t="str">
        <f>TRIM(PROPER(Tabla_auditoría[[#This Row],[Tipo_Campaña]]))</f>
        <v>Adquisición</v>
      </c>
      <c r="S1609" t="str">
        <f>TRIM(PROPER(Tabla_auditoría[[#This Row],[Responsable]]))</f>
        <v>Marta López</v>
      </c>
    </row>
    <row r="1610" spans="1:19" x14ac:dyDescent="0.3">
      <c r="A1610" s="1">
        <v>45876</v>
      </c>
      <c r="B1610" s="2" t="s">
        <v>2567</v>
      </c>
      <c r="C1610" s="2" t="s">
        <v>2521</v>
      </c>
      <c r="D1610" s="2" t="s">
        <v>2525</v>
      </c>
      <c r="E1610" s="2" t="s">
        <v>2517</v>
      </c>
      <c r="F1610" s="3">
        <v>104043</v>
      </c>
      <c r="G1610" s="3">
        <v>3860</v>
      </c>
      <c r="H1610" s="3">
        <v>357</v>
      </c>
      <c r="I1610" s="4">
        <v>5329.12</v>
      </c>
      <c r="J1610" s="4">
        <v>30116.7</v>
      </c>
      <c r="K1610" s="3">
        <v>289</v>
      </c>
      <c r="L1610" s="2" t="s">
        <v>2523</v>
      </c>
      <c r="M1610" s="2" t="s">
        <v>2537</v>
      </c>
      <c r="N1610" t="str">
        <f>TRIM(PROPER(Tabla_auditoría[[#This Row],[ID_Campaña]]))</f>
        <v>Cmp-021</v>
      </c>
      <c r="O1610" t="str">
        <f>TRIM(PROPER(Tabla_auditoría[[#This Row],[Canal]]))</f>
        <v>Paid Search</v>
      </c>
      <c r="P1610" t="str">
        <f>TRIM(PROPER(Tabla_auditoría[[#This Row],[País]]))</f>
        <v>Francia</v>
      </c>
      <c r="Q1610" t="str">
        <f>TRIM(PROPER(Tabla_auditoría[[#This Row],[Dispositivo]]))</f>
        <v>Desktop</v>
      </c>
      <c r="R1610" t="str">
        <f>TRIM(PROPER(Tabla_auditoría[[#This Row],[Tipo_Campaña]]))</f>
        <v>Retención</v>
      </c>
      <c r="S1610" t="str">
        <f>TRIM(PROPER(Tabla_auditoría[[#This Row],[Responsable]]))</f>
        <v>Marta López</v>
      </c>
    </row>
    <row r="1611" spans="1:19" x14ac:dyDescent="0.3">
      <c r="A1611" s="1">
        <v>45901</v>
      </c>
      <c r="B1611" s="2" t="s">
        <v>2563</v>
      </c>
      <c r="C1611" s="2" t="s">
        <v>2541</v>
      </c>
      <c r="D1611" s="2" t="s">
        <v>2528</v>
      </c>
      <c r="E1611" s="2" t="s">
        <v>2517</v>
      </c>
      <c r="F1611" s="3">
        <v>17017</v>
      </c>
      <c r="G1611" s="3">
        <v>1368</v>
      </c>
      <c r="H1611" s="3">
        <v>175</v>
      </c>
      <c r="I1611" s="4">
        <v>2400.86</v>
      </c>
      <c r="J1611" s="4">
        <v>21806.97</v>
      </c>
      <c r="K1611" s="3">
        <v>139</v>
      </c>
      <c r="L1611" s="2" t="s">
        <v>2536</v>
      </c>
      <c r="M1611" s="2" t="s">
        <v>2524</v>
      </c>
      <c r="N1611" t="str">
        <f>TRIM(PROPER(Tabla_auditoría[[#This Row],[ID_Campaña]]))</f>
        <v>Cmp-023</v>
      </c>
      <c r="O1611" t="str">
        <f>TRIM(PROPER(Tabla_auditoría[[#This Row],[Canal]]))</f>
        <v>Display</v>
      </c>
      <c r="P1611" t="str">
        <f>TRIM(PROPER(Tabla_auditoría[[#This Row],[País]]))</f>
        <v>España</v>
      </c>
      <c r="Q1611" t="str">
        <f>TRIM(PROPER(Tabla_auditoría[[#This Row],[Dispositivo]]))</f>
        <v>Desktop</v>
      </c>
      <c r="R1611" t="str">
        <f>TRIM(PROPER(Tabla_auditoría[[#This Row],[Tipo_Campaña]]))</f>
        <v>Reconocimiento</v>
      </c>
      <c r="S1611" t="str">
        <f>TRIM(PROPER(Tabla_auditoría[[#This Row],[Responsable]]))</f>
        <v>Luis Martín</v>
      </c>
    </row>
    <row r="1612" spans="1:19" x14ac:dyDescent="0.3">
      <c r="A1612" s="1">
        <v>45999</v>
      </c>
      <c r="B1612" s="2" t="s">
        <v>2556</v>
      </c>
      <c r="C1612" s="2" t="s">
        <v>2533</v>
      </c>
      <c r="D1612" s="2" t="s">
        <v>2528</v>
      </c>
      <c r="E1612" s="2" t="s">
        <v>2517</v>
      </c>
      <c r="F1612" s="3">
        <v>22089</v>
      </c>
      <c r="G1612" s="3">
        <v>767</v>
      </c>
      <c r="H1612" s="3">
        <v>39</v>
      </c>
      <c r="I1612" s="4">
        <v>511.54</v>
      </c>
      <c r="J1612" s="4">
        <v>5509.86</v>
      </c>
      <c r="K1612" s="3">
        <v>32</v>
      </c>
      <c r="L1612" s="2" t="s">
        <v>2539</v>
      </c>
      <c r="M1612" s="2" t="s">
        <v>2519</v>
      </c>
      <c r="N1612" t="str">
        <f>TRIM(PROPER(Tabla_auditoría[[#This Row],[ID_Campaña]]))</f>
        <v>Cmp-014</v>
      </c>
      <c r="O1612" t="str">
        <f>TRIM(PROPER(Tabla_auditoría[[#This Row],[Canal]]))</f>
        <v>Paid Social</v>
      </c>
      <c r="P1612" t="str">
        <f>TRIM(PROPER(Tabla_auditoría[[#This Row],[País]]))</f>
        <v>España</v>
      </c>
      <c r="Q1612" t="str">
        <f>TRIM(PROPER(Tabla_auditoría[[#This Row],[Dispositivo]]))</f>
        <v>Desktop</v>
      </c>
      <c r="R1612" t="str">
        <f>TRIM(PROPER(Tabla_auditoría[[#This Row],[Tipo_Campaña]]))</f>
        <v>Conversión</v>
      </c>
      <c r="S1612" t="str">
        <f>TRIM(PROPER(Tabla_auditoría[[#This Row],[Responsable]]))</f>
        <v>Carlos Ruiz</v>
      </c>
    </row>
    <row r="1613" spans="1:19" x14ac:dyDescent="0.3">
      <c r="A1613" s="1">
        <v>45729</v>
      </c>
      <c r="B1613" s="2" t="s">
        <v>2551</v>
      </c>
      <c r="C1613" s="2" t="s">
        <v>2543</v>
      </c>
      <c r="D1613" s="2" t="s">
        <v>2528</v>
      </c>
      <c r="E1613" s="2" t="s">
        <v>2529</v>
      </c>
      <c r="F1613" s="3">
        <v>53503</v>
      </c>
      <c r="G1613" s="3">
        <v>2980</v>
      </c>
      <c r="H1613" s="3">
        <v>356</v>
      </c>
      <c r="I1613" s="4">
        <v>1686.23</v>
      </c>
      <c r="J1613" s="4">
        <v>28910.76</v>
      </c>
      <c r="K1613" s="3">
        <v>260</v>
      </c>
      <c r="L1613" s="2" t="s">
        <v>2518</v>
      </c>
      <c r="M1613" s="2" t="s">
        <v>2526</v>
      </c>
      <c r="N1613" t="str">
        <f>TRIM(PROPER(Tabla_auditoría[[#This Row],[ID_Campaña]]))</f>
        <v>Cmp-028</v>
      </c>
      <c r="O1613" t="str">
        <f>TRIM(PROPER(Tabla_auditoría[[#This Row],[Canal]]))</f>
        <v>Organic Social</v>
      </c>
      <c r="P1613" t="str">
        <f>TRIM(PROPER(Tabla_auditoría[[#This Row],[País]]))</f>
        <v>España</v>
      </c>
      <c r="Q1613" t="str">
        <f>TRIM(PROPER(Tabla_auditoría[[#This Row],[Dispositivo]]))</f>
        <v>Mobile</v>
      </c>
      <c r="R1613" t="str">
        <f>TRIM(PROPER(Tabla_auditoría[[#This Row],[Tipo_Campaña]]))</f>
        <v>Adquisición</v>
      </c>
      <c r="S1613" t="str">
        <f>TRIM(PROPER(Tabla_auditoría[[#This Row],[Responsable]]))</f>
        <v>Laura Pérez</v>
      </c>
    </row>
    <row r="1614" spans="1:19" x14ac:dyDescent="0.3">
      <c r="A1614" s="1">
        <v>45909</v>
      </c>
      <c r="B1614" s="2" t="s">
        <v>2554</v>
      </c>
      <c r="C1614" s="2" t="s">
        <v>2533</v>
      </c>
      <c r="D1614" s="2" t="s">
        <v>2525</v>
      </c>
      <c r="E1614" s="2" t="s">
        <v>2517</v>
      </c>
      <c r="F1614" s="3">
        <v>73951</v>
      </c>
      <c r="G1614" s="3">
        <v>2624</v>
      </c>
      <c r="H1614" s="3">
        <v>333</v>
      </c>
      <c r="I1614" s="4">
        <v>3254.98</v>
      </c>
      <c r="J1614" s="4">
        <v>23542.28</v>
      </c>
      <c r="K1614" s="3">
        <v>201</v>
      </c>
      <c r="L1614" s="2" t="s">
        <v>2539</v>
      </c>
      <c r="M1614" s="2" t="s">
        <v>2524</v>
      </c>
      <c r="N1614" t="str">
        <f>TRIM(PROPER(Tabla_auditoría[[#This Row],[ID_Campaña]]))</f>
        <v>Cmp-019</v>
      </c>
      <c r="O1614" t="str">
        <f>TRIM(PROPER(Tabla_auditoría[[#This Row],[Canal]]))</f>
        <v>Paid Social</v>
      </c>
      <c r="P1614" t="str">
        <f>TRIM(PROPER(Tabla_auditoría[[#This Row],[País]]))</f>
        <v>Francia</v>
      </c>
      <c r="Q1614" t="str">
        <f>TRIM(PROPER(Tabla_auditoría[[#This Row],[Dispositivo]]))</f>
        <v>Desktop</v>
      </c>
      <c r="R1614" t="str">
        <f>TRIM(PROPER(Tabla_auditoría[[#This Row],[Tipo_Campaña]]))</f>
        <v>Conversión</v>
      </c>
      <c r="S1614" t="str">
        <f>TRIM(PROPER(Tabla_auditoría[[#This Row],[Responsable]]))</f>
        <v>Luis Martín</v>
      </c>
    </row>
    <row r="1615" spans="1:19" x14ac:dyDescent="0.3">
      <c r="A1615" s="1">
        <v>45793</v>
      </c>
      <c r="B1615" s="2" t="s">
        <v>2514</v>
      </c>
      <c r="C1615" s="2" t="s">
        <v>2521</v>
      </c>
      <c r="D1615" s="2" t="s">
        <v>2522</v>
      </c>
      <c r="E1615" s="2" t="s">
        <v>2517</v>
      </c>
      <c r="F1615" s="3">
        <v>131478</v>
      </c>
      <c r="G1615" s="3">
        <v>5362</v>
      </c>
      <c r="H1615" s="3">
        <v>650</v>
      </c>
      <c r="I1615" s="4">
        <v>5076.24</v>
      </c>
      <c r="J1615" s="4">
        <v>120757.47</v>
      </c>
      <c r="K1615" s="3">
        <v>486</v>
      </c>
      <c r="L1615" s="2" t="s">
        <v>2518</v>
      </c>
      <c r="M1615" s="2" t="s">
        <v>2546</v>
      </c>
      <c r="N1615" t="str">
        <f>TRIM(PROPER(Tabla_auditoría[[#This Row],[ID_Campaña]]))</f>
        <v>Cmp-002</v>
      </c>
      <c r="O1615" t="str">
        <f>TRIM(PROPER(Tabla_auditoría[[#This Row],[Canal]]))</f>
        <v>Paid Search</v>
      </c>
      <c r="P1615" t="str">
        <f>TRIM(PROPER(Tabla_auditoría[[#This Row],[País]]))</f>
        <v>Italia</v>
      </c>
      <c r="Q1615" t="str">
        <f>TRIM(PROPER(Tabla_auditoría[[#This Row],[Dispositivo]]))</f>
        <v>Desktop</v>
      </c>
      <c r="R1615" t="str">
        <f>TRIM(PROPER(Tabla_auditoría[[#This Row],[Tipo_Campaña]]))</f>
        <v>Adquisición</v>
      </c>
      <c r="S1615" t="str">
        <f>TRIM(PROPER(Tabla_auditoría[[#This Row],[Responsable]]))</f>
        <v>Ana García</v>
      </c>
    </row>
    <row r="1616" spans="1:19" x14ac:dyDescent="0.3">
      <c r="A1616" s="1">
        <v>45831</v>
      </c>
      <c r="B1616" s="2" t="s">
        <v>2535</v>
      </c>
      <c r="C1616" s="2" t="s">
        <v>2543</v>
      </c>
      <c r="D1616" s="2" t="s">
        <v>2531</v>
      </c>
      <c r="E1616" s="2" t="s">
        <v>2529</v>
      </c>
      <c r="F1616" s="3">
        <v>65993</v>
      </c>
      <c r="G1616" s="3">
        <v>2080</v>
      </c>
      <c r="H1616" s="3">
        <v>53</v>
      </c>
      <c r="I1616" s="4">
        <v>1320.35</v>
      </c>
      <c r="J1616" s="4">
        <v>8882.56</v>
      </c>
      <c r="K1616" s="3">
        <v>24</v>
      </c>
      <c r="L1616" s="2" t="s">
        <v>2536</v>
      </c>
      <c r="M1616" s="2" t="s">
        <v>2537</v>
      </c>
      <c r="N1616" t="str">
        <f>TRIM(PROPER(Tabla_auditoría[[#This Row],[ID_Campaña]]))</f>
        <v>Cmp-015</v>
      </c>
      <c r="O1616" t="str">
        <f>TRIM(PROPER(Tabla_auditoría[[#This Row],[Canal]]))</f>
        <v>Organic Social</v>
      </c>
      <c r="P1616" t="str">
        <f>TRIM(PROPER(Tabla_auditoría[[#This Row],[País]]))</f>
        <v>Portugal</v>
      </c>
      <c r="Q1616" t="str">
        <f>TRIM(PROPER(Tabla_auditoría[[#This Row],[Dispositivo]]))</f>
        <v>Mobile</v>
      </c>
      <c r="R1616" t="str">
        <f>TRIM(PROPER(Tabla_auditoría[[#This Row],[Tipo_Campaña]]))</f>
        <v>Reconocimiento</v>
      </c>
      <c r="S1616" t="str">
        <f>TRIM(PROPER(Tabla_auditoría[[#This Row],[Responsable]]))</f>
        <v>Marta López</v>
      </c>
    </row>
    <row r="1617" spans="1:19" x14ac:dyDescent="0.3">
      <c r="A1617" s="1">
        <v>45888</v>
      </c>
      <c r="B1617" s="2" t="s">
        <v>2571</v>
      </c>
      <c r="C1617" s="2" t="s">
        <v>2521</v>
      </c>
      <c r="D1617" s="2" t="s">
        <v>2516</v>
      </c>
      <c r="E1617" s="2" t="s">
        <v>2517</v>
      </c>
      <c r="F1617" s="3">
        <v>59500</v>
      </c>
      <c r="G1617" s="3">
        <v>2120</v>
      </c>
      <c r="H1617" s="3">
        <v>111</v>
      </c>
      <c r="I1617" s="4">
        <v>2125.35</v>
      </c>
      <c r="J1617" s="4">
        <v>10947.21</v>
      </c>
      <c r="K1617" s="3">
        <v>58</v>
      </c>
      <c r="L1617" s="2" t="s">
        <v>2536</v>
      </c>
      <c r="M1617" s="2" t="s">
        <v>2526</v>
      </c>
      <c r="N1617" t="str">
        <f>TRIM(PROPER(Tabla_auditoría[[#This Row],[ID_Campaña]]))</f>
        <v>Cmp-029</v>
      </c>
      <c r="O1617" t="str">
        <f>TRIM(PROPER(Tabla_auditoría[[#This Row],[Canal]]))</f>
        <v>Paid Search</v>
      </c>
      <c r="P1617" t="str">
        <f>TRIM(PROPER(Tabla_auditoría[[#This Row],[País]]))</f>
        <v>México</v>
      </c>
      <c r="Q1617" t="str">
        <f>TRIM(PROPER(Tabla_auditoría[[#This Row],[Dispositivo]]))</f>
        <v>Desktop</v>
      </c>
      <c r="R1617" t="str">
        <f>TRIM(PROPER(Tabla_auditoría[[#This Row],[Tipo_Campaña]]))</f>
        <v>Reconocimiento</v>
      </c>
      <c r="S1617" t="str">
        <f>TRIM(PROPER(Tabla_auditoría[[#This Row],[Responsable]]))</f>
        <v>Laura Pérez</v>
      </c>
    </row>
    <row r="1618" spans="1:19" x14ac:dyDescent="0.3">
      <c r="A1618" s="1">
        <v>45858</v>
      </c>
      <c r="B1618" s="2" t="s">
        <v>2544</v>
      </c>
      <c r="C1618" s="2" t="s">
        <v>2543</v>
      </c>
      <c r="D1618" s="2" t="s">
        <v>2528</v>
      </c>
      <c r="E1618" s="2" t="s">
        <v>2529</v>
      </c>
      <c r="F1618" s="3">
        <v>137385</v>
      </c>
      <c r="G1618" s="3">
        <v>12227</v>
      </c>
      <c r="H1618" s="3">
        <v>1349</v>
      </c>
      <c r="I1618" s="4">
        <v>24381.01</v>
      </c>
      <c r="J1618" s="4">
        <v>265670.28000000003</v>
      </c>
      <c r="K1618" s="3">
        <v>720</v>
      </c>
      <c r="L1618" s="2" t="s">
        <v>2523</v>
      </c>
      <c r="M1618" s="2" t="s">
        <v>2526</v>
      </c>
      <c r="N1618" t="str">
        <f>TRIM(PROPER(Tabla_auditoría[[#This Row],[ID_Campaña]]))</f>
        <v>Cmp-006</v>
      </c>
      <c r="O1618" t="str">
        <f>TRIM(PROPER(Tabla_auditoría[[#This Row],[Canal]]))</f>
        <v>Organic Social</v>
      </c>
      <c r="P1618" t="str">
        <f>TRIM(PROPER(Tabla_auditoría[[#This Row],[País]]))</f>
        <v>España</v>
      </c>
      <c r="Q1618" t="str">
        <f>TRIM(PROPER(Tabla_auditoría[[#This Row],[Dispositivo]]))</f>
        <v>Mobile</v>
      </c>
      <c r="R1618" t="str">
        <f>TRIM(PROPER(Tabla_auditoría[[#This Row],[Tipo_Campaña]]))</f>
        <v>Retención</v>
      </c>
      <c r="S1618" t="str">
        <f>TRIM(PROPER(Tabla_auditoría[[#This Row],[Responsable]]))</f>
        <v>Laura Pérez</v>
      </c>
    </row>
    <row r="1619" spans="1:19" x14ac:dyDescent="0.3">
      <c r="A1619" s="1">
        <v>45755</v>
      </c>
      <c r="B1619" s="2" t="s">
        <v>2574</v>
      </c>
      <c r="C1619" s="2" t="s">
        <v>2533</v>
      </c>
      <c r="D1619" s="2" t="s">
        <v>2528</v>
      </c>
      <c r="E1619" s="2" t="s">
        <v>2529</v>
      </c>
      <c r="F1619" s="3">
        <v>5924</v>
      </c>
      <c r="G1619" s="3">
        <v>36</v>
      </c>
      <c r="H1619" s="3">
        <v>4</v>
      </c>
      <c r="I1619" s="4">
        <v>10.82</v>
      </c>
      <c r="J1619" s="4">
        <v>744.24</v>
      </c>
      <c r="K1619" s="3">
        <v>3</v>
      </c>
      <c r="L1619" s="2" t="s">
        <v>2539</v>
      </c>
      <c r="M1619" s="2" t="s">
        <v>2537</v>
      </c>
      <c r="N1619" t="str">
        <f>TRIM(PROPER(Tabla_auditoría[[#This Row],[ID_Campaña]]))</f>
        <v>Cmp-003</v>
      </c>
      <c r="O1619" t="str">
        <f>TRIM(PROPER(Tabla_auditoría[[#This Row],[Canal]]))</f>
        <v>Paid Social</v>
      </c>
      <c r="P1619" t="str">
        <f>TRIM(PROPER(Tabla_auditoría[[#This Row],[País]]))</f>
        <v>España</v>
      </c>
      <c r="Q1619" t="str">
        <f>TRIM(PROPER(Tabla_auditoría[[#This Row],[Dispositivo]]))</f>
        <v>Mobile</v>
      </c>
      <c r="R1619" t="str">
        <f>TRIM(PROPER(Tabla_auditoría[[#This Row],[Tipo_Campaña]]))</f>
        <v>Conversión</v>
      </c>
      <c r="S1619" t="str">
        <f>TRIM(PROPER(Tabla_auditoría[[#This Row],[Responsable]]))</f>
        <v>Marta López</v>
      </c>
    </row>
    <row r="1620" spans="1:19" x14ac:dyDescent="0.3">
      <c r="A1620" s="1">
        <v>45846</v>
      </c>
      <c r="B1620" s="2" t="s">
        <v>2520</v>
      </c>
      <c r="C1620" s="2" t="s">
        <v>2521</v>
      </c>
      <c r="D1620" s="2" t="s">
        <v>2516</v>
      </c>
      <c r="E1620" s="2" t="s">
        <v>2534</v>
      </c>
      <c r="F1620" s="3">
        <v>122849</v>
      </c>
      <c r="G1620" s="3">
        <v>8784</v>
      </c>
      <c r="H1620" s="3">
        <v>175</v>
      </c>
      <c r="I1620" s="4">
        <v>2448.02</v>
      </c>
      <c r="J1620" s="4">
        <v>27271.61</v>
      </c>
      <c r="K1620" s="3">
        <v>102</v>
      </c>
      <c r="L1620" s="2" t="s">
        <v>2539</v>
      </c>
      <c r="M1620" s="2" t="s">
        <v>2526</v>
      </c>
      <c r="N1620" t="str">
        <f>TRIM(PROPER(Tabla_auditoría[[#This Row],[ID_Campaña]]))</f>
        <v>Cmp-009</v>
      </c>
      <c r="O1620" t="str">
        <f>TRIM(PROPER(Tabla_auditoría[[#This Row],[Canal]]))</f>
        <v>Paid Search</v>
      </c>
      <c r="P1620" t="str">
        <f>TRIM(PROPER(Tabla_auditoría[[#This Row],[País]]))</f>
        <v>México</v>
      </c>
      <c r="Q1620" t="str">
        <f>TRIM(PROPER(Tabla_auditoría[[#This Row],[Dispositivo]]))</f>
        <v>Tablet</v>
      </c>
      <c r="R1620" t="str">
        <f>TRIM(PROPER(Tabla_auditoría[[#This Row],[Tipo_Campaña]]))</f>
        <v>Conversión</v>
      </c>
      <c r="S1620" t="str">
        <f>TRIM(PROPER(Tabla_auditoría[[#This Row],[Responsable]]))</f>
        <v>Laura Pérez</v>
      </c>
    </row>
    <row r="1621" spans="1:19" x14ac:dyDescent="0.3">
      <c r="A1621" s="1">
        <v>45956</v>
      </c>
      <c r="B1621" s="2" t="s">
        <v>2552</v>
      </c>
      <c r="C1621" s="2" t="s">
        <v>2527</v>
      </c>
      <c r="D1621" s="2" t="s">
        <v>2525</v>
      </c>
      <c r="E1621" s="2" t="s">
        <v>2517</v>
      </c>
      <c r="F1621" s="3">
        <v>57201</v>
      </c>
      <c r="G1621" s="3">
        <v>462</v>
      </c>
      <c r="H1621" s="3">
        <v>9</v>
      </c>
      <c r="I1621" s="4">
        <v>624.30999999999995</v>
      </c>
      <c r="J1621" s="4">
        <v>651.48</v>
      </c>
      <c r="K1621" s="3">
        <v>5</v>
      </c>
      <c r="L1621" s="2" t="s">
        <v>2523</v>
      </c>
      <c r="M1621" s="2" t="s">
        <v>2524</v>
      </c>
      <c r="N1621" t="str">
        <f>TRIM(PROPER(Tabla_auditoría[[#This Row],[ID_Campaña]]))</f>
        <v>Cmp-012</v>
      </c>
      <c r="O1621" t="str">
        <f>TRIM(PROPER(Tabla_auditoría[[#This Row],[Canal]]))</f>
        <v>Affiliate</v>
      </c>
      <c r="P1621" t="str">
        <f>TRIM(PROPER(Tabla_auditoría[[#This Row],[País]]))</f>
        <v>Francia</v>
      </c>
      <c r="Q1621" t="str">
        <f>TRIM(PROPER(Tabla_auditoría[[#This Row],[Dispositivo]]))</f>
        <v>Desktop</v>
      </c>
      <c r="R1621" t="str">
        <f>TRIM(PROPER(Tabla_auditoría[[#This Row],[Tipo_Campaña]]))</f>
        <v>Retención</v>
      </c>
      <c r="S1621" t="str">
        <f>TRIM(PROPER(Tabla_auditoría[[#This Row],[Responsable]]))</f>
        <v>Luis Martín</v>
      </c>
    </row>
    <row r="1622" spans="1:19" x14ac:dyDescent="0.3">
      <c r="A1622" s="1">
        <v>45863</v>
      </c>
      <c r="B1622" s="2" t="s">
        <v>2547</v>
      </c>
      <c r="C1622" s="2" t="s">
        <v>2533</v>
      </c>
      <c r="D1622" s="2" t="s">
        <v>2525</v>
      </c>
      <c r="E1622" s="2" t="s">
        <v>2517</v>
      </c>
      <c r="F1622" s="3">
        <v>98819</v>
      </c>
      <c r="G1622" s="3">
        <v>672</v>
      </c>
      <c r="H1622" s="3">
        <v>74</v>
      </c>
      <c r="I1622" s="4">
        <v>261.18</v>
      </c>
      <c r="J1622" s="4">
        <v>6994.36</v>
      </c>
      <c r="K1622" s="3">
        <v>63</v>
      </c>
      <c r="L1622" s="2" t="s">
        <v>2523</v>
      </c>
      <c r="M1622" s="2" t="s">
        <v>2524</v>
      </c>
      <c r="N1622" t="str">
        <f>TRIM(PROPER(Tabla_auditoría[[#This Row],[ID_Campaña]]))</f>
        <v>Cmp-018</v>
      </c>
      <c r="O1622" t="str">
        <f>TRIM(PROPER(Tabla_auditoría[[#This Row],[Canal]]))</f>
        <v>Paid Social</v>
      </c>
      <c r="P1622" t="str">
        <f>TRIM(PROPER(Tabla_auditoría[[#This Row],[País]]))</f>
        <v>Francia</v>
      </c>
      <c r="Q1622" t="str">
        <f>TRIM(PROPER(Tabla_auditoría[[#This Row],[Dispositivo]]))</f>
        <v>Desktop</v>
      </c>
      <c r="R1622" t="str">
        <f>TRIM(PROPER(Tabla_auditoría[[#This Row],[Tipo_Campaña]]))</f>
        <v>Retención</v>
      </c>
      <c r="S1622" t="str">
        <f>TRIM(PROPER(Tabla_auditoría[[#This Row],[Responsable]]))</f>
        <v>Luis Martín</v>
      </c>
    </row>
    <row r="1623" spans="1:19" x14ac:dyDescent="0.3">
      <c r="A1623" s="1">
        <v>46022</v>
      </c>
      <c r="B1623" s="2" t="s">
        <v>2532</v>
      </c>
      <c r="C1623" s="2" t="s">
        <v>2521</v>
      </c>
      <c r="D1623" s="2" t="s">
        <v>2516</v>
      </c>
      <c r="E1623" s="2" t="s">
        <v>2534</v>
      </c>
      <c r="F1623" s="3">
        <v>43699</v>
      </c>
      <c r="G1623" s="3">
        <v>3745</v>
      </c>
      <c r="H1623" s="3">
        <v>163</v>
      </c>
      <c r="I1623" s="4">
        <v>2934.64</v>
      </c>
      <c r="J1623" s="4">
        <v>3744.79</v>
      </c>
      <c r="K1623" s="3">
        <v>132</v>
      </c>
      <c r="L1623" s="2" t="s">
        <v>2536</v>
      </c>
      <c r="M1623" s="2" t="s">
        <v>2526</v>
      </c>
      <c r="N1623" t="str">
        <f>TRIM(PROPER(Tabla_auditoría[[#This Row],[ID_Campaña]]))</f>
        <v>Cmp-022</v>
      </c>
      <c r="O1623" t="str">
        <f>TRIM(PROPER(Tabla_auditoría[[#This Row],[Canal]]))</f>
        <v>Paid Search</v>
      </c>
      <c r="P1623" t="str">
        <f>TRIM(PROPER(Tabla_auditoría[[#This Row],[País]]))</f>
        <v>México</v>
      </c>
      <c r="Q1623" t="str">
        <f>TRIM(PROPER(Tabla_auditoría[[#This Row],[Dispositivo]]))</f>
        <v>Tablet</v>
      </c>
      <c r="R1623" t="str">
        <f>TRIM(PROPER(Tabla_auditoría[[#This Row],[Tipo_Campaña]]))</f>
        <v>Reconocimiento</v>
      </c>
      <c r="S1623" t="str">
        <f>TRIM(PROPER(Tabla_auditoría[[#This Row],[Responsable]]))</f>
        <v>Laura Pérez</v>
      </c>
    </row>
    <row r="1624" spans="1:19" x14ac:dyDescent="0.3">
      <c r="A1624" s="1">
        <v>45976</v>
      </c>
      <c r="B1624" s="2" t="s">
        <v>2514</v>
      </c>
      <c r="C1624" s="2" t="s">
        <v>2515</v>
      </c>
      <c r="D1624" s="2" t="s">
        <v>2580</v>
      </c>
      <c r="E1624" s="2" t="s">
        <v>2517</v>
      </c>
      <c r="F1624" s="3">
        <v>171047</v>
      </c>
      <c r="G1624" s="3">
        <v>2182</v>
      </c>
      <c r="H1624" s="3">
        <v>155</v>
      </c>
      <c r="I1624" s="4">
        <v>2980.57</v>
      </c>
      <c r="J1624" s="4">
        <v>18902.5</v>
      </c>
      <c r="K1624" s="3">
        <v>94</v>
      </c>
      <c r="L1624" s="2" t="s">
        <v>2518</v>
      </c>
      <c r="M1624" s="2" t="s">
        <v>2524</v>
      </c>
      <c r="N1624" t="str">
        <f>TRIM(PROPER(Tabla_auditoría[[#This Row],[ID_Campaña]]))</f>
        <v>Cmp-002</v>
      </c>
      <c r="O1624" t="str">
        <f>TRIM(PROPER(Tabla_auditoría[[#This Row],[Canal]]))</f>
        <v>Email</v>
      </c>
      <c r="P1624" t="str">
        <f>TRIM(PROPER(Tabla_auditoría[[#This Row],[País]]))</f>
        <v>México</v>
      </c>
      <c r="Q1624" t="str">
        <f>TRIM(PROPER(Tabla_auditoría[[#This Row],[Dispositivo]]))</f>
        <v>Desktop</v>
      </c>
      <c r="R1624" t="str">
        <f>TRIM(PROPER(Tabla_auditoría[[#This Row],[Tipo_Campaña]]))</f>
        <v>Adquisición</v>
      </c>
      <c r="S1624" t="str">
        <f>TRIM(PROPER(Tabla_auditoría[[#This Row],[Responsable]]))</f>
        <v>Luis Martín</v>
      </c>
    </row>
    <row r="1625" spans="1:19" x14ac:dyDescent="0.3">
      <c r="A1625" s="1">
        <v>45912</v>
      </c>
      <c r="B1625" s="2" t="s">
        <v>2535</v>
      </c>
      <c r="C1625" s="2" t="s">
        <v>2515</v>
      </c>
      <c r="D1625" s="2" t="s">
        <v>2573</v>
      </c>
      <c r="E1625" s="2" t="s">
        <v>2517</v>
      </c>
      <c r="F1625" s="3">
        <v>144284</v>
      </c>
      <c r="G1625" s="3">
        <v>7528</v>
      </c>
      <c r="H1625" s="3">
        <v>501</v>
      </c>
      <c r="I1625" s="4">
        <v>14677.35</v>
      </c>
      <c r="J1625" s="4">
        <v>94154.6</v>
      </c>
      <c r="K1625" s="3">
        <v>329</v>
      </c>
      <c r="L1625" s="2" t="s">
        <v>2536</v>
      </c>
      <c r="M1625" s="2" t="s">
        <v>2537</v>
      </c>
      <c r="N1625" t="str">
        <f>TRIM(PROPER(Tabla_auditoría[[#This Row],[ID_Campaña]]))</f>
        <v>Cmp-015</v>
      </c>
      <c r="O1625" t="str">
        <f>TRIM(PROPER(Tabla_auditoría[[#This Row],[Canal]]))</f>
        <v>Email</v>
      </c>
      <c r="P1625" t="str">
        <f>TRIM(PROPER(Tabla_auditoría[[#This Row],[País]]))</f>
        <v>España</v>
      </c>
      <c r="Q1625" t="str">
        <f>TRIM(PROPER(Tabla_auditoría[[#This Row],[Dispositivo]]))</f>
        <v>Desktop</v>
      </c>
      <c r="R1625" t="str">
        <f>TRIM(PROPER(Tabla_auditoría[[#This Row],[Tipo_Campaña]]))</f>
        <v>Reconocimiento</v>
      </c>
      <c r="S1625" t="str">
        <f>TRIM(PROPER(Tabla_auditoría[[#This Row],[Responsable]]))</f>
        <v>Marta López</v>
      </c>
    </row>
    <row r="1626" spans="1:19" x14ac:dyDescent="0.3">
      <c r="A1626" s="1">
        <v>45895</v>
      </c>
      <c r="B1626" s="2" t="s">
        <v>2554</v>
      </c>
      <c r="C1626" s="2" t="s">
        <v>2515</v>
      </c>
      <c r="D1626" s="2" t="s">
        <v>2528</v>
      </c>
      <c r="E1626" s="2" t="s">
        <v>2529</v>
      </c>
      <c r="F1626" s="3">
        <v>78711</v>
      </c>
      <c r="G1626" s="3">
        <v>5756</v>
      </c>
      <c r="H1626" s="3">
        <v>611</v>
      </c>
      <c r="I1626" s="4">
        <v>2861.34</v>
      </c>
      <c r="J1626" s="4">
        <v>99760.57</v>
      </c>
      <c r="K1626" s="3">
        <v>522</v>
      </c>
      <c r="L1626" s="2" t="s">
        <v>2523</v>
      </c>
      <c r="M1626" s="2" t="s">
        <v>2537</v>
      </c>
      <c r="N1626" t="str">
        <f>TRIM(PROPER(Tabla_auditoría[[#This Row],[ID_Campaña]]))</f>
        <v>Cmp-019</v>
      </c>
      <c r="O1626" t="str">
        <f>TRIM(PROPER(Tabla_auditoría[[#This Row],[Canal]]))</f>
        <v>Email</v>
      </c>
      <c r="P1626" t="str">
        <f>TRIM(PROPER(Tabla_auditoría[[#This Row],[País]]))</f>
        <v>España</v>
      </c>
      <c r="Q1626" t="str">
        <f>TRIM(PROPER(Tabla_auditoría[[#This Row],[Dispositivo]]))</f>
        <v>Mobile</v>
      </c>
      <c r="R1626" t="str">
        <f>TRIM(PROPER(Tabla_auditoría[[#This Row],[Tipo_Campaña]]))</f>
        <v>Retención</v>
      </c>
      <c r="S1626" t="str">
        <f>TRIM(PROPER(Tabla_auditoría[[#This Row],[Responsable]]))</f>
        <v>Marta López</v>
      </c>
    </row>
    <row r="1627" spans="1:19" x14ac:dyDescent="0.3">
      <c r="A1627" s="1">
        <v>45880</v>
      </c>
      <c r="B1627" s="2" t="s">
        <v>2532</v>
      </c>
      <c r="C1627" s="2" t="s">
        <v>2515</v>
      </c>
      <c r="D1627" s="2" t="s">
        <v>2525</v>
      </c>
      <c r="E1627" s="2" t="s">
        <v>2529</v>
      </c>
      <c r="F1627" s="3">
        <v>77997</v>
      </c>
      <c r="G1627" s="3">
        <v>1274</v>
      </c>
      <c r="H1627" s="3">
        <v>94</v>
      </c>
      <c r="I1627" s="4">
        <v>1441.47</v>
      </c>
      <c r="J1627" s="4">
        <v>5544.5</v>
      </c>
      <c r="K1627" s="3">
        <v>73</v>
      </c>
      <c r="L1627" s="2" t="s">
        <v>2518</v>
      </c>
      <c r="M1627" s="2" t="s">
        <v>2524</v>
      </c>
      <c r="N1627" t="str">
        <f>TRIM(PROPER(Tabla_auditoría[[#This Row],[ID_Campaña]]))</f>
        <v>Cmp-022</v>
      </c>
      <c r="O1627" t="str">
        <f>TRIM(PROPER(Tabla_auditoría[[#This Row],[Canal]]))</f>
        <v>Email</v>
      </c>
      <c r="P1627" t="str">
        <f>TRIM(PROPER(Tabla_auditoría[[#This Row],[País]]))</f>
        <v>Francia</v>
      </c>
      <c r="Q1627" t="str">
        <f>TRIM(PROPER(Tabla_auditoría[[#This Row],[Dispositivo]]))</f>
        <v>Mobile</v>
      </c>
      <c r="R1627" t="str">
        <f>TRIM(PROPER(Tabla_auditoría[[#This Row],[Tipo_Campaña]]))</f>
        <v>Adquisición</v>
      </c>
      <c r="S1627" t="str">
        <f>TRIM(PROPER(Tabla_auditoría[[#This Row],[Responsable]]))</f>
        <v>Luis Martín</v>
      </c>
    </row>
    <row r="1628" spans="1:19" x14ac:dyDescent="0.3">
      <c r="A1628" s="1">
        <v>45684</v>
      </c>
      <c r="B1628" s="2" t="s">
        <v>2567</v>
      </c>
      <c r="C1628" s="2" t="s">
        <v>2533</v>
      </c>
      <c r="D1628" s="2" t="s">
        <v>2525</v>
      </c>
      <c r="E1628" s="2" t="s">
        <v>2534</v>
      </c>
      <c r="F1628" s="3">
        <v>165204</v>
      </c>
      <c r="G1628" s="3">
        <v>12204</v>
      </c>
      <c r="H1628" s="3">
        <v>470</v>
      </c>
      <c r="I1628" s="4">
        <v>10390.040000000001</v>
      </c>
      <c r="J1628" s="4">
        <v>80861.14</v>
      </c>
      <c r="K1628" s="3">
        <v>408</v>
      </c>
      <c r="L1628" s="2" t="s">
        <v>2518</v>
      </c>
      <c r="M1628" s="2" t="s">
        <v>2526</v>
      </c>
      <c r="N1628" t="str">
        <f>TRIM(PROPER(Tabla_auditoría[[#This Row],[ID_Campaña]]))</f>
        <v>Cmp-021</v>
      </c>
      <c r="O1628" t="str">
        <f>TRIM(PROPER(Tabla_auditoría[[#This Row],[Canal]]))</f>
        <v>Paid Social</v>
      </c>
      <c r="P1628" t="str">
        <f>TRIM(PROPER(Tabla_auditoría[[#This Row],[País]]))</f>
        <v>Francia</v>
      </c>
      <c r="Q1628" t="str">
        <f>TRIM(PROPER(Tabla_auditoría[[#This Row],[Dispositivo]]))</f>
        <v>Tablet</v>
      </c>
      <c r="R1628" t="str">
        <f>TRIM(PROPER(Tabla_auditoría[[#This Row],[Tipo_Campaña]]))</f>
        <v>Adquisición</v>
      </c>
      <c r="S1628" t="str">
        <f>TRIM(PROPER(Tabla_auditoría[[#This Row],[Responsable]]))</f>
        <v>Laura Pérez</v>
      </c>
    </row>
    <row r="1629" spans="1:19" x14ac:dyDescent="0.3">
      <c r="A1629" s="1">
        <v>45808</v>
      </c>
      <c r="B1629" s="2" t="s">
        <v>2563</v>
      </c>
      <c r="C1629" s="2" t="s">
        <v>2521</v>
      </c>
      <c r="D1629" s="2" t="s">
        <v>2528</v>
      </c>
      <c r="E1629" s="2" t="s">
        <v>2517</v>
      </c>
      <c r="F1629" s="3">
        <v>174851</v>
      </c>
      <c r="G1629" s="3">
        <v>3727</v>
      </c>
      <c r="H1629" s="3">
        <v>90</v>
      </c>
      <c r="I1629" s="4">
        <v>1228.3599999999999</v>
      </c>
      <c r="J1629" s="4">
        <v>9191.2900000000009</v>
      </c>
      <c r="K1629" s="3">
        <v>64</v>
      </c>
      <c r="L1629" s="2" t="s">
        <v>2536</v>
      </c>
      <c r="M1629" s="2" t="s">
        <v>2519</v>
      </c>
      <c r="N1629" t="str">
        <f>TRIM(PROPER(Tabla_auditoría[[#This Row],[ID_Campaña]]))</f>
        <v>Cmp-023</v>
      </c>
      <c r="O1629" t="str">
        <f>TRIM(PROPER(Tabla_auditoría[[#This Row],[Canal]]))</f>
        <v>Paid Search</v>
      </c>
      <c r="P1629" t="str">
        <f>TRIM(PROPER(Tabla_auditoría[[#This Row],[País]]))</f>
        <v>España</v>
      </c>
      <c r="Q1629" t="str">
        <f>TRIM(PROPER(Tabla_auditoría[[#This Row],[Dispositivo]]))</f>
        <v>Desktop</v>
      </c>
      <c r="R1629" t="str">
        <f>TRIM(PROPER(Tabla_auditoría[[#This Row],[Tipo_Campaña]]))</f>
        <v>Reconocimiento</v>
      </c>
      <c r="S1629" t="str">
        <f>TRIM(PROPER(Tabla_auditoría[[#This Row],[Responsable]]))</f>
        <v>Carlos Ruiz</v>
      </c>
    </row>
    <row r="1630" spans="1:19" x14ac:dyDescent="0.3">
      <c r="A1630" s="1">
        <v>45725</v>
      </c>
      <c r="B1630" s="2" t="s">
        <v>2530</v>
      </c>
      <c r="C1630" s="2" t="s">
        <v>2543</v>
      </c>
      <c r="D1630" s="2" t="s">
        <v>2528</v>
      </c>
      <c r="E1630" s="2" t="s">
        <v>2517</v>
      </c>
      <c r="F1630" s="3">
        <v>59836</v>
      </c>
      <c r="G1630" s="3">
        <v>2678</v>
      </c>
      <c r="H1630" s="3">
        <v>277</v>
      </c>
      <c r="I1630" s="4">
        <v>2101.9</v>
      </c>
      <c r="J1630" s="4">
        <v>9658.89</v>
      </c>
      <c r="K1630" s="3">
        <v>209</v>
      </c>
      <c r="L1630" s="2" t="s">
        <v>2539</v>
      </c>
      <c r="M1630" s="2" t="s">
        <v>2537</v>
      </c>
      <c r="N1630" t="str">
        <f>TRIM(PROPER(Tabla_auditoría[[#This Row],[ID_Campaña]]))</f>
        <v>Cmp-026</v>
      </c>
      <c r="O1630" t="str">
        <f>TRIM(PROPER(Tabla_auditoría[[#This Row],[Canal]]))</f>
        <v>Organic Social</v>
      </c>
      <c r="P1630" t="str">
        <f>TRIM(PROPER(Tabla_auditoría[[#This Row],[País]]))</f>
        <v>España</v>
      </c>
      <c r="Q1630" t="str">
        <f>TRIM(PROPER(Tabla_auditoría[[#This Row],[Dispositivo]]))</f>
        <v>Desktop</v>
      </c>
      <c r="R1630" t="str">
        <f>TRIM(PROPER(Tabla_auditoría[[#This Row],[Tipo_Campaña]]))</f>
        <v>Conversión</v>
      </c>
      <c r="S1630" t="str">
        <f>TRIM(PROPER(Tabla_auditoría[[#This Row],[Responsable]]))</f>
        <v>Marta López</v>
      </c>
    </row>
    <row r="1631" spans="1:19" x14ac:dyDescent="0.3">
      <c r="A1631" s="1">
        <v>45932</v>
      </c>
      <c r="B1631" s="2" t="s">
        <v>2570</v>
      </c>
      <c r="C1631" s="2" t="s">
        <v>2527</v>
      </c>
      <c r="D1631" s="2" t="s">
        <v>2525</v>
      </c>
      <c r="E1631" s="2" t="s">
        <v>2529</v>
      </c>
      <c r="F1631" s="3">
        <v>53631</v>
      </c>
      <c r="G1631" s="3">
        <v>1537</v>
      </c>
      <c r="H1631" s="3">
        <v>68</v>
      </c>
      <c r="I1631" s="4">
        <v>2958.95</v>
      </c>
      <c r="J1631" s="4">
        <v>4047.44</v>
      </c>
      <c r="K1631" s="3">
        <v>31</v>
      </c>
      <c r="L1631" s="2" t="s">
        <v>2523</v>
      </c>
      <c r="M1631" s="2" t="s">
        <v>2519</v>
      </c>
      <c r="N1631" t="str">
        <f>TRIM(PROPER(Tabla_auditoría[[#This Row],[ID_Campaña]]))</f>
        <v>Cmp-016</v>
      </c>
      <c r="O1631" t="str">
        <f>TRIM(PROPER(Tabla_auditoría[[#This Row],[Canal]]))</f>
        <v>Affiliate</v>
      </c>
      <c r="P1631" t="str">
        <f>TRIM(PROPER(Tabla_auditoría[[#This Row],[País]]))</f>
        <v>Francia</v>
      </c>
      <c r="Q1631" t="str">
        <f>TRIM(PROPER(Tabla_auditoría[[#This Row],[Dispositivo]]))</f>
        <v>Mobile</v>
      </c>
      <c r="R1631" t="str">
        <f>TRIM(PROPER(Tabla_auditoría[[#This Row],[Tipo_Campaña]]))</f>
        <v>Retención</v>
      </c>
      <c r="S1631" t="str">
        <f>TRIM(PROPER(Tabla_auditoría[[#This Row],[Responsable]]))</f>
        <v>Carlos Ruiz</v>
      </c>
    </row>
    <row r="1632" spans="1:19" x14ac:dyDescent="0.3">
      <c r="A1632" s="1">
        <v>45943</v>
      </c>
      <c r="B1632" s="2" t="s">
        <v>2567</v>
      </c>
      <c r="C1632" s="2" t="s">
        <v>2543</v>
      </c>
      <c r="D1632" s="2" t="s">
        <v>2516</v>
      </c>
      <c r="E1632" s="2" t="s">
        <v>2529</v>
      </c>
      <c r="F1632" s="3">
        <v>154473</v>
      </c>
      <c r="G1632" s="3">
        <v>12215</v>
      </c>
      <c r="H1632" s="3">
        <v>955</v>
      </c>
      <c r="I1632" s="4">
        <v>20863.400000000001</v>
      </c>
      <c r="J1632" s="4">
        <v>190050.32</v>
      </c>
      <c r="K1632" s="3">
        <v>802</v>
      </c>
      <c r="L1632" s="2" t="s">
        <v>2523</v>
      </c>
      <c r="M1632" s="2" t="s">
        <v>2546</v>
      </c>
      <c r="N1632" t="str">
        <f>TRIM(PROPER(Tabla_auditoría[[#This Row],[ID_Campaña]]))</f>
        <v>Cmp-021</v>
      </c>
      <c r="O1632" t="str">
        <f>TRIM(PROPER(Tabla_auditoría[[#This Row],[Canal]]))</f>
        <v>Organic Social</v>
      </c>
      <c r="P1632" t="str">
        <f>TRIM(PROPER(Tabla_auditoría[[#This Row],[País]]))</f>
        <v>México</v>
      </c>
      <c r="Q1632" t="str">
        <f>TRIM(PROPER(Tabla_auditoría[[#This Row],[Dispositivo]]))</f>
        <v>Mobile</v>
      </c>
      <c r="R1632" t="str">
        <f>TRIM(PROPER(Tabla_auditoría[[#This Row],[Tipo_Campaña]]))</f>
        <v>Retención</v>
      </c>
      <c r="S1632" t="str">
        <f>TRIM(PROPER(Tabla_auditoría[[#This Row],[Responsable]]))</f>
        <v>Ana García</v>
      </c>
    </row>
    <row r="1633" spans="1:19" x14ac:dyDescent="0.3">
      <c r="A1633" s="1">
        <v>45747</v>
      </c>
      <c r="B1633" s="2" t="s">
        <v>2530</v>
      </c>
      <c r="C1633" s="2" t="s">
        <v>2533</v>
      </c>
      <c r="D1633" s="2" t="s">
        <v>2528</v>
      </c>
      <c r="E1633" s="2" t="s">
        <v>2529</v>
      </c>
      <c r="F1633" s="3">
        <v>159572</v>
      </c>
      <c r="G1633" s="3">
        <v>6822</v>
      </c>
      <c r="H1633" s="3">
        <v>822</v>
      </c>
      <c r="I1633" s="4">
        <v>5267.14</v>
      </c>
      <c r="J1633" s="4">
        <v>171886.75</v>
      </c>
      <c r="K1633" s="3">
        <v>428</v>
      </c>
      <c r="L1633" s="2" t="s">
        <v>2523</v>
      </c>
      <c r="M1633" s="2" t="s">
        <v>2519</v>
      </c>
      <c r="N1633" t="str">
        <f>TRIM(PROPER(Tabla_auditoría[[#This Row],[ID_Campaña]]))</f>
        <v>Cmp-026</v>
      </c>
      <c r="O1633" t="str">
        <f>TRIM(PROPER(Tabla_auditoría[[#This Row],[Canal]]))</f>
        <v>Paid Social</v>
      </c>
      <c r="P1633" t="str">
        <f>TRIM(PROPER(Tabla_auditoría[[#This Row],[País]]))</f>
        <v>España</v>
      </c>
      <c r="Q1633" t="str">
        <f>TRIM(PROPER(Tabla_auditoría[[#This Row],[Dispositivo]]))</f>
        <v>Mobile</v>
      </c>
      <c r="R1633" t="str">
        <f>TRIM(PROPER(Tabla_auditoría[[#This Row],[Tipo_Campaña]]))</f>
        <v>Retención</v>
      </c>
      <c r="S1633" t="str">
        <f>TRIM(PROPER(Tabla_auditoría[[#This Row],[Responsable]]))</f>
        <v>Carlos Ruiz</v>
      </c>
    </row>
    <row r="1634" spans="1:19" x14ac:dyDescent="0.3">
      <c r="A1634" s="1">
        <v>45816</v>
      </c>
      <c r="B1634" s="2" t="s">
        <v>2571</v>
      </c>
      <c r="C1634" s="2" t="s">
        <v>2543</v>
      </c>
      <c r="D1634" s="2" t="s">
        <v>2531</v>
      </c>
      <c r="E1634" s="2" t="s">
        <v>2529</v>
      </c>
      <c r="F1634" s="3">
        <v>151478</v>
      </c>
      <c r="G1634" s="3">
        <v>3984</v>
      </c>
      <c r="H1634" s="3">
        <v>435</v>
      </c>
      <c r="I1634" s="4">
        <v>2136.9699999999998</v>
      </c>
      <c r="J1634" s="4">
        <v>26101.71</v>
      </c>
      <c r="K1634" s="3">
        <v>283</v>
      </c>
      <c r="L1634" s="2" t="s">
        <v>2539</v>
      </c>
      <c r="M1634" s="2" t="s">
        <v>2524</v>
      </c>
      <c r="N1634" t="str">
        <f>TRIM(PROPER(Tabla_auditoría[[#This Row],[ID_Campaña]]))</f>
        <v>Cmp-029</v>
      </c>
      <c r="O1634" t="str">
        <f>TRIM(PROPER(Tabla_auditoría[[#This Row],[Canal]]))</f>
        <v>Organic Social</v>
      </c>
      <c r="P1634" t="str">
        <f>TRIM(PROPER(Tabla_auditoría[[#This Row],[País]]))</f>
        <v>Portugal</v>
      </c>
      <c r="Q1634" t="str">
        <f>TRIM(PROPER(Tabla_auditoría[[#This Row],[Dispositivo]]))</f>
        <v>Mobile</v>
      </c>
      <c r="R1634" t="str">
        <f>TRIM(PROPER(Tabla_auditoría[[#This Row],[Tipo_Campaña]]))</f>
        <v>Conversión</v>
      </c>
      <c r="S1634" t="str">
        <f>TRIM(PROPER(Tabla_auditoría[[#This Row],[Responsable]]))</f>
        <v>Luis Martín</v>
      </c>
    </row>
    <row r="1635" spans="1:19" x14ac:dyDescent="0.3">
      <c r="A1635" s="1">
        <v>45742</v>
      </c>
      <c r="B1635" s="2" t="s">
        <v>2557</v>
      </c>
      <c r="C1635" s="2" t="s">
        <v>2541</v>
      </c>
      <c r="D1635" s="2" t="s">
        <v>2525</v>
      </c>
      <c r="E1635" s="2" t="s">
        <v>2517</v>
      </c>
      <c r="F1635" s="3">
        <v>40226</v>
      </c>
      <c r="G1635" s="3">
        <v>1822</v>
      </c>
      <c r="H1635" s="3">
        <v>76</v>
      </c>
      <c r="I1635" s="4">
        <v>1629.87</v>
      </c>
      <c r="J1635" s="4">
        <v>1988.08</v>
      </c>
      <c r="K1635" s="3">
        <v>60</v>
      </c>
      <c r="L1635" s="2" t="s">
        <v>2539</v>
      </c>
      <c r="M1635" s="2" t="s">
        <v>2524</v>
      </c>
      <c r="N1635" t="str">
        <f>TRIM(PROPER(Tabla_auditoría[[#This Row],[ID_Campaña]]))</f>
        <v>Cmp-030</v>
      </c>
      <c r="O1635" t="str">
        <f>TRIM(PROPER(Tabla_auditoría[[#This Row],[Canal]]))</f>
        <v>Display</v>
      </c>
      <c r="P1635" t="str">
        <f>TRIM(PROPER(Tabla_auditoría[[#This Row],[País]]))</f>
        <v>Francia</v>
      </c>
      <c r="Q1635" t="str">
        <f>TRIM(PROPER(Tabla_auditoría[[#This Row],[Dispositivo]]))</f>
        <v>Desktop</v>
      </c>
      <c r="R1635" t="str">
        <f>TRIM(PROPER(Tabla_auditoría[[#This Row],[Tipo_Campaña]]))</f>
        <v>Conversión</v>
      </c>
      <c r="S1635" t="str">
        <f>TRIM(PROPER(Tabla_auditoría[[#This Row],[Responsable]]))</f>
        <v>Luis Martín</v>
      </c>
    </row>
    <row r="1636" spans="1:19" x14ac:dyDescent="0.3">
      <c r="A1636" s="1">
        <v>45690</v>
      </c>
      <c r="B1636" s="2" t="s">
        <v>2535</v>
      </c>
      <c r="C1636" s="2" t="s">
        <v>2533</v>
      </c>
      <c r="D1636" s="2" t="s">
        <v>2525</v>
      </c>
      <c r="E1636" s="2" t="s">
        <v>2517</v>
      </c>
      <c r="F1636" s="3">
        <v>60226</v>
      </c>
      <c r="G1636" s="3">
        <v>3144</v>
      </c>
      <c r="H1636" s="3">
        <v>297</v>
      </c>
      <c r="I1636" s="4">
        <v>6373.52</v>
      </c>
      <c r="J1636" s="4">
        <v>42517.43</v>
      </c>
      <c r="K1636" s="3">
        <v>212</v>
      </c>
      <c r="L1636" s="2" t="s">
        <v>2539</v>
      </c>
      <c r="M1636" s="2" t="s">
        <v>2537</v>
      </c>
      <c r="N1636" t="str">
        <f>TRIM(PROPER(Tabla_auditoría[[#This Row],[ID_Campaña]]))</f>
        <v>Cmp-015</v>
      </c>
      <c r="O1636" t="str">
        <f>TRIM(PROPER(Tabla_auditoría[[#This Row],[Canal]]))</f>
        <v>Paid Social</v>
      </c>
      <c r="P1636" t="str">
        <f>TRIM(PROPER(Tabla_auditoría[[#This Row],[País]]))</f>
        <v>Francia</v>
      </c>
      <c r="Q1636" t="str">
        <f>TRIM(PROPER(Tabla_auditoría[[#This Row],[Dispositivo]]))</f>
        <v>Desktop</v>
      </c>
      <c r="R1636" t="str">
        <f>TRIM(PROPER(Tabla_auditoría[[#This Row],[Tipo_Campaña]]))</f>
        <v>Conversión</v>
      </c>
      <c r="S1636" t="str">
        <f>TRIM(PROPER(Tabla_auditoría[[#This Row],[Responsable]]))</f>
        <v>Marta López</v>
      </c>
    </row>
    <row r="1637" spans="1:19" x14ac:dyDescent="0.3">
      <c r="A1637" s="1">
        <v>45781</v>
      </c>
      <c r="B1637" s="2" t="s">
        <v>2520</v>
      </c>
      <c r="C1637" s="2" t="s">
        <v>2515</v>
      </c>
      <c r="D1637" s="2" t="s">
        <v>2525</v>
      </c>
      <c r="E1637" s="2" t="s">
        <v>2517</v>
      </c>
      <c r="F1637" s="3">
        <v>57217</v>
      </c>
      <c r="G1637" s="3">
        <v>4309</v>
      </c>
      <c r="H1637" s="3">
        <v>98</v>
      </c>
      <c r="I1637" s="4">
        <v>1968.98</v>
      </c>
      <c r="J1637" s="4">
        <v>12456.97</v>
      </c>
      <c r="K1637" s="3">
        <v>74</v>
      </c>
      <c r="L1637" s="2" t="s">
        <v>2523</v>
      </c>
      <c r="M1637" s="2" t="s">
        <v>2519</v>
      </c>
      <c r="N1637" t="str">
        <f>TRIM(PROPER(Tabla_auditoría[[#This Row],[ID_Campaña]]))</f>
        <v>Cmp-009</v>
      </c>
      <c r="O1637" t="str">
        <f>TRIM(PROPER(Tabla_auditoría[[#This Row],[Canal]]))</f>
        <v>Email</v>
      </c>
      <c r="P1637" t="str">
        <f>TRIM(PROPER(Tabla_auditoría[[#This Row],[País]]))</f>
        <v>Francia</v>
      </c>
      <c r="Q1637" t="str">
        <f>TRIM(PROPER(Tabla_auditoría[[#This Row],[Dispositivo]]))</f>
        <v>Desktop</v>
      </c>
      <c r="R1637" t="str">
        <f>TRIM(PROPER(Tabla_auditoría[[#This Row],[Tipo_Campaña]]))</f>
        <v>Retención</v>
      </c>
      <c r="S1637" t="str">
        <f>TRIM(PROPER(Tabla_auditoría[[#This Row],[Responsable]]))</f>
        <v>Carlos Ruiz</v>
      </c>
    </row>
    <row r="1638" spans="1:19" x14ac:dyDescent="0.3">
      <c r="A1638" s="1">
        <v>45950</v>
      </c>
      <c r="B1638" s="2" t="s">
        <v>2557</v>
      </c>
      <c r="C1638" s="2" t="s">
        <v>2515</v>
      </c>
      <c r="D1638" s="2" t="s">
        <v>2525</v>
      </c>
      <c r="E1638" s="2" t="s">
        <v>2517</v>
      </c>
      <c r="F1638" s="3">
        <v>79965</v>
      </c>
      <c r="G1638" s="3">
        <v>4389</v>
      </c>
      <c r="H1638" s="3">
        <v>594</v>
      </c>
      <c r="I1638" s="4">
        <v>7429.03</v>
      </c>
      <c r="J1638" s="4">
        <v>114589.17</v>
      </c>
      <c r="K1638" s="3">
        <v>322</v>
      </c>
      <c r="L1638" s="2" t="s">
        <v>2518</v>
      </c>
      <c r="M1638" s="2" t="s">
        <v>2546</v>
      </c>
      <c r="N1638" t="str">
        <f>TRIM(PROPER(Tabla_auditoría[[#This Row],[ID_Campaña]]))</f>
        <v>Cmp-030</v>
      </c>
      <c r="O1638" t="str">
        <f>TRIM(PROPER(Tabla_auditoría[[#This Row],[Canal]]))</f>
        <v>Email</v>
      </c>
      <c r="P1638" t="str">
        <f>TRIM(PROPER(Tabla_auditoría[[#This Row],[País]]))</f>
        <v>Francia</v>
      </c>
      <c r="Q1638" t="str">
        <f>TRIM(PROPER(Tabla_auditoría[[#This Row],[Dispositivo]]))</f>
        <v>Desktop</v>
      </c>
      <c r="R1638" t="str">
        <f>TRIM(PROPER(Tabla_auditoría[[#This Row],[Tipo_Campaña]]))</f>
        <v>Adquisición</v>
      </c>
      <c r="S1638" t="str">
        <f>TRIM(PROPER(Tabla_auditoría[[#This Row],[Responsable]]))</f>
        <v>Ana García</v>
      </c>
    </row>
    <row r="1639" spans="1:19" x14ac:dyDescent="0.3">
      <c r="A1639" s="1">
        <v>45997</v>
      </c>
      <c r="B1639" s="2" t="s">
        <v>2574</v>
      </c>
      <c r="C1639" s="2" t="s">
        <v>2541</v>
      </c>
      <c r="D1639" s="2" t="s">
        <v>2528</v>
      </c>
      <c r="E1639" s="2" t="s">
        <v>2517</v>
      </c>
      <c r="F1639" s="3">
        <v>103225</v>
      </c>
      <c r="G1639" s="3">
        <v>7533</v>
      </c>
      <c r="H1639" s="3">
        <v>565</v>
      </c>
      <c r="I1639" s="4">
        <v>6438.13</v>
      </c>
      <c r="J1639" s="4">
        <v>63160.72</v>
      </c>
      <c r="K1639" s="3">
        <v>503</v>
      </c>
      <c r="L1639" s="2" t="s">
        <v>2536</v>
      </c>
      <c r="M1639" s="2" t="s">
        <v>2546</v>
      </c>
      <c r="N1639" t="str">
        <f>TRIM(PROPER(Tabla_auditoría[[#This Row],[ID_Campaña]]))</f>
        <v>Cmp-003</v>
      </c>
      <c r="O1639" t="str">
        <f>TRIM(PROPER(Tabla_auditoría[[#This Row],[Canal]]))</f>
        <v>Display</v>
      </c>
      <c r="P1639" t="str">
        <f>TRIM(PROPER(Tabla_auditoría[[#This Row],[País]]))</f>
        <v>España</v>
      </c>
      <c r="Q1639" t="str">
        <f>TRIM(PROPER(Tabla_auditoría[[#This Row],[Dispositivo]]))</f>
        <v>Desktop</v>
      </c>
      <c r="R1639" t="str">
        <f>TRIM(PROPER(Tabla_auditoría[[#This Row],[Tipo_Campaña]]))</f>
        <v>Reconocimiento</v>
      </c>
      <c r="S1639" t="str">
        <f>TRIM(PROPER(Tabla_auditoría[[#This Row],[Responsable]]))</f>
        <v>Ana García</v>
      </c>
    </row>
    <row r="1640" spans="1:19" x14ac:dyDescent="0.3">
      <c r="A1640" s="1">
        <v>45681</v>
      </c>
      <c r="B1640" s="2" t="s">
        <v>2560</v>
      </c>
      <c r="C1640" s="2" t="s">
        <v>2515</v>
      </c>
      <c r="D1640" s="2" t="s">
        <v>2528</v>
      </c>
      <c r="E1640" s="2" t="s">
        <v>2529</v>
      </c>
      <c r="F1640" s="3">
        <v>92355</v>
      </c>
      <c r="G1640" s="3">
        <v>6337</v>
      </c>
      <c r="H1640" s="3">
        <v>362</v>
      </c>
      <c r="I1640" s="4">
        <v>10062.56</v>
      </c>
      <c r="J1640" s="4">
        <v>52193.1</v>
      </c>
      <c r="K1640" s="3">
        <v>300</v>
      </c>
      <c r="L1640" s="2" t="s">
        <v>2523</v>
      </c>
      <c r="M1640" s="2" t="s">
        <v>2546</v>
      </c>
      <c r="N1640" t="str">
        <f>TRIM(PROPER(Tabla_auditoría[[#This Row],[ID_Campaña]]))</f>
        <v>Cmp-027</v>
      </c>
      <c r="O1640" t="str">
        <f>TRIM(PROPER(Tabla_auditoría[[#This Row],[Canal]]))</f>
        <v>Email</v>
      </c>
      <c r="P1640" t="str">
        <f>TRIM(PROPER(Tabla_auditoría[[#This Row],[País]]))</f>
        <v>España</v>
      </c>
      <c r="Q1640" t="str">
        <f>TRIM(PROPER(Tabla_auditoría[[#This Row],[Dispositivo]]))</f>
        <v>Mobile</v>
      </c>
      <c r="R1640" t="str">
        <f>TRIM(PROPER(Tabla_auditoría[[#This Row],[Tipo_Campaña]]))</f>
        <v>Retención</v>
      </c>
      <c r="S1640" t="str">
        <f>TRIM(PROPER(Tabla_auditoría[[#This Row],[Responsable]]))</f>
        <v>Ana García</v>
      </c>
    </row>
    <row r="1641" spans="1:19" x14ac:dyDescent="0.3">
      <c r="A1641" s="1">
        <v>45710</v>
      </c>
      <c r="B1641" s="2" t="s">
        <v>2552</v>
      </c>
      <c r="C1641" s="2" t="s">
        <v>2515</v>
      </c>
      <c r="D1641" s="2" t="s">
        <v>2516</v>
      </c>
      <c r="E1641" s="2" t="s">
        <v>2529</v>
      </c>
      <c r="F1641" s="3">
        <v>126534</v>
      </c>
      <c r="G1641" s="3">
        <v>2187</v>
      </c>
      <c r="H1641" s="3">
        <v>67</v>
      </c>
      <c r="I1641" s="4">
        <v>3788.89</v>
      </c>
      <c r="J1641" s="4">
        <v>7216.29</v>
      </c>
      <c r="K1641" s="3">
        <v>55</v>
      </c>
      <c r="L1641" s="2" t="s">
        <v>2518</v>
      </c>
      <c r="M1641" s="2" t="s">
        <v>2524</v>
      </c>
      <c r="N1641" t="str">
        <f>TRIM(PROPER(Tabla_auditoría[[#This Row],[ID_Campaña]]))</f>
        <v>Cmp-012</v>
      </c>
      <c r="O1641" t="str">
        <f>TRIM(PROPER(Tabla_auditoría[[#This Row],[Canal]]))</f>
        <v>Email</v>
      </c>
      <c r="P1641" t="str">
        <f>TRIM(PROPER(Tabla_auditoría[[#This Row],[País]]))</f>
        <v>México</v>
      </c>
      <c r="Q1641" t="str">
        <f>TRIM(PROPER(Tabla_auditoría[[#This Row],[Dispositivo]]))</f>
        <v>Mobile</v>
      </c>
      <c r="R1641" t="str">
        <f>TRIM(PROPER(Tabla_auditoría[[#This Row],[Tipo_Campaña]]))</f>
        <v>Adquisición</v>
      </c>
      <c r="S1641" t="str">
        <f>TRIM(PROPER(Tabla_auditoría[[#This Row],[Responsable]]))</f>
        <v>Luis Martín</v>
      </c>
    </row>
    <row r="1642" spans="1:19" x14ac:dyDescent="0.3">
      <c r="A1642" s="1">
        <v>45853</v>
      </c>
      <c r="B1642" s="2" t="s">
        <v>2567</v>
      </c>
      <c r="C1642" s="2" t="s">
        <v>2543</v>
      </c>
      <c r="D1642" s="2" t="s">
        <v>2528</v>
      </c>
      <c r="E1642" s="2" t="s">
        <v>2529</v>
      </c>
      <c r="F1642" s="3">
        <v>128741</v>
      </c>
      <c r="G1642" s="3">
        <v>10758</v>
      </c>
      <c r="H1642" s="3">
        <v>1348</v>
      </c>
      <c r="I1642" s="4">
        <v>3988.1</v>
      </c>
      <c r="J1642" s="4">
        <v>214146.53</v>
      </c>
      <c r="K1642" s="3">
        <v>623</v>
      </c>
      <c r="L1642" s="2" t="s">
        <v>2539</v>
      </c>
      <c r="N1642" t="str">
        <f>TRIM(PROPER(Tabla_auditoría[[#This Row],[ID_Campaña]]))</f>
        <v>Cmp-021</v>
      </c>
      <c r="O1642" t="str">
        <f>TRIM(PROPER(Tabla_auditoría[[#This Row],[Canal]]))</f>
        <v>Organic Social</v>
      </c>
      <c r="P1642" t="str">
        <f>TRIM(PROPER(Tabla_auditoría[[#This Row],[País]]))</f>
        <v>España</v>
      </c>
      <c r="Q1642" t="str">
        <f>TRIM(PROPER(Tabla_auditoría[[#This Row],[Dispositivo]]))</f>
        <v>Mobile</v>
      </c>
      <c r="R1642" t="str">
        <f>TRIM(PROPER(Tabla_auditoría[[#This Row],[Tipo_Campaña]]))</f>
        <v>Conversión</v>
      </c>
      <c r="S1642" t="str">
        <f>TRIM(PROPER(Tabla_auditoría[[#This Row],[Responsable]]))</f>
        <v/>
      </c>
    </row>
    <row r="1643" spans="1:19" x14ac:dyDescent="0.3">
      <c r="A1643" s="1">
        <v>45741</v>
      </c>
      <c r="B1643" s="2" t="s">
        <v>2560</v>
      </c>
      <c r="C1643" s="2" t="s">
        <v>2533</v>
      </c>
      <c r="D1643" s="2" t="s">
        <v>2528</v>
      </c>
      <c r="E1643" s="2" t="s">
        <v>2517</v>
      </c>
      <c r="F1643" s="3">
        <v>50009</v>
      </c>
      <c r="G1643" s="3">
        <v>1129</v>
      </c>
      <c r="H1643" s="3">
        <v>68</v>
      </c>
      <c r="I1643" s="4">
        <v>1425.48</v>
      </c>
      <c r="J1643" s="4">
        <v>2778.11</v>
      </c>
      <c r="K1643" s="3">
        <v>46</v>
      </c>
      <c r="L1643" s="2" t="s">
        <v>2523</v>
      </c>
      <c r="M1643" s="2" t="s">
        <v>2526</v>
      </c>
      <c r="N1643" t="str">
        <f>TRIM(PROPER(Tabla_auditoría[[#This Row],[ID_Campaña]]))</f>
        <v>Cmp-027</v>
      </c>
      <c r="O1643" t="str">
        <f>TRIM(PROPER(Tabla_auditoría[[#This Row],[Canal]]))</f>
        <v>Paid Social</v>
      </c>
      <c r="P1643" t="str">
        <f>TRIM(PROPER(Tabla_auditoría[[#This Row],[País]]))</f>
        <v>España</v>
      </c>
      <c r="Q1643" t="str">
        <f>TRIM(PROPER(Tabla_auditoría[[#This Row],[Dispositivo]]))</f>
        <v>Desktop</v>
      </c>
      <c r="R1643" t="str">
        <f>TRIM(PROPER(Tabla_auditoría[[#This Row],[Tipo_Campaña]]))</f>
        <v>Retención</v>
      </c>
      <c r="S1643" t="str">
        <f>TRIM(PROPER(Tabla_auditoría[[#This Row],[Responsable]]))</f>
        <v>Laura Pérez</v>
      </c>
    </row>
    <row r="1644" spans="1:19" x14ac:dyDescent="0.3">
      <c r="A1644" s="1">
        <v>45740</v>
      </c>
      <c r="B1644" s="2" t="s">
        <v>2560</v>
      </c>
      <c r="C1644" s="2" t="s">
        <v>2541</v>
      </c>
      <c r="D1644" s="2" t="s">
        <v>2528</v>
      </c>
      <c r="E1644" s="2" t="s">
        <v>2517</v>
      </c>
      <c r="F1644" s="3">
        <v>76275</v>
      </c>
      <c r="G1644" s="3">
        <v>1883</v>
      </c>
      <c r="H1644" s="3">
        <v>76</v>
      </c>
      <c r="I1644" s="4">
        <v>984.24</v>
      </c>
      <c r="J1644" s="4">
        <v>16585</v>
      </c>
      <c r="K1644" s="3">
        <v>51</v>
      </c>
      <c r="L1644" s="2" t="s">
        <v>2523</v>
      </c>
      <c r="M1644" s="2" t="s">
        <v>2524</v>
      </c>
      <c r="N1644" t="str">
        <f>TRIM(PROPER(Tabla_auditoría[[#This Row],[ID_Campaña]]))</f>
        <v>Cmp-027</v>
      </c>
      <c r="O1644" t="str">
        <f>TRIM(PROPER(Tabla_auditoría[[#This Row],[Canal]]))</f>
        <v>Display</v>
      </c>
      <c r="P1644" t="str">
        <f>TRIM(PROPER(Tabla_auditoría[[#This Row],[País]]))</f>
        <v>España</v>
      </c>
      <c r="Q1644" t="str">
        <f>TRIM(PROPER(Tabla_auditoría[[#This Row],[Dispositivo]]))</f>
        <v>Desktop</v>
      </c>
      <c r="R1644" t="str">
        <f>TRIM(PROPER(Tabla_auditoría[[#This Row],[Tipo_Campaña]]))</f>
        <v>Retención</v>
      </c>
      <c r="S1644" t="str">
        <f>TRIM(PROPER(Tabla_auditoría[[#This Row],[Responsable]]))</f>
        <v>Luis Martín</v>
      </c>
    </row>
    <row r="1645" spans="1:19" x14ac:dyDescent="0.3">
      <c r="A1645" s="1">
        <v>45995</v>
      </c>
      <c r="B1645" s="2" t="s">
        <v>2554</v>
      </c>
      <c r="C1645" s="2" t="s">
        <v>2515</v>
      </c>
      <c r="D1645" s="2" t="s">
        <v>2528</v>
      </c>
      <c r="E1645" s="2" t="s">
        <v>2517</v>
      </c>
      <c r="F1645" s="3">
        <v>30295</v>
      </c>
      <c r="G1645" s="3">
        <v>544</v>
      </c>
      <c r="H1645" s="3">
        <v>75</v>
      </c>
      <c r="I1645" s="4">
        <v>90.66</v>
      </c>
      <c r="J1645" s="4">
        <v>5560.59</v>
      </c>
      <c r="K1645" s="3">
        <v>52</v>
      </c>
      <c r="L1645" s="2" t="s">
        <v>2539</v>
      </c>
      <c r="M1645" s="2" t="s">
        <v>2524</v>
      </c>
      <c r="N1645" t="str">
        <f>TRIM(PROPER(Tabla_auditoría[[#This Row],[ID_Campaña]]))</f>
        <v>Cmp-019</v>
      </c>
      <c r="O1645" t="str">
        <f>TRIM(PROPER(Tabla_auditoría[[#This Row],[Canal]]))</f>
        <v>Email</v>
      </c>
      <c r="P1645" t="str">
        <f>TRIM(PROPER(Tabla_auditoría[[#This Row],[País]]))</f>
        <v>España</v>
      </c>
      <c r="Q1645" t="str">
        <f>TRIM(PROPER(Tabla_auditoría[[#This Row],[Dispositivo]]))</f>
        <v>Desktop</v>
      </c>
      <c r="R1645" t="str">
        <f>TRIM(PROPER(Tabla_auditoría[[#This Row],[Tipo_Campaña]]))</f>
        <v>Conversión</v>
      </c>
      <c r="S1645" t="str">
        <f>TRIM(PROPER(Tabla_auditoría[[#This Row],[Responsable]]))</f>
        <v>Luis Martín</v>
      </c>
    </row>
    <row r="1646" spans="1:19" x14ac:dyDescent="0.3">
      <c r="A1646" s="1">
        <v>45803</v>
      </c>
      <c r="B1646" s="2" t="s">
        <v>2545</v>
      </c>
      <c r="C1646" s="2" t="s">
        <v>2521</v>
      </c>
      <c r="D1646" s="2" t="s">
        <v>2516</v>
      </c>
      <c r="E1646" s="2" t="s">
        <v>2534</v>
      </c>
      <c r="F1646" s="3">
        <v>58288</v>
      </c>
      <c r="G1646" s="3">
        <v>541</v>
      </c>
      <c r="H1646" s="3">
        <v>18</v>
      </c>
      <c r="I1646" s="4">
        <v>1050.04</v>
      </c>
      <c r="J1646" s="4">
        <v>1165.99</v>
      </c>
      <c r="K1646" s="3">
        <v>14</v>
      </c>
      <c r="L1646" s="2" t="s">
        <v>2539</v>
      </c>
      <c r="M1646" s="2" t="s">
        <v>2524</v>
      </c>
      <c r="N1646" t="str">
        <f>TRIM(PROPER(Tabla_auditoría[[#This Row],[ID_Campaña]]))</f>
        <v>Cmp-011</v>
      </c>
      <c r="O1646" t="str">
        <f>TRIM(PROPER(Tabla_auditoría[[#This Row],[Canal]]))</f>
        <v>Paid Search</v>
      </c>
      <c r="P1646" t="str">
        <f>TRIM(PROPER(Tabla_auditoría[[#This Row],[País]]))</f>
        <v>México</v>
      </c>
      <c r="Q1646" t="str">
        <f>TRIM(PROPER(Tabla_auditoría[[#This Row],[Dispositivo]]))</f>
        <v>Tablet</v>
      </c>
      <c r="R1646" t="str">
        <f>TRIM(PROPER(Tabla_auditoría[[#This Row],[Tipo_Campaña]]))</f>
        <v>Conversión</v>
      </c>
      <c r="S1646" t="str">
        <f>TRIM(PROPER(Tabla_auditoría[[#This Row],[Responsable]]))</f>
        <v>Luis Martín</v>
      </c>
    </row>
    <row r="1647" spans="1:19" x14ac:dyDescent="0.3">
      <c r="A1647" s="1">
        <v>45779</v>
      </c>
      <c r="B1647" s="2" t="s">
        <v>2547</v>
      </c>
      <c r="C1647" s="2" t="s">
        <v>2527</v>
      </c>
      <c r="D1647" s="2" t="s">
        <v>2525</v>
      </c>
      <c r="E1647" s="2" t="s">
        <v>2529</v>
      </c>
      <c r="F1647" s="3">
        <v>69888</v>
      </c>
      <c r="G1647" s="3">
        <v>4232</v>
      </c>
      <c r="H1647" s="3">
        <v>478</v>
      </c>
      <c r="I1647" s="4">
        <v>3565.32</v>
      </c>
      <c r="J1647" s="4">
        <v>68391.899999999994</v>
      </c>
      <c r="K1647" s="3">
        <v>381</v>
      </c>
      <c r="L1647" s="2" t="s">
        <v>2518</v>
      </c>
      <c r="M1647" s="2" t="s">
        <v>2537</v>
      </c>
      <c r="N1647" t="str">
        <f>TRIM(PROPER(Tabla_auditoría[[#This Row],[ID_Campaña]]))</f>
        <v>Cmp-018</v>
      </c>
      <c r="O1647" t="str">
        <f>TRIM(PROPER(Tabla_auditoría[[#This Row],[Canal]]))</f>
        <v>Affiliate</v>
      </c>
      <c r="P1647" t="str">
        <f>TRIM(PROPER(Tabla_auditoría[[#This Row],[País]]))</f>
        <v>Francia</v>
      </c>
      <c r="Q1647" t="str">
        <f>TRIM(PROPER(Tabla_auditoría[[#This Row],[Dispositivo]]))</f>
        <v>Mobile</v>
      </c>
      <c r="R1647" t="str">
        <f>TRIM(PROPER(Tabla_auditoría[[#This Row],[Tipo_Campaña]]))</f>
        <v>Adquisición</v>
      </c>
      <c r="S1647" t="str">
        <f>TRIM(PROPER(Tabla_auditoría[[#This Row],[Responsable]]))</f>
        <v>Marta López</v>
      </c>
    </row>
    <row r="1648" spans="1:19" x14ac:dyDescent="0.3">
      <c r="A1648" s="1">
        <v>45863</v>
      </c>
      <c r="B1648" s="2" t="s">
        <v>2557</v>
      </c>
      <c r="C1648" s="2" t="s">
        <v>2515</v>
      </c>
      <c r="D1648" s="2" t="s">
        <v>2528</v>
      </c>
      <c r="E1648" s="2" t="s">
        <v>2529</v>
      </c>
      <c r="F1648" s="3">
        <v>174292</v>
      </c>
      <c r="G1648" s="3">
        <v>11071</v>
      </c>
      <c r="H1648" s="3">
        <v>1081</v>
      </c>
      <c r="I1648" s="4">
        <v>11628.8</v>
      </c>
      <c r="J1648" s="4">
        <v>37260.120000000003</v>
      </c>
      <c r="K1648" s="3">
        <v>544</v>
      </c>
      <c r="L1648" s="2" t="s">
        <v>2518</v>
      </c>
      <c r="M1648" s="2" t="s">
        <v>2524</v>
      </c>
      <c r="N1648" t="str">
        <f>TRIM(PROPER(Tabla_auditoría[[#This Row],[ID_Campaña]]))</f>
        <v>Cmp-030</v>
      </c>
      <c r="O1648" t="str">
        <f>TRIM(PROPER(Tabla_auditoría[[#This Row],[Canal]]))</f>
        <v>Email</v>
      </c>
      <c r="P1648" t="str">
        <f>TRIM(PROPER(Tabla_auditoría[[#This Row],[País]]))</f>
        <v>España</v>
      </c>
      <c r="Q1648" t="str">
        <f>TRIM(PROPER(Tabla_auditoría[[#This Row],[Dispositivo]]))</f>
        <v>Mobile</v>
      </c>
      <c r="R1648" t="str">
        <f>TRIM(PROPER(Tabla_auditoría[[#This Row],[Tipo_Campaña]]))</f>
        <v>Adquisición</v>
      </c>
      <c r="S1648" t="str">
        <f>TRIM(PROPER(Tabla_auditoría[[#This Row],[Responsable]]))</f>
        <v>Luis Martín</v>
      </c>
    </row>
    <row r="1649" spans="1:19" x14ac:dyDescent="0.3">
      <c r="A1649" s="1">
        <v>45952</v>
      </c>
      <c r="B1649" s="2" t="s">
        <v>2564</v>
      </c>
      <c r="C1649" s="2" t="s">
        <v>2515</v>
      </c>
      <c r="D1649" s="2" t="s">
        <v>2584</v>
      </c>
      <c r="E1649" s="2" t="s">
        <v>2517</v>
      </c>
      <c r="F1649" s="3">
        <v>17186</v>
      </c>
      <c r="G1649" s="3">
        <v>1443</v>
      </c>
      <c r="H1649" s="3">
        <v>52</v>
      </c>
      <c r="I1649" s="4">
        <v>1021.04</v>
      </c>
      <c r="J1649" s="4">
        <v>4010.28</v>
      </c>
      <c r="K1649" s="3">
        <v>42</v>
      </c>
      <c r="L1649" s="2" t="s">
        <v>2518</v>
      </c>
      <c r="M1649" s="2" t="s">
        <v>2546</v>
      </c>
      <c r="N1649" t="str">
        <f>TRIM(PROPER(Tabla_auditoría[[#This Row],[ID_Campaña]]))</f>
        <v>Cmp-024</v>
      </c>
      <c r="O1649" t="str">
        <f>TRIM(PROPER(Tabla_auditoría[[#This Row],[Canal]]))</f>
        <v>Email</v>
      </c>
      <c r="P1649" t="str">
        <f>TRIM(PROPER(Tabla_auditoría[[#This Row],[País]]))</f>
        <v>Portugal</v>
      </c>
      <c r="Q1649" t="str">
        <f>TRIM(PROPER(Tabla_auditoría[[#This Row],[Dispositivo]]))</f>
        <v>Desktop</v>
      </c>
      <c r="R1649" t="str">
        <f>TRIM(PROPER(Tabla_auditoría[[#This Row],[Tipo_Campaña]]))</f>
        <v>Adquisición</v>
      </c>
      <c r="S1649" t="str">
        <f>TRIM(PROPER(Tabla_auditoría[[#This Row],[Responsable]]))</f>
        <v>Ana García</v>
      </c>
    </row>
    <row r="1650" spans="1:19" x14ac:dyDescent="0.3">
      <c r="A1650" s="1">
        <v>45877</v>
      </c>
      <c r="B1650" s="2" t="s">
        <v>2550</v>
      </c>
      <c r="C1650" s="2" t="s">
        <v>2521</v>
      </c>
      <c r="D1650" s="2" t="s">
        <v>2516</v>
      </c>
      <c r="E1650" s="2" t="s">
        <v>2534</v>
      </c>
      <c r="F1650" s="3">
        <v>144140</v>
      </c>
      <c r="G1650" s="3">
        <v>2560</v>
      </c>
      <c r="H1650" s="3">
        <v>138</v>
      </c>
      <c r="I1650" s="4">
        <v>4516.4399999999996</v>
      </c>
      <c r="J1650" s="4">
        <v>25555.58</v>
      </c>
      <c r="K1650" s="3">
        <v>92</v>
      </c>
      <c r="L1650" s="2" t="s">
        <v>2518</v>
      </c>
      <c r="M1650" s="2" t="s">
        <v>2537</v>
      </c>
      <c r="N1650" t="str">
        <f>TRIM(PROPER(Tabla_auditoría[[#This Row],[ID_Campaña]]))</f>
        <v>Cmp-008</v>
      </c>
      <c r="O1650" t="str">
        <f>TRIM(PROPER(Tabla_auditoría[[#This Row],[Canal]]))</f>
        <v>Paid Search</v>
      </c>
      <c r="P1650" t="str">
        <f>TRIM(PROPER(Tabla_auditoría[[#This Row],[País]]))</f>
        <v>México</v>
      </c>
      <c r="Q1650" t="str">
        <f>TRIM(PROPER(Tabla_auditoría[[#This Row],[Dispositivo]]))</f>
        <v>Tablet</v>
      </c>
      <c r="R1650" t="str">
        <f>TRIM(PROPER(Tabla_auditoría[[#This Row],[Tipo_Campaña]]))</f>
        <v>Adquisición</v>
      </c>
      <c r="S1650" t="str">
        <f>TRIM(PROPER(Tabla_auditoría[[#This Row],[Responsable]]))</f>
        <v>Marta López</v>
      </c>
    </row>
    <row r="1651" spans="1:19" x14ac:dyDescent="0.3">
      <c r="A1651" s="1">
        <v>45802</v>
      </c>
      <c r="B1651" s="2" t="s">
        <v>2564</v>
      </c>
      <c r="C1651" s="2" t="s">
        <v>2521</v>
      </c>
      <c r="D1651" s="2" t="s">
        <v>2528</v>
      </c>
      <c r="E1651" s="2" t="s">
        <v>2529</v>
      </c>
      <c r="F1651" s="3">
        <v>136387</v>
      </c>
      <c r="G1651" s="3">
        <v>6380</v>
      </c>
      <c r="H1651" s="3">
        <v>526</v>
      </c>
      <c r="I1651" s="4">
        <v>6756.57</v>
      </c>
      <c r="J1651" s="4">
        <v>94809.26</v>
      </c>
      <c r="K1651" s="3">
        <v>386</v>
      </c>
      <c r="L1651" s="2" t="s">
        <v>2518</v>
      </c>
      <c r="M1651" s="2" t="s">
        <v>2537</v>
      </c>
      <c r="N1651" t="str">
        <f>TRIM(PROPER(Tabla_auditoría[[#This Row],[ID_Campaña]]))</f>
        <v>Cmp-024</v>
      </c>
      <c r="O1651" t="str">
        <f>TRIM(PROPER(Tabla_auditoría[[#This Row],[Canal]]))</f>
        <v>Paid Search</v>
      </c>
      <c r="P1651" t="str">
        <f>TRIM(PROPER(Tabla_auditoría[[#This Row],[País]]))</f>
        <v>España</v>
      </c>
      <c r="Q1651" t="str">
        <f>TRIM(PROPER(Tabla_auditoría[[#This Row],[Dispositivo]]))</f>
        <v>Mobile</v>
      </c>
      <c r="R1651" t="str">
        <f>TRIM(PROPER(Tabla_auditoría[[#This Row],[Tipo_Campaña]]))</f>
        <v>Adquisición</v>
      </c>
      <c r="S1651" t="str">
        <f>TRIM(PROPER(Tabla_auditoría[[#This Row],[Responsable]]))</f>
        <v>Marta López</v>
      </c>
    </row>
    <row r="1652" spans="1:19" x14ac:dyDescent="0.3">
      <c r="A1652" s="1">
        <v>45794</v>
      </c>
      <c r="B1652" s="2" t="s">
        <v>2554</v>
      </c>
      <c r="C1652" s="2" t="s">
        <v>2521</v>
      </c>
      <c r="D1652" s="2" t="s">
        <v>2528</v>
      </c>
      <c r="E1652" s="2" t="s">
        <v>2517</v>
      </c>
      <c r="F1652" s="3">
        <v>53539</v>
      </c>
      <c r="G1652" s="3">
        <v>2300</v>
      </c>
      <c r="H1652" s="3">
        <v>269</v>
      </c>
      <c r="I1652" s="4">
        <v>2971</v>
      </c>
      <c r="J1652" s="4">
        <v>49829.98</v>
      </c>
      <c r="K1652" s="3">
        <v>195</v>
      </c>
      <c r="L1652" s="2" t="s">
        <v>2523</v>
      </c>
      <c r="M1652" s="2" t="s">
        <v>2526</v>
      </c>
      <c r="N1652" t="str">
        <f>TRIM(PROPER(Tabla_auditoría[[#This Row],[ID_Campaña]]))</f>
        <v>Cmp-019</v>
      </c>
      <c r="O1652" t="str">
        <f>TRIM(PROPER(Tabla_auditoría[[#This Row],[Canal]]))</f>
        <v>Paid Search</v>
      </c>
      <c r="P1652" t="str">
        <f>TRIM(PROPER(Tabla_auditoría[[#This Row],[País]]))</f>
        <v>España</v>
      </c>
      <c r="Q1652" t="str">
        <f>TRIM(PROPER(Tabla_auditoría[[#This Row],[Dispositivo]]))</f>
        <v>Desktop</v>
      </c>
      <c r="R1652" t="str">
        <f>TRIM(PROPER(Tabla_auditoría[[#This Row],[Tipo_Campaña]]))</f>
        <v>Retención</v>
      </c>
      <c r="S1652" t="str">
        <f>TRIM(PROPER(Tabla_auditoría[[#This Row],[Responsable]]))</f>
        <v>Laura Pérez</v>
      </c>
    </row>
    <row r="1653" spans="1:19" x14ac:dyDescent="0.3">
      <c r="A1653" s="1">
        <v>45783</v>
      </c>
      <c r="B1653" s="2" t="s">
        <v>2560</v>
      </c>
      <c r="C1653" s="2" t="s">
        <v>2521</v>
      </c>
      <c r="D1653" s="2" t="s">
        <v>2516</v>
      </c>
      <c r="E1653" s="2" t="s">
        <v>2529</v>
      </c>
      <c r="F1653" s="3">
        <v>47096</v>
      </c>
      <c r="G1653" s="3">
        <v>2219</v>
      </c>
      <c r="H1653" s="3">
        <v>112</v>
      </c>
      <c r="I1653" s="4">
        <v>2862.5</v>
      </c>
      <c r="J1653" s="4">
        <v>9526.36</v>
      </c>
      <c r="K1653" s="3">
        <v>65</v>
      </c>
      <c r="L1653" s="2" t="s">
        <v>2536</v>
      </c>
      <c r="M1653" s="2" t="s">
        <v>2526</v>
      </c>
      <c r="N1653" t="str">
        <f>TRIM(PROPER(Tabla_auditoría[[#This Row],[ID_Campaña]]))</f>
        <v>Cmp-027</v>
      </c>
      <c r="O1653" t="str">
        <f>TRIM(PROPER(Tabla_auditoría[[#This Row],[Canal]]))</f>
        <v>Paid Search</v>
      </c>
      <c r="P1653" t="str">
        <f>TRIM(PROPER(Tabla_auditoría[[#This Row],[País]]))</f>
        <v>México</v>
      </c>
      <c r="Q1653" t="str">
        <f>TRIM(PROPER(Tabla_auditoría[[#This Row],[Dispositivo]]))</f>
        <v>Mobile</v>
      </c>
      <c r="R1653" t="str">
        <f>TRIM(PROPER(Tabla_auditoría[[#This Row],[Tipo_Campaña]]))</f>
        <v>Reconocimiento</v>
      </c>
      <c r="S1653" t="str">
        <f>TRIM(PROPER(Tabla_auditoría[[#This Row],[Responsable]]))</f>
        <v>Laura Pérez</v>
      </c>
    </row>
    <row r="1654" spans="1:19" x14ac:dyDescent="0.3">
      <c r="A1654" s="1">
        <v>45832</v>
      </c>
      <c r="B1654" s="2" t="s">
        <v>2569</v>
      </c>
      <c r="C1654" s="2" t="s">
        <v>2515</v>
      </c>
      <c r="D1654" s="2" t="s">
        <v>2528</v>
      </c>
      <c r="E1654" s="2" t="s">
        <v>2517</v>
      </c>
      <c r="F1654" s="3">
        <v>44197</v>
      </c>
      <c r="G1654" s="3">
        <v>3556</v>
      </c>
      <c r="H1654" s="3">
        <v>129</v>
      </c>
      <c r="I1654" s="4">
        <v>6956.5</v>
      </c>
      <c r="J1654" s="4">
        <v>19843.04</v>
      </c>
      <c r="K1654" s="3">
        <v>98</v>
      </c>
      <c r="L1654" s="2" t="s">
        <v>2523</v>
      </c>
      <c r="M1654" s="2" t="s">
        <v>2524</v>
      </c>
      <c r="N1654" t="str">
        <f>TRIM(PROPER(Tabla_auditoría[[#This Row],[ID_Campaña]]))</f>
        <v>Cmp-013</v>
      </c>
      <c r="O1654" t="str">
        <f>TRIM(PROPER(Tabla_auditoría[[#This Row],[Canal]]))</f>
        <v>Email</v>
      </c>
      <c r="P1654" t="str">
        <f>TRIM(PROPER(Tabla_auditoría[[#This Row],[País]]))</f>
        <v>España</v>
      </c>
      <c r="Q1654" t="str">
        <f>TRIM(PROPER(Tabla_auditoría[[#This Row],[Dispositivo]]))</f>
        <v>Desktop</v>
      </c>
      <c r="R1654" t="str">
        <f>TRIM(PROPER(Tabla_auditoría[[#This Row],[Tipo_Campaña]]))</f>
        <v>Retención</v>
      </c>
      <c r="S1654" t="str">
        <f>TRIM(PROPER(Tabla_auditoría[[#This Row],[Responsable]]))</f>
        <v>Luis Martín</v>
      </c>
    </row>
    <row r="1655" spans="1:19" x14ac:dyDescent="0.3">
      <c r="A1655" s="1">
        <v>45999</v>
      </c>
      <c r="B1655" s="2" t="s">
        <v>2566</v>
      </c>
      <c r="C1655" s="2" t="s">
        <v>2541</v>
      </c>
      <c r="D1655" s="2" t="s">
        <v>2531</v>
      </c>
      <c r="E1655" s="2" t="s">
        <v>2529</v>
      </c>
      <c r="F1655" s="3">
        <v>129330</v>
      </c>
      <c r="G1655" s="3">
        <v>3958</v>
      </c>
      <c r="H1655" s="3">
        <v>537</v>
      </c>
      <c r="I1655" s="4">
        <v>6327.34</v>
      </c>
      <c r="J1655" s="4">
        <v>13102.43</v>
      </c>
      <c r="K1655" s="3">
        <v>341</v>
      </c>
      <c r="L1655" s="2" t="s">
        <v>2539</v>
      </c>
      <c r="M1655" s="2" t="s">
        <v>2537</v>
      </c>
      <c r="N1655" t="str">
        <f>TRIM(PROPER(Tabla_auditoría[[#This Row],[ID_Campaña]]))</f>
        <v>Cmp-001</v>
      </c>
      <c r="O1655" t="str">
        <f>TRIM(PROPER(Tabla_auditoría[[#This Row],[Canal]]))</f>
        <v>Display</v>
      </c>
      <c r="P1655" t="str">
        <f>TRIM(PROPER(Tabla_auditoría[[#This Row],[País]]))</f>
        <v>Portugal</v>
      </c>
      <c r="Q1655" t="str">
        <f>TRIM(PROPER(Tabla_auditoría[[#This Row],[Dispositivo]]))</f>
        <v>Mobile</v>
      </c>
      <c r="R1655" t="str">
        <f>TRIM(PROPER(Tabla_auditoría[[#This Row],[Tipo_Campaña]]))</f>
        <v>Conversión</v>
      </c>
      <c r="S1655" t="str">
        <f>TRIM(PROPER(Tabla_auditoría[[#This Row],[Responsable]]))</f>
        <v>Marta López</v>
      </c>
    </row>
    <row r="1656" spans="1:19" x14ac:dyDescent="0.3">
      <c r="A1656" s="1">
        <v>45990</v>
      </c>
      <c r="B1656" s="2" t="s">
        <v>2564</v>
      </c>
      <c r="C1656" s="2" t="s">
        <v>2533</v>
      </c>
      <c r="D1656" s="2" t="s">
        <v>2528</v>
      </c>
      <c r="E1656" s="2" t="s">
        <v>2529</v>
      </c>
      <c r="F1656" s="3">
        <v>143675</v>
      </c>
      <c r="G1656" s="3">
        <v>9233</v>
      </c>
      <c r="H1656" s="3">
        <v>675</v>
      </c>
      <c r="I1656" s="4">
        <v>14029.04</v>
      </c>
      <c r="J1656" s="4">
        <v>97109.759999999995</v>
      </c>
      <c r="K1656" s="3">
        <v>457</v>
      </c>
      <c r="L1656" s="2" t="s">
        <v>2539</v>
      </c>
      <c r="M1656" s="2" t="s">
        <v>2526</v>
      </c>
      <c r="N1656" t="str">
        <f>TRIM(PROPER(Tabla_auditoría[[#This Row],[ID_Campaña]]))</f>
        <v>Cmp-024</v>
      </c>
      <c r="O1656" t="str">
        <f>TRIM(PROPER(Tabla_auditoría[[#This Row],[Canal]]))</f>
        <v>Paid Social</v>
      </c>
      <c r="P1656" t="str">
        <f>TRIM(PROPER(Tabla_auditoría[[#This Row],[País]]))</f>
        <v>España</v>
      </c>
      <c r="Q1656" t="str">
        <f>TRIM(PROPER(Tabla_auditoría[[#This Row],[Dispositivo]]))</f>
        <v>Mobile</v>
      </c>
      <c r="R1656" t="str">
        <f>TRIM(PROPER(Tabla_auditoría[[#This Row],[Tipo_Campaña]]))</f>
        <v>Conversión</v>
      </c>
      <c r="S1656" t="str">
        <f>TRIM(PROPER(Tabla_auditoría[[#This Row],[Responsable]]))</f>
        <v>Laura Pérez</v>
      </c>
    </row>
    <row r="1657" spans="1:19" x14ac:dyDescent="0.3">
      <c r="A1657" s="1">
        <v>45827</v>
      </c>
      <c r="B1657" s="2" t="s">
        <v>2556</v>
      </c>
      <c r="C1657" s="2" t="s">
        <v>2515</v>
      </c>
      <c r="D1657" s="2" t="s">
        <v>2528</v>
      </c>
      <c r="E1657" s="2" t="s">
        <v>2517</v>
      </c>
      <c r="F1657" s="3">
        <v>112733</v>
      </c>
      <c r="G1657" s="3">
        <v>9308</v>
      </c>
      <c r="H1657" s="3">
        <v>749</v>
      </c>
      <c r="I1657" s="4">
        <v>1451.53</v>
      </c>
      <c r="J1657" s="4">
        <v>116310.66</v>
      </c>
      <c r="K1657" s="3">
        <v>446</v>
      </c>
      <c r="L1657" s="2" t="s">
        <v>2518</v>
      </c>
      <c r="M1657" s="2" t="s">
        <v>2526</v>
      </c>
      <c r="N1657" t="str">
        <f>TRIM(PROPER(Tabla_auditoría[[#This Row],[ID_Campaña]]))</f>
        <v>Cmp-014</v>
      </c>
      <c r="O1657" t="str">
        <f>TRIM(PROPER(Tabla_auditoría[[#This Row],[Canal]]))</f>
        <v>Email</v>
      </c>
      <c r="P1657" t="str">
        <f>TRIM(PROPER(Tabla_auditoría[[#This Row],[País]]))</f>
        <v>España</v>
      </c>
      <c r="Q1657" t="str">
        <f>TRIM(PROPER(Tabla_auditoría[[#This Row],[Dispositivo]]))</f>
        <v>Desktop</v>
      </c>
      <c r="R1657" t="str">
        <f>TRIM(PROPER(Tabla_auditoría[[#This Row],[Tipo_Campaña]]))</f>
        <v>Adquisición</v>
      </c>
      <c r="S1657" t="str">
        <f>TRIM(PROPER(Tabla_auditoría[[#This Row],[Responsable]]))</f>
        <v>Laura Pérez</v>
      </c>
    </row>
    <row r="1658" spans="1:19" x14ac:dyDescent="0.3">
      <c r="A1658" s="1">
        <v>45961</v>
      </c>
      <c r="B1658" s="2" t="s">
        <v>2574</v>
      </c>
      <c r="C1658" s="2" t="s">
        <v>2515</v>
      </c>
      <c r="D1658" s="2" t="s">
        <v>2531</v>
      </c>
      <c r="E1658" s="2" t="s">
        <v>2517</v>
      </c>
      <c r="F1658" s="3">
        <v>42340</v>
      </c>
      <c r="G1658" s="3">
        <v>1606</v>
      </c>
      <c r="H1658" s="3">
        <v>70</v>
      </c>
      <c r="I1658" s="4">
        <v>1866.26</v>
      </c>
      <c r="J1658" s="4">
        <v>12329.02</v>
      </c>
      <c r="K1658" s="3">
        <v>50</v>
      </c>
      <c r="L1658" s="2" t="s">
        <v>2539</v>
      </c>
      <c r="M1658" s="2" t="s">
        <v>2537</v>
      </c>
      <c r="N1658" t="str">
        <f>TRIM(PROPER(Tabla_auditoría[[#This Row],[ID_Campaña]]))</f>
        <v>Cmp-003</v>
      </c>
      <c r="O1658" t="str">
        <f>TRIM(PROPER(Tabla_auditoría[[#This Row],[Canal]]))</f>
        <v>Email</v>
      </c>
      <c r="P1658" t="str">
        <f>TRIM(PROPER(Tabla_auditoría[[#This Row],[País]]))</f>
        <v>Portugal</v>
      </c>
      <c r="Q1658" t="str">
        <f>TRIM(PROPER(Tabla_auditoría[[#This Row],[Dispositivo]]))</f>
        <v>Desktop</v>
      </c>
      <c r="R1658" t="str">
        <f>TRIM(PROPER(Tabla_auditoría[[#This Row],[Tipo_Campaña]]))</f>
        <v>Conversión</v>
      </c>
      <c r="S1658" t="str">
        <f>TRIM(PROPER(Tabla_auditoría[[#This Row],[Responsable]]))</f>
        <v>Marta López</v>
      </c>
    </row>
    <row r="1659" spans="1:19" x14ac:dyDescent="0.3">
      <c r="A1659" s="1">
        <v>45770</v>
      </c>
      <c r="B1659" s="2" t="s">
        <v>2549</v>
      </c>
      <c r="C1659" s="2" t="s">
        <v>2541</v>
      </c>
      <c r="D1659" s="2" t="s">
        <v>2525</v>
      </c>
      <c r="E1659" s="2" t="s">
        <v>2529</v>
      </c>
      <c r="F1659" s="3">
        <v>31492</v>
      </c>
      <c r="G1659" s="3">
        <v>295</v>
      </c>
      <c r="H1659" s="3">
        <v>29</v>
      </c>
      <c r="I1659" s="4">
        <v>110.79</v>
      </c>
      <c r="J1659" s="4">
        <v>5986.31</v>
      </c>
      <c r="K1659" s="3">
        <v>22</v>
      </c>
      <c r="L1659" s="2" t="s">
        <v>2523</v>
      </c>
      <c r="M1659" s="2" t="s">
        <v>2537</v>
      </c>
      <c r="N1659" t="str">
        <f>TRIM(PROPER(Tabla_auditoría[[#This Row],[ID_Campaña]]))</f>
        <v>Cmp-007</v>
      </c>
      <c r="O1659" t="str">
        <f>TRIM(PROPER(Tabla_auditoría[[#This Row],[Canal]]))</f>
        <v>Display</v>
      </c>
      <c r="P1659" t="str">
        <f>TRIM(PROPER(Tabla_auditoría[[#This Row],[País]]))</f>
        <v>Francia</v>
      </c>
      <c r="Q1659" t="str">
        <f>TRIM(PROPER(Tabla_auditoría[[#This Row],[Dispositivo]]))</f>
        <v>Mobile</v>
      </c>
      <c r="R1659" t="str">
        <f>TRIM(PROPER(Tabla_auditoría[[#This Row],[Tipo_Campaña]]))</f>
        <v>Retención</v>
      </c>
      <c r="S1659" t="str">
        <f>TRIM(PROPER(Tabla_auditoría[[#This Row],[Responsable]]))</f>
        <v>Marta López</v>
      </c>
    </row>
    <row r="1660" spans="1:19" x14ac:dyDescent="0.3">
      <c r="A1660" s="1">
        <v>45883</v>
      </c>
      <c r="B1660" s="2" t="s">
        <v>2535</v>
      </c>
      <c r="C1660" s="2" t="s">
        <v>2521</v>
      </c>
      <c r="D1660" s="2" t="s">
        <v>2531</v>
      </c>
      <c r="E1660" s="2" t="s">
        <v>2517</v>
      </c>
      <c r="F1660" s="3">
        <v>90363</v>
      </c>
      <c r="G1660" s="3">
        <v>3498</v>
      </c>
      <c r="H1660" s="3">
        <v>133</v>
      </c>
      <c r="I1660" s="4">
        <v>6450.37</v>
      </c>
      <c r="J1660" s="4">
        <v>10041.27</v>
      </c>
      <c r="K1660" s="3">
        <v>81</v>
      </c>
      <c r="L1660" s="2" t="s">
        <v>2539</v>
      </c>
      <c r="M1660" s="2" t="s">
        <v>2526</v>
      </c>
      <c r="N1660" t="str">
        <f>TRIM(PROPER(Tabla_auditoría[[#This Row],[ID_Campaña]]))</f>
        <v>Cmp-015</v>
      </c>
      <c r="O1660" t="str">
        <f>TRIM(PROPER(Tabla_auditoría[[#This Row],[Canal]]))</f>
        <v>Paid Search</v>
      </c>
      <c r="P1660" t="str">
        <f>TRIM(PROPER(Tabla_auditoría[[#This Row],[País]]))</f>
        <v>Portugal</v>
      </c>
      <c r="Q1660" t="str">
        <f>TRIM(PROPER(Tabla_auditoría[[#This Row],[Dispositivo]]))</f>
        <v>Desktop</v>
      </c>
      <c r="R1660" t="str">
        <f>TRIM(PROPER(Tabla_auditoría[[#This Row],[Tipo_Campaña]]))</f>
        <v>Conversión</v>
      </c>
      <c r="S1660" t="str">
        <f>TRIM(PROPER(Tabla_auditoría[[#This Row],[Responsable]]))</f>
        <v>Laura Pérez</v>
      </c>
    </row>
    <row r="1661" spans="1:19" x14ac:dyDescent="0.3">
      <c r="A1661" s="1">
        <v>45781</v>
      </c>
      <c r="B1661" s="2" t="s">
        <v>2574</v>
      </c>
      <c r="C1661" s="2" t="s">
        <v>2527</v>
      </c>
      <c r="D1661" s="2" t="s">
        <v>2528</v>
      </c>
      <c r="E1661" s="2" t="s">
        <v>2517</v>
      </c>
      <c r="F1661" s="3">
        <v>123182</v>
      </c>
      <c r="G1661" s="3">
        <v>6427</v>
      </c>
      <c r="H1661" s="3">
        <v>886</v>
      </c>
      <c r="I1661" s="4">
        <v>11730.17</v>
      </c>
      <c r="J1661" s="4">
        <v>72957.87</v>
      </c>
      <c r="K1661" s="3">
        <v>459</v>
      </c>
      <c r="L1661" s="2" t="s">
        <v>2518</v>
      </c>
      <c r="M1661" s="2" t="s">
        <v>2546</v>
      </c>
      <c r="N1661" t="str">
        <f>TRIM(PROPER(Tabla_auditoría[[#This Row],[ID_Campaña]]))</f>
        <v>Cmp-003</v>
      </c>
      <c r="O1661" t="str">
        <f>TRIM(PROPER(Tabla_auditoría[[#This Row],[Canal]]))</f>
        <v>Affiliate</v>
      </c>
      <c r="P1661" t="str">
        <f>TRIM(PROPER(Tabla_auditoría[[#This Row],[País]]))</f>
        <v>España</v>
      </c>
      <c r="Q1661" t="str">
        <f>TRIM(PROPER(Tabla_auditoría[[#This Row],[Dispositivo]]))</f>
        <v>Desktop</v>
      </c>
      <c r="R1661" t="str">
        <f>TRIM(PROPER(Tabla_auditoría[[#This Row],[Tipo_Campaña]]))</f>
        <v>Adquisición</v>
      </c>
      <c r="S1661" t="str">
        <f>TRIM(PROPER(Tabla_auditoría[[#This Row],[Responsable]]))</f>
        <v>Ana García</v>
      </c>
    </row>
    <row r="1662" spans="1:19" x14ac:dyDescent="0.3">
      <c r="A1662" s="1">
        <v>45906</v>
      </c>
      <c r="B1662" s="2" t="s">
        <v>2563</v>
      </c>
      <c r="C1662" s="2" t="s">
        <v>2521</v>
      </c>
      <c r="D1662" s="2" t="s">
        <v>2525</v>
      </c>
      <c r="E1662" s="2" t="s">
        <v>2534</v>
      </c>
      <c r="F1662" s="3">
        <v>141620</v>
      </c>
      <c r="G1662" s="3">
        <v>2087</v>
      </c>
      <c r="H1662" s="3">
        <v>246</v>
      </c>
      <c r="I1662" s="4">
        <v>3863.75</v>
      </c>
      <c r="J1662" s="4">
        <v>3873.3</v>
      </c>
      <c r="K1662" s="3">
        <v>202</v>
      </c>
      <c r="L1662" s="2" t="s">
        <v>2518</v>
      </c>
      <c r="M1662" s="2" t="s">
        <v>2526</v>
      </c>
      <c r="N1662" t="str">
        <f>TRIM(PROPER(Tabla_auditoría[[#This Row],[ID_Campaña]]))</f>
        <v>Cmp-023</v>
      </c>
      <c r="O1662" t="str">
        <f>TRIM(PROPER(Tabla_auditoría[[#This Row],[Canal]]))</f>
        <v>Paid Search</v>
      </c>
      <c r="P1662" t="str">
        <f>TRIM(PROPER(Tabla_auditoría[[#This Row],[País]]))</f>
        <v>Francia</v>
      </c>
      <c r="Q1662" t="str">
        <f>TRIM(PROPER(Tabla_auditoría[[#This Row],[Dispositivo]]))</f>
        <v>Tablet</v>
      </c>
      <c r="R1662" t="str">
        <f>TRIM(PROPER(Tabla_auditoría[[#This Row],[Tipo_Campaña]]))</f>
        <v>Adquisición</v>
      </c>
      <c r="S1662" t="str">
        <f>TRIM(PROPER(Tabla_auditoría[[#This Row],[Responsable]]))</f>
        <v>Laura Pérez</v>
      </c>
    </row>
    <row r="1663" spans="1:19" x14ac:dyDescent="0.3">
      <c r="A1663" s="1">
        <v>45917</v>
      </c>
      <c r="B1663" s="2" t="s">
        <v>2538</v>
      </c>
      <c r="C1663" s="2" t="s">
        <v>2521</v>
      </c>
      <c r="D1663" s="2" t="s">
        <v>2525</v>
      </c>
      <c r="E1663" s="2" t="s">
        <v>2529</v>
      </c>
      <c r="F1663" s="3">
        <v>178042</v>
      </c>
      <c r="G1663" s="3">
        <v>7705</v>
      </c>
      <c r="H1663" s="3">
        <v>326</v>
      </c>
      <c r="I1663" s="4">
        <v>12192.09</v>
      </c>
      <c r="J1663" s="4">
        <v>7117.62</v>
      </c>
      <c r="K1663" s="3">
        <v>274</v>
      </c>
      <c r="L1663" s="2" t="s">
        <v>2536</v>
      </c>
      <c r="M1663" s="2" t="s">
        <v>2526</v>
      </c>
      <c r="N1663" t="str">
        <f>TRIM(PROPER(Tabla_auditoría[[#This Row],[ID_Campaña]]))</f>
        <v>Cmp-004</v>
      </c>
      <c r="O1663" t="str">
        <f>TRIM(PROPER(Tabla_auditoría[[#This Row],[Canal]]))</f>
        <v>Paid Search</v>
      </c>
      <c r="P1663" t="str">
        <f>TRIM(PROPER(Tabla_auditoría[[#This Row],[País]]))</f>
        <v>Francia</v>
      </c>
      <c r="Q1663" t="str">
        <f>TRIM(PROPER(Tabla_auditoría[[#This Row],[Dispositivo]]))</f>
        <v>Mobile</v>
      </c>
      <c r="R1663" t="str">
        <f>TRIM(PROPER(Tabla_auditoría[[#This Row],[Tipo_Campaña]]))</f>
        <v>Reconocimiento</v>
      </c>
      <c r="S1663" t="str">
        <f>TRIM(PROPER(Tabla_auditoría[[#This Row],[Responsable]]))</f>
        <v>Laura Pérez</v>
      </c>
    </row>
    <row r="1664" spans="1:19" x14ac:dyDescent="0.3">
      <c r="A1664" s="1">
        <v>45668</v>
      </c>
      <c r="B1664" s="2" t="s">
        <v>2538</v>
      </c>
      <c r="C1664" s="2" t="s">
        <v>2521</v>
      </c>
      <c r="D1664" s="2" t="s">
        <v>2528</v>
      </c>
      <c r="E1664" s="2" t="s">
        <v>2529</v>
      </c>
      <c r="F1664" s="3">
        <v>88774</v>
      </c>
      <c r="G1664" s="3">
        <v>2587</v>
      </c>
      <c r="H1664" s="3">
        <v>72</v>
      </c>
      <c r="I1664" s="4">
        <v>4843.7</v>
      </c>
      <c r="J1664" s="4">
        <v>2206.5100000000002</v>
      </c>
      <c r="K1664" s="3">
        <v>37</v>
      </c>
      <c r="L1664" s="2" t="s">
        <v>2539</v>
      </c>
      <c r="M1664" s="2" t="s">
        <v>2546</v>
      </c>
      <c r="N1664" t="str">
        <f>TRIM(PROPER(Tabla_auditoría[[#This Row],[ID_Campaña]]))</f>
        <v>Cmp-004</v>
      </c>
      <c r="O1664" t="str">
        <f>TRIM(PROPER(Tabla_auditoría[[#This Row],[Canal]]))</f>
        <v>Paid Search</v>
      </c>
      <c r="P1664" t="str">
        <f>TRIM(PROPER(Tabla_auditoría[[#This Row],[País]]))</f>
        <v>España</v>
      </c>
      <c r="Q1664" t="str">
        <f>TRIM(PROPER(Tabla_auditoría[[#This Row],[Dispositivo]]))</f>
        <v>Mobile</v>
      </c>
      <c r="R1664" t="str">
        <f>TRIM(PROPER(Tabla_auditoría[[#This Row],[Tipo_Campaña]]))</f>
        <v>Conversión</v>
      </c>
      <c r="S1664" t="str">
        <f>TRIM(PROPER(Tabla_auditoría[[#This Row],[Responsable]]))</f>
        <v>Ana García</v>
      </c>
    </row>
    <row r="1665" spans="1:19" x14ac:dyDescent="0.3">
      <c r="A1665" s="1">
        <v>45749</v>
      </c>
      <c r="B1665" s="2" t="s">
        <v>2565</v>
      </c>
      <c r="C1665" s="2" t="s">
        <v>2521</v>
      </c>
      <c r="D1665" s="2" t="s">
        <v>2528</v>
      </c>
      <c r="E1665" s="2" t="s">
        <v>2529</v>
      </c>
      <c r="F1665" s="3">
        <v>157435</v>
      </c>
      <c r="G1665" s="3">
        <v>12647</v>
      </c>
      <c r="H1665" s="3">
        <v>1226</v>
      </c>
      <c r="I1665" s="4">
        <v>4268</v>
      </c>
      <c r="J1665" s="4">
        <v>168110.35</v>
      </c>
      <c r="K1665" s="3">
        <v>1003</v>
      </c>
      <c r="L1665" s="2" t="s">
        <v>2518</v>
      </c>
      <c r="M1665" s="2" t="s">
        <v>2546</v>
      </c>
      <c r="N1665" t="str">
        <f>TRIM(PROPER(Tabla_auditoría[[#This Row],[ID_Campaña]]))</f>
        <v>Cmp-005</v>
      </c>
      <c r="O1665" t="str">
        <f>TRIM(PROPER(Tabla_auditoría[[#This Row],[Canal]]))</f>
        <v>Paid Search</v>
      </c>
      <c r="P1665" t="str">
        <f>TRIM(PROPER(Tabla_auditoría[[#This Row],[País]]))</f>
        <v>España</v>
      </c>
      <c r="Q1665" t="str">
        <f>TRIM(PROPER(Tabla_auditoría[[#This Row],[Dispositivo]]))</f>
        <v>Mobile</v>
      </c>
      <c r="R1665" t="str">
        <f>TRIM(PROPER(Tabla_auditoría[[#This Row],[Tipo_Campaña]]))</f>
        <v>Adquisición</v>
      </c>
      <c r="S1665" t="str">
        <f>TRIM(PROPER(Tabla_auditoría[[#This Row],[Responsable]]))</f>
        <v>Ana García</v>
      </c>
    </row>
    <row r="1666" spans="1:19" x14ac:dyDescent="0.3">
      <c r="A1666" s="1">
        <v>45957</v>
      </c>
      <c r="B1666" s="2" t="s">
        <v>2544</v>
      </c>
      <c r="C1666" s="2" t="s">
        <v>2521</v>
      </c>
      <c r="D1666" s="2" t="s">
        <v>2528</v>
      </c>
      <c r="E1666" s="2" t="s">
        <v>2534</v>
      </c>
      <c r="F1666" s="3">
        <v>139763</v>
      </c>
      <c r="G1666" s="3">
        <v>6259</v>
      </c>
      <c r="H1666" s="3">
        <v>359</v>
      </c>
      <c r="I1666" s="4">
        <v>8484.2999999999993</v>
      </c>
      <c r="J1666" s="4">
        <v>64103.44</v>
      </c>
      <c r="K1666" s="3">
        <v>178</v>
      </c>
      <c r="L1666" s="2" t="s">
        <v>2523</v>
      </c>
      <c r="M1666" s="2" t="s">
        <v>2546</v>
      </c>
      <c r="N1666" t="str">
        <f>TRIM(PROPER(Tabla_auditoría[[#This Row],[ID_Campaña]]))</f>
        <v>Cmp-006</v>
      </c>
      <c r="O1666" t="str">
        <f>TRIM(PROPER(Tabla_auditoría[[#This Row],[Canal]]))</f>
        <v>Paid Search</v>
      </c>
      <c r="P1666" t="str">
        <f>TRIM(PROPER(Tabla_auditoría[[#This Row],[País]]))</f>
        <v>España</v>
      </c>
      <c r="Q1666" t="str">
        <f>TRIM(PROPER(Tabla_auditoría[[#This Row],[Dispositivo]]))</f>
        <v>Tablet</v>
      </c>
      <c r="R1666" t="str">
        <f>TRIM(PROPER(Tabla_auditoría[[#This Row],[Tipo_Campaña]]))</f>
        <v>Retención</v>
      </c>
      <c r="S1666" t="str">
        <f>TRIM(PROPER(Tabla_auditoría[[#This Row],[Responsable]]))</f>
        <v>Ana García</v>
      </c>
    </row>
    <row r="1667" spans="1:19" x14ac:dyDescent="0.3">
      <c r="A1667" s="1">
        <v>45850</v>
      </c>
      <c r="B1667" s="2" t="s">
        <v>2520</v>
      </c>
      <c r="C1667" s="2" t="s">
        <v>2533</v>
      </c>
      <c r="D1667" s="2" t="s">
        <v>2525</v>
      </c>
      <c r="E1667" s="2" t="s">
        <v>2517</v>
      </c>
      <c r="F1667" s="3">
        <v>67773</v>
      </c>
      <c r="G1667" s="3">
        <v>1335</v>
      </c>
      <c r="H1667" s="3">
        <v>119</v>
      </c>
      <c r="I1667" s="4">
        <v>2595.13</v>
      </c>
      <c r="J1667" s="4">
        <v>13373.04</v>
      </c>
      <c r="K1667" s="3">
        <v>98</v>
      </c>
      <c r="L1667" s="2" t="s">
        <v>2518</v>
      </c>
      <c r="M1667" s="2" t="s">
        <v>2537</v>
      </c>
      <c r="N1667" t="str">
        <f>TRIM(PROPER(Tabla_auditoría[[#This Row],[ID_Campaña]]))</f>
        <v>Cmp-009</v>
      </c>
      <c r="O1667" t="str">
        <f>TRIM(PROPER(Tabla_auditoría[[#This Row],[Canal]]))</f>
        <v>Paid Social</v>
      </c>
      <c r="P1667" t="str">
        <f>TRIM(PROPER(Tabla_auditoría[[#This Row],[País]]))</f>
        <v>Francia</v>
      </c>
      <c r="Q1667" t="str">
        <f>TRIM(PROPER(Tabla_auditoría[[#This Row],[Dispositivo]]))</f>
        <v>Desktop</v>
      </c>
      <c r="R1667" t="str">
        <f>TRIM(PROPER(Tabla_auditoría[[#This Row],[Tipo_Campaña]]))</f>
        <v>Adquisición</v>
      </c>
      <c r="S1667" t="str">
        <f>TRIM(PROPER(Tabla_auditoría[[#This Row],[Responsable]]))</f>
        <v>Marta López</v>
      </c>
    </row>
    <row r="1668" spans="1:19" x14ac:dyDescent="0.3">
      <c r="A1668" s="1">
        <v>46007</v>
      </c>
      <c r="B1668" s="2" t="s">
        <v>2538</v>
      </c>
      <c r="C1668" s="2" t="s">
        <v>2527</v>
      </c>
      <c r="D1668" s="2" t="s">
        <v>2522</v>
      </c>
      <c r="E1668" s="2" t="s">
        <v>2517</v>
      </c>
      <c r="F1668" s="3">
        <v>118595</v>
      </c>
      <c r="G1668" s="3">
        <v>4660</v>
      </c>
      <c r="H1668" s="3">
        <v>87</v>
      </c>
      <c r="I1668" s="4">
        <v>8501.32</v>
      </c>
      <c r="J1668" s="4">
        <v>14293.45</v>
      </c>
      <c r="K1668" s="3">
        <v>44</v>
      </c>
      <c r="L1668" s="2" t="s">
        <v>2539</v>
      </c>
      <c r="M1668" s="2" t="s">
        <v>2537</v>
      </c>
      <c r="N1668" t="str">
        <f>TRIM(PROPER(Tabla_auditoría[[#This Row],[ID_Campaña]]))</f>
        <v>Cmp-004</v>
      </c>
      <c r="O1668" t="str">
        <f>TRIM(PROPER(Tabla_auditoría[[#This Row],[Canal]]))</f>
        <v>Affiliate</v>
      </c>
      <c r="P1668" t="str">
        <f>TRIM(PROPER(Tabla_auditoría[[#This Row],[País]]))</f>
        <v>Italia</v>
      </c>
      <c r="Q1668" t="str">
        <f>TRIM(PROPER(Tabla_auditoría[[#This Row],[Dispositivo]]))</f>
        <v>Desktop</v>
      </c>
      <c r="R1668" t="str">
        <f>TRIM(PROPER(Tabla_auditoría[[#This Row],[Tipo_Campaña]]))</f>
        <v>Conversión</v>
      </c>
      <c r="S1668" t="str">
        <f>TRIM(PROPER(Tabla_auditoría[[#This Row],[Responsable]]))</f>
        <v>Marta López</v>
      </c>
    </row>
    <row r="1669" spans="1:19" x14ac:dyDescent="0.3">
      <c r="A1669" s="1">
        <v>45665</v>
      </c>
      <c r="B1669" s="2" t="s">
        <v>2565</v>
      </c>
      <c r="C1669" s="2" t="s">
        <v>2533</v>
      </c>
      <c r="D1669" s="2" t="s">
        <v>2528</v>
      </c>
      <c r="E1669" s="2" t="s">
        <v>2529</v>
      </c>
      <c r="F1669" s="3">
        <v>20382</v>
      </c>
      <c r="G1669" s="3">
        <v>179</v>
      </c>
      <c r="H1669" s="3">
        <v>24</v>
      </c>
      <c r="I1669" s="4">
        <v>317.06</v>
      </c>
      <c r="J1669" s="4">
        <v>2047.64</v>
      </c>
      <c r="K1669" s="3">
        <v>11</v>
      </c>
      <c r="L1669" s="2" t="s">
        <v>2536</v>
      </c>
      <c r="M1669" s="2" t="s">
        <v>2519</v>
      </c>
      <c r="N1669" t="str">
        <f>TRIM(PROPER(Tabla_auditoría[[#This Row],[ID_Campaña]]))</f>
        <v>Cmp-005</v>
      </c>
      <c r="O1669" t="str">
        <f>TRIM(PROPER(Tabla_auditoría[[#This Row],[Canal]]))</f>
        <v>Paid Social</v>
      </c>
      <c r="P1669" t="str">
        <f>TRIM(PROPER(Tabla_auditoría[[#This Row],[País]]))</f>
        <v>España</v>
      </c>
      <c r="Q1669" t="str">
        <f>TRIM(PROPER(Tabla_auditoría[[#This Row],[Dispositivo]]))</f>
        <v>Mobile</v>
      </c>
      <c r="R1669" t="str">
        <f>TRIM(PROPER(Tabla_auditoría[[#This Row],[Tipo_Campaña]]))</f>
        <v>Reconocimiento</v>
      </c>
      <c r="S1669" t="str">
        <f>TRIM(PROPER(Tabla_auditoría[[#This Row],[Responsable]]))</f>
        <v>Carlos Ruiz</v>
      </c>
    </row>
    <row r="1670" spans="1:19" x14ac:dyDescent="0.3">
      <c r="A1670" s="1">
        <v>45951</v>
      </c>
      <c r="B1670" s="2" t="s">
        <v>2555</v>
      </c>
      <c r="C1670" s="2" t="s">
        <v>2541</v>
      </c>
      <c r="D1670" s="2" t="s">
        <v>2516</v>
      </c>
      <c r="E1670" s="2" t="s">
        <v>2517</v>
      </c>
      <c r="F1670" s="3">
        <v>129278</v>
      </c>
      <c r="G1670" s="3">
        <v>11046</v>
      </c>
      <c r="H1670" s="3">
        <v>642</v>
      </c>
      <c r="I1670" s="4">
        <v>21174.01</v>
      </c>
      <c r="J1670" s="4">
        <v>59348.53</v>
      </c>
      <c r="K1670" s="3">
        <v>421</v>
      </c>
      <c r="L1670" s="2" t="s">
        <v>2523</v>
      </c>
      <c r="M1670" s="2" t="s">
        <v>2526</v>
      </c>
      <c r="N1670" t="str">
        <f>TRIM(PROPER(Tabla_auditoría[[#This Row],[ID_Campaña]]))</f>
        <v>Cmp-010</v>
      </c>
      <c r="O1670" t="str">
        <f>TRIM(PROPER(Tabla_auditoría[[#This Row],[Canal]]))</f>
        <v>Display</v>
      </c>
      <c r="P1670" t="str">
        <f>TRIM(PROPER(Tabla_auditoría[[#This Row],[País]]))</f>
        <v>México</v>
      </c>
      <c r="Q1670" t="str">
        <f>TRIM(PROPER(Tabla_auditoría[[#This Row],[Dispositivo]]))</f>
        <v>Desktop</v>
      </c>
      <c r="R1670" t="str">
        <f>TRIM(PROPER(Tabla_auditoría[[#This Row],[Tipo_Campaña]]))</f>
        <v>Retención</v>
      </c>
      <c r="S1670" t="str">
        <f>TRIM(PROPER(Tabla_auditoría[[#This Row],[Responsable]]))</f>
        <v>Laura Pérez</v>
      </c>
    </row>
    <row r="1671" spans="1:19" x14ac:dyDescent="0.3">
      <c r="A1671" s="1">
        <v>45696</v>
      </c>
      <c r="B1671" s="2" t="s">
        <v>2550</v>
      </c>
      <c r="C1671" s="2" t="s">
        <v>2533</v>
      </c>
      <c r="D1671" s="2" t="s">
        <v>2528</v>
      </c>
      <c r="E1671" s="2" t="s">
        <v>2529</v>
      </c>
      <c r="F1671" s="3">
        <v>107469</v>
      </c>
      <c r="G1671" s="3">
        <v>2622</v>
      </c>
      <c r="H1671" s="3">
        <v>338</v>
      </c>
      <c r="I1671" s="4">
        <v>3303.12</v>
      </c>
      <c r="J1671" s="4">
        <v>23129.02</v>
      </c>
      <c r="K1671" s="3">
        <v>207</v>
      </c>
      <c r="L1671" s="2" t="s">
        <v>2539</v>
      </c>
      <c r="M1671" s="2" t="s">
        <v>2519</v>
      </c>
      <c r="N1671" t="str">
        <f>TRIM(PROPER(Tabla_auditoría[[#This Row],[ID_Campaña]]))</f>
        <v>Cmp-008</v>
      </c>
      <c r="O1671" t="str">
        <f>TRIM(PROPER(Tabla_auditoría[[#This Row],[Canal]]))</f>
        <v>Paid Social</v>
      </c>
      <c r="P1671" t="str">
        <f>TRIM(PROPER(Tabla_auditoría[[#This Row],[País]]))</f>
        <v>España</v>
      </c>
      <c r="Q1671" t="str">
        <f>TRIM(PROPER(Tabla_auditoría[[#This Row],[Dispositivo]]))</f>
        <v>Mobile</v>
      </c>
      <c r="R1671" t="str">
        <f>TRIM(PROPER(Tabla_auditoría[[#This Row],[Tipo_Campaña]]))</f>
        <v>Conversión</v>
      </c>
      <c r="S1671" t="str">
        <f>TRIM(PROPER(Tabla_auditoría[[#This Row],[Responsable]]))</f>
        <v>Carlos Ruiz</v>
      </c>
    </row>
    <row r="1672" spans="1:19" x14ac:dyDescent="0.3">
      <c r="A1672" s="1">
        <v>45884</v>
      </c>
      <c r="B1672" s="2" t="s">
        <v>2568</v>
      </c>
      <c r="C1672" s="2" t="s">
        <v>2521</v>
      </c>
      <c r="D1672" s="2" t="s">
        <v>2516</v>
      </c>
      <c r="E1672" s="2" t="s">
        <v>2529</v>
      </c>
      <c r="F1672" s="3">
        <v>18515</v>
      </c>
      <c r="G1672" s="3">
        <v>1484</v>
      </c>
      <c r="H1672" s="3">
        <v>86</v>
      </c>
      <c r="I1672" s="4">
        <v>1336.04</v>
      </c>
      <c r="J1672" s="4">
        <v>6390.85</v>
      </c>
      <c r="K1672" s="3">
        <v>63</v>
      </c>
      <c r="L1672" s="2" t="s">
        <v>2536</v>
      </c>
      <c r="M1672" s="2" t="s">
        <v>2519</v>
      </c>
      <c r="N1672" t="str">
        <f>TRIM(PROPER(Tabla_auditoría[[#This Row],[ID_Campaña]]))</f>
        <v>Cmp-020</v>
      </c>
      <c r="O1672" t="str">
        <f>TRIM(PROPER(Tabla_auditoría[[#This Row],[Canal]]))</f>
        <v>Paid Search</v>
      </c>
      <c r="P1672" t="str">
        <f>TRIM(PROPER(Tabla_auditoría[[#This Row],[País]]))</f>
        <v>México</v>
      </c>
      <c r="Q1672" t="str">
        <f>TRIM(PROPER(Tabla_auditoría[[#This Row],[Dispositivo]]))</f>
        <v>Mobile</v>
      </c>
      <c r="R1672" t="str">
        <f>TRIM(PROPER(Tabla_auditoría[[#This Row],[Tipo_Campaña]]))</f>
        <v>Reconocimiento</v>
      </c>
      <c r="S1672" t="str">
        <f>TRIM(PROPER(Tabla_auditoría[[#This Row],[Responsable]]))</f>
        <v>Carlos Ruiz</v>
      </c>
    </row>
    <row r="1673" spans="1:19" x14ac:dyDescent="0.3">
      <c r="A1673" s="1">
        <v>46004</v>
      </c>
      <c r="B1673" s="2" t="s">
        <v>2568</v>
      </c>
      <c r="C1673" s="2" t="s">
        <v>2543</v>
      </c>
      <c r="D1673" s="2" t="s">
        <v>2531</v>
      </c>
      <c r="E1673" s="2" t="s">
        <v>2529</v>
      </c>
      <c r="F1673" s="3">
        <v>71270</v>
      </c>
      <c r="G1673" s="3">
        <v>2427</v>
      </c>
      <c r="H1673" s="3">
        <v>83</v>
      </c>
      <c r="I1673" s="4">
        <v>2284.38</v>
      </c>
      <c r="J1673" s="4">
        <v>9875.7999999999993</v>
      </c>
      <c r="K1673" s="3">
        <v>44</v>
      </c>
      <c r="L1673" s="2" t="s">
        <v>2523</v>
      </c>
      <c r="M1673" s="2" t="s">
        <v>2546</v>
      </c>
      <c r="N1673" t="str">
        <f>TRIM(PROPER(Tabla_auditoría[[#This Row],[ID_Campaña]]))</f>
        <v>Cmp-020</v>
      </c>
      <c r="O1673" t="str">
        <f>TRIM(PROPER(Tabla_auditoría[[#This Row],[Canal]]))</f>
        <v>Organic Social</v>
      </c>
      <c r="P1673" t="str">
        <f>TRIM(PROPER(Tabla_auditoría[[#This Row],[País]]))</f>
        <v>Portugal</v>
      </c>
      <c r="Q1673" t="str">
        <f>TRIM(PROPER(Tabla_auditoría[[#This Row],[Dispositivo]]))</f>
        <v>Mobile</v>
      </c>
      <c r="R1673" t="str">
        <f>TRIM(PROPER(Tabla_auditoría[[#This Row],[Tipo_Campaña]]))</f>
        <v>Retención</v>
      </c>
      <c r="S1673" t="str">
        <f>TRIM(PROPER(Tabla_auditoría[[#This Row],[Responsable]]))</f>
        <v>Ana García</v>
      </c>
    </row>
    <row r="1674" spans="1:19" x14ac:dyDescent="0.3">
      <c r="A1674" s="1">
        <v>45953</v>
      </c>
      <c r="B1674" s="2" t="s">
        <v>2550</v>
      </c>
      <c r="C1674" s="2" t="s">
        <v>2562</v>
      </c>
      <c r="D1674" s="2" t="s">
        <v>2528</v>
      </c>
      <c r="E1674" s="2" t="s">
        <v>2529</v>
      </c>
      <c r="F1674" s="3">
        <v>105096</v>
      </c>
      <c r="G1674" s="3">
        <v>7790</v>
      </c>
      <c r="H1674" s="3">
        <v>739</v>
      </c>
      <c r="I1674" s="4">
        <v>15918.42</v>
      </c>
      <c r="J1674" s="4">
        <v>119560.1</v>
      </c>
      <c r="K1674" s="3">
        <v>555</v>
      </c>
      <c r="L1674" s="2" t="s">
        <v>2523</v>
      </c>
      <c r="M1674" s="2" t="s">
        <v>2526</v>
      </c>
      <c r="N1674" t="str">
        <f>TRIM(PROPER(Tabla_auditoría[[#This Row],[ID_Campaña]]))</f>
        <v>Cmp-008</v>
      </c>
      <c r="O1674" t="str">
        <f>TRIM(PROPER(Tabla_auditoría[[#This Row],[Canal]]))</f>
        <v>Organic Social</v>
      </c>
      <c r="P1674" t="str">
        <f>TRIM(PROPER(Tabla_auditoría[[#This Row],[País]]))</f>
        <v>España</v>
      </c>
      <c r="Q1674" t="str">
        <f>TRIM(PROPER(Tabla_auditoría[[#This Row],[Dispositivo]]))</f>
        <v>Mobile</v>
      </c>
      <c r="R1674" t="str">
        <f>TRIM(PROPER(Tabla_auditoría[[#This Row],[Tipo_Campaña]]))</f>
        <v>Retención</v>
      </c>
      <c r="S1674" t="str">
        <f>TRIM(PROPER(Tabla_auditoría[[#This Row],[Responsable]]))</f>
        <v>Laura Pérez</v>
      </c>
    </row>
    <row r="1675" spans="1:19" x14ac:dyDescent="0.3">
      <c r="A1675" s="1">
        <v>45868</v>
      </c>
      <c r="B1675" s="2" t="s">
        <v>2551</v>
      </c>
      <c r="C1675" s="2" t="s">
        <v>2543</v>
      </c>
      <c r="D1675" s="2" t="s">
        <v>2528</v>
      </c>
      <c r="E1675" s="2" t="s">
        <v>2529</v>
      </c>
      <c r="F1675" s="3">
        <v>84955</v>
      </c>
      <c r="G1675" s="3">
        <v>6069</v>
      </c>
      <c r="H1675" s="3">
        <v>206</v>
      </c>
      <c r="I1675" s="4">
        <v>8405.56</v>
      </c>
      <c r="J1675" s="4">
        <v>9875.9599999999991</v>
      </c>
      <c r="K1675" s="3">
        <v>124</v>
      </c>
      <c r="L1675" s="2" t="s">
        <v>2536</v>
      </c>
      <c r="M1675" s="2" t="s">
        <v>2537</v>
      </c>
      <c r="N1675" t="str">
        <f>TRIM(PROPER(Tabla_auditoría[[#This Row],[ID_Campaña]]))</f>
        <v>Cmp-028</v>
      </c>
      <c r="O1675" t="str">
        <f>TRIM(PROPER(Tabla_auditoría[[#This Row],[Canal]]))</f>
        <v>Organic Social</v>
      </c>
      <c r="P1675" t="str">
        <f>TRIM(PROPER(Tabla_auditoría[[#This Row],[País]]))</f>
        <v>España</v>
      </c>
      <c r="Q1675" t="str">
        <f>TRIM(PROPER(Tabla_auditoría[[#This Row],[Dispositivo]]))</f>
        <v>Mobile</v>
      </c>
      <c r="R1675" t="str">
        <f>TRIM(PROPER(Tabla_auditoría[[#This Row],[Tipo_Campaña]]))</f>
        <v>Reconocimiento</v>
      </c>
      <c r="S1675" t="str">
        <f>TRIM(PROPER(Tabla_auditoría[[#This Row],[Responsable]]))</f>
        <v>Marta López</v>
      </c>
    </row>
    <row r="1676" spans="1:19" x14ac:dyDescent="0.3">
      <c r="A1676" s="1">
        <v>45702</v>
      </c>
      <c r="B1676" s="2" t="s">
        <v>2551</v>
      </c>
      <c r="C1676" s="2" t="s">
        <v>2521</v>
      </c>
      <c r="D1676" s="2" t="s">
        <v>2516</v>
      </c>
      <c r="E1676" s="2" t="s">
        <v>2529</v>
      </c>
      <c r="F1676" s="3">
        <v>102907</v>
      </c>
      <c r="G1676" s="3">
        <v>6578</v>
      </c>
      <c r="H1676" s="3">
        <v>368</v>
      </c>
      <c r="I1676" s="4">
        <v>888.98</v>
      </c>
      <c r="J1676" s="4">
        <v>58956.7</v>
      </c>
      <c r="K1676" s="3">
        <v>298</v>
      </c>
      <c r="L1676" s="2" t="s">
        <v>2536</v>
      </c>
      <c r="M1676" s="2" t="s">
        <v>2526</v>
      </c>
      <c r="N1676" t="str">
        <f>TRIM(PROPER(Tabla_auditoría[[#This Row],[ID_Campaña]]))</f>
        <v>Cmp-028</v>
      </c>
      <c r="O1676" t="str">
        <f>TRIM(PROPER(Tabla_auditoría[[#This Row],[Canal]]))</f>
        <v>Paid Search</v>
      </c>
      <c r="P1676" t="str">
        <f>TRIM(PROPER(Tabla_auditoría[[#This Row],[País]]))</f>
        <v>México</v>
      </c>
      <c r="Q1676" t="str">
        <f>TRIM(PROPER(Tabla_auditoría[[#This Row],[Dispositivo]]))</f>
        <v>Mobile</v>
      </c>
      <c r="R1676" t="str">
        <f>TRIM(PROPER(Tabla_auditoría[[#This Row],[Tipo_Campaña]]))</f>
        <v>Reconocimiento</v>
      </c>
      <c r="S1676" t="str">
        <f>TRIM(PROPER(Tabla_auditoría[[#This Row],[Responsable]]))</f>
        <v>Laura Pérez</v>
      </c>
    </row>
    <row r="1677" spans="1:19" x14ac:dyDescent="0.3">
      <c r="A1677" s="1">
        <v>45925</v>
      </c>
      <c r="B1677" s="2" t="s">
        <v>2560</v>
      </c>
      <c r="C1677" s="2" t="s">
        <v>2515</v>
      </c>
      <c r="D1677" s="2" t="s">
        <v>2528</v>
      </c>
      <c r="E1677" s="2" t="s">
        <v>2517</v>
      </c>
      <c r="F1677" s="3">
        <v>19470</v>
      </c>
      <c r="G1677" s="3">
        <v>594</v>
      </c>
      <c r="H1677" s="3">
        <v>3</v>
      </c>
      <c r="I1677" s="4">
        <v>496.55</v>
      </c>
      <c r="J1677" s="4">
        <v>432.63</v>
      </c>
      <c r="K1677" s="3">
        <v>2</v>
      </c>
      <c r="L1677" s="2" t="s">
        <v>2518</v>
      </c>
      <c r="M1677" s="2" t="s">
        <v>2524</v>
      </c>
      <c r="N1677" t="str">
        <f>TRIM(PROPER(Tabla_auditoría[[#This Row],[ID_Campaña]]))</f>
        <v>Cmp-027</v>
      </c>
      <c r="O1677" t="str">
        <f>TRIM(PROPER(Tabla_auditoría[[#This Row],[Canal]]))</f>
        <v>Email</v>
      </c>
      <c r="P1677" t="str">
        <f>TRIM(PROPER(Tabla_auditoría[[#This Row],[País]]))</f>
        <v>España</v>
      </c>
      <c r="Q1677" t="str">
        <f>TRIM(PROPER(Tabla_auditoría[[#This Row],[Dispositivo]]))</f>
        <v>Desktop</v>
      </c>
      <c r="R1677" t="str">
        <f>TRIM(PROPER(Tabla_auditoría[[#This Row],[Tipo_Campaña]]))</f>
        <v>Adquisición</v>
      </c>
      <c r="S1677" t="str">
        <f>TRIM(PROPER(Tabla_auditoría[[#This Row],[Responsable]]))</f>
        <v>Luis Martín</v>
      </c>
    </row>
    <row r="1678" spans="1:19" x14ac:dyDescent="0.3">
      <c r="A1678" s="1">
        <v>45677</v>
      </c>
      <c r="B1678" s="2" t="s">
        <v>2565</v>
      </c>
      <c r="D1678" s="2" t="s">
        <v>2516</v>
      </c>
      <c r="E1678" s="2" t="s">
        <v>2529</v>
      </c>
      <c r="F1678" s="3">
        <v>176321</v>
      </c>
      <c r="G1678" s="3">
        <v>11037</v>
      </c>
      <c r="H1678" s="3">
        <v>405</v>
      </c>
      <c r="I1678" s="4">
        <v>23020.23</v>
      </c>
      <c r="J1678" s="4">
        <v>87304.1</v>
      </c>
      <c r="K1678" s="3">
        <v>284</v>
      </c>
      <c r="L1678" s="2" t="s">
        <v>2518</v>
      </c>
      <c r="M1678" s="2" t="s">
        <v>2519</v>
      </c>
      <c r="N1678" t="str">
        <f>TRIM(PROPER(Tabla_auditoría[[#This Row],[ID_Campaña]]))</f>
        <v>Cmp-005</v>
      </c>
      <c r="O1678" t="str">
        <f>TRIM(PROPER(Tabla_auditoría[[#This Row],[Canal]]))</f>
        <v/>
      </c>
      <c r="P1678" t="str">
        <f>TRIM(PROPER(Tabla_auditoría[[#This Row],[País]]))</f>
        <v>México</v>
      </c>
      <c r="Q1678" t="str">
        <f>TRIM(PROPER(Tabla_auditoría[[#This Row],[Dispositivo]]))</f>
        <v>Mobile</v>
      </c>
      <c r="R1678" t="str">
        <f>TRIM(PROPER(Tabla_auditoría[[#This Row],[Tipo_Campaña]]))</f>
        <v>Adquisición</v>
      </c>
      <c r="S1678" t="str">
        <f>TRIM(PROPER(Tabla_auditoría[[#This Row],[Responsable]]))</f>
        <v>Carlos Ruiz</v>
      </c>
    </row>
    <row r="1679" spans="1:19" x14ac:dyDescent="0.3">
      <c r="A1679" s="1">
        <v>45786</v>
      </c>
      <c r="B1679" s="2" t="s">
        <v>2564</v>
      </c>
      <c r="C1679" s="2" t="s">
        <v>2527</v>
      </c>
      <c r="D1679" s="2" t="s">
        <v>2522</v>
      </c>
      <c r="E1679" s="2" t="s">
        <v>2517</v>
      </c>
      <c r="F1679" s="3">
        <v>122990</v>
      </c>
      <c r="G1679" s="3">
        <v>6837</v>
      </c>
      <c r="H1679" s="3">
        <v>759</v>
      </c>
      <c r="I1679" s="4">
        <v>7912.84</v>
      </c>
      <c r="J1679" s="4">
        <v>143743.07999999999</v>
      </c>
      <c r="K1679" s="3">
        <v>442</v>
      </c>
      <c r="L1679" s="2" t="s">
        <v>2539</v>
      </c>
      <c r="M1679" s="2" t="s">
        <v>2537</v>
      </c>
      <c r="N1679" t="str">
        <f>TRIM(PROPER(Tabla_auditoría[[#This Row],[ID_Campaña]]))</f>
        <v>Cmp-024</v>
      </c>
      <c r="O1679" t="str">
        <f>TRIM(PROPER(Tabla_auditoría[[#This Row],[Canal]]))</f>
        <v>Affiliate</v>
      </c>
      <c r="P1679" t="str">
        <f>TRIM(PROPER(Tabla_auditoría[[#This Row],[País]]))</f>
        <v>Italia</v>
      </c>
      <c r="Q1679" t="str">
        <f>TRIM(PROPER(Tabla_auditoría[[#This Row],[Dispositivo]]))</f>
        <v>Desktop</v>
      </c>
      <c r="R1679" t="str">
        <f>TRIM(PROPER(Tabla_auditoría[[#This Row],[Tipo_Campaña]]))</f>
        <v>Conversión</v>
      </c>
      <c r="S1679" t="str">
        <f>TRIM(PROPER(Tabla_auditoría[[#This Row],[Responsable]]))</f>
        <v>Marta López</v>
      </c>
    </row>
    <row r="1680" spans="1:19" x14ac:dyDescent="0.3">
      <c r="A1680" s="1">
        <v>45909</v>
      </c>
      <c r="B1680" s="2" t="s">
        <v>2560</v>
      </c>
      <c r="C1680" s="2" t="s">
        <v>2543</v>
      </c>
      <c r="D1680" s="2" t="s">
        <v>2531</v>
      </c>
      <c r="E1680" s="2" t="s">
        <v>2529</v>
      </c>
      <c r="F1680" s="3">
        <v>130718</v>
      </c>
      <c r="G1680" s="3">
        <v>5467</v>
      </c>
      <c r="H1680" s="3">
        <v>350</v>
      </c>
      <c r="I1680" s="4">
        <v>2267.9</v>
      </c>
      <c r="J1680" s="4">
        <v>9727.36</v>
      </c>
      <c r="K1680" s="3">
        <v>238</v>
      </c>
      <c r="L1680" s="2" t="s">
        <v>2536</v>
      </c>
      <c r="M1680" s="2" t="s">
        <v>2526</v>
      </c>
      <c r="N1680" t="str">
        <f>TRIM(PROPER(Tabla_auditoría[[#This Row],[ID_Campaña]]))</f>
        <v>Cmp-027</v>
      </c>
      <c r="O1680" t="str">
        <f>TRIM(PROPER(Tabla_auditoría[[#This Row],[Canal]]))</f>
        <v>Organic Social</v>
      </c>
      <c r="P1680" t="str">
        <f>TRIM(PROPER(Tabla_auditoría[[#This Row],[País]]))</f>
        <v>Portugal</v>
      </c>
      <c r="Q1680" t="str">
        <f>TRIM(PROPER(Tabla_auditoría[[#This Row],[Dispositivo]]))</f>
        <v>Mobile</v>
      </c>
      <c r="R1680" t="str">
        <f>TRIM(PROPER(Tabla_auditoría[[#This Row],[Tipo_Campaña]]))</f>
        <v>Reconocimiento</v>
      </c>
      <c r="S1680" t="str">
        <f>TRIM(PROPER(Tabla_auditoría[[#This Row],[Responsable]]))</f>
        <v>Laura Pérez</v>
      </c>
    </row>
    <row r="1681" spans="1:19" x14ac:dyDescent="0.3">
      <c r="A1681" s="1">
        <v>45905</v>
      </c>
      <c r="B1681" s="2" t="s">
        <v>2569</v>
      </c>
      <c r="C1681" s="2" t="s">
        <v>2553</v>
      </c>
      <c r="D1681" s="2" t="s">
        <v>2525</v>
      </c>
      <c r="E1681" s="2" t="s">
        <v>2517</v>
      </c>
      <c r="F1681" s="3">
        <v>137056</v>
      </c>
      <c r="G1681" s="3">
        <v>3460</v>
      </c>
      <c r="H1681" s="3">
        <v>230</v>
      </c>
      <c r="I1681" s="4">
        <v>3508.33</v>
      </c>
      <c r="J1681" s="4">
        <v>40684.11</v>
      </c>
      <c r="K1681" s="3">
        <v>120</v>
      </c>
      <c r="L1681" s="2" t="s">
        <v>2518</v>
      </c>
      <c r="M1681" s="2" t="s">
        <v>2526</v>
      </c>
      <c r="N1681" t="str">
        <f>TRIM(PROPER(Tabla_auditoría[[#This Row],[ID_Campaña]]))</f>
        <v>Cmp-013</v>
      </c>
      <c r="O1681" t="str">
        <f>TRIM(PROPER(Tabla_auditoría[[#This Row],[Canal]]))</f>
        <v>Email</v>
      </c>
      <c r="P1681" t="str">
        <f>TRIM(PROPER(Tabla_auditoría[[#This Row],[País]]))</f>
        <v>Francia</v>
      </c>
      <c r="Q1681" t="str">
        <f>TRIM(PROPER(Tabla_auditoría[[#This Row],[Dispositivo]]))</f>
        <v>Desktop</v>
      </c>
      <c r="R1681" t="str">
        <f>TRIM(PROPER(Tabla_auditoría[[#This Row],[Tipo_Campaña]]))</f>
        <v>Adquisición</v>
      </c>
      <c r="S1681" t="str">
        <f>TRIM(PROPER(Tabla_auditoría[[#This Row],[Responsable]]))</f>
        <v>Laura Pérez</v>
      </c>
    </row>
    <row r="1682" spans="1:19" x14ac:dyDescent="0.3">
      <c r="A1682" s="1">
        <v>45709</v>
      </c>
      <c r="B1682" s="2" t="s">
        <v>2545</v>
      </c>
      <c r="C1682" s="2" t="s">
        <v>2527</v>
      </c>
      <c r="D1682" s="2" t="s">
        <v>2516</v>
      </c>
      <c r="E1682" s="2" t="s">
        <v>2529</v>
      </c>
      <c r="F1682" s="3">
        <v>148207</v>
      </c>
      <c r="G1682" s="3">
        <v>13173</v>
      </c>
      <c r="H1682" s="3">
        <v>327</v>
      </c>
      <c r="I1682" s="4">
        <v>3704.99</v>
      </c>
      <c r="J1682" s="4">
        <v>16065.05</v>
      </c>
      <c r="K1682" s="3">
        <v>209</v>
      </c>
      <c r="L1682" s="2" t="s">
        <v>2539</v>
      </c>
      <c r="M1682" s="2" t="s">
        <v>2524</v>
      </c>
      <c r="N1682" t="str">
        <f>TRIM(PROPER(Tabla_auditoría[[#This Row],[ID_Campaña]]))</f>
        <v>Cmp-011</v>
      </c>
      <c r="O1682" t="str">
        <f>TRIM(PROPER(Tabla_auditoría[[#This Row],[Canal]]))</f>
        <v>Affiliate</v>
      </c>
      <c r="P1682" t="str">
        <f>TRIM(PROPER(Tabla_auditoría[[#This Row],[País]]))</f>
        <v>México</v>
      </c>
      <c r="Q1682" t="str">
        <f>TRIM(PROPER(Tabla_auditoría[[#This Row],[Dispositivo]]))</f>
        <v>Mobile</v>
      </c>
      <c r="R1682" t="str">
        <f>TRIM(PROPER(Tabla_auditoría[[#This Row],[Tipo_Campaña]]))</f>
        <v>Conversión</v>
      </c>
      <c r="S1682" t="str">
        <f>TRIM(PROPER(Tabla_auditoría[[#This Row],[Responsable]]))</f>
        <v>Luis Martín</v>
      </c>
    </row>
    <row r="1683" spans="1:19" x14ac:dyDescent="0.3">
      <c r="A1683" s="1">
        <v>45745</v>
      </c>
      <c r="B1683" s="2" t="s">
        <v>2566</v>
      </c>
      <c r="C1683" s="2" t="s">
        <v>2515</v>
      </c>
      <c r="D1683" s="2" t="s">
        <v>2531</v>
      </c>
      <c r="E1683" s="2" t="s">
        <v>2517</v>
      </c>
      <c r="F1683" s="3">
        <v>26489</v>
      </c>
      <c r="G1683" s="3">
        <v>1840</v>
      </c>
      <c r="H1683" s="3">
        <v>123</v>
      </c>
      <c r="I1683" s="4">
        <v>929.01</v>
      </c>
      <c r="J1683" s="4">
        <v>21737.73</v>
      </c>
      <c r="K1683" s="3">
        <v>65</v>
      </c>
      <c r="L1683" s="2" t="s">
        <v>2536</v>
      </c>
      <c r="M1683" s="2" t="s">
        <v>2537</v>
      </c>
      <c r="N1683" t="str">
        <f>TRIM(PROPER(Tabla_auditoría[[#This Row],[ID_Campaña]]))</f>
        <v>Cmp-001</v>
      </c>
      <c r="O1683" t="str">
        <f>TRIM(PROPER(Tabla_auditoría[[#This Row],[Canal]]))</f>
        <v>Email</v>
      </c>
      <c r="P1683" t="str">
        <f>TRIM(PROPER(Tabla_auditoría[[#This Row],[País]]))</f>
        <v>Portugal</v>
      </c>
      <c r="Q1683" t="str">
        <f>TRIM(PROPER(Tabla_auditoría[[#This Row],[Dispositivo]]))</f>
        <v>Desktop</v>
      </c>
      <c r="R1683" t="str">
        <f>TRIM(PROPER(Tabla_auditoría[[#This Row],[Tipo_Campaña]]))</f>
        <v>Reconocimiento</v>
      </c>
      <c r="S1683" t="str">
        <f>TRIM(PROPER(Tabla_auditoría[[#This Row],[Responsable]]))</f>
        <v>Marta López</v>
      </c>
    </row>
    <row r="1684" spans="1:19" x14ac:dyDescent="0.3">
      <c r="A1684" s="1">
        <v>45963</v>
      </c>
      <c r="B1684" s="2" t="s">
        <v>2552</v>
      </c>
      <c r="C1684" s="2" t="s">
        <v>2533</v>
      </c>
      <c r="D1684" s="2" t="s">
        <v>2593</v>
      </c>
      <c r="E1684" s="2" t="s">
        <v>2517</v>
      </c>
      <c r="F1684" s="3">
        <v>31047</v>
      </c>
      <c r="G1684" s="3">
        <v>1527</v>
      </c>
      <c r="H1684" s="3">
        <v>26</v>
      </c>
      <c r="I1684" s="4">
        <v>2123.6</v>
      </c>
      <c r="J1684" s="4">
        <v>2912.84</v>
      </c>
      <c r="K1684" s="3">
        <v>15</v>
      </c>
      <c r="L1684" s="2" t="s">
        <v>2518</v>
      </c>
      <c r="M1684" s="2" t="s">
        <v>2524</v>
      </c>
      <c r="N1684" t="str">
        <f>TRIM(PROPER(Tabla_auditoría[[#This Row],[ID_Campaña]]))</f>
        <v>Cmp-012</v>
      </c>
      <c r="O1684" t="str">
        <f>TRIM(PROPER(Tabla_auditoría[[#This Row],[Canal]]))</f>
        <v>Paid Social</v>
      </c>
      <c r="P1684" t="str">
        <f>TRIM(PROPER(Tabla_auditoría[[#This Row],[País]]))</f>
        <v>Francia</v>
      </c>
      <c r="Q1684" t="str">
        <f>TRIM(PROPER(Tabla_auditoría[[#This Row],[Dispositivo]]))</f>
        <v>Desktop</v>
      </c>
      <c r="R1684" t="str">
        <f>TRIM(PROPER(Tabla_auditoría[[#This Row],[Tipo_Campaña]]))</f>
        <v>Adquisición</v>
      </c>
      <c r="S1684" t="str">
        <f>TRIM(PROPER(Tabla_auditoría[[#This Row],[Responsable]]))</f>
        <v>Luis Martín</v>
      </c>
    </row>
    <row r="1685" spans="1:19" x14ac:dyDescent="0.3">
      <c r="A1685" s="1">
        <v>45846</v>
      </c>
      <c r="B1685" s="2" t="s">
        <v>2532</v>
      </c>
      <c r="C1685" s="2" t="s">
        <v>2533</v>
      </c>
      <c r="D1685" s="2" t="s">
        <v>2531</v>
      </c>
      <c r="E1685" s="2" t="s">
        <v>2517</v>
      </c>
      <c r="F1685" s="3">
        <v>18855</v>
      </c>
      <c r="G1685" s="3">
        <v>625</v>
      </c>
      <c r="H1685" s="3">
        <v>68</v>
      </c>
      <c r="I1685" s="4">
        <v>1279.21</v>
      </c>
      <c r="J1685" s="4">
        <v>7861.78</v>
      </c>
      <c r="K1685" s="3">
        <v>55</v>
      </c>
      <c r="L1685" s="2" t="s">
        <v>2539</v>
      </c>
      <c r="M1685" s="2" t="s">
        <v>2526</v>
      </c>
      <c r="N1685" t="str">
        <f>TRIM(PROPER(Tabla_auditoría[[#This Row],[ID_Campaña]]))</f>
        <v>Cmp-022</v>
      </c>
      <c r="O1685" t="str">
        <f>TRIM(PROPER(Tabla_auditoría[[#This Row],[Canal]]))</f>
        <v>Paid Social</v>
      </c>
      <c r="P1685" t="str">
        <f>TRIM(PROPER(Tabla_auditoría[[#This Row],[País]]))</f>
        <v>Portugal</v>
      </c>
      <c r="Q1685" t="str">
        <f>TRIM(PROPER(Tabla_auditoría[[#This Row],[Dispositivo]]))</f>
        <v>Desktop</v>
      </c>
      <c r="R1685" t="str">
        <f>TRIM(PROPER(Tabla_auditoría[[#This Row],[Tipo_Campaña]]))</f>
        <v>Conversión</v>
      </c>
      <c r="S1685" t="str">
        <f>TRIM(PROPER(Tabla_auditoría[[#This Row],[Responsable]]))</f>
        <v>Laura Pérez</v>
      </c>
    </row>
    <row r="1686" spans="1:19" x14ac:dyDescent="0.3">
      <c r="A1686" s="1">
        <v>45876</v>
      </c>
      <c r="B1686" s="2" t="s">
        <v>2538</v>
      </c>
      <c r="C1686" s="2" t="s">
        <v>2541</v>
      </c>
      <c r="D1686" s="2" t="s">
        <v>2528</v>
      </c>
      <c r="E1686" s="2" t="s">
        <v>2529</v>
      </c>
      <c r="F1686" s="3">
        <v>75070</v>
      </c>
      <c r="G1686" s="3">
        <v>984</v>
      </c>
      <c r="H1686" s="3">
        <v>94</v>
      </c>
      <c r="I1686" s="4">
        <v>1968.19</v>
      </c>
      <c r="J1686" s="4">
        <v>4807.8100000000004</v>
      </c>
      <c r="K1686" s="3">
        <v>63</v>
      </c>
      <c r="L1686" s="2" t="s">
        <v>2539</v>
      </c>
      <c r="M1686" s="2" t="s">
        <v>2537</v>
      </c>
      <c r="N1686" t="str">
        <f>TRIM(PROPER(Tabla_auditoría[[#This Row],[ID_Campaña]]))</f>
        <v>Cmp-004</v>
      </c>
      <c r="O1686" t="str">
        <f>TRIM(PROPER(Tabla_auditoría[[#This Row],[Canal]]))</f>
        <v>Display</v>
      </c>
      <c r="P1686" t="str">
        <f>TRIM(PROPER(Tabla_auditoría[[#This Row],[País]]))</f>
        <v>España</v>
      </c>
      <c r="Q1686" t="str">
        <f>TRIM(PROPER(Tabla_auditoría[[#This Row],[Dispositivo]]))</f>
        <v>Mobile</v>
      </c>
      <c r="R1686" t="str">
        <f>TRIM(PROPER(Tabla_auditoría[[#This Row],[Tipo_Campaña]]))</f>
        <v>Conversión</v>
      </c>
      <c r="S1686" t="str">
        <f>TRIM(PROPER(Tabla_auditoría[[#This Row],[Responsable]]))</f>
        <v>Marta López</v>
      </c>
    </row>
    <row r="1687" spans="1:19" x14ac:dyDescent="0.3">
      <c r="A1687" s="1">
        <v>45800</v>
      </c>
      <c r="B1687" s="2" t="s">
        <v>2600</v>
      </c>
      <c r="C1687" s="2" t="s">
        <v>2541</v>
      </c>
      <c r="D1687" s="2" t="s">
        <v>2525</v>
      </c>
      <c r="E1687" s="2" t="s">
        <v>2517</v>
      </c>
      <c r="F1687" s="3">
        <v>80241</v>
      </c>
      <c r="G1687" s="3">
        <v>3049</v>
      </c>
      <c r="H1687" s="3">
        <v>292</v>
      </c>
      <c r="I1687" s="4">
        <v>3202.37</v>
      </c>
      <c r="J1687" s="4">
        <v>46025.760000000002</v>
      </c>
      <c r="K1687" s="3">
        <v>217</v>
      </c>
      <c r="L1687" s="2" t="s">
        <v>2539</v>
      </c>
      <c r="M1687" s="2" t="s">
        <v>2526</v>
      </c>
      <c r="N1687" t="str">
        <f>TRIM(PROPER(Tabla_auditoría[[#This Row],[ID_Campaña]]))</f>
        <v>Cmp-025</v>
      </c>
      <c r="O1687" t="str">
        <f>TRIM(PROPER(Tabla_auditoría[[#This Row],[Canal]]))</f>
        <v>Display</v>
      </c>
      <c r="P1687" t="str">
        <f>TRIM(PROPER(Tabla_auditoría[[#This Row],[País]]))</f>
        <v>Francia</v>
      </c>
      <c r="Q1687" t="str">
        <f>TRIM(PROPER(Tabla_auditoría[[#This Row],[Dispositivo]]))</f>
        <v>Desktop</v>
      </c>
      <c r="R1687" t="str">
        <f>TRIM(PROPER(Tabla_auditoría[[#This Row],[Tipo_Campaña]]))</f>
        <v>Conversión</v>
      </c>
      <c r="S1687" t="str">
        <f>TRIM(PROPER(Tabla_auditoría[[#This Row],[Responsable]]))</f>
        <v>Laura Pérez</v>
      </c>
    </row>
    <row r="1688" spans="1:19" x14ac:dyDescent="0.3">
      <c r="A1688" s="1">
        <v>45996</v>
      </c>
      <c r="B1688" s="2" t="s">
        <v>2554</v>
      </c>
      <c r="C1688" s="2" t="s">
        <v>2527</v>
      </c>
      <c r="D1688" s="2" t="s">
        <v>2525</v>
      </c>
      <c r="E1688" s="2" t="s">
        <v>2517</v>
      </c>
      <c r="F1688" s="3">
        <v>120799</v>
      </c>
      <c r="G1688" s="3">
        <v>10487</v>
      </c>
      <c r="H1688" s="3">
        <v>1230</v>
      </c>
      <c r="I1688" s="4">
        <v>7788.06</v>
      </c>
      <c r="J1688" s="4">
        <v>244041</v>
      </c>
      <c r="K1688" s="3">
        <v>573</v>
      </c>
      <c r="L1688" s="2" t="s">
        <v>2518</v>
      </c>
      <c r="M1688" s="2" t="s">
        <v>2537</v>
      </c>
      <c r="N1688" t="str">
        <f>TRIM(PROPER(Tabla_auditoría[[#This Row],[ID_Campaña]]))</f>
        <v>Cmp-019</v>
      </c>
      <c r="O1688" t="str">
        <f>TRIM(PROPER(Tabla_auditoría[[#This Row],[Canal]]))</f>
        <v>Affiliate</v>
      </c>
      <c r="P1688" t="str">
        <f>TRIM(PROPER(Tabla_auditoría[[#This Row],[País]]))</f>
        <v>Francia</v>
      </c>
      <c r="Q1688" t="str">
        <f>TRIM(PROPER(Tabla_auditoría[[#This Row],[Dispositivo]]))</f>
        <v>Desktop</v>
      </c>
      <c r="R1688" t="str">
        <f>TRIM(PROPER(Tabla_auditoría[[#This Row],[Tipo_Campaña]]))</f>
        <v>Adquisición</v>
      </c>
      <c r="S1688" t="str">
        <f>TRIM(PROPER(Tabla_auditoría[[#This Row],[Responsable]]))</f>
        <v>Marta López</v>
      </c>
    </row>
    <row r="1689" spans="1:19" x14ac:dyDescent="0.3">
      <c r="A1689" s="1">
        <v>45839</v>
      </c>
      <c r="B1689" s="2" t="s">
        <v>2560</v>
      </c>
      <c r="C1689" s="2" t="s">
        <v>2521</v>
      </c>
      <c r="D1689" s="2" t="s">
        <v>2525</v>
      </c>
      <c r="E1689" s="2" t="s">
        <v>2517</v>
      </c>
      <c r="F1689" s="3">
        <v>136766</v>
      </c>
      <c r="G1689" s="3">
        <v>10170</v>
      </c>
      <c r="H1689" s="3">
        <v>174</v>
      </c>
      <c r="I1689" s="4">
        <v>10915.04</v>
      </c>
      <c r="J1689" s="4">
        <v>33205.279999999999</v>
      </c>
      <c r="K1689" s="3">
        <v>145</v>
      </c>
      <c r="L1689" s="2" t="s">
        <v>2539</v>
      </c>
      <c r="N1689" t="str">
        <f>TRIM(PROPER(Tabla_auditoría[[#This Row],[ID_Campaña]]))</f>
        <v>Cmp-027</v>
      </c>
      <c r="O1689" t="str">
        <f>TRIM(PROPER(Tabla_auditoría[[#This Row],[Canal]]))</f>
        <v>Paid Search</v>
      </c>
      <c r="P1689" t="str">
        <f>TRIM(PROPER(Tabla_auditoría[[#This Row],[País]]))</f>
        <v>Francia</v>
      </c>
      <c r="Q1689" t="str">
        <f>TRIM(PROPER(Tabla_auditoría[[#This Row],[Dispositivo]]))</f>
        <v>Desktop</v>
      </c>
      <c r="R1689" t="str">
        <f>TRIM(PROPER(Tabla_auditoría[[#This Row],[Tipo_Campaña]]))</f>
        <v>Conversión</v>
      </c>
      <c r="S1689" t="str">
        <f>TRIM(PROPER(Tabla_auditoría[[#This Row],[Responsable]]))</f>
        <v/>
      </c>
    </row>
    <row r="1690" spans="1:19" x14ac:dyDescent="0.3">
      <c r="A1690" s="1">
        <v>45769</v>
      </c>
      <c r="B1690" s="2" t="s">
        <v>2569</v>
      </c>
      <c r="C1690" s="2" t="s">
        <v>2527</v>
      </c>
      <c r="D1690" s="2" t="s">
        <v>2516</v>
      </c>
      <c r="E1690" s="2" t="s">
        <v>2529</v>
      </c>
      <c r="F1690" s="3">
        <v>101204</v>
      </c>
      <c r="G1690" s="3">
        <v>4432</v>
      </c>
      <c r="H1690" s="3">
        <v>344</v>
      </c>
      <c r="I1690" s="4">
        <v>5400.91</v>
      </c>
      <c r="J1690" s="4">
        <v>14429.54</v>
      </c>
      <c r="K1690" s="3">
        <v>302</v>
      </c>
      <c r="L1690" s="2" t="s">
        <v>2523</v>
      </c>
      <c r="M1690" s="2" t="s">
        <v>2524</v>
      </c>
      <c r="N1690" t="str">
        <f>TRIM(PROPER(Tabla_auditoría[[#This Row],[ID_Campaña]]))</f>
        <v>Cmp-013</v>
      </c>
      <c r="O1690" t="str">
        <f>TRIM(PROPER(Tabla_auditoría[[#This Row],[Canal]]))</f>
        <v>Affiliate</v>
      </c>
      <c r="P1690" t="str">
        <f>TRIM(PROPER(Tabla_auditoría[[#This Row],[País]]))</f>
        <v>México</v>
      </c>
      <c r="Q1690" t="str">
        <f>TRIM(PROPER(Tabla_auditoría[[#This Row],[Dispositivo]]))</f>
        <v>Mobile</v>
      </c>
      <c r="R1690" t="str">
        <f>TRIM(PROPER(Tabla_auditoría[[#This Row],[Tipo_Campaña]]))</f>
        <v>Retención</v>
      </c>
      <c r="S1690" t="str">
        <f>TRIM(PROPER(Tabla_auditoría[[#This Row],[Responsable]]))</f>
        <v>Luis Martín</v>
      </c>
    </row>
    <row r="1691" spans="1:19" x14ac:dyDescent="0.3">
      <c r="A1691" s="1">
        <v>45706</v>
      </c>
      <c r="B1691" s="2" t="s">
        <v>2557</v>
      </c>
      <c r="C1691" s="2" t="s">
        <v>2543</v>
      </c>
      <c r="D1691" s="2" t="s">
        <v>2531</v>
      </c>
      <c r="E1691" s="2" t="s">
        <v>2529</v>
      </c>
      <c r="F1691" s="3">
        <v>1697</v>
      </c>
      <c r="G1691" s="3">
        <v>142</v>
      </c>
      <c r="H1691" s="3">
        <v>4</v>
      </c>
      <c r="I1691" s="4">
        <v>142.97</v>
      </c>
      <c r="J1691" s="4">
        <v>758.38</v>
      </c>
      <c r="K1691" s="3">
        <v>2</v>
      </c>
      <c r="L1691" s="2" t="s">
        <v>2518</v>
      </c>
      <c r="M1691" s="2" t="s">
        <v>2524</v>
      </c>
      <c r="N1691" t="str">
        <f>TRIM(PROPER(Tabla_auditoría[[#This Row],[ID_Campaña]]))</f>
        <v>Cmp-030</v>
      </c>
      <c r="O1691" t="str">
        <f>TRIM(PROPER(Tabla_auditoría[[#This Row],[Canal]]))</f>
        <v>Organic Social</v>
      </c>
      <c r="P1691" t="str">
        <f>TRIM(PROPER(Tabla_auditoría[[#This Row],[País]]))</f>
        <v>Portugal</v>
      </c>
      <c r="Q1691" t="str">
        <f>TRIM(PROPER(Tabla_auditoría[[#This Row],[Dispositivo]]))</f>
        <v>Mobile</v>
      </c>
      <c r="R1691" t="str">
        <f>TRIM(PROPER(Tabla_auditoría[[#This Row],[Tipo_Campaña]]))</f>
        <v>Adquisición</v>
      </c>
      <c r="S1691" t="str">
        <f>TRIM(PROPER(Tabla_auditoría[[#This Row],[Responsable]]))</f>
        <v>Luis Martín</v>
      </c>
    </row>
    <row r="1692" spans="1:19" x14ac:dyDescent="0.3">
      <c r="A1692" s="1">
        <v>45954</v>
      </c>
      <c r="B1692" s="2" t="s">
        <v>2556</v>
      </c>
      <c r="C1692" s="2" t="s">
        <v>2541</v>
      </c>
      <c r="D1692" s="2" t="s">
        <v>2587</v>
      </c>
      <c r="E1692" s="2" t="s">
        <v>2517</v>
      </c>
      <c r="F1692" s="3">
        <v>154146</v>
      </c>
      <c r="G1692" s="3">
        <v>13559</v>
      </c>
      <c r="H1692" s="3">
        <v>952</v>
      </c>
      <c r="I1692" s="4">
        <v>2633.54</v>
      </c>
      <c r="J1692" s="4">
        <v>115941</v>
      </c>
      <c r="K1692" s="3">
        <v>815</v>
      </c>
      <c r="L1692" s="2" t="s">
        <v>2518</v>
      </c>
      <c r="M1692" s="2" t="s">
        <v>2546</v>
      </c>
      <c r="N1692" t="str">
        <f>TRIM(PROPER(Tabla_auditoría[[#This Row],[ID_Campaña]]))</f>
        <v>Cmp-014</v>
      </c>
      <c r="O1692" t="str">
        <f>TRIM(PROPER(Tabla_auditoría[[#This Row],[Canal]]))</f>
        <v>Display</v>
      </c>
      <c r="P1692" t="str">
        <f>TRIM(PROPER(Tabla_auditoría[[#This Row],[País]]))</f>
        <v>Italia</v>
      </c>
      <c r="Q1692" t="str">
        <f>TRIM(PROPER(Tabla_auditoría[[#This Row],[Dispositivo]]))</f>
        <v>Desktop</v>
      </c>
      <c r="R1692" t="str">
        <f>TRIM(PROPER(Tabla_auditoría[[#This Row],[Tipo_Campaña]]))</f>
        <v>Adquisición</v>
      </c>
      <c r="S1692" t="str">
        <f>TRIM(PROPER(Tabla_auditoría[[#This Row],[Responsable]]))</f>
        <v>Ana García</v>
      </c>
    </row>
    <row r="1693" spans="1:19" x14ac:dyDescent="0.3">
      <c r="A1693" s="1">
        <v>45877</v>
      </c>
      <c r="B1693" s="2" t="s">
        <v>2542</v>
      </c>
      <c r="C1693" s="2" t="s">
        <v>2541</v>
      </c>
      <c r="D1693" s="2" t="s">
        <v>2522</v>
      </c>
      <c r="E1693" s="2" t="s">
        <v>2529</v>
      </c>
      <c r="F1693" s="3">
        <v>150754</v>
      </c>
      <c r="G1693" s="3">
        <v>11738</v>
      </c>
      <c r="H1693" s="3">
        <v>149</v>
      </c>
      <c r="I1693" s="4">
        <v>1953.69</v>
      </c>
      <c r="J1693" s="4">
        <v>23602.22</v>
      </c>
      <c r="K1693" s="3">
        <v>123</v>
      </c>
      <c r="L1693" s="2" t="s">
        <v>2539</v>
      </c>
      <c r="M1693" s="2" t="s">
        <v>2524</v>
      </c>
      <c r="N1693" t="str">
        <f>TRIM(PROPER(Tabla_auditoría[[#This Row],[ID_Campaña]]))</f>
        <v>Cmp-025</v>
      </c>
      <c r="O1693" t="str">
        <f>TRIM(PROPER(Tabla_auditoría[[#This Row],[Canal]]))</f>
        <v>Display</v>
      </c>
      <c r="P1693" t="str">
        <f>TRIM(PROPER(Tabla_auditoría[[#This Row],[País]]))</f>
        <v>Italia</v>
      </c>
      <c r="Q1693" t="str">
        <f>TRIM(PROPER(Tabla_auditoría[[#This Row],[Dispositivo]]))</f>
        <v>Mobile</v>
      </c>
      <c r="R1693" t="str">
        <f>TRIM(PROPER(Tabla_auditoría[[#This Row],[Tipo_Campaña]]))</f>
        <v>Conversión</v>
      </c>
      <c r="S1693" t="str">
        <f>TRIM(PROPER(Tabla_auditoría[[#This Row],[Responsable]]))</f>
        <v>Luis Martín</v>
      </c>
    </row>
    <row r="1694" spans="1:19" x14ac:dyDescent="0.3">
      <c r="A1694" s="1">
        <v>45668</v>
      </c>
      <c r="B1694" s="2" t="s">
        <v>2563</v>
      </c>
      <c r="C1694" s="2" t="s">
        <v>2533</v>
      </c>
      <c r="D1694" s="2" t="s">
        <v>2528</v>
      </c>
      <c r="E1694" s="2" t="s">
        <v>2529</v>
      </c>
      <c r="F1694" s="3">
        <v>40340</v>
      </c>
      <c r="G1694" s="3">
        <v>1202</v>
      </c>
      <c r="H1694" s="3">
        <v>93</v>
      </c>
      <c r="I1694" s="4">
        <v>1314.69</v>
      </c>
      <c r="J1694" s="4">
        <v>19489.400000000001</v>
      </c>
      <c r="K1694" s="3">
        <v>47</v>
      </c>
      <c r="L1694" s="2" t="s">
        <v>2539</v>
      </c>
      <c r="M1694" s="2" t="s">
        <v>2537</v>
      </c>
      <c r="N1694" t="str">
        <f>TRIM(PROPER(Tabla_auditoría[[#This Row],[ID_Campaña]]))</f>
        <v>Cmp-023</v>
      </c>
      <c r="O1694" t="str">
        <f>TRIM(PROPER(Tabla_auditoría[[#This Row],[Canal]]))</f>
        <v>Paid Social</v>
      </c>
      <c r="P1694" t="str">
        <f>TRIM(PROPER(Tabla_auditoría[[#This Row],[País]]))</f>
        <v>España</v>
      </c>
      <c r="Q1694" t="str">
        <f>TRIM(PROPER(Tabla_auditoría[[#This Row],[Dispositivo]]))</f>
        <v>Mobile</v>
      </c>
      <c r="R1694" t="str">
        <f>TRIM(PROPER(Tabla_auditoría[[#This Row],[Tipo_Campaña]]))</f>
        <v>Conversión</v>
      </c>
      <c r="S1694" t="str">
        <f>TRIM(PROPER(Tabla_auditoría[[#This Row],[Responsable]]))</f>
        <v>Marta López</v>
      </c>
    </row>
    <row r="1695" spans="1:19" x14ac:dyDescent="0.3">
      <c r="A1695" s="1">
        <v>45892</v>
      </c>
      <c r="B1695" s="2" t="s">
        <v>2530</v>
      </c>
      <c r="C1695" s="2" t="s">
        <v>2543</v>
      </c>
      <c r="D1695" s="2" t="s">
        <v>2528</v>
      </c>
      <c r="E1695" s="2" t="s">
        <v>2517</v>
      </c>
      <c r="F1695" s="3">
        <v>174511</v>
      </c>
      <c r="G1695" s="3">
        <v>14130</v>
      </c>
      <c r="H1695" s="3">
        <v>1288</v>
      </c>
      <c r="I1695" s="4">
        <v>18973.89</v>
      </c>
      <c r="J1695" s="4">
        <v>91710.59</v>
      </c>
      <c r="K1695" s="3">
        <v>1031</v>
      </c>
      <c r="L1695" s="2" t="s">
        <v>2539</v>
      </c>
      <c r="M1695" s="2" t="s">
        <v>2519</v>
      </c>
      <c r="N1695" t="str">
        <f>TRIM(PROPER(Tabla_auditoría[[#This Row],[ID_Campaña]]))</f>
        <v>Cmp-026</v>
      </c>
      <c r="O1695" t="str">
        <f>TRIM(PROPER(Tabla_auditoría[[#This Row],[Canal]]))</f>
        <v>Organic Social</v>
      </c>
      <c r="P1695" t="str">
        <f>TRIM(PROPER(Tabla_auditoría[[#This Row],[País]]))</f>
        <v>España</v>
      </c>
      <c r="Q1695" t="str">
        <f>TRIM(PROPER(Tabla_auditoría[[#This Row],[Dispositivo]]))</f>
        <v>Desktop</v>
      </c>
      <c r="R1695" t="str">
        <f>TRIM(PROPER(Tabla_auditoría[[#This Row],[Tipo_Campaña]]))</f>
        <v>Conversión</v>
      </c>
      <c r="S1695" t="str">
        <f>TRIM(PROPER(Tabla_auditoría[[#This Row],[Responsable]]))</f>
        <v>Carlos Ruiz</v>
      </c>
    </row>
    <row r="1696" spans="1:19" x14ac:dyDescent="0.3">
      <c r="A1696" s="1">
        <v>45711</v>
      </c>
      <c r="B1696" s="2" t="s">
        <v>2542</v>
      </c>
      <c r="C1696" s="2" t="s">
        <v>2533</v>
      </c>
      <c r="D1696" s="2" t="s">
        <v>2522</v>
      </c>
      <c r="E1696" s="2" t="s">
        <v>2517</v>
      </c>
      <c r="F1696" s="3">
        <v>14410</v>
      </c>
      <c r="G1696" s="3">
        <v>847</v>
      </c>
      <c r="H1696" s="3">
        <v>88</v>
      </c>
      <c r="I1696" s="4">
        <v>960.73</v>
      </c>
      <c r="J1696" s="4">
        <v>14248.2</v>
      </c>
      <c r="K1696" s="3">
        <v>49</v>
      </c>
      <c r="L1696" s="2" t="s">
        <v>2518</v>
      </c>
      <c r="M1696" s="2" t="s">
        <v>2546</v>
      </c>
      <c r="N1696" t="str">
        <f>TRIM(PROPER(Tabla_auditoría[[#This Row],[ID_Campaña]]))</f>
        <v>Cmp-025</v>
      </c>
      <c r="O1696" t="str">
        <f>TRIM(PROPER(Tabla_auditoría[[#This Row],[Canal]]))</f>
        <v>Paid Social</v>
      </c>
      <c r="P1696" t="str">
        <f>TRIM(PROPER(Tabla_auditoría[[#This Row],[País]]))</f>
        <v>Italia</v>
      </c>
      <c r="Q1696" t="str">
        <f>TRIM(PROPER(Tabla_auditoría[[#This Row],[Dispositivo]]))</f>
        <v>Desktop</v>
      </c>
      <c r="R1696" t="str">
        <f>TRIM(PROPER(Tabla_auditoría[[#This Row],[Tipo_Campaña]]))</f>
        <v>Adquisición</v>
      </c>
      <c r="S1696" t="str">
        <f>TRIM(PROPER(Tabla_auditoría[[#This Row],[Responsable]]))</f>
        <v>Ana García</v>
      </c>
    </row>
    <row r="1697" spans="1:19" x14ac:dyDescent="0.3">
      <c r="A1697" s="1">
        <v>45833</v>
      </c>
      <c r="B1697" s="2" t="s">
        <v>2567</v>
      </c>
      <c r="C1697" s="2" t="s">
        <v>2521</v>
      </c>
      <c r="D1697" s="2" t="s">
        <v>2522</v>
      </c>
      <c r="E1697" s="2" t="s">
        <v>2529</v>
      </c>
      <c r="F1697" s="3">
        <v>10122</v>
      </c>
      <c r="G1697" s="3">
        <v>449</v>
      </c>
      <c r="H1697" s="3">
        <v>21</v>
      </c>
      <c r="I1697" s="4">
        <v>165.59</v>
      </c>
      <c r="J1697" s="4">
        <v>3870.17</v>
      </c>
      <c r="K1697" s="3">
        <v>13</v>
      </c>
      <c r="L1697" s="2" t="s">
        <v>2536</v>
      </c>
      <c r="M1697" s="2" t="s">
        <v>2524</v>
      </c>
      <c r="N1697" t="str">
        <f>TRIM(PROPER(Tabla_auditoría[[#This Row],[ID_Campaña]]))</f>
        <v>Cmp-021</v>
      </c>
      <c r="O1697" t="str">
        <f>TRIM(PROPER(Tabla_auditoría[[#This Row],[Canal]]))</f>
        <v>Paid Search</v>
      </c>
      <c r="P1697" t="str">
        <f>TRIM(PROPER(Tabla_auditoría[[#This Row],[País]]))</f>
        <v>Italia</v>
      </c>
      <c r="Q1697" t="str">
        <f>TRIM(PROPER(Tabla_auditoría[[#This Row],[Dispositivo]]))</f>
        <v>Mobile</v>
      </c>
      <c r="R1697" t="str">
        <f>TRIM(PROPER(Tabla_auditoría[[#This Row],[Tipo_Campaña]]))</f>
        <v>Reconocimiento</v>
      </c>
      <c r="S1697" t="str">
        <f>TRIM(PROPER(Tabla_auditoría[[#This Row],[Responsable]]))</f>
        <v>Luis Martín</v>
      </c>
    </row>
    <row r="1698" spans="1:19" x14ac:dyDescent="0.3">
      <c r="A1698" s="1">
        <v>45980</v>
      </c>
      <c r="B1698" s="2" t="s">
        <v>2563</v>
      </c>
      <c r="C1698" s="2" t="s">
        <v>2521</v>
      </c>
      <c r="D1698" s="2" t="s">
        <v>2528</v>
      </c>
      <c r="E1698" s="2" t="s">
        <v>2517</v>
      </c>
      <c r="F1698" s="3">
        <v>12799</v>
      </c>
      <c r="G1698" s="3">
        <v>142</v>
      </c>
      <c r="H1698" s="3">
        <v>7</v>
      </c>
      <c r="I1698" s="4">
        <v>187.28</v>
      </c>
      <c r="J1698" s="4">
        <v>1304.92</v>
      </c>
      <c r="K1698" s="3">
        <v>4</v>
      </c>
      <c r="L1698" s="2" t="s">
        <v>2523</v>
      </c>
      <c r="M1698" s="2" t="s">
        <v>2519</v>
      </c>
      <c r="N1698" t="str">
        <f>TRIM(PROPER(Tabla_auditoría[[#This Row],[ID_Campaña]]))</f>
        <v>Cmp-023</v>
      </c>
      <c r="O1698" t="str">
        <f>TRIM(PROPER(Tabla_auditoría[[#This Row],[Canal]]))</f>
        <v>Paid Search</v>
      </c>
      <c r="P1698" t="str">
        <f>TRIM(PROPER(Tabla_auditoría[[#This Row],[País]]))</f>
        <v>España</v>
      </c>
      <c r="Q1698" t="str">
        <f>TRIM(PROPER(Tabla_auditoría[[#This Row],[Dispositivo]]))</f>
        <v>Desktop</v>
      </c>
      <c r="R1698" t="str">
        <f>TRIM(PROPER(Tabla_auditoría[[#This Row],[Tipo_Campaña]]))</f>
        <v>Retención</v>
      </c>
      <c r="S1698" t="str">
        <f>TRIM(PROPER(Tabla_auditoría[[#This Row],[Responsable]]))</f>
        <v>Carlos Ruiz</v>
      </c>
    </row>
    <row r="1699" spans="1:19" x14ac:dyDescent="0.3">
      <c r="A1699" s="1">
        <v>45916</v>
      </c>
      <c r="B1699" s="2" t="s">
        <v>2557</v>
      </c>
      <c r="C1699" s="2" t="s">
        <v>2541</v>
      </c>
      <c r="D1699" s="2" t="s">
        <v>2525</v>
      </c>
      <c r="E1699" s="2" t="s">
        <v>2529</v>
      </c>
      <c r="F1699" s="3">
        <v>18706</v>
      </c>
      <c r="G1699" s="3">
        <v>1581</v>
      </c>
      <c r="H1699" s="3">
        <v>87</v>
      </c>
      <c r="I1699" s="4">
        <v>355.27</v>
      </c>
      <c r="J1699" s="4">
        <v>12333.36</v>
      </c>
      <c r="K1699" s="3">
        <v>52</v>
      </c>
      <c r="L1699" s="2" t="s">
        <v>2539</v>
      </c>
      <c r="M1699" s="2" t="s">
        <v>2546</v>
      </c>
      <c r="N1699" t="str">
        <f>TRIM(PROPER(Tabla_auditoría[[#This Row],[ID_Campaña]]))</f>
        <v>Cmp-030</v>
      </c>
      <c r="O1699" t="str">
        <f>TRIM(PROPER(Tabla_auditoría[[#This Row],[Canal]]))</f>
        <v>Display</v>
      </c>
      <c r="P1699" t="str">
        <f>TRIM(PROPER(Tabla_auditoría[[#This Row],[País]]))</f>
        <v>Francia</v>
      </c>
      <c r="Q1699" t="str">
        <f>TRIM(PROPER(Tabla_auditoría[[#This Row],[Dispositivo]]))</f>
        <v>Mobile</v>
      </c>
      <c r="R1699" t="str">
        <f>TRIM(PROPER(Tabla_auditoría[[#This Row],[Tipo_Campaña]]))</f>
        <v>Conversión</v>
      </c>
      <c r="S1699" t="str">
        <f>TRIM(PROPER(Tabla_auditoría[[#This Row],[Responsable]]))</f>
        <v>Ana García</v>
      </c>
    </row>
    <row r="1700" spans="1:19" x14ac:dyDescent="0.3">
      <c r="A1700" s="1">
        <v>45784</v>
      </c>
      <c r="B1700" s="2" t="s">
        <v>2554</v>
      </c>
      <c r="C1700" s="2" t="s">
        <v>2527</v>
      </c>
      <c r="D1700" s="2" t="s">
        <v>2525</v>
      </c>
      <c r="E1700" s="2" t="s">
        <v>2517</v>
      </c>
      <c r="F1700" s="3">
        <v>139562</v>
      </c>
      <c r="G1700" s="3">
        <v>1394</v>
      </c>
      <c r="H1700" s="3">
        <v>80</v>
      </c>
      <c r="I1700" s="4">
        <v>2778.08</v>
      </c>
      <c r="J1700" s="4">
        <v>16089.63</v>
      </c>
      <c r="K1700" s="3">
        <v>68</v>
      </c>
      <c r="L1700" s="2" t="s">
        <v>2536</v>
      </c>
      <c r="M1700" s="2" t="s">
        <v>2519</v>
      </c>
      <c r="N1700" t="str">
        <f>TRIM(PROPER(Tabla_auditoría[[#This Row],[ID_Campaña]]))</f>
        <v>Cmp-019</v>
      </c>
      <c r="O1700" t="str">
        <f>TRIM(PROPER(Tabla_auditoría[[#This Row],[Canal]]))</f>
        <v>Affiliate</v>
      </c>
      <c r="P1700" t="str">
        <f>TRIM(PROPER(Tabla_auditoría[[#This Row],[País]]))</f>
        <v>Francia</v>
      </c>
      <c r="Q1700" t="str">
        <f>TRIM(PROPER(Tabla_auditoría[[#This Row],[Dispositivo]]))</f>
        <v>Desktop</v>
      </c>
      <c r="R1700" t="str">
        <f>TRIM(PROPER(Tabla_auditoría[[#This Row],[Tipo_Campaña]]))</f>
        <v>Reconocimiento</v>
      </c>
      <c r="S1700" t="str">
        <f>TRIM(PROPER(Tabla_auditoría[[#This Row],[Responsable]]))</f>
        <v>Carlos Ruiz</v>
      </c>
    </row>
    <row r="1701" spans="1:19" x14ac:dyDescent="0.3">
      <c r="A1701" s="1">
        <v>45753</v>
      </c>
      <c r="B1701" s="2" t="s">
        <v>2547</v>
      </c>
      <c r="C1701" s="2" t="s">
        <v>2515</v>
      </c>
      <c r="D1701" s="2" t="s">
        <v>2531</v>
      </c>
      <c r="E1701" s="2" t="s">
        <v>2529</v>
      </c>
      <c r="F1701" s="3">
        <v>1045</v>
      </c>
      <c r="G1701" s="3">
        <v>57</v>
      </c>
      <c r="H1701" s="3">
        <v>5</v>
      </c>
      <c r="I1701" s="4">
        <v>16.059999999999999</v>
      </c>
      <c r="J1701" s="4">
        <v>601.88</v>
      </c>
      <c r="K1701" s="3">
        <v>3</v>
      </c>
      <c r="L1701" s="2" t="s">
        <v>2539</v>
      </c>
      <c r="M1701" s="2" t="s">
        <v>2526</v>
      </c>
      <c r="N1701" t="str">
        <f>TRIM(PROPER(Tabla_auditoría[[#This Row],[ID_Campaña]]))</f>
        <v>Cmp-018</v>
      </c>
      <c r="O1701" t="str">
        <f>TRIM(PROPER(Tabla_auditoría[[#This Row],[Canal]]))</f>
        <v>Email</v>
      </c>
      <c r="P1701" t="str">
        <f>TRIM(PROPER(Tabla_auditoría[[#This Row],[País]]))</f>
        <v>Portugal</v>
      </c>
      <c r="Q1701" t="str">
        <f>TRIM(PROPER(Tabla_auditoría[[#This Row],[Dispositivo]]))</f>
        <v>Mobile</v>
      </c>
      <c r="R1701" t="str">
        <f>TRIM(PROPER(Tabla_auditoría[[#This Row],[Tipo_Campaña]]))</f>
        <v>Conversión</v>
      </c>
      <c r="S1701" t="str">
        <f>TRIM(PROPER(Tabla_auditoría[[#This Row],[Responsable]]))</f>
        <v>Laura Pérez</v>
      </c>
    </row>
    <row r="1702" spans="1:19" x14ac:dyDescent="0.3">
      <c r="A1702" s="1">
        <v>45727</v>
      </c>
      <c r="B1702" s="2" t="s">
        <v>2566</v>
      </c>
      <c r="C1702" s="2" t="s">
        <v>2521</v>
      </c>
      <c r="D1702" s="2" t="s">
        <v>2528</v>
      </c>
      <c r="E1702" s="2" t="s">
        <v>2517</v>
      </c>
      <c r="F1702" s="3">
        <v>118298</v>
      </c>
      <c r="G1702" s="3">
        <v>2597</v>
      </c>
      <c r="H1702" s="3">
        <v>168</v>
      </c>
      <c r="I1702" s="4">
        <v>1371.48</v>
      </c>
      <c r="J1702" s="4">
        <v>32389.16</v>
      </c>
      <c r="K1702" s="3">
        <v>79</v>
      </c>
      <c r="L1702" s="2" t="s">
        <v>2518</v>
      </c>
      <c r="M1702" s="2" t="s">
        <v>2546</v>
      </c>
      <c r="N1702" t="str">
        <f>TRIM(PROPER(Tabla_auditoría[[#This Row],[ID_Campaña]]))</f>
        <v>Cmp-001</v>
      </c>
      <c r="O1702" t="str">
        <f>TRIM(PROPER(Tabla_auditoría[[#This Row],[Canal]]))</f>
        <v>Paid Search</v>
      </c>
      <c r="P1702" t="str">
        <f>TRIM(PROPER(Tabla_auditoría[[#This Row],[País]]))</f>
        <v>España</v>
      </c>
      <c r="Q1702" t="str">
        <f>TRIM(PROPER(Tabla_auditoría[[#This Row],[Dispositivo]]))</f>
        <v>Desktop</v>
      </c>
      <c r="R1702" t="str">
        <f>TRIM(PROPER(Tabla_auditoría[[#This Row],[Tipo_Campaña]]))</f>
        <v>Adquisición</v>
      </c>
      <c r="S1702" t="str">
        <f>TRIM(PROPER(Tabla_auditoría[[#This Row],[Responsable]]))</f>
        <v>Ana García</v>
      </c>
    </row>
    <row r="1703" spans="1:19" x14ac:dyDescent="0.3">
      <c r="A1703" s="1">
        <v>45834</v>
      </c>
      <c r="B1703" s="2" t="s">
        <v>2542</v>
      </c>
      <c r="C1703" s="2" t="s">
        <v>2541</v>
      </c>
      <c r="D1703" s="2" t="s">
        <v>2528</v>
      </c>
      <c r="E1703" s="2" t="s">
        <v>2529</v>
      </c>
      <c r="F1703" s="3">
        <v>141228</v>
      </c>
      <c r="G1703" s="3">
        <v>7146</v>
      </c>
      <c r="H1703" s="3">
        <v>763</v>
      </c>
      <c r="I1703" s="4">
        <v>10618.99</v>
      </c>
      <c r="J1703" s="4">
        <v>88142.19</v>
      </c>
      <c r="K1703" s="3">
        <v>452</v>
      </c>
      <c r="L1703" s="2" t="s">
        <v>2536</v>
      </c>
      <c r="M1703" s="2" t="s">
        <v>2537</v>
      </c>
      <c r="N1703" t="str">
        <f>TRIM(PROPER(Tabla_auditoría[[#This Row],[ID_Campaña]]))</f>
        <v>Cmp-025</v>
      </c>
      <c r="O1703" t="str">
        <f>TRIM(PROPER(Tabla_auditoría[[#This Row],[Canal]]))</f>
        <v>Display</v>
      </c>
      <c r="P1703" t="str">
        <f>TRIM(PROPER(Tabla_auditoría[[#This Row],[País]]))</f>
        <v>España</v>
      </c>
      <c r="Q1703" t="str">
        <f>TRIM(PROPER(Tabla_auditoría[[#This Row],[Dispositivo]]))</f>
        <v>Mobile</v>
      </c>
      <c r="R1703" t="str">
        <f>TRIM(PROPER(Tabla_auditoría[[#This Row],[Tipo_Campaña]]))</f>
        <v>Reconocimiento</v>
      </c>
      <c r="S1703" t="str">
        <f>TRIM(PROPER(Tabla_auditoría[[#This Row],[Responsable]]))</f>
        <v>Marta López</v>
      </c>
    </row>
    <row r="1704" spans="1:19" x14ac:dyDescent="0.3">
      <c r="A1704" s="1">
        <v>45819</v>
      </c>
      <c r="B1704" s="2" t="s">
        <v>2542</v>
      </c>
      <c r="C1704" s="2" t="s">
        <v>2533</v>
      </c>
      <c r="D1704" s="2" t="s">
        <v>2531</v>
      </c>
      <c r="E1704" s="2" t="s">
        <v>2529</v>
      </c>
      <c r="F1704" s="3">
        <v>127234</v>
      </c>
      <c r="G1704" s="3">
        <v>3025</v>
      </c>
      <c r="H1704" s="3">
        <v>172</v>
      </c>
      <c r="I1704" s="4">
        <v>4569.9399999999996</v>
      </c>
      <c r="J1704" s="4">
        <v>10814.74</v>
      </c>
      <c r="K1704" s="3">
        <v>128</v>
      </c>
      <c r="L1704" s="2" t="s">
        <v>2536</v>
      </c>
      <c r="M1704" s="2" t="s">
        <v>2524</v>
      </c>
      <c r="N1704" t="str">
        <f>TRIM(PROPER(Tabla_auditoría[[#This Row],[ID_Campaña]]))</f>
        <v>Cmp-025</v>
      </c>
      <c r="O1704" t="str">
        <f>TRIM(PROPER(Tabla_auditoría[[#This Row],[Canal]]))</f>
        <v>Paid Social</v>
      </c>
      <c r="P1704" t="str">
        <f>TRIM(PROPER(Tabla_auditoría[[#This Row],[País]]))</f>
        <v>Portugal</v>
      </c>
      <c r="Q1704" t="str">
        <f>TRIM(PROPER(Tabla_auditoría[[#This Row],[Dispositivo]]))</f>
        <v>Mobile</v>
      </c>
      <c r="R1704" t="str">
        <f>TRIM(PROPER(Tabla_auditoría[[#This Row],[Tipo_Campaña]]))</f>
        <v>Reconocimiento</v>
      </c>
      <c r="S1704" t="str">
        <f>TRIM(PROPER(Tabla_auditoría[[#This Row],[Responsable]]))</f>
        <v>Luis Martín</v>
      </c>
    </row>
    <row r="1705" spans="1:19" x14ac:dyDescent="0.3">
      <c r="A1705" s="1">
        <v>45956</v>
      </c>
      <c r="B1705" s="2" t="s">
        <v>2569</v>
      </c>
      <c r="C1705" s="2" t="s">
        <v>2527</v>
      </c>
      <c r="D1705" s="2" t="s">
        <v>2516</v>
      </c>
      <c r="E1705" s="2" t="s">
        <v>2529</v>
      </c>
      <c r="F1705" s="3">
        <v>139892</v>
      </c>
      <c r="G1705" s="3">
        <v>4626</v>
      </c>
      <c r="H1705" s="3">
        <v>624</v>
      </c>
      <c r="I1705" s="4">
        <v>5658.42</v>
      </c>
      <c r="J1705" s="4">
        <v>126598.12</v>
      </c>
      <c r="K1705" s="3">
        <v>345</v>
      </c>
      <c r="L1705" s="2" t="s">
        <v>2518</v>
      </c>
      <c r="M1705" s="2" t="s">
        <v>2546</v>
      </c>
      <c r="N1705" t="str">
        <f>TRIM(PROPER(Tabla_auditoría[[#This Row],[ID_Campaña]]))</f>
        <v>Cmp-013</v>
      </c>
      <c r="O1705" t="str">
        <f>TRIM(PROPER(Tabla_auditoría[[#This Row],[Canal]]))</f>
        <v>Affiliate</v>
      </c>
      <c r="P1705" t="str">
        <f>TRIM(PROPER(Tabla_auditoría[[#This Row],[País]]))</f>
        <v>México</v>
      </c>
      <c r="Q1705" t="str">
        <f>TRIM(PROPER(Tabla_auditoría[[#This Row],[Dispositivo]]))</f>
        <v>Mobile</v>
      </c>
      <c r="R1705" t="str">
        <f>TRIM(PROPER(Tabla_auditoría[[#This Row],[Tipo_Campaña]]))</f>
        <v>Adquisición</v>
      </c>
      <c r="S1705" t="str">
        <f>TRIM(PROPER(Tabla_auditoría[[#This Row],[Responsable]]))</f>
        <v>Ana García</v>
      </c>
    </row>
    <row r="1706" spans="1:19" x14ac:dyDescent="0.3">
      <c r="A1706" s="1">
        <v>45684</v>
      </c>
      <c r="B1706" s="2" t="s">
        <v>2552</v>
      </c>
      <c r="C1706" s="2" t="s">
        <v>2521</v>
      </c>
      <c r="D1706" s="2" t="s">
        <v>2528</v>
      </c>
      <c r="E1706" s="2" t="s">
        <v>2529</v>
      </c>
      <c r="F1706" s="3">
        <v>4195</v>
      </c>
      <c r="G1706" s="3">
        <v>66</v>
      </c>
      <c r="H1706" s="3">
        <v>6</v>
      </c>
      <c r="I1706" s="4">
        <v>107.39</v>
      </c>
      <c r="J1706" s="4">
        <v>742.25</v>
      </c>
      <c r="K1706" s="3">
        <v>5</v>
      </c>
      <c r="L1706" s="2" t="s">
        <v>2539</v>
      </c>
      <c r="M1706" s="2" t="s">
        <v>2546</v>
      </c>
      <c r="N1706" t="str">
        <f>TRIM(PROPER(Tabla_auditoría[[#This Row],[ID_Campaña]]))</f>
        <v>Cmp-012</v>
      </c>
      <c r="O1706" t="str">
        <f>TRIM(PROPER(Tabla_auditoría[[#This Row],[Canal]]))</f>
        <v>Paid Search</v>
      </c>
      <c r="P1706" t="str">
        <f>TRIM(PROPER(Tabla_auditoría[[#This Row],[País]]))</f>
        <v>España</v>
      </c>
      <c r="Q1706" t="str">
        <f>TRIM(PROPER(Tabla_auditoría[[#This Row],[Dispositivo]]))</f>
        <v>Mobile</v>
      </c>
      <c r="R1706" t="str">
        <f>TRIM(PROPER(Tabla_auditoría[[#This Row],[Tipo_Campaña]]))</f>
        <v>Conversión</v>
      </c>
      <c r="S1706" t="str">
        <f>TRIM(PROPER(Tabla_auditoría[[#This Row],[Responsable]]))</f>
        <v>Ana García</v>
      </c>
    </row>
    <row r="1707" spans="1:19" x14ac:dyDescent="0.3">
      <c r="A1707" s="1">
        <v>45964</v>
      </c>
      <c r="B1707" s="2" t="s">
        <v>2550</v>
      </c>
      <c r="C1707" s="2" t="s">
        <v>2521</v>
      </c>
      <c r="D1707" s="2" t="s">
        <v>2528</v>
      </c>
      <c r="E1707" s="2" t="s">
        <v>2517</v>
      </c>
      <c r="F1707" s="3">
        <v>23227</v>
      </c>
      <c r="G1707" s="3">
        <v>1609</v>
      </c>
      <c r="H1707" s="3">
        <v>169</v>
      </c>
      <c r="I1707" s="4">
        <v>2068.5500000000002</v>
      </c>
      <c r="J1707" s="4">
        <v>35208.660000000003</v>
      </c>
      <c r="K1707" s="3">
        <v>77</v>
      </c>
      <c r="L1707" s="2" t="s">
        <v>2523</v>
      </c>
      <c r="M1707" s="2" t="s">
        <v>2546</v>
      </c>
      <c r="N1707" t="str">
        <f>TRIM(PROPER(Tabla_auditoría[[#This Row],[ID_Campaña]]))</f>
        <v>Cmp-008</v>
      </c>
      <c r="O1707" t="str">
        <f>TRIM(PROPER(Tabla_auditoría[[#This Row],[Canal]]))</f>
        <v>Paid Search</v>
      </c>
      <c r="P1707" t="str">
        <f>TRIM(PROPER(Tabla_auditoría[[#This Row],[País]]))</f>
        <v>España</v>
      </c>
      <c r="Q1707" t="str">
        <f>TRIM(PROPER(Tabla_auditoría[[#This Row],[Dispositivo]]))</f>
        <v>Desktop</v>
      </c>
      <c r="R1707" t="str">
        <f>TRIM(PROPER(Tabla_auditoría[[#This Row],[Tipo_Campaña]]))</f>
        <v>Retención</v>
      </c>
      <c r="S1707" t="str">
        <f>TRIM(PROPER(Tabla_auditoría[[#This Row],[Responsable]]))</f>
        <v>Ana García</v>
      </c>
    </row>
    <row r="1708" spans="1:19" x14ac:dyDescent="0.3">
      <c r="A1708" s="1">
        <v>45933</v>
      </c>
      <c r="B1708" s="2" t="s">
        <v>2569</v>
      </c>
      <c r="C1708" s="2" t="s">
        <v>2541</v>
      </c>
      <c r="D1708" s="2" t="s">
        <v>2528</v>
      </c>
      <c r="E1708" s="2" t="s">
        <v>2534</v>
      </c>
      <c r="F1708" s="3">
        <v>26333</v>
      </c>
      <c r="G1708" s="3">
        <v>2286</v>
      </c>
      <c r="H1708" s="3">
        <v>286</v>
      </c>
      <c r="I1708" s="4">
        <v>2857.63</v>
      </c>
      <c r="J1708" s="4">
        <v>13204.82</v>
      </c>
      <c r="K1708" s="3">
        <v>210</v>
      </c>
      <c r="L1708" s="2" t="s">
        <v>2523</v>
      </c>
      <c r="M1708" s="2" t="s">
        <v>2546</v>
      </c>
      <c r="N1708" t="str">
        <f>TRIM(PROPER(Tabla_auditoría[[#This Row],[ID_Campaña]]))</f>
        <v>Cmp-013</v>
      </c>
      <c r="O1708" t="str">
        <f>TRIM(PROPER(Tabla_auditoría[[#This Row],[Canal]]))</f>
        <v>Display</v>
      </c>
      <c r="P1708" t="str">
        <f>TRIM(PROPER(Tabla_auditoría[[#This Row],[País]]))</f>
        <v>España</v>
      </c>
      <c r="Q1708" t="str">
        <f>TRIM(PROPER(Tabla_auditoría[[#This Row],[Dispositivo]]))</f>
        <v>Tablet</v>
      </c>
      <c r="R1708" t="str">
        <f>TRIM(PROPER(Tabla_auditoría[[#This Row],[Tipo_Campaña]]))</f>
        <v>Retención</v>
      </c>
      <c r="S1708" t="str">
        <f>TRIM(PROPER(Tabla_auditoría[[#This Row],[Responsable]]))</f>
        <v>Ana García</v>
      </c>
    </row>
    <row r="1709" spans="1:19" x14ac:dyDescent="0.3">
      <c r="A1709" s="1">
        <v>45743</v>
      </c>
      <c r="B1709" s="2" t="s">
        <v>2556</v>
      </c>
      <c r="C1709" s="2" t="s">
        <v>2541</v>
      </c>
      <c r="D1709" s="2" t="s">
        <v>2528</v>
      </c>
      <c r="E1709" s="2" t="s">
        <v>2517</v>
      </c>
      <c r="F1709" s="3">
        <v>99851</v>
      </c>
      <c r="G1709" s="3">
        <v>8765</v>
      </c>
      <c r="H1709" s="3">
        <v>822</v>
      </c>
      <c r="I1709" s="4">
        <v>1123.72</v>
      </c>
      <c r="J1709" s="4">
        <v>38184.92</v>
      </c>
      <c r="K1709" s="3">
        <v>462</v>
      </c>
      <c r="L1709" s="2" t="s">
        <v>2536</v>
      </c>
      <c r="M1709" s="2" t="s">
        <v>2537</v>
      </c>
      <c r="N1709" t="str">
        <f>TRIM(PROPER(Tabla_auditoría[[#This Row],[ID_Campaña]]))</f>
        <v>Cmp-014</v>
      </c>
      <c r="O1709" t="str">
        <f>TRIM(PROPER(Tabla_auditoría[[#This Row],[Canal]]))</f>
        <v>Display</v>
      </c>
      <c r="P1709" t="str">
        <f>TRIM(PROPER(Tabla_auditoría[[#This Row],[País]]))</f>
        <v>España</v>
      </c>
      <c r="Q1709" t="str">
        <f>TRIM(PROPER(Tabla_auditoría[[#This Row],[Dispositivo]]))</f>
        <v>Desktop</v>
      </c>
      <c r="R1709" t="str">
        <f>TRIM(PROPER(Tabla_auditoría[[#This Row],[Tipo_Campaña]]))</f>
        <v>Reconocimiento</v>
      </c>
      <c r="S1709" t="str">
        <f>TRIM(PROPER(Tabla_auditoría[[#This Row],[Responsable]]))</f>
        <v>Marta López</v>
      </c>
    </row>
    <row r="1710" spans="1:19" x14ac:dyDescent="0.3">
      <c r="A1710" s="1">
        <v>45998</v>
      </c>
      <c r="B1710" s="2" t="s">
        <v>2547</v>
      </c>
      <c r="C1710" s="2" t="s">
        <v>2541</v>
      </c>
      <c r="D1710" s="2" t="s">
        <v>2528</v>
      </c>
      <c r="E1710" s="2" t="s">
        <v>2529</v>
      </c>
      <c r="F1710" s="3">
        <v>63444</v>
      </c>
      <c r="G1710" s="3">
        <v>2372</v>
      </c>
      <c r="H1710" s="3">
        <v>66</v>
      </c>
      <c r="I1710" s="4">
        <v>4733.28</v>
      </c>
      <c r="J1710" s="4">
        <v>8771.9</v>
      </c>
      <c r="K1710" s="3">
        <v>44</v>
      </c>
      <c r="L1710" s="2" t="s">
        <v>2518</v>
      </c>
      <c r="M1710" s="2" t="s">
        <v>2519</v>
      </c>
      <c r="N1710" t="str">
        <f>TRIM(PROPER(Tabla_auditoría[[#This Row],[ID_Campaña]]))</f>
        <v>Cmp-018</v>
      </c>
      <c r="O1710" t="str">
        <f>TRIM(PROPER(Tabla_auditoría[[#This Row],[Canal]]))</f>
        <v>Display</v>
      </c>
      <c r="P1710" t="str">
        <f>TRIM(PROPER(Tabla_auditoría[[#This Row],[País]]))</f>
        <v>España</v>
      </c>
      <c r="Q1710" t="str">
        <f>TRIM(PROPER(Tabla_auditoría[[#This Row],[Dispositivo]]))</f>
        <v>Mobile</v>
      </c>
      <c r="R1710" t="str">
        <f>TRIM(PROPER(Tabla_auditoría[[#This Row],[Tipo_Campaña]]))</f>
        <v>Adquisición</v>
      </c>
      <c r="S1710" t="str">
        <f>TRIM(PROPER(Tabla_auditoría[[#This Row],[Responsable]]))</f>
        <v>Carlos Ruiz</v>
      </c>
    </row>
    <row r="1711" spans="1:19" x14ac:dyDescent="0.3">
      <c r="A1711" s="1">
        <v>45670</v>
      </c>
      <c r="B1711" s="2" t="s">
        <v>2563</v>
      </c>
      <c r="C1711" s="2" t="s">
        <v>2527</v>
      </c>
      <c r="D1711" s="2" t="s">
        <v>2522</v>
      </c>
      <c r="E1711" s="2" t="s">
        <v>2517</v>
      </c>
      <c r="F1711" s="3">
        <v>123358</v>
      </c>
      <c r="G1711" s="3">
        <v>4880</v>
      </c>
      <c r="H1711" s="3">
        <v>325</v>
      </c>
      <c r="I1711" s="4">
        <v>1291.0899999999999</v>
      </c>
      <c r="J1711" s="4">
        <v>11770.39</v>
      </c>
      <c r="K1711" s="3">
        <v>242</v>
      </c>
      <c r="L1711" s="2" t="s">
        <v>2536</v>
      </c>
      <c r="M1711" s="2" t="s">
        <v>2537</v>
      </c>
      <c r="N1711" t="str">
        <f>TRIM(PROPER(Tabla_auditoría[[#This Row],[ID_Campaña]]))</f>
        <v>Cmp-023</v>
      </c>
      <c r="O1711" t="str">
        <f>TRIM(PROPER(Tabla_auditoría[[#This Row],[Canal]]))</f>
        <v>Affiliate</v>
      </c>
      <c r="P1711" t="str">
        <f>TRIM(PROPER(Tabla_auditoría[[#This Row],[País]]))</f>
        <v>Italia</v>
      </c>
      <c r="Q1711" t="str">
        <f>TRIM(PROPER(Tabla_auditoría[[#This Row],[Dispositivo]]))</f>
        <v>Desktop</v>
      </c>
      <c r="R1711" t="str">
        <f>TRIM(PROPER(Tabla_auditoría[[#This Row],[Tipo_Campaña]]))</f>
        <v>Reconocimiento</v>
      </c>
      <c r="S1711" t="str">
        <f>TRIM(PROPER(Tabla_auditoría[[#This Row],[Responsable]]))</f>
        <v>Marta López</v>
      </c>
    </row>
    <row r="1712" spans="1:19" x14ac:dyDescent="0.3">
      <c r="A1712" s="1">
        <v>45812</v>
      </c>
      <c r="B1712" s="2" t="s">
        <v>2574</v>
      </c>
      <c r="C1712" s="2" t="s">
        <v>2543</v>
      </c>
      <c r="D1712" s="2" t="s">
        <v>2528</v>
      </c>
      <c r="E1712" s="2" t="s">
        <v>2529</v>
      </c>
      <c r="F1712" s="3">
        <v>161895</v>
      </c>
      <c r="G1712" s="3">
        <v>9629</v>
      </c>
      <c r="H1712" s="3">
        <v>1143</v>
      </c>
      <c r="I1712" s="4">
        <v>2884.55</v>
      </c>
      <c r="J1712" s="4">
        <v>33193.589999999997</v>
      </c>
      <c r="K1712" s="3">
        <v>989</v>
      </c>
      <c r="L1712" s="2" t="s">
        <v>2536</v>
      </c>
      <c r="M1712" s="2" t="s">
        <v>2526</v>
      </c>
      <c r="N1712" t="str">
        <f>TRIM(PROPER(Tabla_auditoría[[#This Row],[ID_Campaña]]))</f>
        <v>Cmp-003</v>
      </c>
      <c r="O1712" t="str">
        <f>TRIM(PROPER(Tabla_auditoría[[#This Row],[Canal]]))</f>
        <v>Organic Social</v>
      </c>
      <c r="P1712" t="str">
        <f>TRIM(PROPER(Tabla_auditoría[[#This Row],[País]]))</f>
        <v>España</v>
      </c>
      <c r="Q1712" t="str">
        <f>TRIM(PROPER(Tabla_auditoría[[#This Row],[Dispositivo]]))</f>
        <v>Mobile</v>
      </c>
      <c r="R1712" t="str">
        <f>TRIM(PROPER(Tabla_auditoría[[#This Row],[Tipo_Campaña]]))</f>
        <v>Reconocimiento</v>
      </c>
      <c r="S1712" t="str">
        <f>TRIM(PROPER(Tabla_auditoría[[#This Row],[Responsable]]))</f>
        <v>Laura Pérez</v>
      </c>
    </row>
    <row r="1713" spans="1:19" x14ac:dyDescent="0.3">
      <c r="A1713" s="1">
        <v>45723</v>
      </c>
      <c r="B1713" s="2" t="s">
        <v>2554</v>
      </c>
      <c r="C1713" s="2" t="s">
        <v>2533</v>
      </c>
      <c r="D1713" s="2" t="s">
        <v>2516</v>
      </c>
      <c r="E1713" s="2" t="s">
        <v>2529</v>
      </c>
      <c r="F1713" s="3">
        <v>93118</v>
      </c>
      <c r="G1713" s="3">
        <v>4502</v>
      </c>
      <c r="H1713" s="3">
        <v>189</v>
      </c>
      <c r="I1713" s="4">
        <v>2101.59</v>
      </c>
      <c r="J1713" s="4">
        <v>9058.67</v>
      </c>
      <c r="K1713" s="3">
        <v>157</v>
      </c>
      <c r="L1713" s="2" t="s">
        <v>2536</v>
      </c>
      <c r="M1713" s="2" t="s">
        <v>2526</v>
      </c>
      <c r="N1713" t="str">
        <f>TRIM(PROPER(Tabla_auditoría[[#This Row],[ID_Campaña]]))</f>
        <v>Cmp-019</v>
      </c>
      <c r="O1713" t="str">
        <f>TRIM(PROPER(Tabla_auditoría[[#This Row],[Canal]]))</f>
        <v>Paid Social</v>
      </c>
      <c r="P1713" t="str">
        <f>TRIM(PROPER(Tabla_auditoría[[#This Row],[País]]))</f>
        <v>México</v>
      </c>
      <c r="Q1713" t="str">
        <f>TRIM(PROPER(Tabla_auditoría[[#This Row],[Dispositivo]]))</f>
        <v>Mobile</v>
      </c>
      <c r="R1713" t="str">
        <f>TRIM(PROPER(Tabla_auditoría[[#This Row],[Tipo_Campaña]]))</f>
        <v>Reconocimiento</v>
      </c>
      <c r="S1713" t="str">
        <f>TRIM(PROPER(Tabla_auditoría[[#This Row],[Responsable]]))</f>
        <v>Laura Pérez</v>
      </c>
    </row>
    <row r="1714" spans="1:19" x14ac:dyDescent="0.3">
      <c r="A1714" s="1">
        <v>45707</v>
      </c>
      <c r="B1714" s="2" t="s">
        <v>2532</v>
      </c>
      <c r="C1714" s="2" t="s">
        <v>2527</v>
      </c>
      <c r="D1714" s="2" t="s">
        <v>2593</v>
      </c>
      <c r="E1714" s="2" t="s">
        <v>2517</v>
      </c>
      <c r="F1714" s="3">
        <v>56356</v>
      </c>
      <c r="G1714" s="3">
        <v>2188</v>
      </c>
      <c r="H1714" s="3">
        <v>286</v>
      </c>
      <c r="I1714" s="4">
        <v>4505.33</v>
      </c>
      <c r="J1714" s="4">
        <v>50748.61</v>
      </c>
      <c r="K1714" s="3">
        <v>147</v>
      </c>
      <c r="L1714" s="2" t="s">
        <v>2536</v>
      </c>
      <c r="M1714" s="2" t="s">
        <v>2519</v>
      </c>
      <c r="N1714" t="str">
        <f>TRIM(PROPER(Tabla_auditoría[[#This Row],[ID_Campaña]]))</f>
        <v>Cmp-022</v>
      </c>
      <c r="O1714" t="str">
        <f>TRIM(PROPER(Tabla_auditoría[[#This Row],[Canal]]))</f>
        <v>Affiliate</v>
      </c>
      <c r="P1714" t="str">
        <f>TRIM(PROPER(Tabla_auditoría[[#This Row],[País]]))</f>
        <v>Francia</v>
      </c>
      <c r="Q1714" t="str">
        <f>TRIM(PROPER(Tabla_auditoría[[#This Row],[Dispositivo]]))</f>
        <v>Desktop</v>
      </c>
      <c r="R1714" t="str">
        <f>TRIM(PROPER(Tabla_auditoría[[#This Row],[Tipo_Campaña]]))</f>
        <v>Reconocimiento</v>
      </c>
      <c r="S1714" t="str">
        <f>TRIM(PROPER(Tabla_auditoría[[#This Row],[Responsable]]))</f>
        <v>Carlos Ruiz</v>
      </c>
    </row>
    <row r="1715" spans="1:19" x14ac:dyDescent="0.3">
      <c r="A1715" s="1">
        <v>45747</v>
      </c>
      <c r="B1715" s="2" t="s">
        <v>2545</v>
      </c>
      <c r="C1715" s="2" t="s">
        <v>2575</v>
      </c>
      <c r="D1715" s="2" t="s">
        <v>2525</v>
      </c>
      <c r="E1715" s="2" t="s">
        <v>2517</v>
      </c>
      <c r="F1715" s="3">
        <v>145171</v>
      </c>
      <c r="G1715" s="3">
        <v>12456</v>
      </c>
      <c r="H1715" s="3">
        <v>508</v>
      </c>
      <c r="I1715" s="4">
        <v>-20537.830000000002</v>
      </c>
      <c r="J1715" s="4">
        <v>19365.689999999999</v>
      </c>
      <c r="K1715" s="3">
        <v>307</v>
      </c>
      <c r="L1715" s="2" t="s">
        <v>2536</v>
      </c>
      <c r="M1715" s="2" t="s">
        <v>2519</v>
      </c>
      <c r="N1715" t="str">
        <f>TRIM(PROPER(Tabla_auditoría[[#This Row],[ID_Campaña]]))</f>
        <v>Cmp-011</v>
      </c>
      <c r="O1715" t="str">
        <f>TRIM(PROPER(Tabla_auditoría[[#This Row],[Canal]]))</f>
        <v>Paid Search</v>
      </c>
      <c r="P1715" t="str">
        <f>TRIM(PROPER(Tabla_auditoría[[#This Row],[País]]))</f>
        <v>Francia</v>
      </c>
      <c r="Q1715" t="str">
        <f>TRIM(PROPER(Tabla_auditoría[[#This Row],[Dispositivo]]))</f>
        <v>Desktop</v>
      </c>
      <c r="R1715" t="str">
        <f>TRIM(PROPER(Tabla_auditoría[[#This Row],[Tipo_Campaña]]))</f>
        <v>Reconocimiento</v>
      </c>
      <c r="S1715" t="str">
        <f>TRIM(PROPER(Tabla_auditoría[[#This Row],[Responsable]]))</f>
        <v>Carlos Ruiz</v>
      </c>
    </row>
    <row r="1716" spans="1:19" x14ac:dyDescent="0.3">
      <c r="A1716" s="1">
        <v>45786</v>
      </c>
      <c r="B1716" s="2" t="s">
        <v>2538</v>
      </c>
      <c r="C1716" s="2" t="s">
        <v>2541</v>
      </c>
      <c r="D1716" s="2" t="s">
        <v>2522</v>
      </c>
      <c r="E1716" s="2" t="s">
        <v>2529</v>
      </c>
      <c r="F1716" s="3">
        <v>58071</v>
      </c>
      <c r="G1716" s="3">
        <v>4374</v>
      </c>
      <c r="H1716" s="3">
        <v>365</v>
      </c>
      <c r="I1716" s="4">
        <v>3925.64</v>
      </c>
      <c r="J1716" s="4">
        <v>32178.39</v>
      </c>
      <c r="K1716" s="3">
        <v>180</v>
      </c>
      <c r="L1716" s="2" t="s">
        <v>2518</v>
      </c>
      <c r="M1716" s="2" t="s">
        <v>2519</v>
      </c>
      <c r="N1716" t="str">
        <f>TRIM(PROPER(Tabla_auditoría[[#This Row],[ID_Campaña]]))</f>
        <v>Cmp-004</v>
      </c>
      <c r="O1716" t="str">
        <f>TRIM(PROPER(Tabla_auditoría[[#This Row],[Canal]]))</f>
        <v>Display</v>
      </c>
      <c r="P1716" t="str">
        <f>TRIM(PROPER(Tabla_auditoría[[#This Row],[País]]))</f>
        <v>Italia</v>
      </c>
      <c r="Q1716" t="str">
        <f>TRIM(PROPER(Tabla_auditoría[[#This Row],[Dispositivo]]))</f>
        <v>Mobile</v>
      </c>
      <c r="R1716" t="str">
        <f>TRIM(PROPER(Tabla_auditoría[[#This Row],[Tipo_Campaña]]))</f>
        <v>Adquisición</v>
      </c>
      <c r="S1716" t="str">
        <f>TRIM(PROPER(Tabla_auditoría[[#This Row],[Responsable]]))</f>
        <v>Carlos Ruiz</v>
      </c>
    </row>
    <row r="1717" spans="1:19" x14ac:dyDescent="0.3">
      <c r="A1717" s="1">
        <v>45811</v>
      </c>
      <c r="B1717" s="2" t="s">
        <v>2566</v>
      </c>
      <c r="C1717" s="2" t="s">
        <v>2533</v>
      </c>
      <c r="D1717" s="2" t="s">
        <v>2522</v>
      </c>
      <c r="E1717" s="2" t="s">
        <v>2517</v>
      </c>
      <c r="F1717" s="3">
        <v>58427</v>
      </c>
      <c r="G1717" s="3">
        <v>3771</v>
      </c>
      <c r="H1717" s="3">
        <v>507</v>
      </c>
      <c r="I1717" s="4">
        <v>4728.2</v>
      </c>
      <c r="J1717" s="4">
        <v>44661.55</v>
      </c>
      <c r="K1717" s="3">
        <v>342</v>
      </c>
      <c r="L1717" s="2" t="s">
        <v>2539</v>
      </c>
      <c r="M1717" s="2" t="s">
        <v>2524</v>
      </c>
      <c r="N1717" t="str">
        <f>TRIM(PROPER(Tabla_auditoría[[#This Row],[ID_Campaña]]))</f>
        <v>Cmp-001</v>
      </c>
      <c r="O1717" t="str">
        <f>TRIM(PROPER(Tabla_auditoría[[#This Row],[Canal]]))</f>
        <v>Paid Social</v>
      </c>
      <c r="P1717" t="str">
        <f>TRIM(PROPER(Tabla_auditoría[[#This Row],[País]]))</f>
        <v>Italia</v>
      </c>
      <c r="Q1717" t="str">
        <f>TRIM(PROPER(Tabla_auditoría[[#This Row],[Dispositivo]]))</f>
        <v>Desktop</v>
      </c>
      <c r="R1717" t="str">
        <f>TRIM(PROPER(Tabla_auditoría[[#This Row],[Tipo_Campaña]]))</f>
        <v>Conversión</v>
      </c>
      <c r="S1717" t="str">
        <f>TRIM(PROPER(Tabla_auditoría[[#This Row],[Responsable]]))</f>
        <v>Luis Martín</v>
      </c>
    </row>
    <row r="1718" spans="1:19" x14ac:dyDescent="0.3">
      <c r="A1718" s="1">
        <v>45933</v>
      </c>
      <c r="B1718" s="2" t="s">
        <v>2557</v>
      </c>
      <c r="C1718" s="2" t="s">
        <v>2515</v>
      </c>
      <c r="D1718" s="2" t="s">
        <v>2528</v>
      </c>
      <c r="E1718" s="2" t="s">
        <v>2517</v>
      </c>
      <c r="F1718" s="3">
        <v>176407</v>
      </c>
      <c r="G1718" s="3">
        <v>7991</v>
      </c>
      <c r="H1718" s="3">
        <v>1116</v>
      </c>
      <c r="I1718" s="4">
        <v>10936.21</v>
      </c>
      <c r="J1718" s="4">
        <v>208030.1</v>
      </c>
      <c r="K1718" s="3">
        <v>746</v>
      </c>
      <c r="L1718" s="2" t="s">
        <v>2536</v>
      </c>
      <c r="M1718" s="2" t="s">
        <v>2537</v>
      </c>
      <c r="N1718" t="str">
        <f>TRIM(PROPER(Tabla_auditoría[[#This Row],[ID_Campaña]]))</f>
        <v>Cmp-030</v>
      </c>
      <c r="O1718" t="str">
        <f>TRIM(PROPER(Tabla_auditoría[[#This Row],[Canal]]))</f>
        <v>Email</v>
      </c>
      <c r="P1718" t="str">
        <f>TRIM(PROPER(Tabla_auditoría[[#This Row],[País]]))</f>
        <v>España</v>
      </c>
      <c r="Q1718" t="str">
        <f>TRIM(PROPER(Tabla_auditoría[[#This Row],[Dispositivo]]))</f>
        <v>Desktop</v>
      </c>
      <c r="R1718" t="str">
        <f>TRIM(PROPER(Tabla_auditoría[[#This Row],[Tipo_Campaña]]))</f>
        <v>Reconocimiento</v>
      </c>
      <c r="S1718" t="str">
        <f>TRIM(PROPER(Tabla_auditoría[[#This Row],[Responsable]]))</f>
        <v>Marta López</v>
      </c>
    </row>
    <row r="1719" spans="1:19" x14ac:dyDescent="0.3">
      <c r="A1719" s="1">
        <v>45809</v>
      </c>
      <c r="B1719" s="2" t="s">
        <v>2566</v>
      </c>
      <c r="C1719" s="2" t="s">
        <v>2543</v>
      </c>
      <c r="D1719" s="2" t="s">
        <v>2528</v>
      </c>
      <c r="E1719" s="2" t="s">
        <v>2529</v>
      </c>
      <c r="F1719" s="3">
        <v>33358</v>
      </c>
      <c r="G1719" s="3">
        <v>964</v>
      </c>
      <c r="H1719" s="3">
        <v>58</v>
      </c>
      <c r="I1719" s="4">
        <v>1755.87</v>
      </c>
      <c r="J1719" s="4">
        <v>2721.23</v>
      </c>
      <c r="K1719" s="3">
        <v>39</v>
      </c>
      <c r="L1719" s="2" t="s">
        <v>2518</v>
      </c>
      <c r="M1719" s="2" t="s">
        <v>2546</v>
      </c>
      <c r="N1719" t="str">
        <f>TRIM(PROPER(Tabla_auditoría[[#This Row],[ID_Campaña]]))</f>
        <v>Cmp-001</v>
      </c>
      <c r="O1719" t="str">
        <f>TRIM(PROPER(Tabla_auditoría[[#This Row],[Canal]]))</f>
        <v>Organic Social</v>
      </c>
      <c r="P1719" t="str">
        <f>TRIM(PROPER(Tabla_auditoría[[#This Row],[País]]))</f>
        <v>España</v>
      </c>
      <c r="Q1719" t="str">
        <f>TRIM(PROPER(Tabla_auditoría[[#This Row],[Dispositivo]]))</f>
        <v>Mobile</v>
      </c>
      <c r="R1719" t="str">
        <f>TRIM(PROPER(Tabla_auditoría[[#This Row],[Tipo_Campaña]]))</f>
        <v>Adquisición</v>
      </c>
      <c r="S1719" t="str">
        <f>TRIM(PROPER(Tabla_auditoría[[#This Row],[Responsable]]))</f>
        <v>Ana García</v>
      </c>
    </row>
    <row r="1720" spans="1:19" x14ac:dyDescent="0.3">
      <c r="A1720" s="1">
        <v>45788</v>
      </c>
      <c r="B1720" s="2" t="s">
        <v>2530</v>
      </c>
      <c r="C1720" s="2" t="s">
        <v>2533</v>
      </c>
      <c r="D1720" s="2" t="s">
        <v>2525</v>
      </c>
      <c r="E1720" s="2" t="s">
        <v>2517</v>
      </c>
      <c r="F1720" s="3">
        <v>41459</v>
      </c>
      <c r="G1720" s="3">
        <v>1945</v>
      </c>
      <c r="H1720" s="3">
        <v>63</v>
      </c>
      <c r="I1720" s="4">
        <v>2951.7</v>
      </c>
      <c r="J1720" s="4">
        <v>12222.5</v>
      </c>
      <c r="K1720" s="3">
        <v>55</v>
      </c>
      <c r="L1720" s="2" t="s">
        <v>2518</v>
      </c>
      <c r="M1720" s="2" t="s">
        <v>2519</v>
      </c>
      <c r="N1720" t="str">
        <f>TRIM(PROPER(Tabla_auditoría[[#This Row],[ID_Campaña]]))</f>
        <v>Cmp-026</v>
      </c>
      <c r="O1720" t="str">
        <f>TRIM(PROPER(Tabla_auditoría[[#This Row],[Canal]]))</f>
        <v>Paid Social</v>
      </c>
      <c r="P1720" t="str">
        <f>TRIM(PROPER(Tabla_auditoría[[#This Row],[País]]))</f>
        <v>Francia</v>
      </c>
      <c r="Q1720" t="str">
        <f>TRIM(PROPER(Tabla_auditoría[[#This Row],[Dispositivo]]))</f>
        <v>Desktop</v>
      </c>
      <c r="R1720" t="str">
        <f>TRIM(PROPER(Tabla_auditoría[[#This Row],[Tipo_Campaña]]))</f>
        <v>Adquisición</v>
      </c>
      <c r="S1720" t="str">
        <f>TRIM(PROPER(Tabla_auditoría[[#This Row],[Responsable]]))</f>
        <v>Carlos Ruiz</v>
      </c>
    </row>
    <row r="1721" spans="1:19" x14ac:dyDescent="0.3">
      <c r="A1721" s="1">
        <v>45658</v>
      </c>
      <c r="B1721" s="2" t="s">
        <v>2547</v>
      </c>
      <c r="C1721" s="2" t="s">
        <v>2515</v>
      </c>
      <c r="D1721" s="2" t="s">
        <v>2525</v>
      </c>
      <c r="E1721" s="2" t="s">
        <v>2517</v>
      </c>
      <c r="F1721" s="3">
        <v>134323</v>
      </c>
      <c r="G1721" s="3">
        <v>1574</v>
      </c>
      <c r="H1721" s="3">
        <v>60</v>
      </c>
      <c r="I1721" s="4">
        <v>177.69</v>
      </c>
      <c r="J1721" s="4">
        <v>12122.03</v>
      </c>
      <c r="K1721" s="3">
        <v>28</v>
      </c>
      <c r="L1721" s="2" t="s">
        <v>2536</v>
      </c>
      <c r="M1721" s="2" t="s">
        <v>2519</v>
      </c>
      <c r="N1721" t="str">
        <f>TRIM(PROPER(Tabla_auditoría[[#This Row],[ID_Campaña]]))</f>
        <v>Cmp-018</v>
      </c>
      <c r="O1721" t="str">
        <f>TRIM(PROPER(Tabla_auditoría[[#This Row],[Canal]]))</f>
        <v>Email</v>
      </c>
      <c r="P1721" t="str">
        <f>TRIM(PROPER(Tabla_auditoría[[#This Row],[País]]))</f>
        <v>Francia</v>
      </c>
      <c r="Q1721" t="str">
        <f>TRIM(PROPER(Tabla_auditoría[[#This Row],[Dispositivo]]))</f>
        <v>Desktop</v>
      </c>
      <c r="R1721" t="str">
        <f>TRIM(PROPER(Tabla_auditoría[[#This Row],[Tipo_Campaña]]))</f>
        <v>Reconocimiento</v>
      </c>
      <c r="S1721" t="str">
        <f>TRIM(PROPER(Tabla_auditoría[[#This Row],[Responsable]]))</f>
        <v>Carlos Ruiz</v>
      </c>
    </row>
    <row r="1722" spans="1:19" x14ac:dyDescent="0.3">
      <c r="A1722" s="1">
        <v>45893</v>
      </c>
      <c r="B1722" s="2" t="s">
        <v>2538</v>
      </c>
      <c r="C1722" s="2" t="s">
        <v>2521</v>
      </c>
      <c r="D1722" s="2" t="s">
        <v>2516</v>
      </c>
      <c r="E1722" s="2" t="s">
        <v>2529</v>
      </c>
      <c r="F1722" s="3">
        <v>96925</v>
      </c>
      <c r="G1722" s="3">
        <v>7251</v>
      </c>
      <c r="H1722" s="3">
        <v>324</v>
      </c>
      <c r="I1722" s="4">
        <v>2361.02</v>
      </c>
      <c r="J1722" s="4">
        <v>38712.78</v>
      </c>
      <c r="K1722" s="3">
        <v>186</v>
      </c>
      <c r="L1722" s="2" t="s">
        <v>2518</v>
      </c>
      <c r="M1722" s="2" t="s">
        <v>2526</v>
      </c>
      <c r="N1722" t="str">
        <f>TRIM(PROPER(Tabla_auditoría[[#This Row],[ID_Campaña]]))</f>
        <v>Cmp-004</v>
      </c>
      <c r="O1722" t="str">
        <f>TRIM(PROPER(Tabla_auditoría[[#This Row],[Canal]]))</f>
        <v>Paid Search</v>
      </c>
      <c r="P1722" t="str">
        <f>TRIM(PROPER(Tabla_auditoría[[#This Row],[País]]))</f>
        <v>México</v>
      </c>
      <c r="Q1722" t="str">
        <f>TRIM(PROPER(Tabla_auditoría[[#This Row],[Dispositivo]]))</f>
        <v>Mobile</v>
      </c>
      <c r="R1722" t="str">
        <f>TRIM(PROPER(Tabla_auditoría[[#This Row],[Tipo_Campaña]]))</f>
        <v>Adquisición</v>
      </c>
      <c r="S1722" t="str">
        <f>TRIM(PROPER(Tabla_auditoría[[#This Row],[Responsable]]))</f>
        <v>Laura Pérez</v>
      </c>
    </row>
    <row r="1723" spans="1:19" x14ac:dyDescent="0.3">
      <c r="A1723" s="1">
        <v>45898</v>
      </c>
      <c r="B1723" s="2" t="s">
        <v>2530</v>
      </c>
      <c r="C1723" s="2" t="s">
        <v>2527</v>
      </c>
      <c r="D1723" s="2" t="s">
        <v>2528</v>
      </c>
      <c r="E1723" s="2" t="s">
        <v>2529</v>
      </c>
      <c r="F1723" s="3">
        <v>84359</v>
      </c>
      <c r="G1723" s="3">
        <v>5061</v>
      </c>
      <c r="H1723" s="3">
        <v>633</v>
      </c>
      <c r="I1723" s="4">
        <v>10614.4</v>
      </c>
      <c r="J1723" s="4">
        <v>28661.53</v>
      </c>
      <c r="K1723" s="3">
        <v>562</v>
      </c>
      <c r="L1723" s="2" t="s">
        <v>2539</v>
      </c>
      <c r="M1723" s="2" t="s">
        <v>2546</v>
      </c>
      <c r="N1723" t="str">
        <f>TRIM(PROPER(Tabla_auditoría[[#This Row],[ID_Campaña]]))</f>
        <v>Cmp-026</v>
      </c>
      <c r="O1723" t="str">
        <f>TRIM(PROPER(Tabla_auditoría[[#This Row],[Canal]]))</f>
        <v>Affiliate</v>
      </c>
      <c r="P1723" t="str">
        <f>TRIM(PROPER(Tabla_auditoría[[#This Row],[País]]))</f>
        <v>España</v>
      </c>
      <c r="Q1723" t="str">
        <f>TRIM(PROPER(Tabla_auditoría[[#This Row],[Dispositivo]]))</f>
        <v>Mobile</v>
      </c>
      <c r="R1723" t="str">
        <f>TRIM(PROPER(Tabla_auditoría[[#This Row],[Tipo_Campaña]]))</f>
        <v>Conversión</v>
      </c>
      <c r="S1723" t="str">
        <f>TRIM(PROPER(Tabla_auditoría[[#This Row],[Responsable]]))</f>
        <v>Ana García</v>
      </c>
    </row>
    <row r="1724" spans="1:19" x14ac:dyDescent="0.3">
      <c r="A1724" s="1">
        <v>45731</v>
      </c>
      <c r="B1724" s="2" t="s">
        <v>2555</v>
      </c>
      <c r="C1724" s="2" t="s">
        <v>2541</v>
      </c>
      <c r="D1724" s="2" t="s">
        <v>2528</v>
      </c>
      <c r="E1724" s="2" t="s">
        <v>2529</v>
      </c>
      <c r="F1724" s="3">
        <v>170105</v>
      </c>
      <c r="G1724" s="3">
        <v>7698</v>
      </c>
      <c r="H1724" s="3">
        <v>341</v>
      </c>
      <c r="I1724" s="4">
        <v>12745.51</v>
      </c>
      <c r="J1724" s="4">
        <v>70127.520000000004</v>
      </c>
      <c r="K1724" s="3">
        <v>164</v>
      </c>
      <c r="L1724" s="2" t="s">
        <v>2536</v>
      </c>
      <c r="M1724" s="2" t="s">
        <v>2519</v>
      </c>
      <c r="N1724" t="str">
        <f>TRIM(PROPER(Tabla_auditoría[[#This Row],[ID_Campaña]]))</f>
        <v>Cmp-010</v>
      </c>
      <c r="O1724" t="str">
        <f>TRIM(PROPER(Tabla_auditoría[[#This Row],[Canal]]))</f>
        <v>Display</v>
      </c>
      <c r="P1724" t="str">
        <f>TRIM(PROPER(Tabla_auditoría[[#This Row],[País]]))</f>
        <v>España</v>
      </c>
      <c r="Q1724" t="str">
        <f>TRIM(PROPER(Tabla_auditoría[[#This Row],[Dispositivo]]))</f>
        <v>Mobile</v>
      </c>
      <c r="R1724" t="str">
        <f>TRIM(PROPER(Tabla_auditoría[[#This Row],[Tipo_Campaña]]))</f>
        <v>Reconocimiento</v>
      </c>
      <c r="S1724" t="str">
        <f>TRIM(PROPER(Tabla_auditoría[[#This Row],[Responsable]]))</f>
        <v>Carlos Ruiz</v>
      </c>
    </row>
    <row r="1725" spans="1:19" x14ac:dyDescent="0.3">
      <c r="A1725" s="1">
        <v>45930</v>
      </c>
      <c r="B1725" s="2" t="s">
        <v>2557</v>
      </c>
      <c r="C1725" s="2" t="s">
        <v>2577</v>
      </c>
      <c r="D1725" s="2" t="s">
        <v>2531</v>
      </c>
      <c r="E1725" s="2" t="s">
        <v>2529</v>
      </c>
      <c r="F1725" s="3">
        <v>55036</v>
      </c>
      <c r="G1725" s="3">
        <v>4880</v>
      </c>
      <c r="H1725" s="3">
        <v>437</v>
      </c>
      <c r="I1725" s="4">
        <v>2174.38</v>
      </c>
      <c r="J1725" s="4">
        <v>74826.22</v>
      </c>
      <c r="K1725" s="3">
        <v>329</v>
      </c>
      <c r="L1725" s="2" t="s">
        <v>2523</v>
      </c>
      <c r="M1725" s="2" t="s">
        <v>2546</v>
      </c>
      <c r="N1725" t="str">
        <f>TRIM(PROPER(Tabla_auditoría[[#This Row],[ID_Campaña]]))</f>
        <v>Cmp-030</v>
      </c>
      <c r="O1725" t="str">
        <f>TRIM(PROPER(Tabla_auditoría[[#This Row],[Canal]]))</f>
        <v>Affiliate</v>
      </c>
      <c r="P1725" t="str">
        <f>TRIM(PROPER(Tabla_auditoría[[#This Row],[País]]))</f>
        <v>Portugal</v>
      </c>
      <c r="Q1725" t="str">
        <f>TRIM(PROPER(Tabla_auditoría[[#This Row],[Dispositivo]]))</f>
        <v>Mobile</v>
      </c>
      <c r="R1725" t="str">
        <f>TRIM(PROPER(Tabla_auditoría[[#This Row],[Tipo_Campaña]]))</f>
        <v>Retención</v>
      </c>
      <c r="S1725" t="str">
        <f>TRIM(PROPER(Tabla_auditoría[[#This Row],[Responsable]]))</f>
        <v>Ana García</v>
      </c>
    </row>
    <row r="1726" spans="1:19" x14ac:dyDescent="0.3">
      <c r="A1726" s="1">
        <v>45818</v>
      </c>
      <c r="B1726" s="2" t="s">
        <v>2544</v>
      </c>
      <c r="C1726" s="2" t="s">
        <v>2541</v>
      </c>
      <c r="D1726" s="2" t="s">
        <v>2580</v>
      </c>
      <c r="E1726" s="2" t="s">
        <v>2529</v>
      </c>
      <c r="F1726" s="3">
        <v>38955</v>
      </c>
      <c r="G1726" s="3">
        <v>310</v>
      </c>
      <c r="H1726" s="3">
        <v>36</v>
      </c>
      <c r="I1726" s="4">
        <v>639.95000000000005</v>
      </c>
      <c r="J1726" s="4">
        <v>2953.84</v>
      </c>
      <c r="K1726" s="3">
        <v>24</v>
      </c>
      <c r="L1726" s="2" t="s">
        <v>2536</v>
      </c>
      <c r="M1726" s="2" t="s">
        <v>2526</v>
      </c>
      <c r="N1726" t="str">
        <f>TRIM(PROPER(Tabla_auditoría[[#This Row],[ID_Campaña]]))</f>
        <v>Cmp-006</v>
      </c>
      <c r="O1726" t="str">
        <f>TRIM(PROPER(Tabla_auditoría[[#This Row],[Canal]]))</f>
        <v>Display</v>
      </c>
      <c r="P1726" t="str">
        <f>TRIM(PROPER(Tabla_auditoría[[#This Row],[País]]))</f>
        <v>México</v>
      </c>
      <c r="Q1726" t="str">
        <f>TRIM(PROPER(Tabla_auditoría[[#This Row],[Dispositivo]]))</f>
        <v>Mobile</v>
      </c>
      <c r="R1726" t="str">
        <f>TRIM(PROPER(Tabla_auditoría[[#This Row],[Tipo_Campaña]]))</f>
        <v>Reconocimiento</v>
      </c>
      <c r="S1726" t="str">
        <f>TRIM(PROPER(Tabla_auditoría[[#This Row],[Responsable]]))</f>
        <v>Laura Pérez</v>
      </c>
    </row>
    <row r="1727" spans="1:19" x14ac:dyDescent="0.3">
      <c r="A1727" s="1">
        <v>45976</v>
      </c>
      <c r="B1727" s="2" t="s">
        <v>2568</v>
      </c>
      <c r="C1727" s="2" t="s">
        <v>2541</v>
      </c>
      <c r="D1727" s="2" t="s">
        <v>2528</v>
      </c>
      <c r="E1727" s="2" t="s">
        <v>2517</v>
      </c>
      <c r="F1727" s="3">
        <v>27542</v>
      </c>
      <c r="G1727" s="3">
        <v>1825</v>
      </c>
      <c r="H1727" s="3">
        <v>95</v>
      </c>
      <c r="I1727" s="4">
        <v>243.51</v>
      </c>
      <c r="J1727" s="4">
        <v>10176.469999999999</v>
      </c>
      <c r="K1727" s="3">
        <v>75</v>
      </c>
      <c r="L1727" s="2" t="s">
        <v>2536</v>
      </c>
      <c r="M1727" s="2" t="s">
        <v>2546</v>
      </c>
      <c r="N1727" t="str">
        <f>TRIM(PROPER(Tabla_auditoría[[#This Row],[ID_Campaña]]))</f>
        <v>Cmp-020</v>
      </c>
      <c r="O1727" t="str">
        <f>TRIM(PROPER(Tabla_auditoría[[#This Row],[Canal]]))</f>
        <v>Display</v>
      </c>
      <c r="P1727" t="str">
        <f>TRIM(PROPER(Tabla_auditoría[[#This Row],[País]]))</f>
        <v>España</v>
      </c>
      <c r="Q1727" t="str">
        <f>TRIM(PROPER(Tabla_auditoría[[#This Row],[Dispositivo]]))</f>
        <v>Desktop</v>
      </c>
      <c r="R1727" t="str">
        <f>TRIM(PROPER(Tabla_auditoría[[#This Row],[Tipo_Campaña]]))</f>
        <v>Reconocimiento</v>
      </c>
      <c r="S1727" t="str">
        <f>TRIM(PROPER(Tabla_auditoría[[#This Row],[Responsable]]))</f>
        <v>Ana García</v>
      </c>
    </row>
    <row r="1728" spans="1:19" x14ac:dyDescent="0.3">
      <c r="A1728" s="1">
        <v>45767</v>
      </c>
      <c r="B1728" s="2" t="s">
        <v>2547</v>
      </c>
      <c r="C1728" s="2" t="s">
        <v>2543</v>
      </c>
      <c r="D1728" s="2" t="s">
        <v>2516</v>
      </c>
      <c r="E1728" s="2" t="s">
        <v>2529</v>
      </c>
      <c r="F1728" s="3">
        <v>68320</v>
      </c>
      <c r="G1728" s="3">
        <v>1288</v>
      </c>
      <c r="H1728" s="3">
        <v>15</v>
      </c>
      <c r="I1728" s="4">
        <v>562.63</v>
      </c>
      <c r="J1728" s="4">
        <v>1280.8399999999999</v>
      </c>
      <c r="K1728" s="3">
        <v>7</v>
      </c>
      <c r="L1728" s="2" t="s">
        <v>2523</v>
      </c>
      <c r="M1728" s="2" t="s">
        <v>2524</v>
      </c>
      <c r="N1728" t="str">
        <f>TRIM(PROPER(Tabla_auditoría[[#This Row],[ID_Campaña]]))</f>
        <v>Cmp-018</v>
      </c>
      <c r="O1728" t="str">
        <f>TRIM(PROPER(Tabla_auditoría[[#This Row],[Canal]]))</f>
        <v>Organic Social</v>
      </c>
      <c r="P1728" t="str">
        <f>TRIM(PROPER(Tabla_auditoría[[#This Row],[País]]))</f>
        <v>México</v>
      </c>
      <c r="Q1728" t="str">
        <f>TRIM(PROPER(Tabla_auditoría[[#This Row],[Dispositivo]]))</f>
        <v>Mobile</v>
      </c>
      <c r="R1728" t="str">
        <f>TRIM(PROPER(Tabla_auditoría[[#This Row],[Tipo_Campaña]]))</f>
        <v>Retención</v>
      </c>
      <c r="S1728" t="str">
        <f>TRIM(PROPER(Tabla_auditoría[[#This Row],[Responsable]]))</f>
        <v>Luis Martín</v>
      </c>
    </row>
    <row r="1729" spans="1:19" x14ac:dyDescent="0.3">
      <c r="A1729" s="1">
        <v>45779</v>
      </c>
      <c r="B1729" s="2" t="s">
        <v>2550</v>
      </c>
      <c r="C1729" s="2" t="s">
        <v>2515</v>
      </c>
      <c r="D1729" s="2" t="s">
        <v>2516</v>
      </c>
      <c r="E1729" s="2" t="s">
        <v>2529</v>
      </c>
      <c r="F1729" s="3">
        <v>89511</v>
      </c>
      <c r="G1729" s="3">
        <v>1980</v>
      </c>
      <c r="H1729" s="3">
        <v>74</v>
      </c>
      <c r="I1729" s="4">
        <v>2050.7199999999998</v>
      </c>
      <c r="J1729" s="4">
        <v>7692.95</v>
      </c>
      <c r="K1729" s="3">
        <v>64</v>
      </c>
      <c r="L1729" s="2" t="s">
        <v>2523</v>
      </c>
      <c r="M1729" s="2" t="s">
        <v>2524</v>
      </c>
      <c r="N1729" t="str">
        <f>TRIM(PROPER(Tabla_auditoría[[#This Row],[ID_Campaña]]))</f>
        <v>Cmp-008</v>
      </c>
      <c r="O1729" t="str">
        <f>TRIM(PROPER(Tabla_auditoría[[#This Row],[Canal]]))</f>
        <v>Email</v>
      </c>
      <c r="P1729" t="str">
        <f>TRIM(PROPER(Tabla_auditoría[[#This Row],[País]]))</f>
        <v>México</v>
      </c>
      <c r="Q1729" t="str">
        <f>TRIM(PROPER(Tabla_auditoría[[#This Row],[Dispositivo]]))</f>
        <v>Mobile</v>
      </c>
      <c r="R1729" t="str">
        <f>TRIM(PROPER(Tabla_auditoría[[#This Row],[Tipo_Campaña]]))</f>
        <v>Retención</v>
      </c>
      <c r="S1729" t="str">
        <f>TRIM(PROPER(Tabla_auditoría[[#This Row],[Responsable]]))</f>
        <v>Luis Martín</v>
      </c>
    </row>
    <row r="1730" spans="1:19" x14ac:dyDescent="0.3">
      <c r="A1730" s="1">
        <v>46018</v>
      </c>
      <c r="B1730" s="2" t="s">
        <v>2567</v>
      </c>
      <c r="C1730" s="2" t="s">
        <v>2533</v>
      </c>
      <c r="D1730" s="2" t="s">
        <v>2531</v>
      </c>
      <c r="E1730" s="2" t="s">
        <v>2529</v>
      </c>
      <c r="F1730" s="3">
        <v>20489</v>
      </c>
      <c r="G1730" s="3">
        <v>511</v>
      </c>
      <c r="H1730" s="3">
        <v>20</v>
      </c>
      <c r="I1730" s="4">
        <v>601.01</v>
      </c>
      <c r="J1730" s="4">
        <v>1475.16</v>
      </c>
      <c r="K1730" s="3">
        <v>16</v>
      </c>
      <c r="L1730" s="2" t="s">
        <v>2536</v>
      </c>
      <c r="M1730" s="2" t="s">
        <v>2524</v>
      </c>
      <c r="N1730" t="str">
        <f>TRIM(PROPER(Tabla_auditoría[[#This Row],[ID_Campaña]]))</f>
        <v>Cmp-021</v>
      </c>
      <c r="O1730" t="str">
        <f>TRIM(PROPER(Tabla_auditoría[[#This Row],[Canal]]))</f>
        <v>Paid Social</v>
      </c>
      <c r="P1730" t="str">
        <f>TRIM(PROPER(Tabla_auditoría[[#This Row],[País]]))</f>
        <v>Portugal</v>
      </c>
      <c r="Q1730" t="str">
        <f>TRIM(PROPER(Tabla_auditoría[[#This Row],[Dispositivo]]))</f>
        <v>Mobile</v>
      </c>
      <c r="R1730" t="str">
        <f>TRIM(PROPER(Tabla_auditoría[[#This Row],[Tipo_Campaña]]))</f>
        <v>Reconocimiento</v>
      </c>
      <c r="S1730" t="str">
        <f>TRIM(PROPER(Tabla_auditoría[[#This Row],[Responsable]]))</f>
        <v>Luis Martín</v>
      </c>
    </row>
    <row r="1731" spans="1:19" x14ac:dyDescent="0.3">
      <c r="A1731" s="1">
        <v>45739</v>
      </c>
      <c r="B1731" s="2" t="s">
        <v>2574</v>
      </c>
      <c r="C1731" s="2" t="s">
        <v>2533</v>
      </c>
      <c r="D1731" s="2" t="s">
        <v>2528</v>
      </c>
      <c r="E1731" s="2" t="s">
        <v>2529</v>
      </c>
      <c r="F1731" s="3">
        <v>79949</v>
      </c>
      <c r="G1731" s="3">
        <v>80141</v>
      </c>
      <c r="H1731" s="3">
        <v>146</v>
      </c>
      <c r="I1731" s="4">
        <v>5485.13</v>
      </c>
      <c r="J1731" s="4">
        <v>19925.189999999999</v>
      </c>
      <c r="K1731" s="3">
        <v>127</v>
      </c>
      <c r="L1731" s="2" t="s">
        <v>2539</v>
      </c>
      <c r="M1731" s="2" t="s">
        <v>2519</v>
      </c>
      <c r="N1731" t="str">
        <f>TRIM(PROPER(Tabla_auditoría[[#This Row],[ID_Campaña]]))</f>
        <v>Cmp-003</v>
      </c>
      <c r="O1731" t="str">
        <f>TRIM(PROPER(Tabla_auditoría[[#This Row],[Canal]]))</f>
        <v>Paid Social</v>
      </c>
      <c r="P1731" t="str">
        <f>TRIM(PROPER(Tabla_auditoría[[#This Row],[País]]))</f>
        <v>España</v>
      </c>
      <c r="Q1731" t="str">
        <f>TRIM(PROPER(Tabla_auditoría[[#This Row],[Dispositivo]]))</f>
        <v>Mobile</v>
      </c>
      <c r="R1731" t="str">
        <f>TRIM(PROPER(Tabla_auditoría[[#This Row],[Tipo_Campaña]]))</f>
        <v>Conversión</v>
      </c>
      <c r="S1731" t="str">
        <f>TRIM(PROPER(Tabla_auditoría[[#This Row],[Responsable]]))</f>
        <v>Carlos Ruiz</v>
      </c>
    </row>
    <row r="1732" spans="1:19" x14ac:dyDescent="0.3">
      <c r="A1732" s="1">
        <v>45733</v>
      </c>
      <c r="B1732" s="2" t="s">
        <v>2540</v>
      </c>
      <c r="C1732" s="2" t="s">
        <v>2541</v>
      </c>
      <c r="D1732" s="2" t="s">
        <v>2525</v>
      </c>
      <c r="E1732" s="2" t="s">
        <v>2529</v>
      </c>
      <c r="F1732" s="3">
        <v>85085</v>
      </c>
      <c r="G1732" s="3">
        <v>6266</v>
      </c>
      <c r="H1732" s="3">
        <v>700</v>
      </c>
      <c r="I1732" s="4">
        <v>5126.92</v>
      </c>
      <c r="J1732" s="4">
        <v>17932.77</v>
      </c>
      <c r="K1732" s="3">
        <v>548</v>
      </c>
      <c r="L1732" s="2" t="s">
        <v>2518</v>
      </c>
      <c r="M1732" s="2" t="s">
        <v>2519</v>
      </c>
      <c r="N1732" t="str">
        <f>TRIM(PROPER(Tabla_auditoría[[#This Row],[ID_Campaña]]))</f>
        <v>Cmp-017</v>
      </c>
      <c r="O1732" t="str">
        <f>TRIM(PROPER(Tabla_auditoría[[#This Row],[Canal]]))</f>
        <v>Display</v>
      </c>
      <c r="P1732" t="str">
        <f>TRIM(PROPER(Tabla_auditoría[[#This Row],[País]]))</f>
        <v>Francia</v>
      </c>
      <c r="Q1732" t="str">
        <f>TRIM(PROPER(Tabla_auditoría[[#This Row],[Dispositivo]]))</f>
        <v>Mobile</v>
      </c>
      <c r="R1732" t="str">
        <f>TRIM(PROPER(Tabla_auditoría[[#This Row],[Tipo_Campaña]]))</f>
        <v>Adquisición</v>
      </c>
      <c r="S1732" t="str">
        <f>TRIM(PROPER(Tabla_auditoría[[#This Row],[Responsable]]))</f>
        <v>Carlos Ruiz</v>
      </c>
    </row>
    <row r="1733" spans="1:19" x14ac:dyDescent="0.3">
      <c r="A1733" s="1">
        <v>45659</v>
      </c>
      <c r="B1733" s="2" t="s">
        <v>2574</v>
      </c>
      <c r="C1733" s="2" t="s">
        <v>2515</v>
      </c>
      <c r="D1733" s="2" t="s">
        <v>2528</v>
      </c>
      <c r="E1733" s="2" t="s">
        <v>2517</v>
      </c>
      <c r="F1733" s="3">
        <v>63958</v>
      </c>
      <c r="G1733" s="3">
        <v>1582</v>
      </c>
      <c r="H1733" s="3">
        <v>214</v>
      </c>
      <c r="I1733" s="4">
        <v>1336.7</v>
      </c>
      <c r="J1733" s="4">
        <v>20203.12</v>
      </c>
      <c r="K1733" s="3">
        <v>100</v>
      </c>
      <c r="L1733" s="2" t="s">
        <v>2539</v>
      </c>
      <c r="M1733" s="2" t="s">
        <v>2524</v>
      </c>
      <c r="N1733" t="str">
        <f>TRIM(PROPER(Tabla_auditoría[[#This Row],[ID_Campaña]]))</f>
        <v>Cmp-003</v>
      </c>
      <c r="O1733" t="str">
        <f>TRIM(PROPER(Tabla_auditoría[[#This Row],[Canal]]))</f>
        <v>Email</v>
      </c>
      <c r="P1733" t="str">
        <f>TRIM(PROPER(Tabla_auditoría[[#This Row],[País]]))</f>
        <v>España</v>
      </c>
      <c r="Q1733" t="str">
        <f>TRIM(PROPER(Tabla_auditoría[[#This Row],[Dispositivo]]))</f>
        <v>Desktop</v>
      </c>
      <c r="R1733" t="str">
        <f>TRIM(PROPER(Tabla_auditoría[[#This Row],[Tipo_Campaña]]))</f>
        <v>Conversión</v>
      </c>
      <c r="S1733" t="str">
        <f>TRIM(PROPER(Tabla_auditoría[[#This Row],[Responsable]]))</f>
        <v>Luis Martín</v>
      </c>
    </row>
    <row r="1734" spans="1:19" x14ac:dyDescent="0.3">
      <c r="A1734" s="1">
        <v>45916</v>
      </c>
      <c r="B1734" s="2" t="s">
        <v>2557</v>
      </c>
      <c r="C1734" s="2" t="s">
        <v>2541</v>
      </c>
      <c r="D1734" s="2" t="s">
        <v>2531</v>
      </c>
      <c r="E1734" s="2" t="s">
        <v>2529</v>
      </c>
      <c r="F1734" s="3">
        <v>161238</v>
      </c>
      <c r="G1734" s="3">
        <v>161852</v>
      </c>
      <c r="H1734" s="3">
        <v>256</v>
      </c>
      <c r="I1734" s="4">
        <v>5213.91</v>
      </c>
      <c r="J1734" s="4">
        <v>24852.43</v>
      </c>
      <c r="K1734" s="3">
        <v>227</v>
      </c>
      <c r="L1734" s="2" t="s">
        <v>2539</v>
      </c>
      <c r="M1734" s="2" t="s">
        <v>2524</v>
      </c>
      <c r="N1734" t="str">
        <f>TRIM(PROPER(Tabla_auditoría[[#This Row],[ID_Campaña]]))</f>
        <v>Cmp-030</v>
      </c>
      <c r="O1734" t="str">
        <f>TRIM(PROPER(Tabla_auditoría[[#This Row],[Canal]]))</f>
        <v>Display</v>
      </c>
      <c r="P1734" t="str">
        <f>TRIM(PROPER(Tabla_auditoría[[#This Row],[País]]))</f>
        <v>Portugal</v>
      </c>
      <c r="Q1734" t="str">
        <f>TRIM(PROPER(Tabla_auditoría[[#This Row],[Dispositivo]]))</f>
        <v>Mobile</v>
      </c>
      <c r="R1734" t="str">
        <f>TRIM(PROPER(Tabla_auditoría[[#This Row],[Tipo_Campaña]]))</f>
        <v>Conversión</v>
      </c>
      <c r="S1734" t="str">
        <f>TRIM(PROPER(Tabla_auditoría[[#This Row],[Responsable]]))</f>
        <v>Luis Martín</v>
      </c>
    </row>
    <row r="1735" spans="1:19" x14ac:dyDescent="0.3">
      <c r="A1735" s="1">
        <v>46006</v>
      </c>
      <c r="B1735" s="2" t="s">
        <v>2564</v>
      </c>
      <c r="C1735" s="2" t="s">
        <v>2515</v>
      </c>
      <c r="D1735" s="2" t="s">
        <v>2525</v>
      </c>
      <c r="E1735" s="2" t="s">
        <v>2529</v>
      </c>
      <c r="F1735" s="3">
        <v>111304</v>
      </c>
      <c r="G1735" s="3">
        <v>8163</v>
      </c>
      <c r="H1735" s="3">
        <v>715</v>
      </c>
      <c r="I1735" s="4">
        <v>13104.11</v>
      </c>
      <c r="J1735" s="4">
        <v>37182.57</v>
      </c>
      <c r="K1735" s="3">
        <v>598</v>
      </c>
      <c r="L1735" s="2" t="s">
        <v>2539</v>
      </c>
      <c r="M1735" s="2" t="s">
        <v>2524</v>
      </c>
      <c r="N1735" t="str">
        <f>TRIM(PROPER(Tabla_auditoría[[#This Row],[ID_Campaña]]))</f>
        <v>Cmp-024</v>
      </c>
      <c r="O1735" t="str">
        <f>TRIM(PROPER(Tabla_auditoría[[#This Row],[Canal]]))</f>
        <v>Email</v>
      </c>
      <c r="P1735" t="str">
        <f>TRIM(PROPER(Tabla_auditoría[[#This Row],[País]]))</f>
        <v>Francia</v>
      </c>
      <c r="Q1735" t="str">
        <f>TRIM(PROPER(Tabla_auditoría[[#This Row],[Dispositivo]]))</f>
        <v>Mobile</v>
      </c>
      <c r="R1735" t="str">
        <f>TRIM(PROPER(Tabla_auditoría[[#This Row],[Tipo_Campaña]]))</f>
        <v>Conversión</v>
      </c>
      <c r="S1735" t="str">
        <f>TRIM(PROPER(Tabla_auditoría[[#This Row],[Responsable]]))</f>
        <v>Luis Martín</v>
      </c>
    </row>
    <row r="1736" spans="1:19" x14ac:dyDescent="0.3">
      <c r="A1736" s="1">
        <v>45723</v>
      </c>
      <c r="B1736" s="2" t="s">
        <v>2564</v>
      </c>
      <c r="C1736" s="2" t="s">
        <v>2543</v>
      </c>
      <c r="D1736" s="2" t="s">
        <v>2528</v>
      </c>
      <c r="E1736" s="2" t="s">
        <v>2517</v>
      </c>
      <c r="F1736" s="3">
        <v>71000</v>
      </c>
      <c r="G1736" s="3">
        <v>6041</v>
      </c>
      <c r="H1736" s="3">
        <v>595</v>
      </c>
      <c r="I1736" s="4">
        <v>10482.06</v>
      </c>
      <c r="J1736" s="4">
        <v>21993.18</v>
      </c>
      <c r="K1736" s="3">
        <v>295</v>
      </c>
      <c r="L1736" s="2" t="s">
        <v>2539</v>
      </c>
      <c r="M1736" s="2" t="s">
        <v>2537</v>
      </c>
      <c r="N1736" t="str">
        <f>TRIM(PROPER(Tabla_auditoría[[#This Row],[ID_Campaña]]))</f>
        <v>Cmp-024</v>
      </c>
      <c r="O1736" t="str">
        <f>TRIM(PROPER(Tabla_auditoría[[#This Row],[Canal]]))</f>
        <v>Organic Social</v>
      </c>
      <c r="P1736" t="str">
        <f>TRIM(PROPER(Tabla_auditoría[[#This Row],[País]]))</f>
        <v>España</v>
      </c>
      <c r="Q1736" t="str">
        <f>TRIM(PROPER(Tabla_auditoría[[#This Row],[Dispositivo]]))</f>
        <v>Desktop</v>
      </c>
      <c r="R1736" t="str">
        <f>TRIM(PROPER(Tabla_auditoría[[#This Row],[Tipo_Campaña]]))</f>
        <v>Conversión</v>
      </c>
      <c r="S1736" t="str">
        <f>TRIM(PROPER(Tabla_auditoría[[#This Row],[Responsable]]))</f>
        <v>Marta López</v>
      </c>
    </row>
    <row r="1737" spans="1:19" x14ac:dyDescent="0.3">
      <c r="A1737" s="1">
        <v>45726</v>
      </c>
      <c r="B1737" s="2" t="s">
        <v>2557</v>
      </c>
      <c r="C1737" s="2" t="s">
        <v>2515</v>
      </c>
      <c r="D1737" s="2" t="s">
        <v>2522</v>
      </c>
      <c r="E1737" s="2" t="s">
        <v>2529</v>
      </c>
      <c r="F1737" s="3">
        <v>158940</v>
      </c>
      <c r="G1737" s="3">
        <v>3126</v>
      </c>
      <c r="H1737" s="3">
        <v>232</v>
      </c>
      <c r="I1737" s="4">
        <v>2547.5500000000002</v>
      </c>
      <c r="J1737" s="4">
        <v>14925.51</v>
      </c>
      <c r="K1737" s="3">
        <v>178</v>
      </c>
      <c r="L1737" s="2" t="s">
        <v>2536</v>
      </c>
      <c r="M1737" s="2" t="s">
        <v>2524</v>
      </c>
      <c r="N1737" t="str">
        <f>TRIM(PROPER(Tabla_auditoría[[#This Row],[ID_Campaña]]))</f>
        <v>Cmp-030</v>
      </c>
      <c r="O1737" t="str">
        <f>TRIM(PROPER(Tabla_auditoría[[#This Row],[Canal]]))</f>
        <v>Email</v>
      </c>
      <c r="P1737" t="str">
        <f>TRIM(PROPER(Tabla_auditoría[[#This Row],[País]]))</f>
        <v>Italia</v>
      </c>
      <c r="Q1737" t="str">
        <f>TRIM(PROPER(Tabla_auditoría[[#This Row],[Dispositivo]]))</f>
        <v>Mobile</v>
      </c>
      <c r="R1737" t="str">
        <f>TRIM(PROPER(Tabla_auditoría[[#This Row],[Tipo_Campaña]]))</f>
        <v>Reconocimiento</v>
      </c>
      <c r="S1737" t="str">
        <f>TRIM(PROPER(Tabla_auditoría[[#This Row],[Responsable]]))</f>
        <v>Luis Martín</v>
      </c>
    </row>
    <row r="1738" spans="1:19" x14ac:dyDescent="0.3">
      <c r="A1738" s="1">
        <v>45910</v>
      </c>
      <c r="B1738" s="2" t="s">
        <v>2520</v>
      </c>
      <c r="C1738" s="2" t="s">
        <v>2543</v>
      </c>
      <c r="D1738" s="2" t="s">
        <v>2528</v>
      </c>
      <c r="E1738" s="2" t="s">
        <v>2517</v>
      </c>
      <c r="F1738" s="3">
        <v>134119</v>
      </c>
      <c r="G1738" s="3">
        <v>1770</v>
      </c>
      <c r="H1738" s="3">
        <v>205</v>
      </c>
      <c r="I1738" s="4">
        <v>3370.63</v>
      </c>
      <c r="J1738" s="4">
        <v>8382.23</v>
      </c>
      <c r="K1738" s="3">
        <v>120</v>
      </c>
      <c r="L1738" s="2" t="s">
        <v>2536</v>
      </c>
      <c r="M1738" s="2" t="s">
        <v>2526</v>
      </c>
      <c r="N1738" t="str">
        <f>TRIM(PROPER(Tabla_auditoría[[#This Row],[ID_Campaña]]))</f>
        <v>Cmp-009</v>
      </c>
      <c r="O1738" t="str">
        <f>TRIM(PROPER(Tabla_auditoría[[#This Row],[Canal]]))</f>
        <v>Organic Social</v>
      </c>
      <c r="P1738" t="str">
        <f>TRIM(PROPER(Tabla_auditoría[[#This Row],[País]]))</f>
        <v>España</v>
      </c>
      <c r="Q1738" t="str">
        <f>TRIM(PROPER(Tabla_auditoría[[#This Row],[Dispositivo]]))</f>
        <v>Desktop</v>
      </c>
      <c r="R1738" t="str">
        <f>TRIM(PROPER(Tabla_auditoría[[#This Row],[Tipo_Campaña]]))</f>
        <v>Reconocimiento</v>
      </c>
      <c r="S1738" t="str">
        <f>TRIM(PROPER(Tabla_auditoría[[#This Row],[Responsable]]))</f>
        <v>Laura Pérez</v>
      </c>
    </row>
    <row r="1739" spans="1:19" x14ac:dyDescent="0.3">
      <c r="A1739" s="1">
        <v>45754</v>
      </c>
      <c r="B1739" s="2" t="s">
        <v>2560</v>
      </c>
      <c r="C1739" s="2" t="s">
        <v>2533</v>
      </c>
      <c r="D1739" s="2" t="s">
        <v>2528</v>
      </c>
      <c r="E1739" s="2" t="s">
        <v>2529</v>
      </c>
      <c r="F1739" s="3">
        <v>13902</v>
      </c>
      <c r="G1739" s="3">
        <v>888</v>
      </c>
      <c r="H1739" s="3">
        <v>60</v>
      </c>
      <c r="I1739" s="4">
        <v>1196.96</v>
      </c>
      <c r="J1739" s="4">
        <v>7104.14</v>
      </c>
      <c r="K1739" s="3">
        <v>40</v>
      </c>
      <c r="L1739" s="2" t="s">
        <v>2518</v>
      </c>
      <c r="M1739" s="2" t="s">
        <v>2524</v>
      </c>
      <c r="N1739" t="str">
        <f>TRIM(PROPER(Tabla_auditoría[[#This Row],[ID_Campaña]]))</f>
        <v>Cmp-027</v>
      </c>
      <c r="O1739" t="str">
        <f>TRIM(PROPER(Tabla_auditoría[[#This Row],[Canal]]))</f>
        <v>Paid Social</v>
      </c>
      <c r="P1739" t="str">
        <f>TRIM(PROPER(Tabla_auditoría[[#This Row],[País]]))</f>
        <v>España</v>
      </c>
      <c r="Q1739" t="str">
        <f>TRIM(PROPER(Tabla_auditoría[[#This Row],[Dispositivo]]))</f>
        <v>Mobile</v>
      </c>
      <c r="R1739" t="str">
        <f>TRIM(PROPER(Tabla_auditoría[[#This Row],[Tipo_Campaña]]))</f>
        <v>Adquisición</v>
      </c>
      <c r="S1739" t="str">
        <f>TRIM(PROPER(Tabla_auditoría[[#This Row],[Responsable]]))</f>
        <v>Luis Martín</v>
      </c>
    </row>
    <row r="1740" spans="1:19" x14ac:dyDescent="0.3">
      <c r="A1740" s="1">
        <v>45684</v>
      </c>
      <c r="B1740" s="2" t="s">
        <v>2566</v>
      </c>
      <c r="C1740" s="2" t="s">
        <v>2515</v>
      </c>
      <c r="D1740" s="2" t="s">
        <v>2531</v>
      </c>
      <c r="E1740" s="2" t="s">
        <v>2529</v>
      </c>
      <c r="F1740" s="3">
        <v>173555</v>
      </c>
      <c r="G1740" s="3">
        <v>8407</v>
      </c>
      <c r="H1740" s="3">
        <v>602</v>
      </c>
      <c r="I1740" s="4">
        <v>16612.59</v>
      </c>
      <c r="J1740" s="4">
        <v>102311.14</v>
      </c>
      <c r="K1740" s="3">
        <v>277</v>
      </c>
      <c r="L1740" s="2" t="s">
        <v>2518</v>
      </c>
      <c r="M1740" s="2" t="s">
        <v>2537</v>
      </c>
      <c r="N1740" t="str">
        <f>TRIM(PROPER(Tabla_auditoría[[#This Row],[ID_Campaña]]))</f>
        <v>Cmp-001</v>
      </c>
      <c r="O1740" t="str">
        <f>TRIM(PROPER(Tabla_auditoría[[#This Row],[Canal]]))</f>
        <v>Email</v>
      </c>
      <c r="P1740" t="str">
        <f>TRIM(PROPER(Tabla_auditoría[[#This Row],[País]]))</f>
        <v>Portugal</v>
      </c>
      <c r="Q1740" t="str">
        <f>TRIM(PROPER(Tabla_auditoría[[#This Row],[Dispositivo]]))</f>
        <v>Mobile</v>
      </c>
      <c r="R1740" t="str">
        <f>TRIM(PROPER(Tabla_auditoría[[#This Row],[Tipo_Campaña]]))</f>
        <v>Adquisición</v>
      </c>
      <c r="S1740" t="str">
        <f>TRIM(PROPER(Tabla_auditoría[[#This Row],[Responsable]]))</f>
        <v>Marta López</v>
      </c>
    </row>
    <row r="1741" spans="1:19" x14ac:dyDescent="0.3">
      <c r="A1741" s="1">
        <v>45965</v>
      </c>
      <c r="B1741" s="2" t="s">
        <v>2556</v>
      </c>
      <c r="C1741" s="2" t="s">
        <v>2521</v>
      </c>
      <c r="D1741" s="2" t="s">
        <v>2528</v>
      </c>
      <c r="E1741" s="2" t="s">
        <v>2517</v>
      </c>
      <c r="F1741" s="3">
        <v>110256</v>
      </c>
      <c r="G1741" s="3">
        <v>6225</v>
      </c>
      <c r="H1741" s="3">
        <v>847</v>
      </c>
      <c r="I1741" s="4">
        <v>1365.63</v>
      </c>
      <c r="J1741" s="4">
        <v>146779.74</v>
      </c>
      <c r="K1741" s="3">
        <v>419</v>
      </c>
      <c r="L1741" s="2" t="s">
        <v>2539</v>
      </c>
      <c r="M1741" s="2" t="s">
        <v>2537</v>
      </c>
      <c r="N1741" t="str">
        <f>TRIM(PROPER(Tabla_auditoría[[#This Row],[ID_Campaña]]))</f>
        <v>Cmp-014</v>
      </c>
      <c r="O1741" t="str">
        <f>TRIM(PROPER(Tabla_auditoría[[#This Row],[Canal]]))</f>
        <v>Paid Search</v>
      </c>
      <c r="P1741" t="str">
        <f>TRIM(PROPER(Tabla_auditoría[[#This Row],[País]]))</f>
        <v>España</v>
      </c>
      <c r="Q1741" t="str">
        <f>TRIM(PROPER(Tabla_auditoría[[#This Row],[Dispositivo]]))</f>
        <v>Desktop</v>
      </c>
      <c r="R1741" t="str">
        <f>TRIM(PROPER(Tabla_auditoría[[#This Row],[Tipo_Campaña]]))</f>
        <v>Conversión</v>
      </c>
      <c r="S1741" t="str">
        <f>TRIM(PROPER(Tabla_auditoría[[#This Row],[Responsable]]))</f>
        <v>Marta López</v>
      </c>
    </row>
    <row r="1742" spans="1:19" x14ac:dyDescent="0.3">
      <c r="A1742" s="1">
        <v>45818</v>
      </c>
      <c r="B1742" s="2" t="s">
        <v>2545</v>
      </c>
      <c r="C1742" s="2" t="s">
        <v>2541</v>
      </c>
      <c r="D1742" s="2" t="s">
        <v>2525</v>
      </c>
      <c r="E1742" s="2" t="s">
        <v>2517</v>
      </c>
      <c r="F1742" s="3">
        <v>37623</v>
      </c>
      <c r="G1742" s="3">
        <v>2251</v>
      </c>
      <c r="H1742" s="3">
        <v>25</v>
      </c>
      <c r="I1742" s="4">
        <v>2238.0500000000002</v>
      </c>
      <c r="J1742" s="4">
        <v>3473.93</v>
      </c>
      <c r="K1742" s="3">
        <v>13</v>
      </c>
      <c r="L1742" s="2" t="s">
        <v>2536</v>
      </c>
      <c r="M1742" s="2" t="s">
        <v>2537</v>
      </c>
      <c r="N1742" t="str">
        <f>TRIM(PROPER(Tabla_auditoría[[#This Row],[ID_Campaña]]))</f>
        <v>Cmp-011</v>
      </c>
      <c r="O1742" t="str">
        <f>TRIM(PROPER(Tabla_auditoría[[#This Row],[Canal]]))</f>
        <v>Display</v>
      </c>
      <c r="P1742" t="str">
        <f>TRIM(PROPER(Tabla_auditoría[[#This Row],[País]]))</f>
        <v>Francia</v>
      </c>
      <c r="Q1742" t="str">
        <f>TRIM(PROPER(Tabla_auditoría[[#This Row],[Dispositivo]]))</f>
        <v>Desktop</v>
      </c>
      <c r="R1742" t="str">
        <f>TRIM(PROPER(Tabla_auditoría[[#This Row],[Tipo_Campaña]]))</f>
        <v>Reconocimiento</v>
      </c>
      <c r="S1742" t="str">
        <f>TRIM(PROPER(Tabla_auditoría[[#This Row],[Responsable]]))</f>
        <v>Marta López</v>
      </c>
    </row>
    <row r="1743" spans="1:19" x14ac:dyDescent="0.3">
      <c r="A1743" s="1">
        <v>45680</v>
      </c>
      <c r="B1743" s="2" t="s">
        <v>2550</v>
      </c>
      <c r="C1743" s="2" t="s">
        <v>2515</v>
      </c>
      <c r="D1743" s="2" t="s">
        <v>2528</v>
      </c>
      <c r="E1743" s="2" t="s">
        <v>2529</v>
      </c>
      <c r="F1743" s="3">
        <v>162744</v>
      </c>
      <c r="G1743" s="3">
        <v>4537</v>
      </c>
      <c r="H1743" s="3">
        <v>606</v>
      </c>
      <c r="I1743" s="4">
        <v>3385.13</v>
      </c>
      <c r="J1743" s="4">
        <v>39174.6</v>
      </c>
      <c r="K1743" s="3">
        <v>382</v>
      </c>
      <c r="L1743" s="2" t="s">
        <v>2523</v>
      </c>
      <c r="M1743" s="2" t="s">
        <v>2526</v>
      </c>
      <c r="N1743" t="str">
        <f>TRIM(PROPER(Tabla_auditoría[[#This Row],[ID_Campaña]]))</f>
        <v>Cmp-008</v>
      </c>
      <c r="O1743" t="str">
        <f>TRIM(PROPER(Tabla_auditoría[[#This Row],[Canal]]))</f>
        <v>Email</v>
      </c>
      <c r="P1743" t="str">
        <f>TRIM(PROPER(Tabla_auditoría[[#This Row],[País]]))</f>
        <v>España</v>
      </c>
      <c r="Q1743" t="str">
        <f>TRIM(PROPER(Tabla_auditoría[[#This Row],[Dispositivo]]))</f>
        <v>Mobile</v>
      </c>
      <c r="R1743" t="str">
        <f>TRIM(PROPER(Tabla_auditoría[[#This Row],[Tipo_Campaña]]))</f>
        <v>Retención</v>
      </c>
      <c r="S1743" t="str">
        <f>TRIM(PROPER(Tabla_auditoría[[#This Row],[Responsable]]))</f>
        <v>Laura Pérez</v>
      </c>
    </row>
    <row r="1744" spans="1:19" x14ac:dyDescent="0.3">
      <c r="A1744" s="1">
        <v>45779</v>
      </c>
      <c r="B1744" s="2" t="s">
        <v>2574</v>
      </c>
      <c r="C1744" s="2" t="s">
        <v>2521</v>
      </c>
      <c r="D1744" s="2" t="s">
        <v>2525</v>
      </c>
      <c r="E1744" s="2" t="s">
        <v>2529</v>
      </c>
      <c r="F1744" s="3">
        <v>5807</v>
      </c>
      <c r="G1744" s="3">
        <v>300</v>
      </c>
      <c r="H1744" s="3">
        <v>29</v>
      </c>
      <c r="I1744" s="4">
        <v>286.5</v>
      </c>
      <c r="J1744" s="4">
        <v>1562.21</v>
      </c>
      <c r="K1744" s="3">
        <v>14</v>
      </c>
      <c r="L1744" s="2" t="s">
        <v>2539</v>
      </c>
      <c r="M1744" s="2" t="s">
        <v>2524</v>
      </c>
      <c r="N1744" t="str">
        <f>TRIM(PROPER(Tabla_auditoría[[#This Row],[ID_Campaña]]))</f>
        <v>Cmp-003</v>
      </c>
      <c r="O1744" t="str">
        <f>TRIM(PROPER(Tabla_auditoría[[#This Row],[Canal]]))</f>
        <v>Paid Search</v>
      </c>
      <c r="P1744" t="str">
        <f>TRIM(PROPER(Tabla_auditoría[[#This Row],[País]]))</f>
        <v>Francia</v>
      </c>
      <c r="Q1744" t="str">
        <f>TRIM(PROPER(Tabla_auditoría[[#This Row],[Dispositivo]]))</f>
        <v>Mobile</v>
      </c>
      <c r="R1744" t="str">
        <f>TRIM(PROPER(Tabla_auditoría[[#This Row],[Tipo_Campaña]]))</f>
        <v>Conversión</v>
      </c>
      <c r="S1744" t="str">
        <f>TRIM(PROPER(Tabla_auditoría[[#This Row],[Responsable]]))</f>
        <v>Luis Martín</v>
      </c>
    </row>
    <row r="1745" spans="1:19" x14ac:dyDescent="0.3">
      <c r="A1745" s="1">
        <v>45988</v>
      </c>
      <c r="B1745" s="2" t="s">
        <v>2530</v>
      </c>
      <c r="C1745" s="2" t="s">
        <v>2543</v>
      </c>
      <c r="D1745" s="2" t="s">
        <v>2522</v>
      </c>
      <c r="E1745" s="2" t="s">
        <v>2534</v>
      </c>
      <c r="F1745" s="3">
        <v>20878</v>
      </c>
      <c r="G1745" s="3">
        <v>1089</v>
      </c>
      <c r="H1745" s="3">
        <v>82</v>
      </c>
      <c r="I1745" s="4">
        <v>191.2</v>
      </c>
      <c r="J1745" s="4">
        <v>14734.74</v>
      </c>
      <c r="K1745" s="3">
        <v>63</v>
      </c>
      <c r="L1745" s="2" t="s">
        <v>2518</v>
      </c>
      <c r="M1745" s="2" t="s">
        <v>2537</v>
      </c>
      <c r="N1745" t="str">
        <f>TRIM(PROPER(Tabla_auditoría[[#This Row],[ID_Campaña]]))</f>
        <v>Cmp-026</v>
      </c>
      <c r="O1745" t="str">
        <f>TRIM(PROPER(Tabla_auditoría[[#This Row],[Canal]]))</f>
        <v>Organic Social</v>
      </c>
      <c r="P1745" t="str">
        <f>TRIM(PROPER(Tabla_auditoría[[#This Row],[País]]))</f>
        <v>Italia</v>
      </c>
      <c r="Q1745" t="str">
        <f>TRIM(PROPER(Tabla_auditoría[[#This Row],[Dispositivo]]))</f>
        <v>Tablet</v>
      </c>
      <c r="R1745" t="str">
        <f>TRIM(PROPER(Tabla_auditoría[[#This Row],[Tipo_Campaña]]))</f>
        <v>Adquisición</v>
      </c>
      <c r="S1745" t="str">
        <f>TRIM(PROPER(Tabla_auditoría[[#This Row],[Responsable]]))</f>
        <v>Marta López</v>
      </c>
    </row>
    <row r="1746" spans="1:19" x14ac:dyDescent="0.3">
      <c r="A1746" s="1">
        <v>45879</v>
      </c>
      <c r="B1746" s="2" t="s">
        <v>2542</v>
      </c>
      <c r="C1746" s="2" t="s">
        <v>2533</v>
      </c>
      <c r="D1746" s="2" t="s">
        <v>2528</v>
      </c>
      <c r="E1746" s="2" t="s">
        <v>2534</v>
      </c>
      <c r="F1746" s="3">
        <v>172286</v>
      </c>
      <c r="G1746" s="3">
        <v>9270</v>
      </c>
      <c r="H1746" s="3">
        <v>1220</v>
      </c>
      <c r="I1746" s="4">
        <v>6995.42</v>
      </c>
      <c r="J1746" s="4">
        <v>100829.39</v>
      </c>
      <c r="K1746" s="3">
        <v>767</v>
      </c>
      <c r="L1746" s="2" t="s">
        <v>2523</v>
      </c>
      <c r="M1746" s="2" t="s">
        <v>2526</v>
      </c>
      <c r="N1746" t="str">
        <f>TRIM(PROPER(Tabla_auditoría[[#This Row],[ID_Campaña]]))</f>
        <v>Cmp-025</v>
      </c>
      <c r="O1746" t="str">
        <f>TRIM(PROPER(Tabla_auditoría[[#This Row],[Canal]]))</f>
        <v>Paid Social</v>
      </c>
      <c r="P1746" t="str">
        <f>TRIM(PROPER(Tabla_auditoría[[#This Row],[País]]))</f>
        <v>España</v>
      </c>
      <c r="Q1746" t="str">
        <f>TRIM(PROPER(Tabla_auditoría[[#This Row],[Dispositivo]]))</f>
        <v>Tablet</v>
      </c>
      <c r="R1746" t="str">
        <f>TRIM(PROPER(Tabla_auditoría[[#This Row],[Tipo_Campaña]]))</f>
        <v>Retención</v>
      </c>
      <c r="S1746" t="str">
        <f>TRIM(PROPER(Tabla_auditoría[[#This Row],[Responsable]]))</f>
        <v>Laura Pérez</v>
      </c>
    </row>
    <row r="1747" spans="1:19" x14ac:dyDescent="0.3">
      <c r="A1747" s="1">
        <v>45785</v>
      </c>
      <c r="B1747" s="2" t="s">
        <v>2547</v>
      </c>
      <c r="C1747" s="2" t="s">
        <v>2521</v>
      </c>
      <c r="D1747" s="2" t="s">
        <v>2528</v>
      </c>
      <c r="E1747" s="2" t="s">
        <v>2534</v>
      </c>
      <c r="F1747" s="3">
        <v>107450</v>
      </c>
      <c r="G1747" s="3">
        <v>565</v>
      </c>
      <c r="H1747" s="3">
        <v>6</v>
      </c>
      <c r="I1747" s="4">
        <v>930.25</v>
      </c>
      <c r="J1747" s="4">
        <v>632.48</v>
      </c>
      <c r="K1747" s="3">
        <v>4</v>
      </c>
      <c r="L1747" s="2" t="s">
        <v>2539</v>
      </c>
      <c r="M1747" s="2" t="s">
        <v>2526</v>
      </c>
      <c r="N1747" t="str">
        <f>TRIM(PROPER(Tabla_auditoría[[#This Row],[ID_Campaña]]))</f>
        <v>Cmp-018</v>
      </c>
      <c r="O1747" t="str">
        <f>TRIM(PROPER(Tabla_auditoría[[#This Row],[Canal]]))</f>
        <v>Paid Search</v>
      </c>
      <c r="P1747" t="str">
        <f>TRIM(PROPER(Tabla_auditoría[[#This Row],[País]]))</f>
        <v>España</v>
      </c>
      <c r="Q1747" t="str">
        <f>TRIM(PROPER(Tabla_auditoría[[#This Row],[Dispositivo]]))</f>
        <v>Tablet</v>
      </c>
      <c r="R1747" t="str">
        <f>TRIM(PROPER(Tabla_auditoría[[#This Row],[Tipo_Campaña]]))</f>
        <v>Conversión</v>
      </c>
      <c r="S1747" t="str">
        <f>TRIM(PROPER(Tabla_auditoría[[#This Row],[Responsable]]))</f>
        <v>Laura Pérez</v>
      </c>
    </row>
    <row r="1748" spans="1:19" x14ac:dyDescent="0.3">
      <c r="A1748" s="1">
        <v>45675</v>
      </c>
      <c r="B1748" s="2" t="s">
        <v>2552</v>
      </c>
      <c r="C1748" s="2" t="s">
        <v>2541</v>
      </c>
      <c r="D1748" s="2" t="s">
        <v>2528</v>
      </c>
      <c r="E1748" s="2" t="s">
        <v>2529</v>
      </c>
      <c r="F1748" s="3">
        <v>66156</v>
      </c>
      <c r="G1748" s="3">
        <v>5816</v>
      </c>
      <c r="H1748" s="3">
        <v>772</v>
      </c>
      <c r="I1748" s="4">
        <v>2044.42</v>
      </c>
      <c r="J1748" s="4">
        <v>82965.960000000006</v>
      </c>
      <c r="K1748" s="3">
        <v>638</v>
      </c>
      <c r="L1748" s="2" t="s">
        <v>2536</v>
      </c>
      <c r="M1748" s="2" t="s">
        <v>2526</v>
      </c>
      <c r="N1748" t="str">
        <f>TRIM(PROPER(Tabla_auditoría[[#This Row],[ID_Campaña]]))</f>
        <v>Cmp-012</v>
      </c>
      <c r="O1748" t="str">
        <f>TRIM(PROPER(Tabla_auditoría[[#This Row],[Canal]]))</f>
        <v>Display</v>
      </c>
      <c r="P1748" t="str">
        <f>TRIM(PROPER(Tabla_auditoría[[#This Row],[País]]))</f>
        <v>España</v>
      </c>
      <c r="Q1748" t="str">
        <f>TRIM(PROPER(Tabla_auditoría[[#This Row],[Dispositivo]]))</f>
        <v>Mobile</v>
      </c>
      <c r="R1748" t="str">
        <f>TRIM(PROPER(Tabla_auditoría[[#This Row],[Tipo_Campaña]]))</f>
        <v>Reconocimiento</v>
      </c>
      <c r="S1748" t="str">
        <f>TRIM(PROPER(Tabla_auditoría[[#This Row],[Responsable]]))</f>
        <v>Laura Pérez</v>
      </c>
    </row>
    <row r="1749" spans="1:19" x14ac:dyDescent="0.3">
      <c r="A1749" s="1">
        <v>45947</v>
      </c>
      <c r="B1749" s="2" t="s">
        <v>2542</v>
      </c>
      <c r="C1749" s="2" t="s">
        <v>2543</v>
      </c>
      <c r="D1749" s="2" t="s">
        <v>2528</v>
      </c>
      <c r="E1749" s="2" t="s">
        <v>2529</v>
      </c>
      <c r="F1749" s="3">
        <v>3493</v>
      </c>
      <c r="G1749" s="3">
        <v>104</v>
      </c>
      <c r="H1749" s="3">
        <v>11</v>
      </c>
      <c r="I1749" s="4">
        <v>69.33</v>
      </c>
      <c r="J1749" s="4">
        <v>1212.42</v>
      </c>
      <c r="K1749" s="3">
        <v>9</v>
      </c>
      <c r="L1749" s="2" t="s">
        <v>2523</v>
      </c>
      <c r="M1749" s="2" t="s">
        <v>2524</v>
      </c>
      <c r="N1749" t="str">
        <f>TRIM(PROPER(Tabla_auditoría[[#This Row],[ID_Campaña]]))</f>
        <v>Cmp-025</v>
      </c>
      <c r="O1749" t="str">
        <f>TRIM(PROPER(Tabla_auditoría[[#This Row],[Canal]]))</f>
        <v>Organic Social</v>
      </c>
      <c r="P1749" t="str">
        <f>TRIM(PROPER(Tabla_auditoría[[#This Row],[País]]))</f>
        <v>España</v>
      </c>
      <c r="Q1749" t="str">
        <f>TRIM(PROPER(Tabla_auditoría[[#This Row],[Dispositivo]]))</f>
        <v>Mobile</v>
      </c>
      <c r="R1749" t="str">
        <f>TRIM(PROPER(Tabla_auditoría[[#This Row],[Tipo_Campaña]]))</f>
        <v>Retención</v>
      </c>
      <c r="S1749" t="str">
        <f>TRIM(PROPER(Tabla_auditoría[[#This Row],[Responsable]]))</f>
        <v>Luis Martín</v>
      </c>
    </row>
    <row r="1750" spans="1:19" x14ac:dyDescent="0.3">
      <c r="A1750" s="1">
        <v>45764</v>
      </c>
      <c r="B1750" s="2" t="s">
        <v>2554</v>
      </c>
      <c r="C1750" s="2" t="s">
        <v>2533</v>
      </c>
      <c r="D1750" s="2" t="s">
        <v>2528</v>
      </c>
      <c r="E1750" s="2" t="s">
        <v>2517</v>
      </c>
      <c r="F1750" s="3">
        <v>160153</v>
      </c>
      <c r="G1750" s="3">
        <v>8582</v>
      </c>
      <c r="H1750" s="3">
        <v>153</v>
      </c>
      <c r="I1750" s="4">
        <v>10778.68</v>
      </c>
      <c r="J1750" s="4">
        <v>29127.03</v>
      </c>
      <c r="K1750" s="3">
        <v>78</v>
      </c>
      <c r="L1750" s="2" t="s">
        <v>2518</v>
      </c>
      <c r="M1750" s="2" t="s">
        <v>2546</v>
      </c>
      <c r="N1750" t="str">
        <f>TRIM(PROPER(Tabla_auditoría[[#This Row],[ID_Campaña]]))</f>
        <v>Cmp-019</v>
      </c>
      <c r="O1750" t="str">
        <f>TRIM(PROPER(Tabla_auditoría[[#This Row],[Canal]]))</f>
        <v>Paid Social</v>
      </c>
      <c r="P1750" t="str">
        <f>TRIM(PROPER(Tabla_auditoría[[#This Row],[País]]))</f>
        <v>España</v>
      </c>
      <c r="Q1750" t="str">
        <f>TRIM(PROPER(Tabla_auditoría[[#This Row],[Dispositivo]]))</f>
        <v>Desktop</v>
      </c>
      <c r="R1750" t="str">
        <f>TRIM(PROPER(Tabla_auditoría[[#This Row],[Tipo_Campaña]]))</f>
        <v>Adquisición</v>
      </c>
      <c r="S1750" t="str">
        <f>TRIM(PROPER(Tabla_auditoría[[#This Row],[Responsable]]))</f>
        <v>Ana García</v>
      </c>
    </row>
    <row r="1751" spans="1:19" x14ac:dyDescent="0.3">
      <c r="A1751" s="1">
        <v>45838</v>
      </c>
      <c r="B1751" s="2" t="s">
        <v>2555</v>
      </c>
      <c r="C1751" s="2" t="s">
        <v>2527</v>
      </c>
      <c r="D1751" s="2" t="s">
        <v>2528</v>
      </c>
      <c r="E1751" s="2" t="s">
        <v>2517</v>
      </c>
      <c r="F1751" s="3">
        <v>36280</v>
      </c>
      <c r="G1751" s="3">
        <v>2113</v>
      </c>
      <c r="H1751" s="3">
        <v>107</v>
      </c>
      <c r="I1751" s="4">
        <v>3075.35</v>
      </c>
      <c r="J1751" s="4">
        <v>17404.29</v>
      </c>
      <c r="K1751" s="3">
        <v>93</v>
      </c>
      <c r="L1751" s="2" t="s">
        <v>2523</v>
      </c>
      <c r="M1751" s="2" t="s">
        <v>2524</v>
      </c>
      <c r="N1751" t="str">
        <f>TRIM(PROPER(Tabla_auditoría[[#This Row],[ID_Campaña]]))</f>
        <v>Cmp-010</v>
      </c>
      <c r="O1751" t="str">
        <f>TRIM(PROPER(Tabla_auditoría[[#This Row],[Canal]]))</f>
        <v>Affiliate</v>
      </c>
      <c r="P1751" t="str">
        <f>TRIM(PROPER(Tabla_auditoría[[#This Row],[País]]))</f>
        <v>España</v>
      </c>
      <c r="Q1751" t="str">
        <f>TRIM(PROPER(Tabla_auditoría[[#This Row],[Dispositivo]]))</f>
        <v>Desktop</v>
      </c>
      <c r="R1751" t="str">
        <f>TRIM(PROPER(Tabla_auditoría[[#This Row],[Tipo_Campaña]]))</f>
        <v>Retención</v>
      </c>
      <c r="S1751" t="str">
        <f>TRIM(PROPER(Tabla_auditoría[[#This Row],[Responsable]]))</f>
        <v>Luis Martín</v>
      </c>
    </row>
    <row r="1752" spans="1:19" x14ac:dyDescent="0.3">
      <c r="A1752" s="1">
        <v>45828</v>
      </c>
      <c r="B1752" s="2" t="s">
        <v>2560</v>
      </c>
      <c r="C1752" s="2" t="s">
        <v>2527</v>
      </c>
      <c r="D1752" s="2" t="s">
        <v>2528</v>
      </c>
      <c r="E1752" s="2" t="s">
        <v>2529</v>
      </c>
      <c r="F1752" s="3">
        <v>15095</v>
      </c>
      <c r="G1752" s="3">
        <v>1116</v>
      </c>
      <c r="H1752" s="3">
        <v>63</v>
      </c>
      <c r="I1752" s="4">
        <v>118.9</v>
      </c>
      <c r="J1752" s="4">
        <v>9937.09</v>
      </c>
      <c r="K1752" s="3">
        <v>50</v>
      </c>
      <c r="L1752" s="2" t="s">
        <v>2523</v>
      </c>
      <c r="M1752" s="2" t="s">
        <v>2526</v>
      </c>
      <c r="N1752" t="str">
        <f>TRIM(PROPER(Tabla_auditoría[[#This Row],[ID_Campaña]]))</f>
        <v>Cmp-027</v>
      </c>
      <c r="O1752" t="str">
        <f>TRIM(PROPER(Tabla_auditoría[[#This Row],[Canal]]))</f>
        <v>Affiliate</v>
      </c>
      <c r="P1752" t="str">
        <f>TRIM(PROPER(Tabla_auditoría[[#This Row],[País]]))</f>
        <v>España</v>
      </c>
      <c r="Q1752" t="str">
        <f>TRIM(PROPER(Tabla_auditoría[[#This Row],[Dispositivo]]))</f>
        <v>Mobile</v>
      </c>
      <c r="R1752" t="str">
        <f>TRIM(PROPER(Tabla_auditoría[[#This Row],[Tipo_Campaña]]))</f>
        <v>Retención</v>
      </c>
      <c r="S1752" t="str">
        <f>TRIM(PROPER(Tabla_auditoría[[#This Row],[Responsable]]))</f>
        <v>Laura Pérez</v>
      </c>
    </row>
    <row r="1753" spans="1:19" x14ac:dyDescent="0.3">
      <c r="A1753" s="1">
        <v>45714</v>
      </c>
      <c r="B1753" s="2" t="s">
        <v>2532</v>
      </c>
      <c r="C1753" s="2" t="s">
        <v>2515</v>
      </c>
      <c r="D1753" s="2" t="s">
        <v>2528</v>
      </c>
      <c r="E1753" s="2" t="s">
        <v>2529</v>
      </c>
      <c r="F1753" s="3">
        <v>143160</v>
      </c>
      <c r="G1753" s="3">
        <v>9648</v>
      </c>
      <c r="H1753" s="3">
        <v>787</v>
      </c>
      <c r="I1753" s="4">
        <v>7430.46</v>
      </c>
      <c r="J1753" s="4">
        <v>165462.25</v>
      </c>
      <c r="K1753" s="3">
        <v>529</v>
      </c>
      <c r="L1753" s="2" t="s">
        <v>2536</v>
      </c>
      <c r="M1753" s="2" t="s">
        <v>2537</v>
      </c>
      <c r="N1753" t="str">
        <f>TRIM(PROPER(Tabla_auditoría[[#This Row],[ID_Campaña]]))</f>
        <v>Cmp-022</v>
      </c>
      <c r="O1753" t="str">
        <f>TRIM(PROPER(Tabla_auditoría[[#This Row],[Canal]]))</f>
        <v>Email</v>
      </c>
      <c r="P1753" t="str">
        <f>TRIM(PROPER(Tabla_auditoría[[#This Row],[País]]))</f>
        <v>España</v>
      </c>
      <c r="Q1753" t="str">
        <f>TRIM(PROPER(Tabla_auditoría[[#This Row],[Dispositivo]]))</f>
        <v>Mobile</v>
      </c>
      <c r="R1753" t="str">
        <f>TRIM(PROPER(Tabla_auditoría[[#This Row],[Tipo_Campaña]]))</f>
        <v>Reconocimiento</v>
      </c>
      <c r="S1753" t="str">
        <f>TRIM(PROPER(Tabla_auditoría[[#This Row],[Responsable]]))</f>
        <v>Marta López</v>
      </c>
    </row>
    <row r="1754" spans="1:19" x14ac:dyDescent="0.3">
      <c r="A1754" s="1">
        <v>45665</v>
      </c>
      <c r="B1754" s="2" t="s">
        <v>2565</v>
      </c>
      <c r="C1754" s="2" t="s">
        <v>2541</v>
      </c>
      <c r="D1754" s="2" t="s">
        <v>2531</v>
      </c>
      <c r="E1754" s="2" t="s">
        <v>2517</v>
      </c>
      <c r="F1754" s="3">
        <v>87666</v>
      </c>
      <c r="G1754" s="3">
        <v>924</v>
      </c>
      <c r="H1754" s="3">
        <v>72</v>
      </c>
      <c r="I1754" s="4">
        <v>264.01</v>
      </c>
      <c r="J1754" s="4">
        <v>13539.19</v>
      </c>
      <c r="K1754" s="3">
        <v>43</v>
      </c>
      <c r="L1754" s="2" t="s">
        <v>2518</v>
      </c>
      <c r="M1754" s="2" t="s">
        <v>2526</v>
      </c>
      <c r="N1754" t="str">
        <f>TRIM(PROPER(Tabla_auditoría[[#This Row],[ID_Campaña]]))</f>
        <v>Cmp-005</v>
      </c>
      <c r="O1754" t="str">
        <f>TRIM(PROPER(Tabla_auditoría[[#This Row],[Canal]]))</f>
        <v>Display</v>
      </c>
      <c r="P1754" t="str">
        <f>TRIM(PROPER(Tabla_auditoría[[#This Row],[País]]))</f>
        <v>Portugal</v>
      </c>
      <c r="Q1754" t="str">
        <f>TRIM(PROPER(Tabla_auditoría[[#This Row],[Dispositivo]]))</f>
        <v>Desktop</v>
      </c>
      <c r="R1754" t="str">
        <f>TRIM(PROPER(Tabla_auditoría[[#This Row],[Tipo_Campaña]]))</f>
        <v>Adquisición</v>
      </c>
      <c r="S1754" t="str">
        <f>TRIM(PROPER(Tabla_auditoría[[#This Row],[Responsable]]))</f>
        <v>Laura Pérez</v>
      </c>
    </row>
    <row r="1755" spans="1:19" x14ac:dyDescent="0.3">
      <c r="A1755" s="1">
        <v>45742</v>
      </c>
      <c r="B1755" s="2" t="s">
        <v>2570</v>
      </c>
      <c r="C1755" s="2" t="s">
        <v>2533</v>
      </c>
      <c r="D1755" s="2" t="s">
        <v>2525</v>
      </c>
      <c r="E1755" s="2" t="s">
        <v>2517</v>
      </c>
      <c r="F1755" s="3">
        <v>127806</v>
      </c>
      <c r="G1755" s="3">
        <v>5253</v>
      </c>
      <c r="H1755" s="3">
        <v>313</v>
      </c>
      <c r="I1755" s="4">
        <v>6909.33</v>
      </c>
      <c r="J1755" s="4">
        <v>14525.96</v>
      </c>
      <c r="K1755" s="3">
        <v>194</v>
      </c>
      <c r="L1755" s="2" t="s">
        <v>2523</v>
      </c>
      <c r="M1755" s="2" t="s">
        <v>2537</v>
      </c>
      <c r="N1755" t="str">
        <f>TRIM(PROPER(Tabla_auditoría[[#This Row],[ID_Campaña]]))</f>
        <v>Cmp-016</v>
      </c>
      <c r="O1755" t="str">
        <f>TRIM(PROPER(Tabla_auditoría[[#This Row],[Canal]]))</f>
        <v>Paid Social</v>
      </c>
      <c r="P1755" t="str">
        <f>TRIM(PROPER(Tabla_auditoría[[#This Row],[País]]))</f>
        <v>Francia</v>
      </c>
      <c r="Q1755" t="str">
        <f>TRIM(PROPER(Tabla_auditoría[[#This Row],[Dispositivo]]))</f>
        <v>Desktop</v>
      </c>
      <c r="R1755" t="str">
        <f>TRIM(PROPER(Tabla_auditoría[[#This Row],[Tipo_Campaña]]))</f>
        <v>Retención</v>
      </c>
      <c r="S1755" t="str">
        <f>TRIM(PROPER(Tabla_auditoría[[#This Row],[Responsable]]))</f>
        <v>Marta López</v>
      </c>
    </row>
    <row r="1756" spans="1:19" x14ac:dyDescent="0.3">
      <c r="A1756" s="1">
        <v>45697</v>
      </c>
      <c r="B1756" s="2" t="s">
        <v>2569</v>
      </c>
      <c r="C1756" s="2" t="s">
        <v>2521</v>
      </c>
      <c r="D1756" s="2" t="s">
        <v>2528</v>
      </c>
      <c r="E1756" s="2" t="s">
        <v>2529</v>
      </c>
      <c r="F1756" s="3">
        <v>74047</v>
      </c>
      <c r="G1756" s="3">
        <v>6354</v>
      </c>
      <c r="H1756" s="3">
        <v>738</v>
      </c>
      <c r="I1756" s="4">
        <v>12247.42</v>
      </c>
      <c r="J1756" s="4">
        <v>160987.62</v>
      </c>
      <c r="K1756" s="3">
        <v>340</v>
      </c>
      <c r="L1756" s="2" t="s">
        <v>2523</v>
      </c>
      <c r="M1756" s="2" t="s">
        <v>2546</v>
      </c>
      <c r="N1756" t="str">
        <f>TRIM(PROPER(Tabla_auditoría[[#This Row],[ID_Campaña]]))</f>
        <v>Cmp-013</v>
      </c>
      <c r="O1756" t="str">
        <f>TRIM(PROPER(Tabla_auditoría[[#This Row],[Canal]]))</f>
        <v>Paid Search</v>
      </c>
      <c r="P1756" t="str">
        <f>TRIM(PROPER(Tabla_auditoría[[#This Row],[País]]))</f>
        <v>España</v>
      </c>
      <c r="Q1756" t="str">
        <f>TRIM(PROPER(Tabla_auditoría[[#This Row],[Dispositivo]]))</f>
        <v>Mobile</v>
      </c>
      <c r="R1756" t="str">
        <f>TRIM(PROPER(Tabla_auditoría[[#This Row],[Tipo_Campaña]]))</f>
        <v>Retención</v>
      </c>
      <c r="S1756" t="str">
        <f>TRIM(PROPER(Tabla_auditoría[[#This Row],[Responsable]]))</f>
        <v>Ana García</v>
      </c>
    </row>
    <row r="1757" spans="1:19" x14ac:dyDescent="0.3">
      <c r="A1757" s="1">
        <v>45715</v>
      </c>
      <c r="B1757" s="2" t="s">
        <v>2560</v>
      </c>
      <c r="C1757" s="2" t="s">
        <v>2515</v>
      </c>
      <c r="D1757" s="2" t="s">
        <v>2522</v>
      </c>
      <c r="E1757" s="2" t="s">
        <v>2529</v>
      </c>
      <c r="F1757" s="3">
        <v>137650</v>
      </c>
      <c r="G1757" s="3">
        <v>7641</v>
      </c>
      <c r="H1757" s="3">
        <v>924</v>
      </c>
      <c r="I1757" s="4">
        <v>5783.98</v>
      </c>
      <c r="J1757" s="4">
        <v>139695.4</v>
      </c>
      <c r="K1757" s="3">
        <v>626</v>
      </c>
      <c r="L1757" s="2" t="s">
        <v>2518</v>
      </c>
      <c r="M1757" s="2" t="s">
        <v>2537</v>
      </c>
      <c r="N1757" t="str">
        <f>TRIM(PROPER(Tabla_auditoría[[#This Row],[ID_Campaña]]))</f>
        <v>Cmp-027</v>
      </c>
      <c r="O1757" t="str">
        <f>TRIM(PROPER(Tabla_auditoría[[#This Row],[Canal]]))</f>
        <v>Email</v>
      </c>
      <c r="P1757" t="str">
        <f>TRIM(PROPER(Tabla_auditoría[[#This Row],[País]]))</f>
        <v>Italia</v>
      </c>
      <c r="Q1757" t="str">
        <f>TRIM(PROPER(Tabla_auditoría[[#This Row],[Dispositivo]]))</f>
        <v>Mobile</v>
      </c>
      <c r="R1757" t="str">
        <f>TRIM(PROPER(Tabla_auditoría[[#This Row],[Tipo_Campaña]]))</f>
        <v>Adquisición</v>
      </c>
      <c r="S1757" t="str">
        <f>TRIM(PROPER(Tabla_auditoría[[#This Row],[Responsable]]))</f>
        <v>Marta López</v>
      </c>
    </row>
    <row r="1758" spans="1:19" x14ac:dyDescent="0.3">
      <c r="A1758" s="1">
        <v>45696</v>
      </c>
      <c r="B1758" s="2" t="s">
        <v>2530</v>
      </c>
      <c r="C1758" s="2" t="s">
        <v>2521</v>
      </c>
      <c r="D1758" s="2" t="s">
        <v>2528</v>
      </c>
      <c r="E1758" s="2" t="s">
        <v>2534</v>
      </c>
      <c r="F1758" s="3">
        <v>27096</v>
      </c>
      <c r="G1758" s="3">
        <v>827</v>
      </c>
      <c r="H1758" s="3">
        <v>60</v>
      </c>
      <c r="I1758" s="4">
        <v>395.45</v>
      </c>
      <c r="J1758" s="4">
        <v>9264.81</v>
      </c>
      <c r="K1758" s="3">
        <v>43</v>
      </c>
      <c r="L1758" s="2" t="s">
        <v>2539</v>
      </c>
      <c r="M1758" s="2" t="s">
        <v>2546</v>
      </c>
      <c r="N1758" t="str">
        <f>TRIM(PROPER(Tabla_auditoría[[#This Row],[ID_Campaña]]))</f>
        <v>Cmp-026</v>
      </c>
      <c r="O1758" t="str">
        <f>TRIM(PROPER(Tabla_auditoría[[#This Row],[Canal]]))</f>
        <v>Paid Search</v>
      </c>
      <c r="P1758" t="str">
        <f>TRIM(PROPER(Tabla_auditoría[[#This Row],[País]]))</f>
        <v>España</v>
      </c>
      <c r="Q1758" t="str">
        <f>TRIM(PROPER(Tabla_auditoría[[#This Row],[Dispositivo]]))</f>
        <v>Tablet</v>
      </c>
      <c r="R1758" t="str">
        <f>TRIM(PROPER(Tabla_auditoría[[#This Row],[Tipo_Campaña]]))</f>
        <v>Conversión</v>
      </c>
      <c r="S1758" t="str">
        <f>TRIM(PROPER(Tabla_auditoría[[#This Row],[Responsable]]))</f>
        <v>Ana García</v>
      </c>
    </row>
    <row r="1759" spans="1:19" x14ac:dyDescent="0.3">
      <c r="A1759" s="1">
        <v>45680</v>
      </c>
      <c r="B1759" s="2" t="s">
        <v>2564</v>
      </c>
      <c r="C1759" s="2" t="s">
        <v>2541</v>
      </c>
      <c r="D1759" s="2" t="s">
        <v>2528</v>
      </c>
      <c r="E1759" s="2" t="s">
        <v>2529</v>
      </c>
      <c r="F1759" s="3">
        <v>47702</v>
      </c>
      <c r="G1759" s="3">
        <v>1835</v>
      </c>
      <c r="H1759" s="3">
        <v>12</v>
      </c>
      <c r="I1759" s="4">
        <v>363.17</v>
      </c>
      <c r="J1759" s="4">
        <v>1811.29</v>
      </c>
      <c r="K1759" s="3">
        <v>10</v>
      </c>
      <c r="L1759" s="2" t="s">
        <v>2539</v>
      </c>
      <c r="M1759" s="2" t="s">
        <v>2546</v>
      </c>
      <c r="N1759" t="str">
        <f>TRIM(PROPER(Tabla_auditoría[[#This Row],[ID_Campaña]]))</f>
        <v>Cmp-024</v>
      </c>
      <c r="O1759" t="str">
        <f>TRIM(PROPER(Tabla_auditoría[[#This Row],[Canal]]))</f>
        <v>Display</v>
      </c>
      <c r="P1759" t="str">
        <f>TRIM(PROPER(Tabla_auditoría[[#This Row],[País]]))</f>
        <v>España</v>
      </c>
      <c r="Q1759" t="str">
        <f>TRIM(PROPER(Tabla_auditoría[[#This Row],[Dispositivo]]))</f>
        <v>Mobile</v>
      </c>
      <c r="R1759" t="str">
        <f>TRIM(PROPER(Tabla_auditoría[[#This Row],[Tipo_Campaña]]))</f>
        <v>Conversión</v>
      </c>
      <c r="S1759" t="str">
        <f>TRIM(PROPER(Tabla_auditoría[[#This Row],[Responsable]]))</f>
        <v>Ana García</v>
      </c>
    </row>
    <row r="1760" spans="1:19" x14ac:dyDescent="0.3">
      <c r="A1760" s="1">
        <v>45847</v>
      </c>
      <c r="B1760" s="2" t="s">
        <v>2552</v>
      </c>
      <c r="C1760" s="2" t="s">
        <v>2521</v>
      </c>
      <c r="D1760" s="2" t="s">
        <v>2522</v>
      </c>
      <c r="E1760" s="2" t="s">
        <v>2529</v>
      </c>
      <c r="F1760" s="3">
        <v>147670</v>
      </c>
      <c r="G1760" s="3">
        <v>11953</v>
      </c>
      <c r="H1760" s="3">
        <v>493</v>
      </c>
      <c r="I1760" s="4">
        <v>21518.48</v>
      </c>
      <c r="J1760" s="4">
        <v>7704.74</v>
      </c>
      <c r="K1760" s="3">
        <v>352</v>
      </c>
      <c r="L1760" s="2" t="s">
        <v>2536</v>
      </c>
      <c r="M1760" s="2" t="s">
        <v>2546</v>
      </c>
      <c r="N1760" t="str">
        <f>TRIM(PROPER(Tabla_auditoría[[#This Row],[ID_Campaña]]))</f>
        <v>Cmp-012</v>
      </c>
      <c r="O1760" t="str">
        <f>TRIM(PROPER(Tabla_auditoría[[#This Row],[Canal]]))</f>
        <v>Paid Search</v>
      </c>
      <c r="P1760" t="str">
        <f>TRIM(PROPER(Tabla_auditoría[[#This Row],[País]]))</f>
        <v>Italia</v>
      </c>
      <c r="Q1760" t="str">
        <f>TRIM(PROPER(Tabla_auditoría[[#This Row],[Dispositivo]]))</f>
        <v>Mobile</v>
      </c>
      <c r="R1760" t="str">
        <f>TRIM(PROPER(Tabla_auditoría[[#This Row],[Tipo_Campaña]]))</f>
        <v>Reconocimiento</v>
      </c>
      <c r="S1760" t="str">
        <f>TRIM(PROPER(Tabla_auditoría[[#This Row],[Responsable]]))</f>
        <v>Ana García</v>
      </c>
    </row>
    <row r="1761" spans="1:19" x14ac:dyDescent="0.3">
      <c r="A1761" s="1">
        <v>45959</v>
      </c>
      <c r="B1761" s="2" t="s">
        <v>2560</v>
      </c>
      <c r="C1761" s="2" t="s">
        <v>2533</v>
      </c>
      <c r="D1761" s="2" t="s">
        <v>2528</v>
      </c>
      <c r="E1761" s="2" t="s">
        <v>2517</v>
      </c>
      <c r="F1761" s="3">
        <v>147726</v>
      </c>
      <c r="G1761" s="3">
        <v>2516</v>
      </c>
      <c r="H1761" s="3">
        <v>265</v>
      </c>
      <c r="I1761" s="4">
        <v>4783.37</v>
      </c>
      <c r="J1761" s="4">
        <v>36378.480000000003</v>
      </c>
      <c r="K1761" s="3">
        <v>236</v>
      </c>
      <c r="L1761" s="2" t="s">
        <v>2518</v>
      </c>
      <c r="M1761" s="2" t="s">
        <v>2524</v>
      </c>
      <c r="N1761" t="str">
        <f>TRIM(PROPER(Tabla_auditoría[[#This Row],[ID_Campaña]]))</f>
        <v>Cmp-027</v>
      </c>
      <c r="O1761" t="str">
        <f>TRIM(PROPER(Tabla_auditoría[[#This Row],[Canal]]))</f>
        <v>Paid Social</v>
      </c>
      <c r="P1761" t="str">
        <f>TRIM(PROPER(Tabla_auditoría[[#This Row],[País]]))</f>
        <v>España</v>
      </c>
      <c r="Q1761" t="str">
        <f>TRIM(PROPER(Tabla_auditoría[[#This Row],[Dispositivo]]))</f>
        <v>Desktop</v>
      </c>
      <c r="R1761" t="str">
        <f>TRIM(PROPER(Tabla_auditoría[[#This Row],[Tipo_Campaña]]))</f>
        <v>Adquisición</v>
      </c>
      <c r="S1761" t="str">
        <f>TRIM(PROPER(Tabla_auditoría[[#This Row],[Responsable]]))</f>
        <v>Luis Martín</v>
      </c>
    </row>
    <row r="1762" spans="1:19" x14ac:dyDescent="0.3">
      <c r="A1762" s="1">
        <v>45900</v>
      </c>
      <c r="B1762" s="2" t="s">
        <v>2567</v>
      </c>
      <c r="C1762" s="2" t="s">
        <v>2541</v>
      </c>
      <c r="D1762" s="2" t="s">
        <v>2528</v>
      </c>
      <c r="E1762" s="2" t="s">
        <v>2517</v>
      </c>
      <c r="F1762" s="3">
        <v>78481</v>
      </c>
      <c r="G1762" s="3">
        <v>2599</v>
      </c>
      <c r="H1762" s="3">
        <v>153</v>
      </c>
      <c r="I1762" s="4">
        <v>4713.8599999999997</v>
      </c>
      <c r="J1762" s="4">
        <v>10484.18</v>
      </c>
      <c r="K1762" s="3">
        <v>122</v>
      </c>
      <c r="L1762" s="2" t="s">
        <v>2539</v>
      </c>
      <c r="M1762" s="2" t="s">
        <v>2519</v>
      </c>
      <c r="N1762" t="str">
        <f>TRIM(PROPER(Tabla_auditoría[[#This Row],[ID_Campaña]]))</f>
        <v>Cmp-021</v>
      </c>
      <c r="O1762" t="str">
        <f>TRIM(PROPER(Tabla_auditoría[[#This Row],[Canal]]))</f>
        <v>Display</v>
      </c>
      <c r="P1762" t="str">
        <f>TRIM(PROPER(Tabla_auditoría[[#This Row],[País]]))</f>
        <v>España</v>
      </c>
      <c r="Q1762" t="str">
        <f>TRIM(PROPER(Tabla_auditoría[[#This Row],[Dispositivo]]))</f>
        <v>Desktop</v>
      </c>
      <c r="R1762" t="str">
        <f>TRIM(PROPER(Tabla_auditoría[[#This Row],[Tipo_Campaña]]))</f>
        <v>Conversión</v>
      </c>
      <c r="S1762" t="str">
        <f>TRIM(PROPER(Tabla_auditoría[[#This Row],[Responsable]]))</f>
        <v>Carlos Ruiz</v>
      </c>
    </row>
    <row r="1763" spans="1:19" x14ac:dyDescent="0.3">
      <c r="A1763" s="1">
        <v>45687</v>
      </c>
      <c r="B1763" s="2" t="s">
        <v>2542</v>
      </c>
      <c r="C1763" s="2" t="s">
        <v>2521</v>
      </c>
      <c r="D1763" s="2" t="s">
        <v>2525</v>
      </c>
      <c r="E1763" s="2" t="s">
        <v>2529</v>
      </c>
      <c r="F1763" s="3">
        <v>62597</v>
      </c>
      <c r="G1763" s="3">
        <v>5016</v>
      </c>
      <c r="H1763" s="3">
        <v>620</v>
      </c>
      <c r="I1763" s="4">
        <v>7294.12</v>
      </c>
      <c r="J1763" s="4">
        <v>54392.639999999999</v>
      </c>
      <c r="K1763" s="3">
        <v>491</v>
      </c>
      <c r="L1763" s="2" t="s">
        <v>2536</v>
      </c>
      <c r="M1763" s="2" t="s">
        <v>2546</v>
      </c>
      <c r="N1763" t="str">
        <f>TRIM(PROPER(Tabla_auditoría[[#This Row],[ID_Campaña]]))</f>
        <v>Cmp-025</v>
      </c>
      <c r="O1763" t="str">
        <f>TRIM(PROPER(Tabla_auditoría[[#This Row],[Canal]]))</f>
        <v>Paid Search</v>
      </c>
      <c r="P1763" t="str">
        <f>TRIM(PROPER(Tabla_auditoría[[#This Row],[País]]))</f>
        <v>Francia</v>
      </c>
      <c r="Q1763" t="str">
        <f>TRIM(PROPER(Tabla_auditoría[[#This Row],[Dispositivo]]))</f>
        <v>Mobile</v>
      </c>
      <c r="R1763" t="str">
        <f>TRIM(PROPER(Tabla_auditoría[[#This Row],[Tipo_Campaña]]))</f>
        <v>Reconocimiento</v>
      </c>
      <c r="S1763" t="str">
        <f>TRIM(PROPER(Tabla_auditoría[[#This Row],[Responsable]]))</f>
        <v>Ana García</v>
      </c>
    </row>
    <row r="1764" spans="1:19" x14ac:dyDescent="0.3">
      <c r="A1764" s="1">
        <v>45886</v>
      </c>
      <c r="B1764" s="2" t="s">
        <v>2557</v>
      </c>
      <c r="C1764" s="2" t="s">
        <v>2527</v>
      </c>
      <c r="D1764" s="2" t="s">
        <v>2525</v>
      </c>
      <c r="E1764" s="2" t="s">
        <v>2517</v>
      </c>
      <c r="F1764" s="3">
        <v>51934</v>
      </c>
      <c r="G1764" s="3">
        <v>3978</v>
      </c>
      <c r="H1764" s="3">
        <v>479</v>
      </c>
      <c r="I1764" s="4">
        <v>6005.07</v>
      </c>
      <c r="J1764" s="4">
        <v>79987.27</v>
      </c>
      <c r="K1764" s="3">
        <v>274</v>
      </c>
      <c r="L1764" s="2" t="s">
        <v>2523</v>
      </c>
      <c r="M1764" s="2" t="s">
        <v>2526</v>
      </c>
      <c r="N1764" t="str">
        <f>TRIM(PROPER(Tabla_auditoría[[#This Row],[ID_Campaña]]))</f>
        <v>Cmp-030</v>
      </c>
      <c r="O1764" t="str">
        <f>TRIM(PROPER(Tabla_auditoría[[#This Row],[Canal]]))</f>
        <v>Affiliate</v>
      </c>
      <c r="P1764" t="str">
        <f>TRIM(PROPER(Tabla_auditoría[[#This Row],[País]]))</f>
        <v>Francia</v>
      </c>
      <c r="Q1764" t="str">
        <f>TRIM(PROPER(Tabla_auditoría[[#This Row],[Dispositivo]]))</f>
        <v>Desktop</v>
      </c>
      <c r="R1764" t="str">
        <f>TRIM(PROPER(Tabla_auditoría[[#This Row],[Tipo_Campaña]]))</f>
        <v>Retención</v>
      </c>
      <c r="S1764" t="str">
        <f>TRIM(PROPER(Tabla_auditoría[[#This Row],[Responsable]]))</f>
        <v>Laura Pérez</v>
      </c>
    </row>
    <row r="1765" spans="1:19" x14ac:dyDescent="0.3">
      <c r="A1765" s="1">
        <v>45834</v>
      </c>
      <c r="B1765" s="2" t="s">
        <v>2549</v>
      </c>
      <c r="C1765" s="2" t="s">
        <v>2515</v>
      </c>
      <c r="D1765" s="2" t="s">
        <v>2528</v>
      </c>
      <c r="E1765" s="2" t="s">
        <v>2529</v>
      </c>
      <c r="F1765" s="3">
        <v>65123</v>
      </c>
      <c r="G1765" s="3">
        <v>4674</v>
      </c>
      <c r="H1765" s="3">
        <v>380</v>
      </c>
      <c r="I1765" s="4">
        <v>6109.13</v>
      </c>
      <c r="J1765" s="4">
        <v>76086.97</v>
      </c>
      <c r="K1765" s="3">
        <v>212</v>
      </c>
      <c r="L1765" s="2" t="s">
        <v>2523</v>
      </c>
      <c r="M1765" s="2" t="s">
        <v>2526</v>
      </c>
      <c r="N1765" t="str">
        <f>TRIM(PROPER(Tabla_auditoría[[#This Row],[ID_Campaña]]))</f>
        <v>Cmp-007</v>
      </c>
      <c r="O1765" t="str">
        <f>TRIM(PROPER(Tabla_auditoría[[#This Row],[Canal]]))</f>
        <v>Email</v>
      </c>
      <c r="P1765" t="str">
        <f>TRIM(PROPER(Tabla_auditoría[[#This Row],[País]]))</f>
        <v>España</v>
      </c>
      <c r="Q1765" t="str">
        <f>TRIM(PROPER(Tabla_auditoría[[#This Row],[Dispositivo]]))</f>
        <v>Mobile</v>
      </c>
      <c r="R1765" t="str">
        <f>TRIM(PROPER(Tabla_auditoría[[#This Row],[Tipo_Campaña]]))</f>
        <v>Retención</v>
      </c>
      <c r="S1765" t="str">
        <f>TRIM(PROPER(Tabla_auditoría[[#This Row],[Responsable]]))</f>
        <v>Laura Pérez</v>
      </c>
    </row>
    <row r="1766" spans="1:19" x14ac:dyDescent="0.3">
      <c r="A1766" s="1">
        <v>45785</v>
      </c>
      <c r="B1766" s="2" t="s">
        <v>2560</v>
      </c>
      <c r="C1766" s="2" t="s">
        <v>2515</v>
      </c>
      <c r="D1766" s="2" t="s">
        <v>2528</v>
      </c>
      <c r="E1766" s="2" t="s">
        <v>2517</v>
      </c>
      <c r="F1766" s="3">
        <v>132492</v>
      </c>
      <c r="G1766" s="3">
        <v>7639</v>
      </c>
      <c r="H1766" s="3">
        <v>337</v>
      </c>
      <c r="I1766" s="4">
        <v>2256.1799999999998</v>
      </c>
      <c r="J1766" s="4">
        <v>54184.43</v>
      </c>
      <c r="K1766" s="3">
        <v>182</v>
      </c>
      <c r="L1766" s="2" t="s">
        <v>2539</v>
      </c>
      <c r="M1766" s="2" t="s">
        <v>2519</v>
      </c>
      <c r="N1766" t="str">
        <f>TRIM(PROPER(Tabla_auditoría[[#This Row],[ID_Campaña]]))</f>
        <v>Cmp-027</v>
      </c>
      <c r="O1766" t="str">
        <f>TRIM(PROPER(Tabla_auditoría[[#This Row],[Canal]]))</f>
        <v>Email</v>
      </c>
      <c r="P1766" t="str">
        <f>TRIM(PROPER(Tabla_auditoría[[#This Row],[País]]))</f>
        <v>España</v>
      </c>
      <c r="Q1766" t="str">
        <f>TRIM(PROPER(Tabla_auditoría[[#This Row],[Dispositivo]]))</f>
        <v>Desktop</v>
      </c>
      <c r="R1766" t="str">
        <f>TRIM(PROPER(Tabla_auditoría[[#This Row],[Tipo_Campaña]]))</f>
        <v>Conversión</v>
      </c>
      <c r="S1766" t="str">
        <f>TRIM(PROPER(Tabla_auditoría[[#This Row],[Responsable]]))</f>
        <v>Carlos Ruiz</v>
      </c>
    </row>
    <row r="1767" spans="1:19" x14ac:dyDescent="0.3">
      <c r="A1767" s="1">
        <v>45876</v>
      </c>
      <c r="B1767" s="2" t="s">
        <v>2554</v>
      </c>
      <c r="C1767" s="2" t="s">
        <v>2527</v>
      </c>
      <c r="D1767" s="2" t="s">
        <v>2528</v>
      </c>
      <c r="E1767" s="2" t="s">
        <v>2529</v>
      </c>
      <c r="F1767" s="3">
        <v>11461</v>
      </c>
      <c r="G1767" s="3">
        <v>204</v>
      </c>
      <c r="H1767" s="3">
        <v>14</v>
      </c>
      <c r="I1767" s="4">
        <v>251.08</v>
      </c>
      <c r="J1767" s="4">
        <v>2607.5500000000002</v>
      </c>
      <c r="K1767" s="3">
        <v>10</v>
      </c>
      <c r="L1767" s="2" t="s">
        <v>2523</v>
      </c>
      <c r="M1767" s="2" t="s">
        <v>2526</v>
      </c>
      <c r="N1767" t="str">
        <f>TRIM(PROPER(Tabla_auditoría[[#This Row],[ID_Campaña]]))</f>
        <v>Cmp-019</v>
      </c>
      <c r="O1767" t="str">
        <f>TRIM(PROPER(Tabla_auditoría[[#This Row],[Canal]]))</f>
        <v>Affiliate</v>
      </c>
      <c r="P1767" t="str">
        <f>TRIM(PROPER(Tabla_auditoría[[#This Row],[País]]))</f>
        <v>España</v>
      </c>
      <c r="Q1767" t="str">
        <f>TRIM(PROPER(Tabla_auditoría[[#This Row],[Dispositivo]]))</f>
        <v>Mobile</v>
      </c>
      <c r="R1767" t="str">
        <f>TRIM(PROPER(Tabla_auditoría[[#This Row],[Tipo_Campaña]]))</f>
        <v>Retención</v>
      </c>
      <c r="S1767" t="str">
        <f>TRIM(PROPER(Tabla_auditoría[[#This Row],[Responsable]]))</f>
        <v>Laura Pérez</v>
      </c>
    </row>
    <row r="1768" spans="1:19" x14ac:dyDescent="0.3">
      <c r="A1768" s="1">
        <v>45813</v>
      </c>
      <c r="B1768" s="2" t="s">
        <v>2535</v>
      </c>
      <c r="C1768" s="2" t="s">
        <v>2527</v>
      </c>
      <c r="D1768" s="2" t="s">
        <v>2528</v>
      </c>
      <c r="E1768" s="2" t="s">
        <v>2517</v>
      </c>
      <c r="F1768" s="3">
        <v>59892</v>
      </c>
      <c r="G1768" s="3">
        <v>5217</v>
      </c>
      <c r="H1768" s="3">
        <v>608</v>
      </c>
      <c r="I1768" s="4">
        <v>10943.23</v>
      </c>
      <c r="J1768" s="4">
        <v>64142.42</v>
      </c>
      <c r="K1768" s="3">
        <v>368</v>
      </c>
      <c r="L1768" s="2" t="s">
        <v>2523</v>
      </c>
      <c r="M1768" s="2" t="s">
        <v>2546</v>
      </c>
      <c r="N1768" t="str">
        <f>TRIM(PROPER(Tabla_auditoría[[#This Row],[ID_Campaña]]))</f>
        <v>Cmp-015</v>
      </c>
      <c r="O1768" t="str">
        <f>TRIM(PROPER(Tabla_auditoría[[#This Row],[Canal]]))</f>
        <v>Affiliate</v>
      </c>
      <c r="P1768" t="str">
        <f>TRIM(PROPER(Tabla_auditoría[[#This Row],[País]]))</f>
        <v>España</v>
      </c>
      <c r="Q1768" t="str">
        <f>TRIM(PROPER(Tabla_auditoría[[#This Row],[Dispositivo]]))</f>
        <v>Desktop</v>
      </c>
      <c r="R1768" t="str">
        <f>TRIM(PROPER(Tabla_auditoría[[#This Row],[Tipo_Campaña]]))</f>
        <v>Retención</v>
      </c>
      <c r="S1768" t="str">
        <f>TRIM(PROPER(Tabla_auditoría[[#This Row],[Responsable]]))</f>
        <v>Ana García</v>
      </c>
    </row>
    <row r="1769" spans="1:19" x14ac:dyDescent="0.3">
      <c r="A1769" s="1">
        <v>45773</v>
      </c>
      <c r="B1769" s="2" t="s">
        <v>2545</v>
      </c>
      <c r="D1769" s="2" t="s">
        <v>2531</v>
      </c>
      <c r="E1769" s="2" t="s">
        <v>2517</v>
      </c>
      <c r="F1769" s="3">
        <v>100417</v>
      </c>
      <c r="G1769" s="3">
        <v>5269</v>
      </c>
      <c r="H1769" s="3">
        <v>624</v>
      </c>
      <c r="I1769" s="4">
        <v>9251.64</v>
      </c>
      <c r="J1769" s="4">
        <v>41214.949999999997</v>
      </c>
      <c r="K1769" s="3">
        <v>344</v>
      </c>
      <c r="L1769" s="2" t="s">
        <v>2539</v>
      </c>
      <c r="M1769" s="2" t="s">
        <v>2546</v>
      </c>
      <c r="N1769" t="str">
        <f>TRIM(PROPER(Tabla_auditoría[[#This Row],[ID_Campaña]]))</f>
        <v>Cmp-011</v>
      </c>
      <c r="O1769" t="str">
        <f>TRIM(PROPER(Tabla_auditoría[[#This Row],[Canal]]))</f>
        <v/>
      </c>
      <c r="P1769" t="str">
        <f>TRIM(PROPER(Tabla_auditoría[[#This Row],[País]]))</f>
        <v>Portugal</v>
      </c>
      <c r="Q1769" t="str">
        <f>TRIM(PROPER(Tabla_auditoría[[#This Row],[Dispositivo]]))</f>
        <v>Desktop</v>
      </c>
      <c r="R1769" t="str">
        <f>TRIM(PROPER(Tabla_auditoría[[#This Row],[Tipo_Campaña]]))</f>
        <v>Conversión</v>
      </c>
      <c r="S1769" t="str">
        <f>TRIM(PROPER(Tabla_auditoría[[#This Row],[Responsable]]))</f>
        <v>Ana García</v>
      </c>
    </row>
    <row r="1770" spans="1:19" x14ac:dyDescent="0.3">
      <c r="A1770" s="1">
        <v>45731</v>
      </c>
      <c r="B1770" s="2" t="s">
        <v>2514</v>
      </c>
      <c r="C1770" s="2" t="s">
        <v>2541</v>
      </c>
      <c r="D1770" s="2" t="s">
        <v>2573</v>
      </c>
      <c r="E1770" s="2" t="s">
        <v>2517</v>
      </c>
      <c r="F1770" s="3">
        <v>102092</v>
      </c>
      <c r="G1770" s="3">
        <v>5843</v>
      </c>
      <c r="H1770" s="3">
        <v>656</v>
      </c>
      <c r="I1770" s="4">
        <v>3221.96</v>
      </c>
      <c r="J1770" s="4">
        <v>67843.3</v>
      </c>
      <c r="K1770" s="3">
        <v>360</v>
      </c>
      <c r="L1770" s="2" t="s">
        <v>2536</v>
      </c>
      <c r="M1770" s="2" t="s">
        <v>2537</v>
      </c>
      <c r="N1770" t="str">
        <f>TRIM(PROPER(Tabla_auditoría[[#This Row],[ID_Campaña]]))</f>
        <v>Cmp-002</v>
      </c>
      <c r="O1770" t="str">
        <f>TRIM(PROPER(Tabla_auditoría[[#This Row],[Canal]]))</f>
        <v>Display</v>
      </c>
      <c r="P1770" t="str">
        <f>TRIM(PROPER(Tabla_auditoría[[#This Row],[País]]))</f>
        <v>España</v>
      </c>
      <c r="Q1770" t="str">
        <f>TRIM(PROPER(Tabla_auditoría[[#This Row],[Dispositivo]]))</f>
        <v>Desktop</v>
      </c>
      <c r="R1770" t="str">
        <f>TRIM(PROPER(Tabla_auditoría[[#This Row],[Tipo_Campaña]]))</f>
        <v>Reconocimiento</v>
      </c>
      <c r="S1770" t="str">
        <f>TRIM(PROPER(Tabla_auditoría[[#This Row],[Responsable]]))</f>
        <v>Marta López</v>
      </c>
    </row>
    <row r="1771" spans="1:19" x14ac:dyDescent="0.3">
      <c r="A1771" s="1">
        <v>45936</v>
      </c>
      <c r="B1771" s="2" t="s">
        <v>2542</v>
      </c>
      <c r="C1771" s="2" t="s">
        <v>2527</v>
      </c>
      <c r="D1771" s="2" t="s">
        <v>2528</v>
      </c>
      <c r="E1771" s="2" t="s">
        <v>2529</v>
      </c>
      <c r="F1771" s="3">
        <v>49388</v>
      </c>
      <c r="G1771" s="3">
        <v>652</v>
      </c>
      <c r="H1771" s="3">
        <v>19</v>
      </c>
      <c r="I1771" s="4">
        <v>1364.07</v>
      </c>
      <c r="J1771" s="4">
        <v>3981.32</v>
      </c>
      <c r="K1771" s="3">
        <v>15</v>
      </c>
      <c r="L1771" s="2" t="s">
        <v>2539</v>
      </c>
      <c r="M1771" s="2" t="s">
        <v>2546</v>
      </c>
      <c r="N1771" t="str">
        <f>TRIM(PROPER(Tabla_auditoría[[#This Row],[ID_Campaña]]))</f>
        <v>Cmp-025</v>
      </c>
      <c r="O1771" t="str">
        <f>TRIM(PROPER(Tabla_auditoría[[#This Row],[Canal]]))</f>
        <v>Affiliate</v>
      </c>
      <c r="P1771" t="str">
        <f>TRIM(PROPER(Tabla_auditoría[[#This Row],[País]]))</f>
        <v>España</v>
      </c>
      <c r="Q1771" t="str">
        <f>TRIM(PROPER(Tabla_auditoría[[#This Row],[Dispositivo]]))</f>
        <v>Mobile</v>
      </c>
      <c r="R1771" t="str">
        <f>TRIM(PROPER(Tabla_auditoría[[#This Row],[Tipo_Campaña]]))</f>
        <v>Conversión</v>
      </c>
      <c r="S1771" t="str">
        <f>TRIM(PROPER(Tabla_auditoría[[#This Row],[Responsable]]))</f>
        <v>Ana García</v>
      </c>
    </row>
    <row r="1772" spans="1:19" x14ac:dyDescent="0.3">
      <c r="A1772" s="1">
        <v>45682</v>
      </c>
      <c r="B1772" s="2" t="s">
        <v>2566</v>
      </c>
      <c r="C1772" s="2" t="s">
        <v>2541</v>
      </c>
      <c r="D1772" s="2" t="s">
        <v>2528</v>
      </c>
      <c r="E1772" s="2" t="s">
        <v>2529</v>
      </c>
      <c r="F1772" s="3">
        <v>178964</v>
      </c>
      <c r="G1772" s="3">
        <v>4222</v>
      </c>
      <c r="H1772" s="3">
        <v>579</v>
      </c>
      <c r="I1772" s="4">
        <v>5335.65</v>
      </c>
      <c r="J1772" s="4">
        <v>116716.25</v>
      </c>
      <c r="K1772" s="3">
        <v>301</v>
      </c>
      <c r="L1772" s="2" t="s">
        <v>2518</v>
      </c>
      <c r="M1772" s="2" t="s">
        <v>2537</v>
      </c>
      <c r="N1772" t="str">
        <f>TRIM(PROPER(Tabla_auditoría[[#This Row],[ID_Campaña]]))</f>
        <v>Cmp-001</v>
      </c>
      <c r="O1772" t="str">
        <f>TRIM(PROPER(Tabla_auditoría[[#This Row],[Canal]]))</f>
        <v>Display</v>
      </c>
      <c r="P1772" t="str">
        <f>TRIM(PROPER(Tabla_auditoría[[#This Row],[País]]))</f>
        <v>España</v>
      </c>
      <c r="Q1772" t="str">
        <f>TRIM(PROPER(Tabla_auditoría[[#This Row],[Dispositivo]]))</f>
        <v>Mobile</v>
      </c>
      <c r="R1772" t="str">
        <f>TRIM(PROPER(Tabla_auditoría[[#This Row],[Tipo_Campaña]]))</f>
        <v>Adquisición</v>
      </c>
      <c r="S1772" t="str">
        <f>TRIM(PROPER(Tabla_auditoría[[#This Row],[Responsable]]))</f>
        <v>Marta López</v>
      </c>
    </row>
    <row r="1773" spans="1:19" x14ac:dyDescent="0.3">
      <c r="A1773" s="1">
        <v>46022</v>
      </c>
      <c r="B1773" s="2" t="s">
        <v>2555</v>
      </c>
      <c r="C1773" s="2" t="s">
        <v>2521</v>
      </c>
      <c r="D1773" s="2" t="s">
        <v>2525</v>
      </c>
      <c r="E1773" s="2" t="s">
        <v>2529</v>
      </c>
      <c r="F1773" s="3">
        <v>75126</v>
      </c>
      <c r="G1773" s="3">
        <v>1891</v>
      </c>
      <c r="H1773" s="3">
        <v>30</v>
      </c>
      <c r="I1773" s="4">
        <v>1829.86</v>
      </c>
      <c r="J1773" s="4">
        <v>5022.1099999999997</v>
      </c>
      <c r="K1773" s="3">
        <v>17</v>
      </c>
      <c r="L1773" s="2" t="s">
        <v>2518</v>
      </c>
      <c r="M1773" s="2" t="s">
        <v>2519</v>
      </c>
      <c r="N1773" t="str">
        <f>TRIM(PROPER(Tabla_auditoría[[#This Row],[ID_Campaña]]))</f>
        <v>Cmp-010</v>
      </c>
      <c r="O1773" t="str">
        <f>TRIM(PROPER(Tabla_auditoría[[#This Row],[Canal]]))</f>
        <v>Paid Search</v>
      </c>
      <c r="P1773" t="str">
        <f>TRIM(PROPER(Tabla_auditoría[[#This Row],[País]]))</f>
        <v>Francia</v>
      </c>
      <c r="Q1773" t="str">
        <f>TRIM(PROPER(Tabla_auditoría[[#This Row],[Dispositivo]]))</f>
        <v>Mobile</v>
      </c>
      <c r="R1773" t="str">
        <f>TRIM(PROPER(Tabla_auditoría[[#This Row],[Tipo_Campaña]]))</f>
        <v>Adquisición</v>
      </c>
      <c r="S1773" t="str">
        <f>TRIM(PROPER(Tabla_auditoría[[#This Row],[Responsable]]))</f>
        <v>Carlos Ruiz</v>
      </c>
    </row>
    <row r="1774" spans="1:19" x14ac:dyDescent="0.3">
      <c r="A1774" s="1">
        <v>45981</v>
      </c>
      <c r="B1774" s="2" t="s">
        <v>2560</v>
      </c>
      <c r="C1774" s="2" t="s">
        <v>2533</v>
      </c>
      <c r="D1774" s="2" t="s">
        <v>2525</v>
      </c>
      <c r="E1774" s="2" t="s">
        <v>2529</v>
      </c>
      <c r="F1774" s="3">
        <v>141857</v>
      </c>
      <c r="G1774" s="3">
        <v>5244</v>
      </c>
      <c r="H1774" s="3">
        <v>191</v>
      </c>
      <c r="I1774" s="4">
        <v>4697.51</v>
      </c>
      <c r="J1774" s="4">
        <v>38988.93</v>
      </c>
      <c r="K1774" s="3">
        <v>158</v>
      </c>
      <c r="L1774" s="2" t="s">
        <v>2518</v>
      </c>
      <c r="M1774" s="2" t="s">
        <v>2546</v>
      </c>
      <c r="N1774" t="str">
        <f>TRIM(PROPER(Tabla_auditoría[[#This Row],[ID_Campaña]]))</f>
        <v>Cmp-027</v>
      </c>
      <c r="O1774" t="str">
        <f>TRIM(PROPER(Tabla_auditoría[[#This Row],[Canal]]))</f>
        <v>Paid Social</v>
      </c>
      <c r="P1774" t="str">
        <f>TRIM(PROPER(Tabla_auditoría[[#This Row],[País]]))</f>
        <v>Francia</v>
      </c>
      <c r="Q1774" t="str">
        <f>TRIM(PROPER(Tabla_auditoría[[#This Row],[Dispositivo]]))</f>
        <v>Mobile</v>
      </c>
      <c r="R1774" t="str">
        <f>TRIM(PROPER(Tabla_auditoría[[#This Row],[Tipo_Campaña]]))</f>
        <v>Adquisición</v>
      </c>
      <c r="S1774" t="str">
        <f>TRIM(PROPER(Tabla_auditoría[[#This Row],[Responsable]]))</f>
        <v>Ana García</v>
      </c>
    </row>
    <row r="1775" spans="1:19" x14ac:dyDescent="0.3">
      <c r="A1775" s="1">
        <v>45733</v>
      </c>
      <c r="B1775" s="2" t="s">
        <v>2532</v>
      </c>
      <c r="C1775" s="2" t="s">
        <v>2541</v>
      </c>
      <c r="D1775" s="2" t="s">
        <v>2525</v>
      </c>
      <c r="E1775" s="2" t="s">
        <v>2529</v>
      </c>
      <c r="F1775" s="3">
        <v>177929</v>
      </c>
      <c r="G1775" s="3">
        <v>13233</v>
      </c>
      <c r="H1775" s="3">
        <v>989</v>
      </c>
      <c r="I1775" s="4">
        <v>9525.44</v>
      </c>
      <c r="J1775" s="4">
        <v>92152.4</v>
      </c>
      <c r="K1775" s="3">
        <v>449</v>
      </c>
      <c r="L1775" s="2" t="s">
        <v>2523</v>
      </c>
      <c r="M1775" s="2" t="s">
        <v>2537</v>
      </c>
      <c r="N1775" t="str">
        <f>TRIM(PROPER(Tabla_auditoría[[#This Row],[ID_Campaña]]))</f>
        <v>Cmp-022</v>
      </c>
      <c r="O1775" t="str">
        <f>TRIM(PROPER(Tabla_auditoría[[#This Row],[Canal]]))</f>
        <v>Display</v>
      </c>
      <c r="P1775" t="str">
        <f>TRIM(PROPER(Tabla_auditoría[[#This Row],[País]]))</f>
        <v>Francia</v>
      </c>
      <c r="Q1775" t="str">
        <f>TRIM(PROPER(Tabla_auditoría[[#This Row],[Dispositivo]]))</f>
        <v>Mobile</v>
      </c>
      <c r="R1775" t="str">
        <f>TRIM(PROPER(Tabla_auditoría[[#This Row],[Tipo_Campaña]]))</f>
        <v>Retención</v>
      </c>
      <c r="S1775" t="str">
        <f>TRIM(PROPER(Tabla_auditoría[[#This Row],[Responsable]]))</f>
        <v>Marta López</v>
      </c>
    </row>
    <row r="1776" spans="1:19" x14ac:dyDescent="0.3">
      <c r="A1776" s="1">
        <v>45845</v>
      </c>
      <c r="B1776" s="2" t="s">
        <v>2568</v>
      </c>
      <c r="C1776" s="2" t="s">
        <v>2543</v>
      </c>
      <c r="D1776" s="2" t="s">
        <v>2522</v>
      </c>
      <c r="E1776" s="2" t="s">
        <v>2517</v>
      </c>
      <c r="F1776" s="3">
        <v>86565</v>
      </c>
      <c r="G1776" s="3">
        <v>1242</v>
      </c>
      <c r="H1776" s="3">
        <v>162</v>
      </c>
      <c r="I1776" s="4">
        <v>1753.32</v>
      </c>
      <c r="J1776" s="4">
        <v>22439.1</v>
      </c>
      <c r="K1776" s="3">
        <v>130</v>
      </c>
      <c r="L1776" s="2" t="s">
        <v>2518</v>
      </c>
      <c r="M1776" s="2" t="s">
        <v>2546</v>
      </c>
      <c r="N1776" t="str">
        <f>TRIM(PROPER(Tabla_auditoría[[#This Row],[ID_Campaña]]))</f>
        <v>Cmp-020</v>
      </c>
      <c r="O1776" t="str">
        <f>TRIM(PROPER(Tabla_auditoría[[#This Row],[Canal]]))</f>
        <v>Organic Social</v>
      </c>
      <c r="P1776" t="str">
        <f>TRIM(PROPER(Tabla_auditoría[[#This Row],[País]]))</f>
        <v>Italia</v>
      </c>
      <c r="Q1776" t="str">
        <f>TRIM(PROPER(Tabla_auditoría[[#This Row],[Dispositivo]]))</f>
        <v>Desktop</v>
      </c>
      <c r="R1776" t="str">
        <f>TRIM(PROPER(Tabla_auditoría[[#This Row],[Tipo_Campaña]]))</f>
        <v>Adquisición</v>
      </c>
      <c r="S1776" t="str">
        <f>TRIM(PROPER(Tabla_auditoría[[#This Row],[Responsable]]))</f>
        <v>Ana García</v>
      </c>
    </row>
    <row r="1777" spans="1:19" x14ac:dyDescent="0.3">
      <c r="A1777" s="1">
        <v>45864</v>
      </c>
      <c r="B1777" s="2" t="s">
        <v>2570</v>
      </c>
      <c r="C1777" s="2" t="s">
        <v>2543</v>
      </c>
      <c r="D1777" s="2" t="s">
        <v>2528</v>
      </c>
      <c r="E1777" s="2" t="s">
        <v>2517</v>
      </c>
      <c r="F1777" s="3">
        <v>7855</v>
      </c>
      <c r="G1777" s="3">
        <v>649</v>
      </c>
      <c r="H1777" s="3">
        <v>33</v>
      </c>
      <c r="I1777" s="4">
        <v>633.92999999999995</v>
      </c>
      <c r="J1777" s="4">
        <v>4191.26</v>
      </c>
      <c r="K1777" s="3">
        <v>21</v>
      </c>
      <c r="L1777" s="2" t="s">
        <v>2523</v>
      </c>
      <c r="M1777" s="2" t="s">
        <v>2537</v>
      </c>
      <c r="N1777" t="str">
        <f>TRIM(PROPER(Tabla_auditoría[[#This Row],[ID_Campaña]]))</f>
        <v>Cmp-016</v>
      </c>
      <c r="O1777" t="str">
        <f>TRIM(PROPER(Tabla_auditoría[[#This Row],[Canal]]))</f>
        <v>Organic Social</v>
      </c>
      <c r="P1777" t="str">
        <f>TRIM(PROPER(Tabla_auditoría[[#This Row],[País]]))</f>
        <v>España</v>
      </c>
      <c r="Q1777" t="str">
        <f>TRIM(PROPER(Tabla_auditoría[[#This Row],[Dispositivo]]))</f>
        <v>Desktop</v>
      </c>
      <c r="R1777" t="str">
        <f>TRIM(PROPER(Tabla_auditoría[[#This Row],[Tipo_Campaña]]))</f>
        <v>Retención</v>
      </c>
      <c r="S1777" t="str">
        <f>TRIM(PROPER(Tabla_auditoría[[#This Row],[Responsable]]))</f>
        <v>Marta López</v>
      </c>
    </row>
    <row r="1778" spans="1:19" x14ac:dyDescent="0.3">
      <c r="A1778" s="1">
        <v>45810</v>
      </c>
      <c r="B1778" s="2" t="s">
        <v>2538</v>
      </c>
      <c r="C1778" s="2" t="s">
        <v>2541</v>
      </c>
      <c r="D1778" s="2" t="s">
        <v>2531</v>
      </c>
      <c r="E1778" s="2" t="s">
        <v>2529</v>
      </c>
      <c r="F1778" s="3">
        <v>179102</v>
      </c>
      <c r="G1778" s="3">
        <v>12322</v>
      </c>
      <c r="H1778" s="3">
        <v>1326</v>
      </c>
      <c r="I1778" s="4">
        <v>24258.639999999999</v>
      </c>
      <c r="J1778" s="4">
        <v>191459.43</v>
      </c>
      <c r="K1778" s="3">
        <v>598</v>
      </c>
      <c r="L1778" s="2" t="s">
        <v>2518</v>
      </c>
      <c r="M1778" s="2" t="s">
        <v>2537</v>
      </c>
      <c r="N1778" t="str">
        <f>TRIM(PROPER(Tabla_auditoría[[#This Row],[ID_Campaña]]))</f>
        <v>Cmp-004</v>
      </c>
      <c r="O1778" t="str">
        <f>TRIM(PROPER(Tabla_auditoría[[#This Row],[Canal]]))</f>
        <v>Display</v>
      </c>
      <c r="P1778" t="str">
        <f>TRIM(PROPER(Tabla_auditoría[[#This Row],[País]]))</f>
        <v>Portugal</v>
      </c>
      <c r="Q1778" t="str">
        <f>TRIM(PROPER(Tabla_auditoría[[#This Row],[Dispositivo]]))</f>
        <v>Mobile</v>
      </c>
      <c r="R1778" t="str">
        <f>TRIM(PROPER(Tabla_auditoría[[#This Row],[Tipo_Campaña]]))</f>
        <v>Adquisición</v>
      </c>
      <c r="S1778" t="str">
        <f>TRIM(PROPER(Tabla_auditoría[[#This Row],[Responsable]]))</f>
        <v>Marta López</v>
      </c>
    </row>
    <row r="1779" spans="1:19" x14ac:dyDescent="0.3">
      <c r="A1779" s="1">
        <v>45887</v>
      </c>
      <c r="B1779" s="2" t="s">
        <v>2560</v>
      </c>
      <c r="C1779" s="2" t="s">
        <v>2541</v>
      </c>
      <c r="D1779" s="2" t="s">
        <v>2528</v>
      </c>
      <c r="E1779" s="2" t="s">
        <v>2517</v>
      </c>
      <c r="F1779" s="3">
        <v>136783</v>
      </c>
      <c r="G1779" s="3">
        <v>5272</v>
      </c>
      <c r="H1779" s="3">
        <v>245</v>
      </c>
      <c r="I1779" s="4">
        <v>7627.22</v>
      </c>
      <c r="J1779" s="4">
        <v>14292.61</v>
      </c>
      <c r="K1779" s="3">
        <v>209</v>
      </c>
      <c r="L1779" s="2" t="s">
        <v>2536</v>
      </c>
      <c r="M1779" s="2" t="s">
        <v>2526</v>
      </c>
      <c r="N1779" t="str">
        <f>TRIM(PROPER(Tabla_auditoría[[#This Row],[ID_Campaña]]))</f>
        <v>Cmp-027</v>
      </c>
      <c r="O1779" t="str">
        <f>TRIM(PROPER(Tabla_auditoría[[#This Row],[Canal]]))</f>
        <v>Display</v>
      </c>
      <c r="P1779" t="str">
        <f>TRIM(PROPER(Tabla_auditoría[[#This Row],[País]]))</f>
        <v>España</v>
      </c>
      <c r="Q1779" t="str">
        <f>TRIM(PROPER(Tabla_auditoría[[#This Row],[Dispositivo]]))</f>
        <v>Desktop</v>
      </c>
      <c r="R1779" t="str">
        <f>TRIM(PROPER(Tabla_auditoría[[#This Row],[Tipo_Campaña]]))</f>
        <v>Reconocimiento</v>
      </c>
      <c r="S1779" t="str">
        <f>TRIM(PROPER(Tabla_auditoría[[#This Row],[Responsable]]))</f>
        <v>Laura Pérez</v>
      </c>
    </row>
    <row r="1780" spans="1:19" x14ac:dyDescent="0.3">
      <c r="A1780" s="1">
        <v>45855</v>
      </c>
      <c r="B1780" s="2" t="s">
        <v>2555</v>
      </c>
      <c r="C1780" s="2" t="s">
        <v>2527</v>
      </c>
      <c r="D1780" s="2" t="s">
        <v>2528</v>
      </c>
      <c r="E1780" s="2" t="s">
        <v>2517</v>
      </c>
      <c r="F1780" s="3">
        <v>173373</v>
      </c>
      <c r="G1780" s="3">
        <v>9272</v>
      </c>
      <c r="H1780" s="3">
        <v>777</v>
      </c>
      <c r="I1780" s="4">
        <v>4290.95</v>
      </c>
      <c r="J1780" s="4">
        <v>143550.54</v>
      </c>
      <c r="K1780" s="3">
        <v>440</v>
      </c>
      <c r="L1780" s="2" t="s">
        <v>2539</v>
      </c>
      <c r="M1780" s="2" t="s">
        <v>2546</v>
      </c>
      <c r="N1780" t="str">
        <f>TRIM(PROPER(Tabla_auditoría[[#This Row],[ID_Campaña]]))</f>
        <v>Cmp-010</v>
      </c>
      <c r="O1780" t="str">
        <f>TRIM(PROPER(Tabla_auditoría[[#This Row],[Canal]]))</f>
        <v>Affiliate</v>
      </c>
      <c r="P1780" t="str">
        <f>TRIM(PROPER(Tabla_auditoría[[#This Row],[País]]))</f>
        <v>España</v>
      </c>
      <c r="Q1780" t="str">
        <f>TRIM(PROPER(Tabla_auditoría[[#This Row],[Dispositivo]]))</f>
        <v>Desktop</v>
      </c>
      <c r="R1780" t="str">
        <f>TRIM(PROPER(Tabla_auditoría[[#This Row],[Tipo_Campaña]]))</f>
        <v>Conversión</v>
      </c>
      <c r="S1780" t="str">
        <f>TRIM(PROPER(Tabla_auditoría[[#This Row],[Responsable]]))</f>
        <v>Ana García</v>
      </c>
    </row>
    <row r="1781" spans="1:19" x14ac:dyDescent="0.3">
      <c r="A1781" s="1">
        <v>45800</v>
      </c>
      <c r="B1781" s="2" t="s">
        <v>2538</v>
      </c>
      <c r="C1781" s="2" t="s">
        <v>2527</v>
      </c>
      <c r="D1781" s="2" t="s">
        <v>2528</v>
      </c>
      <c r="E1781" s="2" t="s">
        <v>2529</v>
      </c>
      <c r="F1781" s="3">
        <v>32172</v>
      </c>
      <c r="G1781" s="3">
        <v>636</v>
      </c>
      <c r="H1781" s="3">
        <v>71</v>
      </c>
      <c r="I1781" s="4">
        <v>1101.44</v>
      </c>
      <c r="J1781" s="4">
        <v>13528.45</v>
      </c>
      <c r="K1781" s="3">
        <v>49</v>
      </c>
      <c r="L1781" s="2" t="s">
        <v>2536</v>
      </c>
      <c r="M1781" s="2" t="s">
        <v>2524</v>
      </c>
      <c r="N1781" t="str">
        <f>TRIM(PROPER(Tabla_auditoría[[#This Row],[ID_Campaña]]))</f>
        <v>Cmp-004</v>
      </c>
      <c r="O1781" t="str">
        <f>TRIM(PROPER(Tabla_auditoría[[#This Row],[Canal]]))</f>
        <v>Affiliate</v>
      </c>
      <c r="P1781" t="str">
        <f>TRIM(PROPER(Tabla_auditoría[[#This Row],[País]]))</f>
        <v>España</v>
      </c>
      <c r="Q1781" t="str">
        <f>TRIM(PROPER(Tabla_auditoría[[#This Row],[Dispositivo]]))</f>
        <v>Mobile</v>
      </c>
      <c r="R1781" t="str">
        <f>TRIM(PROPER(Tabla_auditoría[[#This Row],[Tipo_Campaña]]))</f>
        <v>Reconocimiento</v>
      </c>
      <c r="S1781" t="str">
        <f>TRIM(PROPER(Tabla_auditoría[[#This Row],[Responsable]]))</f>
        <v>Luis Martín</v>
      </c>
    </row>
    <row r="1782" spans="1:19" x14ac:dyDescent="0.3">
      <c r="A1782" s="1">
        <v>45964</v>
      </c>
      <c r="B1782" s="2" t="s">
        <v>2542</v>
      </c>
      <c r="C1782" s="2" t="s">
        <v>2541</v>
      </c>
      <c r="D1782" s="2" t="s">
        <v>2525</v>
      </c>
      <c r="E1782" s="2" t="s">
        <v>2517</v>
      </c>
      <c r="F1782" s="3">
        <v>81445</v>
      </c>
      <c r="G1782" s="3">
        <v>6354</v>
      </c>
      <c r="H1782" s="3">
        <v>856</v>
      </c>
      <c r="I1782" s="4">
        <v>4659.68</v>
      </c>
      <c r="J1782" s="4">
        <v>160667.25</v>
      </c>
      <c r="K1782" s="3">
        <v>392</v>
      </c>
      <c r="L1782" s="2" t="s">
        <v>2539</v>
      </c>
      <c r="M1782" s="2" t="s">
        <v>2537</v>
      </c>
      <c r="N1782" t="str">
        <f>TRIM(PROPER(Tabla_auditoría[[#This Row],[ID_Campaña]]))</f>
        <v>Cmp-025</v>
      </c>
      <c r="O1782" t="str">
        <f>TRIM(PROPER(Tabla_auditoría[[#This Row],[Canal]]))</f>
        <v>Display</v>
      </c>
      <c r="P1782" t="str">
        <f>TRIM(PROPER(Tabla_auditoría[[#This Row],[País]]))</f>
        <v>Francia</v>
      </c>
      <c r="Q1782" t="str">
        <f>TRIM(PROPER(Tabla_auditoría[[#This Row],[Dispositivo]]))</f>
        <v>Desktop</v>
      </c>
      <c r="R1782" t="str">
        <f>TRIM(PROPER(Tabla_auditoría[[#This Row],[Tipo_Campaña]]))</f>
        <v>Conversión</v>
      </c>
      <c r="S1782" t="str">
        <f>TRIM(PROPER(Tabla_auditoría[[#This Row],[Responsable]]))</f>
        <v>Marta López</v>
      </c>
    </row>
    <row r="1783" spans="1:19" x14ac:dyDescent="0.3">
      <c r="A1783" s="1">
        <v>45841</v>
      </c>
      <c r="B1783" s="2" t="s">
        <v>2564</v>
      </c>
      <c r="C1783" s="2" t="s">
        <v>2533</v>
      </c>
      <c r="D1783" s="2" t="s">
        <v>2531</v>
      </c>
      <c r="E1783" s="2" t="s">
        <v>2517</v>
      </c>
      <c r="F1783" s="3">
        <v>159005</v>
      </c>
      <c r="G1783" s="3">
        <v>10666</v>
      </c>
      <c r="H1783" s="3">
        <v>807</v>
      </c>
      <c r="I1783" s="4">
        <v>16460.810000000001</v>
      </c>
      <c r="J1783" s="4">
        <v>67452.5</v>
      </c>
      <c r="K1783" s="3">
        <v>638</v>
      </c>
      <c r="L1783" s="2" t="s">
        <v>2536</v>
      </c>
      <c r="M1783" s="2" t="s">
        <v>2526</v>
      </c>
      <c r="N1783" t="str">
        <f>TRIM(PROPER(Tabla_auditoría[[#This Row],[ID_Campaña]]))</f>
        <v>Cmp-024</v>
      </c>
      <c r="O1783" t="str">
        <f>TRIM(PROPER(Tabla_auditoría[[#This Row],[Canal]]))</f>
        <v>Paid Social</v>
      </c>
      <c r="P1783" t="str">
        <f>TRIM(PROPER(Tabla_auditoría[[#This Row],[País]]))</f>
        <v>Portugal</v>
      </c>
      <c r="Q1783" t="str">
        <f>TRIM(PROPER(Tabla_auditoría[[#This Row],[Dispositivo]]))</f>
        <v>Desktop</v>
      </c>
      <c r="R1783" t="str">
        <f>TRIM(PROPER(Tabla_auditoría[[#This Row],[Tipo_Campaña]]))</f>
        <v>Reconocimiento</v>
      </c>
      <c r="S1783" t="str">
        <f>TRIM(PROPER(Tabla_auditoría[[#This Row],[Responsable]]))</f>
        <v>Laura Pérez</v>
      </c>
    </row>
    <row r="1784" spans="1:19" x14ac:dyDescent="0.3">
      <c r="A1784" s="1">
        <v>46003</v>
      </c>
      <c r="B1784" s="2" t="s">
        <v>2547</v>
      </c>
      <c r="C1784" s="2" t="s">
        <v>2521</v>
      </c>
      <c r="D1784" s="2" t="s">
        <v>2522</v>
      </c>
      <c r="E1784" s="2" t="s">
        <v>2517</v>
      </c>
      <c r="F1784" s="3">
        <v>172622</v>
      </c>
      <c r="G1784" s="3">
        <v>12451</v>
      </c>
      <c r="H1784" s="3">
        <v>1400</v>
      </c>
      <c r="I1784" s="4">
        <v>9068.3799999999992</v>
      </c>
      <c r="J1784" s="4">
        <v>112979.69</v>
      </c>
      <c r="K1784" s="3">
        <v>1109</v>
      </c>
      <c r="L1784" s="2" t="s">
        <v>2536</v>
      </c>
      <c r="M1784" s="2" t="s">
        <v>2546</v>
      </c>
      <c r="N1784" t="str">
        <f>TRIM(PROPER(Tabla_auditoría[[#This Row],[ID_Campaña]]))</f>
        <v>Cmp-018</v>
      </c>
      <c r="O1784" t="str">
        <f>TRIM(PROPER(Tabla_auditoría[[#This Row],[Canal]]))</f>
        <v>Paid Search</v>
      </c>
      <c r="P1784" t="str">
        <f>TRIM(PROPER(Tabla_auditoría[[#This Row],[País]]))</f>
        <v>Italia</v>
      </c>
      <c r="Q1784" t="str">
        <f>TRIM(PROPER(Tabla_auditoría[[#This Row],[Dispositivo]]))</f>
        <v>Desktop</v>
      </c>
      <c r="R1784" t="str">
        <f>TRIM(PROPER(Tabla_auditoría[[#This Row],[Tipo_Campaña]]))</f>
        <v>Reconocimiento</v>
      </c>
      <c r="S1784" t="str">
        <f>TRIM(PROPER(Tabla_auditoría[[#This Row],[Responsable]]))</f>
        <v>Ana García</v>
      </c>
    </row>
    <row r="1785" spans="1:19" x14ac:dyDescent="0.3">
      <c r="A1785" s="1">
        <v>45853</v>
      </c>
      <c r="B1785" s="2" t="s">
        <v>2567</v>
      </c>
      <c r="C1785" s="2" t="s">
        <v>2521</v>
      </c>
      <c r="D1785" s="2" t="s">
        <v>2528</v>
      </c>
      <c r="E1785" s="2" t="s">
        <v>2517</v>
      </c>
      <c r="F1785" s="3">
        <v>97138</v>
      </c>
      <c r="G1785" s="3">
        <v>7880</v>
      </c>
      <c r="H1785" s="3">
        <v>354</v>
      </c>
      <c r="I1785" s="4">
        <v>6258.9</v>
      </c>
      <c r="J1785" s="4">
        <v>74907.87</v>
      </c>
      <c r="K1785" s="3">
        <v>270</v>
      </c>
      <c r="L1785" s="2" t="s">
        <v>2518</v>
      </c>
      <c r="M1785" s="2" t="s">
        <v>2546</v>
      </c>
      <c r="N1785" t="str">
        <f>TRIM(PROPER(Tabla_auditoría[[#This Row],[ID_Campaña]]))</f>
        <v>Cmp-021</v>
      </c>
      <c r="O1785" t="str">
        <f>TRIM(PROPER(Tabla_auditoría[[#This Row],[Canal]]))</f>
        <v>Paid Search</v>
      </c>
      <c r="P1785" t="str">
        <f>TRIM(PROPER(Tabla_auditoría[[#This Row],[País]]))</f>
        <v>España</v>
      </c>
      <c r="Q1785" t="str">
        <f>TRIM(PROPER(Tabla_auditoría[[#This Row],[Dispositivo]]))</f>
        <v>Desktop</v>
      </c>
      <c r="R1785" t="str">
        <f>TRIM(PROPER(Tabla_auditoría[[#This Row],[Tipo_Campaña]]))</f>
        <v>Adquisición</v>
      </c>
      <c r="S1785" t="str">
        <f>TRIM(PROPER(Tabla_auditoría[[#This Row],[Responsable]]))</f>
        <v>Ana García</v>
      </c>
    </row>
    <row r="1786" spans="1:19" x14ac:dyDescent="0.3">
      <c r="A1786" s="1">
        <v>45903</v>
      </c>
      <c r="B1786" s="2" t="s">
        <v>2567</v>
      </c>
      <c r="C1786" s="2" t="s">
        <v>2527</v>
      </c>
      <c r="D1786" s="2" t="s">
        <v>2528</v>
      </c>
      <c r="E1786" s="2" t="s">
        <v>2517</v>
      </c>
      <c r="F1786" s="3">
        <v>54196</v>
      </c>
      <c r="G1786" s="3">
        <v>3954</v>
      </c>
      <c r="H1786" s="3">
        <v>434</v>
      </c>
      <c r="I1786" s="4">
        <v>6382.16</v>
      </c>
      <c r="J1786" s="4">
        <v>53810.61</v>
      </c>
      <c r="K1786" s="3">
        <v>331</v>
      </c>
      <c r="L1786" s="2" t="s">
        <v>2523</v>
      </c>
      <c r="M1786" s="2" t="s">
        <v>2537</v>
      </c>
      <c r="N1786" t="str">
        <f>TRIM(PROPER(Tabla_auditoría[[#This Row],[ID_Campaña]]))</f>
        <v>Cmp-021</v>
      </c>
      <c r="O1786" t="str">
        <f>TRIM(PROPER(Tabla_auditoría[[#This Row],[Canal]]))</f>
        <v>Affiliate</v>
      </c>
      <c r="P1786" t="str">
        <f>TRIM(PROPER(Tabla_auditoría[[#This Row],[País]]))</f>
        <v>España</v>
      </c>
      <c r="Q1786" t="str">
        <f>TRIM(PROPER(Tabla_auditoría[[#This Row],[Dispositivo]]))</f>
        <v>Desktop</v>
      </c>
      <c r="R1786" t="str">
        <f>TRIM(PROPER(Tabla_auditoría[[#This Row],[Tipo_Campaña]]))</f>
        <v>Retención</v>
      </c>
      <c r="S1786" t="str">
        <f>TRIM(PROPER(Tabla_auditoría[[#This Row],[Responsable]]))</f>
        <v>Marta López</v>
      </c>
    </row>
    <row r="1787" spans="1:19" x14ac:dyDescent="0.3">
      <c r="A1787" s="1">
        <v>45996</v>
      </c>
      <c r="B1787" s="2" t="s">
        <v>2569</v>
      </c>
      <c r="C1787" s="2" t="s">
        <v>2515</v>
      </c>
      <c r="D1787" s="2" t="s">
        <v>2531</v>
      </c>
      <c r="E1787" s="2" t="s">
        <v>2529</v>
      </c>
      <c r="F1787" s="3">
        <v>97664</v>
      </c>
      <c r="G1787" s="3">
        <v>5523</v>
      </c>
      <c r="H1787" s="3">
        <v>85</v>
      </c>
      <c r="I1787" s="4">
        <v>8944.33</v>
      </c>
      <c r="J1787" s="4">
        <v>9054.4500000000007</v>
      </c>
      <c r="K1787" s="3">
        <v>75</v>
      </c>
      <c r="L1787" s="2" t="s">
        <v>2536</v>
      </c>
      <c r="N1787" t="str">
        <f>TRIM(PROPER(Tabla_auditoría[[#This Row],[ID_Campaña]]))</f>
        <v>Cmp-013</v>
      </c>
      <c r="O1787" t="str">
        <f>TRIM(PROPER(Tabla_auditoría[[#This Row],[Canal]]))</f>
        <v>Email</v>
      </c>
      <c r="P1787" t="str">
        <f>TRIM(PROPER(Tabla_auditoría[[#This Row],[País]]))</f>
        <v>Portugal</v>
      </c>
      <c r="Q1787" t="str">
        <f>TRIM(PROPER(Tabla_auditoría[[#This Row],[Dispositivo]]))</f>
        <v>Mobile</v>
      </c>
      <c r="R1787" t="str">
        <f>TRIM(PROPER(Tabla_auditoría[[#This Row],[Tipo_Campaña]]))</f>
        <v>Reconocimiento</v>
      </c>
      <c r="S1787" t="str">
        <f>TRIM(PROPER(Tabla_auditoría[[#This Row],[Responsable]]))</f>
        <v/>
      </c>
    </row>
    <row r="1788" spans="1:19" x14ac:dyDescent="0.3">
      <c r="A1788" s="1">
        <v>46019</v>
      </c>
      <c r="B1788" s="2" t="s">
        <v>2557</v>
      </c>
      <c r="C1788" s="2" t="s">
        <v>2527</v>
      </c>
      <c r="D1788" s="2" t="s">
        <v>2525</v>
      </c>
      <c r="E1788" s="2" t="s">
        <v>2529</v>
      </c>
      <c r="F1788" s="3">
        <v>42471</v>
      </c>
      <c r="G1788" s="3">
        <v>1116</v>
      </c>
      <c r="H1788" s="3">
        <v>26</v>
      </c>
      <c r="I1788" s="4">
        <v>2010.77</v>
      </c>
      <c r="J1788" s="4">
        <v>525.9</v>
      </c>
      <c r="K1788" s="3">
        <v>14</v>
      </c>
      <c r="L1788" s="2" t="s">
        <v>2536</v>
      </c>
      <c r="M1788" s="2" t="s">
        <v>2524</v>
      </c>
      <c r="N1788" t="str">
        <f>TRIM(PROPER(Tabla_auditoría[[#This Row],[ID_Campaña]]))</f>
        <v>Cmp-030</v>
      </c>
      <c r="O1788" t="str">
        <f>TRIM(PROPER(Tabla_auditoría[[#This Row],[Canal]]))</f>
        <v>Affiliate</v>
      </c>
      <c r="P1788" t="str">
        <f>TRIM(PROPER(Tabla_auditoría[[#This Row],[País]]))</f>
        <v>Francia</v>
      </c>
      <c r="Q1788" t="str">
        <f>TRIM(PROPER(Tabla_auditoría[[#This Row],[Dispositivo]]))</f>
        <v>Mobile</v>
      </c>
      <c r="R1788" t="str">
        <f>TRIM(PROPER(Tabla_auditoría[[#This Row],[Tipo_Campaña]]))</f>
        <v>Reconocimiento</v>
      </c>
      <c r="S1788" t="str">
        <f>TRIM(PROPER(Tabla_auditoría[[#This Row],[Responsable]]))</f>
        <v>Luis Martín</v>
      </c>
    </row>
    <row r="1789" spans="1:19" x14ac:dyDescent="0.3">
      <c r="A1789" s="1">
        <v>45797</v>
      </c>
      <c r="B1789" s="2" t="s">
        <v>2551</v>
      </c>
      <c r="C1789" s="2" t="s">
        <v>2515</v>
      </c>
      <c r="D1789" s="2" t="s">
        <v>2528</v>
      </c>
      <c r="E1789" s="2" t="s">
        <v>2517</v>
      </c>
      <c r="F1789" s="3">
        <v>90932</v>
      </c>
      <c r="G1789" s="3">
        <v>1302</v>
      </c>
      <c r="H1789" s="3">
        <v>172</v>
      </c>
      <c r="I1789" s="4">
        <v>635.32000000000005</v>
      </c>
      <c r="J1789" s="4">
        <v>17159.52</v>
      </c>
      <c r="K1789" s="3">
        <v>107</v>
      </c>
      <c r="L1789" s="2" t="s">
        <v>2518</v>
      </c>
      <c r="M1789" s="2" t="s">
        <v>2519</v>
      </c>
      <c r="N1789" t="str">
        <f>TRIM(PROPER(Tabla_auditoría[[#This Row],[ID_Campaña]]))</f>
        <v>Cmp-028</v>
      </c>
      <c r="O1789" t="str">
        <f>TRIM(PROPER(Tabla_auditoría[[#This Row],[Canal]]))</f>
        <v>Email</v>
      </c>
      <c r="P1789" t="str">
        <f>TRIM(PROPER(Tabla_auditoría[[#This Row],[País]]))</f>
        <v>España</v>
      </c>
      <c r="Q1789" t="str">
        <f>TRIM(PROPER(Tabla_auditoría[[#This Row],[Dispositivo]]))</f>
        <v>Desktop</v>
      </c>
      <c r="R1789" t="str">
        <f>TRIM(PROPER(Tabla_auditoría[[#This Row],[Tipo_Campaña]]))</f>
        <v>Adquisición</v>
      </c>
      <c r="S1789" t="str">
        <f>TRIM(PROPER(Tabla_auditoría[[#This Row],[Responsable]]))</f>
        <v>Carlos Ruiz</v>
      </c>
    </row>
    <row r="1790" spans="1:19" x14ac:dyDescent="0.3">
      <c r="A1790" s="1">
        <v>45970</v>
      </c>
      <c r="B1790" s="2" t="s">
        <v>2547</v>
      </c>
      <c r="C1790" s="2" t="s">
        <v>2533</v>
      </c>
      <c r="D1790" s="2" t="s">
        <v>2528</v>
      </c>
      <c r="E1790" s="2" t="s">
        <v>2529</v>
      </c>
      <c r="F1790" s="3">
        <v>64603</v>
      </c>
      <c r="G1790" s="3">
        <v>3827</v>
      </c>
      <c r="H1790" s="3">
        <v>156</v>
      </c>
      <c r="I1790" s="4">
        <v>3961.49</v>
      </c>
      <c r="J1790" s="4">
        <v>17807.47</v>
      </c>
      <c r="K1790" s="3">
        <v>70</v>
      </c>
      <c r="L1790" s="2" t="s">
        <v>2539</v>
      </c>
      <c r="M1790" s="2" t="s">
        <v>2537</v>
      </c>
      <c r="N1790" t="str">
        <f>TRIM(PROPER(Tabla_auditoría[[#This Row],[ID_Campaña]]))</f>
        <v>Cmp-018</v>
      </c>
      <c r="O1790" t="str">
        <f>TRIM(PROPER(Tabla_auditoría[[#This Row],[Canal]]))</f>
        <v>Paid Social</v>
      </c>
      <c r="P1790" t="str">
        <f>TRIM(PROPER(Tabla_auditoría[[#This Row],[País]]))</f>
        <v>España</v>
      </c>
      <c r="Q1790" t="str">
        <f>TRIM(PROPER(Tabla_auditoría[[#This Row],[Dispositivo]]))</f>
        <v>Mobile</v>
      </c>
      <c r="R1790" t="str">
        <f>TRIM(PROPER(Tabla_auditoría[[#This Row],[Tipo_Campaña]]))</f>
        <v>Conversión</v>
      </c>
      <c r="S1790" t="str">
        <f>TRIM(PROPER(Tabla_auditoría[[#This Row],[Responsable]]))</f>
        <v>Marta López</v>
      </c>
    </row>
    <row r="1791" spans="1:19" x14ac:dyDescent="0.3">
      <c r="A1791" s="1">
        <v>45879</v>
      </c>
      <c r="B1791" s="2" t="s">
        <v>2574</v>
      </c>
      <c r="C1791" s="2" t="s">
        <v>2521</v>
      </c>
      <c r="D1791" s="2" t="s">
        <v>2531</v>
      </c>
      <c r="E1791" s="2" t="s">
        <v>2561</v>
      </c>
      <c r="F1791" s="3">
        <v>95785</v>
      </c>
      <c r="G1791" s="3">
        <v>7858</v>
      </c>
      <c r="H1791" s="3">
        <v>877</v>
      </c>
      <c r="I1791" s="4">
        <v>7858.81</v>
      </c>
      <c r="J1791" s="4">
        <v>69761.100000000006</v>
      </c>
      <c r="K1791" s="3">
        <v>550</v>
      </c>
      <c r="L1791" s="2" t="s">
        <v>2523</v>
      </c>
      <c r="M1791" s="2" t="s">
        <v>2519</v>
      </c>
      <c r="N1791" t="str">
        <f>TRIM(PROPER(Tabla_auditoría[[#This Row],[ID_Campaña]]))</f>
        <v>Cmp-003</v>
      </c>
      <c r="O1791" t="str">
        <f>TRIM(PROPER(Tabla_auditoría[[#This Row],[Canal]]))</f>
        <v>Paid Search</v>
      </c>
      <c r="P1791" t="str">
        <f>TRIM(PROPER(Tabla_auditoría[[#This Row],[País]]))</f>
        <v>Portugal</v>
      </c>
      <c r="Q1791" t="str">
        <f>TRIM(PROPER(Tabla_auditoría[[#This Row],[Dispositivo]]))</f>
        <v>Mobile</v>
      </c>
      <c r="R1791" t="str">
        <f>TRIM(PROPER(Tabla_auditoría[[#This Row],[Tipo_Campaña]]))</f>
        <v>Retención</v>
      </c>
      <c r="S1791" t="str">
        <f>TRIM(PROPER(Tabla_auditoría[[#This Row],[Responsable]]))</f>
        <v>Carlos Ruiz</v>
      </c>
    </row>
    <row r="1792" spans="1:19" x14ac:dyDescent="0.3">
      <c r="A1792" s="1">
        <v>45932</v>
      </c>
      <c r="B1792" s="2" t="s">
        <v>2556</v>
      </c>
      <c r="C1792" s="2" t="s">
        <v>2543</v>
      </c>
      <c r="D1792" s="2" t="s">
        <v>2522</v>
      </c>
      <c r="E1792" s="2" t="s">
        <v>2517</v>
      </c>
      <c r="F1792" s="3">
        <v>10851</v>
      </c>
      <c r="G1792" s="3">
        <v>423</v>
      </c>
      <c r="H1792" s="3">
        <v>8</v>
      </c>
      <c r="I1792" s="4">
        <v>397.49</v>
      </c>
      <c r="J1792" s="4">
        <v>418.72</v>
      </c>
      <c r="K1792" s="3">
        <v>6</v>
      </c>
      <c r="L1792" s="2" t="s">
        <v>2536</v>
      </c>
      <c r="M1792" s="2" t="s">
        <v>2526</v>
      </c>
      <c r="N1792" t="str">
        <f>TRIM(PROPER(Tabla_auditoría[[#This Row],[ID_Campaña]]))</f>
        <v>Cmp-014</v>
      </c>
      <c r="O1792" t="str">
        <f>TRIM(PROPER(Tabla_auditoría[[#This Row],[Canal]]))</f>
        <v>Organic Social</v>
      </c>
      <c r="P1792" t="str">
        <f>TRIM(PROPER(Tabla_auditoría[[#This Row],[País]]))</f>
        <v>Italia</v>
      </c>
      <c r="Q1792" t="str">
        <f>TRIM(PROPER(Tabla_auditoría[[#This Row],[Dispositivo]]))</f>
        <v>Desktop</v>
      </c>
      <c r="R1792" t="str">
        <f>TRIM(PROPER(Tabla_auditoría[[#This Row],[Tipo_Campaña]]))</f>
        <v>Reconocimiento</v>
      </c>
      <c r="S1792" t="str">
        <f>TRIM(PROPER(Tabla_auditoría[[#This Row],[Responsable]]))</f>
        <v>Laura Pérez</v>
      </c>
    </row>
    <row r="1793" spans="1:19" x14ac:dyDescent="0.3">
      <c r="A1793" s="1">
        <v>45664</v>
      </c>
      <c r="B1793" s="2" t="s">
        <v>2563</v>
      </c>
      <c r="C1793" s="2" t="s">
        <v>2541</v>
      </c>
      <c r="D1793" s="2" t="s">
        <v>2528</v>
      </c>
      <c r="E1793" s="2" t="s">
        <v>2517</v>
      </c>
      <c r="F1793" s="3">
        <v>11652</v>
      </c>
      <c r="G1793" s="3">
        <v>806</v>
      </c>
      <c r="H1793" s="3">
        <v>44</v>
      </c>
      <c r="I1793" s="4">
        <v>515.67999999999995</v>
      </c>
      <c r="J1793" s="4">
        <v>5721.09</v>
      </c>
      <c r="K1793" s="3">
        <v>35</v>
      </c>
      <c r="L1793" s="2" t="s">
        <v>2523</v>
      </c>
      <c r="M1793" s="2" t="s">
        <v>2546</v>
      </c>
      <c r="N1793" t="str">
        <f>TRIM(PROPER(Tabla_auditoría[[#This Row],[ID_Campaña]]))</f>
        <v>Cmp-023</v>
      </c>
      <c r="O1793" t="str">
        <f>TRIM(PROPER(Tabla_auditoría[[#This Row],[Canal]]))</f>
        <v>Display</v>
      </c>
      <c r="P1793" t="str">
        <f>TRIM(PROPER(Tabla_auditoría[[#This Row],[País]]))</f>
        <v>España</v>
      </c>
      <c r="Q1793" t="str">
        <f>TRIM(PROPER(Tabla_auditoría[[#This Row],[Dispositivo]]))</f>
        <v>Desktop</v>
      </c>
      <c r="R1793" t="str">
        <f>TRIM(PROPER(Tabla_auditoría[[#This Row],[Tipo_Campaña]]))</f>
        <v>Retención</v>
      </c>
      <c r="S1793" t="str">
        <f>TRIM(PROPER(Tabla_auditoría[[#This Row],[Responsable]]))</f>
        <v>Ana García</v>
      </c>
    </row>
    <row r="1794" spans="1:19" x14ac:dyDescent="0.3">
      <c r="A1794" s="1">
        <v>45756</v>
      </c>
      <c r="B1794" s="2" t="s">
        <v>2560</v>
      </c>
      <c r="C1794" s="2" t="s">
        <v>2527</v>
      </c>
      <c r="D1794" s="2" t="s">
        <v>2528</v>
      </c>
      <c r="E1794" s="2" t="s">
        <v>2529</v>
      </c>
      <c r="F1794" s="3">
        <v>72154</v>
      </c>
      <c r="G1794" s="3">
        <v>73029</v>
      </c>
      <c r="H1794" s="3">
        <v>545</v>
      </c>
      <c r="I1794" s="4">
        <v>9586.16</v>
      </c>
      <c r="J1794" s="4">
        <v>38129.86</v>
      </c>
      <c r="K1794" s="3">
        <v>304</v>
      </c>
      <c r="L1794" s="2" t="s">
        <v>2523</v>
      </c>
      <c r="M1794" s="2" t="s">
        <v>2519</v>
      </c>
      <c r="N1794" t="str">
        <f>TRIM(PROPER(Tabla_auditoría[[#This Row],[ID_Campaña]]))</f>
        <v>Cmp-027</v>
      </c>
      <c r="O1794" t="str">
        <f>TRIM(PROPER(Tabla_auditoría[[#This Row],[Canal]]))</f>
        <v>Affiliate</v>
      </c>
      <c r="P1794" t="str">
        <f>TRIM(PROPER(Tabla_auditoría[[#This Row],[País]]))</f>
        <v>España</v>
      </c>
      <c r="Q1794" t="str">
        <f>TRIM(PROPER(Tabla_auditoría[[#This Row],[Dispositivo]]))</f>
        <v>Mobile</v>
      </c>
      <c r="R1794" t="str">
        <f>TRIM(PROPER(Tabla_auditoría[[#This Row],[Tipo_Campaña]]))</f>
        <v>Retención</v>
      </c>
      <c r="S1794" t="str">
        <f>TRIM(PROPER(Tabla_auditoría[[#This Row],[Responsable]]))</f>
        <v>Carlos Ruiz</v>
      </c>
    </row>
    <row r="1795" spans="1:19" x14ac:dyDescent="0.3">
      <c r="A1795" s="1">
        <v>45672</v>
      </c>
      <c r="B1795" s="2" t="s">
        <v>2567</v>
      </c>
      <c r="C1795" s="2" t="s">
        <v>2541</v>
      </c>
      <c r="D1795" s="2" t="s">
        <v>2528</v>
      </c>
      <c r="E1795" s="2" t="s">
        <v>2529</v>
      </c>
      <c r="F1795" s="3">
        <v>66037</v>
      </c>
      <c r="G1795" s="3">
        <v>2416</v>
      </c>
      <c r="H1795" s="3">
        <v>55</v>
      </c>
      <c r="I1795" s="4">
        <v>593.58000000000004</v>
      </c>
      <c r="J1795" s="4">
        <v>1279.83</v>
      </c>
      <c r="K1795" s="3">
        <v>36</v>
      </c>
      <c r="L1795" s="2" t="s">
        <v>2536</v>
      </c>
      <c r="M1795" s="2" t="s">
        <v>2526</v>
      </c>
      <c r="N1795" t="str">
        <f>TRIM(PROPER(Tabla_auditoría[[#This Row],[ID_Campaña]]))</f>
        <v>Cmp-021</v>
      </c>
      <c r="O1795" t="str">
        <f>TRIM(PROPER(Tabla_auditoría[[#This Row],[Canal]]))</f>
        <v>Display</v>
      </c>
      <c r="P1795" t="str">
        <f>TRIM(PROPER(Tabla_auditoría[[#This Row],[País]]))</f>
        <v>España</v>
      </c>
      <c r="Q1795" t="str">
        <f>TRIM(PROPER(Tabla_auditoría[[#This Row],[Dispositivo]]))</f>
        <v>Mobile</v>
      </c>
      <c r="R1795" t="str">
        <f>TRIM(PROPER(Tabla_auditoría[[#This Row],[Tipo_Campaña]]))</f>
        <v>Reconocimiento</v>
      </c>
      <c r="S1795" t="str">
        <f>TRIM(PROPER(Tabla_auditoría[[#This Row],[Responsable]]))</f>
        <v>Laura Pérez</v>
      </c>
    </row>
    <row r="1796" spans="1:19" x14ac:dyDescent="0.3">
      <c r="A1796" s="1">
        <v>45808</v>
      </c>
      <c r="B1796" s="2" t="s">
        <v>2566</v>
      </c>
      <c r="C1796" s="2" t="s">
        <v>2527</v>
      </c>
      <c r="D1796" s="2" t="s">
        <v>2531</v>
      </c>
      <c r="E1796" s="2" t="s">
        <v>2529</v>
      </c>
      <c r="F1796" s="3">
        <v>70344</v>
      </c>
      <c r="G1796" s="3">
        <v>4111</v>
      </c>
      <c r="H1796" s="3">
        <v>338</v>
      </c>
      <c r="I1796" s="4">
        <v>3361.51</v>
      </c>
      <c r="J1796" s="4">
        <v>56576.27</v>
      </c>
      <c r="K1796" s="3">
        <v>162</v>
      </c>
      <c r="L1796" s="2" t="s">
        <v>2523</v>
      </c>
      <c r="M1796" s="2" t="s">
        <v>2537</v>
      </c>
      <c r="N1796" t="str">
        <f>TRIM(PROPER(Tabla_auditoría[[#This Row],[ID_Campaña]]))</f>
        <v>Cmp-001</v>
      </c>
      <c r="O1796" t="str">
        <f>TRIM(PROPER(Tabla_auditoría[[#This Row],[Canal]]))</f>
        <v>Affiliate</v>
      </c>
      <c r="P1796" t="str">
        <f>TRIM(PROPER(Tabla_auditoría[[#This Row],[País]]))</f>
        <v>Portugal</v>
      </c>
      <c r="Q1796" t="str">
        <f>TRIM(PROPER(Tabla_auditoría[[#This Row],[Dispositivo]]))</f>
        <v>Mobile</v>
      </c>
      <c r="R1796" t="str">
        <f>TRIM(PROPER(Tabla_auditoría[[#This Row],[Tipo_Campaña]]))</f>
        <v>Retención</v>
      </c>
      <c r="S1796" t="str">
        <f>TRIM(PROPER(Tabla_auditoría[[#This Row],[Responsable]]))</f>
        <v>Marta López</v>
      </c>
    </row>
    <row r="1797" spans="1:19" x14ac:dyDescent="0.3">
      <c r="A1797" s="1">
        <v>45989</v>
      </c>
      <c r="B1797" s="2" t="s">
        <v>2567</v>
      </c>
      <c r="C1797" s="2" t="s">
        <v>2515</v>
      </c>
      <c r="D1797" s="2" t="s">
        <v>2528</v>
      </c>
      <c r="E1797" s="2" t="s">
        <v>2517</v>
      </c>
      <c r="F1797" s="3">
        <v>84877</v>
      </c>
      <c r="G1797" s="3">
        <v>4421</v>
      </c>
      <c r="H1797" s="3">
        <v>74</v>
      </c>
      <c r="I1797" s="4">
        <v>8776.5499999999993</v>
      </c>
      <c r="J1797" s="4">
        <v>15209.49</v>
      </c>
      <c r="K1797" s="3">
        <v>43</v>
      </c>
      <c r="L1797" s="2" t="s">
        <v>2539</v>
      </c>
      <c r="M1797" s="2" t="s">
        <v>2537</v>
      </c>
      <c r="N1797" t="str">
        <f>TRIM(PROPER(Tabla_auditoría[[#This Row],[ID_Campaña]]))</f>
        <v>Cmp-021</v>
      </c>
      <c r="O1797" t="str">
        <f>TRIM(PROPER(Tabla_auditoría[[#This Row],[Canal]]))</f>
        <v>Email</v>
      </c>
      <c r="P1797" t="str">
        <f>TRIM(PROPER(Tabla_auditoría[[#This Row],[País]]))</f>
        <v>España</v>
      </c>
      <c r="Q1797" t="str">
        <f>TRIM(PROPER(Tabla_auditoría[[#This Row],[Dispositivo]]))</f>
        <v>Desktop</v>
      </c>
      <c r="R1797" t="str">
        <f>TRIM(PROPER(Tabla_auditoría[[#This Row],[Tipo_Campaña]]))</f>
        <v>Conversión</v>
      </c>
      <c r="S1797" t="str">
        <f>TRIM(PROPER(Tabla_auditoría[[#This Row],[Responsable]]))</f>
        <v>Marta López</v>
      </c>
    </row>
    <row r="1798" spans="1:19" x14ac:dyDescent="0.3">
      <c r="A1798" s="1">
        <v>45865</v>
      </c>
      <c r="B1798" s="2" t="s">
        <v>2520</v>
      </c>
      <c r="C1798" s="2" t="s">
        <v>2543</v>
      </c>
      <c r="D1798" s="2" t="s">
        <v>2531</v>
      </c>
      <c r="E1798" s="2" t="s">
        <v>2517</v>
      </c>
      <c r="F1798" s="3">
        <v>13545</v>
      </c>
      <c r="G1798" s="3">
        <v>253</v>
      </c>
      <c r="H1798" s="3">
        <v>29</v>
      </c>
      <c r="I1798" s="4">
        <v>424.78</v>
      </c>
      <c r="J1798" s="4">
        <v>3750.25</v>
      </c>
      <c r="K1798" s="3">
        <v>16</v>
      </c>
      <c r="L1798" s="2" t="s">
        <v>2518</v>
      </c>
      <c r="M1798" s="2" t="s">
        <v>2526</v>
      </c>
      <c r="N1798" t="str">
        <f>TRIM(PROPER(Tabla_auditoría[[#This Row],[ID_Campaña]]))</f>
        <v>Cmp-009</v>
      </c>
      <c r="O1798" t="str">
        <f>TRIM(PROPER(Tabla_auditoría[[#This Row],[Canal]]))</f>
        <v>Organic Social</v>
      </c>
      <c r="P1798" t="str">
        <f>TRIM(PROPER(Tabla_auditoría[[#This Row],[País]]))</f>
        <v>Portugal</v>
      </c>
      <c r="Q1798" t="str">
        <f>TRIM(PROPER(Tabla_auditoría[[#This Row],[Dispositivo]]))</f>
        <v>Desktop</v>
      </c>
      <c r="R1798" t="str">
        <f>TRIM(PROPER(Tabla_auditoría[[#This Row],[Tipo_Campaña]]))</f>
        <v>Adquisición</v>
      </c>
      <c r="S1798" t="str">
        <f>TRIM(PROPER(Tabla_auditoría[[#This Row],[Responsable]]))</f>
        <v>Laura Pérez</v>
      </c>
    </row>
    <row r="1799" spans="1:19" x14ac:dyDescent="0.3">
      <c r="A1799" s="1">
        <v>46019</v>
      </c>
      <c r="B1799" s="2" t="s">
        <v>2549</v>
      </c>
      <c r="C1799" s="2" t="s">
        <v>2521</v>
      </c>
      <c r="D1799" s="2" t="s">
        <v>2528</v>
      </c>
      <c r="E1799" s="2" t="s">
        <v>2529</v>
      </c>
      <c r="F1799" s="3">
        <v>150469</v>
      </c>
      <c r="G1799" s="3">
        <v>2089</v>
      </c>
      <c r="H1799" s="3">
        <v>215</v>
      </c>
      <c r="I1799" s="4">
        <v>4146.28</v>
      </c>
      <c r="J1799" s="4">
        <v>7867.52</v>
      </c>
      <c r="K1799" s="3">
        <v>164</v>
      </c>
      <c r="L1799" s="2" t="s">
        <v>2536</v>
      </c>
      <c r="M1799" s="2" t="s">
        <v>2524</v>
      </c>
      <c r="N1799" t="str">
        <f>TRIM(PROPER(Tabla_auditoría[[#This Row],[ID_Campaña]]))</f>
        <v>Cmp-007</v>
      </c>
      <c r="O1799" t="str">
        <f>TRIM(PROPER(Tabla_auditoría[[#This Row],[Canal]]))</f>
        <v>Paid Search</v>
      </c>
      <c r="P1799" t="str">
        <f>TRIM(PROPER(Tabla_auditoría[[#This Row],[País]]))</f>
        <v>España</v>
      </c>
      <c r="Q1799" t="str">
        <f>TRIM(PROPER(Tabla_auditoría[[#This Row],[Dispositivo]]))</f>
        <v>Mobile</v>
      </c>
      <c r="R1799" t="str">
        <f>TRIM(PROPER(Tabla_auditoría[[#This Row],[Tipo_Campaña]]))</f>
        <v>Reconocimiento</v>
      </c>
      <c r="S1799" t="str">
        <f>TRIM(PROPER(Tabla_auditoría[[#This Row],[Responsable]]))</f>
        <v>Luis Martín</v>
      </c>
    </row>
    <row r="1800" spans="1:19" x14ac:dyDescent="0.3">
      <c r="A1800" s="1">
        <v>45944</v>
      </c>
      <c r="B1800" s="2" t="s">
        <v>2598</v>
      </c>
      <c r="C1800" s="2" t="s">
        <v>2521</v>
      </c>
      <c r="D1800" s="2" t="s">
        <v>2525</v>
      </c>
      <c r="E1800" s="2" t="s">
        <v>2529</v>
      </c>
      <c r="F1800" s="3">
        <v>7356</v>
      </c>
      <c r="G1800" s="3">
        <v>162</v>
      </c>
      <c r="H1800" s="3">
        <v>8</v>
      </c>
      <c r="I1800" s="4">
        <v>60.24</v>
      </c>
      <c r="J1800" s="4">
        <v>760.64</v>
      </c>
      <c r="K1800" s="3">
        <v>6</v>
      </c>
      <c r="L1800" s="2" t="s">
        <v>2536</v>
      </c>
      <c r="M1800" s="2" t="s">
        <v>2526</v>
      </c>
      <c r="N1800" t="str">
        <f>TRIM(PROPER(Tabla_auditoría[[#This Row],[ID_Campaña]]))</f>
        <v>Cmp-008</v>
      </c>
      <c r="O1800" t="str">
        <f>TRIM(PROPER(Tabla_auditoría[[#This Row],[Canal]]))</f>
        <v>Paid Search</v>
      </c>
      <c r="P1800" t="str">
        <f>TRIM(PROPER(Tabla_auditoría[[#This Row],[País]]))</f>
        <v>Francia</v>
      </c>
      <c r="Q1800" t="str">
        <f>TRIM(PROPER(Tabla_auditoría[[#This Row],[Dispositivo]]))</f>
        <v>Mobile</v>
      </c>
      <c r="R1800" t="str">
        <f>TRIM(PROPER(Tabla_auditoría[[#This Row],[Tipo_Campaña]]))</f>
        <v>Reconocimiento</v>
      </c>
      <c r="S1800" t="str">
        <f>TRIM(PROPER(Tabla_auditoría[[#This Row],[Responsable]]))</f>
        <v>Laura Pérez</v>
      </c>
    </row>
    <row r="1801" spans="1:19" x14ac:dyDescent="0.3">
      <c r="A1801" s="1">
        <v>45882</v>
      </c>
      <c r="B1801" s="2" t="s">
        <v>2560</v>
      </c>
      <c r="C1801" s="2" t="s">
        <v>2515</v>
      </c>
      <c r="D1801" s="2" t="s">
        <v>2525</v>
      </c>
      <c r="E1801" s="2" t="s">
        <v>2529</v>
      </c>
      <c r="F1801" s="3">
        <v>144729</v>
      </c>
      <c r="G1801" s="3">
        <v>7786</v>
      </c>
      <c r="H1801" s="3">
        <v>730</v>
      </c>
      <c r="I1801" s="4">
        <v>2415.6799999999998</v>
      </c>
      <c r="J1801" s="4">
        <v>61879.08</v>
      </c>
      <c r="K1801" s="3">
        <v>623</v>
      </c>
      <c r="L1801" s="2" t="s">
        <v>2518</v>
      </c>
      <c r="M1801" s="2" t="s">
        <v>2537</v>
      </c>
      <c r="N1801" t="str">
        <f>TRIM(PROPER(Tabla_auditoría[[#This Row],[ID_Campaña]]))</f>
        <v>Cmp-027</v>
      </c>
      <c r="O1801" t="str">
        <f>TRIM(PROPER(Tabla_auditoría[[#This Row],[Canal]]))</f>
        <v>Email</v>
      </c>
      <c r="P1801" t="str">
        <f>TRIM(PROPER(Tabla_auditoría[[#This Row],[País]]))</f>
        <v>Francia</v>
      </c>
      <c r="Q1801" t="str">
        <f>TRIM(PROPER(Tabla_auditoría[[#This Row],[Dispositivo]]))</f>
        <v>Mobile</v>
      </c>
      <c r="R1801" t="str">
        <f>TRIM(PROPER(Tabla_auditoría[[#This Row],[Tipo_Campaña]]))</f>
        <v>Adquisición</v>
      </c>
      <c r="S1801" t="str">
        <f>TRIM(PROPER(Tabla_auditoría[[#This Row],[Responsable]]))</f>
        <v>Marta López</v>
      </c>
    </row>
    <row r="1802" spans="1:19" x14ac:dyDescent="0.3">
      <c r="A1802" s="1">
        <v>45792</v>
      </c>
      <c r="B1802" s="2" t="s">
        <v>2547</v>
      </c>
      <c r="C1802" s="2" t="s">
        <v>2515</v>
      </c>
      <c r="D1802" s="2" t="s">
        <v>2528</v>
      </c>
      <c r="E1802" s="2" t="s">
        <v>2529</v>
      </c>
      <c r="F1802" s="3">
        <v>46391</v>
      </c>
      <c r="G1802" s="3">
        <v>4052</v>
      </c>
      <c r="H1802" s="3">
        <v>566</v>
      </c>
      <c r="I1802" s="4">
        <v>7701.91</v>
      </c>
      <c r="J1802" s="4">
        <v>56826.89</v>
      </c>
      <c r="K1802" s="3">
        <v>407</v>
      </c>
      <c r="L1802" s="2" t="s">
        <v>2523</v>
      </c>
      <c r="M1802" s="2" t="s">
        <v>2524</v>
      </c>
      <c r="N1802" t="str">
        <f>TRIM(PROPER(Tabla_auditoría[[#This Row],[ID_Campaña]]))</f>
        <v>Cmp-018</v>
      </c>
      <c r="O1802" t="str">
        <f>TRIM(PROPER(Tabla_auditoría[[#This Row],[Canal]]))</f>
        <v>Email</v>
      </c>
      <c r="P1802" t="str">
        <f>TRIM(PROPER(Tabla_auditoría[[#This Row],[País]]))</f>
        <v>España</v>
      </c>
      <c r="Q1802" t="str">
        <f>TRIM(PROPER(Tabla_auditoría[[#This Row],[Dispositivo]]))</f>
        <v>Mobile</v>
      </c>
      <c r="R1802" t="str">
        <f>TRIM(PROPER(Tabla_auditoría[[#This Row],[Tipo_Campaña]]))</f>
        <v>Retención</v>
      </c>
      <c r="S1802" t="str">
        <f>TRIM(PROPER(Tabla_auditoría[[#This Row],[Responsable]]))</f>
        <v>Luis Martín</v>
      </c>
    </row>
    <row r="1803" spans="1:19" x14ac:dyDescent="0.3">
      <c r="A1803" s="1">
        <v>45793</v>
      </c>
      <c r="B1803" s="2" t="s">
        <v>2563</v>
      </c>
      <c r="C1803" s="2" t="s">
        <v>2533</v>
      </c>
      <c r="D1803" s="2" t="s">
        <v>2528</v>
      </c>
      <c r="E1803" s="2" t="s">
        <v>2529</v>
      </c>
      <c r="F1803" s="3">
        <v>147529</v>
      </c>
      <c r="G1803" s="3">
        <v>6475</v>
      </c>
      <c r="H1803" s="3">
        <v>572</v>
      </c>
      <c r="I1803" s="4">
        <v>3302.13</v>
      </c>
      <c r="J1803" s="4">
        <v>29813.23</v>
      </c>
      <c r="K1803" s="3">
        <v>420</v>
      </c>
      <c r="L1803" s="2" t="s">
        <v>2539</v>
      </c>
      <c r="M1803" s="2" t="s">
        <v>2524</v>
      </c>
      <c r="N1803" t="str">
        <f>TRIM(PROPER(Tabla_auditoría[[#This Row],[ID_Campaña]]))</f>
        <v>Cmp-023</v>
      </c>
      <c r="O1803" t="str">
        <f>TRIM(PROPER(Tabla_auditoría[[#This Row],[Canal]]))</f>
        <v>Paid Social</v>
      </c>
      <c r="P1803" t="str">
        <f>TRIM(PROPER(Tabla_auditoría[[#This Row],[País]]))</f>
        <v>España</v>
      </c>
      <c r="Q1803" t="str">
        <f>TRIM(PROPER(Tabla_auditoría[[#This Row],[Dispositivo]]))</f>
        <v>Mobile</v>
      </c>
      <c r="R1803" t="str">
        <f>TRIM(PROPER(Tabla_auditoría[[#This Row],[Tipo_Campaña]]))</f>
        <v>Conversión</v>
      </c>
      <c r="S1803" t="str">
        <f>TRIM(PROPER(Tabla_auditoría[[#This Row],[Responsable]]))</f>
        <v>Luis Martín</v>
      </c>
    </row>
    <row r="1804" spans="1:19" x14ac:dyDescent="0.3">
      <c r="A1804" s="1">
        <v>45766</v>
      </c>
      <c r="B1804" s="2" t="s">
        <v>2565</v>
      </c>
      <c r="C1804" s="2" t="s">
        <v>2527</v>
      </c>
      <c r="D1804" s="2" t="s">
        <v>2525</v>
      </c>
      <c r="E1804" s="2" t="s">
        <v>2517</v>
      </c>
      <c r="F1804" s="3">
        <v>11759</v>
      </c>
      <c r="G1804" s="3">
        <v>678</v>
      </c>
      <c r="H1804" s="3">
        <v>43</v>
      </c>
      <c r="I1804" s="4">
        <v>218.78</v>
      </c>
      <c r="J1804" s="4">
        <v>6826.64</v>
      </c>
      <c r="K1804" s="3">
        <v>30</v>
      </c>
      <c r="L1804" s="2" t="s">
        <v>2523</v>
      </c>
      <c r="M1804" s="2" t="s">
        <v>2524</v>
      </c>
      <c r="N1804" t="str">
        <f>TRIM(PROPER(Tabla_auditoría[[#This Row],[ID_Campaña]]))</f>
        <v>Cmp-005</v>
      </c>
      <c r="O1804" t="str">
        <f>TRIM(PROPER(Tabla_auditoría[[#This Row],[Canal]]))</f>
        <v>Affiliate</v>
      </c>
      <c r="P1804" t="str">
        <f>TRIM(PROPER(Tabla_auditoría[[#This Row],[País]]))</f>
        <v>Francia</v>
      </c>
      <c r="Q1804" t="str">
        <f>TRIM(PROPER(Tabla_auditoría[[#This Row],[Dispositivo]]))</f>
        <v>Desktop</v>
      </c>
      <c r="R1804" t="str">
        <f>TRIM(PROPER(Tabla_auditoría[[#This Row],[Tipo_Campaña]]))</f>
        <v>Retención</v>
      </c>
      <c r="S1804" t="str">
        <f>TRIM(PROPER(Tabla_auditoría[[#This Row],[Responsable]]))</f>
        <v>Luis Martín</v>
      </c>
    </row>
    <row r="1805" spans="1:19" x14ac:dyDescent="0.3">
      <c r="A1805" s="1">
        <v>45844</v>
      </c>
      <c r="B1805" s="2" t="s">
        <v>2544</v>
      </c>
      <c r="C1805" s="2" t="s">
        <v>2515</v>
      </c>
      <c r="D1805" s="2" t="s">
        <v>2528</v>
      </c>
      <c r="E1805" s="2" t="s">
        <v>2529</v>
      </c>
      <c r="F1805" s="3">
        <v>10749</v>
      </c>
      <c r="G1805" s="3">
        <v>747</v>
      </c>
      <c r="H1805" s="3">
        <v>43</v>
      </c>
      <c r="I1805" s="4">
        <v>1070.3499999999999</v>
      </c>
      <c r="J1805" s="4">
        <v>2908.08</v>
      </c>
      <c r="K1805" s="3">
        <v>26</v>
      </c>
      <c r="L1805" s="2" t="s">
        <v>2539</v>
      </c>
      <c r="M1805" s="2" t="s">
        <v>2526</v>
      </c>
      <c r="N1805" t="str">
        <f>TRIM(PROPER(Tabla_auditoría[[#This Row],[ID_Campaña]]))</f>
        <v>Cmp-006</v>
      </c>
      <c r="O1805" t="str">
        <f>TRIM(PROPER(Tabla_auditoría[[#This Row],[Canal]]))</f>
        <v>Email</v>
      </c>
      <c r="P1805" t="str">
        <f>TRIM(PROPER(Tabla_auditoría[[#This Row],[País]]))</f>
        <v>España</v>
      </c>
      <c r="Q1805" t="str">
        <f>TRIM(PROPER(Tabla_auditoría[[#This Row],[Dispositivo]]))</f>
        <v>Mobile</v>
      </c>
      <c r="R1805" t="str">
        <f>TRIM(PROPER(Tabla_auditoría[[#This Row],[Tipo_Campaña]]))</f>
        <v>Conversión</v>
      </c>
      <c r="S1805" t="str">
        <f>TRIM(PROPER(Tabla_auditoría[[#This Row],[Responsable]]))</f>
        <v>Laura Pérez</v>
      </c>
    </row>
    <row r="1806" spans="1:19" x14ac:dyDescent="0.3">
      <c r="A1806" s="1">
        <v>45721</v>
      </c>
      <c r="B1806" s="2" t="s">
        <v>2555</v>
      </c>
      <c r="C1806" s="2" t="s">
        <v>2527</v>
      </c>
      <c r="D1806" s="2" t="s">
        <v>2516</v>
      </c>
      <c r="E1806" s="2" t="s">
        <v>2529</v>
      </c>
      <c r="F1806" s="3">
        <v>74153</v>
      </c>
      <c r="G1806" s="3">
        <v>1066</v>
      </c>
      <c r="H1806" s="3">
        <v>125</v>
      </c>
      <c r="I1806" s="4">
        <v>263.64999999999998</v>
      </c>
      <c r="J1806" s="4">
        <v>8715.89</v>
      </c>
      <c r="K1806" s="3">
        <v>111</v>
      </c>
      <c r="L1806" s="2" t="s">
        <v>2523</v>
      </c>
      <c r="M1806" s="2" t="s">
        <v>2546</v>
      </c>
      <c r="N1806" t="str">
        <f>TRIM(PROPER(Tabla_auditoría[[#This Row],[ID_Campaña]]))</f>
        <v>Cmp-010</v>
      </c>
      <c r="O1806" t="str">
        <f>TRIM(PROPER(Tabla_auditoría[[#This Row],[Canal]]))</f>
        <v>Affiliate</v>
      </c>
      <c r="P1806" t="str">
        <f>TRIM(PROPER(Tabla_auditoría[[#This Row],[País]]))</f>
        <v>México</v>
      </c>
      <c r="Q1806" t="str">
        <f>TRIM(PROPER(Tabla_auditoría[[#This Row],[Dispositivo]]))</f>
        <v>Mobile</v>
      </c>
      <c r="R1806" t="str">
        <f>TRIM(PROPER(Tabla_auditoría[[#This Row],[Tipo_Campaña]]))</f>
        <v>Retención</v>
      </c>
      <c r="S1806" t="str">
        <f>TRIM(PROPER(Tabla_auditoría[[#This Row],[Responsable]]))</f>
        <v>Ana García</v>
      </c>
    </row>
    <row r="1807" spans="1:19" x14ac:dyDescent="0.3">
      <c r="A1807" s="1">
        <v>45695</v>
      </c>
      <c r="B1807" s="2" t="s">
        <v>2557</v>
      </c>
      <c r="C1807" s="2" t="s">
        <v>2515</v>
      </c>
      <c r="D1807" s="2" t="s">
        <v>2528</v>
      </c>
      <c r="E1807" s="2" t="s">
        <v>2529</v>
      </c>
      <c r="F1807" s="3">
        <v>45452</v>
      </c>
      <c r="G1807" s="3">
        <v>3858</v>
      </c>
      <c r="H1807" s="3">
        <v>66</v>
      </c>
      <c r="I1807" s="4">
        <v>5607.9</v>
      </c>
      <c r="J1807" s="4">
        <v>13285.37</v>
      </c>
      <c r="K1807" s="3">
        <v>58</v>
      </c>
      <c r="L1807" s="2" t="s">
        <v>2518</v>
      </c>
      <c r="M1807" s="2" t="s">
        <v>2519</v>
      </c>
      <c r="N1807" t="str">
        <f>TRIM(PROPER(Tabla_auditoría[[#This Row],[ID_Campaña]]))</f>
        <v>Cmp-030</v>
      </c>
      <c r="O1807" t="str">
        <f>TRIM(PROPER(Tabla_auditoría[[#This Row],[Canal]]))</f>
        <v>Email</v>
      </c>
      <c r="P1807" t="str">
        <f>TRIM(PROPER(Tabla_auditoría[[#This Row],[País]]))</f>
        <v>España</v>
      </c>
      <c r="Q1807" t="str">
        <f>TRIM(PROPER(Tabla_auditoría[[#This Row],[Dispositivo]]))</f>
        <v>Mobile</v>
      </c>
      <c r="R1807" t="str">
        <f>TRIM(PROPER(Tabla_auditoría[[#This Row],[Tipo_Campaña]]))</f>
        <v>Adquisición</v>
      </c>
      <c r="S1807" t="str">
        <f>TRIM(PROPER(Tabla_auditoría[[#This Row],[Responsable]]))</f>
        <v>Carlos Ruiz</v>
      </c>
    </row>
    <row r="1808" spans="1:19" x14ac:dyDescent="0.3">
      <c r="A1808" s="1">
        <v>45685</v>
      </c>
      <c r="B1808" s="2" t="s">
        <v>2598</v>
      </c>
      <c r="C1808" s="2" t="s">
        <v>2515</v>
      </c>
      <c r="D1808" s="2" t="s">
        <v>2525</v>
      </c>
      <c r="E1808" s="2" t="s">
        <v>2534</v>
      </c>
      <c r="F1808" s="3">
        <v>79615</v>
      </c>
      <c r="G1808" s="3">
        <v>5249</v>
      </c>
      <c r="H1808" s="3">
        <v>215</v>
      </c>
      <c r="I1808" s="4">
        <v>2127.0100000000002</v>
      </c>
      <c r="J1808" s="4">
        <v>15654.98</v>
      </c>
      <c r="K1808" s="3">
        <v>146</v>
      </c>
      <c r="L1808" s="2" t="s">
        <v>2539</v>
      </c>
      <c r="M1808" s="2" t="s">
        <v>2546</v>
      </c>
      <c r="N1808" t="str">
        <f>TRIM(PROPER(Tabla_auditoría[[#This Row],[ID_Campaña]]))</f>
        <v>Cmp-008</v>
      </c>
      <c r="O1808" t="str">
        <f>TRIM(PROPER(Tabla_auditoría[[#This Row],[Canal]]))</f>
        <v>Email</v>
      </c>
      <c r="P1808" t="str">
        <f>TRIM(PROPER(Tabla_auditoría[[#This Row],[País]]))</f>
        <v>Francia</v>
      </c>
      <c r="Q1808" t="str">
        <f>TRIM(PROPER(Tabla_auditoría[[#This Row],[Dispositivo]]))</f>
        <v>Tablet</v>
      </c>
      <c r="R1808" t="str">
        <f>TRIM(PROPER(Tabla_auditoría[[#This Row],[Tipo_Campaña]]))</f>
        <v>Conversión</v>
      </c>
      <c r="S1808" t="str">
        <f>TRIM(PROPER(Tabla_auditoría[[#This Row],[Responsable]]))</f>
        <v>Ana García</v>
      </c>
    </row>
    <row r="1809" spans="1:19" x14ac:dyDescent="0.3">
      <c r="A1809" s="1">
        <v>45734</v>
      </c>
      <c r="B1809" s="2" t="s">
        <v>2569</v>
      </c>
      <c r="C1809" s="2" t="s">
        <v>2515</v>
      </c>
      <c r="D1809" s="2" t="s">
        <v>2528</v>
      </c>
      <c r="E1809" s="2" t="s">
        <v>2517</v>
      </c>
      <c r="F1809" s="3">
        <v>21547</v>
      </c>
      <c r="G1809" s="3">
        <v>363</v>
      </c>
      <c r="H1809" s="3">
        <v>18</v>
      </c>
      <c r="J1809" s="4">
        <v>1251.1400000000001</v>
      </c>
      <c r="K1809" s="3">
        <v>10</v>
      </c>
      <c r="L1809" s="2" t="s">
        <v>2536</v>
      </c>
      <c r="M1809" s="2" t="s">
        <v>2526</v>
      </c>
      <c r="N1809" t="str">
        <f>TRIM(PROPER(Tabla_auditoría[[#This Row],[ID_Campaña]]))</f>
        <v>Cmp-013</v>
      </c>
      <c r="O1809" t="str">
        <f>TRIM(PROPER(Tabla_auditoría[[#This Row],[Canal]]))</f>
        <v>Email</v>
      </c>
      <c r="P1809" t="str">
        <f>TRIM(PROPER(Tabla_auditoría[[#This Row],[País]]))</f>
        <v>España</v>
      </c>
      <c r="Q1809" t="str">
        <f>TRIM(PROPER(Tabla_auditoría[[#This Row],[Dispositivo]]))</f>
        <v>Desktop</v>
      </c>
      <c r="R1809" t="str">
        <f>TRIM(PROPER(Tabla_auditoría[[#This Row],[Tipo_Campaña]]))</f>
        <v>Reconocimiento</v>
      </c>
      <c r="S1809" t="str">
        <f>TRIM(PROPER(Tabla_auditoría[[#This Row],[Responsable]]))</f>
        <v>Laura Pérez</v>
      </c>
    </row>
    <row r="1810" spans="1:19" x14ac:dyDescent="0.3">
      <c r="A1810" s="1">
        <v>45839</v>
      </c>
      <c r="B1810" s="2" t="s">
        <v>2564</v>
      </c>
      <c r="C1810" s="2" t="s">
        <v>2521</v>
      </c>
      <c r="D1810" s="2" t="s">
        <v>2528</v>
      </c>
      <c r="E1810" s="2" t="s">
        <v>2529</v>
      </c>
      <c r="F1810" s="3">
        <v>17910</v>
      </c>
      <c r="G1810" s="3">
        <v>250</v>
      </c>
      <c r="H1810" s="3">
        <v>2</v>
      </c>
      <c r="I1810" s="4">
        <v>202.26</v>
      </c>
      <c r="J1810" s="4">
        <v>237.55</v>
      </c>
      <c r="K1810" s="3">
        <v>1</v>
      </c>
      <c r="L1810" s="2" t="s">
        <v>2539</v>
      </c>
      <c r="M1810" s="2" t="s">
        <v>2537</v>
      </c>
      <c r="N1810" t="str">
        <f>TRIM(PROPER(Tabla_auditoría[[#This Row],[ID_Campaña]]))</f>
        <v>Cmp-024</v>
      </c>
      <c r="O1810" t="str">
        <f>TRIM(PROPER(Tabla_auditoría[[#This Row],[Canal]]))</f>
        <v>Paid Search</v>
      </c>
      <c r="P1810" t="str">
        <f>TRIM(PROPER(Tabla_auditoría[[#This Row],[País]]))</f>
        <v>España</v>
      </c>
      <c r="Q1810" t="str">
        <f>TRIM(PROPER(Tabla_auditoría[[#This Row],[Dispositivo]]))</f>
        <v>Mobile</v>
      </c>
      <c r="R1810" t="str">
        <f>TRIM(PROPER(Tabla_auditoría[[#This Row],[Tipo_Campaña]]))</f>
        <v>Conversión</v>
      </c>
      <c r="S1810" t="str">
        <f>TRIM(PROPER(Tabla_auditoría[[#This Row],[Responsable]]))</f>
        <v>Marta López</v>
      </c>
    </row>
    <row r="1811" spans="1:19" x14ac:dyDescent="0.3">
      <c r="A1811" s="1">
        <v>45710</v>
      </c>
      <c r="B1811" s="2" t="s">
        <v>2560</v>
      </c>
      <c r="C1811" s="2" t="s">
        <v>2527</v>
      </c>
      <c r="D1811" s="2" t="s">
        <v>2531</v>
      </c>
      <c r="E1811" s="2" t="s">
        <v>2529</v>
      </c>
      <c r="F1811" s="3">
        <v>24544</v>
      </c>
      <c r="G1811" s="3">
        <v>934</v>
      </c>
      <c r="H1811" s="3">
        <v>76</v>
      </c>
      <c r="I1811" s="4">
        <v>1307.1500000000001</v>
      </c>
      <c r="J1811" s="4">
        <v>9350.6</v>
      </c>
      <c r="K1811" s="3">
        <v>66</v>
      </c>
      <c r="L1811" s="2" t="s">
        <v>2523</v>
      </c>
      <c r="M1811" s="2" t="s">
        <v>2524</v>
      </c>
      <c r="N1811" t="str">
        <f>TRIM(PROPER(Tabla_auditoría[[#This Row],[ID_Campaña]]))</f>
        <v>Cmp-027</v>
      </c>
      <c r="O1811" t="str">
        <f>TRIM(PROPER(Tabla_auditoría[[#This Row],[Canal]]))</f>
        <v>Affiliate</v>
      </c>
      <c r="P1811" t="str">
        <f>TRIM(PROPER(Tabla_auditoría[[#This Row],[País]]))</f>
        <v>Portugal</v>
      </c>
      <c r="Q1811" t="str">
        <f>TRIM(PROPER(Tabla_auditoría[[#This Row],[Dispositivo]]))</f>
        <v>Mobile</v>
      </c>
      <c r="R1811" t="str">
        <f>TRIM(PROPER(Tabla_auditoría[[#This Row],[Tipo_Campaña]]))</f>
        <v>Retención</v>
      </c>
      <c r="S1811" t="str">
        <f>TRIM(PROPER(Tabla_auditoría[[#This Row],[Responsable]]))</f>
        <v>Luis Martín</v>
      </c>
    </row>
    <row r="1812" spans="1:19" x14ac:dyDescent="0.3">
      <c r="A1812" s="1">
        <v>46008</v>
      </c>
      <c r="B1812" s="2" t="s">
        <v>2571</v>
      </c>
      <c r="C1812" s="2" t="s">
        <v>2541</v>
      </c>
      <c r="D1812" s="2" t="s">
        <v>2525</v>
      </c>
      <c r="E1812" s="2" t="s">
        <v>2529</v>
      </c>
      <c r="F1812" s="3">
        <v>126646</v>
      </c>
      <c r="G1812" s="3">
        <v>8908</v>
      </c>
      <c r="H1812" s="3">
        <v>191</v>
      </c>
      <c r="I1812" s="4">
        <v>5105.7700000000004</v>
      </c>
      <c r="J1812" s="4">
        <v>17217.29</v>
      </c>
      <c r="K1812" s="3">
        <v>142</v>
      </c>
      <c r="L1812" s="2" t="s">
        <v>2518</v>
      </c>
      <c r="M1812" s="2" t="s">
        <v>2526</v>
      </c>
      <c r="N1812" t="str">
        <f>TRIM(PROPER(Tabla_auditoría[[#This Row],[ID_Campaña]]))</f>
        <v>Cmp-029</v>
      </c>
      <c r="O1812" t="str">
        <f>TRIM(PROPER(Tabla_auditoría[[#This Row],[Canal]]))</f>
        <v>Display</v>
      </c>
      <c r="P1812" t="str">
        <f>TRIM(PROPER(Tabla_auditoría[[#This Row],[País]]))</f>
        <v>Francia</v>
      </c>
      <c r="Q1812" t="str">
        <f>TRIM(PROPER(Tabla_auditoría[[#This Row],[Dispositivo]]))</f>
        <v>Mobile</v>
      </c>
      <c r="R1812" t="str">
        <f>TRIM(PROPER(Tabla_auditoría[[#This Row],[Tipo_Campaña]]))</f>
        <v>Adquisición</v>
      </c>
      <c r="S1812" t="str">
        <f>TRIM(PROPER(Tabla_auditoría[[#This Row],[Responsable]]))</f>
        <v>Laura Pérez</v>
      </c>
    </row>
    <row r="1813" spans="1:19" x14ac:dyDescent="0.3">
      <c r="A1813" s="1">
        <v>45833</v>
      </c>
      <c r="B1813" s="2" t="s">
        <v>2565</v>
      </c>
      <c r="C1813" s="2" t="s">
        <v>2515</v>
      </c>
      <c r="D1813" s="2" t="s">
        <v>2528</v>
      </c>
      <c r="E1813" s="2" t="s">
        <v>2517</v>
      </c>
      <c r="F1813" s="3">
        <v>28619</v>
      </c>
      <c r="G1813" s="3">
        <v>2304</v>
      </c>
      <c r="H1813" s="3">
        <v>153</v>
      </c>
      <c r="I1813" s="4">
        <v>4577.62</v>
      </c>
      <c r="J1813" s="4">
        <v>8727.06</v>
      </c>
      <c r="K1813" s="3">
        <v>112</v>
      </c>
      <c r="L1813" s="2" t="s">
        <v>2518</v>
      </c>
      <c r="M1813" s="2" t="s">
        <v>2526</v>
      </c>
      <c r="N1813" t="str">
        <f>TRIM(PROPER(Tabla_auditoría[[#This Row],[ID_Campaña]]))</f>
        <v>Cmp-005</v>
      </c>
      <c r="O1813" t="str">
        <f>TRIM(PROPER(Tabla_auditoría[[#This Row],[Canal]]))</f>
        <v>Email</v>
      </c>
      <c r="P1813" t="str">
        <f>TRIM(PROPER(Tabla_auditoría[[#This Row],[País]]))</f>
        <v>España</v>
      </c>
      <c r="Q1813" t="str">
        <f>TRIM(PROPER(Tabla_auditoría[[#This Row],[Dispositivo]]))</f>
        <v>Desktop</v>
      </c>
      <c r="R1813" t="str">
        <f>TRIM(PROPER(Tabla_auditoría[[#This Row],[Tipo_Campaña]]))</f>
        <v>Adquisición</v>
      </c>
      <c r="S1813" t="str">
        <f>TRIM(PROPER(Tabla_auditoría[[#This Row],[Responsable]]))</f>
        <v>Laura Pérez</v>
      </c>
    </row>
    <row r="1814" spans="1:19" x14ac:dyDescent="0.3">
      <c r="A1814" s="1">
        <v>45983</v>
      </c>
      <c r="B1814" s="2" t="s">
        <v>2549</v>
      </c>
      <c r="C1814" s="2" t="s">
        <v>2541</v>
      </c>
      <c r="D1814" s="2" t="s">
        <v>2522</v>
      </c>
      <c r="E1814" s="2" t="s">
        <v>2529</v>
      </c>
      <c r="F1814" s="3">
        <v>126780</v>
      </c>
      <c r="G1814" s="3">
        <v>9423</v>
      </c>
      <c r="H1814" s="3">
        <v>794</v>
      </c>
      <c r="I1814" s="4">
        <v>14223.2</v>
      </c>
      <c r="J1814" s="4">
        <v>135883.66</v>
      </c>
      <c r="K1814" s="3">
        <v>611</v>
      </c>
      <c r="L1814" s="2" t="s">
        <v>2518</v>
      </c>
      <c r="M1814" s="2" t="s">
        <v>2519</v>
      </c>
      <c r="N1814" t="str">
        <f>TRIM(PROPER(Tabla_auditoría[[#This Row],[ID_Campaña]]))</f>
        <v>Cmp-007</v>
      </c>
      <c r="O1814" t="str">
        <f>TRIM(PROPER(Tabla_auditoría[[#This Row],[Canal]]))</f>
        <v>Display</v>
      </c>
      <c r="P1814" t="str">
        <f>TRIM(PROPER(Tabla_auditoría[[#This Row],[País]]))</f>
        <v>Italia</v>
      </c>
      <c r="Q1814" t="str">
        <f>TRIM(PROPER(Tabla_auditoría[[#This Row],[Dispositivo]]))</f>
        <v>Mobile</v>
      </c>
      <c r="R1814" t="str">
        <f>TRIM(PROPER(Tabla_auditoría[[#This Row],[Tipo_Campaña]]))</f>
        <v>Adquisición</v>
      </c>
      <c r="S1814" t="str">
        <f>TRIM(PROPER(Tabla_auditoría[[#This Row],[Responsable]]))</f>
        <v>Carlos Ruiz</v>
      </c>
    </row>
    <row r="1815" spans="1:19" x14ac:dyDescent="0.3">
      <c r="A1815" s="1">
        <v>45877</v>
      </c>
      <c r="B1815" s="2" t="s">
        <v>2563</v>
      </c>
      <c r="C1815" s="2" t="s">
        <v>2521</v>
      </c>
      <c r="D1815" s="2" t="s">
        <v>2528</v>
      </c>
      <c r="E1815" s="2" t="s">
        <v>2517</v>
      </c>
      <c r="F1815" s="3">
        <v>70764</v>
      </c>
      <c r="G1815" s="3">
        <v>2336</v>
      </c>
      <c r="H1815" s="3">
        <v>228</v>
      </c>
      <c r="I1815" s="4">
        <v>942.98</v>
      </c>
      <c r="J1815" s="4">
        <v>41745.86</v>
      </c>
      <c r="K1815" s="3">
        <v>116</v>
      </c>
      <c r="L1815" s="2" t="s">
        <v>2539</v>
      </c>
      <c r="M1815" s="2" t="s">
        <v>2519</v>
      </c>
      <c r="N1815" t="str">
        <f>TRIM(PROPER(Tabla_auditoría[[#This Row],[ID_Campaña]]))</f>
        <v>Cmp-023</v>
      </c>
      <c r="O1815" t="str">
        <f>TRIM(PROPER(Tabla_auditoría[[#This Row],[Canal]]))</f>
        <v>Paid Search</v>
      </c>
      <c r="P1815" t="str">
        <f>TRIM(PROPER(Tabla_auditoría[[#This Row],[País]]))</f>
        <v>España</v>
      </c>
      <c r="Q1815" t="str">
        <f>TRIM(PROPER(Tabla_auditoría[[#This Row],[Dispositivo]]))</f>
        <v>Desktop</v>
      </c>
      <c r="R1815" t="str">
        <f>TRIM(PROPER(Tabla_auditoría[[#This Row],[Tipo_Campaña]]))</f>
        <v>Conversión</v>
      </c>
      <c r="S1815" t="str">
        <f>TRIM(PROPER(Tabla_auditoría[[#This Row],[Responsable]]))</f>
        <v>Carlos Ruiz</v>
      </c>
    </row>
    <row r="1816" spans="1:19" x14ac:dyDescent="0.3">
      <c r="A1816" s="1">
        <v>45944</v>
      </c>
      <c r="B1816" s="2" t="s">
        <v>2557</v>
      </c>
      <c r="C1816" s="2" t="s">
        <v>2533</v>
      </c>
      <c r="D1816" s="2" t="s">
        <v>2528</v>
      </c>
      <c r="E1816" s="2" t="s">
        <v>2517</v>
      </c>
      <c r="F1816" s="3">
        <v>118667</v>
      </c>
      <c r="G1816" s="3">
        <v>4655</v>
      </c>
      <c r="H1816" s="3">
        <v>231</v>
      </c>
      <c r="I1816" s="4">
        <v>4241.1099999999997</v>
      </c>
      <c r="J1816" s="4">
        <v>44804.83</v>
      </c>
      <c r="K1816" s="3">
        <v>205</v>
      </c>
      <c r="L1816" s="2" t="s">
        <v>2518</v>
      </c>
      <c r="M1816" s="2" t="s">
        <v>2537</v>
      </c>
      <c r="N1816" t="str">
        <f>TRIM(PROPER(Tabla_auditoría[[#This Row],[ID_Campaña]]))</f>
        <v>Cmp-030</v>
      </c>
      <c r="O1816" t="str">
        <f>TRIM(PROPER(Tabla_auditoría[[#This Row],[Canal]]))</f>
        <v>Paid Social</v>
      </c>
      <c r="P1816" t="str">
        <f>TRIM(PROPER(Tabla_auditoría[[#This Row],[País]]))</f>
        <v>España</v>
      </c>
      <c r="Q1816" t="str">
        <f>TRIM(PROPER(Tabla_auditoría[[#This Row],[Dispositivo]]))</f>
        <v>Desktop</v>
      </c>
      <c r="R1816" t="str">
        <f>TRIM(PROPER(Tabla_auditoría[[#This Row],[Tipo_Campaña]]))</f>
        <v>Adquisición</v>
      </c>
      <c r="S1816" t="str">
        <f>TRIM(PROPER(Tabla_auditoría[[#This Row],[Responsable]]))</f>
        <v>Marta López</v>
      </c>
    </row>
    <row r="1817" spans="1:19" x14ac:dyDescent="0.3">
      <c r="A1817" s="1">
        <v>45763</v>
      </c>
      <c r="B1817" s="2" t="s">
        <v>2564</v>
      </c>
      <c r="C1817" s="2" t="s">
        <v>2543</v>
      </c>
      <c r="D1817" s="2" t="s">
        <v>2522</v>
      </c>
      <c r="E1817" s="2" t="s">
        <v>2529</v>
      </c>
      <c r="F1817" s="3">
        <v>48889</v>
      </c>
      <c r="G1817" s="3">
        <v>2667</v>
      </c>
      <c r="H1817" s="3">
        <v>56</v>
      </c>
      <c r="I1817" s="4">
        <v>374.14</v>
      </c>
      <c r="J1817" s="4">
        <v>9864.67</v>
      </c>
      <c r="K1817" s="3">
        <v>47</v>
      </c>
      <c r="L1817" s="2" t="s">
        <v>2523</v>
      </c>
      <c r="M1817" s="2" t="s">
        <v>2526</v>
      </c>
      <c r="N1817" t="str">
        <f>TRIM(PROPER(Tabla_auditoría[[#This Row],[ID_Campaña]]))</f>
        <v>Cmp-024</v>
      </c>
      <c r="O1817" t="str">
        <f>TRIM(PROPER(Tabla_auditoría[[#This Row],[Canal]]))</f>
        <v>Organic Social</v>
      </c>
      <c r="P1817" t="str">
        <f>TRIM(PROPER(Tabla_auditoría[[#This Row],[País]]))</f>
        <v>Italia</v>
      </c>
      <c r="Q1817" t="str">
        <f>TRIM(PROPER(Tabla_auditoría[[#This Row],[Dispositivo]]))</f>
        <v>Mobile</v>
      </c>
      <c r="R1817" t="str">
        <f>TRIM(PROPER(Tabla_auditoría[[#This Row],[Tipo_Campaña]]))</f>
        <v>Retención</v>
      </c>
      <c r="S1817" t="str">
        <f>TRIM(PROPER(Tabla_auditoría[[#This Row],[Responsable]]))</f>
        <v>Laura Pérez</v>
      </c>
    </row>
    <row r="1818" spans="1:19" x14ac:dyDescent="0.3">
      <c r="A1818" s="1">
        <v>46020</v>
      </c>
      <c r="B1818" s="2" t="s">
        <v>2551</v>
      </c>
      <c r="C1818" s="2" t="s">
        <v>2521</v>
      </c>
      <c r="D1818" s="2" t="s">
        <v>2531</v>
      </c>
      <c r="E1818" s="2" t="s">
        <v>2517</v>
      </c>
      <c r="F1818" s="3">
        <v>115130</v>
      </c>
      <c r="G1818" s="3">
        <v>7384</v>
      </c>
      <c r="H1818" s="3">
        <v>372</v>
      </c>
      <c r="I1818" s="4">
        <v>6867.44</v>
      </c>
      <c r="J1818" s="4">
        <v>63344.39</v>
      </c>
      <c r="K1818" s="3">
        <v>231</v>
      </c>
      <c r="L1818" s="2" t="s">
        <v>2518</v>
      </c>
      <c r="M1818" s="2" t="s">
        <v>2546</v>
      </c>
      <c r="N1818" t="str">
        <f>TRIM(PROPER(Tabla_auditoría[[#This Row],[ID_Campaña]]))</f>
        <v>Cmp-028</v>
      </c>
      <c r="O1818" t="str">
        <f>TRIM(PROPER(Tabla_auditoría[[#This Row],[Canal]]))</f>
        <v>Paid Search</v>
      </c>
      <c r="P1818" t="str">
        <f>TRIM(PROPER(Tabla_auditoría[[#This Row],[País]]))</f>
        <v>Portugal</v>
      </c>
      <c r="Q1818" t="str">
        <f>TRIM(PROPER(Tabla_auditoría[[#This Row],[Dispositivo]]))</f>
        <v>Desktop</v>
      </c>
      <c r="R1818" t="str">
        <f>TRIM(PROPER(Tabla_auditoría[[#This Row],[Tipo_Campaña]]))</f>
        <v>Adquisición</v>
      </c>
      <c r="S1818" t="str">
        <f>TRIM(PROPER(Tabla_auditoría[[#This Row],[Responsable]]))</f>
        <v>Ana García</v>
      </c>
    </row>
    <row r="1819" spans="1:19" x14ac:dyDescent="0.3">
      <c r="A1819" s="1">
        <v>45811</v>
      </c>
      <c r="B1819" s="2" t="s">
        <v>2520</v>
      </c>
      <c r="C1819" s="2" t="s">
        <v>2541</v>
      </c>
      <c r="D1819" s="2" t="s">
        <v>2528</v>
      </c>
      <c r="E1819" s="2" t="s">
        <v>2529</v>
      </c>
      <c r="F1819" s="3">
        <v>41080</v>
      </c>
      <c r="G1819" s="3">
        <v>2746</v>
      </c>
      <c r="H1819" s="3">
        <v>19</v>
      </c>
      <c r="I1819" s="4">
        <v>5692.78</v>
      </c>
      <c r="J1819" s="4">
        <v>392.69</v>
      </c>
      <c r="K1819" s="3">
        <v>9</v>
      </c>
      <c r="L1819" s="2" t="s">
        <v>2536</v>
      </c>
      <c r="M1819" s="2" t="s">
        <v>2546</v>
      </c>
      <c r="N1819" t="str">
        <f>TRIM(PROPER(Tabla_auditoría[[#This Row],[ID_Campaña]]))</f>
        <v>Cmp-009</v>
      </c>
      <c r="O1819" t="str">
        <f>TRIM(PROPER(Tabla_auditoría[[#This Row],[Canal]]))</f>
        <v>Display</v>
      </c>
      <c r="P1819" t="str">
        <f>TRIM(PROPER(Tabla_auditoría[[#This Row],[País]]))</f>
        <v>España</v>
      </c>
      <c r="Q1819" t="str">
        <f>TRIM(PROPER(Tabla_auditoría[[#This Row],[Dispositivo]]))</f>
        <v>Mobile</v>
      </c>
      <c r="R1819" t="str">
        <f>TRIM(PROPER(Tabla_auditoría[[#This Row],[Tipo_Campaña]]))</f>
        <v>Reconocimiento</v>
      </c>
      <c r="S1819" t="str">
        <f>TRIM(PROPER(Tabla_auditoría[[#This Row],[Responsable]]))</f>
        <v>Ana García</v>
      </c>
    </row>
    <row r="1820" spans="1:19" x14ac:dyDescent="0.3">
      <c r="A1820" s="1">
        <v>45727</v>
      </c>
      <c r="B1820" s="2" t="s">
        <v>2538</v>
      </c>
      <c r="C1820" s="2" t="s">
        <v>2541</v>
      </c>
      <c r="D1820" s="2" t="s">
        <v>2525</v>
      </c>
      <c r="E1820" s="2" t="s">
        <v>2517</v>
      </c>
      <c r="F1820" s="3">
        <v>165228</v>
      </c>
      <c r="G1820" s="3">
        <v>6505</v>
      </c>
      <c r="H1820" s="3">
        <v>508</v>
      </c>
      <c r="I1820" s="4">
        <v>9112.89</v>
      </c>
      <c r="J1820" s="4">
        <v>110448.03</v>
      </c>
      <c r="K1820" s="3">
        <v>311</v>
      </c>
      <c r="L1820" s="2" t="s">
        <v>2536</v>
      </c>
      <c r="M1820" s="2" t="s">
        <v>2524</v>
      </c>
      <c r="N1820" t="str">
        <f>TRIM(PROPER(Tabla_auditoría[[#This Row],[ID_Campaña]]))</f>
        <v>Cmp-004</v>
      </c>
      <c r="O1820" t="str">
        <f>TRIM(PROPER(Tabla_auditoría[[#This Row],[Canal]]))</f>
        <v>Display</v>
      </c>
      <c r="P1820" t="str">
        <f>TRIM(PROPER(Tabla_auditoría[[#This Row],[País]]))</f>
        <v>Francia</v>
      </c>
      <c r="Q1820" t="str">
        <f>TRIM(PROPER(Tabla_auditoría[[#This Row],[Dispositivo]]))</f>
        <v>Desktop</v>
      </c>
      <c r="R1820" t="str">
        <f>TRIM(PROPER(Tabla_auditoría[[#This Row],[Tipo_Campaña]]))</f>
        <v>Reconocimiento</v>
      </c>
      <c r="S1820" t="str">
        <f>TRIM(PROPER(Tabla_auditoría[[#This Row],[Responsable]]))</f>
        <v>Luis Martín</v>
      </c>
    </row>
    <row r="1821" spans="1:19" x14ac:dyDescent="0.3">
      <c r="A1821" s="1">
        <v>45916</v>
      </c>
      <c r="B1821" s="2" t="s">
        <v>2564</v>
      </c>
      <c r="C1821" s="2" t="s">
        <v>2541</v>
      </c>
      <c r="D1821" s="2" t="s">
        <v>2528</v>
      </c>
      <c r="E1821" s="2" t="s">
        <v>2529</v>
      </c>
      <c r="F1821" s="3">
        <v>112826</v>
      </c>
      <c r="G1821" s="3">
        <v>5729</v>
      </c>
      <c r="H1821" s="3">
        <v>585</v>
      </c>
      <c r="I1821" s="4">
        <v>718.93</v>
      </c>
      <c r="J1821" s="4">
        <v>16510.23</v>
      </c>
      <c r="K1821" s="3">
        <v>267</v>
      </c>
      <c r="L1821" s="2" t="s">
        <v>2518</v>
      </c>
      <c r="M1821" s="2" t="s">
        <v>2524</v>
      </c>
      <c r="N1821" t="str">
        <f>TRIM(PROPER(Tabla_auditoría[[#This Row],[ID_Campaña]]))</f>
        <v>Cmp-024</v>
      </c>
      <c r="O1821" t="str">
        <f>TRIM(PROPER(Tabla_auditoría[[#This Row],[Canal]]))</f>
        <v>Display</v>
      </c>
      <c r="P1821" t="str">
        <f>TRIM(PROPER(Tabla_auditoría[[#This Row],[País]]))</f>
        <v>España</v>
      </c>
      <c r="Q1821" t="str">
        <f>TRIM(PROPER(Tabla_auditoría[[#This Row],[Dispositivo]]))</f>
        <v>Mobile</v>
      </c>
      <c r="R1821" t="str">
        <f>TRIM(PROPER(Tabla_auditoría[[#This Row],[Tipo_Campaña]]))</f>
        <v>Adquisición</v>
      </c>
      <c r="S1821" t="str">
        <f>TRIM(PROPER(Tabla_auditoría[[#This Row],[Responsable]]))</f>
        <v>Luis Martín</v>
      </c>
    </row>
    <row r="1822" spans="1:19" x14ac:dyDescent="0.3">
      <c r="A1822" s="1">
        <v>45797</v>
      </c>
      <c r="B1822" s="2" t="s">
        <v>2549</v>
      </c>
      <c r="C1822" s="2" t="s">
        <v>2515</v>
      </c>
      <c r="D1822" s="2" t="s">
        <v>2525</v>
      </c>
      <c r="E1822" s="2" t="s">
        <v>2529</v>
      </c>
      <c r="F1822" s="3">
        <v>134931</v>
      </c>
      <c r="G1822" s="3">
        <v>10889</v>
      </c>
      <c r="H1822" s="3">
        <v>442</v>
      </c>
      <c r="I1822" s="4">
        <v>12321.9</v>
      </c>
      <c r="J1822" s="4">
        <v>20768.240000000002</v>
      </c>
      <c r="K1822" s="3">
        <v>372</v>
      </c>
      <c r="L1822" s="2" t="s">
        <v>2518</v>
      </c>
      <c r="M1822" s="2" t="s">
        <v>2537</v>
      </c>
      <c r="N1822" t="str">
        <f>TRIM(PROPER(Tabla_auditoría[[#This Row],[ID_Campaña]]))</f>
        <v>Cmp-007</v>
      </c>
      <c r="O1822" t="str">
        <f>TRIM(PROPER(Tabla_auditoría[[#This Row],[Canal]]))</f>
        <v>Email</v>
      </c>
      <c r="P1822" t="str">
        <f>TRIM(PROPER(Tabla_auditoría[[#This Row],[País]]))</f>
        <v>Francia</v>
      </c>
      <c r="Q1822" t="str">
        <f>TRIM(PROPER(Tabla_auditoría[[#This Row],[Dispositivo]]))</f>
        <v>Mobile</v>
      </c>
      <c r="R1822" t="str">
        <f>TRIM(PROPER(Tabla_auditoría[[#This Row],[Tipo_Campaña]]))</f>
        <v>Adquisición</v>
      </c>
      <c r="S1822" t="str">
        <f>TRIM(PROPER(Tabla_auditoría[[#This Row],[Responsable]]))</f>
        <v>Marta López</v>
      </c>
    </row>
    <row r="1823" spans="1:19" x14ac:dyDescent="0.3">
      <c r="A1823" s="1">
        <v>45859</v>
      </c>
      <c r="B1823" s="2" t="s">
        <v>2520</v>
      </c>
      <c r="C1823" s="2" t="s">
        <v>2527</v>
      </c>
      <c r="D1823" s="2" t="s">
        <v>2528</v>
      </c>
      <c r="E1823" s="2" t="s">
        <v>2529</v>
      </c>
      <c r="F1823" s="3">
        <v>135732</v>
      </c>
      <c r="G1823" s="3">
        <v>10013</v>
      </c>
      <c r="H1823" s="3">
        <v>407</v>
      </c>
      <c r="I1823" s="4">
        <v>3419.13</v>
      </c>
      <c r="J1823" s="4">
        <v>11069.38</v>
      </c>
      <c r="K1823" s="3">
        <v>294</v>
      </c>
      <c r="L1823" s="2" t="s">
        <v>2536</v>
      </c>
      <c r="M1823" s="2" t="s">
        <v>2546</v>
      </c>
      <c r="N1823" t="str">
        <f>TRIM(PROPER(Tabla_auditoría[[#This Row],[ID_Campaña]]))</f>
        <v>Cmp-009</v>
      </c>
      <c r="O1823" t="str">
        <f>TRIM(PROPER(Tabla_auditoría[[#This Row],[Canal]]))</f>
        <v>Affiliate</v>
      </c>
      <c r="P1823" t="str">
        <f>TRIM(PROPER(Tabla_auditoría[[#This Row],[País]]))</f>
        <v>España</v>
      </c>
      <c r="Q1823" t="str">
        <f>TRIM(PROPER(Tabla_auditoría[[#This Row],[Dispositivo]]))</f>
        <v>Mobile</v>
      </c>
      <c r="R1823" t="str">
        <f>TRIM(PROPER(Tabla_auditoría[[#This Row],[Tipo_Campaña]]))</f>
        <v>Reconocimiento</v>
      </c>
      <c r="S1823" t="str">
        <f>TRIM(PROPER(Tabla_auditoría[[#This Row],[Responsable]]))</f>
        <v>Ana García</v>
      </c>
    </row>
    <row r="1824" spans="1:19" x14ac:dyDescent="0.3">
      <c r="A1824" s="1">
        <v>45667</v>
      </c>
      <c r="B1824" s="2" t="s">
        <v>2530</v>
      </c>
      <c r="C1824" s="2" t="s">
        <v>2541</v>
      </c>
      <c r="D1824" s="2" t="s">
        <v>2528</v>
      </c>
      <c r="E1824" s="2" t="s">
        <v>2517</v>
      </c>
      <c r="F1824" s="3">
        <v>97859</v>
      </c>
      <c r="G1824" s="3">
        <v>6860</v>
      </c>
      <c r="H1824" s="3">
        <v>200</v>
      </c>
      <c r="I1824" s="4">
        <v>10942.62</v>
      </c>
      <c r="J1824" s="4">
        <v>34323.25</v>
      </c>
      <c r="K1824" s="3">
        <v>160</v>
      </c>
      <c r="L1824" s="2" t="s">
        <v>2539</v>
      </c>
      <c r="M1824" s="2" t="s">
        <v>2519</v>
      </c>
      <c r="N1824" t="str">
        <f>TRIM(PROPER(Tabla_auditoría[[#This Row],[ID_Campaña]]))</f>
        <v>Cmp-026</v>
      </c>
      <c r="O1824" t="str">
        <f>TRIM(PROPER(Tabla_auditoría[[#This Row],[Canal]]))</f>
        <v>Display</v>
      </c>
      <c r="P1824" t="str">
        <f>TRIM(PROPER(Tabla_auditoría[[#This Row],[País]]))</f>
        <v>España</v>
      </c>
      <c r="Q1824" t="str">
        <f>TRIM(PROPER(Tabla_auditoría[[#This Row],[Dispositivo]]))</f>
        <v>Desktop</v>
      </c>
      <c r="R1824" t="str">
        <f>TRIM(PROPER(Tabla_auditoría[[#This Row],[Tipo_Campaña]]))</f>
        <v>Conversión</v>
      </c>
      <c r="S1824" t="str">
        <f>TRIM(PROPER(Tabla_auditoría[[#This Row],[Responsable]]))</f>
        <v>Carlos Ruiz</v>
      </c>
    </row>
    <row r="1825" spans="1:19" x14ac:dyDescent="0.3">
      <c r="A1825" s="1">
        <v>45787</v>
      </c>
      <c r="B1825" s="2" t="s">
        <v>2552</v>
      </c>
      <c r="C1825" s="2" t="s">
        <v>2541</v>
      </c>
      <c r="D1825" s="2" t="s">
        <v>2522</v>
      </c>
      <c r="E1825" s="2" t="s">
        <v>2529</v>
      </c>
      <c r="F1825" s="3">
        <v>42268</v>
      </c>
      <c r="G1825" s="3">
        <v>3621</v>
      </c>
      <c r="H1825" s="3">
        <v>45</v>
      </c>
      <c r="I1825" s="4">
        <v>1117.83</v>
      </c>
      <c r="J1825" s="4">
        <v>9084.07</v>
      </c>
      <c r="K1825" s="3">
        <v>30</v>
      </c>
      <c r="L1825" s="2" t="s">
        <v>2523</v>
      </c>
      <c r="M1825" s="2" t="s">
        <v>2537</v>
      </c>
      <c r="N1825" t="str">
        <f>TRIM(PROPER(Tabla_auditoría[[#This Row],[ID_Campaña]]))</f>
        <v>Cmp-012</v>
      </c>
      <c r="O1825" t="str">
        <f>TRIM(PROPER(Tabla_auditoría[[#This Row],[Canal]]))</f>
        <v>Display</v>
      </c>
      <c r="P1825" t="str">
        <f>TRIM(PROPER(Tabla_auditoría[[#This Row],[País]]))</f>
        <v>Italia</v>
      </c>
      <c r="Q1825" t="str">
        <f>TRIM(PROPER(Tabla_auditoría[[#This Row],[Dispositivo]]))</f>
        <v>Mobile</v>
      </c>
      <c r="R1825" t="str">
        <f>TRIM(PROPER(Tabla_auditoría[[#This Row],[Tipo_Campaña]]))</f>
        <v>Retención</v>
      </c>
      <c r="S1825" t="str">
        <f>TRIM(PROPER(Tabla_auditoría[[#This Row],[Responsable]]))</f>
        <v>Marta López</v>
      </c>
    </row>
    <row r="1826" spans="1:19" x14ac:dyDescent="0.3">
      <c r="A1826" s="1">
        <v>45784</v>
      </c>
      <c r="B1826" s="2" t="s">
        <v>2544</v>
      </c>
      <c r="C1826" s="2" t="s">
        <v>2533</v>
      </c>
      <c r="D1826" s="2" t="s">
        <v>2528</v>
      </c>
      <c r="E1826" s="2" t="s">
        <v>2529</v>
      </c>
      <c r="F1826" s="3">
        <v>60910</v>
      </c>
      <c r="G1826" s="3">
        <v>4426</v>
      </c>
      <c r="H1826" s="3">
        <v>71</v>
      </c>
      <c r="I1826" s="4">
        <v>2179.3200000000002</v>
      </c>
      <c r="J1826" s="4">
        <v>4649.97</v>
      </c>
      <c r="K1826" s="3">
        <v>36</v>
      </c>
      <c r="L1826" s="2" t="s">
        <v>2539</v>
      </c>
      <c r="M1826" s="2" t="s">
        <v>2546</v>
      </c>
      <c r="N1826" t="str">
        <f>TRIM(PROPER(Tabla_auditoría[[#This Row],[ID_Campaña]]))</f>
        <v>Cmp-006</v>
      </c>
      <c r="O1826" t="str">
        <f>TRIM(PROPER(Tabla_auditoría[[#This Row],[Canal]]))</f>
        <v>Paid Social</v>
      </c>
      <c r="P1826" t="str">
        <f>TRIM(PROPER(Tabla_auditoría[[#This Row],[País]]))</f>
        <v>España</v>
      </c>
      <c r="Q1826" t="str">
        <f>TRIM(PROPER(Tabla_auditoría[[#This Row],[Dispositivo]]))</f>
        <v>Mobile</v>
      </c>
      <c r="R1826" t="str">
        <f>TRIM(PROPER(Tabla_auditoría[[#This Row],[Tipo_Campaña]]))</f>
        <v>Conversión</v>
      </c>
      <c r="S1826" t="str">
        <f>TRIM(PROPER(Tabla_auditoría[[#This Row],[Responsable]]))</f>
        <v>Ana García</v>
      </c>
    </row>
    <row r="1827" spans="1:19" x14ac:dyDescent="0.3">
      <c r="A1827" s="1">
        <v>45960</v>
      </c>
      <c r="B1827" s="2" t="s">
        <v>2549</v>
      </c>
      <c r="C1827" s="2" t="s">
        <v>2533</v>
      </c>
      <c r="D1827" s="2" t="s">
        <v>2528</v>
      </c>
      <c r="E1827" s="2" t="s">
        <v>2529</v>
      </c>
      <c r="F1827" s="3">
        <v>160354</v>
      </c>
      <c r="G1827" s="3">
        <v>13002</v>
      </c>
      <c r="H1827" s="3">
        <v>1646</v>
      </c>
      <c r="I1827" s="4">
        <v>13289.46</v>
      </c>
      <c r="J1827" s="4">
        <v>94181.96</v>
      </c>
      <c r="K1827" s="3">
        <v>1425</v>
      </c>
      <c r="L1827" s="2" t="s">
        <v>2539</v>
      </c>
      <c r="M1827" s="2" t="s">
        <v>2546</v>
      </c>
      <c r="N1827" t="str">
        <f>TRIM(PROPER(Tabla_auditoría[[#This Row],[ID_Campaña]]))</f>
        <v>Cmp-007</v>
      </c>
      <c r="O1827" t="str">
        <f>TRIM(PROPER(Tabla_auditoría[[#This Row],[Canal]]))</f>
        <v>Paid Social</v>
      </c>
      <c r="P1827" t="str">
        <f>TRIM(PROPER(Tabla_auditoría[[#This Row],[País]]))</f>
        <v>España</v>
      </c>
      <c r="Q1827" t="str">
        <f>TRIM(PROPER(Tabla_auditoría[[#This Row],[Dispositivo]]))</f>
        <v>Mobile</v>
      </c>
      <c r="R1827" t="str">
        <f>TRIM(PROPER(Tabla_auditoría[[#This Row],[Tipo_Campaña]]))</f>
        <v>Conversión</v>
      </c>
      <c r="S1827" t="str">
        <f>TRIM(PROPER(Tabla_auditoría[[#This Row],[Responsable]]))</f>
        <v>Ana García</v>
      </c>
    </row>
    <row r="1828" spans="1:19" x14ac:dyDescent="0.3">
      <c r="A1828" s="1">
        <v>46016</v>
      </c>
      <c r="B1828" s="2" t="s">
        <v>2556</v>
      </c>
      <c r="C1828" s="2" t="s">
        <v>2533</v>
      </c>
      <c r="D1828" s="2" t="s">
        <v>2528</v>
      </c>
      <c r="E1828" s="2" t="s">
        <v>2517</v>
      </c>
      <c r="F1828" s="3">
        <v>120771</v>
      </c>
      <c r="G1828" s="3">
        <v>9939</v>
      </c>
      <c r="H1828" s="3">
        <v>454</v>
      </c>
      <c r="I1828" s="4">
        <v>12548.96</v>
      </c>
      <c r="J1828" s="4">
        <v>92492.11</v>
      </c>
      <c r="K1828" s="3">
        <v>277</v>
      </c>
      <c r="L1828" s="2" t="s">
        <v>2536</v>
      </c>
      <c r="M1828" s="2" t="s">
        <v>2524</v>
      </c>
      <c r="N1828" t="str">
        <f>TRIM(PROPER(Tabla_auditoría[[#This Row],[ID_Campaña]]))</f>
        <v>Cmp-014</v>
      </c>
      <c r="O1828" t="str">
        <f>TRIM(PROPER(Tabla_auditoría[[#This Row],[Canal]]))</f>
        <v>Paid Social</v>
      </c>
      <c r="P1828" t="str">
        <f>TRIM(PROPER(Tabla_auditoría[[#This Row],[País]]))</f>
        <v>España</v>
      </c>
      <c r="Q1828" t="str">
        <f>TRIM(PROPER(Tabla_auditoría[[#This Row],[Dispositivo]]))</f>
        <v>Desktop</v>
      </c>
      <c r="R1828" t="str">
        <f>TRIM(PROPER(Tabla_auditoría[[#This Row],[Tipo_Campaña]]))</f>
        <v>Reconocimiento</v>
      </c>
      <c r="S1828" t="str">
        <f>TRIM(PROPER(Tabla_auditoría[[#This Row],[Responsable]]))</f>
        <v>Luis Martín</v>
      </c>
    </row>
    <row r="1829" spans="1:19" x14ac:dyDescent="0.3">
      <c r="A1829" s="1">
        <v>45769</v>
      </c>
      <c r="B1829" s="2" t="s">
        <v>2566</v>
      </c>
      <c r="C1829" s="2" t="s">
        <v>2521</v>
      </c>
      <c r="D1829" s="2" t="s">
        <v>2528</v>
      </c>
      <c r="E1829" s="2" t="s">
        <v>2529</v>
      </c>
      <c r="F1829" s="3">
        <v>82713</v>
      </c>
      <c r="G1829" s="3">
        <v>6216</v>
      </c>
      <c r="H1829" s="3">
        <v>147</v>
      </c>
      <c r="I1829" s="4">
        <v>8090.35</v>
      </c>
      <c r="J1829" s="4">
        <v>22804.69</v>
      </c>
      <c r="K1829" s="3">
        <v>98</v>
      </c>
      <c r="L1829" s="2" t="s">
        <v>2539</v>
      </c>
      <c r="M1829" s="2" t="s">
        <v>2546</v>
      </c>
      <c r="N1829" t="str">
        <f>TRIM(PROPER(Tabla_auditoría[[#This Row],[ID_Campaña]]))</f>
        <v>Cmp-001</v>
      </c>
      <c r="O1829" t="str">
        <f>TRIM(PROPER(Tabla_auditoría[[#This Row],[Canal]]))</f>
        <v>Paid Search</v>
      </c>
      <c r="P1829" t="str">
        <f>TRIM(PROPER(Tabla_auditoría[[#This Row],[País]]))</f>
        <v>España</v>
      </c>
      <c r="Q1829" t="str">
        <f>TRIM(PROPER(Tabla_auditoría[[#This Row],[Dispositivo]]))</f>
        <v>Mobile</v>
      </c>
      <c r="R1829" t="str">
        <f>TRIM(PROPER(Tabla_auditoría[[#This Row],[Tipo_Campaña]]))</f>
        <v>Conversión</v>
      </c>
      <c r="S1829" t="str">
        <f>TRIM(PROPER(Tabla_auditoría[[#This Row],[Responsable]]))</f>
        <v>Ana García</v>
      </c>
    </row>
    <row r="1830" spans="1:19" x14ac:dyDescent="0.3">
      <c r="A1830" s="1">
        <v>46009</v>
      </c>
      <c r="B1830" s="2" t="s">
        <v>2514</v>
      </c>
      <c r="C1830" s="2" t="s">
        <v>2543</v>
      </c>
      <c r="D1830" s="2" t="s">
        <v>2528</v>
      </c>
      <c r="E1830" s="2" t="s">
        <v>2529</v>
      </c>
      <c r="F1830" s="3">
        <v>103509</v>
      </c>
      <c r="G1830" s="3">
        <v>4912</v>
      </c>
      <c r="H1830" s="3">
        <v>476</v>
      </c>
      <c r="I1830" s="4">
        <v>6582.7</v>
      </c>
      <c r="J1830" s="4">
        <v>20151.060000000001</v>
      </c>
      <c r="K1830" s="3">
        <v>301</v>
      </c>
      <c r="L1830" s="2" t="s">
        <v>2518</v>
      </c>
      <c r="M1830" s="2" t="s">
        <v>2526</v>
      </c>
      <c r="N1830" t="str">
        <f>TRIM(PROPER(Tabla_auditoría[[#This Row],[ID_Campaña]]))</f>
        <v>Cmp-002</v>
      </c>
      <c r="O1830" t="str">
        <f>TRIM(PROPER(Tabla_auditoría[[#This Row],[Canal]]))</f>
        <v>Organic Social</v>
      </c>
      <c r="P1830" t="str">
        <f>TRIM(PROPER(Tabla_auditoría[[#This Row],[País]]))</f>
        <v>España</v>
      </c>
      <c r="Q1830" t="str">
        <f>TRIM(PROPER(Tabla_auditoría[[#This Row],[Dispositivo]]))</f>
        <v>Mobile</v>
      </c>
      <c r="R1830" t="str">
        <f>TRIM(PROPER(Tabla_auditoría[[#This Row],[Tipo_Campaña]]))</f>
        <v>Adquisición</v>
      </c>
      <c r="S1830" t="str">
        <f>TRIM(PROPER(Tabla_auditoría[[#This Row],[Responsable]]))</f>
        <v>Laura Pérez</v>
      </c>
    </row>
    <row r="1831" spans="1:19" x14ac:dyDescent="0.3">
      <c r="A1831" s="1">
        <v>45993</v>
      </c>
      <c r="B1831" s="2" t="s">
        <v>2554</v>
      </c>
      <c r="C1831" s="2" t="s">
        <v>2527</v>
      </c>
      <c r="D1831" s="2" t="s">
        <v>2531</v>
      </c>
      <c r="E1831" s="2" t="s">
        <v>2517</v>
      </c>
      <c r="F1831" s="3">
        <v>32140</v>
      </c>
      <c r="G1831" s="3">
        <v>1259</v>
      </c>
      <c r="H1831" s="3">
        <v>43</v>
      </c>
      <c r="I1831" s="4">
        <v>1932.05</v>
      </c>
      <c r="J1831" s="4">
        <v>7121.66</v>
      </c>
      <c r="K1831" s="3">
        <v>28</v>
      </c>
      <c r="L1831" s="2" t="s">
        <v>2539</v>
      </c>
      <c r="M1831" s="2" t="s">
        <v>2526</v>
      </c>
      <c r="N1831" t="str">
        <f>TRIM(PROPER(Tabla_auditoría[[#This Row],[ID_Campaña]]))</f>
        <v>Cmp-019</v>
      </c>
      <c r="O1831" t="str">
        <f>TRIM(PROPER(Tabla_auditoría[[#This Row],[Canal]]))</f>
        <v>Affiliate</v>
      </c>
      <c r="P1831" t="str">
        <f>TRIM(PROPER(Tabla_auditoría[[#This Row],[País]]))</f>
        <v>Portugal</v>
      </c>
      <c r="Q1831" t="str">
        <f>TRIM(PROPER(Tabla_auditoría[[#This Row],[Dispositivo]]))</f>
        <v>Desktop</v>
      </c>
      <c r="R1831" t="str">
        <f>TRIM(PROPER(Tabla_auditoría[[#This Row],[Tipo_Campaña]]))</f>
        <v>Conversión</v>
      </c>
      <c r="S1831" t="str">
        <f>TRIM(PROPER(Tabla_auditoría[[#This Row],[Responsable]]))</f>
        <v>Laura Pérez</v>
      </c>
    </row>
    <row r="1832" spans="1:19" x14ac:dyDescent="0.3">
      <c r="A1832" s="1">
        <v>45982</v>
      </c>
      <c r="B1832" s="2" t="s">
        <v>2552</v>
      </c>
      <c r="C1832" s="2" t="s">
        <v>2527</v>
      </c>
      <c r="D1832" s="2" t="s">
        <v>2531</v>
      </c>
      <c r="E1832" s="2" t="s">
        <v>2534</v>
      </c>
      <c r="F1832" s="3">
        <v>5454</v>
      </c>
      <c r="G1832" s="3">
        <v>266</v>
      </c>
      <c r="H1832" s="3">
        <v>2</v>
      </c>
      <c r="I1832" s="4">
        <v>133.44999999999999</v>
      </c>
      <c r="J1832" s="4">
        <v>419.21</v>
      </c>
      <c r="K1832" s="3">
        <v>1</v>
      </c>
      <c r="L1832" s="2" t="s">
        <v>2539</v>
      </c>
      <c r="M1832" s="2" t="s">
        <v>2526</v>
      </c>
      <c r="N1832" t="str">
        <f>TRIM(PROPER(Tabla_auditoría[[#This Row],[ID_Campaña]]))</f>
        <v>Cmp-012</v>
      </c>
      <c r="O1832" t="str">
        <f>TRIM(PROPER(Tabla_auditoría[[#This Row],[Canal]]))</f>
        <v>Affiliate</v>
      </c>
      <c r="P1832" t="str">
        <f>TRIM(PROPER(Tabla_auditoría[[#This Row],[País]]))</f>
        <v>Portugal</v>
      </c>
      <c r="Q1832" t="str">
        <f>TRIM(PROPER(Tabla_auditoría[[#This Row],[Dispositivo]]))</f>
        <v>Tablet</v>
      </c>
      <c r="R1832" t="str">
        <f>TRIM(PROPER(Tabla_auditoría[[#This Row],[Tipo_Campaña]]))</f>
        <v>Conversión</v>
      </c>
      <c r="S1832" t="str">
        <f>TRIM(PROPER(Tabla_auditoría[[#This Row],[Responsable]]))</f>
        <v>Laura Pérez</v>
      </c>
    </row>
    <row r="1833" spans="1:19" x14ac:dyDescent="0.3">
      <c r="A1833" s="1">
        <v>45718</v>
      </c>
      <c r="B1833" s="2" t="s">
        <v>2552</v>
      </c>
      <c r="C1833" s="2" t="s">
        <v>2527</v>
      </c>
      <c r="D1833" s="2" t="s">
        <v>2528</v>
      </c>
      <c r="E1833" s="2" t="s">
        <v>2529</v>
      </c>
      <c r="F1833" s="3">
        <v>45667</v>
      </c>
      <c r="G1833" s="3">
        <v>2666</v>
      </c>
      <c r="H1833" s="3">
        <v>317</v>
      </c>
      <c r="I1833" s="4">
        <v>1083.77</v>
      </c>
      <c r="J1833" s="4">
        <v>48036.36</v>
      </c>
      <c r="K1833" s="3">
        <v>225</v>
      </c>
      <c r="L1833" s="2" t="s">
        <v>2539</v>
      </c>
      <c r="M1833" s="2" t="s">
        <v>2526</v>
      </c>
      <c r="N1833" t="str">
        <f>TRIM(PROPER(Tabla_auditoría[[#This Row],[ID_Campaña]]))</f>
        <v>Cmp-012</v>
      </c>
      <c r="O1833" t="str">
        <f>TRIM(PROPER(Tabla_auditoría[[#This Row],[Canal]]))</f>
        <v>Affiliate</v>
      </c>
      <c r="P1833" t="str">
        <f>TRIM(PROPER(Tabla_auditoría[[#This Row],[País]]))</f>
        <v>España</v>
      </c>
      <c r="Q1833" t="str">
        <f>TRIM(PROPER(Tabla_auditoría[[#This Row],[Dispositivo]]))</f>
        <v>Mobile</v>
      </c>
      <c r="R1833" t="str">
        <f>TRIM(PROPER(Tabla_auditoría[[#This Row],[Tipo_Campaña]]))</f>
        <v>Conversión</v>
      </c>
      <c r="S1833" t="str">
        <f>TRIM(PROPER(Tabla_auditoría[[#This Row],[Responsable]]))</f>
        <v>Laura Pérez</v>
      </c>
    </row>
    <row r="1834" spans="1:19" x14ac:dyDescent="0.3">
      <c r="A1834" s="1">
        <v>45983</v>
      </c>
      <c r="B1834" s="2" t="s">
        <v>2554</v>
      </c>
      <c r="C1834" s="2" t="s">
        <v>2527</v>
      </c>
      <c r="D1834" s="2" t="s">
        <v>2516</v>
      </c>
      <c r="E1834" s="2" t="s">
        <v>2517</v>
      </c>
      <c r="F1834" s="3">
        <v>76502</v>
      </c>
      <c r="G1834" s="3">
        <v>1199</v>
      </c>
      <c r="H1834" s="3">
        <v>108</v>
      </c>
      <c r="I1834" s="4">
        <v>1313.8</v>
      </c>
      <c r="J1834" s="4">
        <v>19299.580000000002</v>
      </c>
      <c r="K1834" s="3">
        <v>58</v>
      </c>
      <c r="L1834" s="2" t="s">
        <v>2539</v>
      </c>
      <c r="M1834" s="2" t="s">
        <v>2546</v>
      </c>
      <c r="N1834" t="str">
        <f>TRIM(PROPER(Tabla_auditoría[[#This Row],[ID_Campaña]]))</f>
        <v>Cmp-019</v>
      </c>
      <c r="O1834" t="str">
        <f>TRIM(PROPER(Tabla_auditoría[[#This Row],[Canal]]))</f>
        <v>Affiliate</v>
      </c>
      <c r="P1834" t="str">
        <f>TRIM(PROPER(Tabla_auditoría[[#This Row],[País]]))</f>
        <v>México</v>
      </c>
      <c r="Q1834" t="str">
        <f>TRIM(PROPER(Tabla_auditoría[[#This Row],[Dispositivo]]))</f>
        <v>Desktop</v>
      </c>
      <c r="R1834" t="str">
        <f>TRIM(PROPER(Tabla_auditoría[[#This Row],[Tipo_Campaña]]))</f>
        <v>Conversión</v>
      </c>
      <c r="S1834" t="str">
        <f>TRIM(PROPER(Tabla_auditoría[[#This Row],[Responsable]]))</f>
        <v>Ana García</v>
      </c>
    </row>
    <row r="1835" spans="1:19" x14ac:dyDescent="0.3">
      <c r="A1835" s="1">
        <v>45701</v>
      </c>
      <c r="B1835" s="2" t="s">
        <v>2574</v>
      </c>
      <c r="C1835" s="2" t="s">
        <v>2515</v>
      </c>
      <c r="D1835" s="2" t="s">
        <v>2516</v>
      </c>
      <c r="E1835" s="2" t="s">
        <v>2534</v>
      </c>
      <c r="F1835" s="3">
        <v>109487</v>
      </c>
      <c r="G1835" s="3">
        <v>4072</v>
      </c>
      <c r="H1835" s="3">
        <v>524</v>
      </c>
      <c r="I1835" s="4">
        <v>7935.09</v>
      </c>
      <c r="J1835" s="4">
        <v>20676.3</v>
      </c>
      <c r="K1835" s="3">
        <v>273</v>
      </c>
      <c r="L1835" s="2" t="s">
        <v>2536</v>
      </c>
      <c r="M1835" s="2" t="s">
        <v>2526</v>
      </c>
      <c r="N1835" t="str">
        <f>TRIM(PROPER(Tabla_auditoría[[#This Row],[ID_Campaña]]))</f>
        <v>Cmp-003</v>
      </c>
      <c r="O1835" t="str">
        <f>TRIM(PROPER(Tabla_auditoría[[#This Row],[Canal]]))</f>
        <v>Email</v>
      </c>
      <c r="P1835" t="str">
        <f>TRIM(PROPER(Tabla_auditoría[[#This Row],[País]]))</f>
        <v>México</v>
      </c>
      <c r="Q1835" t="str">
        <f>TRIM(PROPER(Tabla_auditoría[[#This Row],[Dispositivo]]))</f>
        <v>Tablet</v>
      </c>
      <c r="R1835" t="str">
        <f>TRIM(PROPER(Tabla_auditoría[[#This Row],[Tipo_Campaña]]))</f>
        <v>Reconocimiento</v>
      </c>
      <c r="S1835" t="str">
        <f>TRIM(PROPER(Tabla_auditoría[[#This Row],[Responsable]]))</f>
        <v>Laura Pérez</v>
      </c>
    </row>
    <row r="1836" spans="1:19" x14ac:dyDescent="0.3">
      <c r="A1836" s="1">
        <v>45660</v>
      </c>
      <c r="B1836" s="2" t="s">
        <v>2530</v>
      </c>
      <c r="C1836" s="2" t="s">
        <v>2533</v>
      </c>
      <c r="D1836" s="2" t="s">
        <v>2528</v>
      </c>
      <c r="E1836" s="2" t="s">
        <v>2517</v>
      </c>
      <c r="F1836" s="3">
        <v>40177</v>
      </c>
      <c r="G1836" s="3">
        <v>1228</v>
      </c>
      <c r="H1836" s="3">
        <v>167</v>
      </c>
      <c r="I1836" s="4">
        <v>2377.66</v>
      </c>
      <c r="J1836" s="4">
        <v>13197.06</v>
      </c>
      <c r="K1836" s="3">
        <v>119</v>
      </c>
      <c r="L1836" s="2" t="s">
        <v>2536</v>
      </c>
      <c r="M1836" s="2" t="s">
        <v>2519</v>
      </c>
      <c r="N1836" t="str">
        <f>TRIM(PROPER(Tabla_auditoría[[#This Row],[ID_Campaña]]))</f>
        <v>Cmp-026</v>
      </c>
      <c r="O1836" t="str">
        <f>TRIM(PROPER(Tabla_auditoría[[#This Row],[Canal]]))</f>
        <v>Paid Social</v>
      </c>
      <c r="P1836" t="str">
        <f>TRIM(PROPER(Tabla_auditoría[[#This Row],[País]]))</f>
        <v>España</v>
      </c>
      <c r="Q1836" t="str">
        <f>TRIM(PROPER(Tabla_auditoría[[#This Row],[Dispositivo]]))</f>
        <v>Desktop</v>
      </c>
      <c r="R1836" t="str">
        <f>TRIM(PROPER(Tabla_auditoría[[#This Row],[Tipo_Campaña]]))</f>
        <v>Reconocimiento</v>
      </c>
      <c r="S1836" t="str">
        <f>TRIM(PROPER(Tabla_auditoría[[#This Row],[Responsable]]))</f>
        <v>Carlos Ruiz</v>
      </c>
    </row>
    <row r="1837" spans="1:19" x14ac:dyDescent="0.3">
      <c r="A1837" s="1">
        <v>45738</v>
      </c>
      <c r="B1837" s="2" t="s">
        <v>2568</v>
      </c>
      <c r="C1837" s="2" t="s">
        <v>2541</v>
      </c>
      <c r="D1837" s="2" t="s">
        <v>2528</v>
      </c>
      <c r="E1837" s="2" t="s">
        <v>2529</v>
      </c>
      <c r="F1837" s="3">
        <v>145027</v>
      </c>
      <c r="G1837" s="3">
        <v>10461</v>
      </c>
      <c r="H1837" s="3">
        <v>292</v>
      </c>
      <c r="I1837" s="4">
        <v>14532.19</v>
      </c>
      <c r="J1837" s="4">
        <v>54028.79</v>
      </c>
      <c r="K1837" s="3">
        <v>166</v>
      </c>
      <c r="L1837" s="2" t="s">
        <v>2518</v>
      </c>
      <c r="M1837" s="2" t="s">
        <v>2546</v>
      </c>
      <c r="N1837" t="str">
        <f>TRIM(PROPER(Tabla_auditoría[[#This Row],[ID_Campaña]]))</f>
        <v>Cmp-020</v>
      </c>
      <c r="O1837" t="str">
        <f>TRIM(PROPER(Tabla_auditoría[[#This Row],[Canal]]))</f>
        <v>Display</v>
      </c>
      <c r="P1837" t="str">
        <f>TRIM(PROPER(Tabla_auditoría[[#This Row],[País]]))</f>
        <v>España</v>
      </c>
      <c r="Q1837" t="str">
        <f>TRIM(PROPER(Tabla_auditoría[[#This Row],[Dispositivo]]))</f>
        <v>Mobile</v>
      </c>
      <c r="R1837" t="str">
        <f>TRIM(PROPER(Tabla_auditoría[[#This Row],[Tipo_Campaña]]))</f>
        <v>Adquisición</v>
      </c>
      <c r="S1837" t="str">
        <f>TRIM(PROPER(Tabla_auditoría[[#This Row],[Responsable]]))</f>
        <v>Ana García</v>
      </c>
    </row>
    <row r="1838" spans="1:19" x14ac:dyDescent="0.3">
      <c r="A1838" s="1">
        <v>45673</v>
      </c>
      <c r="B1838" s="2" t="s">
        <v>2563</v>
      </c>
      <c r="C1838" s="2" t="s">
        <v>2521</v>
      </c>
      <c r="D1838" s="2" t="s">
        <v>2522</v>
      </c>
      <c r="E1838" s="2" t="s">
        <v>2529</v>
      </c>
      <c r="F1838" s="3">
        <v>1790</v>
      </c>
      <c r="G1838" s="3">
        <v>124</v>
      </c>
      <c r="H1838" s="3">
        <v>7</v>
      </c>
      <c r="I1838" s="4">
        <v>60.51</v>
      </c>
      <c r="J1838" s="4">
        <v>1073.8</v>
      </c>
      <c r="K1838" s="3">
        <v>5</v>
      </c>
      <c r="L1838" s="2" t="s">
        <v>2539</v>
      </c>
      <c r="M1838" s="2" t="s">
        <v>2546</v>
      </c>
      <c r="N1838" t="str">
        <f>TRIM(PROPER(Tabla_auditoría[[#This Row],[ID_Campaña]]))</f>
        <v>Cmp-023</v>
      </c>
      <c r="O1838" t="str">
        <f>TRIM(PROPER(Tabla_auditoría[[#This Row],[Canal]]))</f>
        <v>Paid Search</v>
      </c>
      <c r="P1838" t="str">
        <f>TRIM(PROPER(Tabla_auditoría[[#This Row],[País]]))</f>
        <v>Italia</v>
      </c>
      <c r="Q1838" t="str">
        <f>TRIM(PROPER(Tabla_auditoría[[#This Row],[Dispositivo]]))</f>
        <v>Mobile</v>
      </c>
      <c r="R1838" t="str">
        <f>TRIM(PROPER(Tabla_auditoría[[#This Row],[Tipo_Campaña]]))</f>
        <v>Conversión</v>
      </c>
      <c r="S1838" t="str">
        <f>TRIM(PROPER(Tabla_auditoría[[#This Row],[Responsable]]))</f>
        <v>Ana García</v>
      </c>
    </row>
    <row r="1839" spans="1:19" x14ac:dyDescent="0.3">
      <c r="A1839" s="1">
        <v>45997</v>
      </c>
      <c r="B1839" s="2" t="s">
        <v>2555</v>
      </c>
      <c r="C1839" s="2" t="s">
        <v>2515</v>
      </c>
      <c r="D1839" s="2" t="s">
        <v>2528</v>
      </c>
      <c r="E1839" s="2" t="s">
        <v>2529</v>
      </c>
      <c r="F1839" s="3">
        <v>98657</v>
      </c>
      <c r="G1839" s="3">
        <v>8242</v>
      </c>
      <c r="H1839" s="3">
        <v>61</v>
      </c>
      <c r="I1839" s="4">
        <v>17053.27</v>
      </c>
      <c r="J1839" s="4">
        <v>12471.91</v>
      </c>
      <c r="K1839" s="3">
        <v>54</v>
      </c>
      <c r="L1839" s="2" t="s">
        <v>2536</v>
      </c>
      <c r="M1839" s="2" t="s">
        <v>2524</v>
      </c>
      <c r="N1839" t="str">
        <f>TRIM(PROPER(Tabla_auditoría[[#This Row],[ID_Campaña]]))</f>
        <v>Cmp-010</v>
      </c>
      <c r="O1839" t="str">
        <f>TRIM(PROPER(Tabla_auditoría[[#This Row],[Canal]]))</f>
        <v>Email</v>
      </c>
      <c r="P1839" t="str">
        <f>TRIM(PROPER(Tabla_auditoría[[#This Row],[País]]))</f>
        <v>España</v>
      </c>
      <c r="Q1839" t="str">
        <f>TRIM(PROPER(Tabla_auditoría[[#This Row],[Dispositivo]]))</f>
        <v>Mobile</v>
      </c>
      <c r="R1839" t="str">
        <f>TRIM(PROPER(Tabla_auditoría[[#This Row],[Tipo_Campaña]]))</f>
        <v>Reconocimiento</v>
      </c>
      <c r="S1839" t="str">
        <f>TRIM(PROPER(Tabla_auditoría[[#This Row],[Responsable]]))</f>
        <v>Luis Martín</v>
      </c>
    </row>
    <row r="1840" spans="1:19" x14ac:dyDescent="0.3">
      <c r="A1840" s="1">
        <v>45729</v>
      </c>
      <c r="B1840" s="2" t="s">
        <v>2550</v>
      </c>
      <c r="C1840" s="2" t="s">
        <v>2521</v>
      </c>
      <c r="D1840" s="2" t="s">
        <v>2525</v>
      </c>
      <c r="E1840" s="2" t="s">
        <v>2517</v>
      </c>
      <c r="F1840" s="3">
        <v>26958</v>
      </c>
      <c r="G1840" s="3">
        <v>2171</v>
      </c>
      <c r="H1840" s="3">
        <v>119</v>
      </c>
      <c r="I1840" s="4">
        <v>3432.61</v>
      </c>
      <c r="J1840" s="4">
        <v>7566.82</v>
      </c>
      <c r="K1840" s="3">
        <v>101</v>
      </c>
      <c r="L1840" s="2" t="s">
        <v>2539</v>
      </c>
      <c r="M1840" s="2" t="s">
        <v>2519</v>
      </c>
      <c r="N1840" t="str">
        <f>TRIM(PROPER(Tabla_auditoría[[#This Row],[ID_Campaña]]))</f>
        <v>Cmp-008</v>
      </c>
      <c r="O1840" t="str">
        <f>TRIM(PROPER(Tabla_auditoría[[#This Row],[Canal]]))</f>
        <v>Paid Search</v>
      </c>
      <c r="P1840" t="str">
        <f>TRIM(PROPER(Tabla_auditoría[[#This Row],[País]]))</f>
        <v>Francia</v>
      </c>
      <c r="Q1840" t="str">
        <f>TRIM(PROPER(Tabla_auditoría[[#This Row],[Dispositivo]]))</f>
        <v>Desktop</v>
      </c>
      <c r="R1840" t="str">
        <f>TRIM(PROPER(Tabla_auditoría[[#This Row],[Tipo_Campaña]]))</f>
        <v>Conversión</v>
      </c>
      <c r="S1840" t="str">
        <f>TRIM(PROPER(Tabla_auditoría[[#This Row],[Responsable]]))</f>
        <v>Carlos Ruiz</v>
      </c>
    </row>
    <row r="1841" spans="1:19" x14ac:dyDescent="0.3">
      <c r="A1841" s="1">
        <v>45716</v>
      </c>
      <c r="B1841" s="2" t="s">
        <v>2557</v>
      </c>
      <c r="C1841" s="2" t="s">
        <v>2541</v>
      </c>
      <c r="D1841" s="2" t="s">
        <v>2516</v>
      </c>
      <c r="E1841" s="2" t="s">
        <v>2529</v>
      </c>
      <c r="F1841" s="3">
        <v>40464</v>
      </c>
      <c r="G1841" s="3">
        <v>346</v>
      </c>
      <c r="H1841" s="3">
        <v>38</v>
      </c>
      <c r="I1841" s="4">
        <v>684.03</v>
      </c>
      <c r="J1841" s="4">
        <v>2469.0700000000002</v>
      </c>
      <c r="K1841" s="3">
        <v>19</v>
      </c>
      <c r="L1841" s="2" t="s">
        <v>2539</v>
      </c>
      <c r="M1841" s="2" t="s">
        <v>2546</v>
      </c>
      <c r="N1841" t="str">
        <f>TRIM(PROPER(Tabla_auditoría[[#This Row],[ID_Campaña]]))</f>
        <v>Cmp-030</v>
      </c>
      <c r="O1841" t="str">
        <f>TRIM(PROPER(Tabla_auditoría[[#This Row],[Canal]]))</f>
        <v>Display</v>
      </c>
      <c r="P1841" t="str">
        <f>TRIM(PROPER(Tabla_auditoría[[#This Row],[País]]))</f>
        <v>México</v>
      </c>
      <c r="Q1841" t="str">
        <f>TRIM(PROPER(Tabla_auditoría[[#This Row],[Dispositivo]]))</f>
        <v>Mobile</v>
      </c>
      <c r="R1841" t="str">
        <f>TRIM(PROPER(Tabla_auditoría[[#This Row],[Tipo_Campaña]]))</f>
        <v>Conversión</v>
      </c>
      <c r="S1841" t="str">
        <f>TRIM(PROPER(Tabla_auditoría[[#This Row],[Responsable]]))</f>
        <v>Ana García</v>
      </c>
    </row>
    <row r="1842" spans="1:19" x14ac:dyDescent="0.3">
      <c r="A1842" s="1">
        <v>45681</v>
      </c>
      <c r="B1842" s="2" t="s">
        <v>2567</v>
      </c>
      <c r="C1842" s="2" t="s">
        <v>2533</v>
      </c>
      <c r="D1842" s="2" t="s">
        <v>2525</v>
      </c>
      <c r="E1842" s="2" t="s">
        <v>2561</v>
      </c>
      <c r="F1842" s="3">
        <v>16309</v>
      </c>
      <c r="G1842" s="3">
        <v>348</v>
      </c>
      <c r="H1842" s="3">
        <v>47</v>
      </c>
      <c r="I1842" s="4">
        <v>613.04999999999995</v>
      </c>
      <c r="J1842" s="4">
        <v>6296.08</v>
      </c>
      <c r="K1842" s="3">
        <v>41</v>
      </c>
      <c r="L1842" s="2" t="s">
        <v>2518</v>
      </c>
      <c r="M1842" s="2" t="s">
        <v>2546</v>
      </c>
      <c r="N1842" t="str">
        <f>TRIM(PROPER(Tabla_auditoría[[#This Row],[ID_Campaña]]))</f>
        <v>Cmp-021</v>
      </c>
      <c r="O1842" t="str">
        <f>TRIM(PROPER(Tabla_auditoría[[#This Row],[Canal]]))</f>
        <v>Paid Social</v>
      </c>
      <c r="P1842" t="str">
        <f>TRIM(PROPER(Tabla_auditoría[[#This Row],[País]]))</f>
        <v>Francia</v>
      </c>
      <c r="Q1842" t="str">
        <f>TRIM(PROPER(Tabla_auditoría[[#This Row],[Dispositivo]]))</f>
        <v>Mobile</v>
      </c>
      <c r="R1842" t="str">
        <f>TRIM(PROPER(Tabla_auditoría[[#This Row],[Tipo_Campaña]]))</f>
        <v>Adquisición</v>
      </c>
      <c r="S1842" t="str">
        <f>TRIM(PROPER(Tabla_auditoría[[#This Row],[Responsable]]))</f>
        <v>Ana García</v>
      </c>
    </row>
    <row r="1843" spans="1:19" x14ac:dyDescent="0.3">
      <c r="A1843" s="1">
        <v>45851</v>
      </c>
      <c r="B1843" s="2" t="s">
        <v>2542</v>
      </c>
      <c r="C1843" s="2" t="s">
        <v>2527</v>
      </c>
      <c r="D1843" s="2" t="s">
        <v>2516</v>
      </c>
      <c r="E1843" s="2" t="s">
        <v>2534</v>
      </c>
      <c r="F1843" s="3">
        <v>43720</v>
      </c>
      <c r="G1843" s="3">
        <v>398</v>
      </c>
      <c r="H1843" s="3">
        <v>52</v>
      </c>
      <c r="I1843" s="4">
        <v>165.78</v>
      </c>
      <c r="J1843" s="4">
        <v>8094.14</v>
      </c>
      <c r="K1843" s="3">
        <v>29</v>
      </c>
      <c r="L1843" s="2" t="s">
        <v>2523</v>
      </c>
      <c r="M1843" s="2" t="s">
        <v>2546</v>
      </c>
      <c r="N1843" t="str">
        <f>TRIM(PROPER(Tabla_auditoría[[#This Row],[ID_Campaña]]))</f>
        <v>Cmp-025</v>
      </c>
      <c r="O1843" t="str">
        <f>TRIM(PROPER(Tabla_auditoría[[#This Row],[Canal]]))</f>
        <v>Affiliate</v>
      </c>
      <c r="P1843" t="str">
        <f>TRIM(PROPER(Tabla_auditoría[[#This Row],[País]]))</f>
        <v>México</v>
      </c>
      <c r="Q1843" t="str">
        <f>TRIM(PROPER(Tabla_auditoría[[#This Row],[Dispositivo]]))</f>
        <v>Tablet</v>
      </c>
      <c r="R1843" t="str">
        <f>TRIM(PROPER(Tabla_auditoría[[#This Row],[Tipo_Campaña]]))</f>
        <v>Retención</v>
      </c>
      <c r="S1843" t="str">
        <f>TRIM(PROPER(Tabla_auditoría[[#This Row],[Responsable]]))</f>
        <v>Ana García</v>
      </c>
    </row>
    <row r="1844" spans="1:19" x14ac:dyDescent="0.3">
      <c r="A1844" s="1">
        <v>45736</v>
      </c>
      <c r="B1844" s="2" t="s">
        <v>2568</v>
      </c>
      <c r="C1844" s="2" t="s">
        <v>2515</v>
      </c>
      <c r="D1844" s="2" t="s">
        <v>2528</v>
      </c>
      <c r="E1844" s="2" t="s">
        <v>2517</v>
      </c>
      <c r="F1844" s="3">
        <v>17126</v>
      </c>
      <c r="G1844" s="3">
        <v>1484</v>
      </c>
      <c r="H1844" s="3">
        <v>145</v>
      </c>
      <c r="I1844" s="4">
        <v>915.11</v>
      </c>
      <c r="J1844" s="4">
        <v>5807.89</v>
      </c>
      <c r="K1844" s="3">
        <v>82</v>
      </c>
      <c r="L1844" s="2" t="s">
        <v>2523</v>
      </c>
      <c r="M1844" s="2" t="s">
        <v>2537</v>
      </c>
      <c r="N1844" t="str">
        <f>TRIM(PROPER(Tabla_auditoría[[#This Row],[ID_Campaña]]))</f>
        <v>Cmp-020</v>
      </c>
      <c r="O1844" t="str">
        <f>TRIM(PROPER(Tabla_auditoría[[#This Row],[Canal]]))</f>
        <v>Email</v>
      </c>
      <c r="P1844" t="str">
        <f>TRIM(PROPER(Tabla_auditoría[[#This Row],[País]]))</f>
        <v>España</v>
      </c>
      <c r="Q1844" t="str">
        <f>TRIM(PROPER(Tabla_auditoría[[#This Row],[Dispositivo]]))</f>
        <v>Desktop</v>
      </c>
      <c r="R1844" t="str">
        <f>TRIM(PROPER(Tabla_auditoría[[#This Row],[Tipo_Campaña]]))</f>
        <v>Retención</v>
      </c>
      <c r="S1844" t="str">
        <f>TRIM(PROPER(Tabla_auditoría[[#This Row],[Responsable]]))</f>
        <v>Marta López</v>
      </c>
    </row>
    <row r="1845" spans="1:19" x14ac:dyDescent="0.3">
      <c r="A1845" s="1">
        <v>45951</v>
      </c>
      <c r="B1845" s="2" t="s">
        <v>2568</v>
      </c>
      <c r="C1845" s="2" t="s">
        <v>2541</v>
      </c>
      <c r="D1845" s="2" t="s">
        <v>2528</v>
      </c>
      <c r="E1845" s="2" t="s">
        <v>2529</v>
      </c>
      <c r="F1845" s="3">
        <v>149731</v>
      </c>
      <c r="G1845" s="3">
        <v>7766</v>
      </c>
      <c r="H1845" s="3">
        <v>137</v>
      </c>
      <c r="I1845" s="4">
        <v>14779.22</v>
      </c>
      <c r="J1845" s="4">
        <v>20507.400000000001</v>
      </c>
      <c r="K1845" s="3">
        <v>81</v>
      </c>
      <c r="L1845" s="2" t="s">
        <v>2518</v>
      </c>
      <c r="M1845" s="2" t="s">
        <v>2546</v>
      </c>
      <c r="N1845" t="str">
        <f>TRIM(PROPER(Tabla_auditoría[[#This Row],[ID_Campaña]]))</f>
        <v>Cmp-020</v>
      </c>
      <c r="O1845" t="str">
        <f>TRIM(PROPER(Tabla_auditoría[[#This Row],[Canal]]))</f>
        <v>Display</v>
      </c>
      <c r="P1845" t="str">
        <f>TRIM(PROPER(Tabla_auditoría[[#This Row],[País]]))</f>
        <v>España</v>
      </c>
      <c r="Q1845" t="str">
        <f>TRIM(PROPER(Tabla_auditoría[[#This Row],[Dispositivo]]))</f>
        <v>Mobile</v>
      </c>
      <c r="R1845" t="str">
        <f>TRIM(PROPER(Tabla_auditoría[[#This Row],[Tipo_Campaña]]))</f>
        <v>Adquisición</v>
      </c>
      <c r="S1845" t="str">
        <f>TRIM(PROPER(Tabla_auditoría[[#This Row],[Responsable]]))</f>
        <v>Ana García</v>
      </c>
    </row>
    <row r="1846" spans="1:19" x14ac:dyDescent="0.3">
      <c r="A1846" s="1">
        <v>45694</v>
      </c>
      <c r="B1846" s="2" t="s">
        <v>2560</v>
      </c>
      <c r="C1846" s="2" t="s">
        <v>2541</v>
      </c>
      <c r="D1846" s="2" t="s">
        <v>2516</v>
      </c>
      <c r="E1846" s="2" t="s">
        <v>2529</v>
      </c>
      <c r="F1846" s="3">
        <v>89065</v>
      </c>
      <c r="G1846" s="3">
        <v>978</v>
      </c>
      <c r="H1846" s="3">
        <v>73</v>
      </c>
      <c r="I1846" s="4">
        <v>723.14</v>
      </c>
      <c r="J1846" s="4">
        <v>5774.03</v>
      </c>
      <c r="K1846" s="3">
        <v>60</v>
      </c>
      <c r="L1846" s="2" t="s">
        <v>2518</v>
      </c>
      <c r="M1846" s="2" t="s">
        <v>2526</v>
      </c>
      <c r="N1846" t="str">
        <f>TRIM(PROPER(Tabla_auditoría[[#This Row],[ID_Campaña]]))</f>
        <v>Cmp-027</v>
      </c>
      <c r="O1846" t="str">
        <f>TRIM(PROPER(Tabla_auditoría[[#This Row],[Canal]]))</f>
        <v>Display</v>
      </c>
      <c r="P1846" t="str">
        <f>TRIM(PROPER(Tabla_auditoría[[#This Row],[País]]))</f>
        <v>México</v>
      </c>
      <c r="Q1846" t="str">
        <f>TRIM(PROPER(Tabla_auditoría[[#This Row],[Dispositivo]]))</f>
        <v>Mobile</v>
      </c>
      <c r="R1846" t="str">
        <f>TRIM(PROPER(Tabla_auditoría[[#This Row],[Tipo_Campaña]]))</f>
        <v>Adquisición</v>
      </c>
      <c r="S1846" t="str">
        <f>TRIM(PROPER(Tabla_auditoría[[#This Row],[Responsable]]))</f>
        <v>Laura Pérez</v>
      </c>
    </row>
    <row r="1847" spans="1:19" x14ac:dyDescent="0.3">
      <c r="A1847" s="1">
        <v>45823</v>
      </c>
      <c r="B1847" s="2" t="s">
        <v>2538</v>
      </c>
      <c r="C1847" s="2" t="s">
        <v>2515</v>
      </c>
      <c r="D1847" s="2" t="s">
        <v>2573</v>
      </c>
      <c r="E1847" s="2" t="s">
        <v>2517</v>
      </c>
      <c r="F1847" s="3">
        <v>139245</v>
      </c>
      <c r="G1847" s="3">
        <v>6131</v>
      </c>
      <c r="H1847" s="3">
        <v>277</v>
      </c>
      <c r="I1847" s="4">
        <v>1509.48</v>
      </c>
      <c r="J1847" s="4">
        <v>57779.83</v>
      </c>
      <c r="K1847" s="3">
        <v>199</v>
      </c>
      <c r="L1847" s="2" t="s">
        <v>2539</v>
      </c>
      <c r="M1847" s="2" t="s">
        <v>2519</v>
      </c>
      <c r="N1847" t="str">
        <f>TRIM(PROPER(Tabla_auditoría[[#This Row],[ID_Campaña]]))</f>
        <v>Cmp-004</v>
      </c>
      <c r="O1847" t="str">
        <f>TRIM(PROPER(Tabla_auditoría[[#This Row],[Canal]]))</f>
        <v>Email</v>
      </c>
      <c r="P1847" t="str">
        <f>TRIM(PROPER(Tabla_auditoría[[#This Row],[País]]))</f>
        <v>España</v>
      </c>
      <c r="Q1847" t="str">
        <f>TRIM(PROPER(Tabla_auditoría[[#This Row],[Dispositivo]]))</f>
        <v>Desktop</v>
      </c>
      <c r="R1847" t="str">
        <f>TRIM(PROPER(Tabla_auditoría[[#This Row],[Tipo_Campaña]]))</f>
        <v>Conversión</v>
      </c>
      <c r="S1847" t="str">
        <f>TRIM(PROPER(Tabla_auditoría[[#This Row],[Responsable]]))</f>
        <v>Carlos Ruiz</v>
      </c>
    </row>
    <row r="1848" spans="1:19" x14ac:dyDescent="0.3">
      <c r="A1848" s="1">
        <v>45912</v>
      </c>
      <c r="B1848" s="2" t="s">
        <v>2545</v>
      </c>
      <c r="C1848" s="2" t="s">
        <v>2527</v>
      </c>
      <c r="D1848" s="2" t="s">
        <v>2573</v>
      </c>
      <c r="E1848" s="2" t="s">
        <v>2529</v>
      </c>
      <c r="F1848" s="3">
        <v>44691</v>
      </c>
      <c r="G1848" s="3">
        <v>3406</v>
      </c>
      <c r="H1848" s="3">
        <v>262</v>
      </c>
      <c r="I1848" s="4">
        <v>2630.13</v>
      </c>
      <c r="J1848" s="4">
        <v>14022.01</v>
      </c>
      <c r="K1848" s="3">
        <v>222</v>
      </c>
      <c r="L1848" s="2" t="s">
        <v>2536</v>
      </c>
      <c r="M1848" s="2" t="s">
        <v>2519</v>
      </c>
      <c r="N1848" t="str">
        <f>TRIM(PROPER(Tabla_auditoría[[#This Row],[ID_Campaña]]))</f>
        <v>Cmp-011</v>
      </c>
      <c r="O1848" t="str">
        <f>TRIM(PROPER(Tabla_auditoría[[#This Row],[Canal]]))</f>
        <v>Affiliate</v>
      </c>
      <c r="P1848" t="str">
        <f>TRIM(PROPER(Tabla_auditoría[[#This Row],[País]]))</f>
        <v>España</v>
      </c>
      <c r="Q1848" t="str">
        <f>TRIM(PROPER(Tabla_auditoría[[#This Row],[Dispositivo]]))</f>
        <v>Mobile</v>
      </c>
      <c r="R1848" t="str">
        <f>TRIM(PROPER(Tabla_auditoría[[#This Row],[Tipo_Campaña]]))</f>
        <v>Reconocimiento</v>
      </c>
      <c r="S1848" t="str">
        <f>TRIM(PROPER(Tabla_auditoría[[#This Row],[Responsable]]))</f>
        <v>Carlos Ruiz</v>
      </c>
    </row>
    <row r="1849" spans="1:19" x14ac:dyDescent="0.3">
      <c r="A1849" s="1">
        <v>45992</v>
      </c>
      <c r="B1849" s="2" t="s">
        <v>2557</v>
      </c>
      <c r="C1849" s="2" t="s">
        <v>2527</v>
      </c>
      <c r="D1849" s="2" t="s">
        <v>2528</v>
      </c>
      <c r="E1849" s="2" t="s">
        <v>2534</v>
      </c>
      <c r="F1849" s="3">
        <v>119134</v>
      </c>
      <c r="G1849" s="3">
        <v>3132</v>
      </c>
      <c r="H1849" s="3">
        <v>278</v>
      </c>
      <c r="I1849" s="4">
        <v>611.01</v>
      </c>
      <c r="J1849" s="4">
        <v>45579.34</v>
      </c>
      <c r="K1849" s="3">
        <v>200</v>
      </c>
      <c r="L1849" s="2" t="s">
        <v>2518</v>
      </c>
      <c r="M1849" s="2" t="s">
        <v>2537</v>
      </c>
      <c r="N1849" t="str">
        <f>TRIM(PROPER(Tabla_auditoría[[#This Row],[ID_Campaña]]))</f>
        <v>Cmp-030</v>
      </c>
      <c r="O1849" t="str">
        <f>TRIM(PROPER(Tabla_auditoría[[#This Row],[Canal]]))</f>
        <v>Affiliate</v>
      </c>
      <c r="P1849" t="str">
        <f>TRIM(PROPER(Tabla_auditoría[[#This Row],[País]]))</f>
        <v>España</v>
      </c>
      <c r="Q1849" t="str">
        <f>TRIM(PROPER(Tabla_auditoría[[#This Row],[Dispositivo]]))</f>
        <v>Tablet</v>
      </c>
      <c r="R1849" t="str">
        <f>TRIM(PROPER(Tabla_auditoría[[#This Row],[Tipo_Campaña]]))</f>
        <v>Adquisición</v>
      </c>
      <c r="S1849" t="str">
        <f>TRIM(PROPER(Tabla_auditoría[[#This Row],[Responsable]]))</f>
        <v>Marta López</v>
      </c>
    </row>
    <row r="1850" spans="1:19" x14ac:dyDescent="0.3">
      <c r="A1850" s="1">
        <v>45726</v>
      </c>
      <c r="B1850" s="2" t="s">
        <v>2556</v>
      </c>
      <c r="C1850" s="2" t="s">
        <v>2543</v>
      </c>
      <c r="D1850" s="2" t="s">
        <v>2528</v>
      </c>
      <c r="E1850" s="2" t="s">
        <v>2517</v>
      </c>
      <c r="F1850" s="3">
        <v>80048</v>
      </c>
      <c r="G1850" s="3">
        <v>2177</v>
      </c>
      <c r="H1850" s="3">
        <v>292</v>
      </c>
      <c r="I1850" s="4">
        <v>3831.29</v>
      </c>
      <c r="J1850" s="4">
        <v>9155.19</v>
      </c>
      <c r="K1850" s="3">
        <v>257</v>
      </c>
      <c r="L1850" s="2" t="s">
        <v>2539</v>
      </c>
      <c r="M1850" s="2" t="s">
        <v>2524</v>
      </c>
      <c r="N1850" t="str">
        <f>TRIM(PROPER(Tabla_auditoría[[#This Row],[ID_Campaña]]))</f>
        <v>Cmp-014</v>
      </c>
      <c r="O1850" t="str">
        <f>TRIM(PROPER(Tabla_auditoría[[#This Row],[Canal]]))</f>
        <v>Organic Social</v>
      </c>
      <c r="P1850" t="str">
        <f>TRIM(PROPER(Tabla_auditoría[[#This Row],[País]]))</f>
        <v>España</v>
      </c>
      <c r="Q1850" t="str">
        <f>TRIM(PROPER(Tabla_auditoría[[#This Row],[Dispositivo]]))</f>
        <v>Desktop</v>
      </c>
      <c r="R1850" t="str">
        <f>TRIM(PROPER(Tabla_auditoría[[#This Row],[Tipo_Campaña]]))</f>
        <v>Conversión</v>
      </c>
      <c r="S1850" t="str">
        <f>TRIM(PROPER(Tabla_auditoría[[#This Row],[Responsable]]))</f>
        <v>Luis Martín</v>
      </c>
    </row>
    <row r="1851" spans="1:19" x14ac:dyDescent="0.3">
      <c r="A1851" s="1">
        <v>45792</v>
      </c>
      <c r="B1851" s="2" t="s">
        <v>2566</v>
      </c>
      <c r="C1851" s="2" t="s">
        <v>2521</v>
      </c>
      <c r="D1851" s="2" t="s">
        <v>2516</v>
      </c>
      <c r="E1851" s="2" t="s">
        <v>2529</v>
      </c>
      <c r="F1851" s="3">
        <v>144130</v>
      </c>
      <c r="G1851" s="3">
        <v>4243</v>
      </c>
      <c r="H1851" s="3">
        <v>38</v>
      </c>
      <c r="I1851" s="4">
        <v>2684.92</v>
      </c>
      <c r="J1851" s="4">
        <v>8087.33</v>
      </c>
      <c r="K1851" s="3">
        <v>31</v>
      </c>
      <c r="L1851" s="2" t="s">
        <v>2523</v>
      </c>
      <c r="M1851" s="2" t="s">
        <v>2526</v>
      </c>
      <c r="N1851" t="str">
        <f>TRIM(PROPER(Tabla_auditoría[[#This Row],[ID_Campaña]]))</f>
        <v>Cmp-001</v>
      </c>
      <c r="O1851" t="str">
        <f>TRIM(PROPER(Tabla_auditoría[[#This Row],[Canal]]))</f>
        <v>Paid Search</v>
      </c>
      <c r="P1851" t="str">
        <f>TRIM(PROPER(Tabla_auditoría[[#This Row],[País]]))</f>
        <v>México</v>
      </c>
      <c r="Q1851" t="str">
        <f>TRIM(PROPER(Tabla_auditoría[[#This Row],[Dispositivo]]))</f>
        <v>Mobile</v>
      </c>
      <c r="R1851" t="str">
        <f>TRIM(PROPER(Tabla_auditoría[[#This Row],[Tipo_Campaña]]))</f>
        <v>Retención</v>
      </c>
      <c r="S1851" t="str">
        <f>TRIM(PROPER(Tabla_auditoría[[#This Row],[Responsable]]))</f>
        <v>Laura Pérez</v>
      </c>
    </row>
    <row r="1852" spans="1:19" x14ac:dyDescent="0.3">
      <c r="A1852" s="1">
        <v>45707</v>
      </c>
      <c r="B1852" s="2" t="s">
        <v>2544</v>
      </c>
      <c r="C1852" s="2" t="s">
        <v>2527</v>
      </c>
      <c r="E1852" s="2" t="s">
        <v>2517</v>
      </c>
      <c r="F1852" s="3">
        <v>27620</v>
      </c>
      <c r="G1852" s="3">
        <v>1741</v>
      </c>
      <c r="H1852" s="3">
        <v>107</v>
      </c>
      <c r="I1852" s="4">
        <v>410.57</v>
      </c>
      <c r="J1852" s="4">
        <v>11658.12</v>
      </c>
      <c r="K1852" s="3">
        <v>64</v>
      </c>
      <c r="L1852" s="2" t="s">
        <v>2536</v>
      </c>
      <c r="M1852" s="2" t="s">
        <v>2524</v>
      </c>
      <c r="N1852" t="str">
        <f>TRIM(PROPER(Tabla_auditoría[[#This Row],[ID_Campaña]]))</f>
        <v>Cmp-006</v>
      </c>
      <c r="O1852" t="str">
        <f>TRIM(PROPER(Tabla_auditoría[[#This Row],[Canal]]))</f>
        <v>Affiliate</v>
      </c>
      <c r="P1852" t="str">
        <f>TRIM(PROPER(Tabla_auditoría[[#This Row],[País]]))</f>
        <v/>
      </c>
      <c r="Q1852" t="str">
        <f>TRIM(PROPER(Tabla_auditoría[[#This Row],[Dispositivo]]))</f>
        <v>Desktop</v>
      </c>
      <c r="R1852" t="str">
        <f>TRIM(PROPER(Tabla_auditoría[[#This Row],[Tipo_Campaña]]))</f>
        <v>Reconocimiento</v>
      </c>
      <c r="S1852" t="str">
        <f>TRIM(PROPER(Tabla_auditoría[[#This Row],[Responsable]]))</f>
        <v>Luis Martín</v>
      </c>
    </row>
    <row r="1853" spans="1:19" x14ac:dyDescent="0.3">
      <c r="A1853" s="1">
        <v>45973</v>
      </c>
      <c r="B1853" s="2" t="s">
        <v>2560</v>
      </c>
      <c r="C1853" s="2" t="s">
        <v>2527</v>
      </c>
      <c r="D1853" s="2" t="s">
        <v>2528</v>
      </c>
      <c r="E1853" s="2" t="s">
        <v>2529</v>
      </c>
      <c r="F1853" s="3">
        <v>31708</v>
      </c>
      <c r="G1853" s="3">
        <v>1919</v>
      </c>
      <c r="H1853" s="3">
        <v>180</v>
      </c>
      <c r="I1853" s="4">
        <v>2963.09</v>
      </c>
      <c r="J1853" s="4">
        <v>2949.81</v>
      </c>
      <c r="K1853" s="3">
        <v>86</v>
      </c>
      <c r="L1853" s="2" t="s">
        <v>2518</v>
      </c>
      <c r="M1853" s="2" t="s">
        <v>2519</v>
      </c>
      <c r="N1853" t="str">
        <f>TRIM(PROPER(Tabla_auditoría[[#This Row],[ID_Campaña]]))</f>
        <v>Cmp-027</v>
      </c>
      <c r="O1853" t="str">
        <f>TRIM(PROPER(Tabla_auditoría[[#This Row],[Canal]]))</f>
        <v>Affiliate</v>
      </c>
      <c r="P1853" t="str">
        <f>TRIM(PROPER(Tabla_auditoría[[#This Row],[País]]))</f>
        <v>España</v>
      </c>
      <c r="Q1853" t="str">
        <f>TRIM(PROPER(Tabla_auditoría[[#This Row],[Dispositivo]]))</f>
        <v>Mobile</v>
      </c>
      <c r="R1853" t="str">
        <f>TRIM(PROPER(Tabla_auditoría[[#This Row],[Tipo_Campaña]]))</f>
        <v>Adquisición</v>
      </c>
      <c r="S1853" t="str">
        <f>TRIM(PROPER(Tabla_auditoría[[#This Row],[Responsable]]))</f>
        <v>Carlos Ruiz</v>
      </c>
    </row>
    <row r="1854" spans="1:19" x14ac:dyDescent="0.3">
      <c r="A1854" s="1">
        <v>45727</v>
      </c>
      <c r="B1854" s="2" t="s">
        <v>2551</v>
      </c>
      <c r="C1854" s="2" t="s">
        <v>2543</v>
      </c>
      <c r="D1854" s="2" t="s">
        <v>2528</v>
      </c>
      <c r="E1854" s="2" t="s">
        <v>2529</v>
      </c>
      <c r="F1854" s="3">
        <v>15432</v>
      </c>
      <c r="G1854" s="3">
        <v>872</v>
      </c>
      <c r="H1854" s="3">
        <v>74</v>
      </c>
      <c r="I1854" s="4">
        <v>1473.67</v>
      </c>
      <c r="J1854" s="4">
        <v>1155.6199999999999</v>
      </c>
      <c r="K1854" s="3">
        <v>33</v>
      </c>
      <c r="L1854" s="2" t="s">
        <v>2518</v>
      </c>
      <c r="M1854" s="2" t="s">
        <v>2546</v>
      </c>
      <c r="N1854" t="str">
        <f>TRIM(PROPER(Tabla_auditoría[[#This Row],[ID_Campaña]]))</f>
        <v>Cmp-028</v>
      </c>
      <c r="O1854" t="str">
        <f>TRIM(PROPER(Tabla_auditoría[[#This Row],[Canal]]))</f>
        <v>Organic Social</v>
      </c>
      <c r="P1854" t="str">
        <f>TRIM(PROPER(Tabla_auditoría[[#This Row],[País]]))</f>
        <v>España</v>
      </c>
      <c r="Q1854" t="str">
        <f>TRIM(PROPER(Tabla_auditoría[[#This Row],[Dispositivo]]))</f>
        <v>Mobile</v>
      </c>
      <c r="R1854" t="str">
        <f>TRIM(PROPER(Tabla_auditoría[[#This Row],[Tipo_Campaña]]))</f>
        <v>Adquisición</v>
      </c>
      <c r="S1854" t="str">
        <f>TRIM(PROPER(Tabla_auditoría[[#This Row],[Responsable]]))</f>
        <v>Ana García</v>
      </c>
    </row>
    <row r="1855" spans="1:19" x14ac:dyDescent="0.3">
      <c r="A1855" s="1">
        <v>45760</v>
      </c>
      <c r="B1855" s="2" t="s">
        <v>2538</v>
      </c>
      <c r="C1855" s="2" t="s">
        <v>2541</v>
      </c>
      <c r="D1855" s="2" t="s">
        <v>2516</v>
      </c>
      <c r="E1855" s="2" t="s">
        <v>2517</v>
      </c>
      <c r="F1855" s="3">
        <v>103017</v>
      </c>
      <c r="G1855" s="3">
        <v>2685</v>
      </c>
      <c r="H1855" s="3">
        <v>163</v>
      </c>
      <c r="I1855" s="4">
        <v>789.5</v>
      </c>
      <c r="J1855" s="4">
        <v>27544.91</v>
      </c>
      <c r="K1855" s="3">
        <v>124</v>
      </c>
      <c r="L1855" s="2" t="s">
        <v>2518</v>
      </c>
      <c r="M1855" s="2" t="s">
        <v>2524</v>
      </c>
      <c r="N1855" t="str">
        <f>TRIM(PROPER(Tabla_auditoría[[#This Row],[ID_Campaña]]))</f>
        <v>Cmp-004</v>
      </c>
      <c r="O1855" t="str">
        <f>TRIM(PROPER(Tabla_auditoría[[#This Row],[Canal]]))</f>
        <v>Display</v>
      </c>
      <c r="P1855" t="str">
        <f>TRIM(PROPER(Tabla_auditoría[[#This Row],[País]]))</f>
        <v>México</v>
      </c>
      <c r="Q1855" t="str">
        <f>TRIM(PROPER(Tabla_auditoría[[#This Row],[Dispositivo]]))</f>
        <v>Desktop</v>
      </c>
      <c r="R1855" t="str">
        <f>TRIM(PROPER(Tabla_auditoría[[#This Row],[Tipo_Campaña]]))</f>
        <v>Adquisición</v>
      </c>
      <c r="S1855" t="str">
        <f>TRIM(PROPER(Tabla_auditoría[[#This Row],[Responsable]]))</f>
        <v>Luis Martín</v>
      </c>
    </row>
    <row r="1856" spans="1:19" x14ac:dyDescent="0.3">
      <c r="A1856" s="1">
        <v>45907</v>
      </c>
      <c r="B1856" s="2" t="s">
        <v>2563</v>
      </c>
      <c r="C1856" s="2" t="s">
        <v>2541</v>
      </c>
      <c r="D1856" s="2" t="s">
        <v>2528</v>
      </c>
      <c r="E1856" s="2" t="s">
        <v>2517</v>
      </c>
      <c r="F1856" s="3">
        <v>82771</v>
      </c>
      <c r="G1856" s="3">
        <v>4626</v>
      </c>
      <c r="H1856" s="3">
        <v>184</v>
      </c>
      <c r="I1856" s="4">
        <v>7231.41</v>
      </c>
      <c r="J1856" s="4">
        <v>29883.53</v>
      </c>
      <c r="K1856" s="3">
        <v>162</v>
      </c>
      <c r="L1856" s="2" t="s">
        <v>2536</v>
      </c>
      <c r="M1856" s="2" t="s">
        <v>2519</v>
      </c>
      <c r="N1856" t="str">
        <f>TRIM(PROPER(Tabla_auditoría[[#This Row],[ID_Campaña]]))</f>
        <v>Cmp-023</v>
      </c>
      <c r="O1856" t="str">
        <f>TRIM(PROPER(Tabla_auditoría[[#This Row],[Canal]]))</f>
        <v>Display</v>
      </c>
      <c r="P1856" t="str">
        <f>TRIM(PROPER(Tabla_auditoría[[#This Row],[País]]))</f>
        <v>España</v>
      </c>
      <c r="Q1856" t="str">
        <f>TRIM(PROPER(Tabla_auditoría[[#This Row],[Dispositivo]]))</f>
        <v>Desktop</v>
      </c>
      <c r="R1856" t="str">
        <f>TRIM(PROPER(Tabla_auditoría[[#This Row],[Tipo_Campaña]]))</f>
        <v>Reconocimiento</v>
      </c>
      <c r="S1856" t="str">
        <f>TRIM(PROPER(Tabla_auditoría[[#This Row],[Responsable]]))</f>
        <v>Carlos Ruiz</v>
      </c>
    </row>
    <row r="1857" spans="1:19" x14ac:dyDescent="0.3">
      <c r="A1857" s="1">
        <v>45843</v>
      </c>
      <c r="B1857" s="2" t="s">
        <v>2551</v>
      </c>
      <c r="C1857" s="2" t="s">
        <v>2533</v>
      </c>
      <c r="D1857" s="2" t="s">
        <v>2528</v>
      </c>
      <c r="E1857" s="2" t="s">
        <v>2529</v>
      </c>
      <c r="F1857" s="3">
        <v>122318</v>
      </c>
      <c r="G1857" s="3">
        <v>10376</v>
      </c>
      <c r="H1857" s="3">
        <v>1285</v>
      </c>
      <c r="I1857" s="4">
        <v>15263.31</v>
      </c>
      <c r="J1857" s="4">
        <v>143302.43</v>
      </c>
      <c r="K1857" s="3">
        <v>689</v>
      </c>
      <c r="L1857" s="2" t="s">
        <v>2523</v>
      </c>
      <c r="M1857" s="2" t="s">
        <v>2519</v>
      </c>
      <c r="N1857" t="str">
        <f>TRIM(PROPER(Tabla_auditoría[[#This Row],[ID_Campaña]]))</f>
        <v>Cmp-028</v>
      </c>
      <c r="O1857" t="str">
        <f>TRIM(PROPER(Tabla_auditoría[[#This Row],[Canal]]))</f>
        <v>Paid Social</v>
      </c>
      <c r="P1857" t="str">
        <f>TRIM(PROPER(Tabla_auditoría[[#This Row],[País]]))</f>
        <v>España</v>
      </c>
      <c r="Q1857" t="str">
        <f>TRIM(PROPER(Tabla_auditoría[[#This Row],[Dispositivo]]))</f>
        <v>Mobile</v>
      </c>
      <c r="R1857" t="str">
        <f>TRIM(PROPER(Tabla_auditoría[[#This Row],[Tipo_Campaña]]))</f>
        <v>Retención</v>
      </c>
      <c r="S1857" t="str">
        <f>TRIM(PROPER(Tabla_auditoría[[#This Row],[Responsable]]))</f>
        <v>Carlos Ruiz</v>
      </c>
    </row>
    <row r="1858" spans="1:19" x14ac:dyDescent="0.3">
      <c r="A1858" s="1">
        <v>45871</v>
      </c>
      <c r="B1858" s="2" t="s">
        <v>2547</v>
      </c>
      <c r="C1858" s="2" t="s">
        <v>2543</v>
      </c>
      <c r="D1858" s="2" t="s">
        <v>2525</v>
      </c>
      <c r="E1858" s="2" t="s">
        <v>2517</v>
      </c>
      <c r="F1858" s="3">
        <v>143509</v>
      </c>
      <c r="G1858" s="3">
        <v>7560</v>
      </c>
      <c r="H1858" s="3">
        <v>529</v>
      </c>
      <c r="I1858" s="4">
        <v>7404.78</v>
      </c>
      <c r="J1858" s="4">
        <v>57905.71</v>
      </c>
      <c r="K1858" s="3">
        <v>472</v>
      </c>
      <c r="L1858" s="2" t="s">
        <v>2523</v>
      </c>
      <c r="M1858" s="2" t="s">
        <v>2519</v>
      </c>
      <c r="N1858" t="str">
        <f>TRIM(PROPER(Tabla_auditoría[[#This Row],[ID_Campaña]]))</f>
        <v>Cmp-018</v>
      </c>
      <c r="O1858" t="str">
        <f>TRIM(PROPER(Tabla_auditoría[[#This Row],[Canal]]))</f>
        <v>Organic Social</v>
      </c>
      <c r="P1858" t="str">
        <f>TRIM(PROPER(Tabla_auditoría[[#This Row],[País]]))</f>
        <v>Francia</v>
      </c>
      <c r="Q1858" t="str">
        <f>TRIM(PROPER(Tabla_auditoría[[#This Row],[Dispositivo]]))</f>
        <v>Desktop</v>
      </c>
      <c r="R1858" t="str">
        <f>TRIM(PROPER(Tabla_auditoría[[#This Row],[Tipo_Campaña]]))</f>
        <v>Retención</v>
      </c>
      <c r="S1858" t="str">
        <f>TRIM(PROPER(Tabla_auditoría[[#This Row],[Responsable]]))</f>
        <v>Carlos Ruiz</v>
      </c>
    </row>
    <row r="1859" spans="1:19" x14ac:dyDescent="0.3">
      <c r="A1859" s="1">
        <v>45795</v>
      </c>
      <c r="B1859" s="2" t="s">
        <v>2520</v>
      </c>
      <c r="C1859" s="2" t="s">
        <v>2533</v>
      </c>
      <c r="D1859" s="2" t="s">
        <v>2516</v>
      </c>
      <c r="E1859" s="2" t="s">
        <v>2561</v>
      </c>
      <c r="F1859" s="3">
        <v>104385</v>
      </c>
      <c r="G1859" s="3">
        <v>1278</v>
      </c>
      <c r="H1859" s="3">
        <v>165</v>
      </c>
      <c r="I1859" s="4">
        <v>1350.77</v>
      </c>
      <c r="J1859" s="4">
        <v>33313.96</v>
      </c>
      <c r="K1859" s="3">
        <v>106</v>
      </c>
      <c r="L1859" s="2" t="s">
        <v>2518</v>
      </c>
      <c r="M1859" s="2" t="s">
        <v>2524</v>
      </c>
      <c r="N1859" t="str">
        <f>TRIM(PROPER(Tabla_auditoría[[#This Row],[ID_Campaña]]))</f>
        <v>Cmp-009</v>
      </c>
      <c r="O1859" t="str">
        <f>TRIM(PROPER(Tabla_auditoría[[#This Row],[Canal]]))</f>
        <v>Paid Social</v>
      </c>
      <c r="P1859" t="str">
        <f>TRIM(PROPER(Tabla_auditoría[[#This Row],[País]]))</f>
        <v>México</v>
      </c>
      <c r="Q1859" t="str">
        <f>TRIM(PROPER(Tabla_auditoría[[#This Row],[Dispositivo]]))</f>
        <v>Mobile</v>
      </c>
      <c r="R1859" t="str">
        <f>TRIM(PROPER(Tabla_auditoría[[#This Row],[Tipo_Campaña]]))</f>
        <v>Adquisición</v>
      </c>
      <c r="S1859" t="str">
        <f>TRIM(PROPER(Tabla_auditoría[[#This Row],[Responsable]]))</f>
        <v>Luis Martín</v>
      </c>
    </row>
    <row r="1860" spans="1:19" x14ac:dyDescent="0.3">
      <c r="A1860" s="1">
        <v>45960</v>
      </c>
      <c r="B1860" s="2" t="s">
        <v>2540</v>
      </c>
      <c r="C1860" s="2" t="s">
        <v>2521</v>
      </c>
      <c r="D1860" s="2" t="s">
        <v>2528</v>
      </c>
      <c r="E1860" s="2" t="s">
        <v>2517</v>
      </c>
      <c r="F1860" s="3">
        <v>25281</v>
      </c>
      <c r="G1860" s="3">
        <v>660</v>
      </c>
      <c r="H1860" s="3">
        <v>69</v>
      </c>
      <c r="I1860" s="4">
        <v>375.16</v>
      </c>
      <c r="J1860" s="4">
        <v>4135.01</v>
      </c>
      <c r="K1860" s="3">
        <v>49</v>
      </c>
      <c r="L1860" s="2" t="s">
        <v>2536</v>
      </c>
      <c r="M1860" s="2" t="s">
        <v>2524</v>
      </c>
      <c r="N1860" t="str">
        <f>TRIM(PROPER(Tabla_auditoría[[#This Row],[ID_Campaña]]))</f>
        <v>Cmp-017</v>
      </c>
      <c r="O1860" t="str">
        <f>TRIM(PROPER(Tabla_auditoría[[#This Row],[Canal]]))</f>
        <v>Paid Search</v>
      </c>
      <c r="P1860" t="str">
        <f>TRIM(PROPER(Tabla_auditoría[[#This Row],[País]]))</f>
        <v>España</v>
      </c>
      <c r="Q1860" t="str">
        <f>TRIM(PROPER(Tabla_auditoría[[#This Row],[Dispositivo]]))</f>
        <v>Desktop</v>
      </c>
      <c r="R1860" t="str">
        <f>TRIM(PROPER(Tabla_auditoría[[#This Row],[Tipo_Campaña]]))</f>
        <v>Reconocimiento</v>
      </c>
      <c r="S1860" t="str">
        <f>TRIM(PROPER(Tabla_auditoría[[#This Row],[Responsable]]))</f>
        <v>Luis Martín</v>
      </c>
    </row>
    <row r="1861" spans="1:19" x14ac:dyDescent="0.3">
      <c r="A1861" s="1">
        <v>45716</v>
      </c>
      <c r="B1861" s="2" t="s">
        <v>2550</v>
      </c>
      <c r="C1861" s="2" t="s">
        <v>2527</v>
      </c>
      <c r="D1861" s="2" t="s">
        <v>2525</v>
      </c>
      <c r="E1861" s="2" t="s">
        <v>2517</v>
      </c>
      <c r="F1861" s="3">
        <v>118475</v>
      </c>
      <c r="G1861" s="3">
        <v>9672</v>
      </c>
      <c r="H1861" s="3">
        <v>288</v>
      </c>
      <c r="I1861" s="4">
        <v>17048.98</v>
      </c>
      <c r="J1861" s="4">
        <v>39606.400000000001</v>
      </c>
      <c r="K1861" s="3">
        <v>158</v>
      </c>
      <c r="L1861" s="2" t="s">
        <v>2536</v>
      </c>
      <c r="M1861" s="2" t="s">
        <v>2519</v>
      </c>
      <c r="N1861" t="str">
        <f>TRIM(PROPER(Tabla_auditoría[[#This Row],[ID_Campaña]]))</f>
        <v>Cmp-008</v>
      </c>
      <c r="O1861" t="str">
        <f>TRIM(PROPER(Tabla_auditoría[[#This Row],[Canal]]))</f>
        <v>Affiliate</v>
      </c>
      <c r="P1861" t="str">
        <f>TRIM(PROPER(Tabla_auditoría[[#This Row],[País]]))</f>
        <v>Francia</v>
      </c>
      <c r="Q1861" t="str">
        <f>TRIM(PROPER(Tabla_auditoría[[#This Row],[Dispositivo]]))</f>
        <v>Desktop</v>
      </c>
      <c r="R1861" t="str">
        <f>TRIM(PROPER(Tabla_auditoría[[#This Row],[Tipo_Campaña]]))</f>
        <v>Reconocimiento</v>
      </c>
      <c r="S1861" t="str">
        <f>TRIM(PROPER(Tabla_auditoría[[#This Row],[Responsable]]))</f>
        <v>Carlos Ruiz</v>
      </c>
    </row>
    <row r="1862" spans="1:19" x14ac:dyDescent="0.3">
      <c r="A1862" s="1">
        <v>45773</v>
      </c>
      <c r="B1862" s="2" t="s">
        <v>2540</v>
      </c>
      <c r="C1862" s="2" t="s">
        <v>2515</v>
      </c>
      <c r="D1862" s="2" t="s">
        <v>2528</v>
      </c>
      <c r="E1862" s="2" t="s">
        <v>2529</v>
      </c>
      <c r="F1862" s="3">
        <v>145644</v>
      </c>
      <c r="G1862" s="3">
        <v>10729</v>
      </c>
      <c r="H1862" s="3">
        <v>1421</v>
      </c>
      <c r="I1862" s="4">
        <v>1453.02</v>
      </c>
      <c r="J1862" s="4">
        <v>250329.44</v>
      </c>
      <c r="K1862" s="3">
        <v>1263</v>
      </c>
      <c r="L1862" s="2" t="s">
        <v>2536</v>
      </c>
      <c r="M1862" s="2" t="s">
        <v>2537</v>
      </c>
      <c r="N1862" t="str">
        <f>TRIM(PROPER(Tabla_auditoría[[#This Row],[ID_Campaña]]))</f>
        <v>Cmp-017</v>
      </c>
      <c r="O1862" t="str">
        <f>TRIM(PROPER(Tabla_auditoría[[#This Row],[Canal]]))</f>
        <v>Email</v>
      </c>
      <c r="P1862" t="str">
        <f>TRIM(PROPER(Tabla_auditoría[[#This Row],[País]]))</f>
        <v>España</v>
      </c>
      <c r="Q1862" t="str">
        <f>TRIM(PROPER(Tabla_auditoría[[#This Row],[Dispositivo]]))</f>
        <v>Mobile</v>
      </c>
      <c r="R1862" t="str">
        <f>TRIM(PROPER(Tabla_auditoría[[#This Row],[Tipo_Campaña]]))</f>
        <v>Reconocimiento</v>
      </c>
      <c r="S1862" t="str">
        <f>TRIM(PROPER(Tabla_auditoría[[#This Row],[Responsable]]))</f>
        <v>Marta López</v>
      </c>
    </row>
    <row r="1863" spans="1:19" x14ac:dyDescent="0.3">
      <c r="A1863" s="1">
        <v>45945</v>
      </c>
      <c r="B1863" s="2" t="s">
        <v>2564</v>
      </c>
      <c r="C1863" s="2" t="s">
        <v>2515</v>
      </c>
      <c r="D1863" s="2" t="s">
        <v>2528</v>
      </c>
      <c r="E1863" s="2" t="s">
        <v>2529</v>
      </c>
      <c r="F1863" s="3">
        <v>111755</v>
      </c>
      <c r="G1863" s="3">
        <v>4484</v>
      </c>
      <c r="H1863" s="3">
        <v>518</v>
      </c>
      <c r="I1863" s="4">
        <v>4645.1099999999997</v>
      </c>
      <c r="J1863" s="4">
        <v>66062.97</v>
      </c>
      <c r="K1863" s="3">
        <v>285</v>
      </c>
      <c r="L1863" s="2" t="s">
        <v>2523</v>
      </c>
      <c r="M1863" s="2" t="s">
        <v>2537</v>
      </c>
      <c r="N1863" t="str">
        <f>TRIM(PROPER(Tabla_auditoría[[#This Row],[ID_Campaña]]))</f>
        <v>Cmp-024</v>
      </c>
      <c r="O1863" t="str">
        <f>TRIM(PROPER(Tabla_auditoría[[#This Row],[Canal]]))</f>
        <v>Email</v>
      </c>
      <c r="P1863" t="str">
        <f>TRIM(PROPER(Tabla_auditoría[[#This Row],[País]]))</f>
        <v>España</v>
      </c>
      <c r="Q1863" t="str">
        <f>TRIM(PROPER(Tabla_auditoría[[#This Row],[Dispositivo]]))</f>
        <v>Mobile</v>
      </c>
      <c r="R1863" t="str">
        <f>TRIM(PROPER(Tabla_auditoría[[#This Row],[Tipo_Campaña]]))</f>
        <v>Retención</v>
      </c>
      <c r="S1863" t="str">
        <f>TRIM(PROPER(Tabla_auditoría[[#This Row],[Responsable]]))</f>
        <v>Marta López</v>
      </c>
    </row>
    <row r="1864" spans="1:19" x14ac:dyDescent="0.3">
      <c r="A1864" s="1">
        <v>45967</v>
      </c>
      <c r="B1864" s="2" t="s">
        <v>2551</v>
      </c>
      <c r="C1864" s="2" t="s">
        <v>2543</v>
      </c>
      <c r="D1864" s="2" t="s">
        <v>2522</v>
      </c>
      <c r="E1864" s="2" t="s">
        <v>2561</v>
      </c>
      <c r="F1864" s="3">
        <v>25795</v>
      </c>
      <c r="G1864" s="3">
        <v>538</v>
      </c>
      <c r="H1864" s="3">
        <v>32</v>
      </c>
      <c r="I1864" s="4">
        <v>854.29</v>
      </c>
      <c r="J1864" s="4">
        <v>4547.2299999999996</v>
      </c>
      <c r="K1864" s="3">
        <v>20</v>
      </c>
      <c r="L1864" s="2" t="s">
        <v>2536</v>
      </c>
      <c r="M1864" s="2" t="s">
        <v>2519</v>
      </c>
      <c r="N1864" t="str">
        <f>TRIM(PROPER(Tabla_auditoría[[#This Row],[ID_Campaña]]))</f>
        <v>Cmp-028</v>
      </c>
      <c r="O1864" t="str">
        <f>TRIM(PROPER(Tabla_auditoría[[#This Row],[Canal]]))</f>
        <v>Organic Social</v>
      </c>
      <c r="P1864" t="str">
        <f>TRIM(PROPER(Tabla_auditoría[[#This Row],[País]]))</f>
        <v>Italia</v>
      </c>
      <c r="Q1864" t="str">
        <f>TRIM(PROPER(Tabla_auditoría[[#This Row],[Dispositivo]]))</f>
        <v>Mobile</v>
      </c>
      <c r="R1864" t="str">
        <f>TRIM(PROPER(Tabla_auditoría[[#This Row],[Tipo_Campaña]]))</f>
        <v>Reconocimiento</v>
      </c>
      <c r="S1864" t="str">
        <f>TRIM(PROPER(Tabla_auditoría[[#This Row],[Responsable]]))</f>
        <v>Carlos Ruiz</v>
      </c>
    </row>
    <row r="1865" spans="1:19" x14ac:dyDescent="0.3">
      <c r="A1865" s="1">
        <v>45785</v>
      </c>
      <c r="B1865" s="2" t="s">
        <v>2568</v>
      </c>
      <c r="C1865" s="2" t="s">
        <v>2541</v>
      </c>
      <c r="D1865" s="2" t="s">
        <v>2528</v>
      </c>
      <c r="E1865" s="2" t="s">
        <v>2529</v>
      </c>
      <c r="F1865" s="3">
        <v>169372</v>
      </c>
      <c r="G1865" s="3">
        <v>5683</v>
      </c>
      <c r="H1865" s="3">
        <v>120</v>
      </c>
      <c r="I1865" s="4">
        <v>11345.02</v>
      </c>
      <c r="J1865" s="4">
        <v>8349.73</v>
      </c>
      <c r="K1865" s="3">
        <v>56</v>
      </c>
      <c r="L1865" s="2" t="s">
        <v>2536</v>
      </c>
      <c r="M1865" s="2" t="s">
        <v>2526</v>
      </c>
      <c r="N1865" t="str">
        <f>TRIM(PROPER(Tabla_auditoría[[#This Row],[ID_Campaña]]))</f>
        <v>Cmp-020</v>
      </c>
      <c r="O1865" t="str">
        <f>TRIM(PROPER(Tabla_auditoría[[#This Row],[Canal]]))</f>
        <v>Display</v>
      </c>
      <c r="P1865" t="str">
        <f>TRIM(PROPER(Tabla_auditoría[[#This Row],[País]]))</f>
        <v>España</v>
      </c>
      <c r="Q1865" t="str">
        <f>TRIM(PROPER(Tabla_auditoría[[#This Row],[Dispositivo]]))</f>
        <v>Mobile</v>
      </c>
      <c r="R1865" t="str">
        <f>TRIM(PROPER(Tabla_auditoría[[#This Row],[Tipo_Campaña]]))</f>
        <v>Reconocimiento</v>
      </c>
      <c r="S1865" t="str">
        <f>TRIM(PROPER(Tabla_auditoría[[#This Row],[Responsable]]))</f>
        <v>Laura Pérez</v>
      </c>
    </row>
    <row r="1866" spans="1:19" x14ac:dyDescent="0.3">
      <c r="A1866" s="1">
        <v>46022</v>
      </c>
      <c r="B1866" s="2" t="s">
        <v>2569</v>
      </c>
      <c r="C1866" s="2" t="s">
        <v>2543</v>
      </c>
      <c r="D1866" s="2" t="s">
        <v>2522</v>
      </c>
      <c r="E1866" s="2" t="s">
        <v>2529</v>
      </c>
      <c r="F1866" s="3">
        <v>50581</v>
      </c>
      <c r="G1866" s="3">
        <v>2820</v>
      </c>
      <c r="H1866" s="3">
        <v>330</v>
      </c>
      <c r="I1866" s="4">
        <v>3644.68</v>
      </c>
      <c r="J1866" s="4">
        <v>36594.050000000003</v>
      </c>
      <c r="K1866" s="3">
        <v>231</v>
      </c>
      <c r="L1866" s="2" t="s">
        <v>2536</v>
      </c>
      <c r="M1866" s="2" t="s">
        <v>2524</v>
      </c>
      <c r="N1866" t="str">
        <f>TRIM(PROPER(Tabla_auditoría[[#This Row],[ID_Campaña]]))</f>
        <v>Cmp-013</v>
      </c>
      <c r="O1866" t="str">
        <f>TRIM(PROPER(Tabla_auditoría[[#This Row],[Canal]]))</f>
        <v>Organic Social</v>
      </c>
      <c r="P1866" t="str">
        <f>TRIM(PROPER(Tabla_auditoría[[#This Row],[País]]))</f>
        <v>Italia</v>
      </c>
      <c r="Q1866" t="str">
        <f>TRIM(PROPER(Tabla_auditoría[[#This Row],[Dispositivo]]))</f>
        <v>Mobile</v>
      </c>
      <c r="R1866" t="str">
        <f>TRIM(PROPER(Tabla_auditoría[[#This Row],[Tipo_Campaña]]))</f>
        <v>Reconocimiento</v>
      </c>
      <c r="S1866" t="str">
        <f>TRIM(PROPER(Tabla_auditoría[[#This Row],[Responsable]]))</f>
        <v>Luis Martín</v>
      </c>
    </row>
    <row r="1867" spans="1:19" x14ac:dyDescent="0.3">
      <c r="A1867" s="1">
        <v>45899</v>
      </c>
      <c r="B1867" s="2" t="s">
        <v>2532</v>
      </c>
      <c r="C1867" s="2" t="s">
        <v>2543</v>
      </c>
      <c r="D1867" s="2" t="s">
        <v>2528</v>
      </c>
      <c r="E1867" s="2" t="s">
        <v>2529</v>
      </c>
      <c r="F1867" s="3">
        <v>157479</v>
      </c>
      <c r="G1867" s="3">
        <v>11320</v>
      </c>
      <c r="H1867" s="3">
        <v>580</v>
      </c>
      <c r="I1867" s="4">
        <v>21510.639999999999</v>
      </c>
      <c r="J1867" s="4">
        <v>110852.74</v>
      </c>
      <c r="K1867" s="3">
        <v>369</v>
      </c>
      <c r="L1867" s="2" t="s">
        <v>2539</v>
      </c>
      <c r="M1867" s="2" t="s">
        <v>2546</v>
      </c>
      <c r="N1867" t="str">
        <f>TRIM(PROPER(Tabla_auditoría[[#This Row],[ID_Campaña]]))</f>
        <v>Cmp-022</v>
      </c>
      <c r="O1867" t="str">
        <f>TRIM(PROPER(Tabla_auditoría[[#This Row],[Canal]]))</f>
        <v>Organic Social</v>
      </c>
      <c r="P1867" t="str">
        <f>TRIM(PROPER(Tabla_auditoría[[#This Row],[País]]))</f>
        <v>España</v>
      </c>
      <c r="Q1867" t="str">
        <f>TRIM(PROPER(Tabla_auditoría[[#This Row],[Dispositivo]]))</f>
        <v>Mobile</v>
      </c>
      <c r="R1867" t="str">
        <f>TRIM(PROPER(Tabla_auditoría[[#This Row],[Tipo_Campaña]]))</f>
        <v>Conversión</v>
      </c>
      <c r="S1867" t="str">
        <f>TRIM(PROPER(Tabla_auditoría[[#This Row],[Responsable]]))</f>
        <v>Ana García</v>
      </c>
    </row>
    <row r="1868" spans="1:19" x14ac:dyDescent="0.3">
      <c r="A1868" s="1">
        <v>46000</v>
      </c>
      <c r="B1868" s="2" t="s">
        <v>2544</v>
      </c>
      <c r="C1868" s="2" t="s">
        <v>2515</v>
      </c>
      <c r="D1868" s="2" t="s">
        <v>2528</v>
      </c>
      <c r="E1868" s="2" t="s">
        <v>2517</v>
      </c>
      <c r="F1868" s="3">
        <v>178936</v>
      </c>
      <c r="G1868" s="3">
        <v>12867</v>
      </c>
      <c r="H1868" s="3">
        <v>1207</v>
      </c>
      <c r="I1868" s="4">
        <v>15102.35</v>
      </c>
      <c r="J1868" s="4">
        <v>94161.79</v>
      </c>
      <c r="K1868" s="3">
        <v>571</v>
      </c>
      <c r="L1868" s="2" t="s">
        <v>2518</v>
      </c>
      <c r="M1868" s="2" t="s">
        <v>2526</v>
      </c>
      <c r="N1868" t="str">
        <f>TRIM(PROPER(Tabla_auditoría[[#This Row],[ID_Campaña]]))</f>
        <v>Cmp-006</v>
      </c>
      <c r="O1868" t="str">
        <f>TRIM(PROPER(Tabla_auditoría[[#This Row],[Canal]]))</f>
        <v>Email</v>
      </c>
      <c r="P1868" t="str">
        <f>TRIM(PROPER(Tabla_auditoría[[#This Row],[País]]))</f>
        <v>España</v>
      </c>
      <c r="Q1868" t="str">
        <f>TRIM(PROPER(Tabla_auditoría[[#This Row],[Dispositivo]]))</f>
        <v>Desktop</v>
      </c>
      <c r="R1868" t="str">
        <f>TRIM(PROPER(Tabla_auditoría[[#This Row],[Tipo_Campaña]]))</f>
        <v>Adquisición</v>
      </c>
      <c r="S1868" t="str">
        <f>TRIM(PROPER(Tabla_auditoría[[#This Row],[Responsable]]))</f>
        <v>Laura Pérez</v>
      </c>
    </row>
    <row r="1869" spans="1:19" x14ac:dyDescent="0.3">
      <c r="A1869" s="1">
        <v>45859</v>
      </c>
      <c r="B1869" s="2" t="s">
        <v>2530</v>
      </c>
      <c r="C1869" s="2" t="s">
        <v>2533</v>
      </c>
      <c r="D1869" s="2" t="s">
        <v>2528</v>
      </c>
      <c r="E1869" s="2" t="s">
        <v>2529</v>
      </c>
      <c r="F1869" s="3">
        <v>37674</v>
      </c>
      <c r="G1869" s="3">
        <v>2366</v>
      </c>
      <c r="H1869" s="3">
        <v>237</v>
      </c>
      <c r="I1869" s="4">
        <v>1886.28</v>
      </c>
      <c r="J1869" s="4">
        <v>11793.92</v>
      </c>
      <c r="K1869" s="3">
        <v>197</v>
      </c>
      <c r="L1869" s="2" t="s">
        <v>2539</v>
      </c>
      <c r="M1869" s="2" t="s">
        <v>2526</v>
      </c>
      <c r="N1869" t="str">
        <f>TRIM(PROPER(Tabla_auditoría[[#This Row],[ID_Campaña]]))</f>
        <v>Cmp-026</v>
      </c>
      <c r="O1869" t="str">
        <f>TRIM(PROPER(Tabla_auditoría[[#This Row],[Canal]]))</f>
        <v>Paid Social</v>
      </c>
      <c r="P1869" t="str">
        <f>TRIM(PROPER(Tabla_auditoría[[#This Row],[País]]))</f>
        <v>España</v>
      </c>
      <c r="Q1869" t="str">
        <f>TRIM(PROPER(Tabla_auditoría[[#This Row],[Dispositivo]]))</f>
        <v>Mobile</v>
      </c>
      <c r="R1869" t="str">
        <f>TRIM(PROPER(Tabla_auditoría[[#This Row],[Tipo_Campaña]]))</f>
        <v>Conversión</v>
      </c>
      <c r="S1869" t="str">
        <f>TRIM(PROPER(Tabla_auditoría[[#This Row],[Responsable]]))</f>
        <v>Laura Pérez</v>
      </c>
    </row>
    <row r="1870" spans="1:19" x14ac:dyDescent="0.3">
      <c r="A1870" s="1">
        <v>45767</v>
      </c>
      <c r="B1870" s="2" t="s">
        <v>2554</v>
      </c>
      <c r="C1870" s="2" t="s">
        <v>2527</v>
      </c>
      <c r="D1870" s="2" t="s">
        <v>2516</v>
      </c>
      <c r="E1870" s="2" t="s">
        <v>2517</v>
      </c>
      <c r="F1870" s="3">
        <v>137270</v>
      </c>
      <c r="G1870" s="3">
        <v>11403</v>
      </c>
      <c r="H1870" s="3">
        <v>1431</v>
      </c>
      <c r="I1870" s="4">
        <v>9931.2000000000007</v>
      </c>
      <c r="J1870" s="4">
        <v>52877.94</v>
      </c>
      <c r="K1870" s="3">
        <v>644</v>
      </c>
      <c r="L1870" s="2" t="s">
        <v>2518</v>
      </c>
      <c r="M1870" s="2" t="s">
        <v>2526</v>
      </c>
      <c r="N1870" t="str">
        <f>TRIM(PROPER(Tabla_auditoría[[#This Row],[ID_Campaña]]))</f>
        <v>Cmp-019</v>
      </c>
      <c r="O1870" t="str">
        <f>TRIM(PROPER(Tabla_auditoría[[#This Row],[Canal]]))</f>
        <v>Affiliate</v>
      </c>
      <c r="P1870" t="str">
        <f>TRIM(PROPER(Tabla_auditoría[[#This Row],[País]]))</f>
        <v>México</v>
      </c>
      <c r="Q1870" t="str">
        <f>TRIM(PROPER(Tabla_auditoría[[#This Row],[Dispositivo]]))</f>
        <v>Desktop</v>
      </c>
      <c r="R1870" t="str">
        <f>TRIM(PROPER(Tabla_auditoría[[#This Row],[Tipo_Campaña]]))</f>
        <v>Adquisición</v>
      </c>
      <c r="S1870" t="str">
        <f>TRIM(PROPER(Tabla_auditoría[[#This Row],[Responsable]]))</f>
        <v>Laura Pérez</v>
      </c>
    </row>
    <row r="1871" spans="1:19" x14ac:dyDescent="0.3">
      <c r="A1871" s="1">
        <v>45810</v>
      </c>
      <c r="B1871" s="2" t="s">
        <v>2532</v>
      </c>
      <c r="C1871" s="2" t="s">
        <v>2558</v>
      </c>
      <c r="D1871" s="2" t="s">
        <v>2522</v>
      </c>
      <c r="E1871" s="2" t="s">
        <v>2517</v>
      </c>
      <c r="F1871" s="3">
        <v>146091</v>
      </c>
      <c r="G1871" s="3">
        <v>7753</v>
      </c>
      <c r="H1871" s="3">
        <v>380</v>
      </c>
      <c r="I1871" s="4">
        <v>5213.29</v>
      </c>
      <c r="J1871" s="4">
        <v>17244.330000000002</v>
      </c>
      <c r="K1871" s="3">
        <v>268</v>
      </c>
      <c r="L1871" s="2" t="s">
        <v>2539</v>
      </c>
      <c r="M1871" s="2" t="s">
        <v>2524</v>
      </c>
      <c r="N1871" t="str">
        <f>TRIM(PROPER(Tabla_auditoría[[#This Row],[ID_Campaña]]))</f>
        <v>Cmp-022</v>
      </c>
      <c r="O1871" t="str">
        <f>TRIM(PROPER(Tabla_auditoría[[#This Row],[Canal]]))</f>
        <v>Paid Social</v>
      </c>
      <c r="P1871" t="str">
        <f>TRIM(PROPER(Tabla_auditoría[[#This Row],[País]]))</f>
        <v>Italia</v>
      </c>
      <c r="Q1871" t="str">
        <f>TRIM(PROPER(Tabla_auditoría[[#This Row],[Dispositivo]]))</f>
        <v>Desktop</v>
      </c>
      <c r="R1871" t="str">
        <f>TRIM(PROPER(Tabla_auditoría[[#This Row],[Tipo_Campaña]]))</f>
        <v>Conversión</v>
      </c>
      <c r="S1871" t="str">
        <f>TRIM(PROPER(Tabla_auditoría[[#This Row],[Responsable]]))</f>
        <v>Luis Martín</v>
      </c>
    </row>
    <row r="1872" spans="1:19" x14ac:dyDescent="0.3">
      <c r="A1872" s="1">
        <v>45998</v>
      </c>
      <c r="B1872" s="2" t="s">
        <v>2566</v>
      </c>
      <c r="C1872" s="2" t="s">
        <v>2527</v>
      </c>
      <c r="D1872" s="2" t="s">
        <v>2516</v>
      </c>
      <c r="E1872" s="2" t="s">
        <v>2561</v>
      </c>
      <c r="F1872" s="3">
        <v>118399</v>
      </c>
      <c r="G1872" s="3">
        <v>4829</v>
      </c>
      <c r="H1872" s="3">
        <v>550</v>
      </c>
      <c r="I1872" s="4">
        <v>8532.07</v>
      </c>
      <c r="J1872" s="4">
        <v>54040.98</v>
      </c>
      <c r="K1872" s="3">
        <v>384</v>
      </c>
      <c r="L1872" s="2" t="s">
        <v>2523</v>
      </c>
      <c r="M1872" s="2" t="s">
        <v>2526</v>
      </c>
      <c r="N1872" t="str">
        <f>TRIM(PROPER(Tabla_auditoría[[#This Row],[ID_Campaña]]))</f>
        <v>Cmp-001</v>
      </c>
      <c r="O1872" t="str">
        <f>TRIM(PROPER(Tabla_auditoría[[#This Row],[Canal]]))</f>
        <v>Affiliate</v>
      </c>
      <c r="P1872" t="str">
        <f>TRIM(PROPER(Tabla_auditoría[[#This Row],[País]]))</f>
        <v>México</v>
      </c>
      <c r="Q1872" t="str">
        <f>TRIM(PROPER(Tabla_auditoría[[#This Row],[Dispositivo]]))</f>
        <v>Mobile</v>
      </c>
      <c r="R1872" t="str">
        <f>TRIM(PROPER(Tabla_auditoría[[#This Row],[Tipo_Campaña]]))</f>
        <v>Retención</v>
      </c>
      <c r="S1872" t="str">
        <f>TRIM(PROPER(Tabla_auditoría[[#This Row],[Responsable]]))</f>
        <v>Laura Pérez</v>
      </c>
    </row>
    <row r="1873" spans="1:19" x14ac:dyDescent="0.3">
      <c r="A1873" s="1">
        <v>45914</v>
      </c>
      <c r="B1873" s="2" t="s">
        <v>2547</v>
      </c>
      <c r="C1873" s="2" t="s">
        <v>2521</v>
      </c>
      <c r="D1873" s="2" t="s">
        <v>2525</v>
      </c>
      <c r="E1873" s="2" t="s">
        <v>2517</v>
      </c>
      <c r="F1873" s="3">
        <v>54632</v>
      </c>
      <c r="G1873" s="3">
        <v>1658</v>
      </c>
      <c r="H1873" s="3">
        <v>217</v>
      </c>
      <c r="I1873" s="4">
        <v>1870.33</v>
      </c>
      <c r="J1873" s="4">
        <v>31200.34</v>
      </c>
      <c r="K1873" s="3">
        <v>191</v>
      </c>
      <c r="L1873" s="2" t="s">
        <v>2523</v>
      </c>
      <c r="M1873" s="2" t="s">
        <v>2537</v>
      </c>
      <c r="N1873" t="str">
        <f>TRIM(PROPER(Tabla_auditoría[[#This Row],[ID_Campaña]]))</f>
        <v>Cmp-018</v>
      </c>
      <c r="O1873" t="str">
        <f>TRIM(PROPER(Tabla_auditoría[[#This Row],[Canal]]))</f>
        <v>Paid Search</v>
      </c>
      <c r="P1873" t="str">
        <f>TRIM(PROPER(Tabla_auditoría[[#This Row],[País]]))</f>
        <v>Francia</v>
      </c>
      <c r="Q1873" t="str">
        <f>TRIM(PROPER(Tabla_auditoría[[#This Row],[Dispositivo]]))</f>
        <v>Desktop</v>
      </c>
      <c r="R1873" t="str">
        <f>TRIM(PROPER(Tabla_auditoría[[#This Row],[Tipo_Campaña]]))</f>
        <v>Retención</v>
      </c>
      <c r="S1873" t="str">
        <f>TRIM(PROPER(Tabla_auditoría[[#This Row],[Responsable]]))</f>
        <v>Marta López</v>
      </c>
    </row>
    <row r="1874" spans="1:19" x14ac:dyDescent="0.3">
      <c r="A1874" s="1">
        <v>45848</v>
      </c>
      <c r="B1874" s="2" t="s">
        <v>2538</v>
      </c>
      <c r="C1874" s="2" t="s">
        <v>2527</v>
      </c>
      <c r="D1874" s="2" t="s">
        <v>2528</v>
      </c>
      <c r="E1874" s="2" t="s">
        <v>2517</v>
      </c>
      <c r="F1874" s="3">
        <v>77155</v>
      </c>
      <c r="G1874" s="3">
        <v>4533</v>
      </c>
      <c r="H1874" s="3">
        <v>481</v>
      </c>
      <c r="I1874" s="4">
        <v>1916.34</v>
      </c>
      <c r="J1874" s="4">
        <v>70290.28</v>
      </c>
      <c r="K1874" s="3">
        <v>284</v>
      </c>
      <c r="L1874" s="2" t="s">
        <v>2539</v>
      </c>
      <c r="M1874" s="2" t="s">
        <v>2537</v>
      </c>
      <c r="N1874" t="str">
        <f>TRIM(PROPER(Tabla_auditoría[[#This Row],[ID_Campaña]]))</f>
        <v>Cmp-004</v>
      </c>
      <c r="O1874" t="str">
        <f>TRIM(PROPER(Tabla_auditoría[[#This Row],[Canal]]))</f>
        <v>Affiliate</v>
      </c>
      <c r="P1874" t="str">
        <f>TRIM(PROPER(Tabla_auditoría[[#This Row],[País]]))</f>
        <v>España</v>
      </c>
      <c r="Q1874" t="str">
        <f>TRIM(PROPER(Tabla_auditoría[[#This Row],[Dispositivo]]))</f>
        <v>Desktop</v>
      </c>
      <c r="R1874" t="str">
        <f>TRIM(PROPER(Tabla_auditoría[[#This Row],[Tipo_Campaña]]))</f>
        <v>Conversión</v>
      </c>
      <c r="S1874" t="str">
        <f>TRIM(PROPER(Tabla_auditoría[[#This Row],[Responsable]]))</f>
        <v>Marta López</v>
      </c>
    </row>
    <row r="1875" spans="1:19" x14ac:dyDescent="0.3">
      <c r="A1875" s="1">
        <v>45898</v>
      </c>
      <c r="B1875" s="2" t="s">
        <v>2557</v>
      </c>
      <c r="C1875" s="2" t="s">
        <v>2515</v>
      </c>
      <c r="D1875" s="2" t="s">
        <v>2522</v>
      </c>
      <c r="E1875" s="2" t="s">
        <v>2529</v>
      </c>
      <c r="F1875" s="3">
        <v>149635</v>
      </c>
      <c r="G1875" s="3">
        <v>1360</v>
      </c>
      <c r="H1875" s="3">
        <v>115</v>
      </c>
      <c r="I1875" s="4">
        <v>2378.31</v>
      </c>
      <c r="J1875" s="4">
        <v>10830.63</v>
      </c>
      <c r="K1875" s="3">
        <v>85</v>
      </c>
      <c r="L1875" s="2" t="s">
        <v>2518</v>
      </c>
      <c r="M1875" s="2" t="s">
        <v>2537</v>
      </c>
      <c r="N1875" t="str">
        <f>TRIM(PROPER(Tabla_auditoría[[#This Row],[ID_Campaña]]))</f>
        <v>Cmp-030</v>
      </c>
      <c r="O1875" t="str">
        <f>TRIM(PROPER(Tabla_auditoría[[#This Row],[Canal]]))</f>
        <v>Email</v>
      </c>
      <c r="P1875" t="str">
        <f>TRIM(PROPER(Tabla_auditoría[[#This Row],[País]]))</f>
        <v>Italia</v>
      </c>
      <c r="Q1875" t="str">
        <f>TRIM(PROPER(Tabla_auditoría[[#This Row],[Dispositivo]]))</f>
        <v>Mobile</v>
      </c>
      <c r="R1875" t="str">
        <f>TRIM(PROPER(Tabla_auditoría[[#This Row],[Tipo_Campaña]]))</f>
        <v>Adquisición</v>
      </c>
      <c r="S1875" t="str">
        <f>TRIM(PROPER(Tabla_auditoría[[#This Row],[Responsable]]))</f>
        <v>Marta López</v>
      </c>
    </row>
    <row r="1876" spans="1:19" x14ac:dyDescent="0.3">
      <c r="A1876" s="1">
        <v>45782</v>
      </c>
      <c r="B1876" s="2" t="s">
        <v>2564</v>
      </c>
      <c r="C1876" s="2" t="s">
        <v>2521</v>
      </c>
      <c r="D1876" s="2" t="s">
        <v>2516</v>
      </c>
      <c r="E1876" s="2" t="s">
        <v>2517</v>
      </c>
      <c r="F1876" s="3">
        <v>110178</v>
      </c>
      <c r="G1876" s="3">
        <v>9281</v>
      </c>
      <c r="H1876" s="3">
        <v>289</v>
      </c>
      <c r="I1876" s="4">
        <v>15392.83</v>
      </c>
      <c r="J1876" s="4">
        <v>49443.06</v>
      </c>
      <c r="K1876" s="3">
        <v>193</v>
      </c>
      <c r="L1876" s="2" t="s">
        <v>2523</v>
      </c>
      <c r="M1876" s="2" t="s">
        <v>2524</v>
      </c>
      <c r="N1876" t="str">
        <f>TRIM(PROPER(Tabla_auditoría[[#This Row],[ID_Campaña]]))</f>
        <v>Cmp-024</v>
      </c>
      <c r="O1876" t="str">
        <f>TRIM(PROPER(Tabla_auditoría[[#This Row],[Canal]]))</f>
        <v>Paid Search</v>
      </c>
      <c r="P1876" t="str">
        <f>TRIM(PROPER(Tabla_auditoría[[#This Row],[País]]))</f>
        <v>México</v>
      </c>
      <c r="Q1876" t="str">
        <f>TRIM(PROPER(Tabla_auditoría[[#This Row],[Dispositivo]]))</f>
        <v>Desktop</v>
      </c>
      <c r="R1876" t="str">
        <f>TRIM(PROPER(Tabla_auditoría[[#This Row],[Tipo_Campaña]]))</f>
        <v>Retención</v>
      </c>
      <c r="S1876" t="str">
        <f>TRIM(PROPER(Tabla_auditoría[[#This Row],[Responsable]]))</f>
        <v>Luis Martín</v>
      </c>
    </row>
    <row r="1877" spans="1:19" x14ac:dyDescent="0.3">
      <c r="A1877" s="1">
        <v>45719</v>
      </c>
      <c r="B1877" s="2" t="s">
        <v>2544</v>
      </c>
      <c r="C1877" s="2" t="s">
        <v>2543</v>
      </c>
      <c r="D1877" s="2" t="s">
        <v>2528</v>
      </c>
      <c r="E1877" s="2" t="s">
        <v>2534</v>
      </c>
      <c r="F1877" s="3">
        <v>158051</v>
      </c>
      <c r="G1877" s="3">
        <v>4672</v>
      </c>
      <c r="H1877" s="3">
        <v>455</v>
      </c>
      <c r="I1877" s="4">
        <v>4193.1400000000003</v>
      </c>
      <c r="J1877" s="4">
        <v>84820.31</v>
      </c>
      <c r="K1877" s="3">
        <v>366</v>
      </c>
      <c r="L1877" s="2" t="s">
        <v>2536</v>
      </c>
      <c r="M1877" s="2" t="s">
        <v>2537</v>
      </c>
      <c r="N1877" t="str">
        <f>TRIM(PROPER(Tabla_auditoría[[#This Row],[ID_Campaña]]))</f>
        <v>Cmp-006</v>
      </c>
      <c r="O1877" t="str">
        <f>TRIM(PROPER(Tabla_auditoría[[#This Row],[Canal]]))</f>
        <v>Organic Social</v>
      </c>
      <c r="P1877" t="str">
        <f>TRIM(PROPER(Tabla_auditoría[[#This Row],[País]]))</f>
        <v>España</v>
      </c>
      <c r="Q1877" t="str">
        <f>TRIM(PROPER(Tabla_auditoría[[#This Row],[Dispositivo]]))</f>
        <v>Tablet</v>
      </c>
      <c r="R1877" t="str">
        <f>TRIM(PROPER(Tabla_auditoría[[#This Row],[Tipo_Campaña]]))</f>
        <v>Reconocimiento</v>
      </c>
      <c r="S1877" t="str">
        <f>TRIM(PROPER(Tabla_auditoría[[#This Row],[Responsable]]))</f>
        <v>Marta López</v>
      </c>
    </row>
    <row r="1878" spans="1:19" x14ac:dyDescent="0.3">
      <c r="A1878" s="1">
        <v>45752</v>
      </c>
      <c r="B1878" s="2" t="s">
        <v>2551</v>
      </c>
      <c r="C1878" s="2" t="s">
        <v>2543</v>
      </c>
      <c r="D1878" s="2" t="s">
        <v>2525</v>
      </c>
      <c r="E1878" s="2" t="s">
        <v>2517</v>
      </c>
      <c r="F1878" s="3">
        <v>45805</v>
      </c>
      <c r="G1878" s="3">
        <v>3258</v>
      </c>
      <c r="H1878" s="3">
        <v>410</v>
      </c>
      <c r="I1878" s="4">
        <v>1084.5899999999999</v>
      </c>
      <c r="J1878" s="4">
        <v>36306</v>
      </c>
      <c r="K1878" s="3">
        <v>298</v>
      </c>
      <c r="L1878" s="2" t="s">
        <v>2536</v>
      </c>
      <c r="M1878" s="2" t="s">
        <v>2524</v>
      </c>
      <c r="N1878" t="str">
        <f>TRIM(PROPER(Tabla_auditoría[[#This Row],[ID_Campaña]]))</f>
        <v>Cmp-028</v>
      </c>
      <c r="O1878" t="str">
        <f>TRIM(PROPER(Tabla_auditoría[[#This Row],[Canal]]))</f>
        <v>Organic Social</v>
      </c>
      <c r="P1878" t="str">
        <f>TRIM(PROPER(Tabla_auditoría[[#This Row],[País]]))</f>
        <v>Francia</v>
      </c>
      <c r="Q1878" t="str">
        <f>TRIM(PROPER(Tabla_auditoría[[#This Row],[Dispositivo]]))</f>
        <v>Desktop</v>
      </c>
      <c r="R1878" t="str">
        <f>TRIM(PROPER(Tabla_auditoría[[#This Row],[Tipo_Campaña]]))</f>
        <v>Reconocimiento</v>
      </c>
      <c r="S1878" t="str">
        <f>TRIM(PROPER(Tabla_auditoría[[#This Row],[Responsable]]))</f>
        <v>Luis Martín</v>
      </c>
    </row>
    <row r="1879" spans="1:19" x14ac:dyDescent="0.3">
      <c r="A1879" s="1">
        <v>45898</v>
      </c>
      <c r="B1879" s="2" t="s">
        <v>2554</v>
      </c>
      <c r="C1879" s="2" t="s">
        <v>2543</v>
      </c>
      <c r="D1879" s="2" t="s">
        <v>2531</v>
      </c>
      <c r="E1879" s="2" t="s">
        <v>2517</v>
      </c>
      <c r="F1879" s="3">
        <v>10947</v>
      </c>
      <c r="G1879" s="3">
        <v>326</v>
      </c>
      <c r="H1879" s="3">
        <v>7</v>
      </c>
      <c r="I1879" s="4">
        <v>75.48</v>
      </c>
      <c r="J1879" s="4">
        <v>1468.96</v>
      </c>
      <c r="K1879" s="3">
        <v>3</v>
      </c>
      <c r="L1879" s="2" t="s">
        <v>2536</v>
      </c>
      <c r="M1879" s="2" t="s">
        <v>2537</v>
      </c>
      <c r="N1879" t="str">
        <f>TRIM(PROPER(Tabla_auditoría[[#This Row],[ID_Campaña]]))</f>
        <v>Cmp-019</v>
      </c>
      <c r="O1879" t="str">
        <f>TRIM(PROPER(Tabla_auditoría[[#This Row],[Canal]]))</f>
        <v>Organic Social</v>
      </c>
      <c r="P1879" t="str">
        <f>TRIM(PROPER(Tabla_auditoría[[#This Row],[País]]))</f>
        <v>Portugal</v>
      </c>
      <c r="Q1879" t="str">
        <f>TRIM(PROPER(Tabla_auditoría[[#This Row],[Dispositivo]]))</f>
        <v>Desktop</v>
      </c>
      <c r="R1879" t="str">
        <f>TRIM(PROPER(Tabla_auditoría[[#This Row],[Tipo_Campaña]]))</f>
        <v>Reconocimiento</v>
      </c>
      <c r="S1879" t="str">
        <f>TRIM(PROPER(Tabla_auditoría[[#This Row],[Responsable]]))</f>
        <v>Marta López</v>
      </c>
    </row>
    <row r="1880" spans="1:19" x14ac:dyDescent="0.3">
      <c r="A1880" s="1">
        <v>45889</v>
      </c>
      <c r="B1880" s="2" t="s">
        <v>2557</v>
      </c>
      <c r="C1880" s="2" t="s">
        <v>2543</v>
      </c>
      <c r="D1880" s="2" t="s">
        <v>2528</v>
      </c>
      <c r="E1880" s="2" t="s">
        <v>2529</v>
      </c>
      <c r="F1880" s="3">
        <v>122807</v>
      </c>
      <c r="G1880" s="3">
        <v>1876</v>
      </c>
      <c r="H1880" s="3">
        <v>58</v>
      </c>
      <c r="I1880" s="4">
        <v>587.19000000000005</v>
      </c>
      <c r="J1880" s="4">
        <v>3911.33</v>
      </c>
      <c r="K1880" s="3">
        <v>42</v>
      </c>
      <c r="L1880" s="2" t="s">
        <v>2539</v>
      </c>
      <c r="M1880" s="2" t="s">
        <v>2519</v>
      </c>
      <c r="N1880" t="str">
        <f>TRIM(PROPER(Tabla_auditoría[[#This Row],[ID_Campaña]]))</f>
        <v>Cmp-030</v>
      </c>
      <c r="O1880" t="str">
        <f>TRIM(PROPER(Tabla_auditoría[[#This Row],[Canal]]))</f>
        <v>Organic Social</v>
      </c>
      <c r="P1880" t="str">
        <f>TRIM(PROPER(Tabla_auditoría[[#This Row],[País]]))</f>
        <v>España</v>
      </c>
      <c r="Q1880" t="str">
        <f>TRIM(PROPER(Tabla_auditoría[[#This Row],[Dispositivo]]))</f>
        <v>Mobile</v>
      </c>
      <c r="R1880" t="str">
        <f>TRIM(PROPER(Tabla_auditoría[[#This Row],[Tipo_Campaña]]))</f>
        <v>Conversión</v>
      </c>
      <c r="S1880" t="str">
        <f>TRIM(PROPER(Tabla_auditoría[[#This Row],[Responsable]]))</f>
        <v>Carlos Ruiz</v>
      </c>
    </row>
    <row r="1881" spans="1:19" x14ac:dyDescent="0.3">
      <c r="A1881" s="1">
        <v>45664</v>
      </c>
      <c r="B1881" s="2" t="s">
        <v>2557</v>
      </c>
      <c r="C1881" s="2" t="s">
        <v>2543</v>
      </c>
      <c r="D1881" s="2" t="s">
        <v>2522</v>
      </c>
      <c r="E1881" s="2" t="s">
        <v>2529</v>
      </c>
      <c r="F1881" s="3">
        <v>25058</v>
      </c>
      <c r="G1881" s="3">
        <v>2223</v>
      </c>
      <c r="H1881" s="3">
        <v>293</v>
      </c>
      <c r="I1881" s="4">
        <v>970.53</v>
      </c>
      <c r="J1881" s="4">
        <v>42482.03</v>
      </c>
      <c r="K1881" s="3">
        <v>204</v>
      </c>
      <c r="L1881" s="2" t="s">
        <v>2523</v>
      </c>
      <c r="M1881" s="2" t="s">
        <v>2526</v>
      </c>
      <c r="N1881" t="str">
        <f>TRIM(PROPER(Tabla_auditoría[[#This Row],[ID_Campaña]]))</f>
        <v>Cmp-030</v>
      </c>
      <c r="O1881" t="str">
        <f>TRIM(PROPER(Tabla_auditoría[[#This Row],[Canal]]))</f>
        <v>Organic Social</v>
      </c>
      <c r="P1881" t="str">
        <f>TRIM(PROPER(Tabla_auditoría[[#This Row],[País]]))</f>
        <v>Italia</v>
      </c>
      <c r="Q1881" t="str">
        <f>TRIM(PROPER(Tabla_auditoría[[#This Row],[Dispositivo]]))</f>
        <v>Mobile</v>
      </c>
      <c r="R1881" t="str">
        <f>TRIM(PROPER(Tabla_auditoría[[#This Row],[Tipo_Campaña]]))</f>
        <v>Retención</v>
      </c>
      <c r="S1881" t="str">
        <f>TRIM(PROPER(Tabla_auditoría[[#This Row],[Responsable]]))</f>
        <v>Laura Pérez</v>
      </c>
    </row>
    <row r="1882" spans="1:19" x14ac:dyDescent="0.3">
      <c r="A1882" s="1">
        <v>45748</v>
      </c>
      <c r="B1882" s="2" t="s">
        <v>2569</v>
      </c>
      <c r="C1882" s="2" t="s">
        <v>2543</v>
      </c>
      <c r="D1882" s="2" t="s">
        <v>2528</v>
      </c>
      <c r="E1882" s="2" t="s">
        <v>2534</v>
      </c>
      <c r="F1882" s="3">
        <v>103587</v>
      </c>
      <c r="G1882" s="3">
        <v>4822</v>
      </c>
      <c r="H1882" s="3">
        <v>549</v>
      </c>
      <c r="I1882" s="4">
        <v>4184.0200000000004</v>
      </c>
      <c r="J1882" s="4">
        <v>24604.25</v>
      </c>
      <c r="K1882" s="3">
        <v>293</v>
      </c>
      <c r="L1882" s="2" t="s">
        <v>2523</v>
      </c>
      <c r="M1882" s="2" t="s">
        <v>2546</v>
      </c>
      <c r="N1882" t="str">
        <f>TRIM(PROPER(Tabla_auditoría[[#This Row],[ID_Campaña]]))</f>
        <v>Cmp-013</v>
      </c>
      <c r="O1882" t="str">
        <f>TRIM(PROPER(Tabla_auditoría[[#This Row],[Canal]]))</f>
        <v>Organic Social</v>
      </c>
      <c r="P1882" t="str">
        <f>TRIM(PROPER(Tabla_auditoría[[#This Row],[País]]))</f>
        <v>España</v>
      </c>
      <c r="Q1882" t="str">
        <f>TRIM(PROPER(Tabla_auditoría[[#This Row],[Dispositivo]]))</f>
        <v>Tablet</v>
      </c>
      <c r="R1882" t="str">
        <f>TRIM(PROPER(Tabla_auditoría[[#This Row],[Tipo_Campaña]]))</f>
        <v>Retención</v>
      </c>
      <c r="S1882" t="str">
        <f>TRIM(PROPER(Tabla_auditoría[[#This Row],[Responsable]]))</f>
        <v>Ana García</v>
      </c>
    </row>
    <row r="1883" spans="1:19" x14ac:dyDescent="0.3">
      <c r="A1883" s="1">
        <v>45812</v>
      </c>
      <c r="B1883" s="2" t="s">
        <v>2568</v>
      </c>
      <c r="C1883" s="2" t="s">
        <v>2515</v>
      </c>
      <c r="D1883" s="2" t="s">
        <v>2516</v>
      </c>
      <c r="E1883" s="2" t="s">
        <v>2517</v>
      </c>
      <c r="F1883" s="3">
        <v>175358</v>
      </c>
      <c r="G1883" s="3">
        <v>5248</v>
      </c>
      <c r="H1883" s="3">
        <v>56</v>
      </c>
      <c r="I1883" s="4">
        <v>6824.61</v>
      </c>
      <c r="J1883" s="4">
        <v>3668.82</v>
      </c>
      <c r="K1883" s="3">
        <v>50</v>
      </c>
      <c r="L1883" s="2" t="s">
        <v>2523</v>
      </c>
      <c r="M1883" s="2" t="s">
        <v>2526</v>
      </c>
      <c r="N1883" t="str">
        <f>TRIM(PROPER(Tabla_auditoría[[#This Row],[ID_Campaña]]))</f>
        <v>Cmp-020</v>
      </c>
      <c r="O1883" t="str">
        <f>TRIM(PROPER(Tabla_auditoría[[#This Row],[Canal]]))</f>
        <v>Email</v>
      </c>
      <c r="P1883" t="str">
        <f>TRIM(PROPER(Tabla_auditoría[[#This Row],[País]]))</f>
        <v>México</v>
      </c>
      <c r="Q1883" t="str">
        <f>TRIM(PROPER(Tabla_auditoría[[#This Row],[Dispositivo]]))</f>
        <v>Desktop</v>
      </c>
      <c r="R1883" t="str">
        <f>TRIM(PROPER(Tabla_auditoría[[#This Row],[Tipo_Campaña]]))</f>
        <v>Retención</v>
      </c>
      <c r="S1883" t="str">
        <f>TRIM(PROPER(Tabla_auditoría[[#This Row],[Responsable]]))</f>
        <v>Laura Pérez</v>
      </c>
    </row>
    <row r="1884" spans="1:19" x14ac:dyDescent="0.3">
      <c r="A1884" s="1">
        <v>45757</v>
      </c>
      <c r="B1884" s="2" t="s">
        <v>2552</v>
      </c>
      <c r="C1884" s="2" t="s">
        <v>2543</v>
      </c>
      <c r="D1884" s="2" t="s">
        <v>2528</v>
      </c>
      <c r="E1884" s="2" t="s">
        <v>2529</v>
      </c>
      <c r="F1884" s="3">
        <v>153110</v>
      </c>
      <c r="G1884" s="3">
        <v>4746</v>
      </c>
      <c r="H1884" s="3">
        <v>645</v>
      </c>
      <c r="I1884" s="4">
        <v>8654.0300000000007</v>
      </c>
      <c r="J1884" s="4">
        <v>141495.57</v>
      </c>
      <c r="K1884" s="3">
        <v>534</v>
      </c>
      <c r="L1884" s="2" t="s">
        <v>2539</v>
      </c>
      <c r="M1884" s="2" t="s">
        <v>2524</v>
      </c>
      <c r="N1884" t="str">
        <f>TRIM(PROPER(Tabla_auditoría[[#This Row],[ID_Campaña]]))</f>
        <v>Cmp-012</v>
      </c>
      <c r="O1884" t="str">
        <f>TRIM(PROPER(Tabla_auditoría[[#This Row],[Canal]]))</f>
        <v>Organic Social</v>
      </c>
      <c r="P1884" t="str">
        <f>TRIM(PROPER(Tabla_auditoría[[#This Row],[País]]))</f>
        <v>España</v>
      </c>
      <c r="Q1884" t="str">
        <f>TRIM(PROPER(Tabla_auditoría[[#This Row],[Dispositivo]]))</f>
        <v>Mobile</v>
      </c>
      <c r="R1884" t="str">
        <f>TRIM(PROPER(Tabla_auditoría[[#This Row],[Tipo_Campaña]]))</f>
        <v>Conversión</v>
      </c>
      <c r="S1884" t="str">
        <f>TRIM(PROPER(Tabla_auditoría[[#This Row],[Responsable]]))</f>
        <v>Luis Martín</v>
      </c>
    </row>
    <row r="1885" spans="1:19" x14ac:dyDescent="0.3">
      <c r="A1885" s="1">
        <v>45957</v>
      </c>
      <c r="B1885" s="2" t="s">
        <v>2542</v>
      </c>
      <c r="C1885" s="2" t="s">
        <v>2521</v>
      </c>
      <c r="D1885" s="2" t="s">
        <v>2528</v>
      </c>
      <c r="E1885" s="2" t="s">
        <v>2517</v>
      </c>
      <c r="F1885" s="3">
        <v>59478</v>
      </c>
      <c r="G1885" s="3">
        <v>2226</v>
      </c>
      <c r="H1885" s="3">
        <v>125</v>
      </c>
      <c r="I1885" s="4">
        <v>3107.93</v>
      </c>
      <c r="J1885" s="4">
        <v>27356.43</v>
      </c>
      <c r="K1885" s="3">
        <v>87</v>
      </c>
      <c r="L1885" s="2" t="s">
        <v>2536</v>
      </c>
      <c r="M1885" s="2" t="s">
        <v>2537</v>
      </c>
      <c r="N1885" t="str">
        <f>TRIM(PROPER(Tabla_auditoría[[#This Row],[ID_Campaña]]))</f>
        <v>Cmp-025</v>
      </c>
      <c r="O1885" t="str">
        <f>TRIM(PROPER(Tabla_auditoría[[#This Row],[Canal]]))</f>
        <v>Paid Search</v>
      </c>
      <c r="P1885" t="str">
        <f>TRIM(PROPER(Tabla_auditoría[[#This Row],[País]]))</f>
        <v>España</v>
      </c>
      <c r="Q1885" t="str">
        <f>TRIM(PROPER(Tabla_auditoría[[#This Row],[Dispositivo]]))</f>
        <v>Desktop</v>
      </c>
      <c r="R1885" t="str">
        <f>TRIM(PROPER(Tabla_auditoría[[#This Row],[Tipo_Campaña]]))</f>
        <v>Reconocimiento</v>
      </c>
      <c r="S1885" t="str">
        <f>TRIM(PROPER(Tabla_auditoría[[#This Row],[Responsable]]))</f>
        <v>Marta López</v>
      </c>
    </row>
    <row r="1886" spans="1:19" x14ac:dyDescent="0.3">
      <c r="A1886" s="1">
        <v>45659</v>
      </c>
      <c r="B1886" s="2" t="s">
        <v>2551</v>
      </c>
      <c r="C1886" s="2" t="s">
        <v>2515</v>
      </c>
      <c r="D1886" s="2" t="s">
        <v>2528</v>
      </c>
      <c r="E1886" s="2" t="s">
        <v>2517</v>
      </c>
      <c r="F1886" s="3">
        <v>69094</v>
      </c>
      <c r="G1886" s="3">
        <v>1728</v>
      </c>
      <c r="H1886" s="3">
        <v>219</v>
      </c>
      <c r="I1886" s="4">
        <v>1231.92</v>
      </c>
      <c r="J1886" s="4">
        <v>11381.53</v>
      </c>
      <c r="K1886" s="3">
        <v>144</v>
      </c>
      <c r="L1886" s="2" t="s">
        <v>2518</v>
      </c>
      <c r="M1886" s="2" t="s">
        <v>2519</v>
      </c>
      <c r="N1886" t="str">
        <f>TRIM(PROPER(Tabla_auditoría[[#This Row],[ID_Campaña]]))</f>
        <v>Cmp-028</v>
      </c>
      <c r="O1886" t="str">
        <f>TRIM(PROPER(Tabla_auditoría[[#This Row],[Canal]]))</f>
        <v>Email</v>
      </c>
      <c r="P1886" t="str">
        <f>TRIM(PROPER(Tabla_auditoría[[#This Row],[País]]))</f>
        <v>España</v>
      </c>
      <c r="Q1886" t="str">
        <f>TRIM(PROPER(Tabla_auditoría[[#This Row],[Dispositivo]]))</f>
        <v>Desktop</v>
      </c>
      <c r="R1886" t="str">
        <f>TRIM(PROPER(Tabla_auditoría[[#This Row],[Tipo_Campaña]]))</f>
        <v>Adquisición</v>
      </c>
      <c r="S1886" t="str">
        <f>TRIM(PROPER(Tabla_auditoría[[#This Row],[Responsable]]))</f>
        <v>Carlos Ruiz</v>
      </c>
    </row>
    <row r="1887" spans="1:19" x14ac:dyDescent="0.3">
      <c r="A1887" s="1">
        <v>45970</v>
      </c>
      <c r="B1887" s="2" t="s">
        <v>2530</v>
      </c>
      <c r="C1887" s="2" t="s">
        <v>2541</v>
      </c>
      <c r="D1887" s="2" t="s">
        <v>2516</v>
      </c>
      <c r="E1887" s="2" t="s">
        <v>2559</v>
      </c>
      <c r="F1887" s="3">
        <v>111238</v>
      </c>
      <c r="G1887" s="3">
        <v>502</v>
      </c>
      <c r="H1887" s="3">
        <v>16</v>
      </c>
      <c r="I1887" s="4">
        <v>503.14</v>
      </c>
      <c r="J1887" s="4">
        <v>682.97</v>
      </c>
      <c r="K1887" s="3">
        <v>13</v>
      </c>
      <c r="L1887" s="2" t="s">
        <v>2523</v>
      </c>
      <c r="M1887" s="2" t="s">
        <v>2519</v>
      </c>
      <c r="N1887" t="str">
        <f>TRIM(PROPER(Tabla_auditoría[[#This Row],[ID_Campaña]]))</f>
        <v>Cmp-026</v>
      </c>
      <c r="O1887" t="str">
        <f>TRIM(PROPER(Tabla_auditoría[[#This Row],[Canal]]))</f>
        <v>Display</v>
      </c>
      <c r="P1887" t="str">
        <f>TRIM(PROPER(Tabla_auditoría[[#This Row],[País]]))</f>
        <v>México</v>
      </c>
      <c r="Q1887" t="str">
        <f>TRIM(PROPER(Tabla_auditoría[[#This Row],[Dispositivo]]))</f>
        <v>Desktop</v>
      </c>
      <c r="R1887" t="str">
        <f>TRIM(PROPER(Tabla_auditoría[[#This Row],[Tipo_Campaña]]))</f>
        <v>Retención</v>
      </c>
      <c r="S1887" t="str">
        <f>TRIM(PROPER(Tabla_auditoría[[#This Row],[Responsable]]))</f>
        <v>Carlos Ruiz</v>
      </c>
    </row>
    <row r="1888" spans="1:19" x14ac:dyDescent="0.3">
      <c r="A1888" s="1">
        <v>45919</v>
      </c>
      <c r="B1888" s="2" t="s">
        <v>2570</v>
      </c>
      <c r="C1888" s="2" t="s">
        <v>2521</v>
      </c>
      <c r="D1888" s="2" t="s">
        <v>2525</v>
      </c>
      <c r="E1888" s="2" t="s">
        <v>2517</v>
      </c>
      <c r="F1888" s="3">
        <v>148849</v>
      </c>
      <c r="G1888" s="3">
        <v>12219</v>
      </c>
      <c r="H1888" s="3">
        <v>1061</v>
      </c>
      <c r="I1888" s="4">
        <v>4473.55</v>
      </c>
      <c r="J1888" s="4">
        <v>137304.51999999999</v>
      </c>
      <c r="K1888" s="3">
        <v>623</v>
      </c>
      <c r="L1888" s="2" t="s">
        <v>2518</v>
      </c>
      <c r="M1888" s="2" t="s">
        <v>2526</v>
      </c>
      <c r="N1888" t="str">
        <f>TRIM(PROPER(Tabla_auditoría[[#This Row],[ID_Campaña]]))</f>
        <v>Cmp-016</v>
      </c>
      <c r="O1888" t="str">
        <f>TRIM(PROPER(Tabla_auditoría[[#This Row],[Canal]]))</f>
        <v>Paid Search</v>
      </c>
      <c r="P1888" t="str">
        <f>TRIM(PROPER(Tabla_auditoría[[#This Row],[País]]))</f>
        <v>Francia</v>
      </c>
      <c r="Q1888" t="str">
        <f>TRIM(PROPER(Tabla_auditoría[[#This Row],[Dispositivo]]))</f>
        <v>Desktop</v>
      </c>
      <c r="R1888" t="str">
        <f>TRIM(PROPER(Tabla_auditoría[[#This Row],[Tipo_Campaña]]))</f>
        <v>Adquisición</v>
      </c>
      <c r="S1888" t="str">
        <f>TRIM(PROPER(Tabla_auditoría[[#This Row],[Responsable]]))</f>
        <v>Laura Pérez</v>
      </c>
    </row>
    <row r="1889" spans="1:19" x14ac:dyDescent="0.3">
      <c r="A1889" s="1">
        <v>45734</v>
      </c>
      <c r="B1889" s="2" t="s">
        <v>2551</v>
      </c>
      <c r="C1889" s="2" t="s">
        <v>2541</v>
      </c>
      <c r="D1889" s="2" t="s">
        <v>2531</v>
      </c>
      <c r="E1889" s="2" t="s">
        <v>2517</v>
      </c>
      <c r="F1889" s="3">
        <v>168033</v>
      </c>
      <c r="G1889" s="3">
        <v>12506</v>
      </c>
      <c r="H1889" s="3">
        <v>486</v>
      </c>
      <c r="I1889" s="4">
        <v>2215.1</v>
      </c>
      <c r="J1889" s="4">
        <v>32812.89</v>
      </c>
      <c r="K1889" s="3">
        <v>272</v>
      </c>
      <c r="L1889" s="2" t="s">
        <v>2539</v>
      </c>
      <c r="M1889" s="2" t="s">
        <v>2524</v>
      </c>
      <c r="N1889" t="str">
        <f>TRIM(PROPER(Tabla_auditoría[[#This Row],[ID_Campaña]]))</f>
        <v>Cmp-028</v>
      </c>
      <c r="O1889" t="str">
        <f>TRIM(PROPER(Tabla_auditoría[[#This Row],[Canal]]))</f>
        <v>Display</v>
      </c>
      <c r="P1889" t="str">
        <f>TRIM(PROPER(Tabla_auditoría[[#This Row],[País]]))</f>
        <v>Portugal</v>
      </c>
      <c r="Q1889" t="str">
        <f>TRIM(PROPER(Tabla_auditoría[[#This Row],[Dispositivo]]))</f>
        <v>Desktop</v>
      </c>
      <c r="R1889" t="str">
        <f>TRIM(PROPER(Tabla_auditoría[[#This Row],[Tipo_Campaña]]))</f>
        <v>Conversión</v>
      </c>
      <c r="S1889" t="str">
        <f>TRIM(PROPER(Tabla_auditoría[[#This Row],[Responsable]]))</f>
        <v>Luis Martín</v>
      </c>
    </row>
    <row r="1890" spans="1:19" x14ac:dyDescent="0.3">
      <c r="A1890" s="1">
        <v>45661</v>
      </c>
      <c r="B1890" s="2" t="s">
        <v>2568</v>
      </c>
      <c r="C1890" s="2" t="s">
        <v>2543</v>
      </c>
      <c r="D1890" s="2" t="s">
        <v>2528</v>
      </c>
      <c r="E1890" s="2" t="s">
        <v>2517</v>
      </c>
      <c r="F1890" s="3">
        <v>81262</v>
      </c>
      <c r="G1890" s="3">
        <v>1487</v>
      </c>
      <c r="H1890" s="3">
        <v>146</v>
      </c>
      <c r="I1890" s="4">
        <v>1327.11</v>
      </c>
      <c r="J1890" s="4">
        <v>4018.82</v>
      </c>
      <c r="K1890" s="3">
        <v>76</v>
      </c>
      <c r="L1890" s="2" t="s">
        <v>2539</v>
      </c>
      <c r="M1890" s="2" t="s">
        <v>2526</v>
      </c>
      <c r="N1890" t="str">
        <f>TRIM(PROPER(Tabla_auditoría[[#This Row],[ID_Campaña]]))</f>
        <v>Cmp-020</v>
      </c>
      <c r="O1890" t="str">
        <f>TRIM(PROPER(Tabla_auditoría[[#This Row],[Canal]]))</f>
        <v>Organic Social</v>
      </c>
      <c r="P1890" t="str">
        <f>TRIM(PROPER(Tabla_auditoría[[#This Row],[País]]))</f>
        <v>España</v>
      </c>
      <c r="Q1890" t="str">
        <f>TRIM(PROPER(Tabla_auditoría[[#This Row],[Dispositivo]]))</f>
        <v>Desktop</v>
      </c>
      <c r="R1890" t="str">
        <f>TRIM(PROPER(Tabla_auditoría[[#This Row],[Tipo_Campaña]]))</f>
        <v>Conversión</v>
      </c>
      <c r="S1890" t="str">
        <f>TRIM(PROPER(Tabla_auditoría[[#This Row],[Responsable]]))</f>
        <v>Laura Pérez</v>
      </c>
    </row>
    <row r="1891" spans="1:19" x14ac:dyDescent="0.3">
      <c r="A1891" s="1">
        <v>45820</v>
      </c>
      <c r="B1891" s="2" t="s">
        <v>2569</v>
      </c>
      <c r="C1891" s="2" t="s">
        <v>2521</v>
      </c>
      <c r="D1891" s="2" t="s">
        <v>2522</v>
      </c>
      <c r="E1891" s="2" t="s">
        <v>2517</v>
      </c>
      <c r="F1891" s="3">
        <v>162004</v>
      </c>
      <c r="G1891" s="3">
        <v>9775</v>
      </c>
      <c r="H1891" s="3">
        <v>237</v>
      </c>
      <c r="I1891" s="4">
        <v>18277.810000000001</v>
      </c>
      <c r="J1891" s="4">
        <v>31829.01</v>
      </c>
      <c r="K1891" s="3">
        <v>179</v>
      </c>
      <c r="L1891" s="2" t="s">
        <v>2536</v>
      </c>
      <c r="M1891" s="2" t="s">
        <v>2526</v>
      </c>
      <c r="N1891" t="str">
        <f>TRIM(PROPER(Tabla_auditoría[[#This Row],[ID_Campaña]]))</f>
        <v>Cmp-013</v>
      </c>
      <c r="O1891" t="str">
        <f>TRIM(PROPER(Tabla_auditoría[[#This Row],[Canal]]))</f>
        <v>Paid Search</v>
      </c>
      <c r="P1891" t="str">
        <f>TRIM(PROPER(Tabla_auditoría[[#This Row],[País]]))</f>
        <v>Italia</v>
      </c>
      <c r="Q1891" t="str">
        <f>TRIM(PROPER(Tabla_auditoría[[#This Row],[Dispositivo]]))</f>
        <v>Desktop</v>
      </c>
      <c r="R1891" t="str">
        <f>TRIM(PROPER(Tabla_auditoría[[#This Row],[Tipo_Campaña]]))</f>
        <v>Reconocimiento</v>
      </c>
      <c r="S1891" t="str">
        <f>TRIM(PROPER(Tabla_auditoría[[#This Row],[Responsable]]))</f>
        <v>Laura Pérez</v>
      </c>
    </row>
    <row r="1892" spans="1:19" x14ac:dyDescent="0.3">
      <c r="A1892" s="1">
        <v>45968</v>
      </c>
      <c r="B1892" s="2" t="s">
        <v>2552</v>
      </c>
      <c r="C1892" s="2" t="s">
        <v>2521</v>
      </c>
      <c r="D1892" s="2" t="s">
        <v>2593</v>
      </c>
      <c r="E1892" s="2" t="s">
        <v>2517</v>
      </c>
      <c r="F1892" s="3">
        <v>136775</v>
      </c>
      <c r="G1892" s="3">
        <v>8867</v>
      </c>
      <c r="H1892" s="3">
        <v>1101</v>
      </c>
      <c r="I1892" s="4">
        <v>11072</v>
      </c>
      <c r="J1892" s="4">
        <v>121842.3</v>
      </c>
      <c r="K1892" s="3">
        <v>662</v>
      </c>
      <c r="L1892" s="2" t="s">
        <v>2518</v>
      </c>
      <c r="M1892" s="2" t="s">
        <v>2526</v>
      </c>
      <c r="N1892" t="str">
        <f>TRIM(PROPER(Tabla_auditoría[[#This Row],[ID_Campaña]]))</f>
        <v>Cmp-012</v>
      </c>
      <c r="O1892" t="str">
        <f>TRIM(PROPER(Tabla_auditoría[[#This Row],[Canal]]))</f>
        <v>Paid Search</v>
      </c>
      <c r="P1892" t="str">
        <f>TRIM(PROPER(Tabla_auditoría[[#This Row],[País]]))</f>
        <v>Francia</v>
      </c>
      <c r="Q1892" t="str">
        <f>TRIM(PROPER(Tabla_auditoría[[#This Row],[Dispositivo]]))</f>
        <v>Desktop</v>
      </c>
      <c r="R1892" t="str">
        <f>TRIM(PROPER(Tabla_auditoría[[#This Row],[Tipo_Campaña]]))</f>
        <v>Adquisición</v>
      </c>
      <c r="S1892" t="str">
        <f>TRIM(PROPER(Tabla_auditoría[[#This Row],[Responsable]]))</f>
        <v>Laura Pérez</v>
      </c>
    </row>
    <row r="1893" spans="1:19" x14ac:dyDescent="0.3">
      <c r="A1893" s="1">
        <v>45663</v>
      </c>
      <c r="B1893" s="2" t="s">
        <v>2595</v>
      </c>
      <c r="C1893" s="2" t="s">
        <v>2521</v>
      </c>
      <c r="D1893" s="2" t="s">
        <v>2528</v>
      </c>
      <c r="E1893" s="2" t="s">
        <v>2529</v>
      </c>
      <c r="F1893" s="3">
        <v>164065</v>
      </c>
      <c r="G1893" s="3">
        <v>11085</v>
      </c>
      <c r="H1893" s="3">
        <v>652</v>
      </c>
      <c r="I1893" s="4">
        <v>7830.81</v>
      </c>
      <c r="J1893" s="4">
        <v>51218.41</v>
      </c>
      <c r="K1893" s="3">
        <v>533</v>
      </c>
      <c r="L1893" s="2" t="s">
        <v>2536</v>
      </c>
      <c r="M1893" s="2" t="s">
        <v>2546</v>
      </c>
      <c r="N1893" t="str">
        <f>TRIM(PROPER(Tabla_auditoría[[#This Row],[ID_Campaña]]))</f>
        <v>Cmp-023</v>
      </c>
      <c r="O1893" t="str">
        <f>TRIM(PROPER(Tabla_auditoría[[#This Row],[Canal]]))</f>
        <v>Paid Search</v>
      </c>
      <c r="P1893" t="str">
        <f>TRIM(PROPER(Tabla_auditoría[[#This Row],[País]]))</f>
        <v>España</v>
      </c>
      <c r="Q1893" t="str">
        <f>TRIM(PROPER(Tabla_auditoría[[#This Row],[Dispositivo]]))</f>
        <v>Mobile</v>
      </c>
      <c r="R1893" t="str">
        <f>TRIM(PROPER(Tabla_auditoría[[#This Row],[Tipo_Campaña]]))</f>
        <v>Reconocimiento</v>
      </c>
      <c r="S1893" t="str">
        <f>TRIM(PROPER(Tabla_auditoría[[#This Row],[Responsable]]))</f>
        <v>Ana García</v>
      </c>
    </row>
    <row r="1894" spans="1:19" x14ac:dyDescent="0.3">
      <c r="A1894" s="1">
        <v>45841</v>
      </c>
      <c r="B1894" s="2" t="s">
        <v>2563</v>
      </c>
      <c r="C1894" s="2" t="s">
        <v>2521</v>
      </c>
      <c r="D1894" s="2" t="s">
        <v>2528</v>
      </c>
      <c r="E1894" s="2" t="s">
        <v>2534</v>
      </c>
      <c r="F1894" s="3">
        <v>174569</v>
      </c>
      <c r="G1894" s="3">
        <v>2974</v>
      </c>
      <c r="H1894" s="3">
        <v>201</v>
      </c>
      <c r="I1894" s="4">
        <v>1697.27</v>
      </c>
      <c r="J1894" s="4">
        <v>3555.73</v>
      </c>
      <c r="K1894" s="3">
        <v>116</v>
      </c>
      <c r="L1894" s="2" t="s">
        <v>2523</v>
      </c>
      <c r="M1894" s="2" t="s">
        <v>2524</v>
      </c>
      <c r="N1894" t="str">
        <f>TRIM(PROPER(Tabla_auditoría[[#This Row],[ID_Campaña]]))</f>
        <v>Cmp-023</v>
      </c>
      <c r="O1894" t="str">
        <f>TRIM(PROPER(Tabla_auditoría[[#This Row],[Canal]]))</f>
        <v>Paid Search</v>
      </c>
      <c r="P1894" t="str">
        <f>TRIM(PROPER(Tabla_auditoría[[#This Row],[País]]))</f>
        <v>España</v>
      </c>
      <c r="Q1894" t="str">
        <f>TRIM(PROPER(Tabla_auditoría[[#This Row],[Dispositivo]]))</f>
        <v>Tablet</v>
      </c>
      <c r="R1894" t="str">
        <f>TRIM(PROPER(Tabla_auditoría[[#This Row],[Tipo_Campaña]]))</f>
        <v>Retención</v>
      </c>
      <c r="S1894" t="str">
        <f>TRIM(PROPER(Tabla_auditoría[[#This Row],[Responsable]]))</f>
        <v>Luis Martín</v>
      </c>
    </row>
    <row r="1895" spans="1:19" x14ac:dyDescent="0.3">
      <c r="A1895" s="1">
        <v>45815</v>
      </c>
      <c r="B1895" s="2" t="s">
        <v>2530</v>
      </c>
      <c r="C1895" s="2" t="s">
        <v>2521</v>
      </c>
      <c r="D1895" s="2" t="s">
        <v>2528</v>
      </c>
      <c r="E1895" s="2" t="s">
        <v>2529</v>
      </c>
      <c r="F1895" s="3">
        <v>119688</v>
      </c>
      <c r="G1895" s="3">
        <v>1519</v>
      </c>
      <c r="H1895" s="3">
        <v>174</v>
      </c>
      <c r="I1895" s="4">
        <v>1971.2</v>
      </c>
      <c r="J1895" s="4">
        <v>23770.55</v>
      </c>
      <c r="K1895" s="3">
        <v>91</v>
      </c>
      <c r="L1895" s="2" t="s">
        <v>2518</v>
      </c>
      <c r="M1895" s="2" t="s">
        <v>2524</v>
      </c>
      <c r="N1895" t="str">
        <f>TRIM(PROPER(Tabla_auditoría[[#This Row],[ID_Campaña]]))</f>
        <v>Cmp-026</v>
      </c>
      <c r="O1895" t="str">
        <f>TRIM(PROPER(Tabla_auditoría[[#This Row],[Canal]]))</f>
        <v>Paid Search</v>
      </c>
      <c r="P1895" t="str">
        <f>TRIM(PROPER(Tabla_auditoría[[#This Row],[País]]))</f>
        <v>España</v>
      </c>
      <c r="Q1895" t="str">
        <f>TRIM(PROPER(Tabla_auditoría[[#This Row],[Dispositivo]]))</f>
        <v>Mobile</v>
      </c>
      <c r="R1895" t="str">
        <f>TRIM(PROPER(Tabla_auditoría[[#This Row],[Tipo_Campaña]]))</f>
        <v>Adquisición</v>
      </c>
      <c r="S1895" t="str">
        <f>TRIM(PROPER(Tabla_auditoría[[#This Row],[Responsable]]))</f>
        <v>Luis Martín</v>
      </c>
    </row>
    <row r="1896" spans="1:19" x14ac:dyDescent="0.3">
      <c r="A1896" s="1">
        <v>45904</v>
      </c>
      <c r="B1896" s="2" t="s">
        <v>2532</v>
      </c>
      <c r="C1896" s="2" t="s">
        <v>2527</v>
      </c>
      <c r="D1896" s="2" t="s">
        <v>2528</v>
      </c>
      <c r="E1896" s="2" t="s">
        <v>2517</v>
      </c>
      <c r="F1896" s="3">
        <v>74351</v>
      </c>
      <c r="G1896" s="3">
        <v>914</v>
      </c>
      <c r="H1896" s="3">
        <v>111</v>
      </c>
      <c r="I1896" s="4">
        <v>1040.53</v>
      </c>
      <c r="J1896" s="4">
        <v>21470.76</v>
      </c>
      <c r="K1896" s="3">
        <v>69</v>
      </c>
      <c r="L1896" s="2" t="s">
        <v>2536</v>
      </c>
      <c r="M1896" s="2" t="s">
        <v>2526</v>
      </c>
      <c r="N1896" t="str">
        <f>TRIM(PROPER(Tabla_auditoría[[#This Row],[ID_Campaña]]))</f>
        <v>Cmp-022</v>
      </c>
      <c r="O1896" t="str">
        <f>TRIM(PROPER(Tabla_auditoría[[#This Row],[Canal]]))</f>
        <v>Affiliate</v>
      </c>
      <c r="P1896" t="str">
        <f>TRIM(PROPER(Tabla_auditoría[[#This Row],[País]]))</f>
        <v>España</v>
      </c>
      <c r="Q1896" t="str">
        <f>TRIM(PROPER(Tabla_auditoría[[#This Row],[Dispositivo]]))</f>
        <v>Desktop</v>
      </c>
      <c r="R1896" t="str">
        <f>TRIM(PROPER(Tabla_auditoría[[#This Row],[Tipo_Campaña]]))</f>
        <v>Reconocimiento</v>
      </c>
      <c r="S1896" t="str">
        <f>TRIM(PROPER(Tabla_auditoría[[#This Row],[Responsable]]))</f>
        <v>Laura Pérez</v>
      </c>
    </row>
    <row r="1897" spans="1:19" x14ac:dyDescent="0.3">
      <c r="A1897" s="1">
        <v>45682</v>
      </c>
      <c r="B1897" s="2" t="s">
        <v>2551</v>
      </c>
      <c r="C1897" s="2" t="s">
        <v>2541</v>
      </c>
      <c r="D1897" s="2" t="s">
        <v>2522</v>
      </c>
      <c r="E1897" s="2" t="s">
        <v>2517</v>
      </c>
      <c r="F1897" s="3">
        <v>85746</v>
      </c>
      <c r="G1897" s="3">
        <v>6753</v>
      </c>
      <c r="H1897" s="3">
        <v>851</v>
      </c>
      <c r="I1897" s="4">
        <v>3960.59</v>
      </c>
      <c r="J1897" s="4">
        <v>126285.9</v>
      </c>
      <c r="K1897" s="3">
        <v>556</v>
      </c>
      <c r="L1897" s="2" t="s">
        <v>2518</v>
      </c>
      <c r="M1897" s="2" t="s">
        <v>2524</v>
      </c>
      <c r="N1897" t="str">
        <f>TRIM(PROPER(Tabla_auditoría[[#This Row],[ID_Campaña]]))</f>
        <v>Cmp-028</v>
      </c>
      <c r="O1897" t="str">
        <f>TRIM(PROPER(Tabla_auditoría[[#This Row],[Canal]]))</f>
        <v>Display</v>
      </c>
      <c r="P1897" t="str">
        <f>TRIM(PROPER(Tabla_auditoría[[#This Row],[País]]))</f>
        <v>Italia</v>
      </c>
      <c r="Q1897" t="str">
        <f>TRIM(PROPER(Tabla_auditoría[[#This Row],[Dispositivo]]))</f>
        <v>Desktop</v>
      </c>
      <c r="R1897" t="str">
        <f>TRIM(PROPER(Tabla_auditoría[[#This Row],[Tipo_Campaña]]))</f>
        <v>Adquisición</v>
      </c>
      <c r="S1897" t="str">
        <f>TRIM(PROPER(Tabla_auditoría[[#This Row],[Responsable]]))</f>
        <v>Luis Martín</v>
      </c>
    </row>
    <row r="1898" spans="1:19" x14ac:dyDescent="0.3">
      <c r="A1898" s="1">
        <v>45986</v>
      </c>
      <c r="B1898" s="2" t="s">
        <v>2574</v>
      </c>
      <c r="C1898" s="2" t="s">
        <v>2527</v>
      </c>
      <c r="D1898" s="2" t="s">
        <v>2525</v>
      </c>
      <c r="E1898" s="2" t="s">
        <v>2529</v>
      </c>
      <c r="F1898" s="3">
        <v>71318</v>
      </c>
      <c r="G1898" s="3">
        <v>4825</v>
      </c>
      <c r="H1898" s="3">
        <v>281</v>
      </c>
      <c r="I1898" s="4">
        <v>9905.76</v>
      </c>
      <c r="J1898" s="4">
        <v>25491.32</v>
      </c>
      <c r="K1898" s="3">
        <v>127</v>
      </c>
      <c r="L1898" s="2" t="s">
        <v>2518</v>
      </c>
      <c r="M1898" s="2" t="s">
        <v>2546</v>
      </c>
      <c r="N1898" t="str">
        <f>TRIM(PROPER(Tabla_auditoría[[#This Row],[ID_Campaña]]))</f>
        <v>Cmp-003</v>
      </c>
      <c r="O1898" t="str">
        <f>TRIM(PROPER(Tabla_auditoría[[#This Row],[Canal]]))</f>
        <v>Affiliate</v>
      </c>
      <c r="P1898" t="str">
        <f>TRIM(PROPER(Tabla_auditoría[[#This Row],[País]]))</f>
        <v>Francia</v>
      </c>
      <c r="Q1898" t="str">
        <f>TRIM(PROPER(Tabla_auditoría[[#This Row],[Dispositivo]]))</f>
        <v>Mobile</v>
      </c>
      <c r="R1898" t="str">
        <f>TRIM(PROPER(Tabla_auditoría[[#This Row],[Tipo_Campaña]]))</f>
        <v>Adquisición</v>
      </c>
      <c r="S1898" t="str">
        <f>TRIM(PROPER(Tabla_auditoría[[#This Row],[Responsable]]))</f>
        <v>Ana García</v>
      </c>
    </row>
    <row r="1899" spans="1:19" x14ac:dyDescent="0.3">
      <c r="A1899" s="1">
        <v>45934</v>
      </c>
      <c r="B1899" s="2" t="s">
        <v>2542</v>
      </c>
      <c r="C1899" s="2" t="s">
        <v>2543</v>
      </c>
      <c r="D1899" s="2" t="s">
        <v>2525</v>
      </c>
      <c r="E1899" s="2" t="s">
        <v>2529</v>
      </c>
      <c r="F1899" s="3">
        <v>98300</v>
      </c>
      <c r="G1899" s="3">
        <v>4012</v>
      </c>
      <c r="H1899" s="3">
        <v>436</v>
      </c>
      <c r="I1899" s="4">
        <v>7101.02</v>
      </c>
      <c r="J1899" s="4">
        <v>51097.13</v>
      </c>
      <c r="K1899" s="3">
        <v>253</v>
      </c>
      <c r="L1899" s="2" t="s">
        <v>2539</v>
      </c>
      <c r="M1899" s="2" t="s">
        <v>2519</v>
      </c>
      <c r="N1899" t="str">
        <f>TRIM(PROPER(Tabla_auditoría[[#This Row],[ID_Campaña]]))</f>
        <v>Cmp-025</v>
      </c>
      <c r="O1899" t="str">
        <f>TRIM(PROPER(Tabla_auditoría[[#This Row],[Canal]]))</f>
        <v>Organic Social</v>
      </c>
      <c r="P1899" t="str">
        <f>TRIM(PROPER(Tabla_auditoría[[#This Row],[País]]))</f>
        <v>Francia</v>
      </c>
      <c r="Q1899" t="str">
        <f>TRIM(PROPER(Tabla_auditoría[[#This Row],[Dispositivo]]))</f>
        <v>Mobile</v>
      </c>
      <c r="R1899" t="str">
        <f>TRIM(PROPER(Tabla_auditoría[[#This Row],[Tipo_Campaña]]))</f>
        <v>Conversión</v>
      </c>
      <c r="S1899" t="str">
        <f>TRIM(PROPER(Tabla_auditoría[[#This Row],[Responsable]]))</f>
        <v>Carlos Ruiz</v>
      </c>
    </row>
    <row r="1900" spans="1:19" x14ac:dyDescent="0.3">
      <c r="A1900" s="1">
        <v>45800</v>
      </c>
      <c r="B1900" s="2" t="s">
        <v>2538</v>
      </c>
      <c r="C1900" s="2" t="s">
        <v>2533</v>
      </c>
      <c r="D1900" s="2" t="s">
        <v>2528</v>
      </c>
      <c r="E1900" s="2" t="s">
        <v>2529</v>
      </c>
      <c r="F1900" s="3">
        <v>153271</v>
      </c>
      <c r="G1900" s="3">
        <v>4361</v>
      </c>
      <c r="H1900" s="3">
        <v>27</v>
      </c>
      <c r="I1900" s="4">
        <v>3003.87</v>
      </c>
      <c r="J1900" s="4">
        <v>1174.8800000000001</v>
      </c>
      <c r="K1900" s="3">
        <v>18</v>
      </c>
      <c r="L1900" s="2" t="s">
        <v>2523</v>
      </c>
      <c r="M1900" s="2" t="s">
        <v>2519</v>
      </c>
      <c r="N1900" t="str">
        <f>TRIM(PROPER(Tabla_auditoría[[#This Row],[ID_Campaña]]))</f>
        <v>Cmp-004</v>
      </c>
      <c r="O1900" t="str">
        <f>TRIM(PROPER(Tabla_auditoría[[#This Row],[Canal]]))</f>
        <v>Paid Social</v>
      </c>
      <c r="P1900" t="str">
        <f>TRIM(PROPER(Tabla_auditoría[[#This Row],[País]]))</f>
        <v>España</v>
      </c>
      <c r="Q1900" t="str">
        <f>TRIM(PROPER(Tabla_auditoría[[#This Row],[Dispositivo]]))</f>
        <v>Mobile</v>
      </c>
      <c r="R1900" t="str">
        <f>TRIM(PROPER(Tabla_auditoría[[#This Row],[Tipo_Campaña]]))</f>
        <v>Retención</v>
      </c>
      <c r="S1900" t="str">
        <f>TRIM(PROPER(Tabla_auditoría[[#This Row],[Responsable]]))</f>
        <v>Carlos Ruiz</v>
      </c>
    </row>
    <row r="1901" spans="1:19" x14ac:dyDescent="0.3">
      <c r="A1901" s="1">
        <v>45965</v>
      </c>
      <c r="B1901" s="2" t="s">
        <v>2568</v>
      </c>
      <c r="C1901" s="2" t="s">
        <v>2533</v>
      </c>
      <c r="D1901" s="2" t="s">
        <v>2525</v>
      </c>
      <c r="E1901" s="2" t="s">
        <v>2517</v>
      </c>
      <c r="F1901" s="3">
        <v>80590</v>
      </c>
      <c r="G1901" s="3">
        <v>3985</v>
      </c>
      <c r="H1901" s="3">
        <v>280</v>
      </c>
      <c r="I1901" s="4">
        <v>2228.39</v>
      </c>
      <c r="J1901" s="4">
        <v>16841.28</v>
      </c>
      <c r="K1901" s="3">
        <v>199</v>
      </c>
      <c r="L1901" s="2" t="s">
        <v>2536</v>
      </c>
      <c r="M1901" s="2" t="s">
        <v>2526</v>
      </c>
      <c r="N1901" t="str">
        <f>TRIM(PROPER(Tabla_auditoría[[#This Row],[ID_Campaña]]))</f>
        <v>Cmp-020</v>
      </c>
      <c r="O1901" t="str">
        <f>TRIM(PROPER(Tabla_auditoría[[#This Row],[Canal]]))</f>
        <v>Paid Social</v>
      </c>
      <c r="P1901" t="str">
        <f>TRIM(PROPER(Tabla_auditoría[[#This Row],[País]]))</f>
        <v>Francia</v>
      </c>
      <c r="Q1901" t="str">
        <f>TRIM(PROPER(Tabla_auditoría[[#This Row],[Dispositivo]]))</f>
        <v>Desktop</v>
      </c>
      <c r="R1901" t="str">
        <f>TRIM(PROPER(Tabla_auditoría[[#This Row],[Tipo_Campaña]]))</f>
        <v>Reconocimiento</v>
      </c>
      <c r="S1901" t="str">
        <f>TRIM(PROPER(Tabla_auditoría[[#This Row],[Responsable]]))</f>
        <v>Laura Pérez</v>
      </c>
    </row>
    <row r="1902" spans="1:19" x14ac:dyDescent="0.3">
      <c r="A1902" s="1">
        <v>45782</v>
      </c>
      <c r="B1902" s="2" t="s">
        <v>2545</v>
      </c>
      <c r="C1902" s="2" t="s">
        <v>2515</v>
      </c>
      <c r="D1902" s="2" t="s">
        <v>2587</v>
      </c>
      <c r="E1902" s="2" t="s">
        <v>2529</v>
      </c>
      <c r="F1902" s="3">
        <v>119018</v>
      </c>
      <c r="G1902" s="3">
        <v>10423</v>
      </c>
      <c r="H1902" s="3">
        <v>206</v>
      </c>
      <c r="I1902" s="4">
        <v>11639.73</v>
      </c>
      <c r="J1902" s="4">
        <v>10962.59</v>
      </c>
      <c r="K1902" s="3">
        <v>118</v>
      </c>
      <c r="L1902" s="2" t="s">
        <v>2523</v>
      </c>
      <c r="M1902" s="2" t="s">
        <v>2537</v>
      </c>
      <c r="N1902" t="str">
        <f>TRIM(PROPER(Tabla_auditoría[[#This Row],[ID_Campaña]]))</f>
        <v>Cmp-011</v>
      </c>
      <c r="O1902" t="str">
        <f>TRIM(PROPER(Tabla_auditoría[[#This Row],[Canal]]))</f>
        <v>Email</v>
      </c>
      <c r="P1902" t="str">
        <f>TRIM(PROPER(Tabla_auditoría[[#This Row],[País]]))</f>
        <v>Italia</v>
      </c>
      <c r="Q1902" t="str">
        <f>TRIM(PROPER(Tabla_auditoría[[#This Row],[Dispositivo]]))</f>
        <v>Mobile</v>
      </c>
      <c r="R1902" t="str">
        <f>TRIM(PROPER(Tabla_auditoría[[#This Row],[Tipo_Campaña]]))</f>
        <v>Retención</v>
      </c>
      <c r="S1902" t="str">
        <f>TRIM(PROPER(Tabla_auditoría[[#This Row],[Responsable]]))</f>
        <v>Marta López</v>
      </c>
    </row>
    <row r="1903" spans="1:19" x14ac:dyDescent="0.3">
      <c r="A1903" s="1">
        <v>45723</v>
      </c>
      <c r="B1903" s="2" t="s">
        <v>2564</v>
      </c>
      <c r="C1903" s="2" t="s">
        <v>2543</v>
      </c>
      <c r="D1903" s="2" t="s">
        <v>2528</v>
      </c>
      <c r="E1903" s="2" t="s">
        <v>2517</v>
      </c>
      <c r="F1903" s="3">
        <v>71000</v>
      </c>
      <c r="G1903" s="3">
        <v>6041</v>
      </c>
      <c r="H1903" s="3">
        <v>595</v>
      </c>
      <c r="I1903" s="4">
        <v>10482.06</v>
      </c>
      <c r="J1903" s="4">
        <v>21993.18</v>
      </c>
      <c r="K1903" s="3">
        <v>295</v>
      </c>
      <c r="L1903" s="2" t="s">
        <v>2539</v>
      </c>
      <c r="M1903" s="2" t="s">
        <v>2537</v>
      </c>
      <c r="N1903" t="str">
        <f>TRIM(PROPER(Tabla_auditoría[[#This Row],[ID_Campaña]]))</f>
        <v>Cmp-024</v>
      </c>
      <c r="O1903" t="str">
        <f>TRIM(PROPER(Tabla_auditoría[[#This Row],[Canal]]))</f>
        <v>Organic Social</v>
      </c>
      <c r="P1903" t="str">
        <f>TRIM(PROPER(Tabla_auditoría[[#This Row],[País]]))</f>
        <v>España</v>
      </c>
      <c r="Q1903" t="str">
        <f>TRIM(PROPER(Tabla_auditoría[[#This Row],[Dispositivo]]))</f>
        <v>Desktop</v>
      </c>
      <c r="R1903" t="str">
        <f>TRIM(PROPER(Tabla_auditoría[[#This Row],[Tipo_Campaña]]))</f>
        <v>Conversión</v>
      </c>
      <c r="S1903" t="str">
        <f>TRIM(PROPER(Tabla_auditoría[[#This Row],[Responsable]]))</f>
        <v>Marta López</v>
      </c>
    </row>
    <row r="1904" spans="1:19" x14ac:dyDescent="0.3">
      <c r="A1904" s="1">
        <v>45695</v>
      </c>
      <c r="B1904" s="2" t="s">
        <v>2520</v>
      </c>
      <c r="C1904" s="2" t="s">
        <v>2527</v>
      </c>
      <c r="D1904" s="2" t="s">
        <v>2516</v>
      </c>
      <c r="E1904" s="2" t="s">
        <v>2529</v>
      </c>
      <c r="F1904" s="3">
        <v>12131</v>
      </c>
      <c r="G1904" s="3">
        <v>98</v>
      </c>
      <c r="H1904" s="3">
        <v>9</v>
      </c>
      <c r="I1904" s="4">
        <v>85.25</v>
      </c>
      <c r="J1904" s="4">
        <v>734.79</v>
      </c>
      <c r="K1904" s="3">
        <v>7</v>
      </c>
      <c r="L1904" s="2" t="s">
        <v>2523</v>
      </c>
      <c r="M1904" s="2" t="s">
        <v>2546</v>
      </c>
      <c r="N1904" t="str">
        <f>TRIM(PROPER(Tabla_auditoría[[#This Row],[ID_Campaña]]))</f>
        <v>Cmp-009</v>
      </c>
      <c r="O1904" t="str">
        <f>TRIM(PROPER(Tabla_auditoría[[#This Row],[Canal]]))</f>
        <v>Affiliate</v>
      </c>
      <c r="P1904" t="str">
        <f>TRIM(PROPER(Tabla_auditoría[[#This Row],[País]]))</f>
        <v>México</v>
      </c>
      <c r="Q1904" t="str">
        <f>TRIM(PROPER(Tabla_auditoría[[#This Row],[Dispositivo]]))</f>
        <v>Mobile</v>
      </c>
      <c r="R1904" t="str">
        <f>TRIM(PROPER(Tabla_auditoría[[#This Row],[Tipo_Campaña]]))</f>
        <v>Retención</v>
      </c>
      <c r="S1904" t="str">
        <f>TRIM(PROPER(Tabla_auditoría[[#This Row],[Responsable]]))</f>
        <v>Ana García</v>
      </c>
    </row>
    <row r="1905" spans="1:19" x14ac:dyDescent="0.3">
      <c r="A1905" s="1">
        <v>45987</v>
      </c>
      <c r="B1905" s="2" t="s">
        <v>2566</v>
      </c>
      <c r="C1905" s="2" t="s">
        <v>2527</v>
      </c>
      <c r="D1905" s="2" t="s">
        <v>2528</v>
      </c>
      <c r="E1905" s="2" t="s">
        <v>2517</v>
      </c>
      <c r="F1905" s="3">
        <v>39921</v>
      </c>
      <c r="G1905" s="3">
        <v>780</v>
      </c>
      <c r="H1905" s="3">
        <v>6</v>
      </c>
      <c r="I1905" s="4">
        <v>1284.75</v>
      </c>
      <c r="J1905" s="4">
        <v>1184.5899999999999</v>
      </c>
      <c r="K1905" s="3">
        <v>3</v>
      </c>
      <c r="L1905" s="2" t="s">
        <v>2539</v>
      </c>
      <c r="M1905" s="2" t="s">
        <v>2537</v>
      </c>
      <c r="N1905" t="str">
        <f>TRIM(PROPER(Tabla_auditoría[[#This Row],[ID_Campaña]]))</f>
        <v>Cmp-001</v>
      </c>
      <c r="O1905" t="str">
        <f>TRIM(PROPER(Tabla_auditoría[[#This Row],[Canal]]))</f>
        <v>Affiliate</v>
      </c>
      <c r="P1905" t="str">
        <f>TRIM(PROPER(Tabla_auditoría[[#This Row],[País]]))</f>
        <v>España</v>
      </c>
      <c r="Q1905" t="str">
        <f>TRIM(PROPER(Tabla_auditoría[[#This Row],[Dispositivo]]))</f>
        <v>Desktop</v>
      </c>
      <c r="R1905" t="str">
        <f>TRIM(PROPER(Tabla_auditoría[[#This Row],[Tipo_Campaña]]))</f>
        <v>Conversión</v>
      </c>
      <c r="S1905" t="str">
        <f>TRIM(PROPER(Tabla_auditoría[[#This Row],[Responsable]]))</f>
        <v>Marta López</v>
      </c>
    </row>
    <row r="1906" spans="1:19" x14ac:dyDescent="0.3">
      <c r="A1906" s="1">
        <v>45969</v>
      </c>
      <c r="B1906" s="2" t="s">
        <v>2542</v>
      </c>
      <c r="C1906" s="2" t="s">
        <v>2577</v>
      </c>
      <c r="D1906" s="2" t="s">
        <v>2528</v>
      </c>
      <c r="E1906" s="2" t="s">
        <v>2517</v>
      </c>
      <c r="F1906" s="3">
        <v>35956</v>
      </c>
      <c r="G1906" s="3">
        <v>1017</v>
      </c>
      <c r="H1906" s="3">
        <v>102</v>
      </c>
      <c r="I1906" s="4">
        <v>2030.72</v>
      </c>
      <c r="J1906" s="4">
        <v>12013.95</v>
      </c>
      <c r="K1906" s="3">
        <v>90</v>
      </c>
      <c r="L1906" s="2" t="s">
        <v>2539</v>
      </c>
      <c r="M1906" s="2" t="s">
        <v>2524</v>
      </c>
      <c r="N1906" t="str">
        <f>TRIM(PROPER(Tabla_auditoría[[#This Row],[ID_Campaña]]))</f>
        <v>Cmp-025</v>
      </c>
      <c r="O1906" t="str">
        <f>TRIM(PROPER(Tabla_auditoría[[#This Row],[Canal]]))</f>
        <v>Affiliate</v>
      </c>
      <c r="P1906" t="str">
        <f>TRIM(PROPER(Tabla_auditoría[[#This Row],[País]]))</f>
        <v>España</v>
      </c>
      <c r="Q1906" t="str">
        <f>TRIM(PROPER(Tabla_auditoría[[#This Row],[Dispositivo]]))</f>
        <v>Desktop</v>
      </c>
      <c r="R1906" t="str">
        <f>TRIM(PROPER(Tabla_auditoría[[#This Row],[Tipo_Campaña]]))</f>
        <v>Conversión</v>
      </c>
      <c r="S1906" t="str">
        <f>TRIM(PROPER(Tabla_auditoría[[#This Row],[Responsable]]))</f>
        <v>Luis Martín</v>
      </c>
    </row>
    <row r="1907" spans="1:19" x14ac:dyDescent="0.3">
      <c r="A1907" s="1">
        <v>45679</v>
      </c>
      <c r="B1907" s="2" t="s">
        <v>2555</v>
      </c>
      <c r="C1907" s="2" t="s">
        <v>2543</v>
      </c>
      <c r="D1907" s="2" t="s">
        <v>2528</v>
      </c>
      <c r="E1907" s="2" t="s">
        <v>2517</v>
      </c>
      <c r="F1907" s="3">
        <v>138985</v>
      </c>
      <c r="G1907" s="3">
        <v>8834</v>
      </c>
      <c r="H1907" s="3">
        <v>430</v>
      </c>
      <c r="I1907" s="4">
        <v>4707.72</v>
      </c>
      <c r="J1907" s="4">
        <v>73397.649999999994</v>
      </c>
      <c r="K1907" s="3">
        <v>221</v>
      </c>
      <c r="L1907" s="2" t="s">
        <v>2536</v>
      </c>
      <c r="M1907" s="2" t="s">
        <v>2526</v>
      </c>
      <c r="N1907" t="str">
        <f>TRIM(PROPER(Tabla_auditoría[[#This Row],[ID_Campaña]]))</f>
        <v>Cmp-010</v>
      </c>
      <c r="O1907" t="str">
        <f>TRIM(PROPER(Tabla_auditoría[[#This Row],[Canal]]))</f>
        <v>Organic Social</v>
      </c>
      <c r="P1907" t="str">
        <f>TRIM(PROPER(Tabla_auditoría[[#This Row],[País]]))</f>
        <v>España</v>
      </c>
      <c r="Q1907" t="str">
        <f>TRIM(PROPER(Tabla_auditoría[[#This Row],[Dispositivo]]))</f>
        <v>Desktop</v>
      </c>
      <c r="R1907" t="str">
        <f>TRIM(PROPER(Tabla_auditoría[[#This Row],[Tipo_Campaña]]))</f>
        <v>Reconocimiento</v>
      </c>
      <c r="S1907" t="str">
        <f>TRIM(PROPER(Tabla_auditoría[[#This Row],[Responsable]]))</f>
        <v>Laura Pérez</v>
      </c>
    </row>
    <row r="1908" spans="1:19" x14ac:dyDescent="0.3">
      <c r="A1908" s="1">
        <v>45918</v>
      </c>
      <c r="B1908" s="2" t="s">
        <v>2520</v>
      </c>
      <c r="C1908" s="2" t="s">
        <v>2527</v>
      </c>
      <c r="D1908" s="2" t="s">
        <v>2528</v>
      </c>
      <c r="E1908" s="2" t="s">
        <v>2517</v>
      </c>
      <c r="F1908" s="3">
        <v>59458</v>
      </c>
      <c r="G1908" s="3">
        <v>2241</v>
      </c>
      <c r="H1908" s="3">
        <v>298</v>
      </c>
      <c r="I1908" s="4">
        <v>1447.74</v>
      </c>
      <c r="J1908" s="4">
        <v>41737.980000000003</v>
      </c>
      <c r="K1908" s="3">
        <v>154</v>
      </c>
      <c r="L1908" s="2" t="s">
        <v>2523</v>
      </c>
      <c r="M1908" s="2" t="s">
        <v>2546</v>
      </c>
      <c r="N1908" t="str">
        <f>TRIM(PROPER(Tabla_auditoría[[#This Row],[ID_Campaña]]))</f>
        <v>Cmp-009</v>
      </c>
      <c r="O1908" t="str">
        <f>TRIM(PROPER(Tabla_auditoría[[#This Row],[Canal]]))</f>
        <v>Affiliate</v>
      </c>
      <c r="P1908" t="str">
        <f>TRIM(PROPER(Tabla_auditoría[[#This Row],[País]]))</f>
        <v>España</v>
      </c>
      <c r="Q1908" t="str">
        <f>TRIM(PROPER(Tabla_auditoría[[#This Row],[Dispositivo]]))</f>
        <v>Desktop</v>
      </c>
      <c r="R1908" t="str">
        <f>TRIM(PROPER(Tabla_auditoría[[#This Row],[Tipo_Campaña]]))</f>
        <v>Retención</v>
      </c>
      <c r="S1908" t="str">
        <f>TRIM(PROPER(Tabla_auditoría[[#This Row],[Responsable]]))</f>
        <v>Ana García</v>
      </c>
    </row>
    <row r="1909" spans="1:19" x14ac:dyDescent="0.3">
      <c r="A1909" s="1">
        <v>46010</v>
      </c>
      <c r="B1909" s="2" t="s">
        <v>2567</v>
      </c>
      <c r="C1909" s="2" t="s">
        <v>2543</v>
      </c>
      <c r="D1909" s="2" t="s">
        <v>2516</v>
      </c>
      <c r="E1909" s="2" t="s">
        <v>2517</v>
      </c>
      <c r="F1909" s="3">
        <v>157363</v>
      </c>
      <c r="G1909" s="3">
        <v>7694</v>
      </c>
      <c r="H1909" s="3">
        <v>242</v>
      </c>
      <c r="I1909" s="4">
        <v>14323.28</v>
      </c>
      <c r="J1909" s="4">
        <v>16875.37</v>
      </c>
      <c r="K1909" s="3">
        <v>192</v>
      </c>
      <c r="L1909" s="2" t="s">
        <v>2539</v>
      </c>
      <c r="M1909" s="2" t="s">
        <v>2526</v>
      </c>
      <c r="N1909" t="str">
        <f>TRIM(PROPER(Tabla_auditoría[[#This Row],[ID_Campaña]]))</f>
        <v>Cmp-021</v>
      </c>
      <c r="O1909" t="str">
        <f>TRIM(PROPER(Tabla_auditoría[[#This Row],[Canal]]))</f>
        <v>Organic Social</v>
      </c>
      <c r="P1909" t="str">
        <f>TRIM(PROPER(Tabla_auditoría[[#This Row],[País]]))</f>
        <v>México</v>
      </c>
      <c r="Q1909" t="str">
        <f>TRIM(PROPER(Tabla_auditoría[[#This Row],[Dispositivo]]))</f>
        <v>Desktop</v>
      </c>
      <c r="R1909" t="str">
        <f>TRIM(PROPER(Tabla_auditoría[[#This Row],[Tipo_Campaña]]))</f>
        <v>Conversión</v>
      </c>
      <c r="S1909" t="str">
        <f>TRIM(PROPER(Tabla_auditoría[[#This Row],[Responsable]]))</f>
        <v>Laura Pérez</v>
      </c>
    </row>
    <row r="1910" spans="1:19" x14ac:dyDescent="0.3">
      <c r="A1910" s="1">
        <v>45758</v>
      </c>
      <c r="B1910" s="2" t="s">
        <v>2551</v>
      </c>
      <c r="C1910" s="2" t="s">
        <v>2527</v>
      </c>
      <c r="D1910" s="2" t="s">
        <v>2528</v>
      </c>
      <c r="E1910" s="2" t="s">
        <v>2529</v>
      </c>
      <c r="F1910" s="3">
        <v>166554</v>
      </c>
      <c r="G1910" s="3">
        <v>5839</v>
      </c>
      <c r="H1910" s="3">
        <v>315</v>
      </c>
      <c r="I1910" s="4">
        <v>8298.14</v>
      </c>
      <c r="J1910" s="4">
        <v>23373.65</v>
      </c>
      <c r="K1910" s="3">
        <v>184</v>
      </c>
      <c r="L1910" s="2" t="s">
        <v>2536</v>
      </c>
      <c r="M1910" s="2" t="s">
        <v>2519</v>
      </c>
      <c r="N1910" t="str">
        <f>TRIM(PROPER(Tabla_auditoría[[#This Row],[ID_Campaña]]))</f>
        <v>Cmp-028</v>
      </c>
      <c r="O1910" t="str">
        <f>TRIM(PROPER(Tabla_auditoría[[#This Row],[Canal]]))</f>
        <v>Affiliate</v>
      </c>
      <c r="P1910" t="str">
        <f>TRIM(PROPER(Tabla_auditoría[[#This Row],[País]]))</f>
        <v>España</v>
      </c>
      <c r="Q1910" t="str">
        <f>TRIM(PROPER(Tabla_auditoría[[#This Row],[Dispositivo]]))</f>
        <v>Mobile</v>
      </c>
      <c r="R1910" t="str">
        <f>TRIM(PROPER(Tabla_auditoría[[#This Row],[Tipo_Campaña]]))</f>
        <v>Reconocimiento</v>
      </c>
      <c r="S1910" t="str">
        <f>TRIM(PROPER(Tabla_auditoría[[#This Row],[Responsable]]))</f>
        <v>Carlos Ruiz</v>
      </c>
    </row>
    <row r="1911" spans="1:19" x14ac:dyDescent="0.3">
      <c r="A1911" s="1">
        <v>45864</v>
      </c>
      <c r="B1911" s="2" t="s">
        <v>2514</v>
      </c>
      <c r="C1911" s="2" t="s">
        <v>2521</v>
      </c>
      <c r="D1911" s="2" t="s">
        <v>2528</v>
      </c>
      <c r="E1911" s="2" t="s">
        <v>2529</v>
      </c>
      <c r="F1911" s="3">
        <v>25120</v>
      </c>
      <c r="G1911" s="3">
        <v>2123</v>
      </c>
      <c r="H1911" s="3">
        <v>86</v>
      </c>
      <c r="I1911" s="4">
        <v>2715.22</v>
      </c>
      <c r="J1911" s="4">
        <v>2690.07</v>
      </c>
      <c r="K1911" s="3">
        <v>46</v>
      </c>
      <c r="L1911" s="2" t="s">
        <v>2539</v>
      </c>
      <c r="M1911" s="2" t="s">
        <v>2546</v>
      </c>
      <c r="N1911" t="str">
        <f>TRIM(PROPER(Tabla_auditoría[[#This Row],[ID_Campaña]]))</f>
        <v>Cmp-002</v>
      </c>
      <c r="O1911" t="str">
        <f>TRIM(PROPER(Tabla_auditoría[[#This Row],[Canal]]))</f>
        <v>Paid Search</v>
      </c>
      <c r="P1911" t="str">
        <f>TRIM(PROPER(Tabla_auditoría[[#This Row],[País]]))</f>
        <v>España</v>
      </c>
      <c r="Q1911" t="str">
        <f>TRIM(PROPER(Tabla_auditoría[[#This Row],[Dispositivo]]))</f>
        <v>Mobile</v>
      </c>
      <c r="R1911" t="str">
        <f>TRIM(PROPER(Tabla_auditoría[[#This Row],[Tipo_Campaña]]))</f>
        <v>Conversión</v>
      </c>
      <c r="S1911" t="str">
        <f>TRIM(PROPER(Tabla_auditoría[[#This Row],[Responsable]]))</f>
        <v>Ana García</v>
      </c>
    </row>
    <row r="1912" spans="1:19" x14ac:dyDescent="0.3">
      <c r="A1912" s="1">
        <v>45760</v>
      </c>
      <c r="B1912" s="2" t="s">
        <v>2557</v>
      </c>
      <c r="C1912" s="2" t="s">
        <v>2515</v>
      </c>
      <c r="D1912" s="2" t="s">
        <v>2525</v>
      </c>
      <c r="E1912" s="2" t="s">
        <v>2517</v>
      </c>
      <c r="F1912" s="3">
        <v>118486</v>
      </c>
      <c r="G1912" s="3">
        <v>10086</v>
      </c>
      <c r="H1912" s="3">
        <v>10092</v>
      </c>
      <c r="I1912" s="4">
        <v>4646.57</v>
      </c>
      <c r="J1912" s="4">
        <v>74476.759999999995</v>
      </c>
      <c r="K1912" s="3">
        <v>327</v>
      </c>
      <c r="L1912" s="2" t="s">
        <v>2539</v>
      </c>
      <c r="M1912" s="2" t="s">
        <v>2537</v>
      </c>
      <c r="N1912" t="str">
        <f>TRIM(PROPER(Tabla_auditoría[[#This Row],[ID_Campaña]]))</f>
        <v>Cmp-030</v>
      </c>
      <c r="O1912" t="str">
        <f>TRIM(PROPER(Tabla_auditoría[[#This Row],[Canal]]))</f>
        <v>Email</v>
      </c>
      <c r="P1912" t="str">
        <f>TRIM(PROPER(Tabla_auditoría[[#This Row],[País]]))</f>
        <v>Francia</v>
      </c>
      <c r="Q1912" t="str">
        <f>TRIM(PROPER(Tabla_auditoría[[#This Row],[Dispositivo]]))</f>
        <v>Desktop</v>
      </c>
      <c r="R1912" t="str">
        <f>TRIM(PROPER(Tabla_auditoría[[#This Row],[Tipo_Campaña]]))</f>
        <v>Conversión</v>
      </c>
      <c r="S1912" t="str">
        <f>TRIM(PROPER(Tabla_auditoría[[#This Row],[Responsable]]))</f>
        <v>Marta López</v>
      </c>
    </row>
    <row r="1913" spans="1:19" x14ac:dyDescent="0.3">
      <c r="A1913" s="1">
        <v>45948</v>
      </c>
      <c r="B1913" s="2" t="s">
        <v>2549</v>
      </c>
      <c r="C1913" s="2" t="s">
        <v>2515</v>
      </c>
      <c r="D1913" s="2" t="s">
        <v>2525</v>
      </c>
      <c r="E1913" s="2" t="s">
        <v>2529</v>
      </c>
      <c r="F1913" s="3">
        <v>69602</v>
      </c>
      <c r="G1913" s="3">
        <v>5574</v>
      </c>
      <c r="H1913" s="3">
        <v>59</v>
      </c>
      <c r="I1913" s="4">
        <v>4069.89</v>
      </c>
      <c r="J1913" s="4">
        <v>1936.86</v>
      </c>
      <c r="K1913" s="3">
        <v>37</v>
      </c>
      <c r="L1913" s="2" t="s">
        <v>2523</v>
      </c>
      <c r="M1913" s="2" t="s">
        <v>2524</v>
      </c>
      <c r="N1913" t="str">
        <f>TRIM(PROPER(Tabla_auditoría[[#This Row],[ID_Campaña]]))</f>
        <v>Cmp-007</v>
      </c>
      <c r="O1913" t="str">
        <f>TRIM(PROPER(Tabla_auditoría[[#This Row],[Canal]]))</f>
        <v>Email</v>
      </c>
      <c r="P1913" t="str">
        <f>TRIM(PROPER(Tabla_auditoría[[#This Row],[País]]))</f>
        <v>Francia</v>
      </c>
      <c r="Q1913" t="str">
        <f>TRIM(PROPER(Tabla_auditoría[[#This Row],[Dispositivo]]))</f>
        <v>Mobile</v>
      </c>
      <c r="R1913" t="str">
        <f>TRIM(PROPER(Tabla_auditoría[[#This Row],[Tipo_Campaña]]))</f>
        <v>Retención</v>
      </c>
      <c r="S1913" t="str">
        <f>TRIM(PROPER(Tabla_auditoría[[#This Row],[Responsable]]))</f>
        <v>Luis Martín</v>
      </c>
    </row>
    <row r="1914" spans="1:19" x14ac:dyDescent="0.3">
      <c r="A1914" s="1">
        <v>45771</v>
      </c>
      <c r="B1914" s="2" t="s">
        <v>2551</v>
      </c>
      <c r="C1914" s="2" t="s">
        <v>2543</v>
      </c>
      <c r="D1914" s="2" t="s">
        <v>2516</v>
      </c>
      <c r="E1914" s="2" t="s">
        <v>2529</v>
      </c>
      <c r="F1914" s="3">
        <v>17800</v>
      </c>
      <c r="G1914" s="3">
        <v>814</v>
      </c>
      <c r="H1914" s="3">
        <v>24</v>
      </c>
      <c r="I1914" s="4">
        <v>1487.15</v>
      </c>
      <c r="J1914" s="4">
        <v>4936.29</v>
      </c>
      <c r="K1914" s="3">
        <v>14</v>
      </c>
      <c r="L1914" s="2" t="s">
        <v>2539</v>
      </c>
      <c r="M1914" s="2" t="s">
        <v>2537</v>
      </c>
      <c r="N1914" t="str">
        <f>TRIM(PROPER(Tabla_auditoría[[#This Row],[ID_Campaña]]))</f>
        <v>Cmp-028</v>
      </c>
      <c r="O1914" t="str">
        <f>TRIM(PROPER(Tabla_auditoría[[#This Row],[Canal]]))</f>
        <v>Organic Social</v>
      </c>
      <c r="P1914" t="str">
        <f>TRIM(PROPER(Tabla_auditoría[[#This Row],[País]]))</f>
        <v>México</v>
      </c>
      <c r="Q1914" t="str">
        <f>TRIM(PROPER(Tabla_auditoría[[#This Row],[Dispositivo]]))</f>
        <v>Mobile</v>
      </c>
      <c r="R1914" t="str">
        <f>TRIM(PROPER(Tabla_auditoría[[#This Row],[Tipo_Campaña]]))</f>
        <v>Conversión</v>
      </c>
      <c r="S1914" t="str">
        <f>TRIM(PROPER(Tabla_auditoría[[#This Row],[Responsable]]))</f>
        <v>Marta López</v>
      </c>
    </row>
    <row r="1915" spans="1:19" x14ac:dyDescent="0.3">
      <c r="A1915" s="1">
        <v>46016</v>
      </c>
      <c r="B1915" s="2" t="s">
        <v>2600</v>
      </c>
      <c r="C1915" s="2" t="s">
        <v>2541</v>
      </c>
      <c r="D1915" s="2" t="s">
        <v>2528</v>
      </c>
      <c r="E1915" s="2" t="s">
        <v>2534</v>
      </c>
      <c r="F1915" s="3">
        <v>51472</v>
      </c>
      <c r="G1915" s="3">
        <v>3131</v>
      </c>
      <c r="H1915" s="3">
        <v>430</v>
      </c>
      <c r="I1915" s="4">
        <v>6397.83</v>
      </c>
      <c r="J1915" s="4">
        <v>44922.43</v>
      </c>
      <c r="K1915" s="3">
        <v>213</v>
      </c>
      <c r="L1915" s="2" t="s">
        <v>2539</v>
      </c>
      <c r="M1915" s="2" t="s">
        <v>2526</v>
      </c>
      <c r="N1915" t="str">
        <f>TRIM(PROPER(Tabla_auditoría[[#This Row],[ID_Campaña]]))</f>
        <v>Cmp-025</v>
      </c>
      <c r="O1915" t="str">
        <f>TRIM(PROPER(Tabla_auditoría[[#This Row],[Canal]]))</f>
        <v>Display</v>
      </c>
      <c r="P1915" t="str">
        <f>TRIM(PROPER(Tabla_auditoría[[#This Row],[País]]))</f>
        <v>España</v>
      </c>
      <c r="Q1915" t="str">
        <f>TRIM(PROPER(Tabla_auditoría[[#This Row],[Dispositivo]]))</f>
        <v>Tablet</v>
      </c>
      <c r="R1915" t="str">
        <f>TRIM(PROPER(Tabla_auditoría[[#This Row],[Tipo_Campaña]]))</f>
        <v>Conversión</v>
      </c>
      <c r="S1915" t="str">
        <f>TRIM(PROPER(Tabla_auditoría[[#This Row],[Responsable]]))</f>
        <v>Laura Pérez</v>
      </c>
    </row>
    <row r="1916" spans="1:19" x14ac:dyDescent="0.3">
      <c r="A1916" s="1">
        <v>45693</v>
      </c>
      <c r="B1916" s="2" t="s">
        <v>2532</v>
      </c>
      <c r="C1916" s="2" t="s">
        <v>2543</v>
      </c>
      <c r="D1916" s="2" t="s">
        <v>2528</v>
      </c>
      <c r="E1916" s="2" t="s">
        <v>2534</v>
      </c>
      <c r="F1916" s="3">
        <v>155342</v>
      </c>
      <c r="G1916" s="3">
        <v>9491</v>
      </c>
      <c r="H1916" s="3">
        <v>164</v>
      </c>
      <c r="I1916" s="4">
        <v>6288.72</v>
      </c>
      <c r="J1916" s="4">
        <v>2754.04</v>
      </c>
      <c r="K1916" s="3">
        <v>92</v>
      </c>
      <c r="L1916" s="2" t="s">
        <v>2539</v>
      </c>
      <c r="M1916" s="2" t="s">
        <v>2546</v>
      </c>
      <c r="N1916" t="str">
        <f>TRIM(PROPER(Tabla_auditoría[[#This Row],[ID_Campaña]]))</f>
        <v>Cmp-022</v>
      </c>
      <c r="O1916" t="str">
        <f>TRIM(PROPER(Tabla_auditoría[[#This Row],[Canal]]))</f>
        <v>Organic Social</v>
      </c>
      <c r="P1916" t="str">
        <f>TRIM(PROPER(Tabla_auditoría[[#This Row],[País]]))</f>
        <v>España</v>
      </c>
      <c r="Q1916" t="str">
        <f>TRIM(PROPER(Tabla_auditoría[[#This Row],[Dispositivo]]))</f>
        <v>Tablet</v>
      </c>
      <c r="R1916" t="str">
        <f>TRIM(PROPER(Tabla_auditoría[[#This Row],[Tipo_Campaña]]))</f>
        <v>Conversión</v>
      </c>
      <c r="S1916" t="str">
        <f>TRIM(PROPER(Tabla_auditoría[[#This Row],[Responsable]]))</f>
        <v>Ana García</v>
      </c>
    </row>
    <row r="1917" spans="1:19" x14ac:dyDescent="0.3">
      <c r="A1917" s="1">
        <v>45726</v>
      </c>
      <c r="B1917" s="2" t="s">
        <v>2554</v>
      </c>
      <c r="C1917" s="2" t="s">
        <v>2527</v>
      </c>
      <c r="D1917" s="2" t="s">
        <v>2528</v>
      </c>
      <c r="E1917" s="2" t="s">
        <v>2517</v>
      </c>
      <c r="F1917" s="3">
        <v>133922</v>
      </c>
      <c r="G1917" s="3">
        <v>11643</v>
      </c>
      <c r="H1917" s="3">
        <v>292</v>
      </c>
      <c r="I1917" s="4">
        <v>22990.62</v>
      </c>
      <c r="J1917" s="4">
        <v>38986.5</v>
      </c>
      <c r="K1917" s="3">
        <v>250</v>
      </c>
      <c r="L1917" s="2" t="s">
        <v>2539</v>
      </c>
      <c r="M1917" s="2" t="s">
        <v>2537</v>
      </c>
      <c r="N1917" t="str">
        <f>TRIM(PROPER(Tabla_auditoría[[#This Row],[ID_Campaña]]))</f>
        <v>Cmp-019</v>
      </c>
      <c r="O1917" t="str">
        <f>TRIM(PROPER(Tabla_auditoría[[#This Row],[Canal]]))</f>
        <v>Affiliate</v>
      </c>
      <c r="P1917" t="str">
        <f>TRIM(PROPER(Tabla_auditoría[[#This Row],[País]]))</f>
        <v>España</v>
      </c>
      <c r="Q1917" t="str">
        <f>TRIM(PROPER(Tabla_auditoría[[#This Row],[Dispositivo]]))</f>
        <v>Desktop</v>
      </c>
      <c r="R1917" t="str">
        <f>TRIM(PROPER(Tabla_auditoría[[#This Row],[Tipo_Campaña]]))</f>
        <v>Conversión</v>
      </c>
      <c r="S1917" t="str">
        <f>TRIM(PROPER(Tabla_auditoría[[#This Row],[Responsable]]))</f>
        <v>Marta López</v>
      </c>
    </row>
    <row r="1918" spans="1:19" x14ac:dyDescent="0.3">
      <c r="A1918" s="1">
        <v>45831</v>
      </c>
      <c r="B1918" s="2" t="s">
        <v>2552</v>
      </c>
      <c r="C1918" s="2" t="s">
        <v>2533</v>
      </c>
      <c r="D1918" s="2" t="s">
        <v>2531</v>
      </c>
      <c r="E1918" s="2" t="s">
        <v>2529</v>
      </c>
      <c r="F1918" s="3">
        <v>89122</v>
      </c>
      <c r="G1918" s="3">
        <v>3889</v>
      </c>
      <c r="H1918" s="3">
        <v>44</v>
      </c>
      <c r="I1918" s="4">
        <v>7781.66</v>
      </c>
      <c r="J1918" s="4">
        <v>5817.83</v>
      </c>
      <c r="K1918" s="3">
        <v>39</v>
      </c>
      <c r="L1918" s="2" t="s">
        <v>2523</v>
      </c>
      <c r="M1918" s="2" t="s">
        <v>2519</v>
      </c>
      <c r="N1918" t="str">
        <f>TRIM(PROPER(Tabla_auditoría[[#This Row],[ID_Campaña]]))</f>
        <v>Cmp-012</v>
      </c>
      <c r="O1918" t="str">
        <f>TRIM(PROPER(Tabla_auditoría[[#This Row],[Canal]]))</f>
        <v>Paid Social</v>
      </c>
      <c r="P1918" t="str">
        <f>TRIM(PROPER(Tabla_auditoría[[#This Row],[País]]))</f>
        <v>Portugal</v>
      </c>
      <c r="Q1918" t="str">
        <f>TRIM(PROPER(Tabla_auditoría[[#This Row],[Dispositivo]]))</f>
        <v>Mobile</v>
      </c>
      <c r="R1918" t="str">
        <f>TRIM(PROPER(Tabla_auditoría[[#This Row],[Tipo_Campaña]]))</f>
        <v>Retención</v>
      </c>
      <c r="S1918" t="str">
        <f>TRIM(PROPER(Tabla_auditoría[[#This Row],[Responsable]]))</f>
        <v>Carlos Ruiz</v>
      </c>
    </row>
    <row r="1919" spans="1:19" x14ac:dyDescent="0.3">
      <c r="A1919" s="1">
        <v>45778</v>
      </c>
      <c r="B1919" s="2" t="s">
        <v>2549</v>
      </c>
      <c r="C1919" s="2" t="s">
        <v>2515</v>
      </c>
      <c r="D1919" s="2" t="s">
        <v>2528</v>
      </c>
      <c r="E1919" s="2" t="s">
        <v>2534</v>
      </c>
      <c r="F1919" s="3">
        <v>149192</v>
      </c>
      <c r="G1919" s="3">
        <v>1800</v>
      </c>
      <c r="H1919" s="3">
        <v>139</v>
      </c>
      <c r="I1919" s="4">
        <v>2336.64</v>
      </c>
      <c r="J1919" s="4">
        <v>17837.95</v>
      </c>
      <c r="K1919" s="3">
        <v>75</v>
      </c>
      <c r="L1919" s="2" t="s">
        <v>2539</v>
      </c>
      <c r="M1919" s="2" t="s">
        <v>2537</v>
      </c>
      <c r="N1919" t="str">
        <f>TRIM(PROPER(Tabla_auditoría[[#This Row],[ID_Campaña]]))</f>
        <v>Cmp-007</v>
      </c>
      <c r="O1919" t="str">
        <f>TRIM(PROPER(Tabla_auditoría[[#This Row],[Canal]]))</f>
        <v>Email</v>
      </c>
      <c r="P1919" t="str">
        <f>TRIM(PROPER(Tabla_auditoría[[#This Row],[País]]))</f>
        <v>España</v>
      </c>
      <c r="Q1919" t="str">
        <f>TRIM(PROPER(Tabla_auditoría[[#This Row],[Dispositivo]]))</f>
        <v>Tablet</v>
      </c>
      <c r="R1919" t="str">
        <f>TRIM(PROPER(Tabla_auditoría[[#This Row],[Tipo_Campaña]]))</f>
        <v>Conversión</v>
      </c>
      <c r="S1919" t="str">
        <f>TRIM(PROPER(Tabla_auditoría[[#This Row],[Responsable]]))</f>
        <v>Marta López</v>
      </c>
    </row>
    <row r="1920" spans="1:19" x14ac:dyDescent="0.3">
      <c r="A1920" s="1">
        <v>45863</v>
      </c>
      <c r="B1920" s="2" t="s">
        <v>2571</v>
      </c>
      <c r="C1920" s="2" t="s">
        <v>2521</v>
      </c>
      <c r="D1920" s="2" t="s">
        <v>2528</v>
      </c>
      <c r="E1920" s="2" t="s">
        <v>2534</v>
      </c>
      <c r="F1920" s="3">
        <v>165121</v>
      </c>
      <c r="G1920" s="3">
        <v>2900</v>
      </c>
      <c r="H1920" s="3">
        <v>157</v>
      </c>
      <c r="I1920" s="4">
        <v>1962.5</v>
      </c>
      <c r="J1920" s="4">
        <v>3243.78</v>
      </c>
      <c r="K1920" s="3">
        <v>135</v>
      </c>
      <c r="L1920" s="2" t="s">
        <v>2518</v>
      </c>
      <c r="M1920" s="2" t="s">
        <v>2519</v>
      </c>
      <c r="N1920" t="str">
        <f>TRIM(PROPER(Tabla_auditoría[[#This Row],[ID_Campaña]]))</f>
        <v>Cmp-029</v>
      </c>
      <c r="O1920" t="str">
        <f>TRIM(PROPER(Tabla_auditoría[[#This Row],[Canal]]))</f>
        <v>Paid Search</v>
      </c>
      <c r="P1920" t="str">
        <f>TRIM(PROPER(Tabla_auditoría[[#This Row],[País]]))</f>
        <v>España</v>
      </c>
      <c r="Q1920" t="str">
        <f>TRIM(PROPER(Tabla_auditoría[[#This Row],[Dispositivo]]))</f>
        <v>Tablet</v>
      </c>
      <c r="R1920" t="str">
        <f>TRIM(PROPER(Tabla_auditoría[[#This Row],[Tipo_Campaña]]))</f>
        <v>Adquisición</v>
      </c>
      <c r="S1920" t="str">
        <f>TRIM(PROPER(Tabla_auditoría[[#This Row],[Responsable]]))</f>
        <v>Carlos Ruiz</v>
      </c>
    </row>
    <row r="1921" spans="1:19" x14ac:dyDescent="0.3">
      <c r="A1921" s="1">
        <v>45911</v>
      </c>
      <c r="B1921" s="2" t="s">
        <v>2567</v>
      </c>
      <c r="C1921" s="2" t="s">
        <v>2533</v>
      </c>
      <c r="D1921" s="2" t="s">
        <v>2584</v>
      </c>
      <c r="E1921" s="2" t="s">
        <v>2529</v>
      </c>
      <c r="F1921" s="3">
        <v>35239</v>
      </c>
      <c r="G1921" s="3">
        <v>1514</v>
      </c>
      <c r="H1921" s="3">
        <v>202</v>
      </c>
      <c r="I1921" s="4">
        <v>2209.39</v>
      </c>
      <c r="J1921" s="4">
        <v>7285.93</v>
      </c>
      <c r="K1921" s="3">
        <v>116</v>
      </c>
      <c r="L1921" s="2" t="s">
        <v>2539</v>
      </c>
      <c r="M1921" s="2" t="s">
        <v>2526</v>
      </c>
      <c r="N1921" t="str">
        <f>TRIM(PROPER(Tabla_auditoría[[#This Row],[ID_Campaña]]))</f>
        <v>Cmp-021</v>
      </c>
      <c r="O1921" t="str">
        <f>TRIM(PROPER(Tabla_auditoría[[#This Row],[Canal]]))</f>
        <v>Paid Social</v>
      </c>
      <c r="P1921" t="str">
        <f>TRIM(PROPER(Tabla_auditoría[[#This Row],[País]]))</f>
        <v>Portugal</v>
      </c>
      <c r="Q1921" t="str">
        <f>TRIM(PROPER(Tabla_auditoría[[#This Row],[Dispositivo]]))</f>
        <v>Mobile</v>
      </c>
      <c r="R1921" t="str">
        <f>TRIM(PROPER(Tabla_auditoría[[#This Row],[Tipo_Campaña]]))</f>
        <v>Conversión</v>
      </c>
      <c r="S1921" t="str">
        <f>TRIM(PROPER(Tabla_auditoría[[#This Row],[Responsable]]))</f>
        <v>Laura Pérez</v>
      </c>
    </row>
    <row r="1922" spans="1:19" x14ac:dyDescent="0.3">
      <c r="A1922" s="1">
        <v>45711</v>
      </c>
      <c r="B1922" s="2" t="s">
        <v>2570</v>
      </c>
      <c r="C1922" s="2" t="s">
        <v>2527</v>
      </c>
      <c r="D1922" s="2" t="s">
        <v>2528</v>
      </c>
      <c r="E1922" s="2" t="s">
        <v>2529</v>
      </c>
      <c r="F1922" s="3">
        <v>155954</v>
      </c>
      <c r="G1922" s="3">
        <v>13563</v>
      </c>
      <c r="H1922" s="3">
        <v>1680</v>
      </c>
      <c r="I1922" s="4">
        <v>13089.58</v>
      </c>
      <c r="J1922" s="4">
        <v>204974.81</v>
      </c>
      <c r="K1922" s="3">
        <v>1418</v>
      </c>
      <c r="L1922" s="2" t="s">
        <v>2536</v>
      </c>
      <c r="M1922" s="2" t="s">
        <v>2537</v>
      </c>
      <c r="N1922" t="str">
        <f>TRIM(PROPER(Tabla_auditoría[[#This Row],[ID_Campaña]]))</f>
        <v>Cmp-016</v>
      </c>
      <c r="O1922" t="str">
        <f>TRIM(PROPER(Tabla_auditoría[[#This Row],[Canal]]))</f>
        <v>Affiliate</v>
      </c>
      <c r="P1922" t="str">
        <f>TRIM(PROPER(Tabla_auditoría[[#This Row],[País]]))</f>
        <v>España</v>
      </c>
      <c r="Q1922" t="str">
        <f>TRIM(PROPER(Tabla_auditoría[[#This Row],[Dispositivo]]))</f>
        <v>Mobile</v>
      </c>
      <c r="R1922" t="str">
        <f>TRIM(PROPER(Tabla_auditoría[[#This Row],[Tipo_Campaña]]))</f>
        <v>Reconocimiento</v>
      </c>
      <c r="S1922" t="str">
        <f>TRIM(PROPER(Tabla_auditoría[[#This Row],[Responsable]]))</f>
        <v>Marta López</v>
      </c>
    </row>
    <row r="1923" spans="1:19" x14ac:dyDescent="0.3">
      <c r="A1923" s="1">
        <v>45896</v>
      </c>
      <c r="B1923" s="2" t="s">
        <v>2568</v>
      </c>
      <c r="C1923" s="2" t="s">
        <v>2515</v>
      </c>
      <c r="D1923" s="2" t="s">
        <v>2528</v>
      </c>
      <c r="E1923" s="2" t="s">
        <v>2517</v>
      </c>
      <c r="F1923" s="3">
        <v>83081</v>
      </c>
      <c r="G1923" s="3">
        <v>1684</v>
      </c>
      <c r="H1923" s="3">
        <v>146</v>
      </c>
      <c r="I1923" s="4">
        <v>695.77</v>
      </c>
      <c r="J1923" s="4">
        <v>15050.27</v>
      </c>
      <c r="K1923" s="3">
        <v>78</v>
      </c>
      <c r="L1923" s="2" t="s">
        <v>2518</v>
      </c>
      <c r="M1923" s="2" t="s">
        <v>2546</v>
      </c>
      <c r="N1923" t="str">
        <f>TRIM(PROPER(Tabla_auditoría[[#This Row],[ID_Campaña]]))</f>
        <v>Cmp-020</v>
      </c>
      <c r="O1923" t="str">
        <f>TRIM(PROPER(Tabla_auditoría[[#This Row],[Canal]]))</f>
        <v>Email</v>
      </c>
      <c r="P1923" t="str">
        <f>TRIM(PROPER(Tabla_auditoría[[#This Row],[País]]))</f>
        <v>España</v>
      </c>
      <c r="Q1923" t="str">
        <f>TRIM(PROPER(Tabla_auditoría[[#This Row],[Dispositivo]]))</f>
        <v>Desktop</v>
      </c>
      <c r="R1923" t="str">
        <f>TRIM(PROPER(Tabla_auditoría[[#This Row],[Tipo_Campaña]]))</f>
        <v>Adquisición</v>
      </c>
      <c r="S1923" t="str">
        <f>TRIM(PROPER(Tabla_auditoría[[#This Row],[Responsable]]))</f>
        <v>Ana García</v>
      </c>
    </row>
    <row r="1924" spans="1:19" x14ac:dyDescent="0.3">
      <c r="A1924" s="1">
        <v>45788</v>
      </c>
      <c r="B1924" s="2" t="s">
        <v>2514</v>
      </c>
      <c r="C1924" s="2" t="s">
        <v>2515</v>
      </c>
      <c r="D1924" s="2" t="s">
        <v>2522</v>
      </c>
      <c r="E1924" s="2" t="s">
        <v>2517</v>
      </c>
      <c r="F1924" s="3">
        <v>95331</v>
      </c>
      <c r="G1924" s="3">
        <v>3981</v>
      </c>
      <c r="H1924" s="3">
        <v>214</v>
      </c>
      <c r="I1924" s="4">
        <v>2083.36</v>
      </c>
      <c r="J1924" s="4">
        <v>25624.62</v>
      </c>
      <c r="K1924" s="3">
        <v>116</v>
      </c>
      <c r="L1924" s="2" t="s">
        <v>2523</v>
      </c>
      <c r="M1924" s="2" t="s">
        <v>2524</v>
      </c>
      <c r="N1924" t="str">
        <f>TRIM(PROPER(Tabla_auditoría[[#This Row],[ID_Campaña]]))</f>
        <v>Cmp-002</v>
      </c>
      <c r="O1924" t="str">
        <f>TRIM(PROPER(Tabla_auditoría[[#This Row],[Canal]]))</f>
        <v>Email</v>
      </c>
      <c r="P1924" t="str">
        <f>TRIM(PROPER(Tabla_auditoría[[#This Row],[País]]))</f>
        <v>Italia</v>
      </c>
      <c r="Q1924" t="str">
        <f>TRIM(PROPER(Tabla_auditoría[[#This Row],[Dispositivo]]))</f>
        <v>Desktop</v>
      </c>
      <c r="R1924" t="str">
        <f>TRIM(PROPER(Tabla_auditoría[[#This Row],[Tipo_Campaña]]))</f>
        <v>Retención</v>
      </c>
      <c r="S1924" t="str">
        <f>TRIM(PROPER(Tabla_auditoría[[#This Row],[Responsable]]))</f>
        <v>Luis Martín</v>
      </c>
    </row>
    <row r="1925" spans="1:19" x14ac:dyDescent="0.3">
      <c r="A1925" s="1">
        <v>45807</v>
      </c>
      <c r="B1925" s="2" t="s">
        <v>2568</v>
      </c>
      <c r="C1925" s="2" t="s">
        <v>2521</v>
      </c>
      <c r="D1925" s="2" t="s">
        <v>2528</v>
      </c>
      <c r="E1925" s="2" t="s">
        <v>2517</v>
      </c>
      <c r="F1925" s="3">
        <v>160703</v>
      </c>
      <c r="G1925" s="3">
        <v>11513</v>
      </c>
      <c r="H1925" s="3">
        <v>74</v>
      </c>
      <c r="I1925" s="4">
        <v>3305.89</v>
      </c>
      <c r="J1925" s="4">
        <v>14144.31</v>
      </c>
      <c r="K1925" s="3">
        <v>38</v>
      </c>
      <c r="L1925" s="2" t="s">
        <v>2536</v>
      </c>
      <c r="M1925" s="2" t="s">
        <v>2546</v>
      </c>
      <c r="N1925" t="str">
        <f>TRIM(PROPER(Tabla_auditoría[[#This Row],[ID_Campaña]]))</f>
        <v>Cmp-020</v>
      </c>
      <c r="O1925" t="str">
        <f>TRIM(PROPER(Tabla_auditoría[[#This Row],[Canal]]))</f>
        <v>Paid Search</v>
      </c>
      <c r="P1925" t="str">
        <f>TRIM(PROPER(Tabla_auditoría[[#This Row],[País]]))</f>
        <v>España</v>
      </c>
      <c r="Q1925" t="str">
        <f>TRIM(PROPER(Tabla_auditoría[[#This Row],[Dispositivo]]))</f>
        <v>Desktop</v>
      </c>
      <c r="R1925" t="str">
        <f>TRIM(PROPER(Tabla_auditoría[[#This Row],[Tipo_Campaña]]))</f>
        <v>Reconocimiento</v>
      </c>
      <c r="S1925" t="str">
        <f>TRIM(PROPER(Tabla_auditoría[[#This Row],[Responsable]]))</f>
        <v>Ana García</v>
      </c>
    </row>
    <row r="1926" spans="1:19" x14ac:dyDescent="0.3">
      <c r="A1926" s="1">
        <v>45794</v>
      </c>
      <c r="B1926" s="2" t="s">
        <v>2545</v>
      </c>
      <c r="C1926" s="2" t="s">
        <v>2521</v>
      </c>
      <c r="D1926" s="2" t="s">
        <v>2528</v>
      </c>
      <c r="E1926" s="2" t="s">
        <v>2529</v>
      </c>
      <c r="F1926" s="3">
        <v>11787</v>
      </c>
      <c r="G1926" s="3">
        <v>953</v>
      </c>
      <c r="H1926" s="3">
        <v>130</v>
      </c>
      <c r="I1926" s="4">
        <v>822.27</v>
      </c>
      <c r="J1926" s="4">
        <v>21415.73</v>
      </c>
      <c r="K1926" s="3">
        <v>93</v>
      </c>
      <c r="L1926" s="2" t="s">
        <v>2536</v>
      </c>
      <c r="M1926" s="2" t="s">
        <v>2519</v>
      </c>
      <c r="N1926" t="str">
        <f>TRIM(PROPER(Tabla_auditoría[[#This Row],[ID_Campaña]]))</f>
        <v>Cmp-011</v>
      </c>
      <c r="O1926" t="str">
        <f>TRIM(PROPER(Tabla_auditoría[[#This Row],[Canal]]))</f>
        <v>Paid Search</v>
      </c>
      <c r="P1926" t="str">
        <f>TRIM(PROPER(Tabla_auditoría[[#This Row],[País]]))</f>
        <v>España</v>
      </c>
      <c r="Q1926" t="str">
        <f>TRIM(PROPER(Tabla_auditoría[[#This Row],[Dispositivo]]))</f>
        <v>Mobile</v>
      </c>
      <c r="R1926" t="str">
        <f>TRIM(PROPER(Tabla_auditoría[[#This Row],[Tipo_Campaña]]))</f>
        <v>Reconocimiento</v>
      </c>
      <c r="S1926" t="str">
        <f>TRIM(PROPER(Tabla_auditoría[[#This Row],[Responsable]]))</f>
        <v>Carlos Ruiz</v>
      </c>
    </row>
    <row r="1927" spans="1:19" x14ac:dyDescent="0.3">
      <c r="A1927" s="1">
        <v>45993</v>
      </c>
      <c r="B1927" s="2" t="s">
        <v>2563</v>
      </c>
      <c r="C1927" s="2" t="s">
        <v>2533</v>
      </c>
      <c r="D1927" s="2" t="s">
        <v>2525</v>
      </c>
      <c r="E1927" s="2" t="s">
        <v>2529</v>
      </c>
      <c r="F1927" s="3">
        <v>25625</v>
      </c>
      <c r="G1927" s="3">
        <v>1755</v>
      </c>
      <c r="H1927" s="3">
        <v>196</v>
      </c>
      <c r="I1927" s="4">
        <v>3488.11</v>
      </c>
      <c r="J1927" s="4">
        <v>17968.07</v>
      </c>
      <c r="K1927" s="3">
        <v>129</v>
      </c>
      <c r="L1927" s="2" t="s">
        <v>2536</v>
      </c>
      <c r="M1927" s="2" t="s">
        <v>2546</v>
      </c>
      <c r="N1927" t="str">
        <f>TRIM(PROPER(Tabla_auditoría[[#This Row],[ID_Campaña]]))</f>
        <v>Cmp-023</v>
      </c>
      <c r="O1927" t="str">
        <f>TRIM(PROPER(Tabla_auditoría[[#This Row],[Canal]]))</f>
        <v>Paid Social</v>
      </c>
      <c r="P1927" t="str">
        <f>TRIM(PROPER(Tabla_auditoría[[#This Row],[País]]))</f>
        <v>Francia</v>
      </c>
      <c r="Q1927" t="str">
        <f>TRIM(PROPER(Tabla_auditoría[[#This Row],[Dispositivo]]))</f>
        <v>Mobile</v>
      </c>
      <c r="R1927" t="str">
        <f>TRIM(PROPER(Tabla_auditoría[[#This Row],[Tipo_Campaña]]))</f>
        <v>Reconocimiento</v>
      </c>
      <c r="S1927" t="str">
        <f>TRIM(PROPER(Tabla_auditoría[[#This Row],[Responsable]]))</f>
        <v>Ana García</v>
      </c>
    </row>
    <row r="1928" spans="1:19" x14ac:dyDescent="0.3">
      <c r="A1928" s="1">
        <v>45849</v>
      </c>
      <c r="B1928" s="2" t="s">
        <v>2542</v>
      </c>
      <c r="C1928" s="2" t="s">
        <v>2533</v>
      </c>
      <c r="D1928" s="2" t="s">
        <v>2528</v>
      </c>
      <c r="E1928" s="2" t="s">
        <v>2517</v>
      </c>
      <c r="F1928" s="3">
        <v>175832</v>
      </c>
      <c r="G1928" s="3">
        <v>9818</v>
      </c>
      <c r="H1928" s="3">
        <v>571</v>
      </c>
      <c r="I1928" s="4">
        <v>18853.419999999998</v>
      </c>
      <c r="J1928" s="4">
        <v>22761.46</v>
      </c>
      <c r="K1928" s="3">
        <v>471</v>
      </c>
      <c r="L1928" s="2" t="s">
        <v>2536</v>
      </c>
      <c r="M1928" s="2" t="s">
        <v>2524</v>
      </c>
      <c r="N1928" t="str">
        <f>TRIM(PROPER(Tabla_auditoría[[#This Row],[ID_Campaña]]))</f>
        <v>Cmp-025</v>
      </c>
      <c r="O1928" t="str">
        <f>TRIM(PROPER(Tabla_auditoría[[#This Row],[Canal]]))</f>
        <v>Paid Social</v>
      </c>
      <c r="P1928" t="str">
        <f>TRIM(PROPER(Tabla_auditoría[[#This Row],[País]]))</f>
        <v>España</v>
      </c>
      <c r="Q1928" t="str">
        <f>TRIM(PROPER(Tabla_auditoría[[#This Row],[Dispositivo]]))</f>
        <v>Desktop</v>
      </c>
      <c r="R1928" t="str">
        <f>TRIM(PROPER(Tabla_auditoría[[#This Row],[Tipo_Campaña]]))</f>
        <v>Reconocimiento</v>
      </c>
      <c r="S1928" t="str">
        <f>TRIM(PROPER(Tabla_auditoría[[#This Row],[Responsable]]))</f>
        <v>Luis Martín</v>
      </c>
    </row>
    <row r="1929" spans="1:19" x14ac:dyDescent="0.3">
      <c r="A1929" s="1">
        <v>45824</v>
      </c>
      <c r="B1929" s="2" t="s">
        <v>2545</v>
      </c>
      <c r="C1929" s="2" t="s">
        <v>2527</v>
      </c>
      <c r="D1929" s="2" t="s">
        <v>2516</v>
      </c>
      <c r="E1929" s="2" t="s">
        <v>2517</v>
      </c>
      <c r="F1929" s="3">
        <v>127737</v>
      </c>
      <c r="G1929" s="3">
        <v>4842</v>
      </c>
      <c r="H1929" s="3">
        <v>310</v>
      </c>
      <c r="I1929" s="4">
        <v>1881.95</v>
      </c>
      <c r="J1929" s="4">
        <v>25695.14</v>
      </c>
      <c r="K1929" s="3">
        <v>240</v>
      </c>
      <c r="L1929" s="2" t="s">
        <v>2539</v>
      </c>
      <c r="M1929" s="2" t="s">
        <v>2524</v>
      </c>
      <c r="N1929" t="str">
        <f>TRIM(PROPER(Tabla_auditoría[[#This Row],[ID_Campaña]]))</f>
        <v>Cmp-011</v>
      </c>
      <c r="O1929" t="str">
        <f>TRIM(PROPER(Tabla_auditoría[[#This Row],[Canal]]))</f>
        <v>Affiliate</v>
      </c>
      <c r="P1929" t="str">
        <f>TRIM(PROPER(Tabla_auditoría[[#This Row],[País]]))</f>
        <v>México</v>
      </c>
      <c r="Q1929" t="str">
        <f>TRIM(PROPER(Tabla_auditoría[[#This Row],[Dispositivo]]))</f>
        <v>Desktop</v>
      </c>
      <c r="R1929" t="str">
        <f>TRIM(PROPER(Tabla_auditoría[[#This Row],[Tipo_Campaña]]))</f>
        <v>Conversión</v>
      </c>
      <c r="S1929" t="str">
        <f>TRIM(PROPER(Tabla_auditoría[[#This Row],[Responsable]]))</f>
        <v>Luis Martín</v>
      </c>
    </row>
    <row r="1930" spans="1:19" x14ac:dyDescent="0.3">
      <c r="A1930" s="1">
        <v>45774</v>
      </c>
      <c r="B1930" s="2" t="s">
        <v>2520</v>
      </c>
      <c r="C1930" s="2" t="s">
        <v>2533</v>
      </c>
      <c r="D1930" s="2" t="s">
        <v>2528</v>
      </c>
      <c r="E1930" s="2" t="s">
        <v>2517</v>
      </c>
      <c r="F1930" s="3">
        <v>110340</v>
      </c>
      <c r="G1930" s="3">
        <v>7142</v>
      </c>
      <c r="H1930" s="3">
        <v>815</v>
      </c>
      <c r="I1930" s="4">
        <v>3077.68</v>
      </c>
      <c r="J1930" s="4">
        <v>168967.51</v>
      </c>
      <c r="K1930" s="3">
        <v>732</v>
      </c>
      <c r="L1930" s="2" t="s">
        <v>2536</v>
      </c>
      <c r="M1930" s="2" t="s">
        <v>2546</v>
      </c>
      <c r="N1930" t="str">
        <f>TRIM(PROPER(Tabla_auditoría[[#This Row],[ID_Campaña]]))</f>
        <v>Cmp-009</v>
      </c>
      <c r="O1930" t="str">
        <f>TRIM(PROPER(Tabla_auditoría[[#This Row],[Canal]]))</f>
        <v>Paid Social</v>
      </c>
      <c r="P1930" t="str">
        <f>TRIM(PROPER(Tabla_auditoría[[#This Row],[País]]))</f>
        <v>España</v>
      </c>
      <c r="Q1930" t="str">
        <f>TRIM(PROPER(Tabla_auditoría[[#This Row],[Dispositivo]]))</f>
        <v>Desktop</v>
      </c>
      <c r="R1930" t="str">
        <f>TRIM(PROPER(Tabla_auditoría[[#This Row],[Tipo_Campaña]]))</f>
        <v>Reconocimiento</v>
      </c>
      <c r="S1930" t="str">
        <f>TRIM(PROPER(Tabla_auditoría[[#This Row],[Responsable]]))</f>
        <v>Ana García</v>
      </c>
    </row>
    <row r="1931" spans="1:19" x14ac:dyDescent="0.3">
      <c r="A1931" s="1">
        <v>45895</v>
      </c>
      <c r="B1931" s="2" t="s">
        <v>2556</v>
      </c>
      <c r="C1931" s="2" t="s">
        <v>2521</v>
      </c>
      <c r="D1931" s="2" t="s">
        <v>2516</v>
      </c>
      <c r="E1931" s="2" t="s">
        <v>2529</v>
      </c>
      <c r="F1931" s="3">
        <v>133215</v>
      </c>
      <c r="G1931" s="3">
        <v>2039</v>
      </c>
      <c r="H1931" s="3">
        <v>180</v>
      </c>
      <c r="I1931" s="4">
        <v>3847.71</v>
      </c>
      <c r="J1931" s="4">
        <v>21270.85</v>
      </c>
      <c r="K1931" s="3">
        <v>120</v>
      </c>
      <c r="L1931" s="2" t="s">
        <v>2539</v>
      </c>
      <c r="M1931" s="2" t="s">
        <v>2526</v>
      </c>
      <c r="N1931" t="str">
        <f>TRIM(PROPER(Tabla_auditoría[[#This Row],[ID_Campaña]]))</f>
        <v>Cmp-014</v>
      </c>
      <c r="O1931" t="str">
        <f>TRIM(PROPER(Tabla_auditoría[[#This Row],[Canal]]))</f>
        <v>Paid Search</v>
      </c>
      <c r="P1931" t="str">
        <f>TRIM(PROPER(Tabla_auditoría[[#This Row],[País]]))</f>
        <v>México</v>
      </c>
      <c r="Q1931" t="str">
        <f>TRIM(PROPER(Tabla_auditoría[[#This Row],[Dispositivo]]))</f>
        <v>Mobile</v>
      </c>
      <c r="R1931" t="str">
        <f>TRIM(PROPER(Tabla_auditoría[[#This Row],[Tipo_Campaña]]))</f>
        <v>Conversión</v>
      </c>
      <c r="S1931" t="str">
        <f>TRIM(PROPER(Tabla_auditoría[[#This Row],[Responsable]]))</f>
        <v>Laura Pérez</v>
      </c>
    </row>
    <row r="1932" spans="1:19" x14ac:dyDescent="0.3">
      <c r="A1932" s="1">
        <v>45684</v>
      </c>
      <c r="B1932" s="2" t="s">
        <v>2560</v>
      </c>
      <c r="C1932" s="2" t="s">
        <v>2527</v>
      </c>
      <c r="D1932" s="2" t="s">
        <v>2528</v>
      </c>
      <c r="E1932" s="2" t="s">
        <v>2517</v>
      </c>
      <c r="F1932" s="3">
        <v>98070</v>
      </c>
      <c r="G1932" s="3">
        <v>1205</v>
      </c>
      <c r="H1932" s="3">
        <v>100</v>
      </c>
      <c r="I1932" s="4">
        <v>292.14999999999998</v>
      </c>
      <c r="J1932" s="4">
        <v>9796.69</v>
      </c>
      <c r="K1932" s="3">
        <v>71</v>
      </c>
      <c r="L1932" s="2" t="s">
        <v>2518</v>
      </c>
      <c r="M1932" s="2" t="s">
        <v>2519</v>
      </c>
      <c r="N1932" t="str">
        <f>TRIM(PROPER(Tabla_auditoría[[#This Row],[ID_Campaña]]))</f>
        <v>Cmp-027</v>
      </c>
      <c r="O1932" t="str">
        <f>TRIM(PROPER(Tabla_auditoría[[#This Row],[Canal]]))</f>
        <v>Affiliate</v>
      </c>
      <c r="P1932" t="str">
        <f>TRIM(PROPER(Tabla_auditoría[[#This Row],[País]]))</f>
        <v>España</v>
      </c>
      <c r="Q1932" t="str">
        <f>TRIM(PROPER(Tabla_auditoría[[#This Row],[Dispositivo]]))</f>
        <v>Desktop</v>
      </c>
      <c r="R1932" t="str">
        <f>TRIM(PROPER(Tabla_auditoría[[#This Row],[Tipo_Campaña]]))</f>
        <v>Adquisición</v>
      </c>
      <c r="S1932" t="str">
        <f>TRIM(PROPER(Tabla_auditoría[[#This Row],[Responsable]]))</f>
        <v>Carlos Ruiz</v>
      </c>
    </row>
    <row r="1933" spans="1:19" x14ac:dyDescent="0.3">
      <c r="A1933" s="1">
        <v>45932</v>
      </c>
      <c r="B1933" s="2" t="s">
        <v>2569</v>
      </c>
      <c r="C1933" s="2" t="s">
        <v>2527</v>
      </c>
      <c r="D1933" s="2" t="s">
        <v>2516</v>
      </c>
      <c r="E1933" s="2" t="s">
        <v>2529</v>
      </c>
      <c r="F1933" s="3">
        <v>114371</v>
      </c>
      <c r="G1933" s="3">
        <v>10151</v>
      </c>
      <c r="H1933" s="3">
        <v>1095</v>
      </c>
      <c r="I1933" s="4">
        <v>16880.87</v>
      </c>
      <c r="J1933" s="4">
        <v>177102.23</v>
      </c>
      <c r="K1933" s="3">
        <v>723</v>
      </c>
      <c r="L1933" s="2" t="s">
        <v>2523</v>
      </c>
      <c r="M1933" s="2" t="s">
        <v>2537</v>
      </c>
      <c r="N1933" t="str">
        <f>TRIM(PROPER(Tabla_auditoría[[#This Row],[ID_Campaña]]))</f>
        <v>Cmp-013</v>
      </c>
      <c r="O1933" t="str">
        <f>TRIM(PROPER(Tabla_auditoría[[#This Row],[Canal]]))</f>
        <v>Affiliate</v>
      </c>
      <c r="P1933" t="str">
        <f>TRIM(PROPER(Tabla_auditoría[[#This Row],[País]]))</f>
        <v>México</v>
      </c>
      <c r="Q1933" t="str">
        <f>TRIM(PROPER(Tabla_auditoría[[#This Row],[Dispositivo]]))</f>
        <v>Mobile</v>
      </c>
      <c r="R1933" t="str">
        <f>TRIM(PROPER(Tabla_auditoría[[#This Row],[Tipo_Campaña]]))</f>
        <v>Retención</v>
      </c>
      <c r="S1933" t="str">
        <f>TRIM(PROPER(Tabla_auditoría[[#This Row],[Responsable]]))</f>
        <v>Marta López</v>
      </c>
    </row>
    <row r="1934" spans="1:19" x14ac:dyDescent="0.3">
      <c r="A1934" s="1">
        <v>45811</v>
      </c>
      <c r="B1934" s="2" t="s">
        <v>2532</v>
      </c>
      <c r="C1934" s="2" t="s">
        <v>2543</v>
      </c>
      <c r="D1934" s="2" t="s">
        <v>2573</v>
      </c>
      <c r="E1934" s="2" t="s">
        <v>2529</v>
      </c>
      <c r="F1934" s="3">
        <v>119206</v>
      </c>
      <c r="G1934" s="3">
        <v>2804</v>
      </c>
      <c r="H1934" s="3">
        <v>128</v>
      </c>
      <c r="I1934" s="4">
        <v>4155.9399999999996</v>
      </c>
      <c r="J1934" s="4">
        <v>22821.55</v>
      </c>
      <c r="K1934" s="3">
        <v>82</v>
      </c>
      <c r="L1934" s="2" t="s">
        <v>2518</v>
      </c>
      <c r="M1934" s="2" t="s">
        <v>2537</v>
      </c>
      <c r="N1934" t="str">
        <f>TRIM(PROPER(Tabla_auditoría[[#This Row],[ID_Campaña]]))</f>
        <v>Cmp-022</v>
      </c>
      <c r="O1934" t="str">
        <f>TRIM(PROPER(Tabla_auditoría[[#This Row],[Canal]]))</f>
        <v>Organic Social</v>
      </c>
      <c r="P1934" t="str">
        <f>TRIM(PROPER(Tabla_auditoría[[#This Row],[País]]))</f>
        <v>España</v>
      </c>
      <c r="Q1934" t="str">
        <f>TRIM(PROPER(Tabla_auditoría[[#This Row],[Dispositivo]]))</f>
        <v>Mobile</v>
      </c>
      <c r="R1934" t="str">
        <f>TRIM(PROPER(Tabla_auditoría[[#This Row],[Tipo_Campaña]]))</f>
        <v>Adquisición</v>
      </c>
      <c r="S1934" t="str">
        <f>TRIM(PROPER(Tabla_auditoría[[#This Row],[Responsable]]))</f>
        <v>Marta López</v>
      </c>
    </row>
    <row r="1935" spans="1:19" x14ac:dyDescent="0.3">
      <c r="A1935" s="1">
        <v>45733</v>
      </c>
      <c r="B1935" s="2" t="s">
        <v>2550</v>
      </c>
      <c r="C1935" s="2" t="s">
        <v>2515</v>
      </c>
      <c r="D1935" s="2" t="s">
        <v>2516</v>
      </c>
      <c r="E1935" s="2" t="s">
        <v>2517</v>
      </c>
      <c r="F1935" s="3">
        <v>94235</v>
      </c>
      <c r="G1935" s="3">
        <v>3938</v>
      </c>
      <c r="H1935" s="3">
        <v>55</v>
      </c>
      <c r="I1935" s="4">
        <v>3488.87</v>
      </c>
      <c r="J1935" s="4">
        <v>1090.6600000000001</v>
      </c>
      <c r="K1935" s="3">
        <v>39</v>
      </c>
      <c r="L1935" s="2" t="s">
        <v>2536</v>
      </c>
      <c r="M1935" s="2" t="s">
        <v>2526</v>
      </c>
      <c r="N1935" t="str">
        <f>TRIM(PROPER(Tabla_auditoría[[#This Row],[ID_Campaña]]))</f>
        <v>Cmp-008</v>
      </c>
      <c r="O1935" t="str">
        <f>TRIM(PROPER(Tabla_auditoría[[#This Row],[Canal]]))</f>
        <v>Email</v>
      </c>
      <c r="P1935" t="str">
        <f>TRIM(PROPER(Tabla_auditoría[[#This Row],[País]]))</f>
        <v>México</v>
      </c>
      <c r="Q1935" t="str">
        <f>TRIM(PROPER(Tabla_auditoría[[#This Row],[Dispositivo]]))</f>
        <v>Desktop</v>
      </c>
      <c r="R1935" t="str">
        <f>TRIM(PROPER(Tabla_auditoría[[#This Row],[Tipo_Campaña]]))</f>
        <v>Reconocimiento</v>
      </c>
      <c r="S1935" t="str">
        <f>TRIM(PROPER(Tabla_auditoría[[#This Row],[Responsable]]))</f>
        <v>Laura Pérez</v>
      </c>
    </row>
    <row r="1936" spans="1:19" x14ac:dyDescent="0.3">
      <c r="A1936" s="1">
        <v>45993</v>
      </c>
      <c r="B1936" s="2" t="s">
        <v>2557</v>
      </c>
      <c r="C1936" s="2" t="s">
        <v>2527</v>
      </c>
      <c r="D1936" s="2" t="s">
        <v>2522</v>
      </c>
      <c r="E1936" s="2" t="s">
        <v>2529</v>
      </c>
      <c r="F1936" s="3">
        <v>26394</v>
      </c>
      <c r="G1936" s="3">
        <v>1183</v>
      </c>
      <c r="H1936" s="3">
        <v>128</v>
      </c>
      <c r="I1936" s="4">
        <v>2090.09</v>
      </c>
      <c r="J1936" s="4">
        <v>8463.31</v>
      </c>
      <c r="K1936" s="3">
        <v>80</v>
      </c>
      <c r="L1936" s="2" t="s">
        <v>2518</v>
      </c>
      <c r="M1936" s="2" t="s">
        <v>2519</v>
      </c>
      <c r="N1936" t="str">
        <f>TRIM(PROPER(Tabla_auditoría[[#This Row],[ID_Campaña]]))</f>
        <v>Cmp-030</v>
      </c>
      <c r="O1936" t="str">
        <f>TRIM(PROPER(Tabla_auditoría[[#This Row],[Canal]]))</f>
        <v>Affiliate</v>
      </c>
      <c r="P1936" t="str">
        <f>TRIM(PROPER(Tabla_auditoría[[#This Row],[País]]))</f>
        <v>Italia</v>
      </c>
      <c r="Q1936" t="str">
        <f>TRIM(PROPER(Tabla_auditoría[[#This Row],[Dispositivo]]))</f>
        <v>Mobile</v>
      </c>
      <c r="R1936" t="str">
        <f>TRIM(PROPER(Tabla_auditoría[[#This Row],[Tipo_Campaña]]))</f>
        <v>Adquisición</v>
      </c>
      <c r="S1936" t="str">
        <f>TRIM(PROPER(Tabla_auditoría[[#This Row],[Responsable]]))</f>
        <v>Carlos Ruiz</v>
      </c>
    </row>
    <row r="1937" spans="1:19" x14ac:dyDescent="0.3">
      <c r="A1937" s="1">
        <v>45775</v>
      </c>
      <c r="B1937" s="2" t="s">
        <v>2566</v>
      </c>
      <c r="C1937" s="2" t="s">
        <v>2533</v>
      </c>
      <c r="D1937" s="2" t="s">
        <v>2522</v>
      </c>
      <c r="E1937" s="2" t="s">
        <v>2517</v>
      </c>
      <c r="F1937" s="3">
        <v>145465</v>
      </c>
      <c r="G1937" s="3">
        <v>11107</v>
      </c>
      <c r="H1937" s="3">
        <v>367</v>
      </c>
      <c r="I1937" s="4">
        <v>12015.8</v>
      </c>
      <c r="J1937" s="4">
        <v>76083.960000000006</v>
      </c>
      <c r="K1937" s="3">
        <v>218</v>
      </c>
      <c r="L1937" s="2" t="s">
        <v>2523</v>
      </c>
      <c r="M1937" s="2" t="s">
        <v>2537</v>
      </c>
      <c r="N1937" t="str">
        <f>TRIM(PROPER(Tabla_auditoría[[#This Row],[ID_Campaña]]))</f>
        <v>Cmp-001</v>
      </c>
      <c r="O1937" t="str">
        <f>TRIM(PROPER(Tabla_auditoría[[#This Row],[Canal]]))</f>
        <v>Paid Social</v>
      </c>
      <c r="P1937" t="str">
        <f>TRIM(PROPER(Tabla_auditoría[[#This Row],[País]]))</f>
        <v>Italia</v>
      </c>
      <c r="Q1937" t="str">
        <f>TRIM(PROPER(Tabla_auditoría[[#This Row],[Dispositivo]]))</f>
        <v>Desktop</v>
      </c>
      <c r="R1937" t="str">
        <f>TRIM(PROPER(Tabla_auditoría[[#This Row],[Tipo_Campaña]]))</f>
        <v>Retención</v>
      </c>
      <c r="S1937" t="str">
        <f>TRIM(PROPER(Tabla_auditoría[[#This Row],[Responsable]]))</f>
        <v>Marta López</v>
      </c>
    </row>
    <row r="1938" spans="1:19" x14ac:dyDescent="0.3">
      <c r="A1938" s="1">
        <v>45760</v>
      </c>
      <c r="B1938" s="2" t="s">
        <v>2567</v>
      </c>
      <c r="C1938" s="2" t="s">
        <v>2543</v>
      </c>
      <c r="D1938" s="2" t="s">
        <v>2528</v>
      </c>
      <c r="E1938" s="2" t="s">
        <v>2529</v>
      </c>
      <c r="F1938" s="3">
        <v>44429</v>
      </c>
      <c r="G1938" s="3">
        <v>3957</v>
      </c>
      <c r="H1938" s="3">
        <v>287</v>
      </c>
      <c r="I1938" s="4">
        <v>3227.51</v>
      </c>
      <c r="J1938" s="4">
        <v>27310.7</v>
      </c>
      <c r="K1938" s="3">
        <v>171</v>
      </c>
      <c r="L1938" s="2" t="s">
        <v>2539</v>
      </c>
      <c r="M1938" s="2" t="s">
        <v>2537</v>
      </c>
      <c r="N1938" t="str">
        <f>TRIM(PROPER(Tabla_auditoría[[#This Row],[ID_Campaña]]))</f>
        <v>Cmp-021</v>
      </c>
      <c r="O1938" t="str">
        <f>TRIM(PROPER(Tabla_auditoría[[#This Row],[Canal]]))</f>
        <v>Organic Social</v>
      </c>
      <c r="P1938" t="str">
        <f>TRIM(PROPER(Tabla_auditoría[[#This Row],[País]]))</f>
        <v>España</v>
      </c>
      <c r="Q1938" t="str">
        <f>TRIM(PROPER(Tabla_auditoría[[#This Row],[Dispositivo]]))</f>
        <v>Mobile</v>
      </c>
      <c r="R1938" t="str">
        <f>TRIM(PROPER(Tabla_auditoría[[#This Row],[Tipo_Campaña]]))</f>
        <v>Conversión</v>
      </c>
      <c r="S1938" t="str">
        <f>TRIM(PROPER(Tabla_auditoría[[#This Row],[Responsable]]))</f>
        <v>Marta López</v>
      </c>
    </row>
    <row r="1939" spans="1:19" x14ac:dyDescent="0.3">
      <c r="A1939" s="1">
        <v>45845</v>
      </c>
      <c r="B1939" s="2" t="s">
        <v>2566</v>
      </c>
      <c r="C1939" s="2" t="s">
        <v>2533</v>
      </c>
      <c r="D1939" s="2" t="s">
        <v>2528</v>
      </c>
      <c r="E1939" s="2" t="s">
        <v>2517</v>
      </c>
      <c r="F1939" s="3">
        <v>36262</v>
      </c>
      <c r="G1939" s="3">
        <v>2613</v>
      </c>
      <c r="H1939" s="3">
        <v>30</v>
      </c>
      <c r="I1939" s="4">
        <v>4109.28</v>
      </c>
      <c r="J1939" s="4">
        <v>5164.04</v>
      </c>
      <c r="K1939" s="3">
        <v>23</v>
      </c>
      <c r="L1939" s="2" t="s">
        <v>2518</v>
      </c>
      <c r="M1939" s="2" t="s">
        <v>2537</v>
      </c>
      <c r="N1939" t="str">
        <f>TRIM(PROPER(Tabla_auditoría[[#This Row],[ID_Campaña]]))</f>
        <v>Cmp-001</v>
      </c>
      <c r="O1939" t="str">
        <f>TRIM(PROPER(Tabla_auditoría[[#This Row],[Canal]]))</f>
        <v>Paid Social</v>
      </c>
      <c r="P1939" t="str">
        <f>TRIM(PROPER(Tabla_auditoría[[#This Row],[País]]))</f>
        <v>España</v>
      </c>
      <c r="Q1939" t="str">
        <f>TRIM(PROPER(Tabla_auditoría[[#This Row],[Dispositivo]]))</f>
        <v>Desktop</v>
      </c>
      <c r="R1939" t="str">
        <f>TRIM(PROPER(Tabla_auditoría[[#This Row],[Tipo_Campaña]]))</f>
        <v>Adquisición</v>
      </c>
      <c r="S1939" t="str">
        <f>TRIM(PROPER(Tabla_auditoría[[#This Row],[Responsable]]))</f>
        <v>Marta López</v>
      </c>
    </row>
    <row r="1940" spans="1:19" x14ac:dyDescent="0.3">
      <c r="A1940" s="1">
        <v>45866</v>
      </c>
      <c r="B1940" s="2" t="s">
        <v>2565</v>
      </c>
      <c r="C1940" s="2" t="s">
        <v>2527</v>
      </c>
      <c r="D1940" s="2" t="s">
        <v>2525</v>
      </c>
      <c r="E1940" s="2" t="s">
        <v>2517</v>
      </c>
      <c r="F1940" s="3">
        <v>163322</v>
      </c>
      <c r="G1940" s="3">
        <v>12431</v>
      </c>
      <c r="H1940" s="3">
        <v>782</v>
      </c>
      <c r="I1940" s="4">
        <v>8726.0400000000009</v>
      </c>
      <c r="J1940" s="4">
        <v>105315.12</v>
      </c>
      <c r="K1940" s="3">
        <v>626</v>
      </c>
      <c r="L1940" s="2" t="s">
        <v>2536</v>
      </c>
      <c r="M1940" s="2" t="s">
        <v>2524</v>
      </c>
      <c r="N1940" t="str">
        <f>TRIM(PROPER(Tabla_auditoría[[#This Row],[ID_Campaña]]))</f>
        <v>Cmp-005</v>
      </c>
      <c r="O1940" t="str">
        <f>TRIM(PROPER(Tabla_auditoría[[#This Row],[Canal]]))</f>
        <v>Affiliate</v>
      </c>
      <c r="P1940" t="str">
        <f>TRIM(PROPER(Tabla_auditoría[[#This Row],[País]]))</f>
        <v>Francia</v>
      </c>
      <c r="Q1940" t="str">
        <f>TRIM(PROPER(Tabla_auditoría[[#This Row],[Dispositivo]]))</f>
        <v>Desktop</v>
      </c>
      <c r="R1940" t="str">
        <f>TRIM(PROPER(Tabla_auditoría[[#This Row],[Tipo_Campaña]]))</f>
        <v>Reconocimiento</v>
      </c>
      <c r="S1940" t="str">
        <f>TRIM(PROPER(Tabla_auditoría[[#This Row],[Responsable]]))</f>
        <v>Luis Martín</v>
      </c>
    </row>
    <row r="1941" spans="1:19" x14ac:dyDescent="0.3">
      <c r="A1941" s="1">
        <v>45707</v>
      </c>
      <c r="B1941" s="2" t="s">
        <v>2567</v>
      </c>
      <c r="C1941" s="2" t="s">
        <v>2521</v>
      </c>
      <c r="D1941" s="2" t="s">
        <v>2516</v>
      </c>
      <c r="E1941" s="2" t="s">
        <v>2529</v>
      </c>
      <c r="F1941" s="3">
        <v>31924</v>
      </c>
      <c r="G1941" s="3">
        <v>1669</v>
      </c>
      <c r="H1941" s="3">
        <v>201</v>
      </c>
      <c r="I1941" s="4">
        <v>1260.77</v>
      </c>
      <c r="J1941" s="4">
        <v>43815.67</v>
      </c>
      <c r="K1941" s="3">
        <v>171</v>
      </c>
      <c r="L1941" s="2" t="s">
        <v>2518</v>
      </c>
      <c r="M1941" s="2" t="s">
        <v>2519</v>
      </c>
      <c r="N1941" t="str">
        <f>TRIM(PROPER(Tabla_auditoría[[#This Row],[ID_Campaña]]))</f>
        <v>Cmp-021</v>
      </c>
      <c r="O1941" t="str">
        <f>TRIM(PROPER(Tabla_auditoría[[#This Row],[Canal]]))</f>
        <v>Paid Search</v>
      </c>
      <c r="P1941" t="str">
        <f>TRIM(PROPER(Tabla_auditoría[[#This Row],[País]]))</f>
        <v>México</v>
      </c>
      <c r="Q1941" t="str">
        <f>TRIM(PROPER(Tabla_auditoría[[#This Row],[Dispositivo]]))</f>
        <v>Mobile</v>
      </c>
      <c r="R1941" t="str">
        <f>TRIM(PROPER(Tabla_auditoría[[#This Row],[Tipo_Campaña]]))</f>
        <v>Adquisición</v>
      </c>
      <c r="S1941" t="str">
        <f>TRIM(PROPER(Tabla_auditoría[[#This Row],[Responsable]]))</f>
        <v>Carlos Ruiz</v>
      </c>
    </row>
    <row r="1942" spans="1:19" x14ac:dyDescent="0.3">
      <c r="A1942" s="1">
        <v>45979</v>
      </c>
      <c r="B1942" s="2" t="s">
        <v>2552</v>
      </c>
      <c r="C1942" s="2" t="s">
        <v>2541</v>
      </c>
      <c r="D1942" s="2" t="s">
        <v>2528</v>
      </c>
      <c r="E1942" s="2" t="s">
        <v>2517</v>
      </c>
      <c r="F1942" s="3">
        <v>26901</v>
      </c>
      <c r="G1942" s="3">
        <v>496</v>
      </c>
      <c r="H1942" s="3">
        <v>62</v>
      </c>
      <c r="I1942" s="4">
        <v>595.51</v>
      </c>
      <c r="J1942" s="4">
        <v>6864.83</v>
      </c>
      <c r="K1942" s="3">
        <v>40</v>
      </c>
      <c r="L1942" s="2" t="s">
        <v>2536</v>
      </c>
      <c r="M1942" s="2" t="s">
        <v>2537</v>
      </c>
      <c r="N1942" t="str">
        <f>TRIM(PROPER(Tabla_auditoría[[#This Row],[ID_Campaña]]))</f>
        <v>Cmp-012</v>
      </c>
      <c r="O1942" t="str">
        <f>TRIM(PROPER(Tabla_auditoría[[#This Row],[Canal]]))</f>
        <v>Display</v>
      </c>
      <c r="P1942" t="str">
        <f>TRIM(PROPER(Tabla_auditoría[[#This Row],[País]]))</f>
        <v>España</v>
      </c>
      <c r="Q1942" t="str">
        <f>TRIM(PROPER(Tabla_auditoría[[#This Row],[Dispositivo]]))</f>
        <v>Desktop</v>
      </c>
      <c r="R1942" t="str">
        <f>TRIM(PROPER(Tabla_auditoría[[#This Row],[Tipo_Campaña]]))</f>
        <v>Reconocimiento</v>
      </c>
      <c r="S1942" t="str">
        <f>TRIM(PROPER(Tabla_auditoría[[#This Row],[Responsable]]))</f>
        <v>Marta López</v>
      </c>
    </row>
    <row r="1943" spans="1:19" x14ac:dyDescent="0.3">
      <c r="A1943" s="1">
        <v>45808</v>
      </c>
      <c r="B1943" s="2" t="s">
        <v>2571</v>
      </c>
      <c r="C1943" s="2" t="s">
        <v>2541</v>
      </c>
      <c r="D1943" s="2" t="s">
        <v>2522</v>
      </c>
      <c r="E1943" s="2" t="s">
        <v>2534</v>
      </c>
      <c r="F1943" s="3">
        <v>37641</v>
      </c>
      <c r="G1943" s="3">
        <v>2283</v>
      </c>
      <c r="H1943" s="3">
        <v>52</v>
      </c>
      <c r="I1943" s="4">
        <v>4719.12</v>
      </c>
      <c r="J1943" s="4">
        <v>5765.99</v>
      </c>
      <c r="K1943" s="3">
        <v>27</v>
      </c>
      <c r="L1943" s="2" t="s">
        <v>2536</v>
      </c>
      <c r="M1943" s="2" t="s">
        <v>2537</v>
      </c>
      <c r="N1943" t="str">
        <f>TRIM(PROPER(Tabla_auditoría[[#This Row],[ID_Campaña]]))</f>
        <v>Cmp-029</v>
      </c>
      <c r="O1943" t="str">
        <f>TRIM(PROPER(Tabla_auditoría[[#This Row],[Canal]]))</f>
        <v>Display</v>
      </c>
      <c r="P1943" t="str">
        <f>TRIM(PROPER(Tabla_auditoría[[#This Row],[País]]))</f>
        <v>Italia</v>
      </c>
      <c r="Q1943" t="str">
        <f>TRIM(PROPER(Tabla_auditoría[[#This Row],[Dispositivo]]))</f>
        <v>Tablet</v>
      </c>
      <c r="R1943" t="str">
        <f>TRIM(PROPER(Tabla_auditoría[[#This Row],[Tipo_Campaña]]))</f>
        <v>Reconocimiento</v>
      </c>
      <c r="S1943" t="str">
        <f>TRIM(PROPER(Tabla_auditoría[[#This Row],[Responsable]]))</f>
        <v>Marta López</v>
      </c>
    </row>
    <row r="1944" spans="1:19" x14ac:dyDescent="0.3">
      <c r="A1944" s="1">
        <v>45858</v>
      </c>
      <c r="B1944" s="2" t="s">
        <v>2544</v>
      </c>
      <c r="C1944" s="2" t="s">
        <v>2541</v>
      </c>
      <c r="D1944" s="2" t="s">
        <v>2516</v>
      </c>
      <c r="E1944" s="2" t="s">
        <v>2529</v>
      </c>
      <c r="F1944" s="3">
        <v>81211</v>
      </c>
      <c r="G1944" s="3">
        <v>844</v>
      </c>
      <c r="H1944" s="3">
        <v>6</v>
      </c>
      <c r="I1944" s="4">
        <v>1365.3</v>
      </c>
      <c r="J1944" s="4">
        <v>1259.8699999999999</v>
      </c>
      <c r="K1944" s="3">
        <v>3</v>
      </c>
      <c r="L1944" s="2" t="s">
        <v>2523</v>
      </c>
      <c r="M1944" s="2" t="s">
        <v>2524</v>
      </c>
      <c r="N1944" t="str">
        <f>TRIM(PROPER(Tabla_auditoría[[#This Row],[ID_Campaña]]))</f>
        <v>Cmp-006</v>
      </c>
      <c r="O1944" t="str">
        <f>TRIM(PROPER(Tabla_auditoría[[#This Row],[Canal]]))</f>
        <v>Display</v>
      </c>
      <c r="P1944" t="str">
        <f>TRIM(PROPER(Tabla_auditoría[[#This Row],[País]]))</f>
        <v>México</v>
      </c>
      <c r="Q1944" t="str">
        <f>TRIM(PROPER(Tabla_auditoría[[#This Row],[Dispositivo]]))</f>
        <v>Mobile</v>
      </c>
      <c r="R1944" t="str">
        <f>TRIM(PROPER(Tabla_auditoría[[#This Row],[Tipo_Campaña]]))</f>
        <v>Retención</v>
      </c>
      <c r="S1944" t="str">
        <f>TRIM(PROPER(Tabla_auditoría[[#This Row],[Responsable]]))</f>
        <v>Luis Martín</v>
      </c>
    </row>
    <row r="1945" spans="1:19" x14ac:dyDescent="0.3">
      <c r="A1945" s="1">
        <v>45802</v>
      </c>
      <c r="B1945" s="2" t="s">
        <v>2566</v>
      </c>
      <c r="C1945" s="2" t="s">
        <v>2515</v>
      </c>
      <c r="D1945" s="2" t="s">
        <v>2528</v>
      </c>
      <c r="E1945" s="2" t="s">
        <v>2529</v>
      </c>
      <c r="F1945" s="3">
        <v>30393</v>
      </c>
      <c r="G1945" s="3">
        <v>863</v>
      </c>
      <c r="H1945" s="3">
        <v>78</v>
      </c>
      <c r="I1945" s="4">
        <v>483.09</v>
      </c>
      <c r="J1945" s="4">
        <v>6549.03</v>
      </c>
      <c r="K1945" s="3">
        <v>48</v>
      </c>
      <c r="L1945" s="2" t="s">
        <v>2518</v>
      </c>
      <c r="M1945" s="2" t="s">
        <v>2526</v>
      </c>
      <c r="N1945" t="str">
        <f>TRIM(PROPER(Tabla_auditoría[[#This Row],[ID_Campaña]]))</f>
        <v>Cmp-001</v>
      </c>
      <c r="O1945" t="str">
        <f>TRIM(PROPER(Tabla_auditoría[[#This Row],[Canal]]))</f>
        <v>Email</v>
      </c>
      <c r="P1945" t="str">
        <f>TRIM(PROPER(Tabla_auditoría[[#This Row],[País]]))</f>
        <v>España</v>
      </c>
      <c r="Q1945" t="str">
        <f>TRIM(PROPER(Tabla_auditoría[[#This Row],[Dispositivo]]))</f>
        <v>Mobile</v>
      </c>
      <c r="R1945" t="str">
        <f>TRIM(PROPER(Tabla_auditoría[[#This Row],[Tipo_Campaña]]))</f>
        <v>Adquisición</v>
      </c>
      <c r="S1945" t="str">
        <f>TRIM(PROPER(Tabla_auditoría[[#This Row],[Responsable]]))</f>
        <v>Laura Pérez</v>
      </c>
    </row>
    <row r="1946" spans="1:19" x14ac:dyDescent="0.3">
      <c r="A1946" s="1">
        <v>45905</v>
      </c>
      <c r="B1946" s="2" t="s">
        <v>2555</v>
      </c>
      <c r="C1946" s="2" t="s">
        <v>2541</v>
      </c>
      <c r="D1946" s="2" t="s">
        <v>2528</v>
      </c>
      <c r="E1946" s="2" t="s">
        <v>2517</v>
      </c>
      <c r="F1946" s="3">
        <v>158320</v>
      </c>
      <c r="G1946" s="3">
        <v>10990</v>
      </c>
      <c r="H1946" s="3">
        <v>1044</v>
      </c>
      <c r="I1946" s="4">
        <v>22877.119999999999</v>
      </c>
      <c r="J1946" s="4">
        <v>105252.64</v>
      </c>
      <c r="K1946" s="3">
        <v>861</v>
      </c>
      <c r="L1946" s="2" t="s">
        <v>2518</v>
      </c>
      <c r="M1946" s="2" t="s">
        <v>2519</v>
      </c>
      <c r="N1946" t="str">
        <f>TRIM(PROPER(Tabla_auditoría[[#This Row],[ID_Campaña]]))</f>
        <v>Cmp-010</v>
      </c>
      <c r="O1946" t="str">
        <f>TRIM(PROPER(Tabla_auditoría[[#This Row],[Canal]]))</f>
        <v>Display</v>
      </c>
      <c r="P1946" t="str">
        <f>TRIM(PROPER(Tabla_auditoría[[#This Row],[País]]))</f>
        <v>España</v>
      </c>
      <c r="Q1946" t="str">
        <f>TRIM(PROPER(Tabla_auditoría[[#This Row],[Dispositivo]]))</f>
        <v>Desktop</v>
      </c>
      <c r="R1946" t="str">
        <f>TRIM(PROPER(Tabla_auditoría[[#This Row],[Tipo_Campaña]]))</f>
        <v>Adquisición</v>
      </c>
      <c r="S1946" t="str">
        <f>TRIM(PROPER(Tabla_auditoría[[#This Row],[Responsable]]))</f>
        <v>Carlos Ruiz</v>
      </c>
    </row>
    <row r="1947" spans="1:19" x14ac:dyDescent="0.3">
      <c r="A1947" s="1">
        <v>45997</v>
      </c>
      <c r="B1947" s="2" t="s">
        <v>2532</v>
      </c>
      <c r="C1947" s="2" t="s">
        <v>2533</v>
      </c>
      <c r="D1947" s="2" t="s">
        <v>2525</v>
      </c>
      <c r="E1947" s="2" t="s">
        <v>2529</v>
      </c>
      <c r="F1947" s="3">
        <v>105167</v>
      </c>
      <c r="G1947" s="3">
        <v>8585</v>
      </c>
      <c r="H1947" s="3">
        <v>1019</v>
      </c>
      <c r="I1947" s="4">
        <v>5080.42</v>
      </c>
      <c r="J1947" s="4">
        <v>214698.07</v>
      </c>
      <c r="K1947" s="3">
        <v>908</v>
      </c>
      <c r="L1947" s="2" t="s">
        <v>2523</v>
      </c>
      <c r="M1947" s="2" t="s">
        <v>2519</v>
      </c>
      <c r="N1947" t="str">
        <f>TRIM(PROPER(Tabla_auditoría[[#This Row],[ID_Campaña]]))</f>
        <v>Cmp-022</v>
      </c>
      <c r="O1947" t="str">
        <f>TRIM(PROPER(Tabla_auditoría[[#This Row],[Canal]]))</f>
        <v>Paid Social</v>
      </c>
      <c r="P1947" t="str">
        <f>TRIM(PROPER(Tabla_auditoría[[#This Row],[País]]))</f>
        <v>Francia</v>
      </c>
      <c r="Q1947" t="str">
        <f>TRIM(PROPER(Tabla_auditoría[[#This Row],[Dispositivo]]))</f>
        <v>Mobile</v>
      </c>
      <c r="R1947" t="str">
        <f>TRIM(PROPER(Tabla_auditoría[[#This Row],[Tipo_Campaña]]))</f>
        <v>Retención</v>
      </c>
      <c r="S1947" t="str">
        <f>TRIM(PROPER(Tabla_auditoría[[#This Row],[Responsable]]))</f>
        <v>Carlos Ruiz</v>
      </c>
    </row>
    <row r="1948" spans="1:19" x14ac:dyDescent="0.3">
      <c r="A1948" s="1">
        <v>45865</v>
      </c>
      <c r="B1948" s="2" t="s">
        <v>2547</v>
      </c>
      <c r="C1948" s="2" t="s">
        <v>2543</v>
      </c>
      <c r="D1948" s="2" t="s">
        <v>2528</v>
      </c>
      <c r="E1948" s="2" t="s">
        <v>2517</v>
      </c>
      <c r="F1948" s="3">
        <v>22681</v>
      </c>
      <c r="G1948" s="3">
        <v>684</v>
      </c>
      <c r="H1948" s="3">
        <v>65</v>
      </c>
      <c r="I1948" s="4">
        <v>516.62</v>
      </c>
      <c r="J1948" s="4">
        <v>10600.82</v>
      </c>
      <c r="K1948" s="3">
        <v>35</v>
      </c>
      <c r="L1948" s="2" t="s">
        <v>2523</v>
      </c>
      <c r="M1948" s="2" t="s">
        <v>2526</v>
      </c>
      <c r="N1948" t="str">
        <f>TRIM(PROPER(Tabla_auditoría[[#This Row],[ID_Campaña]]))</f>
        <v>Cmp-018</v>
      </c>
      <c r="O1948" t="str">
        <f>TRIM(PROPER(Tabla_auditoría[[#This Row],[Canal]]))</f>
        <v>Organic Social</v>
      </c>
      <c r="P1948" t="str">
        <f>TRIM(PROPER(Tabla_auditoría[[#This Row],[País]]))</f>
        <v>España</v>
      </c>
      <c r="Q1948" t="str">
        <f>TRIM(PROPER(Tabla_auditoría[[#This Row],[Dispositivo]]))</f>
        <v>Desktop</v>
      </c>
      <c r="R1948" t="str">
        <f>TRIM(PROPER(Tabla_auditoría[[#This Row],[Tipo_Campaña]]))</f>
        <v>Retención</v>
      </c>
      <c r="S1948" t="str">
        <f>TRIM(PROPER(Tabla_auditoría[[#This Row],[Responsable]]))</f>
        <v>Laura Pérez</v>
      </c>
    </row>
    <row r="1949" spans="1:19" x14ac:dyDescent="0.3">
      <c r="A1949" s="1">
        <v>45922</v>
      </c>
      <c r="B1949" s="2" t="s">
        <v>2563</v>
      </c>
      <c r="C1949" s="2" t="s">
        <v>2533</v>
      </c>
      <c r="D1949" s="2" t="s">
        <v>2525</v>
      </c>
      <c r="E1949" s="2" t="s">
        <v>2517</v>
      </c>
      <c r="F1949" s="3">
        <v>1975</v>
      </c>
      <c r="G1949" s="3">
        <v>143</v>
      </c>
      <c r="H1949" s="3">
        <v>0</v>
      </c>
      <c r="I1949" s="4">
        <v>48.79</v>
      </c>
      <c r="J1949" s="4">
        <v>0</v>
      </c>
      <c r="K1949" s="3">
        <v>0</v>
      </c>
      <c r="L1949" s="2" t="s">
        <v>2536</v>
      </c>
      <c r="M1949" s="2" t="s">
        <v>2526</v>
      </c>
      <c r="N1949" t="str">
        <f>TRIM(PROPER(Tabla_auditoría[[#This Row],[ID_Campaña]]))</f>
        <v>Cmp-023</v>
      </c>
      <c r="O1949" t="str">
        <f>TRIM(PROPER(Tabla_auditoría[[#This Row],[Canal]]))</f>
        <v>Paid Social</v>
      </c>
      <c r="P1949" t="str">
        <f>TRIM(PROPER(Tabla_auditoría[[#This Row],[País]]))</f>
        <v>Francia</v>
      </c>
      <c r="Q1949" t="str">
        <f>TRIM(PROPER(Tabla_auditoría[[#This Row],[Dispositivo]]))</f>
        <v>Desktop</v>
      </c>
      <c r="R1949" t="str">
        <f>TRIM(PROPER(Tabla_auditoría[[#This Row],[Tipo_Campaña]]))</f>
        <v>Reconocimiento</v>
      </c>
      <c r="S1949" t="str">
        <f>TRIM(PROPER(Tabla_auditoría[[#This Row],[Responsable]]))</f>
        <v>Laura Pérez</v>
      </c>
    </row>
    <row r="1950" spans="1:19" x14ac:dyDescent="0.3">
      <c r="A1950" s="1">
        <v>45664</v>
      </c>
      <c r="B1950" s="2" t="s">
        <v>2530</v>
      </c>
      <c r="C1950" s="2" t="s">
        <v>2541</v>
      </c>
      <c r="D1950" s="2" t="s">
        <v>2525</v>
      </c>
      <c r="E1950" s="2" t="s">
        <v>2517</v>
      </c>
      <c r="F1950" s="3">
        <v>61093</v>
      </c>
      <c r="G1950" s="3">
        <v>2027</v>
      </c>
      <c r="H1950" s="3">
        <v>279</v>
      </c>
      <c r="I1950" s="4">
        <v>760.04</v>
      </c>
      <c r="J1950" s="4">
        <v>56800.39</v>
      </c>
      <c r="K1950" s="3">
        <v>244</v>
      </c>
      <c r="L1950" s="2" t="s">
        <v>2523</v>
      </c>
      <c r="M1950" s="2" t="s">
        <v>2519</v>
      </c>
      <c r="N1950" t="str">
        <f>TRIM(PROPER(Tabla_auditoría[[#This Row],[ID_Campaña]]))</f>
        <v>Cmp-026</v>
      </c>
      <c r="O1950" t="str">
        <f>TRIM(PROPER(Tabla_auditoría[[#This Row],[Canal]]))</f>
        <v>Display</v>
      </c>
      <c r="P1950" t="str">
        <f>TRIM(PROPER(Tabla_auditoría[[#This Row],[País]]))</f>
        <v>Francia</v>
      </c>
      <c r="Q1950" t="str">
        <f>TRIM(PROPER(Tabla_auditoría[[#This Row],[Dispositivo]]))</f>
        <v>Desktop</v>
      </c>
      <c r="R1950" t="str">
        <f>TRIM(PROPER(Tabla_auditoría[[#This Row],[Tipo_Campaña]]))</f>
        <v>Retención</v>
      </c>
      <c r="S1950" t="str">
        <f>TRIM(PROPER(Tabla_auditoría[[#This Row],[Responsable]]))</f>
        <v>Carlos Ruiz</v>
      </c>
    </row>
    <row r="1951" spans="1:19" x14ac:dyDescent="0.3">
      <c r="A1951" s="1">
        <v>45764</v>
      </c>
      <c r="B1951" s="2" t="s">
        <v>2554</v>
      </c>
      <c r="C1951" s="2" t="s">
        <v>2575</v>
      </c>
      <c r="D1951" s="2" t="s">
        <v>2528</v>
      </c>
      <c r="E1951" s="2" t="s">
        <v>2529</v>
      </c>
      <c r="F1951" s="3">
        <v>153656</v>
      </c>
      <c r="G1951" s="3">
        <v>7598</v>
      </c>
      <c r="H1951" s="3">
        <v>123</v>
      </c>
      <c r="I1951" s="4">
        <v>6764.56</v>
      </c>
      <c r="J1951" s="4">
        <v>12714.87</v>
      </c>
      <c r="K1951" s="3">
        <v>94</v>
      </c>
      <c r="L1951" s="2" t="s">
        <v>2518</v>
      </c>
      <c r="M1951" s="2" t="s">
        <v>2524</v>
      </c>
      <c r="N1951" t="str">
        <f>TRIM(PROPER(Tabla_auditoría[[#This Row],[ID_Campaña]]))</f>
        <v>Cmp-019</v>
      </c>
      <c r="O1951" t="str">
        <f>TRIM(PROPER(Tabla_auditoría[[#This Row],[Canal]]))</f>
        <v>Paid Search</v>
      </c>
      <c r="P1951" t="str">
        <f>TRIM(PROPER(Tabla_auditoría[[#This Row],[País]]))</f>
        <v>España</v>
      </c>
      <c r="Q1951" t="str">
        <f>TRIM(PROPER(Tabla_auditoría[[#This Row],[Dispositivo]]))</f>
        <v>Mobile</v>
      </c>
      <c r="R1951" t="str">
        <f>TRIM(PROPER(Tabla_auditoría[[#This Row],[Tipo_Campaña]]))</f>
        <v>Adquisición</v>
      </c>
      <c r="S1951" t="str">
        <f>TRIM(PROPER(Tabla_auditoría[[#This Row],[Responsable]]))</f>
        <v>Luis Martín</v>
      </c>
    </row>
    <row r="1952" spans="1:19" x14ac:dyDescent="0.3">
      <c r="A1952" s="1">
        <v>45798</v>
      </c>
      <c r="B1952" s="2" t="s">
        <v>2564</v>
      </c>
      <c r="C1952" s="2" t="s">
        <v>2541</v>
      </c>
      <c r="D1952" s="2" t="s">
        <v>2528</v>
      </c>
      <c r="E1952" s="2" t="s">
        <v>2517</v>
      </c>
      <c r="F1952" s="3">
        <v>9384</v>
      </c>
      <c r="G1952" s="3">
        <v>226</v>
      </c>
      <c r="H1952" s="3">
        <v>6</v>
      </c>
      <c r="I1952" s="4">
        <v>381.14</v>
      </c>
      <c r="J1952" s="4">
        <v>939.39</v>
      </c>
      <c r="K1952" s="3">
        <v>2</v>
      </c>
      <c r="L1952" s="2" t="s">
        <v>2536</v>
      </c>
      <c r="M1952" s="2" t="s">
        <v>2537</v>
      </c>
      <c r="N1952" t="str">
        <f>TRIM(PROPER(Tabla_auditoría[[#This Row],[ID_Campaña]]))</f>
        <v>Cmp-024</v>
      </c>
      <c r="O1952" t="str">
        <f>TRIM(PROPER(Tabla_auditoría[[#This Row],[Canal]]))</f>
        <v>Display</v>
      </c>
      <c r="P1952" t="str">
        <f>TRIM(PROPER(Tabla_auditoría[[#This Row],[País]]))</f>
        <v>España</v>
      </c>
      <c r="Q1952" t="str">
        <f>TRIM(PROPER(Tabla_auditoría[[#This Row],[Dispositivo]]))</f>
        <v>Desktop</v>
      </c>
      <c r="R1952" t="str">
        <f>TRIM(PROPER(Tabla_auditoría[[#This Row],[Tipo_Campaña]]))</f>
        <v>Reconocimiento</v>
      </c>
      <c r="S1952" t="str">
        <f>TRIM(PROPER(Tabla_auditoría[[#This Row],[Responsable]]))</f>
        <v>Marta López</v>
      </c>
    </row>
    <row r="1953" spans="1:19" x14ac:dyDescent="0.3">
      <c r="A1953" s="1">
        <v>45674</v>
      </c>
      <c r="B1953" s="2" t="s">
        <v>2542</v>
      </c>
      <c r="C1953" s="2" t="s">
        <v>2515</v>
      </c>
      <c r="D1953" s="2" t="s">
        <v>2516</v>
      </c>
      <c r="E1953" s="2" t="s">
        <v>2517</v>
      </c>
      <c r="F1953" s="3">
        <v>51292</v>
      </c>
      <c r="G1953" s="3">
        <v>1018</v>
      </c>
      <c r="H1953" s="3">
        <v>76</v>
      </c>
      <c r="I1953" s="4">
        <v>1168.0899999999999</v>
      </c>
      <c r="J1953" s="4">
        <v>1941.86</v>
      </c>
      <c r="K1953" s="3">
        <v>59</v>
      </c>
      <c r="L1953" s="2" t="s">
        <v>2536</v>
      </c>
      <c r="M1953" s="2" t="s">
        <v>2524</v>
      </c>
      <c r="N1953" t="str">
        <f>TRIM(PROPER(Tabla_auditoría[[#This Row],[ID_Campaña]]))</f>
        <v>Cmp-025</v>
      </c>
      <c r="O1953" t="str">
        <f>TRIM(PROPER(Tabla_auditoría[[#This Row],[Canal]]))</f>
        <v>Email</v>
      </c>
      <c r="P1953" t="str">
        <f>TRIM(PROPER(Tabla_auditoría[[#This Row],[País]]))</f>
        <v>México</v>
      </c>
      <c r="Q1953" t="str">
        <f>TRIM(PROPER(Tabla_auditoría[[#This Row],[Dispositivo]]))</f>
        <v>Desktop</v>
      </c>
      <c r="R1953" t="str">
        <f>TRIM(PROPER(Tabla_auditoría[[#This Row],[Tipo_Campaña]]))</f>
        <v>Reconocimiento</v>
      </c>
      <c r="S1953" t="str">
        <f>TRIM(PROPER(Tabla_auditoría[[#This Row],[Responsable]]))</f>
        <v>Luis Martín</v>
      </c>
    </row>
    <row r="1954" spans="1:19" x14ac:dyDescent="0.3">
      <c r="A1954" s="1">
        <v>45829</v>
      </c>
      <c r="B1954" s="2" t="s">
        <v>2556</v>
      </c>
      <c r="C1954" s="2" t="s">
        <v>2533</v>
      </c>
      <c r="D1954" s="2" t="s">
        <v>2525</v>
      </c>
      <c r="E1954" s="2" t="s">
        <v>2529</v>
      </c>
      <c r="F1954" s="3">
        <v>61936</v>
      </c>
      <c r="G1954" s="3">
        <v>1364</v>
      </c>
      <c r="H1954" s="3">
        <v>89</v>
      </c>
      <c r="I1954" s="4">
        <v>1487.51</v>
      </c>
      <c r="J1954" s="4">
        <v>1902.28</v>
      </c>
      <c r="K1954" s="3">
        <v>43</v>
      </c>
      <c r="L1954" s="2" t="s">
        <v>2536</v>
      </c>
      <c r="M1954" s="2" t="s">
        <v>2526</v>
      </c>
      <c r="N1954" t="str">
        <f>TRIM(PROPER(Tabla_auditoría[[#This Row],[ID_Campaña]]))</f>
        <v>Cmp-014</v>
      </c>
      <c r="O1954" t="str">
        <f>TRIM(PROPER(Tabla_auditoría[[#This Row],[Canal]]))</f>
        <v>Paid Social</v>
      </c>
      <c r="P1954" t="str">
        <f>TRIM(PROPER(Tabla_auditoría[[#This Row],[País]]))</f>
        <v>Francia</v>
      </c>
      <c r="Q1954" t="str">
        <f>TRIM(PROPER(Tabla_auditoría[[#This Row],[Dispositivo]]))</f>
        <v>Mobile</v>
      </c>
      <c r="R1954" t="str">
        <f>TRIM(PROPER(Tabla_auditoría[[#This Row],[Tipo_Campaña]]))</f>
        <v>Reconocimiento</v>
      </c>
      <c r="S1954" t="str">
        <f>TRIM(PROPER(Tabla_auditoría[[#This Row],[Responsable]]))</f>
        <v>Laura Pérez</v>
      </c>
    </row>
    <row r="1955" spans="1:19" x14ac:dyDescent="0.3">
      <c r="A1955" s="1">
        <v>45718</v>
      </c>
      <c r="B1955" s="2" t="s">
        <v>2520</v>
      </c>
      <c r="C1955" s="2" t="s">
        <v>2527</v>
      </c>
      <c r="D1955" s="2" t="s">
        <v>2528</v>
      </c>
      <c r="E1955" s="2" t="s">
        <v>2534</v>
      </c>
      <c r="F1955" s="3">
        <v>76423</v>
      </c>
      <c r="G1955" s="3">
        <v>5557</v>
      </c>
      <c r="H1955" s="3">
        <v>424</v>
      </c>
      <c r="J1955" s="4">
        <v>25679.91</v>
      </c>
      <c r="K1955" s="3">
        <v>332</v>
      </c>
      <c r="L1955" s="2" t="s">
        <v>2539</v>
      </c>
      <c r="M1955" s="2" t="s">
        <v>2546</v>
      </c>
      <c r="N1955" t="str">
        <f>TRIM(PROPER(Tabla_auditoría[[#This Row],[ID_Campaña]]))</f>
        <v>Cmp-009</v>
      </c>
      <c r="O1955" t="str">
        <f>TRIM(PROPER(Tabla_auditoría[[#This Row],[Canal]]))</f>
        <v>Affiliate</v>
      </c>
      <c r="P1955" t="str">
        <f>TRIM(PROPER(Tabla_auditoría[[#This Row],[País]]))</f>
        <v>España</v>
      </c>
      <c r="Q1955" t="str">
        <f>TRIM(PROPER(Tabla_auditoría[[#This Row],[Dispositivo]]))</f>
        <v>Tablet</v>
      </c>
      <c r="R1955" t="str">
        <f>TRIM(PROPER(Tabla_auditoría[[#This Row],[Tipo_Campaña]]))</f>
        <v>Conversión</v>
      </c>
      <c r="S1955" t="str">
        <f>TRIM(PROPER(Tabla_auditoría[[#This Row],[Responsable]]))</f>
        <v>Ana García</v>
      </c>
    </row>
    <row r="1956" spans="1:19" x14ac:dyDescent="0.3">
      <c r="A1956" s="1">
        <v>45755</v>
      </c>
      <c r="B1956" s="2" t="s">
        <v>2542</v>
      </c>
      <c r="C1956" s="2" t="s">
        <v>2562</v>
      </c>
      <c r="D1956" s="2" t="s">
        <v>2531</v>
      </c>
      <c r="E1956" s="2" t="s">
        <v>2517</v>
      </c>
      <c r="F1956" s="3">
        <v>67537</v>
      </c>
      <c r="G1956" s="3">
        <v>2094</v>
      </c>
      <c r="H1956" s="3">
        <v>16</v>
      </c>
      <c r="I1956" s="4">
        <v>3308.28</v>
      </c>
      <c r="J1956" s="4">
        <v>2798.67</v>
      </c>
      <c r="K1956" s="3">
        <v>7</v>
      </c>
      <c r="L1956" s="2" t="s">
        <v>2539</v>
      </c>
      <c r="M1956" s="2" t="s">
        <v>2526</v>
      </c>
      <c r="N1956" t="str">
        <f>TRIM(PROPER(Tabla_auditoría[[#This Row],[ID_Campaña]]))</f>
        <v>Cmp-025</v>
      </c>
      <c r="O1956" t="str">
        <f>TRIM(PROPER(Tabla_auditoría[[#This Row],[Canal]]))</f>
        <v>Organic Social</v>
      </c>
      <c r="P1956" t="str">
        <f>TRIM(PROPER(Tabla_auditoría[[#This Row],[País]]))</f>
        <v>Portugal</v>
      </c>
      <c r="Q1956" t="str">
        <f>TRIM(PROPER(Tabla_auditoría[[#This Row],[Dispositivo]]))</f>
        <v>Desktop</v>
      </c>
      <c r="R1956" t="str">
        <f>TRIM(PROPER(Tabla_auditoría[[#This Row],[Tipo_Campaña]]))</f>
        <v>Conversión</v>
      </c>
      <c r="S1956" t="str">
        <f>TRIM(PROPER(Tabla_auditoría[[#This Row],[Responsable]]))</f>
        <v>Laura Pérez</v>
      </c>
    </row>
    <row r="1957" spans="1:19" x14ac:dyDescent="0.3">
      <c r="A1957" s="1">
        <v>45908</v>
      </c>
      <c r="B1957" s="2" t="s">
        <v>2563</v>
      </c>
      <c r="C1957" s="2" t="s">
        <v>2575</v>
      </c>
      <c r="D1957" s="2" t="s">
        <v>2531</v>
      </c>
      <c r="E1957" s="2" t="s">
        <v>2517</v>
      </c>
      <c r="F1957" s="3">
        <v>133554</v>
      </c>
      <c r="G1957" s="3">
        <v>4595</v>
      </c>
      <c r="H1957" s="3">
        <v>271</v>
      </c>
      <c r="I1957" s="4">
        <v>7493.83</v>
      </c>
      <c r="J1957" s="4">
        <v>15937.73</v>
      </c>
      <c r="K1957" s="3">
        <v>172</v>
      </c>
      <c r="L1957" s="2" t="s">
        <v>2523</v>
      </c>
      <c r="M1957" s="2" t="s">
        <v>2537</v>
      </c>
      <c r="N1957" t="str">
        <f>TRIM(PROPER(Tabla_auditoría[[#This Row],[ID_Campaña]]))</f>
        <v>Cmp-023</v>
      </c>
      <c r="O1957" t="str">
        <f>TRIM(PROPER(Tabla_auditoría[[#This Row],[Canal]]))</f>
        <v>Paid Search</v>
      </c>
      <c r="P1957" t="str">
        <f>TRIM(PROPER(Tabla_auditoría[[#This Row],[País]]))</f>
        <v>Portugal</v>
      </c>
      <c r="Q1957" t="str">
        <f>TRIM(PROPER(Tabla_auditoría[[#This Row],[Dispositivo]]))</f>
        <v>Desktop</v>
      </c>
      <c r="R1957" t="str">
        <f>TRIM(PROPER(Tabla_auditoría[[#This Row],[Tipo_Campaña]]))</f>
        <v>Retención</v>
      </c>
      <c r="S1957" t="str">
        <f>TRIM(PROPER(Tabla_auditoría[[#This Row],[Responsable]]))</f>
        <v>Marta López</v>
      </c>
    </row>
    <row r="1958" spans="1:19" x14ac:dyDescent="0.3">
      <c r="A1958" s="1">
        <v>45950</v>
      </c>
      <c r="B1958" s="2" t="s">
        <v>2563</v>
      </c>
      <c r="C1958" s="2" t="s">
        <v>2543</v>
      </c>
      <c r="D1958" s="2" t="s">
        <v>2525</v>
      </c>
      <c r="E1958" s="2" t="s">
        <v>2517</v>
      </c>
      <c r="F1958" s="3">
        <v>13528</v>
      </c>
      <c r="G1958" s="3">
        <v>289</v>
      </c>
      <c r="H1958" s="3">
        <v>37</v>
      </c>
      <c r="I1958" s="4">
        <v>73.08</v>
      </c>
      <c r="J1958" s="4">
        <v>6376.19</v>
      </c>
      <c r="K1958" s="3">
        <v>31</v>
      </c>
      <c r="L1958" s="2" t="s">
        <v>2539</v>
      </c>
      <c r="M1958" s="2" t="s">
        <v>2526</v>
      </c>
      <c r="N1958" t="str">
        <f>TRIM(PROPER(Tabla_auditoría[[#This Row],[ID_Campaña]]))</f>
        <v>Cmp-023</v>
      </c>
      <c r="O1958" t="str">
        <f>TRIM(PROPER(Tabla_auditoría[[#This Row],[Canal]]))</f>
        <v>Organic Social</v>
      </c>
      <c r="P1958" t="str">
        <f>TRIM(PROPER(Tabla_auditoría[[#This Row],[País]]))</f>
        <v>Francia</v>
      </c>
      <c r="Q1958" t="str">
        <f>TRIM(PROPER(Tabla_auditoría[[#This Row],[Dispositivo]]))</f>
        <v>Desktop</v>
      </c>
      <c r="R1958" t="str">
        <f>TRIM(PROPER(Tabla_auditoría[[#This Row],[Tipo_Campaña]]))</f>
        <v>Conversión</v>
      </c>
      <c r="S1958" t="str">
        <f>TRIM(PROPER(Tabla_auditoría[[#This Row],[Responsable]]))</f>
        <v>Laura Pérez</v>
      </c>
    </row>
    <row r="1959" spans="1:19" x14ac:dyDescent="0.3">
      <c r="A1959" s="1">
        <v>46018</v>
      </c>
      <c r="B1959" s="2" t="s">
        <v>2547</v>
      </c>
      <c r="C1959" s="2" t="s">
        <v>2527</v>
      </c>
      <c r="D1959" s="2" t="s">
        <v>2522</v>
      </c>
      <c r="E1959" s="2" t="s">
        <v>2529</v>
      </c>
      <c r="F1959" s="3">
        <v>54939</v>
      </c>
      <c r="G1959" s="3">
        <v>1743</v>
      </c>
      <c r="H1959" s="3">
        <v>42</v>
      </c>
      <c r="I1959" s="4">
        <v>1289.76</v>
      </c>
      <c r="J1959" s="4">
        <v>2276.7199999999998</v>
      </c>
      <c r="K1959" s="3">
        <v>31</v>
      </c>
      <c r="L1959" s="2" t="s">
        <v>2539</v>
      </c>
      <c r="M1959" s="2" t="s">
        <v>2526</v>
      </c>
      <c r="N1959" t="str">
        <f>TRIM(PROPER(Tabla_auditoría[[#This Row],[ID_Campaña]]))</f>
        <v>Cmp-018</v>
      </c>
      <c r="O1959" t="str">
        <f>TRIM(PROPER(Tabla_auditoría[[#This Row],[Canal]]))</f>
        <v>Affiliate</v>
      </c>
      <c r="P1959" t="str">
        <f>TRIM(PROPER(Tabla_auditoría[[#This Row],[País]]))</f>
        <v>Italia</v>
      </c>
      <c r="Q1959" t="str">
        <f>TRIM(PROPER(Tabla_auditoría[[#This Row],[Dispositivo]]))</f>
        <v>Mobile</v>
      </c>
      <c r="R1959" t="str">
        <f>TRIM(PROPER(Tabla_auditoría[[#This Row],[Tipo_Campaña]]))</f>
        <v>Conversión</v>
      </c>
      <c r="S1959" t="str">
        <f>TRIM(PROPER(Tabla_auditoría[[#This Row],[Responsable]]))</f>
        <v>Laura Pérez</v>
      </c>
    </row>
    <row r="1960" spans="1:19" x14ac:dyDescent="0.3">
      <c r="A1960" s="1">
        <v>45908</v>
      </c>
      <c r="B1960" s="2" t="s">
        <v>2538</v>
      </c>
      <c r="C1960" s="2" t="s">
        <v>2541</v>
      </c>
      <c r="D1960" s="2" t="s">
        <v>2516</v>
      </c>
      <c r="E1960" s="2" t="s">
        <v>2517</v>
      </c>
      <c r="F1960" s="3">
        <v>5395</v>
      </c>
      <c r="G1960" s="3">
        <v>343</v>
      </c>
      <c r="H1960" s="3">
        <v>7</v>
      </c>
      <c r="I1960" s="4">
        <v>196.49</v>
      </c>
      <c r="J1960" s="4">
        <v>1038.3399999999999</v>
      </c>
      <c r="K1960" s="3">
        <v>4</v>
      </c>
      <c r="L1960" s="2" t="s">
        <v>2523</v>
      </c>
      <c r="M1960" s="2" t="s">
        <v>2524</v>
      </c>
      <c r="N1960" t="str">
        <f>TRIM(PROPER(Tabla_auditoría[[#This Row],[ID_Campaña]]))</f>
        <v>Cmp-004</v>
      </c>
      <c r="O1960" t="str">
        <f>TRIM(PROPER(Tabla_auditoría[[#This Row],[Canal]]))</f>
        <v>Display</v>
      </c>
      <c r="P1960" t="str">
        <f>TRIM(PROPER(Tabla_auditoría[[#This Row],[País]]))</f>
        <v>México</v>
      </c>
      <c r="Q1960" t="str">
        <f>TRIM(PROPER(Tabla_auditoría[[#This Row],[Dispositivo]]))</f>
        <v>Desktop</v>
      </c>
      <c r="R1960" t="str">
        <f>TRIM(PROPER(Tabla_auditoría[[#This Row],[Tipo_Campaña]]))</f>
        <v>Retención</v>
      </c>
      <c r="S1960" t="str">
        <f>TRIM(PROPER(Tabla_auditoría[[#This Row],[Responsable]]))</f>
        <v>Luis Martín</v>
      </c>
    </row>
    <row r="1961" spans="1:19" x14ac:dyDescent="0.3">
      <c r="A1961" s="1">
        <v>45709</v>
      </c>
      <c r="B1961" s="2" t="s">
        <v>2538</v>
      </c>
      <c r="C1961" s="2" t="s">
        <v>2533</v>
      </c>
      <c r="D1961" s="2" t="s">
        <v>2528</v>
      </c>
      <c r="E1961" s="2" t="s">
        <v>2529</v>
      </c>
      <c r="F1961" s="3">
        <v>159226</v>
      </c>
      <c r="G1961" s="3">
        <v>13263</v>
      </c>
      <c r="H1961" s="3">
        <v>1756</v>
      </c>
      <c r="I1961" s="4">
        <v>11829.55</v>
      </c>
      <c r="J1961" s="4">
        <v>222152.81</v>
      </c>
      <c r="K1961" s="3">
        <v>1280</v>
      </c>
      <c r="L1961" s="2" t="s">
        <v>2523</v>
      </c>
      <c r="M1961" s="2" t="s">
        <v>2526</v>
      </c>
      <c r="N1961" t="str">
        <f>TRIM(PROPER(Tabla_auditoría[[#This Row],[ID_Campaña]]))</f>
        <v>Cmp-004</v>
      </c>
      <c r="O1961" t="str">
        <f>TRIM(PROPER(Tabla_auditoría[[#This Row],[Canal]]))</f>
        <v>Paid Social</v>
      </c>
      <c r="P1961" t="str">
        <f>TRIM(PROPER(Tabla_auditoría[[#This Row],[País]]))</f>
        <v>España</v>
      </c>
      <c r="Q1961" t="str">
        <f>TRIM(PROPER(Tabla_auditoría[[#This Row],[Dispositivo]]))</f>
        <v>Mobile</v>
      </c>
      <c r="R1961" t="str">
        <f>TRIM(PROPER(Tabla_auditoría[[#This Row],[Tipo_Campaña]]))</f>
        <v>Retención</v>
      </c>
      <c r="S1961" t="str">
        <f>TRIM(PROPER(Tabla_auditoría[[#This Row],[Responsable]]))</f>
        <v>Laura Pérez</v>
      </c>
    </row>
    <row r="1962" spans="1:19" x14ac:dyDescent="0.3">
      <c r="A1962" s="1">
        <v>45782</v>
      </c>
      <c r="B1962" s="2" t="s">
        <v>2574</v>
      </c>
      <c r="C1962" s="2" t="s">
        <v>2527</v>
      </c>
      <c r="D1962" s="2" t="s">
        <v>2516</v>
      </c>
      <c r="E1962" s="2" t="s">
        <v>2529</v>
      </c>
      <c r="F1962" s="3">
        <v>55221</v>
      </c>
      <c r="G1962" s="3">
        <v>3419</v>
      </c>
      <c r="H1962" s="3">
        <v>288</v>
      </c>
      <c r="I1962" s="4">
        <v>4247.17</v>
      </c>
      <c r="J1962" s="4">
        <v>11912.6</v>
      </c>
      <c r="K1962" s="3">
        <v>138</v>
      </c>
      <c r="L1962" s="2" t="s">
        <v>2536</v>
      </c>
      <c r="M1962" s="2" t="s">
        <v>2546</v>
      </c>
      <c r="N1962" t="str">
        <f>TRIM(PROPER(Tabla_auditoría[[#This Row],[ID_Campaña]]))</f>
        <v>Cmp-003</v>
      </c>
      <c r="O1962" t="str">
        <f>TRIM(PROPER(Tabla_auditoría[[#This Row],[Canal]]))</f>
        <v>Affiliate</v>
      </c>
      <c r="P1962" t="str">
        <f>TRIM(PROPER(Tabla_auditoría[[#This Row],[País]]))</f>
        <v>México</v>
      </c>
      <c r="Q1962" t="str">
        <f>TRIM(PROPER(Tabla_auditoría[[#This Row],[Dispositivo]]))</f>
        <v>Mobile</v>
      </c>
      <c r="R1962" t="str">
        <f>TRIM(PROPER(Tabla_auditoría[[#This Row],[Tipo_Campaña]]))</f>
        <v>Reconocimiento</v>
      </c>
      <c r="S1962" t="str">
        <f>TRIM(PROPER(Tabla_auditoría[[#This Row],[Responsable]]))</f>
        <v>Ana García</v>
      </c>
    </row>
    <row r="1963" spans="1:19" x14ac:dyDescent="0.3">
      <c r="A1963" s="1">
        <v>45680</v>
      </c>
      <c r="B1963" s="2" t="s">
        <v>2538</v>
      </c>
      <c r="C1963" s="2" t="s">
        <v>2521</v>
      </c>
      <c r="D1963" s="2" t="s">
        <v>2516</v>
      </c>
      <c r="E1963" s="2" t="s">
        <v>2529</v>
      </c>
      <c r="F1963" s="3">
        <v>120716</v>
      </c>
      <c r="G1963" s="3">
        <v>3874</v>
      </c>
      <c r="H1963" s="3">
        <v>477</v>
      </c>
      <c r="I1963" s="4">
        <v>3947.54</v>
      </c>
      <c r="J1963" s="4">
        <v>52889.29</v>
      </c>
      <c r="K1963" s="3">
        <v>360</v>
      </c>
      <c r="L1963" s="2" t="s">
        <v>2523</v>
      </c>
      <c r="M1963" s="2" t="s">
        <v>2537</v>
      </c>
      <c r="N1963" t="str">
        <f>TRIM(PROPER(Tabla_auditoría[[#This Row],[ID_Campaña]]))</f>
        <v>Cmp-004</v>
      </c>
      <c r="O1963" t="str">
        <f>TRIM(PROPER(Tabla_auditoría[[#This Row],[Canal]]))</f>
        <v>Paid Search</v>
      </c>
      <c r="P1963" t="str">
        <f>TRIM(PROPER(Tabla_auditoría[[#This Row],[País]]))</f>
        <v>México</v>
      </c>
      <c r="Q1963" t="str">
        <f>TRIM(PROPER(Tabla_auditoría[[#This Row],[Dispositivo]]))</f>
        <v>Mobile</v>
      </c>
      <c r="R1963" t="str">
        <f>TRIM(PROPER(Tabla_auditoría[[#This Row],[Tipo_Campaña]]))</f>
        <v>Retención</v>
      </c>
      <c r="S1963" t="str">
        <f>TRIM(PROPER(Tabla_auditoría[[#This Row],[Responsable]]))</f>
        <v>Marta López</v>
      </c>
    </row>
    <row r="1964" spans="1:19" x14ac:dyDescent="0.3">
      <c r="A1964" s="1">
        <v>45875</v>
      </c>
      <c r="B1964" s="2" t="s">
        <v>2568</v>
      </c>
      <c r="C1964" s="2" t="s">
        <v>2541</v>
      </c>
      <c r="D1964" s="2" t="s">
        <v>2528</v>
      </c>
      <c r="E1964" s="2" t="s">
        <v>2517</v>
      </c>
      <c r="F1964" s="3">
        <v>94504</v>
      </c>
      <c r="G1964" s="3">
        <v>6519</v>
      </c>
      <c r="H1964" s="3">
        <v>105</v>
      </c>
      <c r="I1964" s="4">
        <v>9159.01</v>
      </c>
      <c r="J1964" s="4">
        <v>11042.59</v>
      </c>
      <c r="K1964" s="3">
        <v>64</v>
      </c>
      <c r="L1964" s="2" t="s">
        <v>2518</v>
      </c>
      <c r="M1964" s="2" t="s">
        <v>2537</v>
      </c>
      <c r="N1964" t="str">
        <f>TRIM(PROPER(Tabla_auditoría[[#This Row],[ID_Campaña]]))</f>
        <v>Cmp-020</v>
      </c>
      <c r="O1964" t="str">
        <f>TRIM(PROPER(Tabla_auditoría[[#This Row],[Canal]]))</f>
        <v>Display</v>
      </c>
      <c r="P1964" t="str">
        <f>TRIM(PROPER(Tabla_auditoría[[#This Row],[País]]))</f>
        <v>España</v>
      </c>
      <c r="Q1964" t="str">
        <f>TRIM(PROPER(Tabla_auditoría[[#This Row],[Dispositivo]]))</f>
        <v>Desktop</v>
      </c>
      <c r="R1964" t="str">
        <f>TRIM(PROPER(Tabla_auditoría[[#This Row],[Tipo_Campaña]]))</f>
        <v>Adquisición</v>
      </c>
      <c r="S1964" t="str">
        <f>TRIM(PROPER(Tabla_auditoría[[#This Row],[Responsable]]))</f>
        <v>Marta López</v>
      </c>
    </row>
    <row r="1965" spans="1:19" x14ac:dyDescent="0.3">
      <c r="A1965" s="1">
        <v>45827</v>
      </c>
      <c r="B1965" s="2" t="s">
        <v>2550</v>
      </c>
      <c r="C1965" s="2" t="s">
        <v>2543</v>
      </c>
      <c r="D1965" s="2" t="s">
        <v>2528</v>
      </c>
      <c r="E1965" s="2" t="s">
        <v>2529</v>
      </c>
      <c r="F1965" s="3">
        <v>130858</v>
      </c>
      <c r="G1965" s="3">
        <v>5398</v>
      </c>
      <c r="H1965" s="3">
        <v>467</v>
      </c>
      <c r="I1965" s="4">
        <v>3814.01</v>
      </c>
      <c r="J1965" s="4">
        <v>20812.7</v>
      </c>
      <c r="K1965" s="3">
        <v>338</v>
      </c>
      <c r="L1965" s="2" t="s">
        <v>2518</v>
      </c>
      <c r="M1965" s="2" t="s">
        <v>2526</v>
      </c>
      <c r="N1965" t="str">
        <f>TRIM(PROPER(Tabla_auditoría[[#This Row],[ID_Campaña]]))</f>
        <v>Cmp-008</v>
      </c>
      <c r="O1965" t="str">
        <f>TRIM(PROPER(Tabla_auditoría[[#This Row],[Canal]]))</f>
        <v>Organic Social</v>
      </c>
      <c r="P1965" t="str">
        <f>TRIM(PROPER(Tabla_auditoría[[#This Row],[País]]))</f>
        <v>España</v>
      </c>
      <c r="Q1965" t="str">
        <f>TRIM(PROPER(Tabla_auditoría[[#This Row],[Dispositivo]]))</f>
        <v>Mobile</v>
      </c>
      <c r="R1965" t="str">
        <f>TRIM(PROPER(Tabla_auditoría[[#This Row],[Tipo_Campaña]]))</f>
        <v>Adquisición</v>
      </c>
      <c r="S1965" t="str">
        <f>TRIM(PROPER(Tabla_auditoría[[#This Row],[Responsable]]))</f>
        <v>Laura Pérez</v>
      </c>
    </row>
    <row r="1966" spans="1:19" x14ac:dyDescent="0.3">
      <c r="A1966" s="1">
        <v>46002</v>
      </c>
      <c r="B1966" s="2" t="s">
        <v>2545</v>
      </c>
      <c r="C1966" s="2" t="s">
        <v>2543</v>
      </c>
      <c r="D1966" s="2" t="s">
        <v>2528</v>
      </c>
      <c r="E1966" s="2" t="s">
        <v>2517</v>
      </c>
      <c r="F1966" s="3">
        <v>37196</v>
      </c>
      <c r="G1966" s="3">
        <v>3241</v>
      </c>
      <c r="H1966" s="3">
        <v>95</v>
      </c>
      <c r="I1966" s="4">
        <v>6767.88</v>
      </c>
      <c r="J1966" s="4">
        <v>18718.849999999999</v>
      </c>
      <c r="K1966" s="3">
        <v>84</v>
      </c>
      <c r="L1966" s="2" t="s">
        <v>2523</v>
      </c>
      <c r="M1966" s="2" t="s">
        <v>2524</v>
      </c>
      <c r="N1966" t="str">
        <f>TRIM(PROPER(Tabla_auditoría[[#This Row],[ID_Campaña]]))</f>
        <v>Cmp-011</v>
      </c>
      <c r="O1966" t="str">
        <f>TRIM(PROPER(Tabla_auditoría[[#This Row],[Canal]]))</f>
        <v>Organic Social</v>
      </c>
      <c r="P1966" t="str">
        <f>TRIM(PROPER(Tabla_auditoría[[#This Row],[País]]))</f>
        <v>España</v>
      </c>
      <c r="Q1966" t="str">
        <f>TRIM(PROPER(Tabla_auditoría[[#This Row],[Dispositivo]]))</f>
        <v>Desktop</v>
      </c>
      <c r="R1966" t="str">
        <f>TRIM(PROPER(Tabla_auditoría[[#This Row],[Tipo_Campaña]]))</f>
        <v>Retención</v>
      </c>
      <c r="S1966" t="str">
        <f>TRIM(PROPER(Tabla_auditoría[[#This Row],[Responsable]]))</f>
        <v>Luis Martín</v>
      </c>
    </row>
    <row r="1967" spans="1:19" x14ac:dyDescent="0.3">
      <c r="A1967" s="1">
        <v>45667</v>
      </c>
      <c r="B1967" s="2" t="s">
        <v>2549</v>
      </c>
      <c r="C1967" s="2" t="s">
        <v>2541</v>
      </c>
      <c r="D1967" s="2" t="s">
        <v>2531</v>
      </c>
      <c r="E1967" s="2" t="s">
        <v>2517</v>
      </c>
      <c r="F1967" s="3">
        <v>134932</v>
      </c>
      <c r="G1967" s="3">
        <v>4325</v>
      </c>
      <c r="H1967" s="3">
        <v>517</v>
      </c>
      <c r="I1967" s="4">
        <v>4564.93</v>
      </c>
      <c r="J1967" s="4">
        <v>56619.33</v>
      </c>
      <c r="K1967" s="3">
        <v>460</v>
      </c>
      <c r="L1967" s="2" t="s">
        <v>2536</v>
      </c>
      <c r="M1967" s="2" t="s">
        <v>2524</v>
      </c>
      <c r="N1967" t="str">
        <f>TRIM(PROPER(Tabla_auditoría[[#This Row],[ID_Campaña]]))</f>
        <v>Cmp-007</v>
      </c>
      <c r="O1967" t="str">
        <f>TRIM(PROPER(Tabla_auditoría[[#This Row],[Canal]]))</f>
        <v>Display</v>
      </c>
      <c r="P1967" t="str">
        <f>TRIM(PROPER(Tabla_auditoría[[#This Row],[País]]))</f>
        <v>Portugal</v>
      </c>
      <c r="Q1967" t="str">
        <f>TRIM(PROPER(Tabla_auditoría[[#This Row],[Dispositivo]]))</f>
        <v>Desktop</v>
      </c>
      <c r="R1967" t="str">
        <f>TRIM(PROPER(Tabla_auditoría[[#This Row],[Tipo_Campaña]]))</f>
        <v>Reconocimiento</v>
      </c>
      <c r="S1967" t="str">
        <f>TRIM(PROPER(Tabla_auditoría[[#This Row],[Responsable]]))</f>
        <v>Luis Martín</v>
      </c>
    </row>
    <row r="1968" spans="1:19" x14ac:dyDescent="0.3">
      <c r="A1968" s="1">
        <v>45729</v>
      </c>
      <c r="B1968" s="2" t="s">
        <v>2574</v>
      </c>
      <c r="C1968" s="2" t="s">
        <v>2533</v>
      </c>
      <c r="D1968" s="2" t="s">
        <v>2531</v>
      </c>
      <c r="E1968" s="2" t="s">
        <v>2517</v>
      </c>
      <c r="F1968" s="3">
        <v>108490</v>
      </c>
      <c r="G1968" s="3">
        <v>5784</v>
      </c>
      <c r="H1968" s="3">
        <v>746</v>
      </c>
      <c r="I1968" s="4">
        <v>7392.81</v>
      </c>
      <c r="J1968" s="4">
        <v>87293.47</v>
      </c>
      <c r="K1968" s="3">
        <v>607</v>
      </c>
      <c r="L1968" s="2" t="s">
        <v>2523</v>
      </c>
      <c r="M1968" s="2" t="s">
        <v>2519</v>
      </c>
      <c r="N1968" t="str">
        <f>TRIM(PROPER(Tabla_auditoría[[#This Row],[ID_Campaña]]))</f>
        <v>Cmp-003</v>
      </c>
      <c r="O1968" t="str">
        <f>TRIM(PROPER(Tabla_auditoría[[#This Row],[Canal]]))</f>
        <v>Paid Social</v>
      </c>
      <c r="P1968" t="str">
        <f>TRIM(PROPER(Tabla_auditoría[[#This Row],[País]]))</f>
        <v>Portugal</v>
      </c>
      <c r="Q1968" t="str">
        <f>TRIM(PROPER(Tabla_auditoría[[#This Row],[Dispositivo]]))</f>
        <v>Desktop</v>
      </c>
      <c r="R1968" t="str">
        <f>TRIM(PROPER(Tabla_auditoría[[#This Row],[Tipo_Campaña]]))</f>
        <v>Retención</v>
      </c>
      <c r="S1968" t="str">
        <f>TRIM(PROPER(Tabla_auditoría[[#This Row],[Responsable]]))</f>
        <v>Carlos Ruiz</v>
      </c>
    </row>
    <row r="1969" spans="1:19" x14ac:dyDescent="0.3">
      <c r="A1969" s="1">
        <v>45806</v>
      </c>
      <c r="B1969" s="2" t="s">
        <v>2565</v>
      </c>
      <c r="C1969" s="2" t="s">
        <v>2521</v>
      </c>
      <c r="D1969" s="2" t="s">
        <v>2580</v>
      </c>
      <c r="E1969" s="2" t="s">
        <v>2517</v>
      </c>
      <c r="F1969" s="3">
        <v>135868</v>
      </c>
      <c r="G1969" s="3">
        <v>5358</v>
      </c>
      <c r="H1969" s="3">
        <v>326</v>
      </c>
      <c r="I1969" s="4">
        <v>2023.12</v>
      </c>
      <c r="J1969" s="4">
        <v>54119</v>
      </c>
      <c r="K1969" s="3">
        <v>252</v>
      </c>
      <c r="L1969" s="2" t="s">
        <v>2523</v>
      </c>
      <c r="M1969" s="2" t="s">
        <v>2519</v>
      </c>
      <c r="N1969" t="str">
        <f>TRIM(PROPER(Tabla_auditoría[[#This Row],[ID_Campaña]]))</f>
        <v>Cmp-005</v>
      </c>
      <c r="O1969" t="str">
        <f>TRIM(PROPER(Tabla_auditoría[[#This Row],[Canal]]))</f>
        <v>Paid Search</v>
      </c>
      <c r="P1969" t="str">
        <f>TRIM(PROPER(Tabla_auditoría[[#This Row],[País]]))</f>
        <v>México</v>
      </c>
      <c r="Q1969" t="str">
        <f>TRIM(PROPER(Tabla_auditoría[[#This Row],[Dispositivo]]))</f>
        <v>Desktop</v>
      </c>
      <c r="R1969" t="str">
        <f>TRIM(PROPER(Tabla_auditoría[[#This Row],[Tipo_Campaña]]))</f>
        <v>Retención</v>
      </c>
      <c r="S1969" t="str">
        <f>TRIM(PROPER(Tabla_auditoría[[#This Row],[Responsable]]))</f>
        <v>Carlos Ruiz</v>
      </c>
    </row>
    <row r="1970" spans="1:19" x14ac:dyDescent="0.3">
      <c r="A1970" s="1">
        <v>45697</v>
      </c>
      <c r="B1970" s="2" t="s">
        <v>2532</v>
      </c>
      <c r="C1970" s="2" t="s">
        <v>2521</v>
      </c>
      <c r="D1970" s="2" t="s">
        <v>2525</v>
      </c>
      <c r="E1970" s="2" t="s">
        <v>2517</v>
      </c>
      <c r="F1970" s="3">
        <v>156932</v>
      </c>
      <c r="G1970" s="3">
        <v>9013</v>
      </c>
      <c r="H1970" s="3">
        <v>338</v>
      </c>
      <c r="I1970" s="4">
        <v>12009.07</v>
      </c>
      <c r="J1970" s="4">
        <v>23180.47</v>
      </c>
      <c r="K1970" s="3">
        <v>255</v>
      </c>
      <c r="L1970" s="2" t="s">
        <v>2536</v>
      </c>
      <c r="M1970" s="2" t="s">
        <v>2537</v>
      </c>
      <c r="N1970" t="str">
        <f>TRIM(PROPER(Tabla_auditoría[[#This Row],[ID_Campaña]]))</f>
        <v>Cmp-022</v>
      </c>
      <c r="O1970" t="str">
        <f>TRIM(PROPER(Tabla_auditoría[[#This Row],[Canal]]))</f>
        <v>Paid Search</v>
      </c>
      <c r="P1970" t="str">
        <f>TRIM(PROPER(Tabla_auditoría[[#This Row],[País]]))</f>
        <v>Francia</v>
      </c>
      <c r="Q1970" t="str">
        <f>TRIM(PROPER(Tabla_auditoría[[#This Row],[Dispositivo]]))</f>
        <v>Desktop</v>
      </c>
      <c r="R1970" t="str">
        <f>TRIM(PROPER(Tabla_auditoría[[#This Row],[Tipo_Campaña]]))</f>
        <v>Reconocimiento</v>
      </c>
      <c r="S1970" t="str">
        <f>TRIM(PROPER(Tabla_auditoría[[#This Row],[Responsable]]))</f>
        <v>Marta López</v>
      </c>
    </row>
    <row r="1971" spans="1:19" x14ac:dyDescent="0.3">
      <c r="A1971" s="1">
        <v>45783</v>
      </c>
      <c r="B1971" s="2" t="s">
        <v>2557</v>
      </c>
      <c r="C1971" s="2" t="s">
        <v>2527</v>
      </c>
      <c r="E1971" s="2" t="s">
        <v>2517</v>
      </c>
      <c r="F1971" s="3">
        <v>40686</v>
      </c>
      <c r="G1971" s="3">
        <v>1876</v>
      </c>
      <c r="H1971" s="3">
        <v>75</v>
      </c>
      <c r="I1971" s="4">
        <v>3297.45</v>
      </c>
      <c r="J1971" s="4">
        <v>13984.56</v>
      </c>
      <c r="K1971" s="3">
        <v>49</v>
      </c>
      <c r="L1971" s="2" t="s">
        <v>2536</v>
      </c>
      <c r="M1971" s="2" t="s">
        <v>2546</v>
      </c>
      <c r="N1971" t="str">
        <f>TRIM(PROPER(Tabla_auditoría[[#This Row],[ID_Campaña]]))</f>
        <v>Cmp-030</v>
      </c>
      <c r="O1971" t="str">
        <f>TRIM(PROPER(Tabla_auditoría[[#This Row],[Canal]]))</f>
        <v>Affiliate</v>
      </c>
      <c r="P1971" t="str">
        <f>TRIM(PROPER(Tabla_auditoría[[#This Row],[País]]))</f>
        <v/>
      </c>
      <c r="Q1971" t="str">
        <f>TRIM(PROPER(Tabla_auditoría[[#This Row],[Dispositivo]]))</f>
        <v>Desktop</v>
      </c>
      <c r="R1971" t="str">
        <f>TRIM(PROPER(Tabla_auditoría[[#This Row],[Tipo_Campaña]]))</f>
        <v>Reconocimiento</v>
      </c>
      <c r="S1971" t="str">
        <f>TRIM(PROPER(Tabla_auditoría[[#This Row],[Responsable]]))</f>
        <v>Ana García</v>
      </c>
    </row>
    <row r="1972" spans="1:19" x14ac:dyDescent="0.3">
      <c r="A1972" s="1">
        <v>45986</v>
      </c>
      <c r="B1972" s="2" t="s">
        <v>2569</v>
      </c>
      <c r="C1972" s="2" t="s">
        <v>2543</v>
      </c>
      <c r="D1972" s="2" t="s">
        <v>2525</v>
      </c>
      <c r="E1972" s="2" t="s">
        <v>2529</v>
      </c>
      <c r="F1972" s="3">
        <v>105205</v>
      </c>
      <c r="G1972" s="3">
        <v>591</v>
      </c>
      <c r="H1972" s="3">
        <v>78</v>
      </c>
      <c r="I1972" s="4">
        <v>566.22</v>
      </c>
      <c r="J1972" s="4">
        <v>8377.7199999999993</v>
      </c>
      <c r="K1972" s="3">
        <v>64</v>
      </c>
      <c r="L1972" s="2" t="s">
        <v>2536</v>
      </c>
      <c r="M1972" s="2" t="s">
        <v>2519</v>
      </c>
      <c r="N1972" t="str">
        <f>TRIM(PROPER(Tabla_auditoría[[#This Row],[ID_Campaña]]))</f>
        <v>Cmp-013</v>
      </c>
      <c r="O1972" t="str">
        <f>TRIM(PROPER(Tabla_auditoría[[#This Row],[Canal]]))</f>
        <v>Organic Social</v>
      </c>
      <c r="P1972" t="str">
        <f>TRIM(PROPER(Tabla_auditoría[[#This Row],[País]]))</f>
        <v>Francia</v>
      </c>
      <c r="Q1972" t="str">
        <f>TRIM(PROPER(Tabla_auditoría[[#This Row],[Dispositivo]]))</f>
        <v>Mobile</v>
      </c>
      <c r="R1972" t="str">
        <f>TRIM(PROPER(Tabla_auditoría[[#This Row],[Tipo_Campaña]]))</f>
        <v>Reconocimiento</v>
      </c>
      <c r="S1972" t="str">
        <f>TRIM(PROPER(Tabla_auditoría[[#This Row],[Responsable]]))</f>
        <v>Carlos Ruiz</v>
      </c>
    </row>
    <row r="1973" spans="1:19" x14ac:dyDescent="0.3">
      <c r="A1973" s="1">
        <v>45776</v>
      </c>
      <c r="B1973" s="2" t="s">
        <v>2545</v>
      </c>
      <c r="C1973" s="2" t="s">
        <v>2515</v>
      </c>
      <c r="D1973" s="2" t="s">
        <v>2528</v>
      </c>
      <c r="E1973" s="2" t="s">
        <v>2529</v>
      </c>
      <c r="F1973" s="3">
        <v>178933</v>
      </c>
      <c r="G1973" s="3">
        <v>2203</v>
      </c>
      <c r="H1973" s="3">
        <v>79</v>
      </c>
      <c r="I1973" s="4">
        <v>3378.59</v>
      </c>
      <c r="J1973" s="4">
        <v>7821.78</v>
      </c>
      <c r="K1973" s="3">
        <v>37</v>
      </c>
      <c r="L1973" s="2" t="s">
        <v>2536</v>
      </c>
      <c r="M1973" s="2" t="s">
        <v>2519</v>
      </c>
      <c r="N1973" t="str">
        <f>TRIM(PROPER(Tabla_auditoría[[#This Row],[ID_Campaña]]))</f>
        <v>Cmp-011</v>
      </c>
      <c r="O1973" t="str">
        <f>TRIM(PROPER(Tabla_auditoría[[#This Row],[Canal]]))</f>
        <v>Email</v>
      </c>
      <c r="P1973" t="str">
        <f>TRIM(PROPER(Tabla_auditoría[[#This Row],[País]]))</f>
        <v>España</v>
      </c>
      <c r="Q1973" t="str">
        <f>TRIM(PROPER(Tabla_auditoría[[#This Row],[Dispositivo]]))</f>
        <v>Mobile</v>
      </c>
      <c r="R1973" t="str">
        <f>TRIM(PROPER(Tabla_auditoría[[#This Row],[Tipo_Campaña]]))</f>
        <v>Reconocimiento</v>
      </c>
      <c r="S1973" t="str">
        <f>TRIM(PROPER(Tabla_auditoría[[#This Row],[Responsable]]))</f>
        <v>Carlos Ruiz</v>
      </c>
    </row>
    <row r="1974" spans="1:19" x14ac:dyDescent="0.3">
      <c r="A1974" s="1">
        <v>45878</v>
      </c>
      <c r="B1974" s="2" t="s">
        <v>2520</v>
      </c>
      <c r="C1974" s="2" t="s">
        <v>2533</v>
      </c>
      <c r="D1974" s="2" t="s">
        <v>2525</v>
      </c>
      <c r="E1974" s="2" t="s">
        <v>2529</v>
      </c>
      <c r="F1974" s="3">
        <v>170675</v>
      </c>
      <c r="G1974" s="3">
        <v>1256</v>
      </c>
      <c r="H1974" s="3">
        <v>120</v>
      </c>
      <c r="I1974" s="4">
        <v>1442.9</v>
      </c>
      <c r="J1974" s="4">
        <v>7731.54</v>
      </c>
      <c r="K1974" s="3">
        <v>77</v>
      </c>
      <c r="L1974" s="2" t="s">
        <v>2539</v>
      </c>
      <c r="M1974" s="2" t="s">
        <v>2546</v>
      </c>
      <c r="N1974" t="str">
        <f>TRIM(PROPER(Tabla_auditoría[[#This Row],[ID_Campaña]]))</f>
        <v>Cmp-009</v>
      </c>
      <c r="O1974" t="str">
        <f>TRIM(PROPER(Tabla_auditoría[[#This Row],[Canal]]))</f>
        <v>Paid Social</v>
      </c>
      <c r="P1974" t="str">
        <f>TRIM(PROPER(Tabla_auditoría[[#This Row],[País]]))</f>
        <v>Francia</v>
      </c>
      <c r="Q1974" t="str">
        <f>TRIM(PROPER(Tabla_auditoría[[#This Row],[Dispositivo]]))</f>
        <v>Mobile</v>
      </c>
      <c r="R1974" t="str">
        <f>TRIM(PROPER(Tabla_auditoría[[#This Row],[Tipo_Campaña]]))</f>
        <v>Conversión</v>
      </c>
      <c r="S1974" t="str">
        <f>TRIM(PROPER(Tabla_auditoría[[#This Row],[Responsable]]))</f>
        <v>Ana García</v>
      </c>
    </row>
    <row r="1975" spans="1:19" x14ac:dyDescent="0.3">
      <c r="A1975" s="1">
        <v>45666</v>
      </c>
      <c r="B1975" s="2" t="s">
        <v>2540</v>
      </c>
      <c r="C1975" s="2" t="s">
        <v>2533</v>
      </c>
      <c r="D1975" s="2" t="s">
        <v>2525</v>
      </c>
      <c r="E1975" s="2" t="s">
        <v>2517</v>
      </c>
      <c r="F1975" s="3">
        <v>67299</v>
      </c>
      <c r="G1975" s="3">
        <v>5831</v>
      </c>
      <c r="H1975" s="3">
        <v>360</v>
      </c>
      <c r="I1975" s="4">
        <v>10338.6</v>
      </c>
      <c r="J1975" s="4">
        <v>25726.86</v>
      </c>
      <c r="K1975" s="3">
        <v>259</v>
      </c>
      <c r="L1975" s="2" t="s">
        <v>2518</v>
      </c>
      <c r="M1975" s="2" t="s">
        <v>2537</v>
      </c>
      <c r="N1975" t="str">
        <f>TRIM(PROPER(Tabla_auditoría[[#This Row],[ID_Campaña]]))</f>
        <v>Cmp-017</v>
      </c>
      <c r="O1975" t="str">
        <f>TRIM(PROPER(Tabla_auditoría[[#This Row],[Canal]]))</f>
        <v>Paid Social</v>
      </c>
      <c r="P1975" t="str">
        <f>TRIM(PROPER(Tabla_auditoría[[#This Row],[País]]))</f>
        <v>Francia</v>
      </c>
      <c r="Q1975" t="str">
        <f>TRIM(PROPER(Tabla_auditoría[[#This Row],[Dispositivo]]))</f>
        <v>Desktop</v>
      </c>
      <c r="R1975" t="str">
        <f>TRIM(PROPER(Tabla_auditoría[[#This Row],[Tipo_Campaña]]))</f>
        <v>Adquisición</v>
      </c>
      <c r="S1975" t="str">
        <f>TRIM(PROPER(Tabla_auditoría[[#This Row],[Responsable]]))</f>
        <v>Marta López</v>
      </c>
    </row>
    <row r="1976" spans="1:19" x14ac:dyDescent="0.3">
      <c r="A1976" s="1">
        <v>45936</v>
      </c>
      <c r="B1976" s="2" t="s">
        <v>2540</v>
      </c>
      <c r="C1976" s="2" t="s">
        <v>2521</v>
      </c>
      <c r="D1976" s="2" t="s">
        <v>2516</v>
      </c>
      <c r="E1976" s="2" t="s">
        <v>2517</v>
      </c>
      <c r="F1976" s="3">
        <v>10481</v>
      </c>
      <c r="G1976" s="3">
        <v>611</v>
      </c>
      <c r="H1976" s="3">
        <v>27</v>
      </c>
      <c r="I1976" s="4">
        <v>1214.79</v>
      </c>
      <c r="J1976" s="4">
        <v>883.63</v>
      </c>
      <c r="K1976" s="3">
        <v>16</v>
      </c>
      <c r="L1976" s="2" t="s">
        <v>2539</v>
      </c>
      <c r="M1976" s="2" t="s">
        <v>2537</v>
      </c>
      <c r="N1976" t="str">
        <f>TRIM(PROPER(Tabla_auditoría[[#This Row],[ID_Campaña]]))</f>
        <v>Cmp-017</v>
      </c>
      <c r="O1976" t="str">
        <f>TRIM(PROPER(Tabla_auditoría[[#This Row],[Canal]]))</f>
        <v>Paid Search</v>
      </c>
      <c r="P1976" t="str">
        <f>TRIM(PROPER(Tabla_auditoría[[#This Row],[País]]))</f>
        <v>México</v>
      </c>
      <c r="Q1976" t="str">
        <f>TRIM(PROPER(Tabla_auditoría[[#This Row],[Dispositivo]]))</f>
        <v>Desktop</v>
      </c>
      <c r="R1976" t="str">
        <f>TRIM(PROPER(Tabla_auditoría[[#This Row],[Tipo_Campaña]]))</f>
        <v>Conversión</v>
      </c>
      <c r="S1976" t="str">
        <f>TRIM(PROPER(Tabla_auditoría[[#This Row],[Responsable]]))</f>
        <v>Marta López</v>
      </c>
    </row>
    <row r="1977" spans="1:19" x14ac:dyDescent="0.3">
      <c r="A1977" s="1">
        <v>45892</v>
      </c>
      <c r="B1977" s="2" t="s">
        <v>2520</v>
      </c>
      <c r="C1977" s="2" t="s">
        <v>2543</v>
      </c>
      <c r="D1977" s="2" t="s">
        <v>2528</v>
      </c>
      <c r="E1977" s="2" t="s">
        <v>2517</v>
      </c>
      <c r="F1977" s="3">
        <v>28524</v>
      </c>
      <c r="G1977" s="3">
        <v>688</v>
      </c>
      <c r="H1977" s="3">
        <v>4</v>
      </c>
      <c r="I1977" s="4">
        <v>417.14</v>
      </c>
      <c r="J1977" s="4">
        <v>365.27</v>
      </c>
      <c r="K1977" s="3">
        <v>2</v>
      </c>
      <c r="L1977" s="2" t="s">
        <v>2539</v>
      </c>
      <c r="M1977" s="2" t="s">
        <v>2537</v>
      </c>
      <c r="N1977" t="str">
        <f>TRIM(PROPER(Tabla_auditoría[[#This Row],[ID_Campaña]]))</f>
        <v>Cmp-009</v>
      </c>
      <c r="O1977" t="str">
        <f>TRIM(PROPER(Tabla_auditoría[[#This Row],[Canal]]))</f>
        <v>Organic Social</v>
      </c>
      <c r="P1977" t="str">
        <f>TRIM(PROPER(Tabla_auditoría[[#This Row],[País]]))</f>
        <v>España</v>
      </c>
      <c r="Q1977" t="str">
        <f>TRIM(PROPER(Tabla_auditoría[[#This Row],[Dispositivo]]))</f>
        <v>Desktop</v>
      </c>
      <c r="R1977" t="str">
        <f>TRIM(PROPER(Tabla_auditoría[[#This Row],[Tipo_Campaña]]))</f>
        <v>Conversión</v>
      </c>
      <c r="S1977" t="str">
        <f>TRIM(PROPER(Tabla_auditoría[[#This Row],[Responsable]]))</f>
        <v>Marta López</v>
      </c>
    </row>
    <row r="1978" spans="1:19" x14ac:dyDescent="0.3">
      <c r="A1978" s="1">
        <v>45977</v>
      </c>
      <c r="B1978" s="2" t="s">
        <v>2564</v>
      </c>
      <c r="C1978" s="2" t="s">
        <v>2543</v>
      </c>
      <c r="D1978" s="2" t="s">
        <v>2531</v>
      </c>
      <c r="E1978" s="2" t="s">
        <v>2534</v>
      </c>
      <c r="F1978" s="3">
        <v>176437</v>
      </c>
      <c r="G1978" s="3">
        <v>14105</v>
      </c>
      <c r="H1978" s="3">
        <v>237</v>
      </c>
      <c r="I1978" s="4">
        <v>27468.33</v>
      </c>
      <c r="J1978" s="4">
        <v>15915.38</v>
      </c>
      <c r="K1978" s="3">
        <v>209</v>
      </c>
      <c r="L1978" s="2" t="s">
        <v>2536</v>
      </c>
      <c r="M1978" s="2" t="s">
        <v>2524</v>
      </c>
      <c r="N1978" t="str">
        <f>TRIM(PROPER(Tabla_auditoría[[#This Row],[ID_Campaña]]))</f>
        <v>Cmp-024</v>
      </c>
      <c r="O1978" t="str">
        <f>TRIM(PROPER(Tabla_auditoría[[#This Row],[Canal]]))</f>
        <v>Organic Social</v>
      </c>
      <c r="P1978" t="str">
        <f>TRIM(PROPER(Tabla_auditoría[[#This Row],[País]]))</f>
        <v>Portugal</v>
      </c>
      <c r="Q1978" t="str">
        <f>TRIM(PROPER(Tabla_auditoría[[#This Row],[Dispositivo]]))</f>
        <v>Tablet</v>
      </c>
      <c r="R1978" t="str">
        <f>TRIM(PROPER(Tabla_auditoría[[#This Row],[Tipo_Campaña]]))</f>
        <v>Reconocimiento</v>
      </c>
      <c r="S1978" t="str">
        <f>TRIM(PROPER(Tabla_auditoría[[#This Row],[Responsable]]))</f>
        <v>Luis Martín</v>
      </c>
    </row>
    <row r="1979" spans="1:19" x14ac:dyDescent="0.3">
      <c r="A1979" s="1">
        <v>45831</v>
      </c>
      <c r="B1979" s="2" t="s">
        <v>2565</v>
      </c>
      <c r="C1979" s="2" t="s">
        <v>2515</v>
      </c>
      <c r="D1979" s="2" t="s">
        <v>2528</v>
      </c>
      <c r="E1979" s="2" t="s">
        <v>2517</v>
      </c>
      <c r="F1979" s="3">
        <v>115688</v>
      </c>
      <c r="G1979" s="3">
        <v>5559</v>
      </c>
      <c r="H1979" s="3">
        <v>440</v>
      </c>
      <c r="I1979" s="4">
        <v>9599.94</v>
      </c>
      <c r="J1979" s="4">
        <v>95440.41</v>
      </c>
      <c r="K1979" s="3">
        <v>294</v>
      </c>
      <c r="L1979" s="2" t="s">
        <v>2539</v>
      </c>
      <c r="M1979" s="2" t="s">
        <v>2537</v>
      </c>
      <c r="N1979" t="str">
        <f>TRIM(PROPER(Tabla_auditoría[[#This Row],[ID_Campaña]]))</f>
        <v>Cmp-005</v>
      </c>
      <c r="O1979" t="str">
        <f>TRIM(PROPER(Tabla_auditoría[[#This Row],[Canal]]))</f>
        <v>Email</v>
      </c>
      <c r="P1979" t="str">
        <f>TRIM(PROPER(Tabla_auditoría[[#This Row],[País]]))</f>
        <v>España</v>
      </c>
      <c r="Q1979" t="str">
        <f>TRIM(PROPER(Tabla_auditoría[[#This Row],[Dispositivo]]))</f>
        <v>Desktop</v>
      </c>
      <c r="R1979" t="str">
        <f>TRIM(PROPER(Tabla_auditoría[[#This Row],[Tipo_Campaña]]))</f>
        <v>Conversión</v>
      </c>
      <c r="S1979" t="str">
        <f>TRIM(PROPER(Tabla_auditoría[[#This Row],[Responsable]]))</f>
        <v>Marta López</v>
      </c>
    </row>
    <row r="1980" spans="1:19" x14ac:dyDescent="0.3">
      <c r="A1980" s="1">
        <v>45658</v>
      </c>
      <c r="B1980" s="2" t="s">
        <v>2547</v>
      </c>
      <c r="C1980" s="2" t="s">
        <v>2541</v>
      </c>
      <c r="D1980" s="2" t="s">
        <v>2528</v>
      </c>
      <c r="E1980" s="2" t="s">
        <v>2529</v>
      </c>
      <c r="F1980" s="3">
        <v>15810</v>
      </c>
      <c r="G1980" s="3">
        <v>432</v>
      </c>
      <c r="H1980" s="3">
        <v>32</v>
      </c>
      <c r="I1980" s="4">
        <v>653.79</v>
      </c>
      <c r="J1980" s="4">
        <v>3514.82</v>
      </c>
      <c r="K1980" s="3">
        <v>27</v>
      </c>
      <c r="L1980" s="2" t="s">
        <v>2523</v>
      </c>
      <c r="M1980" s="2" t="s">
        <v>2519</v>
      </c>
      <c r="N1980" t="str">
        <f>TRIM(PROPER(Tabla_auditoría[[#This Row],[ID_Campaña]]))</f>
        <v>Cmp-018</v>
      </c>
      <c r="O1980" t="str">
        <f>TRIM(PROPER(Tabla_auditoría[[#This Row],[Canal]]))</f>
        <v>Display</v>
      </c>
      <c r="P1980" t="str">
        <f>TRIM(PROPER(Tabla_auditoría[[#This Row],[País]]))</f>
        <v>España</v>
      </c>
      <c r="Q1980" t="str">
        <f>TRIM(PROPER(Tabla_auditoría[[#This Row],[Dispositivo]]))</f>
        <v>Mobile</v>
      </c>
      <c r="R1980" t="str">
        <f>TRIM(PROPER(Tabla_auditoría[[#This Row],[Tipo_Campaña]]))</f>
        <v>Retención</v>
      </c>
      <c r="S1980" t="str">
        <f>TRIM(PROPER(Tabla_auditoría[[#This Row],[Responsable]]))</f>
        <v>Carlos Ruiz</v>
      </c>
    </row>
    <row r="1981" spans="1:19" x14ac:dyDescent="0.3">
      <c r="A1981" s="1">
        <v>45811</v>
      </c>
      <c r="B1981" s="2" t="s">
        <v>2552</v>
      </c>
      <c r="C1981" s="2" t="s">
        <v>2521</v>
      </c>
      <c r="D1981" s="2" t="s">
        <v>2528</v>
      </c>
      <c r="E1981" s="2" t="s">
        <v>2517</v>
      </c>
      <c r="F1981" s="3">
        <v>53470</v>
      </c>
      <c r="G1981" s="3">
        <v>1545</v>
      </c>
      <c r="H1981" s="3">
        <v>39</v>
      </c>
      <c r="I1981" s="4">
        <v>735.45</v>
      </c>
      <c r="J1981" s="4">
        <v>4344.26</v>
      </c>
      <c r="K1981" s="3">
        <v>25</v>
      </c>
      <c r="L1981" s="2" t="s">
        <v>2536</v>
      </c>
      <c r="M1981" s="2" t="s">
        <v>2524</v>
      </c>
      <c r="N1981" t="str">
        <f>TRIM(PROPER(Tabla_auditoría[[#This Row],[ID_Campaña]]))</f>
        <v>Cmp-012</v>
      </c>
      <c r="O1981" t="str">
        <f>TRIM(PROPER(Tabla_auditoría[[#This Row],[Canal]]))</f>
        <v>Paid Search</v>
      </c>
      <c r="P1981" t="str">
        <f>TRIM(PROPER(Tabla_auditoría[[#This Row],[País]]))</f>
        <v>España</v>
      </c>
      <c r="Q1981" t="str">
        <f>TRIM(PROPER(Tabla_auditoría[[#This Row],[Dispositivo]]))</f>
        <v>Desktop</v>
      </c>
      <c r="R1981" t="str">
        <f>TRIM(PROPER(Tabla_auditoría[[#This Row],[Tipo_Campaña]]))</f>
        <v>Reconocimiento</v>
      </c>
      <c r="S1981" t="str">
        <f>TRIM(PROPER(Tabla_auditoría[[#This Row],[Responsable]]))</f>
        <v>Luis Martín</v>
      </c>
    </row>
    <row r="1982" spans="1:19" x14ac:dyDescent="0.3">
      <c r="A1982" s="1">
        <v>45831</v>
      </c>
      <c r="B1982" s="2" t="s">
        <v>2574</v>
      </c>
      <c r="C1982" s="2" t="s">
        <v>2543</v>
      </c>
      <c r="D1982" s="2" t="s">
        <v>2528</v>
      </c>
      <c r="E1982" s="2" t="s">
        <v>2517</v>
      </c>
      <c r="F1982" s="3">
        <v>107836</v>
      </c>
      <c r="G1982" s="3">
        <v>9435</v>
      </c>
      <c r="H1982" s="3">
        <v>690</v>
      </c>
      <c r="I1982" s="4">
        <v>9179</v>
      </c>
      <c r="J1982" s="4">
        <v>35813.599999999999</v>
      </c>
      <c r="K1982" s="3">
        <v>616</v>
      </c>
      <c r="L1982" s="2" t="s">
        <v>2518</v>
      </c>
      <c r="M1982" s="2" t="s">
        <v>2526</v>
      </c>
      <c r="N1982" t="str">
        <f>TRIM(PROPER(Tabla_auditoría[[#This Row],[ID_Campaña]]))</f>
        <v>Cmp-003</v>
      </c>
      <c r="O1982" t="str">
        <f>TRIM(PROPER(Tabla_auditoría[[#This Row],[Canal]]))</f>
        <v>Organic Social</v>
      </c>
      <c r="P1982" t="str">
        <f>TRIM(PROPER(Tabla_auditoría[[#This Row],[País]]))</f>
        <v>España</v>
      </c>
      <c r="Q1982" t="str">
        <f>TRIM(PROPER(Tabla_auditoría[[#This Row],[Dispositivo]]))</f>
        <v>Desktop</v>
      </c>
      <c r="R1982" t="str">
        <f>TRIM(PROPER(Tabla_auditoría[[#This Row],[Tipo_Campaña]]))</f>
        <v>Adquisición</v>
      </c>
      <c r="S1982" t="str">
        <f>TRIM(PROPER(Tabla_auditoría[[#This Row],[Responsable]]))</f>
        <v>Laura Pérez</v>
      </c>
    </row>
    <row r="1983" spans="1:19" x14ac:dyDescent="0.3">
      <c r="A1983" s="1">
        <v>46015</v>
      </c>
      <c r="B1983" s="2" t="s">
        <v>2550</v>
      </c>
      <c r="C1983" s="2" t="s">
        <v>2527</v>
      </c>
      <c r="D1983" s="2" t="s">
        <v>2516</v>
      </c>
      <c r="E1983" s="2" t="s">
        <v>2517</v>
      </c>
      <c r="F1983" s="3">
        <v>88409</v>
      </c>
      <c r="G1983" s="3">
        <v>1895</v>
      </c>
      <c r="H1983" s="3">
        <v>208</v>
      </c>
      <c r="I1983" s="4">
        <v>1405.08</v>
      </c>
      <c r="J1983" s="4">
        <v>25368.45</v>
      </c>
      <c r="K1983" s="3">
        <v>153</v>
      </c>
      <c r="L1983" s="2" t="s">
        <v>2536</v>
      </c>
      <c r="M1983" s="2" t="s">
        <v>2519</v>
      </c>
      <c r="N1983" t="str">
        <f>TRIM(PROPER(Tabla_auditoría[[#This Row],[ID_Campaña]]))</f>
        <v>Cmp-008</v>
      </c>
      <c r="O1983" t="str">
        <f>TRIM(PROPER(Tabla_auditoría[[#This Row],[Canal]]))</f>
        <v>Affiliate</v>
      </c>
      <c r="P1983" t="str">
        <f>TRIM(PROPER(Tabla_auditoría[[#This Row],[País]]))</f>
        <v>México</v>
      </c>
      <c r="Q1983" t="str">
        <f>TRIM(PROPER(Tabla_auditoría[[#This Row],[Dispositivo]]))</f>
        <v>Desktop</v>
      </c>
      <c r="R1983" t="str">
        <f>TRIM(PROPER(Tabla_auditoría[[#This Row],[Tipo_Campaña]]))</f>
        <v>Reconocimiento</v>
      </c>
      <c r="S1983" t="str">
        <f>TRIM(PROPER(Tabla_auditoría[[#This Row],[Responsable]]))</f>
        <v>Carlos Ruiz</v>
      </c>
    </row>
    <row r="1984" spans="1:19" x14ac:dyDescent="0.3">
      <c r="A1984" s="1">
        <v>45733</v>
      </c>
      <c r="B1984" s="2" t="s">
        <v>2568</v>
      </c>
      <c r="C1984" s="2" t="s">
        <v>2541</v>
      </c>
      <c r="D1984" s="2" t="s">
        <v>2528</v>
      </c>
      <c r="E1984" s="2" t="s">
        <v>2517</v>
      </c>
      <c r="F1984" s="3">
        <v>54153</v>
      </c>
      <c r="G1984" s="3">
        <v>1177</v>
      </c>
      <c r="H1984" s="3">
        <v>22</v>
      </c>
      <c r="I1984" s="4">
        <v>850.06</v>
      </c>
      <c r="J1984" s="4">
        <v>2255.1999999999998</v>
      </c>
      <c r="K1984" s="3">
        <v>11</v>
      </c>
      <c r="L1984" s="2" t="s">
        <v>2536</v>
      </c>
      <c r="M1984" s="2" t="s">
        <v>2519</v>
      </c>
      <c r="N1984" t="str">
        <f>TRIM(PROPER(Tabla_auditoría[[#This Row],[ID_Campaña]]))</f>
        <v>Cmp-020</v>
      </c>
      <c r="O1984" t="str">
        <f>TRIM(PROPER(Tabla_auditoría[[#This Row],[Canal]]))</f>
        <v>Display</v>
      </c>
      <c r="P1984" t="str">
        <f>TRIM(PROPER(Tabla_auditoría[[#This Row],[País]]))</f>
        <v>España</v>
      </c>
      <c r="Q1984" t="str">
        <f>TRIM(PROPER(Tabla_auditoría[[#This Row],[Dispositivo]]))</f>
        <v>Desktop</v>
      </c>
      <c r="R1984" t="str">
        <f>TRIM(PROPER(Tabla_auditoría[[#This Row],[Tipo_Campaña]]))</f>
        <v>Reconocimiento</v>
      </c>
      <c r="S1984" t="str">
        <f>TRIM(PROPER(Tabla_auditoría[[#This Row],[Responsable]]))</f>
        <v>Carlos Ruiz</v>
      </c>
    </row>
    <row r="1985" spans="1:19" x14ac:dyDescent="0.3">
      <c r="A1985" s="1">
        <v>45825</v>
      </c>
      <c r="B1985" s="2" t="s">
        <v>2540</v>
      </c>
      <c r="C1985" s="2" t="s">
        <v>2543</v>
      </c>
      <c r="D1985" s="2" t="s">
        <v>2528</v>
      </c>
      <c r="E1985" s="2" t="s">
        <v>2529</v>
      </c>
      <c r="F1985" s="3">
        <v>170398</v>
      </c>
      <c r="G1985" s="3">
        <v>2581</v>
      </c>
      <c r="H1985" s="3">
        <v>307</v>
      </c>
      <c r="I1985" s="4">
        <v>2030.92</v>
      </c>
      <c r="J1985" s="4">
        <v>30139.93</v>
      </c>
      <c r="K1985" s="3">
        <v>158</v>
      </c>
      <c r="L1985" s="2" t="s">
        <v>2536</v>
      </c>
      <c r="M1985" s="2" t="s">
        <v>2519</v>
      </c>
      <c r="N1985" t="str">
        <f>TRIM(PROPER(Tabla_auditoría[[#This Row],[ID_Campaña]]))</f>
        <v>Cmp-017</v>
      </c>
      <c r="O1985" t="str">
        <f>TRIM(PROPER(Tabla_auditoría[[#This Row],[Canal]]))</f>
        <v>Organic Social</v>
      </c>
      <c r="P1985" t="str">
        <f>TRIM(PROPER(Tabla_auditoría[[#This Row],[País]]))</f>
        <v>España</v>
      </c>
      <c r="Q1985" t="str">
        <f>TRIM(PROPER(Tabla_auditoría[[#This Row],[Dispositivo]]))</f>
        <v>Mobile</v>
      </c>
      <c r="R1985" t="str">
        <f>TRIM(PROPER(Tabla_auditoría[[#This Row],[Tipo_Campaña]]))</f>
        <v>Reconocimiento</v>
      </c>
      <c r="S1985" t="str">
        <f>TRIM(PROPER(Tabla_auditoría[[#This Row],[Responsable]]))</f>
        <v>Carlos Ruiz</v>
      </c>
    </row>
    <row r="1986" spans="1:19" x14ac:dyDescent="0.3">
      <c r="A1986" s="1">
        <v>45663</v>
      </c>
      <c r="B1986" s="2" t="s">
        <v>2554</v>
      </c>
      <c r="C1986" s="2" t="s">
        <v>2515</v>
      </c>
      <c r="D1986" s="2" t="s">
        <v>2525</v>
      </c>
      <c r="E1986" s="2" t="s">
        <v>2517</v>
      </c>
      <c r="F1986" s="3">
        <v>131503</v>
      </c>
      <c r="G1986" s="3">
        <v>11374</v>
      </c>
      <c r="H1986" s="3">
        <v>551</v>
      </c>
      <c r="I1986" s="4">
        <v>11594.07</v>
      </c>
      <c r="J1986" s="4">
        <v>13045.91</v>
      </c>
      <c r="K1986" s="3">
        <v>470</v>
      </c>
      <c r="L1986" s="2" t="s">
        <v>2536</v>
      </c>
      <c r="M1986" s="2" t="s">
        <v>2546</v>
      </c>
      <c r="N1986" t="str">
        <f>TRIM(PROPER(Tabla_auditoría[[#This Row],[ID_Campaña]]))</f>
        <v>Cmp-019</v>
      </c>
      <c r="O1986" t="str">
        <f>TRIM(PROPER(Tabla_auditoría[[#This Row],[Canal]]))</f>
        <v>Email</v>
      </c>
      <c r="P1986" t="str">
        <f>TRIM(PROPER(Tabla_auditoría[[#This Row],[País]]))</f>
        <v>Francia</v>
      </c>
      <c r="Q1986" t="str">
        <f>TRIM(PROPER(Tabla_auditoría[[#This Row],[Dispositivo]]))</f>
        <v>Desktop</v>
      </c>
      <c r="R1986" t="str">
        <f>TRIM(PROPER(Tabla_auditoría[[#This Row],[Tipo_Campaña]]))</f>
        <v>Reconocimiento</v>
      </c>
      <c r="S1986" t="str">
        <f>TRIM(PROPER(Tabla_auditoría[[#This Row],[Responsable]]))</f>
        <v>Ana García</v>
      </c>
    </row>
    <row r="1987" spans="1:19" x14ac:dyDescent="0.3">
      <c r="A1987" s="1">
        <v>45855</v>
      </c>
      <c r="B1987" s="2" t="s">
        <v>2550</v>
      </c>
      <c r="C1987" s="2" t="s">
        <v>2543</v>
      </c>
      <c r="D1987" s="2" t="s">
        <v>2516</v>
      </c>
      <c r="E1987" s="2" t="s">
        <v>2534</v>
      </c>
      <c r="F1987" s="3">
        <v>4357</v>
      </c>
      <c r="G1987" s="3">
        <v>76</v>
      </c>
      <c r="H1987" s="3">
        <v>0</v>
      </c>
      <c r="I1987" s="4">
        <v>147.38</v>
      </c>
      <c r="J1987" s="4">
        <v>0</v>
      </c>
      <c r="K1987" s="3">
        <v>0</v>
      </c>
      <c r="L1987" s="2" t="s">
        <v>2536</v>
      </c>
      <c r="M1987" s="2" t="s">
        <v>2519</v>
      </c>
      <c r="N1987" t="str">
        <f>TRIM(PROPER(Tabla_auditoría[[#This Row],[ID_Campaña]]))</f>
        <v>Cmp-008</v>
      </c>
      <c r="O1987" t="str">
        <f>TRIM(PROPER(Tabla_auditoría[[#This Row],[Canal]]))</f>
        <v>Organic Social</v>
      </c>
      <c r="P1987" t="str">
        <f>TRIM(PROPER(Tabla_auditoría[[#This Row],[País]]))</f>
        <v>México</v>
      </c>
      <c r="Q1987" t="str">
        <f>TRIM(PROPER(Tabla_auditoría[[#This Row],[Dispositivo]]))</f>
        <v>Tablet</v>
      </c>
      <c r="R1987" t="str">
        <f>TRIM(PROPER(Tabla_auditoría[[#This Row],[Tipo_Campaña]]))</f>
        <v>Reconocimiento</v>
      </c>
      <c r="S1987" t="str">
        <f>TRIM(PROPER(Tabla_auditoría[[#This Row],[Responsable]]))</f>
        <v>Carlos Ruiz</v>
      </c>
    </row>
    <row r="1988" spans="1:19" x14ac:dyDescent="0.3">
      <c r="A1988" s="1">
        <v>45725</v>
      </c>
      <c r="B1988" s="2" t="s">
        <v>2556</v>
      </c>
      <c r="C1988" s="2" t="s">
        <v>2533</v>
      </c>
      <c r="D1988" s="2" t="s">
        <v>2528</v>
      </c>
      <c r="E1988" s="2" t="s">
        <v>2529</v>
      </c>
      <c r="F1988" s="3">
        <v>153835</v>
      </c>
      <c r="G1988" s="3">
        <v>9039</v>
      </c>
      <c r="H1988" s="3">
        <v>226</v>
      </c>
      <c r="I1988" s="4">
        <v>6415.53</v>
      </c>
      <c r="J1988" s="4">
        <v>33304.660000000003</v>
      </c>
      <c r="K1988" s="3">
        <v>111</v>
      </c>
      <c r="L1988" s="2" t="s">
        <v>2518</v>
      </c>
      <c r="M1988" s="2" t="s">
        <v>2519</v>
      </c>
      <c r="N1988" t="str">
        <f>TRIM(PROPER(Tabla_auditoría[[#This Row],[ID_Campaña]]))</f>
        <v>Cmp-014</v>
      </c>
      <c r="O1988" t="str">
        <f>TRIM(PROPER(Tabla_auditoría[[#This Row],[Canal]]))</f>
        <v>Paid Social</v>
      </c>
      <c r="P1988" t="str">
        <f>TRIM(PROPER(Tabla_auditoría[[#This Row],[País]]))</f>
        <v>España</v>
      </c>
      <c r="Q1988" t="str">
        <f>TRIM(PROPER(Tabla_auditoría[[#This Row],[Dispositivo]]))</f>
        <v>Mobile</v>
      </c>
      <c r="R1988" t="str">
        <f>TRIM(PROPER(Tabla_auditoría[[#This Row],[Tipo_Campaña]]))</f>
        <v>Adquisición</v>
      </c>
      <c r="S1988" t="str">
        <f>TRIM(PROPER(Tabla_auditoría[[#This Row],[Responsable]]))</f>
        <v>Carlos Ruiz</v>
      </c>
    </row>
    <row r="1989" spans="1:19" x14ac:dyDescent="0.3">
      <c r="A1989" s="1">
        <v>45782</v>
      </c>
      <c r="B1989" s="2" t="s">
        <v>2566</v>
      </c>
      <c r="C1989" s="2" t="s">
        <v>2543</v>
      </c>
      <c r="D1989" s="2" t="s">
        <v>2516</v>
      </c>
      <c r="E1989" s="2" t="s">
        <v>2529</v>
      </c>
      <c r="F1989" s="3">
        <v>154239</v>
      </c>
      <c r="G1989" s="3">
        <v>5121</v>
      </c>
      <c r="H1989" s="3">
        <v>548</v>
      </c>
      <c r="I1989" s="4">
        <v>6092.93</v>
      </c>
      <c r="J1989" s="4">
        <v>58811.07</v>
      </c>
      <c r="K1989" s="3">
        <v>341</v>
      </c>
      <c r="L1989" s="2" t="s">
        <v>2523</v>
      </c>
      <c r="M1989" s="2" t="s">
        <v>2526</v>
      </c>
      <c r="N1989" t="str">
        <f>TRIM(PROPER(Tabla_auditoría[[#This Row],[ID_Campaña]]))</f>
        <v>Cmp-001</v>
      </c>
      <c r="O1989" t="str">
        <f>TRIM(PROPER(Tabla_auditoría[[#This Row],[Canal]]))</f>
        <v>Organic Social</v>
      </c>
      <c r="P1989" t="str">
        <f>TRIM(PROPER(Tabla_auditoría[[#This Row],[País]]))</f>
        <v>México</v>
      </c>
      <c r="Q1989" t="str">
        <f>TRIM(PROPER(Tabla_auditoría[[#This Row],[Dispositivo]]))</f>
        <v>Mobile</v>
      </c>
      <c r="R1989" t="str">
        <f>TRIM(PROPER(Tabla_auditoría[[#This Row],[Tipo_Campaña]]))</f>
        <v>Retención</v>
      </c>
      <c r="S1989" t="str">
        <f>TRIM(PROPER(Tabla_auditoría[[#This Row],[Responsable]]))</f>
        <v>Laura Pérez</v>
      </c>
    </row>
    <row r="1990" spans="1:19" x14ac:dyDescent="0.3">
      <c r="A1990" s="1">
        <v>45725</v>
      </c>
      <c r="B1990" s="2" t="s">
        <v>2540</v>
      </c>
      <c r="C1990" s="2" t="s">
        <v>2521</v>
      </c>
      <c r="D1990" s="2" t="s">
        <v>2528</v>
      </c>
      <c r="E1990" s="2" t="s">
        <v>2529</v>
      </c>
      <c r="F1990" s="3">
        <v>3652</v>
      </c>
      <c r="G1990" s="3">
        <v>20</v>
      </c>
      <c r="H1990" s="3">
        <v>2</v>
      </c>
      <c r="I1990" s="4">
        <v>13</v>
      </c>
      <c r="J1990" s="4">
        <v>278.67</v>
      </c>
      <c r="K1990" s="3">
        <v>1</v>
      </c>
      <c r="L1990" s="2" t="s">
        <v>2536</v>
      </c>
      <c r="M1990" s="2" t="s">
        <v>2526</v>
      </c>
      <c r="N1990" t="str">
        <f>TRIM(PROPER(Tabla_auditoría[[#This Row],[ID_Campaña]]))</f>
        <v>Cmp-017</v>
      </c>
      <c r="O1990" t="str">
        <f>TRIM(PROPER(Tabla_auditoría[[#This Row],[Canal]]))</f>
        <v>Paid Search</v>
      </c>
      <c r="P1990" t="str">
        <f>TRIM(PROPER(Tabla_auditoría[[#This Row],[País]]))</f>
        <v>España</v>
      </c>
      <c r="Q1990" t="str">
        <f>TRIM(PROPER(Tabla_auditoría[[#This Row],[Dispositivo]]))</f>
        <v>Mobile</v>
      </c>
      <c r="R1990" t="str">
        <f>TRIM(PROPER(Tabla_auditoría[[#This Row],[Tipo_Campaña]]))</f>
        <v>Reconocimiento</v>
      </c>
      <c r="S1990" t="str">
        <f>TRIM(PROPER(Tabla_auditoría[[#This Row],[Responsable]]))</f>
        <v>Laura Pérez</v>
      </c>
    </row>
    <row r="1991" spans="1:19" x14ac:dyDescent="0.3">
      <c r="A1991" s="1">
        <v>45961</v>
      </c>
      <c r="B1991" s="2" t="s">
        <v>2520</v>
      </c>
      <c r="C1991" s="2" t="s">
        <v>2533</v>
      </c>
      <c r="D1991" s="2" t="s">
        <v>2528</v>
      </c>
      <c r="E1991" s="2" t="s">
        <v>2517</v>
      </c>
      <c r="F1991" s="3">
        <v>168291</v>
      </c>
      <c r="G1991" s="3">
        <v>2775</v>
      </c>
      <c r="H1991" s="3">
        <v>192</v>
      </c>
      <c r="I1991" s="4">
        <v>1395.21</v>
      </c>
      <c r="J1991" s="4">
        <v>33405.129999999997</v>
      </c>
      <c r="K1991" s="3">
        <v>135</v>
      </c>
      <c r="L1991" s="2" t="s">
        <v>2536</v>
      </c>
      <c r="M1991" s="2" t="s">
        <v>2519</v>
      </c>
      <c r="N1991" t="str">
        <f>TRIM(PROPER(Tabla_auditoría[[#This Row],[ID_Campaña]]))</f>
        <v>Cmp-009</v>
      </c>
      <c r="O1991" t="str">
        <f>TRIM(PROPER(Tabla_auditoría[[#This Row],[Canal]]))</f>
        <v>Paid Social</v>
      </c>
      <c r="P1991" t="str">
        <f>TRIM(PROPER(Tabla_auditoría[[#This Row],[País]]))</f>
        <v>España</v>
      </c>
      <c r="Q1991" t="str">
        <f>TRIM(PROPER(Tabla_auditoría[[#This Row],[Dispositivo]]))</f>
        <v>Desktop</v>
      </c>
      <c r="R1991" t="str">
        <f>TRIM(PROPER(Tabla_auditoría[[#This Row],[Tipo_Campaña]]))</f>
        <v>Reconocimiento</v>
      </c>
      <c r="S1991" t="str">
        <f>TRIM(PROPER(Tabla_auditoría[[#This Row],[Responsable]]))</f>
        <v>Carlos Ruiz</v>
      </c>
    </row>
    <row r="1992" spans="1:19" x14ac:dyDescent="0.3">
      <c r="A1992" s="1">
        <v>45786</v>
      </c>
      <c r="B1992" s="2" t="s">
        <v>2551</v>
      </c>
      <c r="C1992" s="2" t="s">
        <v>2521</v>
      </c>
      <c r="D1992" s="2" t="s">
        <v>2516</v>
      </c>
      <c r="E1992" s="2" t="s">
        <v>2529</v>
      </c>
      <c r="F1992" s="3">
        <v>120665</v>
      </c>
      <c r="G1992" s="3">
        <v>8398</v>
      </c>
      <c r="H1992" s="3">
        <v>1084</v>
      </c>
      <c r="I1992" s="4">
        <v>8577.49</v>
      </c>
      <c r="J1992" s="4">
        <v>42890.92</v>
      </c>
      <c r="K1992" s="3">
        <v>563</v>
      </c>
      <c r="L1992" s="2" t="s">
        <v>2539</v>
      </c>
      <c r="M1992" s="2" t="s">
        <v>2546</v>
      </c>
      <c r="N1992" t="str">
        <f>TRIM(PROPER(Tabla_auditoría[[#This Row],[ID_Campaña]]))</f>
        <v>Cmp-028</v>
      </c>
      <c r="O1992" t="str">
        <f>TRIM(PROPER(Tabla_auditoría[[#This Row],[Canal]]))</f>
        <v>Paid Search</v>
      </c>
      <c r="P1992" t="str">
        <f>TRIM(PROPER(Tabla_auditoría[[#This Row],[País]]))</f>
        <v>México</v>
      </c>
      <c r="Q1992" t="str">
        <f>TRIM(PROPER(Tabla_auditoría[[#This Row],[Dispositivo]]))</f>
        <v>Mobile</v>
      </c>
      <c r="R1992" t="str">
        <f>TRIM(PROPER(Tabla_auditoría[[#This Row],[Tipo_Campaña]]))</f>
        <v>Conversión</v>
      </c>
      <c r="S1992" t="str">
        <f>TRIM(PROPER(Tabla_auditoría[[#This Row],[Responsable]]))</f>
        <v>Ana García</v>
      </c>
    </row>
    <row r="1993" spans="1:19" x14ac:dyDescent="0.3">
      <c r="A1993" s="1">
        <v>45873</v>
      </c>
      <c r="B1993" s="2" t="s">
        <v>2552</v>
      </c>
      <c r="C1993" s="2" t="s">
        <v>2527</v>
      </c>
      <c r="D1993" s="2" t="s">
        <v>2528</v>
      </c>
      <c r="E1993" s="2" t="s">
        <v>2517</v>
      </c>
      <c r="F1993" s="3">
        <v>75171</v>
      </c>
      <c r="G1993" s="3">
        <v>5135</v>
      </c>
      <c r="H1993" s="3">
        <v>551</v>
      </c>
      <c r="I1993" s="4">
        <v>9981.5400000000009</v>
      </c>
      <c r="J1993" s="4">
        <v>47412.03</v>
      </c>
      <c r="K1993" s="3">
        <v>320</v>
      </c>
      <c r="L1993" s="2" t="s">
        <v>2536</v>
      </c>
      <c r="M1993" s="2" t="s">
        <v>2537</v>
      </c>
      <c r="N1993" t="str">
        <f>TRIM(PROPER(Tabla_auditoría[[#This Row],[ID_Campaña]]))</f>
        <v>Cmp-012</v>
      </c>
      <c r="O1993" t="str">
        <f>TRIM(PROPER(Tabla_auditoría[[#This Row],[Canal]]))</f>
        <v>Affiliate</v>
      </c>
      <c r="P1993" t="str">
        <f>TRIM(PROPER(Tabla_auditoría[[#This Row],[País]]))</f>
        <v>España</v>
      </c>
      <c r="Q1993" t="str">
        <f>TRIM(PROPER(Tabla_auditoría[[#This Row],[Dispositivo]]))</f>
        <v>Desktop</v>
      </c>
      <c r="R1993" t="str">
        <f>TRIM(PROPER(Tabla_auditoría[[#This Row],[Tipo_Campaña]]))</f>
        <v>Reconocimiento</v>
      </c>
      <c r="S1993" t="str">
        <f>TRIM(PROPER(Tabla_auditoría[[#This Row],[Responsable]]))</f>
        <v>Marta López</v>
      </c>
    </row>
    <row r="1994" spans="1:19" x14ac:dyDescent="0.3">
      <c r="A1994" s="1">
        <v>45998</v>
      </c>
      <c r="B1994" s="2" t="s">
        <v>2568</v>
      </c>
      <c r="C1994" s="2" t="s">
        <v>2521</v>
      </c>
      <c r="D1994" s="2" t="s">
        <v>2528</v>
      </c>
      <c r="E1994" s="2" t="s">
        <v>2529</v>
      </c>
      <c r="F1994" s="3">
        <v>110768</v>
      </c>
      <c r="G1994" s="3">
        <v>6295</v>
      </c>
      <c r="H1994" s="3">
        <v>598</v>
      </c>
      <c r="I1994" s="4">
        <v>10180.870000000001</v>
      </c>
      <c r="J1994" s="4">
        <v>82640.13</v>
      </c>
      <c r="K1994" s="3">
        <v>294</v>
      </c>
      <c r="L1994" s="2" t="s">
        <v>2539</v>
      </c>
      <c r="M1994" s="2" t="s">
        <v>2546</v>
      </c>
      <c r="N1994" t="str">
        <f>TRIM(PROPER(Tabla_auditoría[[#This Row],[ID_Campaña]]))</f>
        <v>Cmp-020</v>
      </c>
      <c r="O1994" t="str">
        <f>TRIM(PROPER(Tabla_auditoría[[#This Row],[Canal]]))</f>
        <v>Paid Search</v>
      </c>
      <c r="P1994" t="str">
        <f>TRIM(PROPER(Tabla_auditoría[[#This Row],[País]]))</f>
        <v>España</v>
      </c>
      <c r="Q1994" t="str">
        <f>TRIM(PROPER(Tabla_auditoría[[#This Row],[Dispositivo]]))</f>
        <v>Mobile</v>
      </c>
      <c r="R1994" t="str">
        <f>TRIM(PROPER(Tabla_auditoría[[#This Row],[Tipo_Campaña]]))</f>
        <v>Conversión</v>
      </c>
      <c r="S1994" t="str">
        <f>TRIM(PROPER(Tabla_auditoría[[#This Row],[Responsable]]))</f>
        <v>Ana García</v>
      </c>
    </row>
    <row r="1995" spans="1:19" x14ac:dyDescent="0.3">
      <c r="A1995" s="1">
        <v>45672</v>
      </c>
      <c r="B1995" s="2" t="s">
        <v>2530</v>
      </c>
      <c r="C1995" s="2" t="s">
        <v>2515</v>
      </c>
      <c r="D1995" s="2" t="s">
        <v>2528</v>
      </c>
      <c r="E1995" s="2" t="s">
        <v>2517</v>
      </c>
      <c r="F1995" s="3">
        <v>94015</v>
      </c>
      <c r="G1995" s="3">
        <v>7166</v>
      </c>
      <c r="H1995" s="3">
        <v>549</v>
      </c>
      <c r="I1995" s="4">
        <v>10032.92</v>
      </c>
      <c r="J1995" s="4">
        <v>34863.93</v>
      </c>
      <c r="K1995" s="3">
        <v>326</v>
      </c>
      <c r="L1995" s="2" t="s">
        <v>2539</v>
      </c>
      <c r="M1995" s="2" t="s">
        <v>2524</v>
      </c>
      <c r="N1995" t="str">
        <f>TRIM(PROPER(Tabla_auditoría[[#This Row],[ID_Campaña]]))</f>
        <v>Cmp-026</v>
      </c>
      <c r="O1995" t="str">
        <f>TRIM(PROPER(Tabla_auditoría[[#This Row],[Canal]]))</f>
        <v>Email</v>
      </c>
      <c r="P1995" t="str">
        <f>TRIM(PROPER(Tabla_auditoría[[#This Row],[País]]))</f>
        <v>España</v>
      </c>
      <c r="Q1995" t="str">
        <f>TRIM(PROPER(Tabla_auditoría[[#This Row],[Dispositivo]]))</f>
        <v>Desktop</v>
      </c>
      <c r="R1995" t="str">
        <f>TRIM(PROPER(Tabla_auditoría[[#This Row],[Tipo_Campaña]]))</f>
        <v>Conversión</v>
      </c>
      <c r="S1995" t="str">
        <f>TRIM(PROPER(Tabla_auditoría[[#This Row],[Responsable]]))</f>
        <v>Luis Martín</v>
      </c>
    </row>
    <row r="1996" spans="1:19" x14ac:dyDescent="0.3">
      <c r="A1996" s="1">
        <v>45890</v>
      </c>
      <c r="B1996" s="2" t="s">
        <v>2565</v>
      </c>
      <c r="C1996" s="2" t="s">
        <v>2543</v>
      </c>
      <c r="D1996" s="2" t="s">
        <v>2516</v>
      </c>
      <c r="E1996" s="2" t="s">
        <v>2517</v>
      </c>
      <c r="F1996" s="3">
        <v>138818</v>
      </c>
      <c r="G1996" s="3">
        <v>6807</v>
      </c>
      <c r="H1996" s="3">
        <v>535</v>
      </c>
      <c r="I1996" s="4">
        <v>9413.2900000000009</v>
      </c>
      <c r="J1996" s="4">
        <v>84720.36</v>
      </c>
      <c r="K1996" s="3">
        <v>297</v>
      </c>
      <c r="L1996" s="2" t="s">
        <v>2536</v>
      </c>
      <c r="M1996" s="2" t="s">
        <v>2519</v>
      </c>
      <c r="N1996" t="str">
        <f>TRIM(PROPER(Tabla_auditoría[[#This Row],[ID_Campaña]]))</f>
        <v>Cmp-005</v>
      </c>
      <c r="O1996" t="str">
        <f>TRIM(PROPER(Tabla_auditoría[[#This Row],[Canal]]))</f>
        <v>Organic Social</v>
      </c>
      <c r="P1996" t="str">
        <f>TRIM(PROPER(Tabla_auditoría[[#This Row],[País]]))</f>
        <v>México</v>
      </c>
      <c r="Q1996" t="str">
        <f>TRIM(PROPER(Tabla_auditoría[[#This Row],[Dispositivo]]))</f>
        <v>Desktop</v>
      </c>
      <c r="R1996" t="str">
        <f>TRIM(PROPER(Tabla_auditoría[[#This Row],[Tipo_Campaña]]))</f>
        <v>Reconocimiento</v>
      </c>
      <c r="S1996" t="str">
        <f>TRIM(PROPER(Tabla_auditoría[[#This Row],[Responsable]]))</f>
        <v>Carlos Ruiz</v>
      </c>
    </row>
    <row r="1997" spans="1:19" x14ac:dyDescent="0.3">
      <c r="A1997" s="1">
        <v>45897</v>
      </c>
      <c r="B1997" s="2" t="s">
        <v>2564</v>
      </c>
      <c r="C1997" s="2" t="s">
        <v>2541</v>
      </c>
      <c r="D1997" s="2" t="s">
        <v>2528</v>
      </c>
      <c r="E1997" s="2" t="s">
        <v>2559</v>
      </c>
      <c r="F1997" s="3">
        <v>7381</v>
      </c>
      <c r="G1997" s="3">
        <v>54</v>
      </c>
      <c r="H1997" s="3">
        <v>4</v>
      </c>
      <c r="I1997" s="4">
        <v>80.959999999999994</v>
      </c>
      <c r="J1997" s="4">
        <v>426.98</v>
      </c>
      <c r="K1997" s="3">
        <v>1</v>
      </c>
      <c r="L1997" s="2" t="s">
        <v>2523</v>
      </c>
      <c r="M1997" s="2" t="s">
        <v>2537</v>
      </c>
      <c r="N1997" t="str">
        <f>TRIM(PROPER(Tabla_auditoría[[#This Row],[ID_Campaña]]))</f>
        <v>Cmp-024</v>
      </c>
      <c r="O1997" t="str">
        <f>TRIM(PROPER(Tabla_auditoría[[#This Row],[Canal]]))</f>
        <v>Display</v>
      </c>
      <c r="P1997" t="str">
        <f>TRIM(PROPER(Tabla_auditoría[[#This Row],[País]]))</f>
        <v>España</v>
      </c>
      <c r="Q1997" t="str">
        <f>TRIM(PROPER(Tabla_auditoría[[#This Row],[Dispositivo]]))</f>
        <v>Desktop</v>
      </c>
      <c r="R1997" t="str">
        <f>TRIM(PROPER(Tabla_auditoría[[#This Row],[Tipo_Campaña]]))</f>
        <v>Retención</v>
      </c>
      <c r="S1997" t="str">
        <f>TRIM(PROPER(Tabla_auditoría[[#This Row],[Responsable]]))</f>
        <v>Marta López</v>
      </c>
    </row>
    <row r="1998" spans="1:19" x14ac:dyDescent="0.3">
      <c r="A1998" s="1">
        <v>45982</v>
      </c>
      <c r="B1998" s="2" t="s">
        <v>2544</v>
      </c>
      <c r="C1998" s="2" t="s">
        <v>2515</v>
      </c>
      <c r="D1998" s="2" t="s">
        <v>2528</v>
      </c>
      <c r="E1998" s="2" t="s">
        <v>2517</v>
      </c>
      <c r="F1998" s="3">
        <v>83914</v>
      </c>
      <c r="G1998" s="3">
        <v>3544</v>
      </c>
      <c r="H1998" s="3">
        <v>404</v>
      </c>
      <c r="I1998" s="4">
        <v>4748.3599999999997</v>
      </c>
      <c r="J1998" s="4">
        <v>85178.22</v>
      </c>
      <c r="K1998" s="3">
        <v>192</v>
      </c>
      <c r="L1998" s="2" t="s">
        <v>2518</v>
      </c>
      <c r="M1998" s="2" t="s">
        <v>2546</v>
      </c>
      <c r="N1998" t="str">
        <f>TRIM(PROPER(Tabla_auditoría[[#This Row],[ID_Campaña]]))</f>
        <v>Cmp-006</v>
      </c>
      <c r="O1998" t="str">
        <f>TRIM(PROPER(Tabla_auditoría[[#This Row],[Canal]]))</f>
        <v>Email</v>
      </c>
      <c r="P1998" t="str">
        <f>TRIM(PROPER(Tabla_auditoría[[#This Row],[País]]))</f>
        <v>España</v>
      </c>
      <c r="Q1998" t="str">
        <f>TRIM(PROPER(Tabla_auditoría[[#This Row],[Dispositivo]]))</f>
        <v>Desktop</v>
      </c>
      <c r="R1998" t="str">
        <f>TRIM(PROPER(Tabla_auditoría[[#This Row],[Tipo_Campaña]]))</f>
        <v>Adquisición</v>
      </c>
      <c r="S1998" t="str">
        <f>TRIM(PROPER(Tabla_auditoría[[#This Row],[Responsable]]))</f>
        <v>Ana García</v>
      </c>
    </row>
    <row r="1999" spans="1:19" x14ac:dyDescent="0.3">
      <c r="A1999" s="1">
        <v>45897</v>
      </c>
      <c r="B1999" s="2" t="s">
        <v>2550</v>
      </c>
      <c r="C1999" s="2" t="s">
        <v>2515</v>
      </c>
      <c r="D1999" s="2" t="s">
        <v>2525</v>
      </c>
      <c r="E1999" s="2" t="s">
        <v>2517</v>
      </c>
      <c r="F1999" s="3">
        <v>151380</v>
      </c>
      <c r="G1999" s="3">
        <v>964</v>
      </c>
      <c r="H1999" s="3">
        <v>120</v>
      </c>
      <c r="I1999" s="4">
        <v>1028.8900000000001</v>
      </c>
      <c r="J1999" s="4">
        <v>19639.11</v>
      </c>
      <c r="K1999" s="3">
        <v>67</v>
      </c>
      <c r="L1999" s="2" t="s">
        <v>2539</v>
      </c>
      <c r="M1999" s="2" t="s">
        <v>2524</v>
      </c>
      <c r="N1999" t="str">
        <f>TRIM(PROPER(Tabla_auditoría[[#This Row],[ID_Campaña]]))</f>
        <v>Cmp-008</v>
      </c>
      <c r="O1999" t="str">
        <f>TRIM(PROPER(Tabla_auditoría[[#This Row],[Canal]]))</f>
        <v>Email</v>
      </c>
      <c r="P1999" t="str">
        <f>TRIM(PROPER(Tabla_auditoría[[#This Row],[País]]))</f>
        <v>Francia</v>
      </c>
      <c r="Q1999" t="str">
        <f>TRIM(PROPER(Tabla_auditoría[[#This Row],[Dispositivo]]))</f>
        <v>Desktop</v>
      </c>
      <c r="R1999" t="str">
        <f>TRIM(PROPER(Tabla_auditoría[[#This Row],[Tipo_Campaña]]))</f>
        <v>Conversión</v>
      </c>
      <c r="S1999" t="str">
        <f>TRIM(PROPER(Tabla_auditoría[[#This Row],[Responsable]]))</f>
        <v>Luis Martín</v>
      </c>
    </row>
    <row r="2000" spans="1:19" x14ac:dyDescent="0.3">
      <c r="A2000" s="1">
        <v>45768</v>
      </c>
      <c r="B2000" s="2" t="s">
        <v>2538</v>
      </c>
      <c r="C2000" s="2" t="s">
        <v>2533</v>
      </c>
      <c r="D2000" s="2" t="s">
        <v>2528</v>
      </c>
      <c r="E2000" s="2" t="s">
        <v>2517</v>
      </c>
      <c r="F2000" s="3">
        <v>33082</v>
      </c>
      <c r="G2000" s="3">
        <v>905</v>
      </c>
      <c r="H2000" s="3">
        <v>64</v>
      </c>
      <c r="I2000" s="4">
        <v>711.94</v>
      </c>
      <c r="J2000" s="4">
        <v>8995.77</v>
      </c>
      <c r="K2000" s="3">
        <v>48</v>
      </c>
      <c r="L2000" s="2" t="s">
        <v>2539</v>
      </c>
      <c r="M2000" s="2" t="s">
        <v>2546</v>
      </c>
      <c r="N2000" t="str">
        <f>TRIM(PROPER(Tabla_auditoría[[#This Row],[ID_Campaña]]))</f>
        <v>Cmp-004</v>
      </c>
      <c r="O2000" t="str">
        <f>TRIM(PROPER(Tabla_auditoría[[#This Row],[Canal]]))</f>
        <v>Paid Social</v>
      </c>
      <c r="P2000" t="str">
        <f>TRIM(PROPER(Tabla_auditoría[[#This Row],[País]]))</f>
        <v>España</v>
      </c>
      <c r="Q2000" t="str">
        <f>TRIM(PROPER(Tabla_auditoría[[#This Row],[Dispositivo]]))</f>
        <v>Desktop</v>
      </c>
      <c r="R2000" t="str">
        <f>TRIM(PROPER(Tabla_auditoría[[#This Row],[Tipo_Campaña]]))</f>
        <v>Conversión</v>
      </c>
      <c r="S2000" t="str">
        <f>TRIM(PROPER(Tabla_auditoría[[#This Row],[Responsable]]))</f>
        <v>Ana García</v>
      </c>
    </row>
    <row r="2001" spans="1:19" x14ac:dyDescent="0.3">
      <c r="A2001" s="1">
        <v>45899</v>
      </c>
      <c r="B2001" s="2" t="s">
        <v>2535</v>
      </c>
      <c r="C2001" s="2" t="s">
        <v>2527</v>
      </c>
      <c r="D2001" s="2" t="s">
        <v>2525</v>
      </c>
      <c r="E2001" s="2" t="s">
        <v>2517</v>
      </c>
      <c r="F2001" s="3">
        <v>157988</v>
      </c>
      <c r="G2001" s="3">
        <v>8843</v>
      </c>
      <c r="H2001" s="3">
        <v>1130</v>
      </c>
      <c r="I2001" s="4">
        <v>6551.17</v>
      </c>
      <c r="J2001" s="4">
        <v>225417.49</v>
      </c>
      <c r="K2001" s="3">
        <v>563</v>
      </c>
      <c r="L2001" s="2" t="s">
        <v>2536</v>
      </c>
      <c r="M2001" s="2" t="s">
        <v>2519</v>
      </c>
      <c r="N2001" t="str">
        <f>TRIM(PROPER(Tabla_auditoría[[#This Row],[ID_Campaña]]))</f>
        <v>Cmp-015</v>
      </c>
      <c r="O2001" t="str">
        <f>TRIM(PROPER(Tabla_auditoría[[#This Row],[Canal]]))</f>
        <v>Affiliate</v>
      </c>
      <c r="P2001" t="str">
        <f>TRIM(PROPER(Tabla_auditoría[[#This Row],[País]]))</f>
        <v>Francia</v>
      </c>
      <c r="Q2001" t="str">
        <f>TRIM(PROPER(Tabla_auditoría[[#This Row],[Dispositivo]]))</f>
        <v>Desktop</v>
      </c>
      <c r="R2001" t="str">
        <f>TRIM(PROPER(Tabla_auditoría[[#This Row],[Tipo_Campaña]]))</f>
        <v>Reconocimiento</v>
      </c>
      <c r="S2001" t="str">
        <f>TRIM(PROPER(Tabla_auditoría[[#This Row],[Responsable]]))</f>
        <v>Carlos Ruiz</v>
      </c>
    </row>
    <row r="2002" spans="1:19" x14ac:dyDescent="0.3">
      <c r="A2002" s="1">
        <v>45988</v>
      </c>
      <c r="B2002" s="2" t="s">
        <v>2571</v>
      </c>
      <c r="C2002" s="2" t="s">
        <v>2521</v>
      </c>
      <c r="D2002" s="2" t="s">
        <v>2528</v>
      </c>
      <c r="E2002" s="2" t="s">
        <v>2517</v>
      </c>
      <c r="F2002" s="3">
        <v>14540</v>
      </c>
      <c r="G2002" s="3">
        <v>1121</v>
      </c>
      <c r="H2002" s="3">
        <v>39</v>
      </c>
      <c r="I2002" s="4">
        <v>620.95000000000005</v>
      </c>
      <c r="J2002" s="4">
        <v>5713.99</v>
      </c>
      <c r="K2002" s="3">
        <v>30</v>
      </c>
      <c r="L2002" s="2" t="s">
        <v>2518</v>
      </c>
      <c r="M2002" s="2" t="s">
        <v>2537</v>
      </c>
      <c r="N2002" t="str">
        <f>TRIM(PROPER(Tabla_auditoría[[#This Row],[ID_Campaña]]))</f>
        <v>Cmp-029</v>
      </c>
      <c r="O2002" t="str">
        <f>TRIM(PROPER(Tabla_auditoría[[#This Row],[Canal]]))</f>
        <v>Paid Search</v>
      </c>
      <c r="P2002" t="str">
        <f>TRIM(PROPER(Tabla_auditoría[[#This Row],[País]]))</f>
        <v>España</v>
      </c>
      <c r="Q2002" t="str">
        <f>TRIM(PROPER(Tabla_auditoría[[#This Row],[Dispositivo]]))</f>
        <v>Desktop</v>
      </c>
      <c r="R2002" t="str">
        <f>TRIM(PROPER(Tabla_auditoría[[#This Row],[Tipo_Campaña]]))</f>
        <v>Adquisición</v>
      </c>
      <c r="S2002" t="str">
        <f>TRIM(PROPER(Tabla_auditoría[[#This Row],[Responsable]]))</f>
        <v>Marta López</v>
      </c>
    </row>
    <row r="2003" spans="1:19" x14ac:dyDescent="0.3">
      <c r="A2003" s="1">
        <v>45773</v>
      </c>
      <c r="B2003" s="2" t="s">
        <v>2542</v>
      </c>
      <c r="C2003" s="2" t="s">
        <v>2515</v>
      </c>
      <c r="D2003" s="2" t="s">
        <v>2528</v>
      </c>
      <c r="E2003" s="2" t="s">
        <v>2529</v>
      </c>
      <c r="F2003" s="3">
        <v>161274</v>
      </c>
      <c r="G2003" s="3">
        <v>4711</v>
      </c>
      <c r="H2003" s="3">
        <v>400</v>
      </c>
      <c r="I2003" s="4">
        <v>4707.37</v>
      </c>
      <c r="J2003" s="4">
        <v>79327.66</v>
      </c>
      <c r="K2003" s="3">
        <v>306</v>
      </c>
      <c r="L2003" s="2" t="s">
        <v>2518</v>
      </c>
      <c r="M2003" s="2" t="s">
        <v>2524</v>
      </c>
      <c r="N2003" t="str">
        <f>TRIM(PROPER(Tabla_auditoría[[#This Row],[ID_Campaña]]))</f>
        <v>Cmp-025</v>
      </c>
      <c r="O2003" t="str">
        <f>TRIM(PROPER(Tabla_auditoría[[#This Row],[Canal]]))</f>
        <v>Email</v>
      </c>
      <c r="P2003" t="str">
        <f>TRIM(PROPER(Tabla_auditoría[[#This Row],[País]]))</f>
        <v>España</v>
      </c>
      <c r="Q2003" t="str">
        <f>TRIM(PROPER(Tabla_auditoría[[#This Row],[Dispositivo]]))</f>
        <v>Mobile</v>
      </c>
      <c r="R2003" t="str">
        <f>TRIM(PROPER(Tabla_auditoría[[#This Row],[Tipo_Campaña]]))</f>
        <v>Adquisición</v>
      </c>
      <c r="S2003" t="str">
        <f>TRIM(PROPER(Tabla_auditoría[[#This Row],[Responsable]]))</f>
        <v>Luis Martín</v>
      </c>
    </row>
    <row r="2004" spans="1:19" x14ac:dyDescent="0.3">
      <c r="A2004" s="1">
        <v>45871</v>
      </c>
      <c r="B2004" s="2" t="s">
        <v>2563</v>
      </c>
      <c r="C2004" s="2" t="s">
        <v>2527</v>
      </c>
      <c r="D2004" s="2" t="s">
        <v>2531</v>
      </c>
      <c r="E2004" s="2" t="s">
        <v>2529</v>
      </c>
      <c r="F2004" s="3">
        <v>57294</v>
      </c>
      <c r="G2004" s="3">
        <v>1978</v>
      </c>
      <c r="H2004" s="3">
        <v>115</v>
      </c>
      <c r="I2004" s="4">
        <v>1003.79</v>
      </c>
      <c r="J2004" s="4">
        <v>4312.1499999999996</v>
      </c>
      <c r="K2004" s="3">
        <v>72</v>
      </c>
      <c r="L2004" s="2" t="s">
        <v>2523</v>
      </c>
      <c r="M2004" s="2" t="s">
        <v>2524</v>
      </c>
      <c r="N2004" t="str">
        <f>TRIM(PROPER(Tabla_auditoría[[#This Row],[ID_Campaña]]))</f>
        <v>Cmp-023</v>
      </c>
      <c r="O2004" t="str">
        <f>TRIM(PROPER(Tabla_auditoría[[#This Row],[Canal]]))</f>
        <v>Affiliate</v>
      </c>
      <c r="P2004" t="str">
        <f>TRIM(PROPER(Tabla_auditoría[[#This Row],[País]]))</f>
        <v>Portugal</v>
      </c>
      <c r="Q2004" t="str">
        <f>TRIM(PROPER(Tabla_auditoría[[#This Row],[Dispositivo]]))</f>
        <v>Mobile</v>
      </c>
      <c r="R2004" t="str">
        <f>TRIM(PROPER(Tabla_auditoría[[#This Row],[Tipo_Campaña]]))</f>
        <v>Retención</v>
      </c>
      <c r="S2004" t="str">
        <f>TRIM(PROPER(Tabla_auditoría[[#This Row],[Responsable]]))</f>
        <v>Luis Martín</v>
      </c>
    </row>
    <row r="2005" spans="1:19" x14ac:dyDescent="0.3">
      <c r="A2005" s="1">
        <v>45827</v>
      </c>
      <c r="B2005" s="2" t="s">
        <v>2574</v>
      </c>
      <c r="C2005" s="2" t="s">
        <v>2527</v>
      </c>
      <c r="D2005" s="2" t="s">
        <v>2528</v>
      </c>
      <c r="E2005" s="2" t="s">
        <v>2517</v>
      </c>
      <c r="F2005" s="3">
        <v>137271</v>
      </c>
      <c r="G2005" s="3">
        <v>11758</v>
      </c>
      <c r="H2005" s="3">
        <v>299</v>
      </c>
      <c r="I2005" s="4">
        <v>20066.89</v>
      </c>
      <c r="J2005" s="4">
        <v>47484.45</v>
      </c>
      <c r="K2005" s="3">
        <v>216</v>
      </c>
      <c r="L2005" s="2" t="s">
        <v>2536</v>
      </c>
      <c r="M2005" s="2" t="s">
        <v>2546</v>
      </c>
      <c r="N2005" t="str">
        <f>TRIM(PROPER(Tabla_auditoría[[#This Row],[ID_Campaña]]))</f>
        <v>Cmp-003</v>
      </c>
      <c r="O2005" t="str">
        <f>TRIM(PROPER(Tabla_auditoría[[#This Row],[Canal]]))</f>
        <v>Affiliate</v>
      </c>
      <c r="P2005" t="str">
        <f>TRIM(PROPER(Tabla_auditoría[[#This Row],[País]]))</f>
        <v>España</v>
      </c>
      <c r="Q2005" t="str">
        <f>TRIM(PROPER(Tabla_auditoría[[#This Row],[Dispositivo]]))</f>
        <v>Desktop</v>
      </c>
      <c r="R2005" t="str">
        <f>TRIM(PROPER(Tabla_auditoría[[#This Row],[Tipo_Campaña]]))</f>
        <v>Reconocimiento</v>
      </c>
      <c r="S2005" t="str">
        <f>TRIM(PROPER(Tabla_auditoría[[#This Row],[Responsable]]))</f>
        <v>Ana García</v>
      </c>
    </row>
    <row r="2006" spans="1:19" x14ac:dyDescent="0.3">
      <c r="A2006" s="1">
        <v>45808</v>
      </c>
      <c r="B2006" s="2" t="s">
        <v>2520</v>
      </c>
      <c r="C2006" s="2" t="s">
        <v>2521</v>
      </c>
      <c r="D2006" s="2" t="s">
        <v>2528</v>
      </c>
      <c r="E2006" s="2" t="s">
        <v>2596</v>
      </c>
      <c r="F2006" s="3">
        <v>101640</v>
      </c>
      <c r="G2006" s="3">
        <v>1313</v>
      </c>
      <c r="H2006" s="3">
        <v>56</v>
      </c>
      <c r="I2006" s="4">
        <v>1612.54</v>
      </c>
      <c r="J2006" s="4">
        <v>7992.5</v>
      </c>
      <c r="K2006" s="3">
        <v>49</v>
      </c>
      <c r="L2006" s="2" t="s">
        <v>2523</v>
      </c>
      <c r="M2006" s="2" t="s">
        <v>2537</v>
      </c>
      <c r="N2006" t="str">
        <f>TRIM(PROPER(Tabla_auditoría[[#This Row],[ID_Campaña]]))</f>
        <v>Cmp-009</v>
      </c>
      <c r="O2006" t="str">
        <f>TRIM(PROPER(Tabla_auditoría[[#This Row],[Canal]]))</f>
        <v>Paid Search</v>
      </c>
      <c r="P2006" t="str">
        <f>TRIM(PROPER(Tabla_auditoría[[#This Row],[País]]))</f>
        <v>España</v>
      </c>
      <c r="Q2006" t="str">
        <f>TRIM(PROPER(Tabla_auditoría[[#This Row],[Dispositivo]]))</f>
        <v>Tablet</v>
      </c>
      <c r="R2006" t="str">
        <f>TRIM(PROPER(Tabla_auditoría[[#This Row],[Tipo_Campaña]]))</f>
        <v>Retención</v>
      </c>
      <c r="S2006" t="str">
        <f>TRIM(PROPER(Tabla_auditoría[[#This Row],[Responsable]]))</f>
        <v>Marta López</v>
      </c>
    </row>
    <row r="2007" spans="1:19" x14ac:dyDescent="0.3">
      <c r="A2007" s="1">
        <v>45715</v>
      </c>
      <c r="B2007" s="2" t="s">
        <v>2601</v>
      </c>
      <c r="C2007" s="2" t="s">
        <v>2521</v>
      </c>
      <c r="D2007" s="2" t="s">
        <v>2528</v>
      </c>
      <c r="E2007" s="2" t="s">
        <v>2517</v>
      </c>
      <c r="F2007" s="3">
        <v>109709</v>
      </c>
      <c r="G2007" s="3">
        <v>1359</v>
      </c>
      <c r="H2007" s="3">
        <v>86</v>
      </c>
      <c r="I2007" s="4">
        <v>2143.84</v>
      </c>
      <c r="J2007" s="4">
        <v>7177.71</v>
      </c>
      <c r="K2007" s="3">
        <v>61</v>
      </c>
      <c r="L2007" s="2" t="s">
        <v>2539</v>
      </c>
      <c r="M2007" s="2" t="s">
        <v>2519</v>
      </c>
      <c r="N2007" t="str">
        <f>TRIM(PROPER(Tabla_auditoría[[#This Row],[ID_Campaña]]))</f>
        <v>Cmp-017</v>
      </c>
      <c r="O2007" t="str">
        <f>TRIM(PROPER(Tabla_auditoría[[#This Row],[Canal]]))</f>
        <v>Paid Search</v>
      </c>
      <c r="P2007" t="str">
        <f>TRIM(PROPER(Tabla_auditoría[[#This Row],[País]]))</f>
        <v>España</v>
      </c>
      <c r="Q2007" t="str">
        <f>TRIM(PROPER(Tabla_auditoría[[#This Row],[Dispositivo]]))</f>
        <v>Desktop</v>
      </c>
      <c r="R2007" t="str">
        <f>TRIM(PROPER(Tabla_auditoría[[#This Row],[Tipo_Campaña]]))</f>
        <v>Conversión</v>
      </c>
      <c r="S2007" t="str">
        <f>TRIM(PROPER(Tabla_auditoría[[#This Row],[Responsable]]))</f>
        <v>Carlos Ruiz</v>
      </c>
    </row>
    <row r="2008" spans="1:19" x14ac:dyDescent="0.3">
      <c r="A2008" s="1">
        <v>45729</v>
      </c>
      <c r="B2008" s="2" t="s">
        <v>2569</v>
      </c>
      <c r="C2008" s="2" t="s">
        <v>2541</v>
      </c>
      <c r="D2008" s="2" t="s">
        <v>2525</v>
      </c>
      <c r="E2008" s="2" t="s">
        <v>2529</v>
      </c>
      <c r="F2008" s="3">
        <v>42571</v>
      </c>
      <c r="G2008" s="3">
        <v>1818</v>
      </c>
      <c r="H2008" s="3">
        <v>236</v>
      </c>
      <c r="I2008" s="4">
        <v>3526.14</v>
      </c>
      <c r="J2008" s="4">
        <v>48212.43</v>
      </c>
      <c r="K2008" s="3">
        <v>107</v>
      </c>
      <c r="L2008" s="2" t="s">
        <v>2536</v>
      </c>
      <c r="M2008" s="2" t="s">
        <v>2546</v>
      </c>
      <c r="N2008" t="str">
        <f>TRIM(PROPER(Tabla_auditoría[[#This Row],[ID_Campaña]]))</f>
        <v>Cmp-013</v>
      </c>
      <c r="O2008" t="str">
        <f>TRIM(PROPER(Tabla_auditoría[[#This Row],[Canal]]))</f>
        <v>Display</v>
      </c>
      <c r="P2008" t="str">
        <f>TRIM(PROPER(Tabla_auditoría[[#This Row],[País]]))</f>
        <v>Francia</v>
      </c>
      <c r="Q2008" t="str">
        <f>TRIM(PROPER(Tabla_auditoría[[#This Row],[Dispositivo]]))</f>
        <v>Mobile</v>
      </c>
      <c r="R2008" t="str">
        <f>TRIM(PROPER(Tabla_auditoría[[#This Row],[Tipo_Campaña]]))</f>
        <v>Reconocimiento</v>
      </c>
      <c r="S2008" t="str">
        <f>TRIM(PROPER(Tabla_auditoría[[#This Row],[Responsable]]))</f>
        <v>Ana García</v>
      </c>
    </row>
    <row r="2009" spans="1:19" x14ac:dyDescent="0.3">
      <c r="A2009" s="1">
        <v>45941</v>
      </c>
      <c r="B2009" s="2" t="s">
        <v>2557</v>
      </c>
      <c r="C2009" s="2" t="s">
        <v>2533</v>
      </c>
      <c r="D2009" s="2" t="s">
        <v>2516</v>
      </c>
      <c r="E2009" s="2" t="s">
        <v>2517</v>
      </c>
      <c r="F2009" s="3">
        <v>9182</v>
      </c>
      <c r="G2009" s="3">
        <v>442</v>
      </c>
      <c r="H2009" s="3">
        <v>26</v>
      </c>
      <c r="I2009" s="4">
        <v>901.74</v>
      </c>
      <c r="J2009" s="4">
        <v>2508.7199999999998</v>
      </c>
      <c r="K2009" s="3">
        <v>14</v>
      </c>
      <c r="L2009" s="2" t="s">
        <v>2518</v>
      </c>
      <c r="M2009" s="2" t="s">
        <v>2537</v>
      </c>
      <c r="N2009" t="str">
        <f>TRIM(PROPER(Tabla_auditoría[[#This Row],[ID_Campaña]]))</f>
        <v>Cmp-030</v>
      </c>
      <c r="O2009" t="str">
        <f>TRIM(PROPER(Tabla_auditoría[[#This Row],[Canal]]))</f>
        <v>Paid Social</v>
      </c>
      <c r="P2009" t="str">
        <f>TRIM(PROPER(Tabla_auditoría[[#This Row],[País]]))</f>
        <v>México</v>
      </c>
      <c r="Q2009" t="str">
        <f>TRIM(PROPER(Tabla_auditoría[[#This Row],[Dispositivo]]))</f>
        <v>Desktop</v>
      </c>
      <c r="R2009" t="str">
        <f>TRIM(PROPER(Tabla_auditoría[[#This Row],[Tipo_Campaña]]))</f>
        <v>Adquisición</v>
      </c>
      <c r="S2009" t="str">
        <f>TRIM(PROPER(Tabla_auditoría[[#This Row],[Responsable]]))</f>
        <v>Marta López</v>
      </c>
    </row>
    <row r="2010" spans="1:19" x14ac:dyDescent="0.3">
      <c r="A2010" s="1">
        <v>45677</v>
      </c>
      <c r="B2010" s="2" t="s">
        <v>2574</v>
      </c>
      <c r="C2010" s="2" t="s">
        <v>2527</v>
      </c>
      <c r="D2010" s="2" t="s">
        <v>2528</v>
      </c>
      <c r="E2010" s="2" t="s">
        <v>2529</v>
      </c>
      <c r="F2010" s="3">
        <v>112669</v>
      </c>
      <c r="G2010" s="3">
        <v>6856</v>
      </c>
      <c r="H2010" s="3">
        <v>150</v>
      </c>
      <c r="I2010" s="4">
        <v>8672.9500000000007</v>
      </c>
      <c r="J2010" s="4">
        <v>11139.85</v>
      </c>
      <c r="K2010" s="3">
        <v>97</v>
      </c>
      <c r="L2010" s="2" t="s">
        <v>2536</v>
      </c>
      <c r="M2010" s="2" t="s">
        <v>2537</v>
      </c>
      <c r="N2010" t="str">
        <f>TRIM(PROPER(Tabla_auditoría[[#This Row],[ID_Campaña]]))</f>
        <v>Cmp-003</v>
      </c>
      <c r="O2010" t="str">
        <f>TRIM(PROPER(Tabla_auditoría[[#This Row],[Canal]]))</f>
        <v>Affiliate</v>
      </c>
      <c r="P2010" t="str">
        <f>TRIM(PROPER(Tabla_auditoría[[#This Row],[País]]))</f>
        <v>España</v>
      </c>
      <c r="Q2010" t="str">
        <f>TRIM(PROPER(Tabla_auditoría[[#This Row],[Dispositivo]]))</f>
        <v>Mobile</v>
      </c>
      <c r="R2010" t="str">
        <f>TRIM(PROPER(Tabla_auditoría[[#This Row],[Tipo_Campaña]]))</f>
        <v>Reconocimiento</v>
      </c>
      <c r="S2010" t="str">
        <f>TRIM(PROPER(Tabla_auditoría[[#This Row],[Responsable]]))</f>
        <v>Marta López</v>
      </c>
    </row>
    <row r="2011" spans="1:19" x14ac:dyDescent="0.3">
      <c r="A2011" s="1">
        <v>45671</v>
      </c>
      <c r="B2011" s="2" t="s">
        <v>2549</v>
      </c>
      <c r="C2011" s="2" t="s">
        <v>2541</v>
      </c>
      <c r="D2011" s="2" t="s">
        <v>2528</v>
      </c>
      <c r="E2011" s="2" t="s">
        <v>2529</v>
      </c>
      <c r="F2011" s="3">
        <v>179106</v>
      </c>
      <c r="G2011" s="3">
        <v>2824</v>
      </c>
      <c r="H2011" s="3">
        <v>329</v>
      </c>
      <c r="I2011" s="4">
        <v>519.91999999999996</v>
      </c>
      <c r="J2011" s="4">
        <v>14050.65</v>
      </c>
      <c r="K2011" s="3">
        <v>171</v>
      </c>
      <c r="L2011" s="2" t="s">
        <v>2518</v>
      </c>
      <c r="M2011" s="2" t="s">
        <v>2519</v>
      </c>
      <c r="N2011" t="str">
        <f>TRIM(PROPER(Tabla_auditoría[[#This Row],[ID_Campaña]]))</f>
        <v>Cmp-007</v>
      </c>
      <c r="O2011" t="str">
        <f>TRIM(PROPER(Tabla_auditoría[[#This Row],[Canal]]))</f>
        <v>Display</v>
      </c>
      <c r="P2011" t="str">
        <f>TRIM(PROPER(Tabla_auditoría[[#This Row],[País]]))</f>
        <v>España</v>
      </c>
      <c r="Q2011" t="str">
        <f>TRIM(PROPER(Tabla_auditoría[[#This Row],[Dispositivo]]))</f>
        <v>Mobile</v>
      </c>
      <c r="R2011" t="str">
        <f>TRIM(PROPER(Tabla_auditoría[[#This Row],[Tipo_Campaña]]))</f>
        <v>Adquisición</v>
      </c>
      <c r="S2011" t="str">
        <f>TRIM(PROPER(Tabla_auditoría[[#This Row],[Responsable]]))</f>
        <v>Carlos Ruiz</v>
      </c>
    </row>
    <row r="2012" spans="1:19" x14ac:dyDescent="0.3">
      <c r="A2012" s="1">
        <v>45998</v>
      </c>
      <c r="B2012" s="2" t="s">
        <v>2565</v>
      </c>
      <c r="C2012" s="2" t="s">
        <v>2543</v>
      </c>
      <c r="D2012" s="2" t="s">
        <v>2528</v>
      </c>
      <c r="E2012" s="2" t="s">
        <v>2559</v>
      </c>
      <c r="F2012" s="3">
        <v>179046</v>
      </c>
      <c r="G2012" s="3">
        <v>14730</v>
      </c>
      <c r="H2012" s="3">
        <v>1870</v>
      </c>
      <c r="I2012" s="4">
        <v>23501.56</v>
      </c>
      <c r="J2012" s="4">
        <v>299302.28999999998</v>
      </c>
      <c r="K2012" s="3">
        <v>1366</v>
      </c>
      <c r="L2012" s="2" t="s">
        <v>2518</v>
      </c>
      <c r="M2012" s="2" t="s">
        <v>2526</v>
      </c>
      <c r="N2012" t="str">
        <f>TRIM(PROPER(Tabla_auditoría[[#This Row],[ID_Campaña]]))</f>
        <v>Cmp-005</v>
      </c>
      <c r="O2012" t="str">
        <f>TRIM(PROPER(Tabla_auditoría[[#This Row],[Canal]]))</f>
        <v>Organic Social</v>
      </c>
      <c r="P2012" t="str">
        <f>TRIM(PROPER(Tabla_auditoría[[#This Row],[País]]))</f>
        <v>España</v>
      </c>
      <c r="Q2012" t="str">
        <f>TRIM(PROPER(Tabla_auditoría[[#This Row],[Dispositivo]]))</f>
        <v>Desktop</v>
      </c>
      <c r="R2012" t="str">
        <f>TRIM(PROPER(Tabla_auditoría[[#This Row],[Tipo_Campaña]]))</f>
        <v>Adquisición</v>
      </c>
      <c r="S2012" t="str">
        <f>TRIM(PROPER(Tabla_auditoría[[#This Row],[Responsable]]))</f>
        <v>Laura Pérez</v>
      </c>
    </row>
    <row r="2013" spans="1:19" x14ac:dyDescent="0.3">
      <c r="A2013" s="1">
        <v>45901</v>
      </c>
      <c r="B2013" s="2" t="s">
        <v>2514</v>
      </c>
      <c r="C2013" s="2" t="s">
        <v>2515</v>
      </c>
      <c r="D2013" s="2" t="s">
        <v>2516</v>
      </c>
      <c r="E2013" s="2" t="s">
        <v>2529</v>
      </c>
      <c r="F2013" s="3">
        <v>103498</v>
      </c>
      <c r="G2013" s="3">
        <v>3048</v>
      </c>
      <c r="H2013" s="3">
        <v>419</v>
      </c>
      <c r="I2013" s="4">
        <v>4067.56</v>
      </c>
      <c r="J2013" s="4">
        <v>78539.23</v>
      </c>
      <c r="K2013" s="3">
        <v>250</v>
      </c>
      <c r="L2013" s="2" t="s">
        <v>2539</v>
      </c>
      <c r="M2013" s="2" t="s">
        <v>2519</v>
      </c>
      <c r="N2013" t="str">
        <f>TRIM(PROPER(Tabla_auditoría[[#This Row],[ID_Campaña]]))</f>
        <v>Cmp-002</v>
      </c>
      <c r="O2013" t="str">
        <f>TRIM(PROPER(Tabla_auditoría[[#This Row],[Canal]]))</f>
        <v>Email</v>
      </c>
      <c r="P2013" t="str">
        <f>TRIM(PROPER(Tabla_auditoría[[#This Row],[País]]))</f>
        <v>México</v>
      </c>
      <c r="Q2013" t="str">
        <f>TRIM(PROPER(Tabla_auditoría[[#This Row],[Dispositivo]]))</f>
        <v>Mobile</v>
      </c>
      <c r="R2013" t="str">
        <f>TRIM(PROPER(Tabla_auditoría[[#This Row],[Tipo_Campaña]]))</f>
        <v>Conversión</v>
      </c>
      <c r="S2013" t="str">
        <f>TRIM(PROPER(Tabla_auditoría[[#This Row],[Responsable]]))</f>
        <v>Carlos Ruiz</v>
      </c>
    </row>
    <row r="2014" spans="1:19" x14ac:dyDescent="0.3">
      <c r="A2014" s="1">
        <v>45773</v>
      </c>
      <c r="B2014" s="2" t="s">
        <v>2563</v>
      </c>
      <c r="C2014" s="2" t="s">
        <v>2527</v>
      </c>
      <c r="D2014" s="2" t="s">
        <v>2531</v>
      </c>
      <c r="E2014" s="2" t="s">
        <v>2529</v>
      </c>
      <c r="F2014" s="3">
        <v>176129</v>
      </c>
      <c r="G2014" s="3">
        <v>13853</v>
      </c>
      <c r="H2014" s="3">
        <v>831</v>
      </c>
      <c r="I2014" s="4">
        <v>20566.77</v>
      </c>
      <c r="J2014" s="4">
        <v>14690.84</v>
      </c>
      <c r="K2014" s="3">
        <v>726</v>
      </c>
      <c r="L2014" s="2" t="s">
        <v>2539</v>
      </c>
      <c r="M2014" s="2" t="s">
        <v>2537</v>
      </c>
      <c r="N2014" t="str">
        <f>TRIM(PROPER(Tabla_auditoría[[#This Row],[ID_Campaña]]))</f>
        <v>Cmp-023</v>
      </c>
      <c r="O2014" t="str">
        <f>TRIM(PROPER(Tabla_auditoría[[#This Row],[Canal]]))</f>
        <v>Affiliate</v>
      </c>
      <c r="P2014" t="str">
        <f>TRIM(PROPER(Tabla_auditoría[[#This Row],[País]]))</f>
        <v>Portugal</v>
      </c>
      <c r="Q2014" t="str">
        <f>TRIM(PROPER(Tabla_auditoría[[#This Row],[Dispositivo]]))</f>
        <v>Mobile</v>
      </c>
      <c r="R2014" t="str">
        <f>TRIM(PROPER(Tabla_auditoría[[#This Row],[Tipo_Campaña]]))</f>
        <v>Conversión</v>
      </c>
      <c r="S2014" t="str">
        <f>TRIM(PROPER(Tabla_auditoría[[#This Row],[Responsable]]))</f>
        <v>Marta López</v>
      </c>
    </row>
    <row r="2015" spans="1:19" x14ac:dyDescent="0.3">
      <c r="A2015" s="1">
        <v>45831</v>
      </c>
      <c r="B2015" s="2" t="s">
        <v>2549</v>
      </c>
      <c r="C2015" s="2" t="s">
        <v>2527</v>
      </c>
      <c r="D2015" s="2" t="s">
        <v>2528</v>
      </c>
      <c r="E2015" s="2" t="s">
        <v>2529</v>
      </c>
      <c r="F2015" s="3">
        <v>158664</v>
      </c>
      <c r="G2015" s="3">
        <v>8954</v>
      </c>
      <c r="H2015" s="3">
        <v>390</v>
      </c>
      <c r="I2015" s="4">
        <v>10101.15</v>
      </c>
      <c r="J2015" s="4">
        <v>79675.42</v>
      </c>
      <c r="K2015" s="3">
        <v>335</v>
      </c>
      <c r="L2015" s="2" t="s">
        <v>2536</v>
      </c>
      <c r="M2015" s="2" t="s">
        <v>2519</v>
      </c>
      <c r="N2015" t="str">
        <f>TRIM(PROPER(Tabla_auditoría[[#This Row],[ID_Campaña]]))</f>
        <v>Cmp-007</v>
      </c>
      <c r="O2015" t="str">
        <f>TRIM(PROPER(Tabla_auditoría[[#This Row],[Canal]]))</f>
        <v>Affiliate</v>
      </c>
      <c r="P2015" t="str">
        <f>TRIM(PROPER(Tabla_auditoría[[#This Row],[País]]))</f>
        <v>España</v>
      </c>
      <c r="Q2015" t="str">
        <f>TRIM(PROPER(Tabla_auditoría[[#This Row],[Dispositivo]]))</f>
        <v>Mobile</v>
      </c>
      <c r="R2015" t="str">
        <f>TRIM(PROPER(Tabla_auditoría[[#This Row],[Tipo_Campaña]]))</f>
        <v>Reconocimiento</v>
      </c>
      <c r="S2015" t="str">
        <f>TRIM(PROPER(Tabla_auditoría[[#This Row],[Responsable]]))</f>
        <v>Carlos Ruiz</v>
      </c>
    </row>
    <row r="2016" spans="1:19" x14ac:dyDescent="0.3">
      <c r="A2016" s="1">
        <v>45922</v>
      </c>
      <c r="B2016" s="2" t="s">
        <v>2544</v>
      </c>
      <c r="C2016" s="2" t="s">
        <v>2543</v>
      </c>
      <c r="D2016" s="2" t="s">
        <v>2528</v>
      </c>
      <c r="E2016" s="2" t="s">
        <v>2529</v>
      </c>
      <c r="F2016" s="3">
        <v>145672</v>
      </c>
      <c r="G2016" s="3">
        <v>3955</v>
      </c>
      <c r="H2016" s="3">
        <v>293</v>
      </c>
      <c r="I2016" s="4">
        <v>868.49</v>
      </c>
      <c r="J2016" s="4">
        <v>24625.15</v>
      </c>
      <c r="K2016" s="3">
        <v>173</v>
      </c>
      <c r="L2016" s="2" t="s">
        <v>2523</v>
      </c>
      <c r="M2016" s="2" t="s">
        <v>2524</v>
      </c>
      <c r="N2016" t="str">
        <f>TRIM(PROPER(Tabla_auditoría[[#This Row],[ID_Campaña]]))</f>
        <v>Cmp-006</v>
      </c>
      <c r="O2016" t="str">
        <f>TRIM(PROPER(Tabla_auditoría[[#This Row],[Canal]]))</f>
        <v>Organic Social</v>
      </c>
      <c r="P2016" t="str">
        <f>TRIM(PROPER(Tabla_auditoría[[#This Row],[País]]))</f>
        <v>España</v>
      </c>
      <c r="Q2016" t="str">
        <f>TRIM(PROPER(Tabla_auditoría[[#This Row],[Dispositivo]]))</f>
        <v>Mobile</v>
      </c>
      <c r="R2016" t="str">
        <f>TRIM(PROPER(Tabla_auditoría[[#This Row],[Tipo_Campaña]]))</f>
        <v>Retención</v>
      </c>
      <c r="S2016" t="str">
        <f>TRIM(PROPER(Tabla_auditoría[[#This Row],[Responsable]]))</f>
        <v>Luis Martín</v>
      </c>
    </row>
    <row r="2017" spans="1:19" x14ac:dyDescent="0.3">
      <c r="A2017" s="1">
        <v>45796</v>
      </c>
      <c r="B2017" s="2" t="s">
        <v>2560</v>
      </c>
      <c r="C2017" s="2" t="s">
        <v>2521</v>
      </c>
      <c r="D2017" s="2" t="s">
        <v>2528</v>
      </c>
      <c r="E2017" s="2" t="s">
        <v>2517</v>
      </c>
      <c r="F2017" s="3">
        <v>154863</v>
      </c>
      <c r="G2017" s="3">
        <v>1232</v>
      </c>
      <c r="H2017" s="3">
        <v>169</v>
      </c>
      <c r="I2017" s="4">
        <v>1640.22</v>
      </c>
      <c r="J2017" s="4">
        <v>11001.19</v>
      </c>
      <c r="K2017" s="3">
        <v>111</v>
      </c>
      <c r="L2017" s="2" t="s">
        <v>2539</v>
      </c>
      <c r="M2017" s="2" t="s">
        <v>2519</v>
      </c>
      <c r="N2017" t="str">
        <f>TRIM(PROPER(Tabla_auditoría[[#This Row],[ID_Campaña]]))</f>
        <v>Cmp-027</v>
      </c>
      <c r="O2017" t="str">
        <f>TRIM(PROPER(Tabla_auditoría[[#This Row],[Canal]]))</f>
        <v>Paid Search</v>
      </c>
      <c r="P2017" t="str">
        <f>TRIM(PROPER(Tabla_auditoría[[#This Row],[País]]))</f>
        <v>España</v>
      </c>
      <c r="Q2017" t="str">
        <f>TRIM(PROPER(Tabla_auditoría[[#This Row],[Dispositivo]]))</f>
        <v>Desktop</v>
      </c>
      <c r="R2017" t="str">
        <f>TRIM(PROPER(Tabla_auditoría[[#This Row],[Tipo_Campaña]]))</f>
        <v>Conversión</v>
      </c>
      <c r="S2017" t="str">
        <f>TRIM(PROPER(Tabla_auditoría[[#This Row],[Responsable]]))</f>
        <v>Carlos Ruiz</v>
      </c>
    </row>
    <row r="2018" spans="1:19" x14ac:dyDescent="0.3">
      <c r="A2018" s="1">
        <v>45749</v>
      </c>
      <c r="B2018" s="2" t="s">
        <v>2555</v>
      </c>
      <c r="D2018" s="2" t="s">
        <v>2516</v>
      </c>
      <c r="E2018" s="2" t="s">
        <v>2517</v>
      </c>
      <c r="F2018" s="3">
        <v>87557</v>
      </c>
      <c r="G2018" s="3">
        <v>5927</v>
      </c>
      <c r="H2018" s="3">
        <v>583</v>
      </c>
      <c r="I2018" s="4">
        <v>7246.65</v>
      </c>
      <c r="J2018" s="4">
        <v>60482.09</v>
      </c>
      <c r="K2018" s="3">
        <v>442</v>
      </c>
      <c r="L2018" s="2" t="s">
        <v>2539</v>
      </c>
      <c r="M2018" s="2" t="s">
        <v>2526</v>
      </c>
      <c r="N2018" t="str">
        <f>TRIM(PROPER(Tabla_auditoría[[#This Row],[ID_Campaña]]))</f>
        <v>Cmp-010</v>
      </c>
      <c r="O2018" t="str">
        <f>TRIM(PROPER(Tabla_auditoría[[#This Row],[Canal]]))</f>
        <v/>
      </c>
      <c r="P2018" t="str">
        <f>TRIM(PROPER(Tabla_auditoría[[#This Row],[País]]))</f>
        <v>México</v>
      </c>
      <c r="Q2018" t="str">
        <f>TRIM(PROPER(Tabla_auditoría[[#This Row],[Dispositivo]]))</f>
        <v>Desktop</v>
      </c>
      <c r="R2018" t="str">
        <f>TRIM(PROPER(Tabla_auditoría[[#This Row],[Tipo_Campaña]]))</f>
        <v>Conversión</v>
      </c>
      <c r="S2018" t="str">
        <f>TRIM(PROPER(Tabla_auditoría[[#This Row],[Responsable]]))</f>
        <v>Laura Pérez</v>
      </c>
    </row>
    <row r="2019" spans="1:19" x14ac:dyDescent="0.3">
      <c r="A2019" s="1">
        <v>45846</v>
      </c>
      <c r="B2019" s="2" t="s">
        <v>2532</v>
      </c>
      <c r="C2019" s="2" t="s">
        <v>2533</v>
      </c>
      <c r="D2019" s="2" t="s">
        <v>2528</v>
      </c>
      <c r="E2019" s="2" t="s">
        <v>2529</v>
      </c>
      <c r="F2019" s="3">
        <v>92895</v>
      </c>
      <c r="G2019" s="3">
        <v>2864</v>
      </c>
      <c r="H2019" s="3">
        <v>284</v>
      </c>
      <c r="I2019" s="4">
        <v>1340.52</v>
      </c>
      <c r="J2019" s="4">
        <v>37549.67</v>
      </c>
      <c r="K2019" s="3">
        <v>144</v>
      </c>
      <c r="L2019" s="2" t="s">
        <v>2523</v>
      </c>
      <c r="M2019" s="2" t="s">
        <v>2524</v>
      </c>
      <c r="N2019" t="str">
        <f>TRIM(PROPER(Tabla_auditoría[[#This Row],[ID_Campaña]]))</f>
        <v>Cmp-022</v>
      </c>
      <c r="O2019" t="str">
        <f>TRIM(PROPER(Tabla_auditoría[[#This Row],[Canal]]))</f>
        <v>Paid Social</v>
      </c>
      <c r="P2019" t="str">
        <f>TRIM(PROPER(Tabla_auditoría[[#This Row],[País]]))</f>
        <v>España</v>
      </c>
      <c r="Q2019" t="str">
        <f>TRIM(PROPER(Tabla_auditoría[[#This Row],[Dispositivo]]))</f>
        <v>Mobile</v>
      </c>
      <c r="R2019" t="str">
        <f>TRIM(PROPER(Tabla_auditoría[[#This Row],[Tipo_Campaña]]))</f>
        <v>Retención</v>
      </c>
      <c r="S2019" t="str">
        <f>TRIM(PROPER(Tabla_auditoría[[#This Row],[Responsable]]))</f>
        <v>Luis Martín</v>
      </c>
    </row>
    <row r="2020" spans="1:19" x14ac:dyDescent="0.3">
      <c r="A2020" s="1">
        <v>45863</v>
      </c>
      <c r="B2020" s="2" t="s">
        <v>2538</v>
      </c>
      <c r="C2020" s="2" t="s">
        <v>2541</v>
      </c>
      <c r="D2020" s="2" t="s">
        <v>2528</v>
      </c>
      <c r="E2020" s="2" t="s">
        <v>2517</v>
      </c>
      <c r="F2020" s="3">
        <v>170831</v>
      </c>
      <c r="G2020" s="3">
        <v>1193</v>
      </c>
      <c r="H2020" s="3">
        <v>142</v>
      </c>
      <c r="I2020" s="4">
        <v>2091.65</v>
      </c>
      <c r="J2020" s="4">
        <v>13203.92</v>
      </c>
      <c r="K2020" s="3">
        <v>85</v>
      </c>
      <c r="L2020" s="2" t="s">
        <v>2539</v>
      </c>
      <c r="M2020" s="2" t="s">
        <v>2526</v>
      </c>
      <c r="N2020" t="str">
        <f>TRIM(PROPER(Tabla_auditoría[[#This Row],[ID_Campaña]]))</f>
        <v>Cmp-004</v>
      </c>
      <c r="O2020" t="str">
        <f>TRIM(PROPER(Tabla_auditoría[[#This Row],[Canal]]))</f>
        <v>Display</v>
      </c>
      <c r="P2020" t="str">
        <f>TRIM(PROPER(Tabla_auditoría[[#This Row],[País]]))</f>
        <v>España</v>
      </c>
      <c r="Q2020" t="str">
        <f>TRIM(PROPER(Tabla_auditoría[[#This Row],[Dispositivo]]))</f>
        <v>Desktop</v>
      </c>
      <c r="R2020" t="str">
        <f>TRIM(PROPER(Tabla_auditoría[[#This Row],[Tipo_Campaña]]))</f>
        <v>Conversión</v>
      </c>
      <c r="S2020" t="str">
        <f>TRIM(PROPER(Tabla_auditoría[[#This Row],[Responsable]]))</f>
        <v>Laura Pérez</v>
      </c>
    </row>
    <row r="2021" spans="1:19" x14ac:dyDescent="0.3">
      <c r="A2021" s="1">
        <v>45661</v>
      </c>
      <c r="B2021" s="2" t="s">
        <v>2520</v>
      </c>
      <c r="C2021" s="2" t="s">
        <v>2527</v>
      </c>
      <c r="D2021" s="2" t="s">
        <v>2593</v>
      </c>
      <c r="E2021" s="2" t="s">
        <v>2529</v>
      </c>
      <c r="F2021" s="3">
        <v>108607</v>
      </c>
      <c r="G2021" s="3">
        <v>9364</v>
      </c>
      <c r="H2021" s="3">
        <v>1164</v>
      </c>
      <c r="I2021" s="4">
        <v>2454.04</v>
      </c>
      <c r="J2021" s="4">
        <v>243444.23</v>
      </c>
      <c r="K2021" s="3">
        <v>1014</v>
      </c>
      <c r="L2021" s="2" t="s">
        <v>2539</v>
      </c>
      <c r="M2021" s="2" t="s">
        <v>2524</v>
      </c>
      <c r="N2021" t="str">
        <f>TRIM(PROPER(Tabla_auditoría[[#This Row],[ID_Campaña]]))</f>
        <v>Cmp-009</v>
      </c>
      <c r="O2021" t="str">
        <f>TRIM(PROPER(Tabla_auditoría[[#This Row],[Canal]]))</f>
        <v>Affiliate</v>
      </c>
      <c r="P2021" t="str">
        <f>TRIM(PROPER(Tabla_auditoría[[#This Row],[País]]))</f>
        <v>Francia</v>
      </c>
      <c r="Q2021" t="str">
        <f>TRIM(PROPER(Tabla_auditoría[[#This Row],[Dispositivo]]))</f>
        <v>Mobile</v>
      </c>
      <c r="R2021" t="str">
        <f>TRIM(PROPER(Tabla_auditoría[[#This Row],[Tipo_Campaña]]))</f>
        <v>Conversión</v>
      </c>
      <c r="S2021" t="str">
        <f>TRIM(PROPER(Tabla_auditoría[[#This Row],[Responsable]]))</f>
        <v>Luis Martín</v>
      </c>
    </row>
    <row r="2022" spans="1:19" x14ac:dyDescent="0.3">
      <c r="A2022" s="1">
        <v>45753</v>
      </c>
      <c r="B2022" s="2" t="s">
        <v>2535</v>
      </c>
      <c r="C2022" s="2" t="s">
        <v>2541</v>
      </c>
      <c r="D2022" s="2" t="s">
        <v>2522</v>
      </c>
      <c r="E2022" s="2" t="s">
        <v>2517</v>
      </c>
      <c r="F2022" s="3">
        <v>103924</v>
      </c>
      <c r="G2022" s="3">
        <v>7435</v>
      </c>
      <c r="H2022" s="3">
        <v>748</v>
      </c>
      <c r="I2022" s="4">
        <v>10652.13</v>
      </c>
      <c r="J2022" s="4">
        <v>91140.77</v>
      </c>
      <c r="K2022" s="3">
        <v>638</v>
      </c>
      <c r="L2022" s="2" t="s">
        <v>2539</v>
      </c>
      <c r="M2022" s="2" t="s">
        <v>2546</v>
      </c>
      <c r="N2022" t="str">
        <f>TRIM(PROPER(Tabla_auditoría[[#This Row],[ID_Campaña]]))</f>
        <v>Cmp-015</v>
      </c>
      <c r="O2022" t="str">
        <f>TRIM(PROPER(Tabla_auditoría[[#This Row],[Canal]]))</f>
        <v>Display</v>
      </c>
      <c r="P2022" t="str">
        <f>TRIM(PROPER(Tabla_auditoría[[#This Row],[País]]))</f>
        <v>Italia</v>
      </c>
      <c r="Q2022" t="str">
        <f>TRIM(PROPER(Tabla_auditoría[[#This Row],[Dispositivo]]))</f>
        <v>Desktop</v>
      </c>
      <c r="R2022" t="str">
        <f>TRIM(PROPER(Tabla_auditoría[[#This Row],[Tipo_Campaña]]))</f>
        <v>Conversión</v>
      </c>
      <c r="S2022" t="str">
        <f>TRIM(PROPER(Tabla_auditoría[[#This Row],[Responsable]]))</f>
        <v>Ana García</v>
      </c>
    </row>
    <row r="2023" spans="1:19" x14ac:dyDescent="0.3">
      <c r="A2023" s="1">
        <v>45984</v>
      </c>
      <c r="B2023" s="2" t="s">
        <v>2560</v>
      </c>
      <c r="C2023" s="2" t="s">
        <v>2515</v>
      </c>
      <c r="D2023" s="2" t="s">
        <v>2573</v>
      </c>
      <c r="E2023" s="2" t="s">
        <v>2529</v>
      </c>
      <c r="F2023" s="3">
        <v>135532</v>
      </c>
      <c r="G2023" s="3">
        <v>10997</v>
      </c>
      <c r="H2023" s="3">
        <v>498</v>
      </c>
      <c r="I2023" s="4">
        <v>22907.99</v>
      </c>
      <c r="J2023" s="4">
        <v>88606.06</v>
      </c>
      <c r="K2023" s="3">
        <v>447</v>
      </c>
      <c r="L2023" s="2" t="s">
        <v>2539</v>
      </c>
      <c r="M2023" s="2" t="s">
        <v>2537</v>
      </c>
      <c r="N2023" t="str">
        <f>TRIM(PROPER(Tabla_auditoría[[#This Row],[ID_Campaña]]))</f>
        <v>Cmp-027</v>
      </c>
      <c r="O2023" t="str">
        <f>TRIM(PROPER(Tabla_auditoría[[#This Row],[Canal]]))</f>
        <v>Email</v>
      </c>
      <c r="P2023" t="str">
        <f>TRIM(PROPER(Tabla_auditoría[[#This Row],[País]]))</f>
        <v>España</v>
      </c>
      <c r="Q2023" t="str">
        <f>TRIM(PROPER(Tabla_auditoría[[#This Row],[Dispositivo]]))</f>
        <v>Mobile</v>
      </c>
      <c r="R2023" t="str">
        <f>TRIM(PROPER(Tabla_auditoría[[#This Row],[Tipo_Campaña]]))</f>
        <v>Conversión</v>
      </c>
      <c r="S2023" t="str">
        <f>TRIM(PROPER(Tabla_auditoría[[#This Row],[Responsable]]))</f>
        <v>Marta López</v>
      </c>
    </row>
    <row r="2024" spans="1:19" x14ac:dyDescent="0.3">
      <c r="A2024" s="1">
        <v>45871</v>
      </c>
      <c r="B2024" s="2" t="s">
        <v>2520</v>
      </c>
      <c r="C2024" s="2" t="s">
        <v>2543</v>
      </c>
      <c r="D2024" s="2" t="s">
        <v>2525</v>
      </c>
      <c r="E2024" s="2" t="s">
        <v>2517</v>
      </c>
      <c r="F2024" s="3">
        <v>169741</v>
      </c>
      <c r="G2024" s="3">
        <v>1978</v>
      </c>
      <c r="H2024" s="3">
        <v>259</v>
      </c>
      <c r="I2024" s="4">
        <v>435.36</v>
      </c>
      <c r="J2024" s="4">
        <v>23300.73</v>
      </c>
      <c r="K2024" s="3">
        <v>158</v>
      </c>
      <c r="L2024" s="2" t="s">
        <v>2523</v>
      </c>
      <c r="M2024" s="2" t="s">
        <v>2519</v>
      </c>
      <c r="N2024" t="str">
        <f>TRIM(PROPER(Tabla_auditoría[[#This Row],[ID_Campaña]]))</f>
        <v>Cmp-009</v>
      </c>
      <c r="O2024" t="str">
        <f>TRIM(PROPER(Tabla_auditoría[[#This Row],[Canal]]))</f>
        <v>Organic Social</v>
      </c>
      <c r="P2024" t="str">
        <f>TRIM(PROPER(Tabla_auditoría[[#This Row],[País]]))</f>
        <v>Francia</v>
      </c>
      <c r="Q2024" t="str">
        <f>TRIM(PROPER(Tabla_auditoría[[#This Row],[Dispositivo]]))</f>
        <v>Desktop</v>
      </c>
      <c r="R2024" t="str">
        <f>TRIM(PROPER(Tabla_auditoría[[#This Row],[Tipo_Campaña]]))</f>
        <v>Retención</v>
      </c>
      <c r="S2024" t="str">
        <f>TRIM(PROPER(Tabla_auditoría[[#This Row],[Responsable]]))</f>
        <v>Carlos Ruiz</v>
      </c>
    </row>
    <row r="2025" spans="1:19" x14ac:dyDescent="0.3">
      <c r="A2025" s="1">
        <v>45873</v>
      </c>
      <c r="B2025" s="2" t="s">
        <v>2571</v>
      </c>
      <c r="C2025" s="2" t="s">
        <v>2521</v>
      </c>
      <c r="D2025" s="2" t="s">
        <v>2528</v>
      </c>
      <c r="E2025" s="2" t="s">
        <v>2517</v>
      </c>
      <c r="F2025" s="3">
        <v>5815</v>
      </c>
      <c r="G2025" s="3">
        <v>379</v>
      </c>
      <c r="H2025" s="3">
        <v>19</v>
      </c>
      <c r="I2025" s="4">
        <v>638.59</v>
      </c>
      <c r="J2025" s="4">
        <v>354.26</v>
      </c>
      <c r="K2025" s="3">
        <v>16</v>
      </c>
      <c r="L2025" s="2" t="s">
        <v>2518</v>
      </c>
      <c r="M2025" s="2" t="s">
        <v>2537</v>
      </c>
      <c r="N2025" t="str">
        <f>TRIM(PROPER(Tabla_auditoría[[#This Row],[ID_Campaña]]))</f>
        <v>Cmp-029</v>
      </c>
      <c r="O2025" t="str">
        <f>TRIM(PROPER(Tabla_auditoría[[#This Row],[Canal]]))</f>
        <v>Paid Search</v>
      </c>
      <c r="P2025" t="str">
        <f>TRIM(PROPER(Tabla_auditoría[[#This Row],[País]]))</f>
        <v>España</v>
      </c>
      <c r="Q2025" t="str">
        <f>TRIM(PROPER(Tabla_auditoría[[#This Row],[Dispositivo]]))</f>
        <v>Desktop</v>
      </c>
      <c r="R2025" t="str">
        <f>TRIM(PROPER(Tabla_auditoría[[#This Row],[Tipo_Campaña]]))</f>
        <v>Adquisición</v>
      </c>
      <c r="S2025" t="str">
        <f>TRIM(PROPER(Tabla_auditoría[[#This Row],[Responsable]]))</f>
        <v>Marta López</v>
      </c>
    </row>
    <row r="2026" spans="1:19" x14ac:dyDescent="0.3">
      <c r="A2026" s="1">
        <v>45909</v>
      </c>
      <c r="B2026" s="2" t="s">
        <v>2568</v>
      </c>
      <c r="C2026" s="2" t="s">
        <v>2527</v>
      </c>
      <c r="D2026" s="2" t="s">
        <v>2525</v>
      </c>
      <c r="E2026" s="2" t="s">
        <v>2517</v>
      </c>
      <c r="F2026" s="3">
        <v>91403</v>
      </c>
      <c r="G2026" s="3">
        <v>7958</v>
      </c>
      <c r="H2026" s="3">
        <v>355</v>
      </c>
      <c r="I2026" s="4">
        <v>5697.89</v>
      </c>
      <c r="J2026" s="4">
        <v>70001.48</v>
      </c>
      <c r="K2026" s="3">
        <v>164</v>
      </c>
      <c r="L2026" s="2" t="s">
        <v>2518</v>
      </c>
      <c r="M2026" s="2" t="s">
        <v>2546</v>
      </c>
      <c r="N2026" t="str">
        <f>TRIM(PROPER(Tabla_auditoría[[#This Row],[ID_Campaña]]))</f>
        <v>Cmp-020</v>
      </c>
      <c r="O2026" t="str">
        <f>TRIM(PROPER(Tabla_auditoría[[#This Row],[Canal]]))</f>
        <v>Affiliate</v>
      </c>
      <c r="P2026" t="str">
        <f>TRIM(PROPER(Tabla_auditoría[[#This Row],[País]]))</f>
        <v>Francia</v>
      </c>
      <c r="Q2026" t="str">
        <f>TRIM(PROPER(Tabla_auditoría[[#This Row],[Dispositivo]]))</f>
        <v>Desktop</v>
      </c>
      <c r="R2026" t="str">
        <f>TRIM(PROPER(Tabla_auditoría[[#This Row],[Tipo_Campaña]]))</f>
        <v>Adquisición</v>
      </c>
      <c r="S2026" t="str">
        <f>TRIM(PROPER(Tabla_auditoría[[#This Row],[Responsable]]))</f>
        <v>Ana García</v>
      </c>
    </row>
    <row r="2027" spans="1:19" x14ac:dyDescent="0.3">
      <c r="A2027" s="1">
        <v>45899</v>
      </c>
      <c r="B2027" s="2" t="s">
        <v>2547</v>
      </c>
      <c r="C2027" s="2" t="s">
        <v>2521</v>
      </c>
      <c r="D2027" s="2" t="s">
        <v>2528</v>
      </c>
      <c r="E2027" s="2" t="s">
        <v>2517</v>
      </c>
      <c r="F2027" s="3">
        <v>12963</v>
      </c>
      <c r="G2027" s="3">
        <v>1045</v>
      </c>
      <c r="H2027" s="3">
        <v>9</v>
      </c>
      <c r="I2027" s="4">
        <v>347.6</v>
      </c>
      <c r="J2027" s="4">
        <v>478.11</v>
      </c>
      <c r="K2027" s="3">
        <v>5</v>
      </c>
      <c r="L2027" s="2" t="s">
        <v>2518</v>
      </c>
      <c r="M2027" s="2" t="s">
        <v>2546</v>
      </c>
      <c r="N2027" t="str">
        <f>TRIM(PROPER(Tabla_auditoría[[#This Row],[ID_Campaña]]))</f>
        <v>Cmp-018</v>
      </c>
      <c r="O2027" t="str">
        <f>TRIM(PROPER(Tabla_auditoría[[#This Row],[Canal]]))</f>
        <v>Paid Search</v>
      </c>
      <c r="P2027" t="str">
        <f>TRIM(PROPER(Tabla_auditoría[[#This Row],[País]]))</f>
        <v>España</v>
      </c>
      <c r="Q2027" t="str">
        <f>TRIM(PROPER(Tabla_auditoría[[#This Row],[Dispositivo]]))</f>
        <v>Desktop</v>
      </c>
      <c r="R2027" t="str">
        <f>TRIM(PROPER(Tabla_auditoría[[#This Row],[Tipo_Campaña]]))</f>
        <v>Adquisición</v>
      </c>
      <c r="S2027" t="str">
        <f>TRIM(PROPER(Tabla_auditoría[[#This Row],[Responsable]]))</f>
        <v>Ana García</v>
      </c>
    </row>
    <row r="2028" spans="1:19" x14ac:dyDescent="0.3">
      <c r="A2028" s="1">
        <v>45684</v>
      </c>
      <c r="B2028" s="2" t="s">
        <v>2520</v>
      </c>
      <c r="C2028" s="2" t="s">
        <v>2543</v>
      </c>
      <c r="D2028" s="2" t="s">
        <v>2525</v>
      </c>
      <c r="E2028" s="2" t="s">
        <v>2529</v>
      </c>
      <c r="F2028" s="3">
        <v>16358</v>
      </c>
      <c r="G2028" s="3">
        <v>216</v>
      </c>
      <c r="H2028" s="3">
        <v>2</v>
      </c>
      <c r="I2028" s="4">
        <v>335.2</v>
      </c>
      <c r="J2028" s="4">
        <v>417.2</v>
      </c>
      <c r="K2028" s="3">
        <v>1</v>
      </c>
      <c r="L2028" s="2" t="s">
        <v>2518</v>
      </c>
      <c r="M2028" s="2" t="s">
        <v>2537</v>
      </c>
      <c r="N2028" t="str">
        <f>TRIM(PROPER(Tabla_auditoría[[#This Row],[ID_Campaña]]))</f>
        <v>Cmp-009</v>
      </c>
      <c r="O2028" t="str">
        <f>TRIM(PROPER(Tabla_auditoría[[#This Row],[Canal]]))</f>
        <v>Organic Social</v>
      </c>
      <c r="P2028" t="str">
        <f>TRIM(PROPER(Tabla_auditoría[[#This Row],[País]]))</f>
        <v>Francia</v>
      </c>
      <c r="Q2028" t="str">
        <f>TRIM(PROPER(Tabla_auditoría[[#This Row],[Dispositivo]]))</f>
        <v>Mobile</v>
      </c>
      <c r="R2028" t="str">
        <f>TRIM(PROPER(Tabla_auditoría[[#This Row],[Tipo_Campaña]]))</f>
        <v>Adquisición</v>
      </c>
      <c r="S2028" t="str">
        <f>TRIM(PROPER(Tabla_auditoría[[#This Row],[Responsable]]))</f>
        <v>Marta López</v>
      </c>
    </row>
    <row r="2029" spans="1:19" x14ac:dyDescent="0.3">
      <c r="A2029" s="1">
        <v>45906</v>
      </c>
      <c r="B2029" s="2" t="s">
        <v>2554</v>
      </c>
      <c r="C2029" s="2" t="s">
        <v>2543</v>
      </c>
      <c r="D2029" s="2" t="s">
        <v>2528</v>
      </c>
      <c r="E2029" s="2" t="s">
        <v>2517</v>
      </c>
      <c r="F2029" s="3">
        <v>89532</v>
      </c>
      <c r="G2029" s="3">
        <v>5359</v>
      </c>
      <c r="H2029" s="3">
        <v>470</v>
      </c>
      <c r="I2029" s="4">
        <v>2317.08</v>
      </c>
      <c r="J2029" s="4">
        <v>24221.58</v>
      </c>
      <c r="K2029" s="3">
        <v>315</v>
      </c>
      <c r="L2029" s="2" t="s">
        <v>2536</v>
      </c>
      <c r="M2029" s="2" t="s">
        <v>2524</v>
      </c>
      <c r="N2029" t="str">
        <f>TRIM(PROPER(Tabla_auditoría[[#This Row],[ID_Campaña]]))</f>
        <v>Cmp-019</v>
      </c>
      <c r="O2029" t="str">
        <f>TRIM(PROPER(Tabla_auditoría[[#This Row],[Canal]]))</f>
        <v>Organic Social</v>
      </c>
      <c r="P2029" t="str">
        <f>TRIM(PROPER(Tabla_auditoría[[#This Row],[País]]))</f>
        <v>España</v>
      </c>
      <c r="Q2029" t="str">
        <f>TRIM(PROPER(Tabla_auditoría[[#This Row],[Dispositivo]]))</f>
        <v>Desktop</v>
      </c>
      <c r="R2029" t="str">
        <f>TRIM(PROPER(Tabla_auditoría[[#This Row],[Tipo_Campaña]]))</f>
        <v>Reconocimiento</v>
      </c>
      <c r="S2029" t="str">
        <f>TRIM(PROPER(Tabla_auditoría[[#This Row],[Responsable]]))</f>
        <v>Luis Martín</v>
      </c>
    </row>
    <row r="2030" spans="1:19" x14ac:dyDescent="0.3">
      <c r="A2030" s="1">
        <v>45818</v>
      </c>
      <c r="B2030" s="2" t="s">
        <v>2570</v>
      </c>
      <c r="C2030" s="2" t="s">
        <v>2533</v>
      </c>
      <c r="D2030" s="2" t="s">
        <v>2593</v>
      </c>
      <c r="E2030" s="2" t="s">
        <v>2517</v>
      </c>
      <c r="F2030" s="3">
        <v>94815</v>
      </c>
      <c r="G2030" s="3">
        <v>7093</v>
      </c>
      <c r="H2030" s="3">
        <v>671</v>
      </c>
      <c r="I2030" s="4">
        <v>13002.69</v>
      </c>
      <c r="J2030" s="4">
        <v>113993.99</v>
      </c>
      <c r="K2030" s="3">
        <v>420</v>
      </c>
      <c r="L2030" s="2" t="s">
        <v>2536</v>
      </c>
      <c r="M2030" s="2" t="s">
        <v>2537</v>
      </c>
      <c r="N2030" t="str">
        <f>TRIM(PROPER(Tabla_auditoría[[#This Row],[ID_Campaña]]))</f>
        <v>Cmp-016</v>
      </c>
      <c r="O2030" t="str">
        <f>TRIM(PROPER(Tabla_auditoría[[#This Row],[Canal]]))</f>
        <v>Paid Social</v>
      </c>
      <c r="P2030" t="str">
        <f>TRIM(PROPER(Tabla_auditoría[[#This Row],[País]]))</f>
        <v>Francia</v>
      </c>
      <c r="Q2030" t="str">
        <f>TRIM(PROPER(Tabla_auditoría[[#This Row],[Dispositivo]]))</f>
        <v>Desktop</v>
      </c>
      <c r="R2030" t="str">
        <f>TRIM(PROPER(Tabla_auditoría[[#This Row],[Tipo_Campaña]]))</f>
        <v>Reconocimiento</v>
      </c>
      <c r="S2030" t="str">
        <f>TRIM(PROPER(Tabla_auditoría[[#This Row],[Responsable]]))</f>
        <v>Marta López</v>
      </c>
    </row>
    <row r="2031" spans="1:19" x14ac:dyDescent="0.3">
      <c r="A2031" s="1">
        <v>45741</v>
      </c>
      <c r="B2031" s="2" t="s">
        <v>2550</v>
      </c>
      <c r="C2031" s="2" t="s">
        <v>2533</v>
      </c>
      <c r="D2031" s="2" t="s">
        <v>2528</v>
      </c>
      <c r="E2031" s="2" t="s">
        <v>2517</v>
      </c>
      <c r="F2031" s="3">
        <v>149611</v>
      </c>
      <c r="G2031" s="3">
        <v>5200</v>
      </c>
      <c r="H2031" s="3">
        <v>605</v>
      </c>
      <c r="I2031" s="4">
        <v>2523.1799999999998</v>
      </c>
      <c r="J2031" s="4">
        <v>85392.85</v>
      </c>
      <c r="K2031" s="3">
        <v>404</v>
      </c>
      <c r="L2031" s="2" t="s">
        <v>2539</v>
      </c>
      <c r="M2031" s="2" t="s">
        <v>2537</v>
      </c>
      <c r="N2031" t="str">
        <f>TRIM(PROPER(Tabla_auditoría[[#This Row],[ID_Campaña]]))</f>
        <v>Cmp-008</v>
      </c>
      <c r="O2031" t="str">
        <f>TRIM(PROPER(Tabla_auditoría[[#This Row],[Canal]]))</f>
        <v>Paid Social</v>
      </c>
      <c r="P2031" t="str">
        <f>TRIM(PROPER(Tabla_auditoría[[#This Row],[País]]))</f>
        <v>España</v>
      </c>
      <c r="Q2031" t="str">
        <f>TRIM(PROPER(Tabla_auditoría[[#This Row],[Dispositivo]]))</f>
        <v>Desktop</v>
      </c>
      <c r="R2031" t="str">
        <f>TRIM(PROPER(Tabla_auditoría[[#This Row],[Tipo_Campaña]]))</f>
        <v>Conversión</v>
      </c>
      <c r="S2031" t="str">
        <f>TRIM(PROPER(Tabla_auditoría[[#This Row],[Responsable]]))</f>
        <v>Marta López</v>
      </c>
    </row>
    <row r="2032" spans="1:19" x14ac:dyDescent="0.3">
      <c r="A2032" s="1">
        <v>45823</v>
      </c>
      <c r="B2032" s="2" t="s">
        <v>2554</v>
      </c>
      <c r="C2032" s="2" t="s">
        <v>2533</v>
      </c>
      <c r="D2032" s="2" t="s">
        <v>2525</v>
      </c>
      <c r="E2032" s="2" t="s">
        <v>2517</v>
      </c>
      <c r="F2032" s="3">
        <v>52248</v>
      </c>
      <c r="G2032" s="3">
        <v>2491</v>
      </c>
      <c r="H2032" s="3">
        <v>316</v>
      </c>
      <c r="I2032" s="4">
        <v>2233.5300000000002</v>
      </c>
      <c r="J2032" s="4">
        <v>10890.87</v>
      </c>
      <c r="K2032" s="3">
        <v>168</v>
      </c>
      <c r="L2032" s="2" t="s">
        <v>2539</v>
      </c>
      <c r="M2032" s="2" t="s">
        <v>2524</v>
      </c>
      <c r="N2032" t="str">
        <f>TRIM(PROPER(Tabla_auditoría[[#This Row],[ID_Campaña]]))</f>
        <v>Cmp-019</v>
      </c>
      <c r="O2032" t="str">
        <f>TRIM(PROPER(Tabla_auditoría[[#This Row],[Canal]]))</f>
        <v>Paid Social</v>
      </c>
      <c r="P2032" t="str">
        <f>TRIM(PROPER(Tabla_auditoría[[#This Row],[País]]))</f>
        <v>Francia</v>
      </c>
      <c r="Q2032" t="str">
        <f>TRIM(PROPER(Tabla_auditoría[[#This Row],[Dispositivo]]))</f>
        <v>Desktop</v>
      </c>
      <c r="R2032" t="str">
        <f>TRIM(PROPER(Tabla_auditoría[[#This Row],[Tipo_Campaña]]))</f>
        <v>Conversión</v>
      </c>
      <c r="S2032" t="str">
        <f>TRIM(PROPER(Tabla_auditoría[[#This Row],[Responsable]]))</f>
        <v>Luis Martín</v>
      </c>
    </row>
    <row r="2033" spans="1:19" x14ac:dyDescent="0.3">
      <c r="A2033" s="1">
        <v>45841</v>
      </c>
      <c r="B2033" s="2" t="s">
        <v>2535</v>
      </c>
      <c r="C2033" s="2" t="s">
        <v>2541</v>
      </c>
      <c r="D2033" s="2" t="s">
        <v>2522</v>
      </c>
      <c r="E2033" s="2" t="s">
        <v>2517</v>
      </c>
      <c r="F2033" s="3">
        <v>86901</v>
      </c>
      <c r="G2033" s="3">
        <v>1804</v>
      </c>
      <c r="H2033" s="3">
        <v>38</v>
      </c>
      <c r="I2033" s="4">
        <v>403.23</v>
      </c>
      <c r="J2033" s="4">
        <v>7719.65</v>
      </c>
      <c r="K2033" s="3">
        <v>22</v>
      </c>
      <c r="L2033" s="2" t="s">
        <v>2539</v>
      </c>
      <c r="M2033" s="2" t="s">
        <v>2537</v>
      </c>
      <c r="N2033" t="str">
        <f>TRIM(PROPER(Tabla_auditoría[[#This Row],[ID_Campaña]]))</f>
        <v>Cmp-015</v>
      </c>
      <c r="O2033" t="str">
        <f>TRIM(PROPER(Tabla_auditoría[[#This Row],[Canal]]))</f>
        <v>Display</v>
      </c>
      <c r="P2033" t="str">
        <f>TRIM(PROPER(Tabla_auditoría[[#This Row],[País]]))</f>
        <v>Italia</v>
      </c>
      <c r="Q2033" t="str">
        <f>TRIM(PROPER(Tabla_auditoría[[#This Row],[Dispositivo]]))</f>
        <v>Desktop</v>
      </c>
      <c r="R2033" t="str">
        <f>TRIM(PROPER(Tabla_auditoría[[#This Row],[Tipo_Campaña]]))</f>
        <v>Conversión</v>
      </c>
      <c r="S2033" t="str">
        <f>TRIM(PROPER(Tabla_auditoría[[#This Row],[Responsable]]))</f>
        <v>Marta López</v>
      </c>
    </row>
    <row r="2034" spans="1:19" x14ac:dyDescent="0.3">
      <c r="A2034" s="1">
        <v>45768</v>
      </c>
      <c r="B2034" s="2" t="s">
        <v>2552</v>
      </c>
      <c r="C2034" s="2" t="s">
        <v>2541</v>
      </c>
      <c r="D2034" s="2" t="s">
        <v>2522</v>
      </c>
      <c r="E2034" s="2" t="s">
        <v>2529</v>
      </c>
      <c r="F2034" s="3">
        <v>5619</v>
      </c>
      <c r="G2034" s="3">
        <v>169</v>
      </c>
      <c r="H2034" s="3">
        <v>2</v>
      </c>
      <c r="I2034" s="4">
        <v>256.89999999999998</v>
      </c>
      <c r="J2034" s="4">
        <v>217.56</v>
      </c>
      <c r="K2034" s="3">
        <v>1</v>
      </c>
      <c r="L2034" s="2" t="s">
        <v>2536</v>
      </c>
      <c r="M2034" s="2" t="s">
        <v>2526</v>
      </c>
      <c r="N2034" t="str">
        <f>TRIM(PROPER(Tabla_auditoría[[#This Row],[ID_Campaña]]))</f>
        <v>Cmp-012</v>
      </c>
      <c r="O2034" t="str">
        <f>TRIM(PROPER(Tabla_auditoría[[#This Row],[Canal]]))</f>
        <v>Display</v>
      </c>
      <c r="P2034" t="str">
        <f>TRIM(PROPER(Tabla_auditoría[[#This Row],[País]]))</f>
        <v>Italia</v>
      </c>
      <c r="Q2034" t="str">
        <f>TRIM(PROPER(Tabla_auditoría[[#This Row],[Dispositivo]]))</f>
        <v>Mobile</v>
      </c>
      <c r="R2034" t="str">
        <f>TRIM(PROPER(Tabla_auditoría[[#This Row],[Tipo_Campaña]]))</f>
        <v>Reconocimiento</v>
      </c>
      <c r="S2034" t="str">
        <f>TRIM(PROPER(Tabla_auditoría[[#This Row],[Responsable]]))</f>
        <v>Laura Pérez</v>
      </c>
    </row>
    <row r="2035" spans="1:19" x14ac:dyDescent="0.3">
      <c r="A2035" s="1">
        <v>45809</v>
      </c>
      <c r="B2035" s="2" t="s">
        <v>2550</v>
      </c>
      <c r="C2035" s="2" t="s">
        <v>2533</v>
      </c>
      <c r="D2035" s="2" t="s">
        <v>2528</v>
      </c>
      <c r="E2035" s="2" t="s">
        <v>2529</v>
      </c>
      <c r="F2035" s="3">
        <v>56113</v>
      </c>
      <c r="G2035" s="3">
        <v>4807</v>
      </c>
      <c r="H2035" s="3">
        <v>109</v>
      </c>
      <c r="I2035" s="4">
        <v>1766.01</v>
      </c>
      <c r="J2035" s="4">
        <v>7812.74</v>
      </c>
      <c r="K2035" s="3">
        <v>57</v>
      </c>
      <c r="L2035" s="2" t="s">
        <v>2536</v>
      </c>
      <c r="M2035" s="2" t="s">
        <v>2526</v>
      </c>
      <c r="N2035" t="str">
        <f>TRIM(PROPER(Tabla_auditoría[[#This Row],[ID_Campaña]]))</f>
        <v>Cmp-008</v>
      </c>
      <c r="O2035" t="str">
        <f>TRIM(PROPER(Tabla_auditoría[[#This Row],[Canal]]))</f>
        <v>Paid Social</v>
      </c>
      <c r="P2035" t="str">
        <f>TRIM(PROPER(Tabla_auditoría[[#This Row],[País]]))</f>
        <v>España</v>
      </c>
      <c r="Q2035" t="str">
        <f>TRIM(PROPER(Tabla_auditoría[[#This Row],[Dispositivo]]))</f>
        <v>Mobile</v>
      </c>
      <c r="R2035" t="str">
        <f>TRIM(PROPER(Tabla_auditoría[[#This Row],[Tipo_Campaña]]))</f>
        <v>Reconocimiento</v>
      </c>
      <c r="S2035" t="str">
        <f>TRIM(PROPER(Tabla_auditoría[[#This Row],[Responsable]]))</f>
        <v>Laura Pérez</v>
      </c>
    </row>
    <row r="2036" spans="1:19" x14ac:dyDescent="0.3">
      <c r="A2036" s="1">
        <v>45707</v>
      </c>
      <c r="B2036" s="2" t="s">
        <v>2563</v>
      </c>
      <c r="C2036" s="2" t="s">
        <v>2527</v>
      </c>
      <c r="D2036" s="2" t="s">
        <v>2531</v>
      </c>
      <c r="E2036" s="2" t="s">
        <v>2517</v>
      </c>
      <c r="F2036" s="3">
        <v>144839</v>
      </c>
      <c r="G2036" s="3">
        <v>3570</v>
      </c>
      <c r="H2036" s="3">
        <v>341</v>
      </c>
      <c r="I2036" s="4">
        <v>5069.47</v>
      </c>
      <c r="J2036" s="4">
        <v>63812.69</v>
      </c>
      <c r="K2036" s="3">
        <v>179</v>
      </c>
      <c r="L2036" s="2" t="s">
        <v>2523</v>
      </c>
      <c r="M2036" s="2" t="s">
        <v>2524</v>
      </c>
      <c r="N2036" t="str">
        <f>TRIM(PROPER(Tabla_auditoría[[#This Row],[ID_Campaña]]))</f>
        <v>Cmp-023</v>
      </c>
      <c r="O2036" t="str">
        <f>TRIM(PROPER(Tabla_auditoría[[#This Row],[Canal]]))</f>
        <v>Affiliate</v>
      </c>
      <c r="P2036" t="str">
        <f>TRIM(PROPER(Tabla_auditoría[[#This Row],[País]]))</f>
        <v>Portugal</v>
      </c>
      <c r="Q2036" t="str">
        <f>TRIM(PROPER(Tabla_auditoría[[#This Row],[Dispositivo]]))</f>
        <v>Desktop</v>
      </c>
      <c r="R2036" t="str">
        <f>TRIM(PROPER(Tabla_auditoría[[#This Row],[Tipo_Campaña]]))</f>
        <v>Retención</v>
      </c>
      <c r="S2036" t="str">
        <f>TRIM(PROPER(Tabla_auditoría[[#This Row],[Responsable]]))</f>
        <v>Luis Martín</v>
      </c>
    </row>
    <row r="2037" spans="1:19" x14ac:dyDescent="0.3">
      <c r="A2037" s="1">
        <v>45824</v>
      </c>
      <c r="B2037" s="2" t="s">
        <v>2520</v>
      </c>
      <c r="C2037" s="2" t="s">
        <v>2521</v>
      </c>
      <c r="D2037" s="2" t="s">
        <v>2587</v>
      </c>
      <c r="E2037" s="2" t="s">
        <v>2529</v>
      </c>
      <c r="F2037" s="3">
        <v>52422</v>
      </c>
      <c r="G2037" s="3">
        <v>2784</v>
      </c>
      <c r="H2037" s="3">
        <v>82</v>
      </c>
      <c r="I2037" s="4">
        <v>3392.73</v>
      </c>
      <c r="J2037" s="4">
        <v>7248.37</v>
      </c>
      <c r="K2037" s="3">
        <v>56</v>
      </c>
      <c r="L2037" s="2" t="s">
        <v>2539</v>
      </c>
      <c r="M2037" s="2" t="s">
        <v>2526</v>
      </c>
      <c r="N2037" t="str">
        <f>TRIM(PROPER(Tabla_auditoría[[#This Row],[ID_Campaña]]))</f>
        <v>Cmp-009</v>
      </c>
      <c r="O2037" t="str">
        <f>TRIM(PROPER(Tabla_auditoría[[#This Row],[Canal]]))</f>
        <v>Paid Search</v>
      </c>
      <c r="P2037" t="str">
        <f>TRIM(PROPER(Tabla_auditoría[[#This Row],[País]]))</f>
        <v>Italia</v>
      </c>
      <c r="Q2037" t="str">
        <f>TRIM(PROPER(Tabla_auditoría[[#This Row],[Dispositivo]]))</f>
        <v>Mobile</v>
      </c>
      <c r="R2037" t="str">
        <f>TRIM(PROPER(Tabla_auditoría[[#This Row],[Tipo_Campaña]]))</f>
        <v>Conversión</v>
      </c>
      <c r="S2037" t="str">
        <f>TRIM(PROPER(Tabla_auditoría[[#This Row],[Responsable]]))</f>
        <v>Laura Pérez</v>
      </c>
    </row>
    <row r="2038" spans="1:19" x14ac:dyDescent="0.3">
      <c r="A2038" s="1">
        <v>45734</v>
      </c>
      <c r="B2038" s="2" t="s">
        <v>2563</v>
      </c>
      <c r="C2038" s="2" t="s">
        <v>2543</v>
      </c>
      <c r="D2038" s="2" t="s">
        <v>2525</v>
      </c>
      <c r="E2038" s="2" t="s">
        <v>2529</v>
      </c>
      <c r="F2038" s="3">
        <v>138698</v>
      </c>
      <c r="G2038" s="3">
        <v>4733</v>
      </c>
      <c r="H2038" s="3">
        <v>538</v>
      </c>
      <c r="I2038" s="4">
        <v>4525.8900000000003</v>
      </c>
      <c r="J2038" s="4">
        <v>35285.53</v>
      </c>
      <c r="K2038" s="3">
        <v>373</v>
      </c>
      <c r="L2038" s="2" t="s">
        <v>2518</v>
      </c>
      <c r="M2038" s="2" t="s">
        <v>2537</v>
      </c>
      <c r="N2038" t="str">
        <f>TRIM(PROPER(Tabla_auditoría[[#This Row],[ID_Campaña]]))</f>
        <v>Cmp-023</v>
      </c>
      <c r="O2038" t="str">
        <f>TRIM(PROPER(Tabla_auditoría[[#This Row],[Canal]]))</f>
        <v>Organic Social</v>
      </c>
      <c r="P2038" t="str">
        <f>TRIM(PROPER(Tabla_auditoría[[#This Row],[País]]))</f>
        <v>Francia</v>
      </c>
      <c r="Q2038" t="str">
        <f>TRIM(PROPER(Tabla_auditoría[[#This Row],[Dispositivo]]))</f>
        <v>Mobile</v>
      </c>
      <c r="R2038" t="str">
        <f>TRIM(PROPER(Tabla_auditoría[[#This Row],[Tipo_Campaña]]))</f>
        <v>Adquisición</v>
      </c>
      <c r="S2038" t="str">
        <f>TRIM(PROPER(Tabla_auditoría[[#This Row],[Responsable]]))</f>
        <v>Marta López</v>
      </c>
    </row>
    <row r="2039" spans="1:19" x14ac:dyDescent="0.3">
      <c r="A2039" s="1">
        <v>45918</v>
      </c>
      <c r="B2039" s="2" t="s">
        <v>2557</v>
      </c>
      <c r="C2039" s="2" t="s">
        <v>2515</v>
      </c>
      <c r="D2039" s="2" t="s">
        <v>2528</v>
      </c>
      <c r="E2039" s="2" t="s">
        <v>2517</v>
      </c>
      <c r="F2039" s="3">
        <v>114463</v>
      </c>
      <c r="G2039" s="3">
        <v>2867</v>
      </c>
      <c r="H2039" s="3">
        <v>117</v>
      </c>
      <c r="I2039" s="4">
        <v>1098.54</v>
      </c>
      <c r="J2039" s="4">
        <v>16731.13</v>
      </c>
      <c r="K2039" s="3">
        <v>61</v>
      </c>
      <c r="L2039" s="2" t="s">
        <v>2539</v>
      </c>
      <c r="M2039" s="2" t="s">
        <v>2519</v>
      </c>
      <c r="N2039" t="str">
        <f>TRIM(PROPER(Tabla_auditoría[[#This Row],[ID_Campaña]]))</f>
        <v>Cmp-030</v>
      </c>
      <c r="O2039" t="str">
        <f>TRIM(PROPER(Tabla_auditoría[[#This Row],[Canal]]))</f>
        <v>Email</v>
      </c>
      <c r="P2039" t="str">
        <f>TRIM(PROPER(Tabla_auditoría[[#This Row],[País]]))</f>
        <v>España</v>
      </c>
      <c r="Q2039" t="str">
        <f>TRIM(PROPER(Tabla_auditoría[[#This Row],[Dispositivo]]))</f>
        <v>Desktop</v>
      </c>
      <c r="R2039" t="str">
        <f>TRIM(PROPER(Tabla_auditoría[[#This Row],[Tipo_Campaña]]))</f>
        <v>Conversión</v>
      </c>
      <c r="S2039" t="str">
        <f>TRIM(PROPER(Tabla_auditoría[[#This Row],[Responsable]]))</f>
        <v>Carlos Ruiz</v>
      </c>
    </row>
    <row r="2040" spans="1:19" x14ac:dyDescent="0.3">
      <c r="A2040" s="1">
        <v>45917</v>
      </c>
      <c r="B2040" s="2" t="s">
        <v>2569</v>
      </c>
      <c r="C2040" s="2" t="s">
        <v>2541</v>
      </c>
      <c r="D2040" s="2" t="s">
        <v>2528</v>
      </c>
      <c r="E2040" s="2" t="s">
        <v>2517</v>
      </c>
      <c r="F2040" s="3">
        <v>128688</v>
      </c>
      <c r="G2040" s="3">
        <v>7011</v>
      </c>
      <c r="H2040" s="3">
        <v>864</v>
      </c>
      <c r="I2040" s="4">
        <v>10793.34</v>
      </c>
      <c r="J2040" s="4">
        <v>139922.59</v>
      </c>
      <c r="K2040" s="3">
        <v>562</v>
      </c>
      <c r="L2040" s="2" t="s">
        <v>2539</v>
      </c>
      <c r="M2040" s="2" t="s">
        <v>2537</v>
      </c>
      <c r="N2040" t="str">
        <f>TRIM(PROPER(Tabla_auditoría[[#This Row],[ID_Campaña]]))</f>
        <v>Cmp-013</v>
      </c>
      <c r="O2040" t="str">
        <f>TRIM(PROPER(Tabla_auditoría[[#This Row],[Canal]]))</f>
        <v>Display</v>
      </c>
      <c r="P2040" t="str">
        <f>TRIM(PROPER(Tabla_auditoría[[#This Row],[País]]))</f>
        <v>España</v>
      </c>
      <c r="Q2040" t="str">
        <f>TRIM(PROPER(Tabla_auditoría[[#This Row],[Dispositivo]]))</f>
        <v>Desktop</v>
      </c>
      <c r="R2040" t="str">
        <f>TRIM(PROPER(Tabla_auditoría[[#This Row],[Tipo_Campaña]]))</f>
        <v>Conversión</v>
      </c>
      <c r="S2040" t="str">
        <f>TRIM(PROPER(Tabla_auditoría[[#This Row],[Responsable]]))</f>
        <v>Marta López</v>
      </c>
    </row>
    <row r="2041" spans="1:19" x14ac:dyDescent="0.3">
      <c r="A2041" s="1">
        <v>45681</v>
      </c>
      <c r="B2041" s="2" t="s">
        <v>2570</v>
      </c>
      <c r="C2041" s="2" t="s">
        <v>2533</v>
      </c>
      <c r="D2041" s="2" t="s">
        <v>2516</v>
      </c>
      <c r="E2041" s="2" t="s">
        <v>2517</v>
      </c>
      <c r="F2041" s="3">
        <v>76646</v>
      </c>
      <c r="G2041" s="3">
        <v>5658</v>
      </c>
      <c r="H2041" s="3">
        <v>491</v>
      </c>
      <c r="I2041" s="4">
        <v>11109.67</v>
      </c>
      <c r="J2041" s="4">
        <v>30476.62</v>
      </c>
      <c r="K2041" s="3">
        <v>382</v>
      </c>
      <c r="L2041" s="2" t="s">
        <v>2539</v>
      </c>
      <c r="M2041" s="2" t="s">
        <v>2524</v>
      </c>
      <c r="N2041" t="str">
        <f>TRIM(PROPER(Tabla_auditoría[[#This Row],[ID_Campaña]]))</f>
        <v>Cmp-016</v>
      </c>
      <c r="O2041" t="str">
        <f>TRIM(PROPER(Tabla_auditoría[[#This Row],[Canal]]))</f>
        <v>Paid Social</v>
      </c>
      <c r="P2041" t="str">
        <f>TRIM(PROPER(Tabla_auditoría[[#This Row],[País]]))</f>
        <v>México</v>
      </c>
      <c r="Q2041" t="str">
        <f>TRIM(PROPER(Tabla_auditoría[[#This Row],[Dispositivo]]))</f>
        <v>Desktop</v>
      </c>
      <c r="R2041" t="str">
        <f>TRIM(PROPER(Tabla_auditoría[[#This Row],[Tipo_Campaña]]))</f>
        <v>Conversión</v>
      </c>
      <c r="S2041" t="str">
        <f>TRIM(PROPER(Tabla_auditoría[[#This Row],[Responsable]]))</f>
        <v>Luis Martín</v>
      </c>
    </row>
    <row r="2042" spans="1:19" x14ac:dyDescent="0.3">
      <c r="A2042" s="1">
        <v>45799</v>
      </c>
      <c r="B2042" s="2" t="s">
        <v>2565</v>
      </c>
      <c r="C2042" s="2" t="s">
        <v>2541</v>
      </c>
      <c r="D2042" s="2" t="s">
        <v>2528</v>
      </c>
      <c r="E2042" s="2" t="s">
        <v>2529</v>
      </c>
      <c r="F2042" s="3">
        <v>89483</v>
      </c>
      <c r="G2042" s="3">
        <v>4811</v>
      </c>
      <c r="H2042" s="3">
        <v>546</v>
      </c>
      <c r="I2042" s="4">
        <v>8003.55</v>
      </c>
      <c r="J2042" s="4">
        <v>101011.36</v>
      </c>
      <c r="K2042" s="3">
        <v>332</v>
      </c>
      <c r="L2042" s="2" t="s">
        <v>2518</v>
      </c>
      <c r="M2042" s="2" t="s">
        <v>2526</v>
      </c>
      <c r="N2042" t="str">
        <f>TRIM(PROPER(Tabla_auditoría[[#This Row],[ID_Campaña]]))</f>
        <v>Cmp-005</v>
      </c>
      <c r="O2042" t="str">
        <f>TRIM(PROPER(Tabla_auditoría[[#This Row],[Canal]]))</f>
        <v>Display</v>
      </c>
      <c r="P2042" t="str">
        <f>TRIM(PROPER(Tabla_auditoría[[#This Row],[País]]))</f>
        <v>España</v>
      </c>
      <c r="Q2042" t="str">
        <f>TRIM(PROPER(Tabla_auditoría[[#This Row],[Dispositivo]]))</f>
        <v>Mobile</v>
      </c>
      <c r="R2042" t="str">
        <f>TRIM(PROPER(Tabla_auditoría[[#This Row],[Tipo_Campaña]]))</f>
        <v>Adquisición</v>
      </c>
      <c r="S2042" t="str">
        <f>TRIM(PROPER(Tabla_auditoría[[#This Row],[Responsable]]))</f>
        <v>Laura Pérez</v>
      </c>
    </row>
    <row r="2043" spans="1:19" x14ac:dyDescent="0.3">
      <c r="A2043" s="1">
        <v>45797</v>
      </c>
      <c r="B2043" s="2" t="s">
        <v>2545</v>
      </c>
      <c r="C2043" s="2" t="s">
        <v>2527</v>
      </c>
      <c r="D2043" s="2" t="s">
        <v>2528</v>
      </c>
      <c r="E2043" s="2" t="s">
        <v>2529</v>
      </c>
      <c r="F2043" s="3">
        <v>96853</v>
      </c>
      <c r="G2043" s="3">
        <v>6773</v>
      </c>
      <c r="H2043" s="3">
        <v>671</v>
      </c>
      <c r="I2043" s="4">
        <v>8322.19</v>
      </c>
      <c r="J2043" s="4">
        <v>72995.92</v>
      </c>
      <c r="K2043" s="3">
        <v>346</v>
      </c>
      <c r="L2043" s="2" t="s">
        <v>2539</v>
      </c>
      <c r="M2043" s="2" t="s">
        <v>2546</v>
      </c>
      <c r="N2043" t="str">
        <f>TRIM(PROPER(Tabla_auditoría[[#This Row],[ID_Campaña]]))</f>
        <v>Cmp-011</v>
      </c>
      <c r="O2043" t="str">
        <f>TRIM(PROPER(Tabla_auditoría[[#This Row],[Canal]]))</f>
        <v>Affiliate</v>
      </c>
      <c r="P2043" t="str">
        <f>TRIM(PROPER(Tabla_auditoría[[#This Row],[País]]))</f>
        <v>España</v>
      </c>
      <c r="Q2043" t="str">
        <f>TRIM(PROPER(Tabla_auditoría[[#This Row],[Dispositivo]]))</f>
        <v>Mobile</v>
      </c>
      <c r="R2043" t="str">
        <f>TRIM(PROPER(Tabla_auditoría[[#This Row],[Tipo_Campaña]]))</f>
        <v>Conversión</v>
      </c>
      <c r="S2043" t="str">
        <f>TRIM(PROPER(Tabla_auditoría[[#This Row],[Responsable]]))</f>
        <v>Ana García</v>
      </c>
    </row>
    <row r="2044" spans="1:19" x14ac:dyDescent="0.3">
      <c r="A2044" s="1">
        <v>45815</v>
      </c>
      <c r="B2044" s="2" t="s">
        <v>2563</v>
      </c>
      <c r="C2044" s="2" t="s">
        <v>2533</v>
      </c>
      <c r="D2044" s="2" t="s">
        <v>2528</v>
      </c>
      <c r="E2044" s="2" t="s">
        <v>2534</v>
      </c>
      <c r="F2044" s="3">
        <v>149538</v>
      </c>
      <c r="G2044" s="3">
        <v>3411</v>
      </c>
      <c r="H2044" s="3">
        <v>76</v>
      </c>
      <c r="I2044" s="4">
        <v>987.41</v>
      </c>
      <c r="J2044" s="4">
        <v>14669.32</v>
      </c>
      <c r="K2044" s="3">
        <v>53</v>
      </c>
      <c r="L2044" s="2" t="s">
        <v>2536</v>
      </c>
      <c r="M2044" s="2" t="s">
        <v>2524</v>
      </c>
      <c r="N2044" t="str">
        <f>TRIM(PROPER(Tabla_auditoría[[#This Row],[ID_Campaña]]))</f>
        <v>Cmp-023</v>
      </c>
      <c r="O2044" t="str">
        <f>TRIM(PROPER(Tabla_auditoría[[#This Row],[Canal]]))</f>
        <v>Paid Social</v>
      </c>
      <c r="P2044" t="str">
        <f>TRIM(PROPER(Tabla_auditoría[[#This Row],[País]]))</f>
        <v>España</v>
      </c>
      <c r="Q2044" t="str">
        <f>TRIM(PROPER(Tabla_auditoría[[#This Row],[Dispositivo]]))</f>
        <v>Tablet</v>
      </c>
      <c r="R2044" t="str">
        <f>TRIM(PROPER(Tabla_auditoría[[#This Row],[Tipo_Campaña]]))</f>
        <v>Reconocimiento</v>
      </c>
      <c r="S2044" t="str">
        <f>TRIM(PROPER(Tabla_auditoría[[#This Row],[Responsable]]))</f>
        <v>Luis Martín</v>
      </c>
    </row>
    <row r="2045" spans="1:19" x14ac:dyDescent="0.3">
      <c r="A2045" s="1">
        <v>45714</v>
      </c>
      <c r="B2045" s="2" t="s">
        <v>2551</v>
      </c>
      <c r="C2045" s="2" t="s">
        <v>2527</v>
      </c>
      <c r="D2045" s="2" t="s">
        <v>2528</v>
      </c>
      <c r="E2045" s="2" t="s">
        <v>2517</v>
      </c>
      <c r="F2045" s="3">
        <v>148207</v>
      </c>
      <c r="G2045" s="3">
        <v>1289</v>
      </c>
      <c r="H2045" s="3">
        <v>95</v>
      </c>
      <c r="I2045" s="4">
        <v>1939.69</v>
      </c>
      <c r="J2045" s="4">
        <v>20368.64</v>
      </c>
      <c r="K2045" s="3">
        <v>51</v>
      </c>
      <c r="L2045" s="2" t="s">
        <v>2523</v>
      </c>
      <c r="M2045" s="2" t="s">
        <v>2537</v>
      </c>
      <c r="N2045" t="str">
        <f>TRIM(PROPER(Tabla_auditoría[[#This Row],[ID_Campaña]]))</f>
        <v>Cmp-028</v>
      </c>
      <c r="O2045" t="str">
        <f>TRIM(PROPER(Tabla_auditoría[[#This Row],[Canal]]))</f>
        <v>Affiliate</v>
      </c>
      <c r="P2045" t="str">
        <f>TRIM(PROPER(Tabla_auditoría[[#This Row],[País]]))</f>
        <v>España</v>
      </c>
      <c r="Q2045" t="str">
        <f>TRIM(PROPER(Tabla_auditoría[[#This Row],[Dispositivo]]))</f>
        <v>Desktop</v>
      </c>
      <c r="R2045" t="str">
        <f>TRIM(PROPER(Tabla_auditoría[[#This Row],[Tipo_Campaña]]))</f>
        <v>Retención</v>
      </c>
      <c r="S2045" t="str">
        <f>TRIM(PROPER(Tabla_auditoría[[#This Row],[Responsable]]))</f>
        <v>Marta López</v>
      </c>
    </row>
    <row r="2046" spans="1:19" x14ac:dyDescent="0.3">
      <c r="A2046" s="1">
        <v>45937</v>
      </c>
      <c r="B2046" s="2" t="s">
        <v>2549</v>
      </c>
      <c r="C2046" s="2" t="s">
        <v>2515</v>
      </c>
      <c r="D2046" s="2" t="s">
        <v>2522</v>
      </c>
      <c r="E2046" s="2" t="s">
        <v>2534</v>
      </c>
      <c r="F2046" s="3">
        <v>133884</v>
      </c>
      <c r="G2046" s="3">
        <v>8248</v>
      </c>
      <c r="H2046" s="3">
        <v>718</v>
      </c>
      <c r="I2046" s="4">
        <v>4588.47</v>
      </c>
      <c r="J2046" s="4">
        <v>46257.13</v>
      </c>
      <c r="K2046" s="3">
        <v>560</v>
      </c>
      <c r="L2046" s="2" t="s">
        <v>2539</v>
      </c>
      <c r="N2046" t="str">
        <f>TRIM(PROPER(Tabla_auditoría[[#This Row],[ID_Campaña]]))</f>
        <v>Cmp-007</v>
      </c>
      <c r="O2046" t="str">
        <f>TRIM(PROPER(Tabla_auditoría[[#This Row],[Canal]]))</f>
        <v>Email</v>
      </c>
      <c r="P2046" t="str">
        <f>TRIM(PROPER(Tabla_auditoría[[#This Row],[País]]))</f>
        <v>Italia</v>
      </c>
      <c r="Q2046" t="str">
        <f>TRIM(PROPER(Tabla_auditoría[[#This Row],[Dispositivo]]))</f>
        <v>Tablet</v>
      </c>
      <c r="R2046" t="str">
        <f>TRIM(PROPER(Tabla_auditoría[[#This Row],[Tipo_Campaña]]))</f>
        <v>Conversión</v>
      </c>
      <c r="S2046" t="str">
        <f>TRIM(PROPER(Tabla_auditoría[[#This Row],[Responsable]]))</f>
        <v/>
      </c>
    </row>
    <row r="2047" spans="1:19" x14ac:dyDescent="0.3">
      <c r="A2047" s="1">
        <v>45702</v>
      </c>
      <c r="B2047" s="2" t="s">
        <v>2540</v>
      </c>
      <c r="C2047" s="2" t="s">
        <v>2533</v>
      </c>
      <c r="D2047" s="2" t="s">
        <v>2528</v>
      </c>
      <c r="E2047" s="2" t="s">
        <v>2517</v>
      </c>
      <c r="F2047" s="3">
        <v>23137</v>
      </c>
      <c r="G2047" s="3">
        <v>1346</v>
      </c>
      <c r="H2047" s="3">
        <v>7</v>
      </c>
      <c r="I2047" s="4">
        <v>1260.1199999999999</v>
      </c>
      <c r="J2047" s="4">
        <v>232.33</v>
      </c>
      <c r="K2047" s="3">
        <v>3</v>
      </c>
      <c r="L2047" s="2" t="s">
        <v>2523</v>
      </c>
      <c r="M2047" s="2" t="s">
        <v>2526</v>
      </c>
      <c r="N2047" t="str">
        <f>TRIM(PROPER(Tabla_auditoría[[#This Row],[ID_Campaña]]))</f>
        <v>Cmp-017</v>
      </c>
      <c r="O2047" t="str">
        <f>TRIM(PROPER(Tabla_auditoría[[#This Row],[Canal]]))</f>
        <v>Paid Social</v>
      </c>
      <c r="P2047" t="str">
        <f>TRIM(PROPER(Tabla_auditoría[[#This Row],[País]]))</f>
        <v>España</v>
      </c>
      <c r="Q2047" t="str">
        <f>TRIM(PROPER(Tabla_auditoría[[#This Row],[Dispositivo]]))</f>
        <v>Desktop</v>
      </c>
      <c r="R2047" t="str">
        <f>TRIM(PROPER(Tabla_auditoría[[#This Row],[Tipo_Campaña]]))</f>
        <v>Retención</v>
      </c>
      <c r="S2047" t="str">
        <f>TRIM(PROPER(Tabla_auditoría[[#This Row],[Responsable]]))</f>
        <v>Laura Pérez</v>
      </c>
    </row>
    <row r="2048" spans="1:19" x14ac:dyDescent="0.3">
      <c r="A2048" s="1">
        <v>45660</v>
      </c>
      <c r="B2048" s="2" t="s">
        <v>2568</v>
      </c>
      <c r="C2048" s="2" t="s">
        <v>2541</v>
      </c>
      <c r="D2048" s="2" t="s">
        <v>2528</v>
      </c>
      <c r="E2048" s="2" t="s">
        <v>2529</v>
      </c>
      <c r="F2048" s="3">
        <v>157070</v>
      </c>
      <c r="G2048" s="3">
        <v>11262</v>
      </c>
      <c r="H2048" s="3">
        <v>348</v>
      </c>
      <c r="I2048" s="4">
        <v>6992.94</v>
      </c>
      <c r="J2048" s="4">
        <v>39010.839999999997</v>
      </c>
      <c r="K2048" s="3">
        <v>298</v>
      </c>
      <c r="L2048" s="2" t="s">
        <v>2536</v>
      </c>
      <c r="M2048" s="2" t="s">
        <v>2537</v>
      </c>
      <c r="N2048" t="str">
        <f>TRIM(PROPER(Tabla_auditoría[[#This Row],[ID_Campaña]]))</f>
        <v>Cmp-020</v>
      </c>
      <c r="O2048" t="str">
        <f>TRIM(PROPER(Tabla_auditoría[[#This Row],[Canal]]))</f>
        <v>Display</v>
      </c>
      <c r="P2048" t="str">
        <f>TRIM(PROPER(Tabla_auditoría[[#This Row],[País]]))</f>
        <v>España</v>
      </c>
      <c r="Q2048" t="str">
        <f>TRIM(PROPER(Tabla_auditoría[[#This Row],[Dispositivo]]))</f>
        <v>Mobile</v>
      </c>
      <c r="R2048" t="str">
        <f>TRIM(PROPER(Tabla_auditoría[[#This Row],[Tipo_Campaña]]))</f>
        <v>Reconocimiento</v>
      </c>
      <c r="S2048" t="str">
        <f>TRIM(PROPER(Tabla_auditoría[[#This Row],[Responsable]]))</f>
        <v>Marta López</v>
      </c>
    </row>
    <row r="2049" spans="1:19" x14ac:dyDescent="0.3">
      <c r="A2049" s="1">
        <v>45842</v>
      </c>
      <c r="B2049" s="2" t="s">
        <v>2547</v>
      </c>
      <c r="C2049" s="2" t="s">
        <v>2543</v>
      </c>
      <c r="D2049" s="2" t="s">
        <v>2528</v>
      </c>
      <c r="E2049" s="2" t="s">
        <v>2529</v>
      </c>
      <c r="F2049" s="3">
        <v>136843</v>
      </c>
      <c r="G2049" s="3">
        <v>977</v>
      </c>
      <c r="H2049" s="3">
        <v>63</v>
      </c>
      <c r="I2049" s="4">
        <v>1782.55</v>
      </c>
      <c r="J2049" s="4">
        <v>4119.41</v>
      </c>
      <c r="K2049" s="3">
        <v>35</v>
      </c>
      <c r="L2049" s="2" t="s">
        <v>2536</v>
      </c>
      <c r="M2049" s="2" t="s">
        <v>2524</v>
      </c>
      <c r="N2049" t="str">
        <f>TRIM(PROPER(Tabla_auditoría[[#This Row],[ID_Campaña]]))</f>
        <v>Cmp-018</v>
      </c>
      <c r="O2049" t="str">
        <f>TRIM(PROPER(Tabla_auditoría[[#This Row],[Canal]]))</f>
        <v>Organic Social</v>
      </c>
      <c r="P2049" t="str">
        <f>TRIM(PROPER(Tabla_auditoría[[#This Row],[País]]))</f>
        <v>España</v>
      </c>
      <c r="Q2049" t="str">
        <f>TRIM(PROPER(Tabla_auditoría[[#This Row],[Dispositivo]]))</f>
        <v>Mobile</v>
      </c>
      <c r="R2049" t="str">
        <f>TRIM(PROPER(Tabla_auditoría[[#This Row],[Tipo_Campaña]]))</f>
        <v>Reconocimiento</v>
      </c>
      <c r="S2049" t="str">
        <f>TRIM(PROPER(Tabla_auditoría[[#This Row],[Responsable]]))</f>
        <v>Luis Martín</v>
      </c>
    </row>
    <row r="2050" spans="1:19" x14ac:dyDescent="0.3">
      <c r="A2050" s="1">
        <v>45931</v>
      </c>
      <c r="B2050" s="2" t="s">
        <v>2602</v>
      </c>
      <c r="C2050" s="2" t="s">
        <v>2521</v>
      </c>
      <c r="D2050" s="2" t="s">
        <v>2528</v>
      </c>
      <c r="E2050" s="2" t="s">
        <v>2517</v>
      </c>
      <c r="F2050" s="3">
        <v>30033</v>
      </c>
      <c r="G2050" s="3">
        <v>935</v>
      </c>
      <c r="H2050" s="3">
        <v>26</v>
      </c>
      <c r="I2050" s="4">
        <v>1781.31</v>
      </c>
      <c r="J2050" s="4">
        <v>2814.07</v>
      </c>
      <c r="K2050" s="3">
        <v>20</v>
      </c>
      <c r="L2050" s="2" t="s">
        <v>2539</v>
      </c>
      <c r="M2050" s="2" t="s">
        <v>2537</v>
      </c>
      <c r="N2050" t="str">
        <f>TRIM(PROPER(Tabla_auditoría[[#This Row],[ID_Campaña]]))</f>
        <v>Cmp-007</v>
      </c>
      <c r="O2050" t="str">
        <f>TRIM(PROPER(Tabla_auditoría[[#This Row],[Canal]]))</f>
        <v>Paid Search</v>
      </c>
      <c r="P2050" t="str">
        <f>TRIM(PROPER(Tabla_auditoría[[#This Row],[País]]))</f>
        <v>España</v>
      </c>
      <c r="Q2050" t="str">
        <f>TRIM(PROPER(Tabla_auditoría[[#This Row],[Dispositivo]]))</f>
        <v>Desktop</v>
      </c>
      <c r="R2050" t="str">
        <f>TRIM(PROPER(Tabla_auditoría[[#This Row],[Tipo_Campaña]]))</f>
        <v>Conversión</v>
      </c>
      <c r="S2050" t="str">
        <f>TRIM(PROPER(Tabla_auditoría[[#This Row],[Responsable]]))</f>
        <v>Marta López</v>
      </c>
    </row>
    <row r="2051" spans="1:19" x14ac:dyDescent="0.3">
      <c r="A2051" s="1">
        <v>45952</v>
      </c>
      <c r="B2051" s="2" t="s">
        <v>2567</v>
      </c>
      <c r="C2051" s="2" t="s">
        <v>2527</v>
      </c>
      <c r="D2051" s="2" t="s">
        <v>2531</v>
      </c>
      <c r="E2051" s="2" t="s">
        <v>2517</v>
      </c>
      <c r="F2051" s="3">
        <v>23916</v>
      </c>
      <c r="G2051" s="3">
        <v>571</v>
      </c>
      <c r="H2051" s="3">
        <v>64</v>
      </c>
      <c r="I2051" s="4">
        <v>1133.04</v>
      </c>
      <c r="J2051" s="4">
        <v>7437.55</v>
      </c>
      <c r="K2051" s="3">
        <v>31</v>
      </c>
      <c r="L2051" s="2" t="s">
        <v>2518</v>
      </c>
      <c r="M2051" s="2" t="s">
        <v>2546</v>
      </c>
      <c r="N2051" t="str">
        <f>TRIM(PROPER(Tabla_auditoría[[#This Row],[ID_Campaña]]))</f>
        <v>Cmp-021</v>
      </c>
      <c r="O2051" t="str">
        <f>TRIM(PROPER(Tabla_auditoría[[#This Row],[Canal]]))</f>
        <v>Affiliate</v>
      </c>
      <c r="P2051" t="str">
        <f>TRIM(PROPER(Tabla_auditoría[[#This Row],[País]]))</f>
        <v>Portugal</v>
      </c>
      <c r="Q2051" t="str">
        <f>TRIM(PROPER(Tabla_auditoría[[#This Row],[Dispositivo]]))</f>
        <v>Desktop</v>
      </c>
      <c r="R2051" t="str">
        <f>TRIM(PROPER(Tabla_auditoría[[#This Row],[Tipo_Campaña]]))</f>
        <v>Adquisición</v>
      </c>
      <c r="S2051" t="str">
        <f>TRIM(PROPER(Tabla_auditoría[[#This Row],[Responsable]]))</f>
        <v>Ana García</v>
      </c>
    </row>
    <row r="2052" spans="1:19" x14ac:dyDescent="0.3">
      <c r="A2052" s="1">
        <v>45846</v>
      </c>
      <c r="B2052" s="2" t="s">
        <v>2551</v>
      </c>
      <c r="C2052" s="2" t="s">
        <v>2515</v>
      </c>
      <c r="D2052" s="2" t="s">
        <v>2528</v>
      </c>
      <c r="E2052" s="2" t="s">
        <v>2529</v>
      </c>
      <c r="F2052" s="3">
        <v>99333</v>
      </c>
      <c r="G2052" s="3">
        <v>8399</v>
      </c>
      <c r="H2052" s="3">
        <v>1119</v>
      </c>
      <c r="I2052" s="4">
        <v>1811.11</v>
      </c>
      <c r="J2052" s="4">
        <v>165050.49</v>
      </c>
      <c r="K2052" s="3">
        <v>608</v>
      </c>
      <c r="L2052" s="2" t="s">
        <v>2518</v>
      </c>
      <c r="M2052" s="2" t="s">
        <v>2526</v>
      </c>
      <c r="N2052" t="str">
        <f>TRIM(PROPER(Tabla_auditoría[[#This Row],[ID_Campaña]]))</f>
        <v>Cmp-028</v>
      </c>
      <c r="O2052" t="str">
        <f>TRIM(PROPER(Tabla_auditoría[[#This Row],[Canal]]))</f>
        <v>Email</v>
      </c>
      <c r="P2052" t="str">
        <f>TRIM(PROPER(Tabla_auditoría[[#This Row],[País]]))</f>
        <v>España</v>
      </c>
      <c r="Q2052" t="str">
        <f>TRIM(PROPER(Tabla_auditoría[[#This Row],[Dispositivo]]))</f>
        <v>Mobile</v>
      </c>
      <c r="R2052" t="str">
        <f>TRIM(PROPER(Tabla_auditoría[[#This Row],[Tipo_Campaña]]))</f>
        <v>Adquisición</v>
      </c>
      <c r="S2052" t="str">
        <f>TRIM(PROPER(Tabla_auditoría[[#This Row],[Responsable]]))</f>
        <v>Laura Pérez</v>
      </c>
    </row>
    <row r="2053" spans="1:19" x14ac:dyDescent="0.3">
      <c r="A2053" s="1">
        <v>45805</v>
      </c>
      <c r="B2053" s="2" t="s">
        <v>2545</v>
      </c>
      <c r="C2053" s="2" t="s">
        <v>2521</v>
      </c>
      <c r="D2053" s="2" t="s">
        <v>2525</v>
      </c>
      <c r="E2053" s="2" t="s">
        <v>2529</v>
      </c>
      <c r="F2053" s="3">
        <v>157718</v>
      </c>
      <c r="G2053" s="3">
        <v>972</v>
      </c>
      <c r="H2053" s="3">
        <v>103</v>
      </c>
      <c r="I2053" s="4">
        <v>967.04</v>
      </c>
      <c r="J2053" s="4">
        <v>14268.76</v>
      </c>
      <c r="K2053" s="3">
        <v>85</v>
      </c>
      <c r="L2053" s="2" t="s">
        <v>2523</v>
      </c>
      <c r="M2053" s="2" t="s">
        <v>2519</v>
      </c>
      <c r="N2053" t="str">
        <f>TRIM(PROPER(Tabla_auditoría[[#This Row],[ID_Campaña]]))</f>
        <v>Cmp-011</v>
      </c>
      <c r="O2053" t="str">
        <f>TRIM(PROPER(Tabla_auditoría[[#This Row],[Canal]]))</f>
        <v>Paid Search</v>
      </c>
      <c r="P2053" t="str">
        <f>TRIM(PROPER(Tabla_auditoría[[#This Row],[País]]))</f>
        <v>Francia</v>
      </c>
      <c r="Q2053" t="str">
        <f>TRIM(PROPER(Tabla_auditoría[[#This Row],[Dispositivo]]))</f>
        <v>Mobile</v>
      </c>
      <c r="R2053" t="str">
        <f>TRIM(PROPER(Tabla_auditoría[[#This Row],[Tipo_Campaña]]))</f>
        <v>Retención</v>
      </c>
      <c r="S2053" t="str">
        <f>TRIM(PROPER(Tabla_auditoría[[#This Row],[Responsable]]))</f>
        <v>Carlos Ruiz</v>
      </c>
    </row>
    <row r="2054" spans="1:19" x14ac:dyDescent="0.3">
      <c r="A2054" s="1">
        <v>45664</v>
      </c>
      <c r="B2054" s="2" t="s">
        <v>2556</v>
      </c>
      <c r="C2054" s="2" t="s">
        <v>2515</v>
      </c>
      <c r="D2054" s="2" t="s">
        <v>2516</v>
      </c>
      <c r="E2054" s="2" t="s">
        <v>2529</v>
      </c>
      <c r="F2054" s="3">
        <v>85402</v>
      </c>
      <c r="G2054" s="3">
        <v>2969</v>
      </c>
      <c r="H2054" s="3">
        <v>68</v>
      </c>
      <c r="I2054" s="4">
        <v>4421.04</v>
      </c>
      <c r="J2054" s="4">
        <v>5516.4</v>
      </c>
      <c r="K2054" s="3">
        <v>42</v>
      </c>
      <c r="L2054" s="2" t="s">
        <v>2523</v>
      </c>
      <c r="M2054" s="2" t="s">
        <v>2526</v>
      </c>
      <c r="N2054" t="str">
        <f>TRIM(PROPER(Tabla_auditoría[[#This Row],[ID_Campaña]]))</f>
        <v>Cmp-014</v>
      </c>
      <c r="O2054" t="str">
        <f>TRIM(PROPER(Tabla_auditoría[[#This Row],[Canal]]))</f>
        <v>Email</v>
      </c>
      <c r="P2054" t="str">
        <f>TRIM(PROPER(Tabla_auditoría[[#This Row],[País]]))</f>
        <v>México</v>
      </c>
      <c r="Q2054" t="str">
        <f>TRIM(PROPER(Tabla_auditoría[[#This Row],[Dispositivo]]))</f>
        <v>Mobile</v>
      </c>
      <c r="R2054" t="str">
        <f>TRIM(PROPER(Tabla_auditoría[[#This Row],[Tipo_Campaña]]))</f>
        <v>Retención</v>
      </c>
      <c r="S2054" t="str">
        <f>TRIM(PROPER(Tabla_auditoría[[#This Row],[Responsable]]))</f>
        <v>Laura Pérez</v>
      </c>
    </row>
    <row r="2055" spans="1:19" x14ac:dyDescent="0.3">
      <c r="A2055" s="1">
        <v>45753</v>
      </c>
      <c r="B2055" s="2" t="s">
        <v>2535</v>
      </c>
      <c r="C2055" s="2" t="s">
        <v>2533</v>
      </c>
      <c r="D2055" s="2" t="s">
        <v>2573</v>
      </c>
      <c r="E2055" s="2" t="s">
        <v>2517</v>
      </c>
      <c r="F2055" s="3">
        <v>105024</v>
      </c>
      <c r="G2055" s="3">
        <v>7938</v>
      </c>
      <c r="H2055" s="3">
        <v>743</v>
      </c>
      <c r="I2055" s="4">
        <v>12049.15</v>
      </c>
      <c r="J2055" s="4">
        <v>21658.99</v>
      </c>
      <c r="K2055" s="3">
        <v>581</v>
      </c>
      <c r="L2055" s="2" t="s">
        <v>2536</v>
      </c>
      <c r="M2055" s="2" t="s">
        <v>2526</v>
      </c>
      <c r="N2055" t="str">
        <f>TRIM(PROPER(Tabla_auditoría[[#This Row],[ID_Campaña]]))</f>
        <v>Cmp-015</v>
      </c>
      <c r="O2055" t="str">
        <f>TRIM(PROPER(Tabla_auditoría[[#This Row],[Canal]]))</f>
        <v>Paid Social</v>
      </c>
      <c r="P2055" t="str">
        <f>TRIM(PROPER(Tabla_auditoría[[#This Row],[País]]))</f>
        <v>España</v>
      </c>
      <c r="Q2055" t="str">
        <f>TRIM(PROPER(Tabla_auditoría[[#This Row],[Dispositivo]]))</f>
        <v>Desktop</v>
      </c>
      <c r="R2055" t="str">
        <f>TRIM(PROPER(Tabla_auditoría[[#This Row],[Tipo_Campaña]]))</f>
        <v>Reconocimiento</v>
      </c>
      <c r="S2055" t="str">
        <f>TRIM(PROPER(Tabla_auditoría[[#This Row],[Responsable]]))</f>
        <v>Laura Pérez</v>
      </c>
    </row>
    <row r="2056" spans="1:19" x14ac:dyDescent="0.3">
      <c r="A2056" s="1">
        <v>45679</v>
      </c>
      <c r="B2056" s="2" t="s">
        <v>2550</v>
      </c>
      <c r="C2056" s="2" t="s">
        <v>2543</v>
      </c>
      <c r="D2056" s="2" t="s">
        <v>2587</v>
      </c>
      <c r="E2056" s="2" t="s">
        <v>2517</v>
      </c>
      <c r="F2056" s="3">
        <v>141873</v>
      </c>
      <c r="G2056" s="3">
        <v>747</v>
      </c>
      <c r="H2056" s="3">
        <v>64</v>
      </c>
      <c r="I2056" s="4">
        <v>1551.44</v>
      </c>
      <c r="J2056" s="4">
        <v>1965.82</v>
      </c>
      <c r="K2056" s="3">
        <v>52</v>
      </c>
      <c r="L2056" s="2" t="s">
        <v>2523</v>
      </c>
      <c r="M2056" s="2" t="s">
        <v>2524</v>
      </c>
      <c r="N2056" t="str">
        <f>TRIM(PROPER(Tabla_auditoría[[#This Row],[ID_Campaña]]))</f>
        <v>Cmp-008</v>
      </c>
      <c r="O2056" t="str">
        <f>TRIM(PROPER(Tabla_auditoría[[#This Row],[Canal]]))</f>
        <v>Organic Social</v>
      </c>
      <c r="P2056" t="str">
        <f>TRIM(PROPER(Tabla_auditoría[[#This Row],[País]]))</f>
        <v>Italia</v>
      </c>
      <c r="Q2056" t="str">
        <f>TRIM(PROPER(Tabla_auditoría[[#This Row],[Dispositivo]]))</f>
        <v>Desktop</v>
      </c>
      <c r="R2056" t="str">
        <f>TRIM(PROPER(Tabla_auditoría[[#This Row],[Tipo_Campaña]]))</f>
        <v>Retención</v>
      </c>
      <c r="S2056" t="str">
        <f>TRIM(PROPER(Tabla_auditoría[[#This Row],[Responsable]]))</f>
        <v>Luis Martín</v>
      </c>
    </row>
    <row r="2057" spans="1:19" x14ac:dyDescent="0.3">
      <c r="A2057" s="1">
        <v>45821</v>
      </c>
      <c r="B2057" s="2" t="s">
        <v>2574</v>
      </c>
      <c r="C2057" s="2" t="s">
        <v>2543</v>
      </c>
      <c r="D2057" s="2" t="s">
        <v>2516</v>
      </c>
      <c r="E2057" s="2" t="s">
        <v>2517</v>
      </c>
      <c r="F2057" s="3">
        <v>60042</v>
      </c>
      <c r="G2057" s="3">
        <v>3140</v>
      </c>
      <c r="H2057" s="3">
        <v>76</v>
      </c>
      <c r="I2057" s="4">
        <v>526.07000000000005</v>
      </c>
      <c r="J2057" s="4">
        <v>6186.28</v>
      </c>
      <c r="K2057" s="3">
        <v>43</v>
      </c>
      <c r="L2057" s="2" t="s">
        <v>2539</v>
      </c>
      <c r="M2057" s="2" t="s">
        <v>2537</v>
      </c>
      <c r="N2057" t="str">
        <f>TRIM(PROPER(Tabla_auditoría[[#This Row],[ID_Campaña]]))</f>
        <v>Cmp-003</v>
      </c>
      <c r="O2057" t="str">
        <f>TRIM(PROPER(Tabla_auditoría[[#This Row],[Canal]]))</f>
        <v>Organic Social</v>
      </c>
      <c r="P2057" t="str">
        <f>TRIM(PROPER(Tabla_auditoría[[#This Row],[País]]))</f>
        <v>México</v>
      </c>
      <c r="Q2057" t="str">
        <f>TRIM(PROPER(Tabla_auditoría[[#This Row],[Dispositivo]]))</f>
        <v>Desktop</v>
      </c>
      <c r="R2057" t="str">
        <f>TRIM(PROPER(Tabla_auditoría[[#This Row],[Tipo_Campaña]]))</f>
        <v>Conversión</v>
      </c>
      <c r="S2057" t="str">
        <f>TRIM(PROPER(Tabla_auditoría[[#This Row],[Responsable]]))</f>
        <v>Marta López</v>
      </c>
    </row>
    <row r="2058" spans="1:19" x14ac:dyDescent="0.3">
      <c r="A2058" s="1">
        <v>45787</v>
      </c>
      <c r="B2058" s="2" t="s">
        <v>2570</v>
      </c>
      <c r="C2058" s="2" t="s">
        <v>2527</v>
      </c>
      <c r="D2058" s="2" t="s">
        <v>2522</v>
      </c>
      <c r="E2058" s="2" t="s">
        <v>2529</v>
      </c>
      <c r="F2058" s="3">
        <v>172625</v>
      </c>
      <c r="G2058" s="3">
        <v>10466</v>
      </c>
      <c r="H2058" s="3">
        <v>1123</v>
      </c>
      <c r="I2058" s="4">
        <v>10282.15</v>
      </c>
      <c r="J2058" s="4">
        <v>156284.4</v>
      </c>
      <c r="K2058" s="3">
        <v>509</v>
      </c>
      <c r="L2058" s="2" t="s">
        <v>2523</v>
      </c>
      <c r="M2058" s="2" t="s">
        <v>2546</v>
      </c>
      <c r="N2058" t="str">
        <f>TRIM(PROPER(Tabla_auditoría[[#This Row],[ID_Campaña]]))</f>
        <v>Cmp-016</v>
      </c>
      <c r="O2058" t="str">
        <f>TRIM(PROPER(Tabla_auditoría[[#This Row],[Canal]]))</f>
        <v>Affiliate</v>
      </c>
      <c r="P2058" t="str">
        <f>TRIM(PROPER(Tabla_auditoría[[#This Row],[País]]))</f>
        <v>Italia</v>
      </c>
      <c r="Q2058" t="str">
        <f>TRIM(PROPER(Tabla_auditoría[[#This Row],[Dispositivo]]))</f>
        <v>Mobile</v>
      </c>
      <c r="R2058" t="str">
        <f>TRIM(PROPER(Tabla_auditoría[[#This Row],[Tipo_Campaña]]))</f>
        <v>Retención</v>
      </c>
      <c r="S2058" t="str">
        <f>TRIM(PROPER(Tabla_auditoría[[#This Row],[Responsable]]))</f>
        <v>Ana García</v>
      </c>
    </row>
    <row r="2059" spans="1:19" x14ac:dyDescent="0.3">
      <c r="A2059" s="1">
        <v>45889</v>
      </c>
      <c r="B2059" s="2" t="s">
        <v>2567</v>
      </c>
      <c r="C2059" s="2" t="s">
        <v>2515</v>
      </c>
      <c r="D2059" s="2" t="s">
        <v>2528</v>
      </c>
      <c r="E2059" s="2" t="s">
        <v>2529</v>
      </c>
      <c r="F2059" s="3">
        <v>135344</v>
      </c>
      <c r="G2059" s="3">
        <v>2163</v>
      </c>
      <c r="H2059" s="3">
        <v>249</v>
      </c>
      <c r="I2059" s="4">
        <v>1550.05</v>
      </c>
      <c r="J2059" s="4">
        <v>27917.42</v>
      </c>
      <c r="K2059" s="3">
        <v>137</v>
      </c>
      <c r="L2059" s="2" t="s">
        <v>2536</v>
      </c>
      <c r="M2059" s="2" t="s">
        <v>2537</v>
      </c>
      <c r="N2059" t="str">
        <f>TRIM(PROPER(Tabla_auditoría[[#This Row],[ID_Campaña]]))</f>
        <v>Cmp-021</v>
      </c>
      <c r="O2059" t="str">
        <f>TRIM(PROPER(Tabla_auditoría[[#This Row],[Canal]]))</f>
        <v>Email</v>
      </c>
      <c r="P2059" t="str">
        <f>TRIM(PROPER(Tabla_auditoría[[#This Row],[País]]))</f>
        <v>España</v>
      </c>
      <c r="Q2059" t="str">
        <f>TRIM(PROPER(Tabla_auditoría[[#This Row],[Dispositivo]]))</f>
        <v>Mobile</v>
      </c>
      <c r="R2059" t="str">
        <f>TRIM(PROPER(Tabla_auditoría[[#This Row],[Tipo_Campaña]]))</f>
        <v>Reconocimiento</v>
      </c>
      <c r="S2059" t="str">
        <f>TRIM(PROPER(Tabla_auditoría[[#This Row],[Responsable]]))</f>
        <v>Marta López</v>
      </c>
    </row>
    <row r="2060" spans="1:19" x14ac:dyDescent="0.3">
      <c r="A2060" s="1">
        <v>45685</v>
      </c>
      <c r="B2060" s="2" t="s">
        <v>2520</v>
      </c>
      <c r="C2060" s="2" t="s">
        <v>2521</v>
      </c>
      <c r="D2060" s="2" t="s">
        <v>2528</v>
      </c>
      <c r="E2060" s="2" t="s">
        <v>2529</v>
      </c>
      <c r="F2060" s="3">
        <v>136578</v>
      </c>
      <c r="G2060" s="3">
        <v>3889</v>
      </c>
      <c r="H2060" s="3">
        <v>23</v>
      </c>
      <c r="I2060" s="4">
        <v>3075.99</v>
      </c>
      <c r="J2060" s="4">
        <v>1865.58</v>
      </c>
      <c r="K2060" s="3">
        <v>20</v>
      </c>
      <c r="L2060" s="2" t="s">
        <v>2539</v>
      </c>
      <c r="M2060" s="2" t="s">
        <v>2519</v>
      </c>
      <c r="N2060" t="str">
        <f>TRIM(PROPER(Tabla_auditoría[[#This Row],[ID_Campaña]]))</f>
        <v>Cmp-009</v>
      </c>
      <c r="O2060" t="str">
        <f>TRIM(PROPER(Tabla_auditoría[[#This Row],[Canal]]))</f>
        <v>Paid Search</v>
      </c>
      <c r="P2060" t="str">
        <f>TRIM(PROPER(Tabla_auditoría[[#This Row],[País]]))</f>
        <v>España</v>
      </c>
      <c r="Q2060" t="str">
        <f>TRIM(PROPER(Tabla_auditoría[[#This Row],[Dispositivo]]))</f>
        <v>Mobile</v>
      </c>
      <c r="R2060" t="str">
        <f>TRIM(PROPER(Tabla_auditoría[[#This Row],[Tipo_Campaña]]))</f>
        <v>Conversión</v>
      </c>
      <c r="S2060" t="str">
        <f>TRIM(PROPER(Tabla_auditoría[[#This Row],[Responsable]]))</f>
        <v>Carlos Ruiz</v>
      </c>
    </row>
    <row r="2061" spans="1:19" x14ac:dyDescent="0.3">
      <c r="A2061" s="1">
        <v>45776</v>
      </c>
      <c r="B2061" s="2" t="s">
        <v>2563</v>
      </c>
      <c r="C2061" s="2" t="s">
        <v>2543</v>
      </c>
      <c r="D2061" s="2" t="s">
        <v>2525</v>
      </c>
      <c r="E2061" s="2" t="s">
        <v>2517</v>
      </c>
      <c r="F2061" s="3">
        <v>160262</v>
      </c>
      <c r="G2061" s="3">
        <v>14343</v>
      </c>
      <c r="H2061" s="3">
        <v>1612</v>
      </c>
      <c r="I2061" s="4">
        <v>25539.59</v>
      </c>
      <c r="J2061" s="4">
        <v>209416.14</v>
      </c>
      <c r="K2061" s="3">
        <v>1342</v>
      </c>
      <c r="L2061" s="2" t="s">
        <v>2523</v>
      </c>
      <c r="M2061" s="2" t="s">
        <v>2546</v>
      </c>
      <c r="N2061" t="str">
        <f>TRIM(PROPER(Tabla_auditoría[[#This Row],[ID_Campaña]]))</f>
        <v>Cmp-023</v>
      </c>
      <c r="O2061" t="str">
        <f>TRIM(PROPER(Tabla_auditoría[[#This Row],[Canal]]))</f>
        <v>Organic Social</v>
      </c>
      <c r="P2061" t="str">
        <f>TRIM(PROPER(Tabla_auditoría[[#This Row],[País]]))</f>
        <v>Francia</v>
      </c>
      <c r="Q2061" t="str">
        <f>TRIM(PROPER(Tabla_auditoría[[#This Row],[Dispositivo]]))</f>
        <v>Desktop</v>
      </c>
      <c r="R2061" t="str">
        <f>TRIM(PROPER(Tabla_auditoría[[#This Row],[Tipo_Campaña]]))</f>
        <v>Retención</v>
      </c>
      <c r="S2061" t="str">
        <f>TRIM(PROPER(Tabla_auditoría[[#This Row],[Responsable]]))</f>
        <v>Ana García</v>
      </c>
    </row>
    <row r="2062" spans="1:19" x14ac:dyDescent="0.3">
      <c r="A2062" s="1">
        <v>45960</v>
      </c>
      <c r="B2062" s="2" t="s">
        <v>2549</v>
      </c>
      <c r="C2062" s="2" t="s">
        <v>2521</v>
      </c>
      <c r="D2062" s="2" t="s">
        <v>2528</v>
      </c>
      <c r="E2062" s="2" t="s">
        <v>2529</v>
      </c>
      <c r="F2062" s="3">
        <v>145614</v>
      </c>
      <c r="G2062" s="3">
        <v>11489</v>
      </c>
      <c r="H2062" s="3">
        <v>673</v>
      </c>
      <c r="I2062" s="4">
        <v>18880.11</v>
      </c>
      <c r="J2062" s="4">
        <v>76757.77</v>
      </c>
      <c r="K2062" s="3">
        <v>354</v>
      </c>
      <c r="L2062" s="2" t="s">
        <v>2518</v>
      </c>
      <c r="M2062" s="2" t="s">
        <v>2526</v>
      </c>
      <c r="N2062" t="str">
        <f>TRIM(PROPER(Tabla_auditoría[[#This Row],[ID_Campaña]]))</f>
        <v>Cmp-007</v>
      </c>
      <c r="O2062" t="str">
        <f>TRIM(PROPER(Tabla_auditoría[[#This Row],[Canal]]))</f>
        <v>Paid Search</v>
      </c>
      <c r="P2062" t="str">
        <f>TRIM(PROPER(Tabla_auditoría[[#This Row],[País]]))</f>
        <v>España</v>
      </c>
      <c r="Q2062" t="str">
        <f>TRIM(PROPER(Tabla_auditoría[[#This Row],[Dispositivo]]))</f>
        <v>Mobile</v>
      </c>
      <c r="R2062" t="str">
        <f>TRIM(PROPER(Tabla_auditoría[[#This Row],[Tipo_Campaña]]))</f>
        <v>Adquisición</v>
      </c>
      <c r="S2062" t="str">
        <f>TRIM(PROPER(Tabla_auditoría[[#This Row],[Responsable]]))</f>
        <v>Laura Pérez</v>
      </c>
    </row>
    <row r="2063" spans="1:19" x14ac:dyDescent="0.3">
      <c r="A2063" s="1">
        <v>45966</v>
      </c>
      <c r="B2063" s="2" t="s">
        <v>2563</v>
      </c>
      <c r="C2063" s="2" t="s">
        <v>2515</v>
      </c>
      <c r="D2063" s="2" t="s">
        <v>2528</v>
      </c>
      <c r="E2063" s="2" t="s">
        <v>2529</v>
      </c>
      <c r="F2063" s="3">
        <v>110394</v>
      </c>
      <c r="G2063" s="3">
        <v>1522</v>
      </c>
      <c r="H2063" s="3">
        <v>145</v>
      </c>
      <c r="I2063" s="4">
        <v>729.85</v>
      </c>
      <c r="J2063" s="4">
        <v>20111.63</v>
      </c>
      <c r="K2063" s="3">
        <v>94</v>
      </c>
      <c r="L2063" s="2" t="s">
        <v>2523</v>
      </c>
      <c r="M2063" s="2" t="s">
        <v>2537</v>
      </c>
      <c r="N2063" t="str">
        <f>TRIM(PROPER(Tabla_auditoría[[#This Row],[ID_Campaña]]))</f>
        <v>Cmp-023</v>
      </c>
      <c r="O2063" t="str">
        <f>TRIM(PROPER(Tabla_auditoría[[#This Row],[Canal]]))</f>
        <v>Email</v>
      </c>
      <c r="P2063" t="str">
        <f>TRIM(PROPER(Tabla_auditoría[[#This Row],[País]]))</f>
        <v>España</v>
      </c>
      <c r="Q2063" t="str">
        <f>TRIM(PROPER(Tabla_auditoría[[#This Row],[Dispositivo]]))</f>
        <v>Mobile</v>
      </c>
      <c r="R2063" t="str">
        <f>TRIM(PROPER(Tabla_auditoría[[#This Row],[Tipo_Campaña]]))</f>
        <v>Retención</v>
      </c>
      <c r="S2063" t="str">
        <f>TRIM(PROPER(Tabla_auditoría[[#This Row],[Responsable]]))</f>
        <v>Marta López</v>
      </c>
    </row>
    <row r="2064" spans="1:19" x14ac:dyDescent="0.3">
      <c r="A2064" s="1">
        <v>45663</v>
      </c>
      <c r="B2064" s="2" t="s">
        <v>2538</v>
      </c>
      <c r="C2064" s="2" t="s">
        <v>2541</v>
      </c>
      <c r="D2064" s="2" t="s">
        <v>2516</v>
      </c>
      <c r="E2064" s="2" t="s">
        <v>2529</v>
      </c>
      <c r="F2064" s="3">
        <v>48187</v>
      </c>
      <c r="G2064" s="3">
        <v>781</v>
      </c>
      <c r="H2064" s="3">
        <v>36</v>
      </c>
      <c r="I2064" s="4">
        <v>1310.85</v>
      </c>
      <c r="J2064" s="4">
        <v>5537.41</v>
      </c>
      <c r="K2064" s="3">
        <v>29</v>
      </c>
      <c r="L2064" s="2" t="s">
        <v>2536</v>
      </c>
      <c r="M2064" s="2" t="s">
        <v>2519</v>
      </c>
      <c r="N2064" t="str">
        <f>TRIM(PROPER(Tabla_auditoría[[#This Row],[ID_Campaña]]))</f>
        <v>Cmp-004</v>
      </c>
      <c r="O2064" t="str">
        <f>TRIM(PROPER(Tabla_auditoría[[#This Row],[Canal]]))</f>
        <v>Display</v>
      </c>
      <c r="P2064" t="str">
        <f>TRIM(PROPER(Tabla_auditoría[[#This Row],[País]]))</f>
        <v>México</v>
      </c>
      <c r="Q2064" t="str">
        <f>TRIM(PROPER(Tabla_auditoría[[#This Row],[Dispositivo]]))</f>
        <v>Mobile</v>
      </c>
      <c r="R2064" t="str">
        <f>TRIM(PROPER(Tabla_auditoría[[#This Row],[Tipo_Campaña]]))</f>
        <v>Reconocimiento</v>
      </c>
      <c r="S2064" t="str">
        <f>TRIM(PROPER(Tabla_auditoría[[#This Row],[Responsable]]))</f>
        <v>Carlos Ruiz</v>
      </c>
    </row>
    <row r="2065" spans="1:19" x14ac:dyDescent="0.3">
      <c r="A2065" s="1">
        <v>45983</v>
      </c>
      <c r="B2065" s="2" t="s">
        <v>2535</v>
      </c>
      <c r="C2065" s="2" t="s">
        <v>2541</v>
      </c>
      <c r="D2065" s="2" t="s">
        <v>2528</v>
      </c>
      <c r="E2065" s="2" t="s">
        <v>2529</v>
      </c>
      <c r="F2065" s="3">
        <v>110375</v>
      </c>
      <c r="G2065" s="3">
        <v>9777</v>
      </c>
      <c r="H2065" s="3">
        <v>973</v>
      </c>
      <c r="I2065" s="4">
        <v>7811.37</v>
      </c>
      <c r="J2065" s="4">
        <v>101825.04</v>
      </c>
      <c r="K2065" s="3">
        <v>481</v>
      </c>
      <c r="L2065" s="2" t="s">
        <v>2518</v>
      </c>
      <c r="M2065" s="2" t="s">
        <v>2546</v>
      </c>
      <c r="N2065" t="str">
        <f>TRIM(PROPER(Tabla_auditoría[[#This Row],[ID_Campaña]]))</f>
        <v>Cmp-015</v>
      </c>
      <c r="O2065" t="str">
        <f>TRIM(PROPER(Tabla_auditoría[[#This Row],[Canal]]))</f>
        <v>Display</v>
      </c>
      <c r="P2065" t="str">
        <f>TRIM(PROPER(Tabla_auditoría[[#This Row],[País]]))</f>
        <v>España</v>
      </c>
      <c r="Q2065" t="str">
        <f>TRIM(PROPER(Tabla_auditoría[[#This Row],[Dispositivo]]))</f>
        <v>Mobile</v>
      </c>
      <c r="R2065" t="str">
        <f>TRIM(PROPER(Tabla_auditoría[[#This Row],[Tipo_Campaña]]))</f>
        <v>Adquisición</v>
      </c>
      <c r="S2065" t="str">
        <f>TRIM(PROPER(Tabla_auditoría[[#This Row],[Responsable]]))</f>
        <v>Ana García</v>
      </c>
    </row>
    <row r="2066" spans="1:19" x14ac:dyDescent="0.3">
      <c r="A2066" s="1">
        <v>45745</v>
      </c>
      <c r="B2066" s="2" t="s">
        <v>2560</v>
      </c>
      <c r="C2066" s="2" t="s">
        <v>2515</v>
      </c>
      <c r="D2066" s="2" t="s">
        <v>2528</v>
      </c>
      <c r="E2066" s="2" t="s">
        <v>2559</v>
      </c>
      <c r="F2066" s="3">
        <v>98563</v>
      </c>
      <c r="G2066" s="3">
        <v>2363</v>
      </c>
      <c r="H2066" s="3">
        <v>45</v>
      </c>
      <c r="I2066" s="4">
        <v>1123.02</v>
      </c>
      <c r="J2066" s="4">
        <v>5171.87</v>
      </c>
      <c r="K2066" s="3">
        <v>39</v>
      </c>
      <c r="L2066" s="2" t="s">
        <v>2518</v>
      </c>
      <c r="M2066" s="2" t="s">
        <v>2537</v>
      </c>
      <c r="N2066" t="str">
        <f>TRIM(PROPER(Tabla_auditoría[[#This Row],[ID_Campaña]]))</f>
        <v>Cmp-027</v>
      </c>
      <c r="O2066" t="str">
        <f>TRIM(PROPER(Tabla_auditoría[[#This Row],[Canal]]))</f>
        <v>Email</v>
      </c>
      <c r="P2066" t="str">
        <f>TRIM(PROPER(Tabla_auditoría[[#This Row],[País]]))</f>
        <v>España</v>
      </c>
      <c r="Q2066" t="str">
        <f>TRIM(PROPER(Tabla_auditoría[[#This Row],[Dispositivo]]))</f>
        <v>Desktop</v>
      </c>
      <c r="R2066" t="str">
        <f>TRIM(PROPER(Tabla_auditoría[[#This Row],[Tipo_Campaña]]))</f>
        <v>Adquisición</v>
      </c>
      <c r="S2066" t="str">
        <f>TRIM(PROPER(Tabla_auditoría[[#This Row],[Responsable]]))</f>
        <v>Marta López</v>
      </c>
    </row>
    <row r="2067" spans="1:19" x14ac:dyDescent="0.3">
      <c r="A2067" s="1">
        <v>45721</v>
      </c>
      <c r="B2067" s="2" t="s">
        <v>2532</v>
      </c>
      <c r="C2067" s="2" t="s">
        <v>2515</v>
      </c>
      <c r="D2067" s="2" t="s">
        <v>2525</v>
      </c>
      <c r="E2067" s="2" t="s">
        <v>2529</v>
      </c>
      <c r="F2067" s="3">
        <v>14251</v>
      </c>
      <c r="G2067" s="3">
        <v>877</v>
      </c>
      <c r="H2067" s="3">
        <v>23</v>
      </c>
      <c r="I2067" s="4">
        <v>500.86</v>
      </c>
      <c r="J2067" s="4">
        <v>2852.2</v>
      </c>
      <c r="K2067" s="3">
        <v>13</v>
      </c>
      <c r="L2067" s="2" t="s">
        <v>2539</v>
      </c>
      <c r="M2067" s="2" t="s">
        <v>2546</v>
      </c>
      <c r="N2067" t="str">
        <f>TRIM(PROPER(Tabla_auditoría[[#This Row],[ID_Campaña]]))</f>
        <v>Cmp-022</v>
      </c>
      <c r="O2067" t="str">
        <f>TRIM(PROPER(Tabla_auditoría[[#This Row],[Canal]]))</f>
        <v>Email</v>
      </c>
      <c r="P2067" t="str">
        <f>TRIM(PROPER(Tabla_auditoría[[#This Row],[País]]))</f>
        <v>Francia</v>
      </c>
      <c r="Q2067" t="str">
        <f>TRIM(PROPER(Tabla_auditoría[[#This Row],[Dispositivo]]))</f>
        <v>Mobile</v>
      </c>
      <c r="R2067" t="str">
        <f>TRIM(PROPER(Tabla_auditoría[[#This Row],[Tipo_Campaña]]))</f>
        <v>Conversión</v>
      </c>
      <c r="S2067" t="str">
        <f>TRIM(PROPER(Tabla_auditoría[[#This Row],[Responsable]]))</f>
        <v>Ana García</v>
      </c>
    </row>
    <row r="2068" spans="1:19" x14ac:dyDescent="0.3">
      <c r="A2068" s="1">
        <v>45944</v>
      </c>
      <c r="B2068" s="2" t="s">
        <v>2560</v>
      </c>
      <c r="C2068" s="2" t="s">
        <v>2515</v>
      </c>
      <c r="D2068" s="2" t="s">
        <v>2528</v>
      </c>
      <c r="E2068" s="2" t="s">
        <v>2517</v>
      </c>
      <c r="F2068" s="3">
        <v>72561</v>
      </c>
      <c r="G2068" s="3">
        <v>5842</v>
      </c>
      <c r="H2068" s="3">
        <v>584</v>
      </c>
      <c r="I2068" s="4">
        <v>8074.8</v>
      </c>
      <c r="J2068" s="4">
        <v>48887.91</v>
      </c>
      <c r="K2068" s="3">
        <v>486</v>
      </c>
      <c r="L2068" s="2" t="s">
        <v>2536</v>
      </c>
      <c r="M2068" s="2" t="s">
        <v>2519</v>
      </c>
      <c r="N2068" t="str">
        <f>TRIM(PROPER(Tabla_auditoría[[#This Row],[ID_Campaña]]))</f>
        <v>Cmp-027</v>
      </c>
      <c r="O2068" t="str">
        <f>TRIM(PROPER(Tabla_auditoría[[#This Row],[Canal]]))</f>
        <v>Email</v>
      </c>
      <c r="P2068" t="str">
        <f>TRIM(PROPER(Tabla_auditoría[[#This Row],[País]]))</f>
        <v>España</v>
      </c>
      <c r="Q2068" t="str">
        <f>TRIM(PROPER(Tabla_auditoría[[#This Row],[Dispositivo]]))</f>
        <v>Desktop</v>
      </c>
      <c r="R2068" t="str">
        <f>TRIM(PROPER(Tabla_auditoría[[#This Row],[Tipo_Campaña]]))</f>
        <v>Reconocimiento</v>
      </c>
      <c r="S2068" t="str">
        <f>TRIM(PROPER(Tabla_auditoría[[#This Row],[Responsable]]))</f>
        <v>Carlos Ruiz</v>
      </c>
    </row>
    <row r="2069" spans="1:19" x14ac:dyDescent="0.3">
      <c r="A2069" s="1">
        <v>45730</v>
      </c>
      <c r="B2069" s="2" t="s">
        <v>2571</v>
      </c>
      <c r="C2069" s="2" t="s">
        <v>2533</v>
      </c>
      <c r="D2069" s="2" t="s">
        <v>2528</v>
      </c>
      <c r="E2069" s="2" t="s">
        <v>2529</v>
      </c>
      <c r="F2069" s="3">
        <v>117142</v>
      </c>
      <c r="G2069" s="3">
        <v>4804</v>
      </c>
      <c r="H2069" s="3">
        <v>41</v>
      </c>
      <c r="I2069" s="4">
        <v>4543.5</v>
      </c>
      <c r="J2069" s="4">
        <v>7046.53</v>
      </c>
      <c r="K2069" s="3">
        <v>31</v>
      </c>
      <c r="L2069" s="2" t="s">
        <v>2539</v>
      </c>
      <c r="M2069" s="2" t="s">
        <v>2537</v>
      </c>
      <c r="N2069" t="str">
        <f>TRIM(PROPER(Tabla_auditoría[[#This Row],[ID_Campaña]]))</f>
        <v>Cmp-029</v>
      </c>
      <c r="O2069" t="str">
        <f>TRIM(PROPER(Tabla_auditoría[[#This Row],[Canal]]))</f>
        <v>Paid Social</v>
      </c>
      <c r="P2069" t="str">
        <f>TRIM(PROPER(Tabla_auditoría[[#This Row],[País]]))</f>
        <v>España</v>
      </c>
      <c r="Q2069" t="str">
        <f>TRIM(PROPER(Tabla_auditoría[[#This Row],[Dispositivo]]))</f>
        <v>Mobile</v>
      </c>
      <c r="R2069" t="str">
        <f>TRIM(PROPER(Tabla_auditoría[[#This Row],[Tipo_Campaña]]))</f>
        <v>Conversión</v>
      </c>
      <c r="S2069" t="str">
        <f>TRIM(PROPER(Tabla_auditoría[[#This Row],[Responsable]]))</f>
        <v>Marta López</v>
      </c>
    </row>
    <row r="2070" spans="1:19" x14ac:dyDescent="0.3">
      <c r="A2070" s="1">
        <v>45906</v>
      </c>
      <c r="B2070" s="2" t="s">
        <v>2566</v>
      </c>
      <c r="C2070" s="2" t="s">
        <v>2521</v>
      </c>
      <c r="D2070" s="2" t="s">
        <v>2528</v>
      </c>
      <c r="E2070" s="2" t="s">
        <v>2517</v>
      </c>
      <c r="F2070" s="3">
        <v>120381</v>
      </c>
      <c r="G2070" s="3">
        <v>5952</v>
      </c>
      <c r="H2070" s="3">
        <v>454</v>
      </c>
      <c r="I2070" s="4">
        <v>1920.71</v>
      </c>
      <c r="J2070" s="4">
        <v>99587.97</v>
      </c>
      <c r="K2070" s="3">
        <v>215</v>
      </c>
      <c r="L2070" s="2" t="s">
        <v>2523</v>
      </c>
      <c r="M2070" s="2" t="s">
        <v>2524</v>
      </c>
      <c r="N2070" t="str">
        <f>TRIM(PROPER(Tabla_auditoría[[#This Row],[ID_Campaña]]))</f>
        <v>Cmp-001</v>
      </c>
      <c r="O2070" t="str">
        <f>TRIM(PROPER(Tabla_auditoría[[#This Row],[Canal]]))</f>
        <v>Paid Search</v>
      </c>
      <c r="P2070" t="str">
        <f>TRIM(PROPER(Tabla_auditoría[[#This Row],[País]]))</f>
        <v>España</v>
      </c>
      <c r="Q2070" t="str">
        <f>TRIM(PROPER(Tabla_auditoría[[#This Row],[Dispositivo]]))</f>
        <v>Desktop</v>
      </c>
      <c r="R2070" t="str">
        <f>TRIM(PROPER(Tabla_auditoría[[#This Row],[Tipo_Campaña]]))</f>
        <v>Retención</v>
      </c>
      <c r="S2070" t="str">
        <f>TRIM(PROPER(Tabla_auditoría[[#This Row],[Responsable]]))</f>
        <v>Luis Martín</v>
      </c>
    </row>
    <row r="2071" spans="1:19" x14ac:dyDescent="0.3">
      <c r="A2071" s="1">
        <v>45716</v>
      </c>
      <c r="B2071" s="2" t="s">
        <v>2542</v>
      </c>
      <c r="C2071" s="2" t="s">
        <v>2527</v>
      </c>
      <c r="D2071" s="2" t="s">
        <v>2516</v>
      </c>
      <c r="E2071" s="2" t="s">
        <v>2517</v>
      </c>
      <c r="F2071" s="3">
        <v>41777</v>
      </c>
      <c r="G2071" s="3">
        <v>510</v>
      </c>
      <c r="H2071" s="3">
        <v>5</v>
      </c>
      <c r="I2071" s="4">
        <v>996.11</v>
      </c>
      <c r="J2071" s="4">
        <v>256.56</v>
      </c>
      <c r="K2071" s="3">
        <v>3</v>
      </c>
      <c r="L2071" s="2" t="s">
        <v>2523</v>
      </c>
      <c r="M2071" s="2" t="s">
        <v>2519</v>
      </c>
      <c r="N2071" t="str">
        <f>TRIM(PROPER(Tabla_auditoría[[#This Row],[ID_Campaña]]))</f>
        <v>Cmp-025</v>
      </c>
      <c r="O2071" t="str">
        <f>TRIM(PROPER(Tabla_auditoría[[#This Row],[Canal]]))</f>
        <v>Affiliate</v>
      </c>
      <c r="P2071" t="str">
        <f>TRIM(PROPER(Tabla_auditoría[[#This Row],[País]]))</f>
        <v>México</v>
      </c>
      <c r="Q2071" t="str">
        <f>TRIM(PROPER(Tabla_auditoría[[#This Row],[Dispositivo]]))</f>
        <v>Desktop</v>
      </c>
      <c r="R2071" t="str">
        <f>TRIM(PROPER(Tabla_auditoría[[#This Row],[Tipo_Campaña]]))</f>
        <v>Retención</v>
      </c>
      <c r="S2071" t="str">
        <f>TRIM(PROPER(Tabla_auditoría[[#This Row],[Responsable]]))</f>
        <v>Carlos Ruiz</v>
      </c>
    </row>
    <row r="2072" spans="1:19" x14ac:dyDescent="0.3">
      <c r="A2072" s="1">
        <v>45915</v>
      </c>
      <c r="B2072" s="2" t="s">
        <v>2563</v>
      </c>
      <c r="C2072" s="2" t="s">
        <v>2541</v>
      </c>
      <c r="D2072" s="2" t="s">
        <v>2528</v>
      </c>
      <c r="E2072" s="2" t="s">
        <v>2529</v>
      </c>
      <c r="F2072" s="3">
        <v>115490</v>
      </c>
      <c r="G2072" s="3">
        <v>7724</v>
      </c>
      <c r="H2072" s="3">
        <v>99</v>
      </c>
      <c r="I2072" s="4">
        <v>1886.75</v>
      </c>
      <c r="J2072" s="4">
        <v>12835.39</v>
      </c>
      <c r="K2072" s="3">
        <v>47</v>
      </c>
      <c r="L2072" s="2" t="s">
        <v>2536</v>
      </c>
      <c r="M2072" s="2" t="s">
        <v>2537</v>
      </c>
      <c r="N2072" t="str">
        <f>TRIM(PROPER(Tabla_auditoría[[#This Row],[ID_Campaña]]))</f>
        <v>Cmp-023</v>
      </c>
      <c r="O2072" t="str">
        <f>TRIM(PROPER(Tabla_auditoría[[#This Row],[Canal]]))</f>
        <v>Display</v>
      </c>
      <c r="P2072" t="str">
        <f>TRIM(PROPER(Tabla_auditoría[[#This Row],[País]]))</f>
        <v>España</v>
      </c>
      <c r="Q2072" t="str">
        <f>TRIM(PROPER(Tabla_auditoría[[#This Row],[Dispositivo]]))</f>
        <v>Mobile</v>
      </c>
      <c r="R2072" t="str">
        <f>TRIM(PROPER(Tabla_auditoría[[#This Row],[Tipo_Campaña]]))</f>
        <v>Reconocimiento</v>
      </c>
      <c r="S2072" t="str">
        <f>TRIM(PROPER(Tabla_auditoría[[#This Row],[Responsable]]))</f>
        <v>Marta López</v>
      </c>
    </row>
    <row r="2073" spans="1:19" x14ac:dyDescent="0.3">
      <c r="A2073" s="1">
        <v>45750</v>
      </c>
      <c r="B2073" s="2" t="s">
        <v>2565</v>
      </c>
      <c r="C2073" s="2" t="s">
        <v>2521</v>
      </c>
      <c r="D2073" s="2" t="s">
        <v>2516</v>
      </c>
      <c r="E2073" s="2" t="s">
        <v>2529</v>
      </c>
      <c r="F2073" s="3">
        <v>15715</v>
      </c>
      <c r="G2073" s="3">
        <v>1100</v>
      </c>
      <c r="H2073" s="3">
        <v>123</v>
      </c>
      <c r="I2073" s="4">
        <v>880.71</v>
      </c>
      <c r="J2073" s="4">
        <v>25665.72</v>
      </c>
      <c r="K2073" s="3">
        <v>108</v>
      </c>
      <c r="L2073" s="2" t="s">
        <v>2536</v>
      </c>
      <c r="M2073" s="2" t="s">
        <v>2537</v>
      </c>
      <c r="N2073" t="str">
        <f>TRIM(PROPER(Tabla_auditoría[[#This Row],[ID_Campaña]]))</f>
        <v>Cmp-005</v>
      </c>
      <c r="O2073" t="str">
        <f>TRIM(PROPER(Tabla_auditoría[[#This Row],[Canal]]))</f>
        <v>Paid Search</v>
      </c>
      <c r="P2073" t="str">
        <f>TRIM(PROPER(Tabla_auditoría[[#This Row],[País]]))</f>
        <v>México</v>
      </c>
      <c r="Q2073" t="str">
        <f>TRIM(PROPER(Tabla_auditoría[[#This Row],[Dispositivo]]))</f>
        <v>Mobile</v>
      </c>
      <c r="R2073" t="str">
        <f>TRIM(PROPER(Tabla_auditoría[[#This Row],[Tipo_Campaña]]))</f>
        <v>Reconocimiento</v>
      </c>
      <c r="S2073" t="str">
        <f>TRIM(PROPER(Tabla_auditoría[[#This Row],[Responsable]]))</f>
        <v>Marta López</v>
      </c>
    </row>
    <row r="2074" spans="1:19" x14ac:dyDescent="0.3">
      <c r="A2074" s="1">
        <v>45908</v>
      </c>
      <c r="B2074" s="2" t="s">
        <v>2555</v>
      </c>
      <c r="C2074" s="2" t="s">
        <v>2515</v>
      </c>
      <c r="D2074" s="2" t="s">
        <v>2531</v>
      </c>
      <c r="E2074" s="2" t="s">
        <v>2529</v>
      </c>
      <c r="F2074" s="3">
        <v>10911</v>
      </c>
      <c r="G2074" s="3">
        <v>934</v>
      </c>
      <c r="H2074" s="3">
        <v>51</v>
      </c>
      <c r="I2074" s="4">
        <v>1019.86</v>
      </c>
      <c r="J2074" s="4">
        <v>8869.98</v>
      </c>
      <c r="K2074" s="3">
        <v>36</v>
      </c>
      <c r="L2074" s="2" t="s">
        <v>2523</v>
      </c>
      <c r="M2074" s="2" t="s">
        <v>2524</v>
      </c>
      <c r="N2074" t="str">
        <f>TRIM(PROPER(Tabla_auditoría[[#This Row],[ID_Campaña]]))</f>
        <v>Cmp-010</v>
      </c>
      <c r="O2074" t="str">
        <f>TRIM(PROPER(Tabla_auditoría[[#This Row],[Canal]]))</f>
        <v>Email</v>
      </c>
      <c r="P2074" t="str">
        <f>TRIM(PROPER(Tabla_auditoría[[#This Row],[País]]))</f>
        <v>Portugal</v>
      </c>
      <c r="Q2074" t="str">
        <f>TRIM(PROPER(Tabla_auditoría[[#This Row],[Dispositivo]]))</f>
        <v>Mobile</v>
      </c>
      <c r="R2074" t="str">
        <f>TRIM(PROPER(Tabla_auditoría[[#This Row],[Tipo_Campaña]]))</f>
        <v>Retención</v>
      </c>
      <c r="S2074" t="str">
        <f>TRIM(PROPER(Tabla_auditoría[[#This Row],[Responsable]]))</f>
        <v>Luis Martín</v>
      </c>
    </row>
    <row r="2075" spans="1:19" x14ac:dyDescent="0.3">
      <c r="A2075" s="1">
        <v>45670</v>
      </c>
      <c r="B2075" s="2" t="s">
        <v>2547</v>
      </c>
      <c r="C2075" s="2" t="s">
        <v>2543</v>
      </c>
      <c r="D2075" s="2" t="s">
        <v>2516</v>
      </c>
      <c r="E2075" s="2" t="s">
        <v>2517</v>
      </c>
      <c r="F2075" s="3">
        <v>99810</v>
      </c>
      <c r="G2075" s="3">
        <v>7861</v>
      </c>
      <c r="H2075" s="3">
        <v>672</v>
      </c>
      <c r="I2075" s="4">
        <v>11628.47</v>
      </c>
      <c r="J2075" s="4">
        <v>120282.97</v>
      </c>
      <c r="K2075" s="3">
        <v>542</v>
      </c>
      <c r="L2075" s="2" t="s">
        <v>2536</v>
      </c>
      <c r="M2075" s="2" t="s">
        <v>2526</v>
      </c>
      <c r="N2075" t="str">
        <f>TRIM(PROPER(Tabla_auditoría[[#This Row],[ID_Campaña]]))</f>
        <v>Cmp-018</v>
      </c>
      <c r="O2075" t="str">
        <f>TRIM(PROPER(Tabla_auditoría[[#This Row],[Canal]]))</f>
        <v>Organic Social</v>
      </c>
      <c r="P2075" t="str">
        <f>TRIM(PROPER(Tabla_auditoría[[#This Row],[País]]))</f>
        <v>México</v>
      </c>
      <c r="Q2075" t="str">
        <f>TRIM(PROPER(Tabla_auditoría[[#This Row],[Dispositivo]]))</f>
        <v>Desktop</v>
      </c>
      <c r="R2075" t="str">
        <f>TRIM(PROPER(Tabla_auditoría[[#This Row],[Tipo_Campaña]]))</f>
        <v>Reconocimiento</v>
      </c>
      <c r="S2075" t="str">
        <f>TRIM(PROPER(Tabla_auditoría[[#This Row],[Responsable]]))</f>
        <v>Laura Pérez</v>
      </c>
    </row>
    <row r="2076" spans="1:19" x14ac:dyDescent="0.3">
      <c r="A2076" s="1">
        <v>45822</v>
      </c>
      <c r="B2076" s="2" t="s">
        <v>2550</v>
      </c>
      <c r="C2076" s="2" t="s">
        <v>2515</v>
      </c>
      <c r="D2076" s="2" t="s">
        <v>2528</v>
      </c>
      <c r="E2076" s="2" t="s">
        <v>2534</v>
      </c>
      <c r="F2076" s="3">
        <v>10619</v>
      </c>
      <c r="G2076" s="3">
        <v>179</v>
      </c>
      <c r="H2076" s="3">
        <v>17</v>
      </c>
      <c r="I2076" s="4">
        <v>342.84</v>
      </c>
      <c r="J2076" s="4">
        <v>3214.83</v>
      </c>
      <c r="K2076" s="3">
        <v>8</v>
      </c>
      <c r="L2076" s="2" t="s">
        <v>2539</v>
      </c>
      <c r="M2076" s="2" t="s">
        <v>2537</v>
      </c>
      <c r="N2076" t="str">
        <f>TRIM(PROPER(Tabla_auditoría[[#This Row],[ID_Campaña]]))</f>
        <v>Cmp-008</v>
      </c>
      <c r="O2076" t="str">
        <f>TRIM(PROPER(Tabla_auditoría[[#This Row],[Canal]]))</f>
        <v>Email</v>
      </c>
      <c r="P2076" t="str">
        <f>TRIM(PROPER(Tabla_auditoría[[#This Row],[País]]))</f>
        <v>España</v>
      </c>
      <c r="Q2076" t="str">
        <f>TRIM(PROPER(Tabla_auditoría[[#This Row],[Dispositivo]]))</f>
        <v>Tablet</v>
      </c>
      <c r="R2076" t="str">
        <f>TRIM(PROPER(Tabla_auditoría[[#This Row],[Tipo_Campaña]]))</f>
        <v>Conversión</v>
      </c>
      <c r="S2076" t="str">
        <f>TRIM(PROPER(Tabla_auditoría[[#This Row],[Responsable]]))</f>
        <v>Marta López</v>
      </c>
    </row>
    <row r="2077" spans="1:19" x14ac:dyDescent="0.3">
      <c r="A2077" s="1">
        <v>46019</v>
      </c>
      <c r="B2077" s="2" t="s">
        <v>2545</v>
      </c>
      <c r="C2077" s="2" t="s">
        <v>2515</v>
      </c>
      <c r="D2077" s="2" t="s">
        <v>2528</v>
      </c>
      <c r="E2077" s="2" t="s">
        <v>2517</v>
      </c>
      <c r="F2077" s="3">
        <v>90025</v>
      </c>
      <c r="G2077" s="3">
        <v>1144</v>
      </c>
      <c r="H2077" s="3">
        <v>73</v>
      </c>
      <c r="I2077" s="4">
        <v>1255.06</v>
      </c>
      <c r="J2077" s="4">
        <v>9979.52</v>
      </c>
      <c r="K2077" s="3">
        <v>51</v>
      </c>
      <c r="L2077" s="2" t="s">
        <v>2518</v>
      </c>
      <c r="M2077" s="2" t="s">
        <v>2546</v>
      </c>
      <c r="N2077" t="str">
        <f>TRIM(PROPER(Tabla_auditoría[[#This Row],[ID_Campaña]]))</f>
        <v>Cmp-011</v>
      </c>
      <c r="O2077" t="str">
        <f>TRIM(PROPER(Tabla_auditoría[[#This Row],[Canal]]))</f>
        <v>Email</v>
      </c>
      <c r="P2077" t="str">
        <f>TRIM(PROPER(Tabla_auditoría[[#This Row],[País]]))</f>
        <v>España</v>
      </c>
      <c r="Q2077" t="str">
        <f>TRIM(PROPER(Tabla_auditoría[[#This Row],[Dispositivo]]))</f>
        <v>Desktop</v>
      </c>
      <c r="R2077" t="str">
        <f>TRIM(PROPER(Tabla_auditoría[[#This Row],[Tipo_Campaña]]))</f>
        <v>Adquisición</v>
      </c>
      <c r="S2077" t="str">
        <f>TRIM(PROPER(Tabla_auditoría[[#This Row],[Responsable]]))</f>
        <v>Ana García</v>
      </c>
    </row>
    <row r="2078" spans="1:19" x14ac:dyDescent="0.3">
      <c r="A2078" s="1">
        <v>45750</v>
      </c>
      <c r="B2078" s="2" t="s">
        <v>2544</v>
      </c>
      <c r="C2078" s="2" t="s">
        <v>2533</v>
      </c>
      <c r="D2078" s="2" t="s">
        <v>2531</v>
      </c>
      <c r="E2078" s="2" t="s">
        <v>2517</v>
      </c>
      <c r="F2078" s="3">
        <v>81086</v>
      </c>
      <c r="G2078" s="3">
        <v>7185</v>
      </c>
      <c r="H2078" s="3">
        <v>886</v>
      </c>
      <c r="I2078" s="4">
        <v>13671.15</v>
      </c>
      <c r="J2078" s="4">
        <v>66793.97</v>
      </c>
      <c r="K2078" s="3">
        <v>506</v>
      </c>
      <c r="L2078" s="2" t="s">
        <v>2539</v>
      </c>
      <c r="M2078" s="2" t="s">
        <v>2519</v>
      </c>
      <c r="N2078" t="str">
        <f>TRIM(PROPER(Tabla_auditoría[[#This Row],[ID_Campaña]]))</f>
        <v>Cmp-006</v>
      </c>
      <c r="O2078" t="str">
        <f>TRIM(PROPER(Tabla_auditoría[[#This Row],[Canal]]))</f>
        <v>Paid Social</v>
      </c>
      <c r="P2078" t="str">
        <f>TRIM(PROPER(Tabla_auditoría[[#This Row],[País]]))</f>
        <v>Portugal</v>
      </c>
      <c r="Q2078" t="str">
        <f>TRIM(PROPER(Tabla_auditoría[[#This Row],[Dispositivo]]))</f>
        <v>Desktop</v>
      </c>
      <c r="R2078" t="str">
        <f>TRIM(PROPER(Tabla_auditoría[[#This Row],[Tipo_Campaña]]))</f>
        <v>Conversión</v>
      </c>
      <c r="S2078" t="str">
        <f>TRIM(PROPER(Tabla_auditoría[[#This Row],[Responsable]]))</f>
        <v>Carlos Ruiz</v>
      </c>
    </row>
    <row r="2079" spans="1:19" x14ac:dyDescent="0.3">
      <c r="A2079" s="1">
        <v>45729</v>
      </c>
      <c r="B2079" s="2" t="s">
        <v>2570</v>
      </c>
      <c r="C2079" s="2" t="s">
        <v>2515</v>
      </c>
      <c r="D2079" s="2" t="s">
        <v>2525</v>
      </c>
      <c r="E2079" s="2" t="s">
        <v>2517</v>
      </c>
      <c r="F2079" s="3">
        <v>97169</v>
      </c>
      <c r="G2079" s="3">
        <v>958</v>
      </c>
      <c r="H2079" s="3">
        <v>92</v>
      </c>
      <c r="I2079" s="4">
        <v>406.13</v>
      </c>
      <c r="J2079" s="4">
        <v>11926.35</v>
      </c>
      <c r="K2079" s="3">
        <v>46</v>
      </c>
      <c r="L2079" s="2" t="s">
        <v>2539</v>
      </c>
      <c r="M2079" s="2" t="s">
        <v>2519</v>
      </c>
      <c r="N2079" t="str">
        <f>TRIM(PROPER(Tabla_auditoría[[#This Row],[ID_Campaña]]))</f>
        <v>Cmp-016</v>
      </c>
      <c r="O2079" t="str">
        <f>TRIM(PROPER(Tabla_auditoría[[#This Row],[Canal]]))</f>
        <v>Email</v>
      </c>
      <c r="P2079" t="str">
        <f>TRIM(PROPER(Tabla_auditoría[[#This Row],[País]]))</f>
        <v>Francia</v>
      </c>
      <c r="Q2079" t="str">
        <f>TRIM(PROPER(Tabla_auditoría[[#This Row],[Dispositivo]]))</f>
        <v>Desktop</v>
      </c>
      <c r="R2079" t="str">
        <f>TRIM(PROPER(Tabla_auditoría[[#This Row],[Tipo_Campaña]]))</f>
        <v>Conversión</v>
      </c>
      <c r="S2079" t="str">
        <f>TRIM(PROPER(Tabla_auditoría[[#This Row],[Responsable]]))</f>
        <v>Carlos Ruiz</v>
      </c>
    </row>
    <row r="2080" spans="1:19" x14ac:dyDescent="0.3">
      <c r="A2080" s="1">
        <v>45783</v>
      </c>
      <c r="B2080" s="2" t="s">
        <v>2567</v>
      </c>
      <c r="C2080" s="2" t="s">
        <v>2515</v>
      </c>
      <c r="D2080" s="2" t="s">
        <v>2528</v>
      </c>
      <c r="E2080" s="2" t="s">
        <v>2517</v>
      </c>
      <c r="F2080" s="3">
        <v>78934</v>
      </c>
      <c r="G2080" s="3">
        <v>79332</v>
      </c>
      <c r="H2080" s="3">
        <v>48</v>
      </c>
      <c r="I2080" s="4">
        <v>1548.03</v>
      </c>
      <c r="J2080" s="4">
        <v>3063.97</v>
      </c>
      <c r="K2080" s="3">
        <v>25</v>
      </c>
      <c r="L2080" s="2" t="s">
        <v>2539</v>
      </c>
      <c r="M2080" s="2" t="s">
        <v>2524</v>
      </c>
      <c r="N2080" t="str">
        <f>TRIM(PROPER(Tabla_auditoría[[#This Row],[ID_Campaña]]))</f>
        <v>Cmp-021</v>
      </c>
      <c r="O2080" t="str">
        <f>TRIM(PROPER(Tabla_auditoría[[#This Row],[Canal]]))</f>
        <v>Email</v>
      </c>
      <c r="P2080" t="str">
        <f>TRIM(PROPER(Tabla_auditoría[[#This Row],[País]]))</f>
        <v>España</v>
      </c>
      <c r="Q2080" t="str">
        <f>TRIM(PROPER(Tabla_auditoría[[#This Row],[Dispositivo]]))</f>
        <v>Desktop</v>
      </c>
      <c r="R2080" t="str">
        <f>TRIM(PROPER(Tabla_auditoría[[#This Row],[Tipo_Campaña]]))</f>
        <v>Conversión</v>
      </c>
      <c r="S2080" t="str">
        <f>TRIM(PROPER(Tabla_auditoría[[#This Row],[Responsable]]))</f>
        <v>Luis Martín</v>
      </c>
    </row>
    <row r="2081" spans="1:19" x14ac:dyDescent="0.3">
      <c r="A2081" s="1">
        <v>45836</v>
      </c>
      <c r="B2081" s="2" t="s">
        <v>2552</v>
      </c>
      <c r="C2081" s="2" t="s">
        <v>2515</v>
      </c>
      <c r="D2081" s="2" t="s">
        <v>2528</v>
      </c>
      <c r="E2081" s="2" t="s">
        <v>2517</v>
      </c>
      <c r="F2081" s="3">
        <v>56821</v>
      </c>
      <c r="G2081" s="3">
        <v>2811</v>
      </c>
      <c r="H2081" s="3">
        <v>216</v>
      </c>
      <c r="I2081" s="4">
        <v>4077.22</v>
      </c>
      <c r="J2081" s="4">
        <v>30212.52</v>
      </c>
      <c r="K2081" s="3">
        <v>155</v>
      </c>
      <c r="L2081" s="2" t="s">
        <v>2518</v>
      </c>
      <c r="M2081" s="2" t="s">
        <v>2519</v>
      </c>
      <c r="N2081" t="str">
        <f>TRIM(PROPER(Tabla_auditoría[[#This Row],[ID_Campaña]]))</f>
        <v>Cmp-012</v>
      </c>
      <c r="O2081" t="str">
        <f>TRIM(PROPER(Tabla_auditoría[[#This Row],[Canal]]))</f>
        <v>Email</v>
      </c>
      <c r="P2081" t="str">
        <f>TRIM(PROPER(Tabla_auditoría[[#This Row],[País]]))</f>
        <v>España</v>
      </c>
      <c r="Q2081" t="str">
        <f>TRIM(PROPER(Tabla_auditoría[[#This Row],[Dispositivo]]))</f>
        <v>Desktop</v>
      </c>
      <c r="R2081" t="str">
        <f>TRIM(PROPER(Tabla_auditoría[[#This Row],[Tipo_Campaña]]))</f>
        <v>Adquisición</v>
      </c>
      <c r="S2081" t="str">
        <f>TRIM(PROPER(Tabla_auditoría[[#This Row],[Responsable]]))</f>
        <v>Carlos Ruiz</v>
      </c>
    </row>
    <row r="2082" spans="1:19" x14ac:dyDescent="0.3">
      <c r="A2082" s="1">
        <v>46007</v>
      </c>
      <c r="B2082" s="2" t="s">
        <v>2538</v>
      </c>
      <c r="C2082" s="2" t="s">
        <v>2527</v>
      </c>
      <c r="D2082" s="2" t="s">
        <v>2525</v>
      </c>
      <c r="E2082" s="2" t="s">
        <v>2517</v>
      </c>
      <c r="F2082" s="3">
        <v>25649</v>
      </c>
      <c r="G2082" s="3">
        <v>634</v>
      </c>
      <c r="H2082" s="3">
        <v>32</v>
      </c>
      <c r="I2082" s="4">
        <v>518.80999999999995</v>
      </c>
      <c r="J2082" s="4">
        <v>5605.71</v>
      </c>
      <c r="K2082" s="3">
        <v>19</v>
      </c>
      <c r="L2082" s="2" t="s">
        <v>2518</v>
      </c>
      <c r="M2082" s="2" t="s">
        <v>2546</v>
      </c>
      <c r="N2082" t="str">
        <f>TRIM(PROPER(Tabla_auditoría[[#This Row],[ID_Campaña]]))</f>
        <v>Cmp-004</v>
      </c>
      <c r="O2082" t="str">
        <f>TRIM(PROPER(Tabla_auditoría[[#This Row],[Canal]]))</f>
        <v>Affiliate</v>
      </c>
      <c r="P2082" t="str">
        <f>TRIM(PROPER(Tabla_auditoría[[#This Row],[País]]))</f>
        <v>Francia</v>
      </c>
      <c r="Q2082" t="str">
        <f>TRIM(PROPER(Tabla_auditoría[[#This Row],[Dispositivo]]))</f>
        <v>Desktop</v>
      </c>
      <c r="R2082" t="str">
        <f>TRIM(PROPER(Tabla_auditoría[[#This Row],[Tipo_Campaña]]))</f>
        <v>Adquisición</v>
      </c>
      <c r="S2082" t="str">
        <f>TRIM(PROPER(Tabla_auditoría[[#This Row],[Responsable]]))</f>
        <v>Ana García</v>
      </c>
    </row>
    <row r="2083" spans="1:19" x14ac:dyDescent="0.3">
      <c r="A2083" s="1">
        <v>45747</v>
      </c>
      <c r="B2083" s="2" t="s">
        <v>2571</v>
      </c>
      <c r="C2083" s="2" t="s">
        <v>2527</v>
      </c>
      <c r="D2083" s="2" t="s">
        <v>2525</v>
      </c>
      <c r="E2083" s="2" t="s">
        <v>2529</v>
      </c>
      <c r="F2083" s="3">
        <v>109539</v>
      </c>
      <c r="G2083" s="3">
        <v>9840</v>
      </c>
      <c r="H2083" s="3">
        <v>112</v>
      </c>
      <c r="I2083" s="4">
        <v>3297.03</v>
      </c>
      <c r="J2083" s="4">
        <v>15759.24</v>
      </c>
      <c r="K2083" s="3">
        <v>59</v>
      </c>
      <c r="L2083" s="2" t="s">
        <v>2539</v>
      </c>
      <c r="M2083" s="2" t="s">
        <v>2524</v>
      </c>
      <c r="N2083" t="str">
        <f>TRIM(PROPER(Tabla_auditoría[[#This Row],[ID_Campaña]]))</f>
        <v>Cmp-029</v>
      </c>
      <c r="O2083" t="str">
        <f>TRIM(PROPER(Tabla_auditoría[[#This Row],[Canal]]))</f>
        <v>Affiliate</v>
      </c>
      <c r="P2083" t="str">
        <f>TRIM(PROPER(Tabla_auditoría[[#This Row],[País]]))</f>
        <v>Francia</v>
      </c>
      <c r="Q2083" t="str">
        <f>TRIM(PROPER(Tabla_auditoría[[#This Row],[Dispositivo]]))</f>
        <v>Mobile</v>
      </c>
      <c r="R2083" t="str">
        <f>TRIM(PROPER(Tabla_auditoría[[#This Row],[Tipo_Campaña]]))</f>
        <v>Conversión</v>
      </c>
      <c r="S2083" t="str">
        <f>TRIM(PROPER(Tabla_auditoría[[#This Row],[Responsable]]))</f>
        <v>Luis Martín</v>
      </c>
    </row>
    <row r="2084" spans="1:19" x14ac:dyDescent="0.3">
      <c r="A2084" s="1">
        <v>46002</v>
      </c>
      <c r="B2084" s="2" t="s">
        <v>2538</v>
      </c>
      <c r="C2084" s="2" t="s">
        <v>2533</v>
      </c>
      <c r="D2084" s="2" t="s">
        <v>2525</v>
      </c>
      <c r="E2084" s="2" t="s">
        <v>2517</v>
      </c>
      <c r="F2084" s="3">
        <v>177395</v>
      </c>
      <c r="G2084" s="3">
        <v>5960</v>
      </c>
      <c r="H2084" s="3">
        <v>586</v>
      </c>
      <c r="I2084" s="4">
        <v>8695.11</v>
      </c>
      <c r="J2084" s="4">
        <v>51765.7</v>
      </c>
      <c r="K2084" s="3">
        <v>335</v>
      </c>
      <c r="L2084" s="2" t="s">
        <v>2536</v>
      </c>
      <c r="M2084" s="2" t="s">
        <v>2526</v>
      </c>
      <c r="N2084" t="str">
        <f>TRIM(PROPER(Tabla_auditoría[[#This Row],[ID_Campaña]]))</f>
        <v>Cmp-004</v>
      </c>
      <c r="O2084" t="str">
        <f>TRIM(PROPER(Tabla_auditoría[[#This Row],[Canal]]))</f>
        <v>Paid Social</v>
      </c>
      <c r="P2084" t="str">
        <f>TRIM(PROPER(Tabla_auditoría[[#This Row],[País]]))</f>
        <v>Francia</v>
      </c>
      <c r="Q2084" t="str">
        <f>TRIM(PROPER(Tabla_auditoría[[#This Row],[Dispositivo]]))</f>
        <v>Desktop</v>
      </c>
      <c r="R2084" t="str">
        <f>TRIM(PROPER(Tabla_auditoría[[#This Row],[Tipo_Campaña]]))</f>
        <v>Reconocimiento</v>
      </c>
      <c r="S2084" t="str">
        <f>TRIM(PROPER(Tabla_auditoría[[#This Row],[Responsable]]))</f>
        <v>Laura Pérez</v>
      </c>
    </row>
    <row r="2085" spans="1:19" x14ac:dyDescent="0.3">
      <c r="A2085" s="1">
        <v>45890</v>
      </c>
      <c r="B2085" s="2" t="s">
        <v>2567</v>
      </c>
      <c r="C2085" s="2" t="s">
        <v>2533</v>
      </c>
      <c r="D2085" s="2" t="s">
        <v>2528</v>
      </c>
      <c r="E2085" s="2" t="s">
        <v>2529</v>
      </c>
      <c r="F2085" s="3">
        <v>168382</v>
      </c>
      <c r="G2085" s="3">
        <v>12775</v>
      </c>
      <c r="H2085" s="3">
        <v>1286</v>
      </c>
      <c r="I2085" s="4">
        <v>21499.439999999999</v>
      </c>
      <c r="J2085" s="4">
        <v>49231.29</v>
      </c>
      <c r="K2085" s="3">
        <v>647</v>
      </c>
      <c r="L2085" s="2" t="s">
        <v>2539</v>
      </c>
      <c r="M2085" s="2" t="s">
        <v>2519</v>
      </c>
      <c r="N2085" t="str">
        <f>TRIM(PROPER(Tabla_auditoría[[#This Row],[ID_Campaña]]))</f>
        <v>Cmp-021</v>
      </c>
      <c r="O2085" t="str">
        <f>TRIM(PROPER(Tabla_auditoría[[#This Row],[Canal]]))</f>
        <v>Paid Social</v>
      </c>
      <c r="P2085" t="str">
        <f>TRIM(PROPER(Tabla_auditoría[[#This Row],[País]]))</f>
        <v>España</v>
      </c>
      <c r="Q2085" t="str">
        <f>TRIM(PROPER(Tabla_auditoría[[#This Row],[Dispositivo]]))</f>
        <v>Mobile</v>
      </c>
      <c r="R2085" t="str">
        <f>TRIM(PROPER(Tabla_auditoría[[#This Row],[Tipo_Campaña]]))</f>
        <v>Conversión</v>
      </c>
      <c r="S2085" t="str">
        <f>TRIM(PROPER(Tabla_auditoría[[#This Row],[Responsable]]))</f>
        <v>Carlos Ruiz</v>
      </c>
    </row>
    <row r="2086" spans="1:19" x14ac:dyDescent="0.3">
      <c r="A2086" s="1">
        <v>45910</v>
      </c>
      <c r="B2086" s="2" t="s">
        <v>2540</v>
      </c>
      <c r="C2086" s="2" t="s">
        <v>2527</v>
      </c>
      <c r="D2086" s="2" t="s">
        <v>2531</v>
      </c>
      <c r="E2086" s="2" t="s">
        <v>2529</v>
      </c>
      <c r="F2086" s="3">
        <v>118162</v>
      </c>
      <c r="G2086" s="3">
        <v>6791</v>
      </c>
      <c r="H2086" s="3">
        <v>687</v>
      </c>
      <c r="I2086" s="4">
        <v>3366.11</v>
      </c>
      <c r="J2086" s="4">
        <v>14475.66</v>
      </c>
      <c r="K2086" s="3">
        <v>464</v>
      </c>
      <c r="L2086" s="2" t="s">
        <v>2536</v>
      </c>
      <c r="M2086" s="2" t="s">
        <v>2546</v>
      </c>
      <c r="N2086" t="str">
        <f>TRIM(PROPER(Tabla_auditoría[[#This Row],[ID_Campaña]]))</f>
        <v>Cmp-017</v>
      </c>
      <c r="O2086" t="str">
        <f>TRIM(PROPER(Tabla_auditoría[[#This Row],[Canal]]))</f>
        <v>Affiliate</v>
      </c>
      <c r="P2086" t="str">
        <f>TRIM(PROPER(Tabla_auditoría[[#This Row],[País]]))</f>
        <v>Portugal</v>
      </c>
      <c r="Q2086" t="str">
        <f>TRIM(PROPER(Tabla_auditoría[[#This Row],[Dispositivo]]))</f>
        <v>Mobile</v>
      </c>
      <c r="R2086" t="str">
        <f>TRIM(PROPER(Tabla_auditoría[[#This Row],[Tipo_Campaña]]))</f>
        <v>Reconocimiento</v>
      </c>
      <c r="S2086" t="str">
        <f>TRIM(PROPER(Tabla_auditoría[[#This Row],[Responsable]]))</f>
        <v>Ana García</v>
      </c>
    </row>
    <row r="2087" spans="1:19" x14ac:dyDescent="0.3">
      <c r="A2087" s="1">
        <v>45744</v>
      </c>
      <c r="B2087" s="2" t="s">
        <v>2545</v>
      </c>
      <c r="C2087" s="2" t="s">
        <v>2527</v>
      </c>
      <c r="D2087" s="2" t="s">
        <v>2528</v>
      </c>
      <c r="E2087" s="2" t="s">
        <v>2517</v>
      </c>
      <c r="F2087" s="3">
        <v>114348</v>
      </c>
      <c r="G2087" s="3">
        <v>4257</v>
      </c>
      <c r="H2087" s="3">
        <v>68</v>
      </c>
      <c r="I2087" s="4">
        <v>3812.91</v>
      </c>
      <c r="J2087" s="4">
        <v>1573.32</v>
      </c>
      <c r="K2087" s="3">
        <v>54</v>
      </c>
      <c r="L2087" s="2" t="s">
        <v>2539</v>
      </c>
      <c r="M2087" s="2" t="s">
        <v>2537</v>
      </c>
      <c r="N2087" t="str">
        <f>TRIM(PROPER(Tabla_auditoría[[#This Row],[ID_Campaña]]))</f>
        <v>Cmp-011</v>
      </c>
      <c r="O2087" t="str">
        <f>TRIM(PROPER(Tabla_auditoría[[#This Row],[Canal]]))</f>
        <v>Affiliate</v>
      </c>
      <c r="P2087" t="str">
        <f>TRIM(PROPER(Tabla_auditoría[[#This Row],[País]]))</f>
        <v>España</v>
      </c>
      <c r="Q2087" t="str">
        <f>TRIM(PROPER(Tabla_auditoría[[#This Row],[Dispositivo]]))</f>
        <v>Desktop</v>
      </c>
      <c r="R2087" t="str">
        <f>TRIM(PROPER(Tabla_auditoría[[#This Row],[Tipo_Campaña]]))</f>
        <v>Conversión</v>
      </c>
      <c r="S2087" t="str">
        <f>TRIM(PROPER(Tabla_auditoría[[#This Row],[Responsable]]))</f>
        <v>Marta López</v>
      </c>
    </row>
    <row r="2088" spans="1:19" x14ac:dyDescent="0.3">
      <c r="A2088" s="1">
        <v>45775</v>
      </c>
      <c r="B2088" s="2" t="s">
        <v>2556</v>
      </c>
      <c r="C2088" s="2" t="s">
        <v>2541</v>
      </c>
      <c r="D2088" s="2" t="s">
        <v>2516</v>
      </c>
      <c r="E2088" s="2" t="s">
        <v>2529</v>
      </c>
      <c r="F2088" s="3">
        <v>78548</v>
      </c>
      <c r="G2088" s="3">
        <v>3057</v>
      </c>
      <c r="H2088" s="3">
        <v>169</v>
      </c>
      <c r="I2088" s="4">
        <v>3713.93</v>
      </c>
      <c r="J2088" s="4">
        <v>18625.34</v>
      </c>
      <c r="K2088" s="3">
        <v>81</v>
      </c>
      <c r="L2088" s="2" t="s">
        <v>2523</v>
      </c>
      <c r="M2088" s="2" t="s">
        <v>2546</v>
      </c>
      <c r="N2088" t="str">
        <f>TRIM(PROPER(Tabla_auditoría[[#This Row],[ID_Campaña]]))</f>
        <v>Cmp-014</v>
      </c>
      <c r="O2088" t="str">
        <f>TRIM(PROPER(Tabla_auditoría[[#This Row],[Canal]]))</f>
        <v>Display</v>
      </c>
      <c r="P2088" t="str">
        <f>TRIM(PROPER(Tabla_auditoría[[#This Row],[País]]))</f>
        <v>México</v>
      </c>
      <c r="Q2088" t="str">
        <f>TRIM(PROPER(Tabla_auditoría[[#This Row],[Dispositivo]]))</f>
        <v>Mobile</v>
      </c>
      <c r="R2088" t="str">
        <f>TRIM(PROPER(Tabla_auditoría[[#This Row],[Tipo_Campaña]]))</f>
        <v>Retención</v>
      </c>
      <c r="S2088" t="str">
        <f>TRIM(PROPER(Tabla_auditoría[[#This Row],[Responsable]]))</f>
        <v>Ana García</v>
      </c>
    </row>
    <row r="2089" spans="1:19" x14ac:dyDescent="0.3">
      <c r="A2089" s="1">
        <v>45664</v>
      </c>
      <c r="B2089" s="2" t="s">
        <v>2567</v>
      </c>
      <c r="C2089" s="2" t="s">
        <v>2533</v>
      </c>
      <c r="D2089" s="2" t="s">
        <v>2531</v>
      </c>
      <c r="E2089" s="2" t="s">
        <v>2529</v>
      </c>
      <c r="F2089" s="3">
        <v>17769</v>
      </c>
      <c r="G2089" s="3">
        <v>829</v>
      </c>
      <c r="H2089" s="3">
        <v>113</v>
      </c>
      <c r="I2089" s="4">
        <v>837.77</v>
      </c>
      <c r="J2089" s="4">
        <v>18650.580000000002</v>
      </c>
      <c r="K2089" s="3">
        <v>70</v>
      </c>
      <c r="L2089" s="2" t="s">
        <v>2536</v>
      </c>
      <c r="M2089" s="2" t="s">
        <v>2537</v>
      </c>
      <c r="N2089" t="str">
        <f>TRIM(PROPER(Tabla_auditoría[[#This Row],[ID_Campaña]]))</f>
        <v>Cmp-021</v>
      </c>
      <c r="O2089" t="str">
        <f>TRIM(PROPER(Tabla_auditoría[[#This Row],[Canal]]))</f>
        <v>Paid Social</v>
      </c>
      <c r="P2089" t="str">
        <f>TRIM(PROPER(Tabla_auditoría[[#This Row],[País]]))</f>
        <v>Portugal</v>
      </c>
      <c r="Q2089" t="str">
        <f>TRIM(PROPER(Tabla_auditoría[[#This Row],[Dispositivo]]))</f>
        <v>Mobile</v>
      </c>
      <c r="R2089" t="str">
        <f>TRIM(PROPER(Tabla_auditoría[[#This Row],[Tipo_Campaña]]))</f>
        <v>Reconocimiento</v>
      </c>
      <c r="S2089" t="str">
        <f>TRIM(PROPER(Tabla_auditoría[[#This Row],[Responsable]]))</f>
        <v>Marta López</v>
      </c>
    </row>
    <row r="2090" spans="1:19" x14ac:dyDescent="0.3">
      <c r="A2090" s="1">
        <v>45845</v>
      </c>
      <c r="B2090" s="2" t="s">
        <v>2552</v>
      </c>
      <c r="C2090" s="2" t="s">
        <v>2533</v>
      </c>
      <c r="D2090" s="2" t="s">
        <v>2522</v>
      </c>
      <c r="E2090" s="2" t="s">
        <v>2517</v>
      </c>
      <c r="F2090" s="3">
        <v>110825</v>
      </c>
      <c r="G2090" s="3">
        <v>5430</v>
      </c>
      <c r="H2090" s="3">
        <v>641</v>
      </c>
      <c r="I2090" s="4">
        <v>5135.75</v>
      </c>
      <c r="J2090" s="4">
        <v>36954.26</v>
      </c>
      <c r="K2090" s="3">
        <v>417</v>
      </c>
      <c r="L2090" s="2" t="s">
        <v>2536</v>
      </c>
      <c r="M2090" s="2" t="s">
        <v>2546</v>
      </c>
      <c r="N2090" t="str">
        <f>TRIM(PROPER(Tabla_auditoría[[#This Row],[ID_Campaña]]))</f>
        <v>Cmp-012</v>
      </c>
      <c r="O2090" t="str">
        <f>TRIM(PROPER(Tabla_auditoría[[#This Row],[Canal]]))</f>
        <v>Paid Social</v>
      </c>
      <c r="P2090" t="str">
        <f>TRIM(PROPER(Tabla_auditoría[[#This Row],[País]]))</f>
        <v>Italia</v>
      </c>
      <c r="Q2090" t="str">
        <f>TRIM(PROPER(Tabla_auditoría[[#This Row],[Dispositivo]]))</f>
        <v>Desktop</v>
      </c>
      <c r="R2090" t="str">
        <f>TRIM(PROPER(Tabla_auditoría[[#This Row],[Tipo_Campaña]]))</f>
        <v>Reconocimiento</v>
      </c>
      <c r="S2090" t="str">
        <f>TRIM(PROPER(Tabla_auditoría[[#This Row],[Responsable]]))</f>
        <v>Ana García</v>
      </c>
    </row>
    <row r="2091" spans="1:19" x14ac:dyDescent="0.3">
      <c r="A2091" s="1">
        <v>45724</v>
      </c>
      <c r="B2091" s="2" t="s">
        <v>2569</v>
      </c>
      <c r="C2091" s="2" t="s">
        <v>2515</v>
      </c>
      <c r="D2091" s="2" t="s">
        <v>2528</v>
      </c>
      <c r="E2091" s="2" t="s">
        <v>2529</v>
      </c>
      <c r="F2091" s="3">
        <v>154249</v>
      </c>
      <c r="G2091" s="3">
        <v>8833</v>
      </c>
      <c r="H2091" s="3">
        <v>253</v>
      </c>
      <c r="I2091" s="4">
        <v>13334.45</v>
      </c>
      <c r="J2091" s="4">
        <v>47529.86</v>
      </c>
      <c r="K2091" s="3">
        <v>193</v>
      </c>
      <c r="L2091" s="2" t="s">
        <v>2523</v>
      </c>
      <c r="M2091" s="2" t="s">
        <v>2526</v>
      </c>
      <c r="N2091" t="str">
        <f>TRIM(PROPER(Tabla_auditoría[[#This Row],[ID_Campaña]]))</f>
        <v>Cmp-013</v>
      </c>
      <c r="O2091" t="str">
        <f>TRIM(PROPER(Tabla_auditoría[[#This Row],[Canal]]))</f>
        <v>Email</v>
      </c>
      <c r="P2091" t="str">
        <f>TRIM(PROPER(Tabla_auditoría[[#This Row],[País]]))</f>
        <v>España</v>
      </c>
      <c r="Q2091" t="str">
        <f>TRIM(PROPER(Tabla_auditoría[[#This Row],[Dispositivo]]))</f>
        <v>Mobile</v>
      </c>
      <c r="R2091" t="str">
        <f>TRIM(PROPER(Tabla_auditoría[[#This Row],[Tipo_Campaña]]))</f>
        <v>Retención</v>
      </c>
      <c r="S2091" t="str">
        <f>TRIM(PROPER(Tabla_auditoría[[#This Row],[Responsable]]))</f>
        <v>Laura Pérez</v>
      </c>
    </row>
    <row r="2092" spans="1:19" x14ac:dyDescent="0.3">
      <c r="A2092" s="1">
        <v>45823</v>
      </c>
      <c r="B2092" s="2" t="s">
        <v>2555</v>
      </c>
      <c r="C2092" s="2" t="s">
        <v>2543</v>
      </c>
      <c r="D2092" s="2" t="s">
        <v>2522</v>
      </c>
      <c r="E2092" s="2" t="s">
        <v>2517</v>
      </c>
      <c r="F2092" s="3">
        <v>48430</v>
      </c>
      <c r="G2092" s="3">
        <v>1819</v>
      </c>
      <c r="H2092" s="3">
        <v>229</v>
      </c>
      <c r="I2092" s="4">
        <v>941.97</v>
      </c>
      <c r="J2092" s="4">
        <v>13238.57</v>
      </c>
      <c r="K2092" s="3">
        <v>184</v>
      </c>
      <c r="L2092" s="2" t="s">
        <v>2539</v>
      </c>
      <c r="M2092" s="2" t="s">
        <v>2526</v>
      </c>
      <c r="N2092" t="str">
        <f>TRIM(PROPER(Tabla_auditoría[[#This Row],[ID_Campaña]]))</f>
        <v>Cmp-010</v>
      </c>
      <c r="O2092" t="str">
        <f>TRIM(PROPER(Tabla_auditoría[[#This Row],[Canal]]))</f>
        <v>Organic Social</v>
      </c>
      <c r="P2092" t="str">
        <f>TRIM(PROPER(Tabla_auditoría[[#This Row],[País]]))</f>
        <v>Italia</v>
      </c>
      <c r="Q2092" t="str">
        <f>TRIM(PROPER(Tabla_auditoría[[#This Row],[Dispositivo]]))</f>
        <v>Desktop</v>
      </c>
      <c r="R2092" t="str">
        <f>TRIM(PROPER(Tabla_auditoría[[#This Row],[Tipo_Campaña]]))</f>
        <v>Conversión</v>
      </c>
      <c r="S2092" t="str">
        <f>TRIM(PROPER(Tabla_auditoría[[#This Row],[Responsable]]))</f>
        <v>Laura Pérez</v>
      </c>
    </row>
    <row r="2093" spans="1:19" x14ac:dyDescent="0.3">
      <c r="A2093" s="1">
        <v>45868</v>
      </c>
      <c r="B2093" s="2" t="s">
        <v>2567</v>
      </c>
      <c r="C2093" s="2" t="s">
        <v>2527</v>
      </c>
      <c r="D2093" s="2" t="s">
        <v>2531</v>
      </c>
      <c r="E2093" s="2" t="s">
        <v>2529</v>
      </c>
      <c r="F2093" s="3">
        <v>68222</v>
      </c>
      <c r="G2093" s="3">
        <v>4016</v>
      </c>
      <c r="H2093" s="3">
        <v>477</v>
      </c>
      <c r="I2093" s="4">
        <v>6597.61</v>
      </c>
      <c r="J2093" s="4">
        <v>46142.43</v>
      </c>
      <c r="K2093" s="3">
        <v>282</v>
      </c>
      <c r="L2093" s="2" t="s">
        <v>2539</v>
      </c>
      <c r="M2093" s="2" t="s">
        <v>2519</v>
      </c>
      <c r="N2093" t="str">
        <f>TRIM(PROPER(Tabla_auditoría[[#This Row],[ID_Campaña]]))</f>
        <v>Cmp-021</v>
      </c>
      <c r="O2093" t="str">
        <f>TRIM(PROPER(Tabla_auditoría[[#This Row],[Canal]]))</f>
        <v>Affiliate</v>
      </c>
      <c r="P2093" t="str">
        <f>TRIM(PROPER(Tabla_auditoría[[#This Row],[País]]))</f>
        <v>Portugal</v>
      </c>
      <c r="Q2093" t="str">
        <f>TRIM(PROPER(Tabla_auditoría[[#This Row],[Dispositivo]]))</f>
        <v>Mobile</v>
      </c>
      <c r="R2093" t="str">
        <f>TRIM(PROPER(Tabla_auditoría[[#This Row],[Tipo_Campaña]]))</f>
        <v>Conversión</v>
      </c>
      <c r="S2093" t="str">
        <f>TRIM(PROPER(Tabla_auditoría[[#This Row],[Responsable]]))</f>
        <v>Carlos Ruiz</v>
      </c>
    </row>
    <row r="2094" spans="1:19" x14ac:dyDescent="0.3">
      <c r="A2094" s="1">
        <v>45757</v>
      </c>
      <c r="B2094" s="2" t="s">
        <v>2530</v>
      </c>
      <c r="C2094" s="2" t="s">
        <v>2527</v>
      </c>
      <c r="D2094" s="2" t="s">
        <v>2531</v>
      </c>
      <c r="E2094" s="2" t="s">
        <v>2517</v>
      </c>
      <c r="F2094" s="3">
        <v>103020</v>
      </c>
      <c r="G2094" s="3">
        <v>8472</v>
      </c>
      <c r="H2094" s="3">
        <v>412</v>
      </c>
      <c r="I2094" s="4">
        <v>10159.799999999999</v>
      </c>
      <c r="J2094" s="4">
        <v>64405.08</v>
      </c>
      <c r="K2094" s="3">
        <v>333</v>
      </c>
      <c r="L2094" s="2" t="s">
        <v>2539</v>
      </c>
      <c r="M2094" s="2" t="s">
        <v>2524</v>
      </c>
      <c r="N2094" t="str">
        <f>TRIM(PROPER(Tabla_auditoría[[#This Row],[ID_Campaña]]))</f>
        <v>Cmp-026</v>
      </c>
      <c r="O2094" t="str">
        <f>TRIM(PROPER(Tabla_auditoría[[#This Row],[Canal]]))</f>
        <v>Affiliate</v>
      </c>
      <c r="P2094" t="str">
        <f>TRIM(PROPER(Tabla_auditoría[[#This Row],[País]]))</f>
        <v>Portugal</v>
      </c>
      <c r="Q2094" t="str">
        <f>TRIM(PROPER(Tabla_auditoría[[#This Row],[Dispositivo]]))</f>
        <v>Desktop</v>
      </c>
      <c r="R2094" t="str">
        <f>TRIM(PROPER(Tabla_auditoría[[#This Row],[Tipo_Campaña]]))</f>
        <v>Conversión</v>
      </c>
      <c r="S2094" t="str">
        <f>TRIM(PROPER(Tabla_auditoría[[#This Row],[Responsable]]))</f>
        <v>Luis Martín</v>
      </c>
    </row>
    <row r="2095" spans="1:19" x14ac:dyDescent="0.3">
      <c r="A2095" s="1">
        <v>45785</v>
      </c>
      <c r="B2095" s="2" t="s">
        <v>2556</v>
      </c>
      <c r="C2095" s="2" t="s">
        <v>2521</v>
      </c>
      <c r="D2095" s="2" t="s">
        <v>2531</v>
      </c>
      <c r="E2095" s="2" t="s">
        <v>2529</v>
      </c>
      <c r="F2095" s="3">
        <v>148483</v>
      </c>
      <c r="G2095" s="3">
        <v>3378</v>
      </c>
      <c r="H2095" s="3">
        <v>120</v>
      </c>
      <c r="I2095" s="4">
        <v>1502.65</v>
      </c>
      <c r="J2095" s="4">
        <v>3387.93</v>
      </c>
      <c r="K2095" s="3">
        <v>76</v>
      </c>
      <c r="L2095" s="2" t="s">
        <v>2539</v>
      </c>
      <c r="M2095" s="2" t="s">
        <v>2546</v>
      </c>
      <c r="N2095" t="str">
        <f>TRIM(PROPER(Tabla_auditoría[[#This Row],[ID_Campaña]]))</f>
        <v>Cmp-014</v>
      </c>
      <c r="O2095" t="str">
        <f>TRIM(PROPER(Tabla_auditoría[[#This Row],[Canal]]))</f>
        <v>Paid Search</v>
      </c>
      <c r="P2095" t="str">
        <f>TRIM(PROPER(Tabla_auditoría[[#This Row],[País]]))</f>
        <v>Portugal</v>
      </c>
      <c r="Q2095" t="str">
        <f>TRIM(PROPER(Tabla_auditoría[[#This Row],[Dispositivo]]))</f>
        <v>Mobile</v>
      </c>
      <c r="R2095" t="str">
        <f>TRIM(PROPER(Tabla_auditoría[[#This Row],[Tipo_Campaña]]))</f>
        <v>Conversión</v>
      </c>
      <c r="S2095" t="str">
        <f>TRIM(PROPER(Tabla_auditoría[[#This Row],[Responsable]]))</f>
        <v>Ana García</v>
      </c>
    </row>
    <row r="2096" spans="1:19" x14ac:dyDescent="0.3">
      <c r="A2096" s="1">
        <v>45781</v>
      </c>
      <c r="B2096" s="2" t="s">
        <v>2574</v>
      </c>
      <c r="C2096" s="2" t="s">
        <v>2527</v>
      </c>
      <c r="D2096" s="2" t="s">
        <v>2528</v>
      </c>
      <c r="E2096" s="2" t="s">
        <v>2517</v>
      </c>
      <c r="F2096" s="3">
        <v>123182</v>
      </c>
      <c r="G2096" s="3">
        <v>6427</v>
      </c>
      <c r="H2096" s="3">
        <v>886</v>
      </c>
      <c r="I2096" s="4">
        <v>11730.17</v>
      </c>
      <c r="J2096" s="4">
        <v>72957.87</v>
      </c>
      <c r="K2096" s="3">
        <v>459</v>
      </c>
      <c r="L2096" s="2" t="s">
        <v>2518</v>
      </c>
      <c r="M2096" s="2" t="s">
        <v>2546</v>
      </c>
      <c r="N2096" t="str">
        <f>TRIM(PROPER(Tabla_auditoría[[#This Row],[ID_Campaña]]))</f>
        <v>Cmp-003</v>
      </c>
      <c r="O2096" t="str">
        <f>TRIM(PROPER(Tabla_auditoría[[#This Row],[Canal]]))</f>
        <v>Affiliate</v>
      </c>
      <c r="P2096" t="str">
        <f>TRIM(PROPER(Tabla_auditoría[[#This Row],[País]]))</f>
        <v>España</v>
      </c>
      <c r="Q2096" t="str">
        <f>TRIM(PROPER(Tabla_auditoría[[#This Row],[Dispositivo]]))</f>
        <v>Desktop</v>
      </c>
      <c r="R2096" t="str">
        <f>TRIM(PROPER(Tabla_auditoría[[#This Row],[Tipo_Campaña]]))</f>
        <v>Adquisición</v>
      </c>
      <c r="S2096" t="str">
        <f>TRIM(PROPER(Tabla_auditoría[[#This Row],[Responsable]]))</f>
        <v>Ana García</v>
      </c>
    </row>
    <row r="2097" spans="1:19" x14ac:dyDescent="0.3">
      <c r="A2097" s="1">
        <v>45830</v>
      </c>
      <c r="B2097" s="2" t="s">
        <v>2566</v>
      </c>
      <c r="C2097" s="2" t="s">
        <v>2541</v>
      </c>
      <c r="D2097" s="2" t="s">
        <v>2516</v>
      </c>
      <c r="E2097" s="2" t="s">
        <v>2517</v>
      </c>
      <c r="F2097" s="3">
        <v>42894</v>
      </c>
      <c r="G2097" s="3">
        <v>2678</v>
      </c>
      <c r="H2097" s="3">
        <v>27</v>
      </c>
      <c r="J2097" s="4">
        <v>2346.6999999999998</v>
      </c>
      <c r="K2097" s="3">
        <v>23</v>
      </c>
      <c r="L2097" s="2" t="s">
        <v>2536</v>
      </c>
      <c r="M2097" s="2" t="s">
        <v>2524</v>
      </c>
      <c r="N2097" t="str">
        <f>TRIM(PROPER(Tabla_auditoría[[#This Row],[ID_Campaña]]))</f>
        <v>Cmp-001</v>
      </c>
      <c r="O2097" t="str">
        <f>TRIM(PROPER(Tabla_auditoría[[#This Row],[Canal]]))</f>
        <v>Display</v>
      </c>
      <c r="P2097" t="str">
        <f>TRIM(PROPER(Tabla_auditoría[[#This Row],[País]]))</f>
        <v>México</v>
      </c>
      <c r="Q2097" t="str">
        <f>TRIM(PROPER(Tabla_auditoría[[#This Row],[Dispositivo]]))</f>
        <v>Desktop</v>
      </c>
      <c r="R2097" t="str">
        <f>TRIM(PROPER(Tabla_auditoría[[#This Row],[Tipo_Campaña]]))</f>
        <v>Reconocimiento</v>
      </c>
      <c r="S2097" t="str">
        <f>TRIM(PROPER(Tabla_auditoría[[#This Row],[Responsable]]))</f>
        <v>Luis Martín</v>
      </c>
    </row>
    <row r="2098" spans="1:19" x14ac:dyDescent="0.3">
      <c r="A2098" s="1">
        <v>46012</v>
      </c>
      <c r="B2098" s="2" t="s">
        <v>2556</v>
      </c>
      <c r="C2098" s="2" t="s">
        <v>2533</v>
      </c>
      <c r="D2098" s="2" t="s">
        <v>2528</v>
      </c>
      <c r="E2098" s="2" t="s">
        <v>2529</v>
      </c>
      <c r="F2098" s="3">
        <v>171491</v>
      </c>
      <c r="G2098" s="3">
        <v>8526</v>
      </c>
      <c r="H2098" s="3">
        <v>118</v>
      </c>
      <c r="I2098" s="4">
        <v>6728.2</v>
      </c>
      <c r="J2098" s="4">
        <v>3780.27</v>
      </c>
      <c r="K2098" s="3">
        <v>70</v>
      </c>
      <c r="L2098" s="2" t="s">
        <v>2536</v>
      </c>
      <c r="M2098" s="2" t="s">
        <v>2546</v>
      </c>
      <c r="N2098" t="str">
        <f>TRIM(PROPER(Tabla_auditoría[[#This Row],[ID_Campaña]]))</f>
        <v>Cmp-014</v>
      </c>
      <c r="O2098" t="str">
        <f>TRIM(PROPER(Tabla_auditoría[[#This Row],[Canal]]))</f>
        <v>Paid Social</v>
      </c>
      <c r="P2098" t="str">
        <f>TRIM(PROPER(Tabla_auditoría[[#This Row],[País]]))</f>
        <v>España</v>
      </c>
      <c r="Q2098" t="str">
        <f>TRIM(PROPER(Tabla_auditoría[[#This Row],[Dispositivo]]))</f>
        <v>Mobile</v>
      </c>
      <c r="R2098" t="str">
        <f>TRIM(PROPER(Tabla_auditoría[[#This Row],[Tipo_Campaña]]))</f>
        <v>Reconocimiento</v>
      </c>
      <c r="S2098" t="str">
        <f>TRIM(PROPER(Tabla_auditoría[[#This Row],[Responsable]]))</f>
        <v>Ana García</v>
      </c>
    </row>
    <row r="2099" spans="1:19" x14ac:dyDescent="0.3">
      <c r="A2099" s="1">
        <v>45806</v>
      </c>
      <c r="B2099" s="2" t="s">
        <v>2520</v>
      </c>
      <c r="C2099" s="2" t="s">
        <v>2521</v>
      </c>
      <c r="D2099" s="2" t="s">
        <v>2573</v>
      </c>
      <c r="E2099" s="2" t="s">
        <v>2529</v>
      </c>
      <c r="F2099" s="3">
        <v>43591</v>
      </c>
      <c r="G2099" s="3">
        <v>3178</v>
      </c>
      <c r="H2099" s="3">
        <v>443</v>
      </c>
      <c r="I2099" s="4">
        <v>3862.28</v>
      </c>
      <c r="J2099" s="4">
        <v>63768.57</v>
      </c>
      <c r="K2099" s="3">
        <v>247</v>
      </c>
      <c r="L2099" s="2" t="s">
        <v>2536</v>
      </c>
      <c r="M2099" s="2" t="s">
        <v>2524</v>
      </c>
      <c r="N2099" t="str">
        <f>TRIM(PROPER(Tabla_auditoría[[#This Row],[ID_Campaña]]))</f>
        <v>Cmp-009</v>
      </c>
      <c r="O2099" t="str">
        <f>TRIM(PROPER(Tabla_auditoría[[#This Row],[Canal]]))</f>
        <v>Paid Search</v>
      </c>
      <c r="P2099" t="str">
        <f>TRIM(PROPER(Tabla_auditoría[[#This Row],[País]]))</f>
        <v>España</v>
      </c>
      <c r="Q2099" t="str">
        <f>TRIM(PROPER(Tabla_auditoría[[#This Row],[Dispositivo]]))</f>
        <v>Mobile</v>
      </c>
      <c r="R2099" t="str">
        <f>TRIM(PROPER(Tabla_auditoría[[#This Row],[Tipo_Campaña]]))</f>
        <v>Reconocimiento</v>
      </c>
      <c r="S2099" t="str">
        <f>TRIM(PROPER(Tabla_auditoría[[#This Row],[Responsable]]))</f>
        <v>Luis Martín</v>
      </c>
    </row>
    <row r="2100" spans="1:19" x14ac:dyDescent="0.3">
      <c r="A2100" s="1">
        <v>46011</v>
      </c>
      <c r="B2100" s="2" t="s">
        <v>2555</v>
      </c>
      <c r="C2100" s="2" t="s">
        <v>2541</v>
      </c>
      <c r="D2100" s="2" t="s">
        <v>2528</v>
      </c>
      <c r="E2100" s="2" t="s">
        <v>2517</v>
      </c>
      <c r="F2100" s="3">
        <v>133385</v>
      </c>
      <c r="G2100" s="3">
        <v>4070</v>
      </c>
      <c r="H2100" s="3">
        <v>278</v>
      </c>
      <c r="I2100" s="4">
        <v>1988.53</v>
      </c>
      <c r="J2100" s="4">
        <v>37242.44</v>
      </c>
      <c r="K2100" s="3">
        <v>162</v>
      </c>
      <c r="L2100" s="2" t="s">
        <v>2539</v>
      </c>
      <c r="M2100" s="2" t="s">
        <v>2519</v>
      </c>
      <c r="N2100" t="str">
        <f>TRIM(PROPER(Tabla_auditoría[[#This Row],[ID_Campaña]]))</f>
        <v>Cmp-010</v>
      </c>
      <c r="O2100" t="str">
        <f>TRIM(PROPER(Tabla_auditoría[[#This Row],[Canal]]))</f>
        <v>Display</v>
      </c>
      <c r="P2100" t="str">
        <f>TRIM(PROPER(Tabla_auditoría[[#This Row],[País]]))</f>
        <v>España</v>
      </c>
      <c r="Q2100" t="str">
        <f>TRIM(PROPER(Tabla_auditoría[[#This Row],[Dispositivo]]))</f>
        <v>Desktop</v>
      </c>
      <c r="R2100" t="str">
        <f>TRIM(PROPER(Tabla_auditoría[[#This Row],[Tipo_Campaña]]))</f>
        <v>Conversión</v>
      </c>
      <c r="S2100" t="str">
        <f>TRIM(PROPER(Tabla_auditoría[[#This Row],[Responsable]]))</f>
        <v>Carlos Ruiz</v>
      </c>
    </row>
    <row r="2101" spans="1:19" x14ac:dyDescent="0.3">
      <c r="A2101" s="1">
        <v>45969</v>
      </c>
      <c r="B2101" s="2" t="s">
        <v>2602</v>
      </c>
      <c r="C2101" s="2" t="s">
        <v>2543</v>
      </c>
      <c r="D2101" s="2" t="s">
        <v>2516</v>
      </c>
      <c r="E2101" s="2" t="s">
        <v>2534</v>
      </c>
      <c r="F2101" s="3">
        <v>80073</v>
      </c>
      <c r="G2101" s="3">
        <v>6190</v>
      </c>
      <c r="H2101" s="3">
        <v>715</v>
      </c>
      <c r="I2101" s="4">
        <v>7803.69</v>
      </c>
      <c r="J2101" s="4">
        <v>116147.64</v>
      </c>
      <c r="K2101" s="3">
        <v>611</v>
      </c>
      <c r="L2101" s="2" t="s">
        <v>2518</v>
      </c>
      <c r="M2101" s="2" t="s">
        <v>2519</v>
      </c>
      <c r="N2101" t="str">
        <f>TRIM(PROPER(Tabla_auditoría[[#This Row],[ID_Campaña]]))</f>
        <v>Cmp-007</v>
      </c>
      <c r="O2101" t="str">
        <f>TRIM(PROPER(Tabla_auditoría[[#This Row],[Canal]]))</f>
        <v>Organic Social</v>
      </c>
      <c r="P2101" t="str">
        <f>TRIM(PROPER(Tabla_auditoría[[#This Row],[País]]))</f>
        <v>México</v>
      </c>
      <c r="Q2101" t="str">
        <f>TRIM(PROPER(Tabla_auditoría[[#This Row],[Dispositivo]]))</f>
        <v>Tablet</v>
      </c>
      <c r="R2101" t="str">
        <f>TRIM(PROPER(Tabla_auditoría[[#This Row],[Tipo_Campaña]]))</f>
        <v>Adquisición</v>
      </c>
      <c r="S2101" t="str">
        <f>TRIM(PROPER(Tabla_auditoría[[#This Row],[Responsable]]))</f>
        <v>Carlos Ruiz</v>
      </c>
    </row>
    <row r="2102" spans="1:19" x14ac:dyDescent="0.3">
      <c r="A2102" s="1">
        <v>45963</v>
      </c>
      <c r="B2102" s="2" t="s">
        <v>2542</v>
      </c>
      <c r="C2102" s="2" t="s">
        <v>2541</v>
      </c>
      <c r="D2102" s="2" t="s">
        <v>2528</v>
      </c>
      <c r="E2102" s="2" t="s">
        <v>2517</v>
      </c>
      <c r="F2102" s="3">
        <v>179695</v>
      </c>
      <c r="G2102" s="3">
        <v>4557</v>
      </c>
      <c r="H2102" s="3">
        <v>152</v>
      </c>
      <c r="I2102" s="4">
        <v>5375.99</v>
      </c>
      <c r="J2102" s="4">
        <v>16006.17</v>
      </c>
      <c r="K2102" s="3">
        <v>75</v>
      </c>
      <c r="L2102" s="2" t="s">
        <v>2518</v>
      </c>
      <c r="M2102" s="2" t="s">
        <v>2526</v>
      </c>
      <c r="N2102" t="str">
        <f>TRIM(PROPER(Tabla_auditoría[[#This Row],[ID_Campaña]]))</f>
        <v>Cmp-025</v>
      </c>
      <c r="O2102" t="str">
        <f>TRIM(PROPER(Tabla_auditoría[[#This Row],[Canal]]))</f>
        <v>Display</v>
      </c>
      <c r="P2102" t="str">
        <f>TRIM(PROPER(Tabla_auditoría[[#This Row],[País]]))</f>
        <v>España</v>
      </c>
      <c r="Q2102" t="str">
        <f>TRIM(PROPER(Tabla_auditoría[[#This Row],[Dispositivo]]))</f>
        <v>Desktop</v>
      </c>
      <c r="R2102" t="str">
        <f>TRIM(PROPER(Tabla_auditoría[[#This Row],[Tipo_Campaña]]))</f>
        <v>Adquisición</v>
      </c>
      <c r="S2102" t="str">
        <f>TRIM(PROPER(Tabla_auditoría[[#This Row],[Responsable]]))</f>
        <v>Laura Pérez</v>
      </c>
    </row>
    <row r="2103" spans="1:19" x14ac:dyDescent="0.3">
      <c r="A2103" s="1">
        <v>46008</v>
      </c>
      <c r="B2103" s="2" t="s">
        <v>2535</v>
      </c>
      <c r="C2103" s="2" t="s">
        <v>2533</v>
      </c>
      <c r="D2103" s="2" t="s">
        <v>2525</v>
      </c>
      <c r="E2103" s="2" t="s">
        <v>2517</v>
      </c>
      <c r="F2103" s="3">
        <v>64697</v>
      </c>
      <c r="G2103" s="3">
        <v>1713</v>
      </c>
      <c r="H2103" s="3">
        <v>31</v>
      </c>
      <c r="I2103" s="4">
        <v>2705.43</v>
      </c>
      <c r="J2103" s="4">
        <v>6472.04</v>
      </c>
      <c r="K2103" s="3">
        <v>18</v>
      </c>
      <c r="L2103" s="2" t="s">
        <v>2523</v>
      </c>
      <c r="M2103" s="2" t="s">
        <v>2546</v>
      </c>
      <c r="N2103" t="str">
        <f>TRIM(PROPER(Tabla_auditoría[[#This Row],[ID_Campaña]]))</f>
        <v>Cmp-015</v>
      </c>
      <c r="O2103" t="str">
        <f>TRIM(PROPER(Tabla_auditoría[[#This Row],[Canal]]))</f>
        <v>Paid Social</v>
      </c>
      <c r="P2103" t="str">
        <f>TRIM(PROPER(Tabla_auditoría[[#This Row],[País]]))</f>
        <v>Francia</v>
      </c>
      <c r="Q2103" t="str">
        <f>TRIM(PROPER(Tabla_auditoría[[#This Row],[Dispositivo]]))</f>
        <v>Desktop</v>
      </c>
      <c r="R2103" t="str">
        <f>TRIM(PROPER(Tabla_auditoría[[#This Row],[Tipo_Campaña]]))</f>
        <v>Retención</v>
      </c>
      <c r="S2103" t="str">
        <f>TRIM(PROPER(Tabla_auditoría[[#This Row],[Responsable]]))</f>
        <v>Ana García</v>
      </c>
    </row>
    <row r="2104" spans="1:19" x14ac:dyDescent="0.3">
      <c r="A2104" s="1">
        <v>45824</v>
      </c>
      <c r="B2104" s="2" t="s">
        <v>2555</v>
      </c>
      <c r="C2104" s="2" t="s">
        <v>2543</v>
      </c>
      <c r="D2104" s="2" t="s">
        <v>2528</v>
      </c>
      <c r="E2104" s="2" t="s">
        <v>2529</v>
      </c>
      <c r="F2104" s="3">
        <v>163138</v>
      </c>
      <c r="G2104" s="3">
        <v>14476</v>
      </c>
      <c r="H2104" s="3">
        <v>131</v>
      </c>
      <c r="I2104" s="4">
        <v>5353.35</v>
      </c>
      <c r="J2104" s="4">
        <v>22444.65</v>
      </c>
      <c r="K2104" s="3">
        <v>106</v>
      </c>
      <c r="L2104" s="2" t="s">
        <v>2518</v>
      </c>
      <c r="M2104" s="2" t="s">
        <v>2519</v>
      </c>
      <c r="N2104" t="str">
        <f>TRIM(PROPER(Tabla_auditoría[[#This Row],[ID_Campaña]]))</f>
        <v>Cmp-010</v>
      </c>
      <c r="O2104" t="str">
        <f>TRIM(PROPER(Tabla_auditoría[[#This Row],[Canal]]))</f>
        <v>Organic Social</v>
      </c>
      <c r="P2104" t="str">
        <f>TRIM(PROPER(Tabla_auditoría[[#This Row],[País]]))</f>
        <v>España</v>
      </c>
      <c r="Q2104" t="str">
        <f>TRIM(PROPER(Tabla_auditoría[[#This Row],[Dispositivo]]))</f>
        <v>Mobile</v>
      </c>
      <c r="R2104" t="str">
        <f>TRIM(PROPER(Tabla_auditoría[[#This Row],[Tipo_Campaña]]))</f>
        <v>Adquisición</v>
      </c>
      <c r="S2104" t="str">
        <f>TRIM(PROPER(Tabla_auditoría[[#This Row],[Responsable]]))</f>
        <v>Carlos Ruiz</v>
      </c>
    </row>
    <row r="2105" spans="1:19" x14ac:dyDescent="0.3">
      <c r="A2105" s="1">
        <v>45906</v>
      </c>
      <c r="B2105" s="2" t="s">
        <v>2560</v>
      </c>
      <c r="C2105" s="2" t="s">
        <v>2543</v>
      </c>
      <c r="D2105" s="2" t="s">
        <v>2528</v>
      </c>
      <c r="E2105" s="2" t="s">
        <v>2517</v>
      </c>
      <c r="F2105" s="3">
        <v>173723</v>
      </c>
      <c r="G2105" s="3">
        <v>9344</v>
      </c>
      <c r="H2105" s="3">
        <v>963</v>
      </c>
      <c r="I2105" s="4">
        <v>4643.16</v>
      </c>
      <c r="J2105" s="4">
        <v>188474.42</v>
      </c>
      <c r="K2105" s="3">
        <v>840</v>
      </c>
      <c r="L2105" s="2" t="s">
        <v>2536</v>
      </c>
      <c r="M2105" s="2" t="s">
        <v>2537</v>
      </c>
      <c r="N2105" t="str">
        <f>TRIM(PROPER(Tabla_auditoría[[#This Row],[ID_Campaña]]))</f>
        <v>Cmp-027</v>
      </c>
      <c r="O2105" t="str">
        <f>TRIM(PROPER(Tabla_auditoría[[#This Row],[Canal]]))</f>
        <v>Organic Social</v>
      </c>
      <c r="P2105" t="str">
        <f>TRIM(PROPER(Tabla_auditoría[[#This Row],[País]]))</f>
        <v>España</v>
      </c>
      <c r="Q2105" t="str">
        <f>TRIM(PROPER(Tabla_auditoría[[#This Row],[Dispositivo]]))</f>
        <v>Desktop</v>
      </c>
      <c r="R2105" t="str">
        <f>TRIM(PROPER(Tabla_auditoría[[#This Row],[Tipo_Campaña]]))</f>
        <v>Reconocimiento</v>
      </c>
      <c r="S2105" t="str">
        <f>TRIM(PROPER(Tabla_auditoría[[#This Row],[Responsable]]))</f>
        <v>Marta López</v>
      </c>
    </row>
    <row r="2106" spans="1:19" x14ac:dyDescent="0.3">
      <c r="A2106" s="1">
        <v>45979</v>
      </c>
      <c r="B2106" s="2" t="s">
        <v>2567</v>
      </c>
      <c r="C2106" s="2" t="s">
        <v>2533</v>
      </c>
      <c r="D2106" s="2" t="s">
        <v>2528</v>
      </c>
      <c r="E2106" s="2" t="s">
        <v>2517</v>
      </c>
      <c r="F2106" s="3">
        <v>127934</v>
      </c>
      <c r="G2106" s="3">
        <v>7227</v>
      </c>
      <c r="H2106" s="3">
        <v>935</v>
      </c>
      <c r="I2106" s="4">
        <v>1967.02</v>
      </c>
      <c r="J2106" s="4">
        <v>142453.47</v>
      </c>
      <c r="K2106" s="3">
        <v>451</v>
      </c>
      <c r="L2106" s="2" t="s">
        <v>2536</v>
      </c>
      <c r="M2106" s="2" t="s">
        <v>2519</v>
      </c>
      <c r="N2106" t="str">
        <f>TRIM(PROPER(Tabla_auditoría[[#This Row],[ID_Campaña]]))</f>
        <v>Cmp-021</v>
      </c>
      <c r="O2106" t="str">
        <f>TRIM(PROPER(Tabla_auditoría[[#This Row],[Canal]]))</f>
        <v>Paid Social</v>
      </c>
      <c r="P2106" t="str">
        <f>TRIM(PROPER(Tabla_auditoría[[#This Row],[País]]))</f>
        <v>España</v>
      </c>
      <c r="Q2106" t="str">
        <f>TRIM(PROPER(Tabla_auditoría[[#This Row],[Dispositivo]]))</f>
        <v>Desktop</v>
      </c>
      <c r="R2106" t="str">
        <f>TRIM(PROPER(Tabla_auditoría[[#This Row],[Tipo_Campaña]]))</f>
        <v>Reconocimiento</v>
      </c>
      <c r="S2106" t="str">
        <f>TRIM(PROPER(Tabla_auditoría[[#This Row],[Responsable]]))</f>
        <v>Carlos Ruiz</v>
      </c>
    </row>
    <row r="2107" spans="1:19" x14ac:dyDescent="0.3">
      <c r="A2107" s="1">
        <v>45969</v>
      </c>
      <c r="B2107" s="2" t="s">
        <v>2566</v>
      </c>
      <c r="C2107" s="2" t="s">
        <v>2515</v>
      </c>
      <c r="D2107" s="2" t="s">
        <v>2516</v>
      </c>
      <c r="E2107" s="2" t="s">
        <v>2517</v>
      </c>
      <c r="F2107" s="3">
        <v>15320</v>
      </c>
      <c r="G2107" s="3">
        <v>97</v>
      </c>
      <c r="H2107" s="3">
        <v>7</v>
      </c>
      <c r="I2107" s="4">
        <v>61.94</v>
      </c>
      <c r="J2107" s="4">
        <v>969.35</v>
      </c>
      <c r="K2107" s="3">
        <v>5</v>
      </c>
      <c r="L2107" s="2" t="s">
        <v>2539</v>
      </c>
      <c r="M2107" s="2" t="s">
        <v>2519</v>
      </c>
      <c r="N2107" t="str">
        <f>TRIM(PROPER(Tabla_auditoría[[#This Row],[ID_Campaña]]))</f>
        <v>Cmp-001</v>
      </c>
      <c r="O2107" t="str">
        <f>TRIM(PROPER(Tabla_auditoría[[#This Row],[Canal]]))</f>
        <v>Email</v>
      </c>
      <c r="P2107" t="str">
        <f>TRIM(PROPER(Tabla_auditoría[[#This Row],[País]]))</f>
        <v>México</v>
      </c>
      <c r="Q2107" t="str">
        <f>TRIM(PROPER(Tabla_auditoría[[#This Row],[Dispositivo]]))</f>
        <v>Desktop</v>
      </c>
      <c r="R2107" t="str">
        <f>TRIM(PROPER(Tabla_auditoría[[#This Row],[Tipo_Campaña]]))</f>
        <v>Conversión</v>
      </c>
      <c r="S2107" t="str">
        <f>TRIM(PROPER(Tabla_auditoría[[#This Row],[Responsable]]))</f>
        <v>Carlos Ruiz</v>
      </c>
    </row>
    <row r="2108" spans="1:19" x14ac:dyDescent="0.3">
      <c r="A2108" s="1">
        <v>45863</v>
      </c>
      <c r="B2108" s="2" t="s">
        <v>2595</v>
      </c>
      <c r="C2108" s="2" t="s">
        <v>2533</v>
      </c>
      <c r="D2108" s="2" t="s">
        <v>2522</v>
      </c>
      <c r="E2108" s="2" t="s">
        <v>2529</v>
      </c>
      <c r="F2108" s="3">
        <v>159728</v>
      </c>
      <c r="G2108" s="3">
        <v>13641</v>
      </c>
      <c r="H2108" s="3">
        <v>450</v>
      </c>
      <c r="I2108" s="4">
        <v>20262.900000000001</v>
      </c>
      <c r="J2108" s="4">
        <v>84589.48</v>
      </c>
      <c r="K2108" s="3">
        <v>258</v>
      </c>
      <c r="L2108" s="2" t="s">
        <v>2518</v>
      </c>
      <c r="M2108" s="2" t="s">
        <v>2519</v>
      </c>
      <c r="N2108" t="str">
        <f>TRIM(PROPER(Tabla_auditoría[[#This Row],[ID_Campaña]]))</f>
        <v>Cmp-023</v>
      </c>
      <c r="O2108" t="str">
        <f>TRIM(PROPER(Tabla_auditoría[[#This Row],[Canal]]))</f>
        <v>Paid Social</v>
      </c>
      <c r="P2108" t="str">
        <f>TRIM(PROPER(Tabla_auditoría[[#This Row],[País]]))</f>
        <v>Italia</v>
      </c>
      <c r="Q2108" t="str">
        <f>TRIM(PROPER(Tabla_auditoría[[#This Row],[Dispositivo]]))</f>
        <v>Mobile</v>
      </c>
      <c r="R2108" t="str">
        <f>TRIM(PROPER(Tabla_auditoría[[#This Row],[Tipo_Campaña]]))</f>
        <v>Adquisición</v>
      </c>
      <c r="S2108" t="str">
        <f>TRIM(PROPER(Tabla_auditoría[[#This Row],[Responsable]]))</f>
        <v>Carlos Ruiz</v>
      </c>
    </row>
    <row r="2109" spans="1:19" x14ac:dyDescent="0.3">
      <c r="A2109" s="1">
        <v>45787</v>
      </c>
      <c r="B2109" s="2" t="s">
        <v>2552</v>
      </c>
      <c r="C2109" s="2" t="s">
        <v>2527</v>
      </c>
      <c r="D2109" s="2" t="s">
        <v>2528</v>
      </c>
      <c r="E2109" s="2" t="s">
        <v>2517</v>
      </c>
      <c r="F2109" s="3">
        <v>119606</v>
      </c>
      <c r="G2109" s="3">
        <v>9820</v>
      </c>
      <c r="H2109" s="3">
        <v>694</v>
      </c>
      <c r="I2109" s="4">
        <v>11419.1</v>
      </c>
      <c r="J2109" s="4">
        <v>26066.86</v>
      </c>
      <c r="K2109" s="3">
        <v>578</v>
      </c>
      <c r="L2109" s="2" t="s">
        <v>2523</v>
      </c>
      <c r="M2109" s="2" t="s">
        <v>2537</v>
      </c>
      <c r="N2109" t="str">
        <f>TRIM(PROPER(Tabla_auditoría[[#This Row],[ID_Campaña]]))</f>
        <v>Cmp-012</v>
      </c>
      <c r="O2109" t="str">
        <f>TRIM(PROPER(Tabla_auditoría[[#This Row],[Canal]]))</f>
        <v>Affiliate</v>
      </c>
      <c r="P2109" t="str">
        <f>TRIM(PROPER(Tabla_auditoría[[#This Row],[País]]))</f>
        <v>España</v>
      </c>
      <c r="Q2109" t="str">
        <f>TRIM(PROPER(Tabla_auditoría[[#This Row],[Dispositivo]]))</f>
        <v>Desktop</v>
      </c>
      <c r="R2109" t="str">
        <f>TRIM(PROPER(Tabla_auditoría[[#This Row],[Tipo_Campaña]]))</f>
        <v>Retención</v>
      </c>
      <c r="S2109" t="str">
        <f>TRIM(PROPER(Tabla_auditoría[[#This Row],[Responsable]]))</f>
        <v>Marta López</v>
      </c>
    </row>
    <row r="2110" spans="1:19" x14ac:dyDescent="0.3">
      <c r="A2110" s="1">
        <v>45764</v>
      </c>
      <c r="B2110" s="2" t="s">
        <v>2549</v>
      </c>
      <c r="C2110" s="2" t="s">
        <v>2521</v>
      </c>
      <c r="D2110" s="2" t="s">
        <v>2528</v>
      </c>
      <c r="E2110" s="2" t="s">
        <v>2517</v>
      </c>
      <c r="F2110" s="3">
        <v>124508</v>
      </c>
      <c r="G2110" s="3">
        <v>3605</v>
      </c>
      <c r="H2110" s="3">
        <v>364</v>
      </c>
      <c r="I2110" s="4">
        <v>2112.19</v>
      </c>
      <c r="J2110" s="4">
        <v>59640.25</v>
      </c>
      <c r="K2110" s="3">
        <v>178</v>
      </c>
      <c r="L2110" s="2" t="s">
        <v>2523</v>
      </c>
      <c r="M2110" s="2" t="s">
        <v>2524</v>
      </c>
      <c r="N2110" t="str">
        <f>TRIM(PROPER(Tabla_auditoría[[#This Row],[ID_Campaña]]))</f>
        <v>Cmp-007</v>
      </c>
      <c r="O2110" t="str">
        <f>TRIM(PROPER(Tabla_auditoría[[#This Row],[Canal]]))</f>
        <v>Paid Search</v>
      </c>
      <c r="P2110" t="str">
        <f>TRIM(PROPER(Tabla_auditoría[[#This Row],[País]]))</f>
        <v>España</v>
      </c>
      <c r="Q2110" t="str">
        <f>TRIM(PROPER(Tabla_auditoría[[#This Row],[Dispositivo]]))</f>
        <v>Desktop</v>
      </c>
      <c r="R2110" t="str">
        <f>TRIM(PROPER(Tabla_auditoría[[#This Row],[Tipo_Campaña]]))</f>
        <v>Retención</v>
      </c>
      <c r="S2110" t="str">
        <f>TRIM(PROPER(Tabla_auditoría[[#This Row],[Responsable]]))</f>
        <v>Luis Martín</v>
      </c>
    </row>
    <row r="2111" spans="1:19" x14ac:dyDescent="0.3">
      <c r="A2111" s="1">
        <v>45724</v>
      </c>
      <c r="B2111" s="2" t="s">
        <v>2568</v>
      </c>
      <c r="C2111" s="2" t="s">
        <v>2515</v>
      </c>
      <c r="D2111" s="2" t="s">
        <v>2522</v>
      </c>
      <c r="E2111" s="2" t="s">
        <v>2517</v>
      </c>
      <c r="F2111" s="3">
        <v>88249</v>
      </c>
      <c r="G2111" s="3">
        <v>7864</v>
      </c>
      <c r="H2111" s="3">
        <v>915</v>
      </c>
      <c r="I2111" s="4">
        <v>12296.1</v>
      </c>
      <c r="J2111" s="4">
        <v>160765.42000000001</v>
      </c>
      <c r="K2111" s="3">
        <v>625</v>
      </c>
      <c r="L2111" s="2" t="s">
        <v>2518</v>
      </c>
      <c r="M2111" s="2" t="s">
        <v>2526</v>
      </c>
      <c r="N2111" t="str">
        <f>TRIM(PROPER(Tabla_auditoría[[#This Row],[ID_Campaña]]))</f>
        <v>Cmp-020</v>
      </c>
      <c r="O2111" t="str">
        <f>TRIM(PROPER(Tabla_auditoría[[#This Row],[Canal]]))</f>
        <v>Email</v>
      </c>
      <c r="P2111" t="str">
        <f>TRIM(PROPER(Tabla_auditoría[[#This Row],[País]]))</f>
        <v>Italia</v>
      </c>
      <c r="Q2111" t="str">
        <f>TRIM(PROPER(Tabla_auditoría[[#This Row],[Dispositivo]]))</f>
        <v>Desktop</v>
      </c>
      <c r="R2111" t="str">
        <f>TRIM(PROPER(Tabla_auditoría[[#This Row],[Tipo_Campaña]]))</f>
        <v>Adquisición</v>
      </c>
      <c r="S2111" t="str">
        <f>TRIM(PROPER(Tabla_auditoría[[#This Row],[Responsable]]))</f>
        <v>Laura Pérez</v>
      </c>
    </row>
    <row r="2112" spans="1:19" x14ac:dyDescent="0.3">
      <c r="A2112" s="1">
        <v>45958</v>
      </c>
      <c r="B2112" s="2" t="s">
        <v>2566</v>
      </c>
      <c r="C2112" s="2" t="s">
        <v>2515</v>
      </c>
      <c r="D2112" s="2" t="s">
        <v>2516</v>
      </c>
      <c r="E2112" s="2" t="s">
        <v>2517</v>
      </c>
      <c r="F2112" s="3">
        <v>144739</v>
      </c>
      <c r="G2112" s="3">
        <v>1874</v>
      </c>
      <c r="H2112" s="3">
        <v>93</v>
      </c>
      <c r="I2112" s="4">
        <v>2064.4699999999998</v>
      </c>
      <c r="J2112" s="4">
        <v>14256.17</v>
      </c>
      <c r="K2112" s="3">
        <v>56</v>
      </c>
      <c r="L2112" s="2" t="s">
        <v>2523</v>
      </c>
      <c r="M2112" s="2" t="s">
        <v>2526</v>
      </c>
      <c r="N2112" t="str">
        <f>TRIM(PROPER(Tabla_auditoría[[#This Row],[ID_Campaña]]))</f>
        <v>Cmp-001</v>
      </c>
      <c r="O2112" t="str">
        <f>TRIM(PROPER(Tabla_auditoría[[#This Row],[Canal]]))</f>
        <v>Email</v>
      </c>
      <c r="P2112" t="str">
        <f>TRIM(PROPER(Tabla_auditoría[[#This Row],[País]]))</f>
        <v>México</v>
      </c>
      <c r="Q2112" t="str">
        <f>TRIM(PROPER(Tabla_auditoría[[#This Row],[Dispositivo]]))</f>
        <v>Desktop</v>
      </c>
      <c r="R2112" t="str">
        <f>TRIM(PROPER(Tabla_auditoría[[#This Row],[Tipo_Campaña]]))</f>
        <v>Retención</v>
      </c>
      <c r="S2112" t="str">
        <f>TRIM(PROPER(Tabla_auditoría[[#This Row],[Responsable]]))</f>
        <v>Laura Pérez</v>
      </c>
    </row>
    <row r="2113" spans="1:19" x14ac:dyDescent="0.3">
      <c r="A2113" s="1">
        <v>45896</v>
      </c>
      <c r="B2113" s="2" t="s">
        <v>2552</v>
      </c>
      <c r="C2113" s="2" t="s">
        <v>2533</v>
      </c>
      <c r="D2113" s="2" t="s">
        <v>2528</v>
      </c>
      <c r="E2113" s="2" t="s">
        <v>2529</v>
      </c>
      <c r="F2113" s="3">
        <v>169077</v>
      </c>
      <c r="G2113" s="3">
        <v>6988</v>
      </c>
      <c r="H2113" s="3">
        <v>165</v>
      </c>
      <c r="I2113" s="4">
        <v>4791.2299999999996</v>
      </c>
      <c r="J2113" s="4">
        <v>6505.52</v>
      </c>
      <c r="K2113" s="3">
        <v>139</v>
      </c>
      <c r="L2113" s="2" t="s">
        <v>2539</v>
      </c>
      <c r="M2113" s="2" t="s">
        <v>2519</v>
      </c>
      <c r="N2113" t="str">
        <f>TRIM(PROPER(Tabla_auditoría[[#This Row],[ID_Campaña]]))</f>
        <v>Cmp-012</v>
      </c>
      <c r="O2113" t="str">
        <f>TRIM(PROPER(Tabla_auditoría[[#This Row],[Canal]]))</f>
        <v>Paid Social</v>
      </c>
      <c r="P2113" t="str">
        <f>TRIM(PROPER(Tabla_auditoría[[#This Row],[País]]))</f>
        <v>España</v>
      </c>
      <c r="Q2113" t="str">
        <f>TRIM(PROPER(Tabla_auditoría[[#This Row],[Dispositivo]]))</f>
        <v>Mobile</v>
      </c>
      <c r="R2113" t="str">
        <f>TRIM(PROPER(Tabla_auditoría[[#This Row],[Tipo_Campaña]]))</f>
        <v>Conversión</v>
      </c>
      <c r="S2113" t="str">
        <f>TRIM(PROPER(Tabla_auditoría[[#This Row],[Responsable]]))</f>
        <v>Carlos Ruiz</v>
      </c>
    </row>
    <row r="2114" spans="1:19" x14ac:dyDescent="0.3">
      <c r="A2114" s="1">
        <v>45942</v>
      </c>
      <c r="B2114" s="2" t="s">
        <v>2563</v>
      </c>
      <c r="C2114" s="2" t="s">
        <v>2527</v>
      </c>
      <c r="D2114" s="2" t="s">
        <v>2522</v>
      </c>
      <c r="E2114" s="2" t="s">
        <v>2517</v>
      </c>
      <c r="F2114" s="3">
        <v>14532</v>
      </c>
      <c r="G2114" s="3">
        <v>116</v>
      </c>
      <c r="H2114" s="3">
        <v>6</v>
      </c>
      <c r="I2114" s="4">
        <v>123.27</v>
      </c>
      <c r="J2114" s="4">
        <v>1214.21</v>
      </c>
      <c r="K2114" s="3">
        <v>4</v>
      </c>
      <c r="L2114" s="2" t="s">
        <v>2523</v>
      </c>
      <c r="M2114" s="2" t="s">
        <v>2546</v>
      </c>
      <c r="N2114" t="str">
        <f>TRIM(PROPER(Tabla_auditoría[[#This Row],[ID_Campaña]]))</f>
        <v>Cmp-023</v>
      </c>
      <c r="O2114" t="str">
        <f>TRIM(PROPER(Tabla_auditoría[[#This Row],[Canal]]))</f>
        <v>Affiliate</v>
      </c>
      <c r="P2114" t="str">
        <f>TRIM(PROPER(Tabla_auditoría[[#This Row],[País]]))</f>
        <v>Italia</v>
      </c>
      <c r="Q2114" t="str">
        <f>TRIM(PROPER(Tabla_auditoría[[#This Row],[Dispositivo]]))</f>
        <v>Desktop</v>
      </c>
      <c r="R2114" t="str">
        <f>TRIM(PROPER(Tabla_auditoría[[#This Row],[Tipo_Campaña]]))</f>
        <v>Retención</v>
      </c>
      <c r="S2114" t="str">
        <f>TRIM(PROPER(Tabla_auditoría[[#This Row],[Responsable]]))</f>
        <v>Ana García</v>
      </c>
    </row>
    <row r="2115" spans="1:19" x14ac:dyDescent="0.3">
      <c r="A2115" s="1">
        <v>45905</v>
      </c>
      <c r="B2115" s="2" t="s">
        <v>2520</v>
      </c>
      <c r="C2115" s="2" t="s">
        <v>2533</v>
      </c>
      <c r="D2115" s="2" t="s">
        <v>2525</v>
      </c>
      <c r="E2115" s="2" t="s">
        <v>2529</v>
      </c>
      <c r="F2115" s="3">
        <v>12917</v>
      </c>
      <c r="G2115" s="3">
        <v>807</v>
      </c>
      <c r="H2115" s="3">
        <v>57</v>
      </c>
      <c r="I2115" s="4">
        <v>1533.07</v>
      </c>
      <c r="J2115" s="4">
        <v>9035.26</v>
      </c>
      <c r="K2115" s="3">
        <v>45</v>
      </c>
      <c r="L2115" s="2" t="s">
        <v>2539</v>
      </c>
      <c r="M2115" s="2" t="s">
        <v>2519</v>
      </c>
      <c r="N2115" t="str">
        <f>TRIM(PROPER(Tabla_auditoría[[#This Row],[ID_Campaña]]))</f>
        <v>Cmp-009</v>
      </c>
      <c r="O2115" t="str">
        <f>TRIM(PROPER(Tabla_auditoría[[#This Row],[Canal]]))</f>
        <v>Paid Social</v>
      </c>
      <c r="P2115" t="str">
        <f>TRIM(PROPER(Tabla_auditoría[[#This Row],[País]]))</f>
        <v>Francia</v>
      </c>
      <c r="Q2115" t="str">
        <f>TRIM(PROPER(Tabla_auditoría[[#This Row],[Dispositivo]]))</f>
        <v>Mobile</v>
      </c>
      <c r="R2115" t="str">
        <f>TRIM(PROPER(Tabla_auditoría[[#This Row],[Tipo_Campaña]]))</f>
        <v>Conversión</v>
      </c>
      <c r="S2115" t="str">
        <f>TRIM(PROPER(Tabla_auditoría[[#This Row],[Responsable]]))</f>
        <v>Carlos Ruiz</v>
      </c>
    </row>
    <row r="2116" spans="1:19" x14ac:dyDescent="0.3">
      <c r="A2116" s="1">
        <v>45669</v>
      </c>
      <c r="B2116" s="2" t="s">
        <v>2514</v>
      </c>
      <c r="C2116" s="2" t="s">
        <v>2521</v>
      </c>
      <c r="D2116" s="2" t="s">
        <v>2516</v>
      </c>
      <c r="E2116" s="2" t="s">
        <v>2529</v>
      </c>
      <c r="F2116" s="3">
        <v>2889</v>
      </c>
      <c r="G2116" s="3">
        <v>121</v>
      </c>
      <c r="H2116" s="3">
        <v>3</v>
      </c>
      <c r="I2116" s="4">
        <v>226.68</v>
      </c>
      <c r="J2116" s="4">
        <v>243.48</v>
      </c>
      <c r="K2116" s="3">
        <v>2</v>
      </c>
      <c r="L2116" s="2" t="s">
        <v>2523</v>
      </c>
      <c r="M2116" s="2" t="s">
        <v>2546</v>
      </c>
      <c r="N2116" t="str">
        <f>TRIM(PROPER(Tabla_auditoría[[#This Row],[ID_Campaña]]))</f>
        <v>Cmp-002</v>
      </c>
      <c r="O2116" t="str">
        <f>TRIM(PROPER(Tabla_auditoría[[#This Row],[Canal]]))</f>
        <v>Paid Search</v>
      </c>
      <c r="P2116" t="str">
        <f>TRIM(PROPER(Tabla_auditoría[[#This Row],[País]]))</f>
        <v>México</v>
      </c>
      <c r="Q2116" t="str">
        <f>TRIM(PROPER(Tabla_auditoría[[#This Row],[Dispositivo]]))</f>
        <v>Mobile</v>
      </c>
      <c r="R2116" t="str">
        <f>TRIM(PROPER(Tabla_auditoría[[#This Row],[Tipo_Campaña]]))</f>
        <v>Retención</v>
      </c>
      <c r="S2116" t="str">
        <f>TRIM(PROPER(Tabla_auditoría[[#This Row],[Responsable]]))</f>
        <v>Ana García</v>
      </c>
    </row>
    <row r="2117" spans="1:19" x14ac:dyDescent="0.3">
      <c r="A2117" s="1">
        <v>45928</v>
      </c>
      <c r="B2117" s="2" t="s">
        <v>2550</v>
      </c>
      <c r="C2117" s="2" t="s">
        <v>2575</v>
      </c>
      <c r="D2117" s="2" t="s">
        <v>2531</v>
      </c>
      <c r="E2117" s="2" t="s">
        <v>2529</v>
      </c>
      <c r="F2117" s="3">
        <v>168964</v>
      </c>
      <c r="G2117" s="3">
        <v>11546</v>
      </c>
      <c r="H2117" s="3">
        <v>701</v>
      </c>
      <c r="I2117" s="4">
        <v>19461.990000000002</v>
      </c>
      <c r="J2117" s="4">
        <v>69814.81</v>
      </c>
      <c r="K2117" s="3">
        <v>544</v>
      </c>
      <c r="L2117" s="2" t="s">
        <v>2518</v>
      </c>
      <c r="M2117" s="2" t="s">
        <v>2524</v>
      </c>
      <c r="N2117" t="str">
        <f>TRIM(PROPER(Tabla_auditoría[[#This Row],[ID_Campaña]]))</f>
        <v>Cmp-008</v>
      </c>
      <c r="O2117" t="str">
        <f>TRIM(PROPER(Tabla_auditoría[[#This Row],[Canal]]))</f>
        <v>Paid Search</v>
      </c>
      <c r="P2117" t="str">
        <f>TRIM(PROPER(Tabla_auditoría[[#This Row],[País]]))</f>
        <v>Portugal</v>
      </c>
      <c r="Q2117" t="str">
        <f>TRIM(PROPER(Tabla_auditoría[[#This Row],[Dispositivo]]))</f>
        <v>Mobile</v>
      </c>
      <c r="R2117" t="str">
        <f>TRIM(PROPER(Tabla_auditoría[[#This Row],[Tipo_Campaña]]))</f>
        <v>Adquisición</v>
      </c>
      <c r="S2117" t="str">
        <f>TRIM(PROPER(Tabla_auditoría[[#This Row],[Responsable]]))</f>
        <v>Luis Martín</v>
      </c>
    </row>
    <row r="2118" spans="1:19" x14ac:dyDescent="0.3">
      <c r="A2118" s="1">
        <v>45838</v>
      </c>
      <c r="B2118" s="2" t="s">
        <v>2566</v>
      </c>
      <c r="C2118" s="2" t="s">
        <v>2533</v>
      </c>
      <c r="D2118" s="2" t="s">
        <v>2525</v>
      </c>
      <c r="E2118" s="2" t="s">
        <v>2517</v>
      </c>
      <c r="F2118" s="3">
        <v>125540</v>
      </c>
      <c r="G2118" s="3">
        <v>8307</v>
      </c>
      <c r="H2118" s="3">
        <v>630</v>
      </c>
      <c r="I2118" s="4">
        <v>1118.31</v>
      </c>
      <c r="J2118" s="4">
        <v>43254.52</v>
      </c>
      <c r="K2118" s="3">
        <v>311</v>
      </c>
      <c r="L2118" s="2" t="s">
        <v>2523</v>
      </c>
      <c r="M2118" s="2" t="s">
        <v>2537</v>
      </c>
      <c r="N2118" t="str">
        <f>TRIM(PROPER(Tabla_auditoría[[#This Row],[ID_Campaña]]))</f>
        <v>Cmp-001</v>
      </c>
      <c r="O2118" t="str">
        <f>TRIM(PROPER(Tabla_auditoría[[#This Row],[Canal]]))</f>
        <v>Paid Social</v>
      </c>
      <c r="P2118" t="str">
        <f>TRIM(PROPER(Tabla_auditoría[[#This Row],[País]]))</f>
        <v>Francia</v>
      </c>
      <c r="Q2118" t="str">
        <f>TRIM(PROPER(Tabla_auditoría[[#This Row],[Dispositivo]]))</f>
        <v>Desktop</v>
      </c>
      <c r="R2118" t="str">
        <f>TRIM(PROPER(Tabla_auditoría[[#This Row],[Tipo_Campaña]]))</f>
        <v>Retención</v>
      </c>
      <c r="S2118" t="str">
        <f>TRIM(PROPER(Tabla_auditoría[[#This Row],[Responsable]]))</f>
        <v>Marta López</v>
      </c>
    </row>
    <row r="2119" spans="1:19" x14ac:dyDescent="0.3">
      <c r="A2119" s="1">
        <v>45813</v>
      </c>
      <c r="B2119" s="2" t="s">
        <v>2552</v>
      </c>
      <c r="C2119" s="2" t="s">
        <v>2533</v>
      </c>
      <c r="D2119" s="2" t="s">
        <v>2531</v>
      </c>
      <c r="E2119" s="2" t="s">
        <v>2529</v>
      </c>
      <c r="F2119" s="3">
        <v>175998</v>
      </c>
      <c r="G2119" s="3">
        <v>11033</v>
      </c>
      <c r="H2119" s="3">
        <v>1257</v>
      </c>
      <c r="I2119" s="4">
        <v>2550.27</v>
      </c>
      <c r="J2119" s="4">
        <v>35076.39</v>
      </c>
      <c r="K2119" s="3">
        <v>618</v>
      </c>
      <c r="L2119" s="2" t="s">
        <v>2539</v>
      </c>
      <c r="M2119" s="2" t="s">
        <v>2546</v>
      </c>
      <c r="N2119" t="str">
        <f>TRIM(PROPER(Tabla_auditoría[[#This Row],[ID_Campaña]]))</f>
        <v>Cmp-012</v>
      </c>
      <c r="O2119" t="str">
        <f>TRIM(PROPER(Tabla_auditoría[[#This Row],[Canal]]))</f>
        <v>Paid Social</v>
      </c>
      <c r="P2119" t="str">
        <f>TRIM(PROPER(Tabla_auditoría[[#This Row],[País]]))</f>
        <v>Portugal</v>
      </c>
      <c r="Q2119" t="str">
        <f>TRIM(PROPER(Tabla_auditoría[[#This Row],[Dispositivo]]))</f>
        <v>Mobile</v>
      </c>
      <c r="R2119" t="str">
        <f>TRIM(PROPER(Tabla_auditoría[[#This Row],[Tipo_Campaña]]))</f>
        <v>Conversión</v>
      </c>
      <c r="S2119" t="str">
        <f>TRIM(PROPER(Tabla_auditoría[[#This Row],[Responsable]]))</f>
        <v>Ana García</v>
      </c>
    </row>
    <row r="2120" spans="1:19" x14ac:dyDescent="0.3">
      <c r="A2120" s="1">
        <v>45685</v>
      </c>
      <c r="B2120" s="2" t="s">
        <v>2560</v>
      </c>
      <c r="C2120" s="2" t="s">
        <v>2521</v>
      </c>
      <c r="D2120" s="2" t="s">
        <v>2528</v>
      </c>
      <c r="E2120" s="2" t="s">
        <v>2534</v>
      </c>
      <c r="F2120" s="3">
        <v>83085</v>
      </c>
      <c r="G2120" s="3">
        <v>5612</v>
      </c>
      <c r="H2120" s="3">
        <v>696</v>
      </c>
      <c r="I2120" s="4">
        <v>5023.66</v>
      </c>
      <c r="J2120" s="4">
        <v>147751.12</v>
      </c>
      <c r="K2120" s="3">
        <v>384</v>
      </c>
      <c r="L2120" s="2" t="s">
        <v>2523</v>
      </c>
      <c r="M2120" s="2" t="s">
        <v>2526</v>
      </c>
      <c r="N2120" t="str">
        <f>TRIM(PROPER(Tabla_auditoría[[#This Row],[ID_Campaña]]))</f>
        <v>Cmp-027</v>
      </c>
      <c r="O2120" t="str">
        <f>TRIM(PROPER(Tabla_auditoría[[#This Row],[Canal]]))</f>
        <v>Paid Search</v>
      </c>
      <c r="P2120" t="str">
        <f>TRIM(PROPER(Tabla_auditoría[[#This Row],[País]]))</f>
        <v>España</v>
      </c>
      <c r="Q2120" t="str">
        <f>TRIM(PROPER(Tabla_auditoría[[#This Row],[Dispositivo]]))</f>
        <v>Tablet</v>
      </c>
      <c r="R2120" t="str">
        <f>TRIM(PROPER(Tabla_auditoría[[#This Row],[Tipo_Campaña]]))</f>
        <v>Retención</v>
      </c>
      <c r="S2120" t="str">
        <f>TRIM(PROPER(Tabla_auditoría[[#This Row],[Responsable]]))</f>
        <v>Laura Pérez</v>
      </c>
    </row>
    <row r="2121" spans="1:19" x14ac:dyDescent="0.3">
      <c r="A2121" s="1">
        <v>45840</v>
      </c>
      <c r="B2121" s="2" t="s">
        <v>2557</v>
      </c>
      <c r="C2121" s="2" t="s">
        <v>2533</v>
      </c>
      <c r="D2121" s="2" t="s">
        <v>2531</v>
      </c>
      <c r="E2121" s="2" t="s">
        <v>2529</v>
      </c>
      <c r="F2121" s="3">
        <v>26160</v>
      </c>
      <c r="G2121" s="3">
        <v>2227</v>
      </c>
      <c r="H2121" s="3">
        <v>140</v>
      </c>
      <c r="I2121" s="4">
        <v>2223.4899999999998</v>
      </c>
      <c r="J2121" s="4">
        <v>5601.31</v>
      </c>
      <c r="K2121" s="3">
        <v>68</v>
      </c>
      <c r="L2121" s="2" t="s">
        <v>2518</v>
      </c>
      <c r="M2121" s="2" t="s">
        <v>2524</v>
      </c>
      <c r="N2121" t="str">
        <f>TRIM(PROPER(Tabla_auditoría[[#This Row],[ID_Campaña]]))</f>
        <v>Cmp-030</v>
      </c>
      <c r="O2121" t="str">
        <f>TRIM(PROPER(Tabla_auditoría[[#This Row],[Canal]]))</f>
        <v>Paid Social</v>
      </c>
      <c r="P2121" t="str">
        <f>TRIM(PROPER(Tabla_auditoría[[#This Row],[País]]))</f>
        <v>Portugal</v>
      </c>
      <c r="Q2121" t="str">
        <f>TRIM(PROPER(Tabla_auditoría[[#This Row],[Dispositivo]]))</f>
        <v>Mobile</v>
      </c>
      <c r="R2121" t="str">
        <f>TRIM(PROPER(Tabla_auditoría[[#This Row],[Tipo_Campaña]]))</f>
        <v>Adquisición</v>
      </c>
      <c r="S2121" t="str">
        <f>TRIM(PROPER(Tabla_auditoría[[#This Row],[Responsable]]))</f>
        <v>Luis Martín</v>
      </c>
    </row>
    <row r="2122" spans="1:19" x14ac:dyDescent="0.3">
      <c r="A2122" s="1">
        <v>45797</v>
      </c>
      <c r="B2122" s="2" t="s">
        <v>2564</v>
      </c>
      <c r="C2122" s="2" t="s">
        <v>2533</v>
      </c>
      <c r="D2122" s="2" t="s">
        <v>2528</v>
      </c>
      <c r="E2122" s="2" t="s">
        <v>2517</v>
      </c>
      <c r="F2122" s="3">
        <v>116991</v>
      </c>
      <c r="G2122" s="3">
        <v>3677</v>
      </c>
      <c r="H2122" s="3">
        <v>36</v>
      </c>
      <c r="I2122" s="4">
        <v>4326.6000000000004</v>
      </c>
      <c r="J2122" s="4">
        <v>3450.16</v>
      </c>
      <c r="K2122" s="3">
        <v>22</v>
      </c>
      <c r="L2122" s="2" t="s">
        <v>2536</v>
      </c>
      <c r="M2122" s="2" t="s">
        <v>2519</v>
      </c>
      <c r="N2122" t="str">
        <f>TRIM(PROPER(Tabla_auditoría[[#This Row],[ID_Campaña]]))</f>
        <v>Cmp-024</v>
      </c>
      <c r="O2122" t="str">
        <f>TRIM(PROPER(Tabla_auditoría[[#This Row],[Canal]]))</f>
        <v>Paid Social</v>
      </c>
      <c r="P2122" t="str">
        <f>TRIM(PROPER(Tabla_auditoría[[#This Row],[País]]))</f>
        <v>España</v>
      </c>
      <c r="Q2122" t="str">
        <f>TRIM(PROPER(Tabla_auditoría[[#This Row],[Dispositivo]]))</f>
        <v>Desktop</v>
      </c>
      <c r="R2122" t="str">
        <f>TRIM(PROPER(Tabla_auditoría[[#This Row],[Tipo_Campaña]]))</f>
        <v>Reconocimiento</v>
      </c>
      <c r="S2122" t="str">
        <f>TRIM(PROPER(Tabla_auditoría[[#This Row],[Responsable]]))</f>
        <v>Carlos Ruiz</v>
      </c>
    </row>
    <row r="2123" spans="1:19" x14ac:dyDescent="0.3">
      <c r="A2123" s="1">
        <v>45902</v>
      </c>
      <c r="B2123" s="2" t="s">
        <v>2540</v>
      </c>
      <c r="C2123" s="2" t="s">
        <v>2527</v>
      </c>
      <c r="D2123" s="2" t="s">
        <v>2528</v>
      </c>
      <c r="E2123" s="2" t="s">
        <v>2529</v>
      </c>
      <c r="F2123" s="3">
        <v>68305</v>
      </c>
      <c r="G2123" s="3">
        <v>3598</v>
      </c>
      <c r="H2123" s="3">
        <v>68</v>
      </c>
      <c r="I2123" s="4">
        <v>6860.89</v>
      </c>
      <c r="J2123" s="4">
        <v>6713.7</v>
      </c>
      <c r="K2123" s="3">
        <v>35</v>
      </c>
      <c r="L2123" s="2" t="s">
        <v>2536</v>
      </c>
      <c r="M2123" s="2" t="s">
        <v>2546</v>
      </c>
      <c r="N2123" t="str">
        <f>TRIM(PROPER(Tabla_auditoría[[#This Row],[ID_Campaña]]))</f>
        <v>Cmp-017</v>
      </c>
      <c r="O2123" t="str">
        <f>TRIM(PROPER(Tabla_auditoría[[#This Row],[Canal]]))</f>
        <v>Affiliate</v>
      </c>
      <c r="P2123" t="str">
        <f>TRIM(PROPER(Tabla_auditoría[[#This Row],[País]]))</f>
        <v>España</v>
      </c>
      <c r="Q2123" t="str">
        <f>TRIM(PROPER(Tabla_auditoría[[#This Row],[Dispositivo]]))</f>
        <v>Mobile</v>
      </c>
      <c r="R2123" t="str">
        <f>TRIM(PROPER(Tabla_auditoría[[#This Row],[Tipo_Campaña]]))</f>
        <v>Reconocimiento</v>
      </c>
      <c r="S2123" t="str">
        <f>TRIM(PROPER(Tabla_auditoría[[#This Row],[Responsable]]))</f>
        <v>Ana García</v>
      </c>
    </row>
    <row r="2124" spans="1:19" x14ac:dyDescent="0.3">
      <c r="A2124" s="1">
        <v>45713</v>
      </c>
      <c r="B2124" s="2" t="s">
        <v>2514</v>
      </c>
      <c r="C2124" s="2" t="s">
        <v>2541</v>
      </c>
      <c r="D2124" s="2" t="s">
        <v>2516</v>
      </c>
      <c r="E2124" s="2" t="s">
        <v>2529</v>
      </c>
      <c r="F2124" s="3">
        <v>85214</v>
      </c>
      <c r="G2124" s="3">
        <v>2819</v>
      </c>
      <c r="H2124" s="3">
        <v>76</v>
      </c>
      <c r="I2124" s="4">
        <v>5775.02</v>
      </c>
      <c r="J2124" s="4">
        <v>2608.8000000000002</v>
      </c>
      <c r="K2124" s="3">
        <v>39</v>
      </c>
      <c r="L2124" s="2" t="s">
        <v>2518</v>
      </c>
      <c r="M2124" s="2" t="s">
        <v>2546</v>
      </c>
      <c r="N2124" t="str">
        <f>TRIM(PROPER(Tabla_auditoría[[#This Row],[ID_Campaña]]))</f>
        <v>Cmp-002</v>
      </c>
      <c r="O2124" t="str">
        <f>TRIM(PROPER(Tabla_auditoría[[#This Row],[Canal]]))</f>
        <v>Display</v>
      </c>
      <c r="P2124" t="str">
        <f>TRIM(PROPER(Tabla_auditoría[[#This Row],[País]]))</f>
        <v>México</v>
      </c>
      <c r="Q2124" t="str">
        <f>TRIM(PROPER(Tabla_auditoría[[#This Row],[Dispositivo]]))</f>
        <v>Mobile</v>
      </c>
      <c r="R2124" t="str">
        <f>TRIM(PROPER(Tabla_auditoría[[#This Row],[Tipo_Campaña]]))</f>
        <v>Adquisición</v>
      </c>
      <c r="S2124" t="str">
        <f>TRIM(PROPER(Tabla_auditoría[[#This Row],[Responsable]]))</f>
        <v>Ana García</v>
      </c>
    </row>
    <row r="2125" spans="1:19" x14ac:dyDescent="0.3">
      <c r="A2125" s="1">
        <v>46018</v>
      </c>
      <c r="B2125" s="2" t="s">
        <v>2554</v>
      </c>
      <c r="C2125" s="2" t="s">
        <v>2515</v>
      </c>
      <c r="D2125" s="2" t="s">
        <v>2525</v>
      </c>
      <c r="E2125" s="2" t="s">
        <v>2517</v>
      </c>
      <c r="F2125" s="3">
        <v>57983</v>
      </c>
      <c r="G2125" s="3">
        <v>2757</v>
      </c>
      <c r="H2125" s="3">
        <v>248</v>
      </c>
      <c r="I2125" s="4">
        <v>5114.08</v>
      </c>
      <c r="J2125" s="4">
        <v>24256.77</v>
      </c>
      <c r="K2125" s="3">
        <v>133</v>
      </c>
      <c r="L2125" s="2" t="s">
        <v>2518</v>
      </c>
      <c r="M2125" s="2" t="s">
        <v>2524</v>
      </c>
      <c r="N2125" t="str">
        <f>TRIM(PROPER(Tabla_auditoría[[#This Row],[ID_Campaña]]))</f>
        <v>Cmp-019</v>
      </c>
      <c r="O2125" t="str">
        <f>TRIM(PROPER(Tabla_auditoría[[#This Row],[Canal]]))</f>
        <v>Email</v>
      </c>
      <c r="P2125" t="str">
        <f>TRIM(PROPER(Tabla_auditoría[[#This Row],[País]]))</f>
        <v>Francia</v>
      </c>
      <c r="Q2125" t="str">
        <f>TRIM(PROPER(Tabla_auditoría[[#This Row],[Dispositivo]]))</f>
        <v>Desktop</v>
      </c>
      <c r="R2125" t="str">
        <f>TRIM(PROPER(Tabla_auditoría[[#This Row],[Tipo_Campaña]]))</f>
        <v>Adquisición</v>
      </c>
      <c r="S2125" t="str">
        <f>TRIM(PROPER(Tabla_auditoría[[#This Row],[Responsable]]))</f>
        <v>Luis Martín</v>
      </c>
    </row>
    <row r="2126" spans="1:19" x14ac:dyDescent="0.3">
      <c r="A2126" s="1">
        <v>45706</v>
      </c>
      <c r="B2126" s="2" t="s">
        <v>2566</v>
      </c>
      <c r="C2126" s="2" t="s">
        <v>2533</v>
      </c>
      <c r="D2126" s="2" t="s">
        <v>2522</v>
      </c>
      <c r="E2126" s="2" t="s">
        <v>2529</v>
      </c>
      <c r="F2126" s="3">
        <v>111274</v>
      </c>
      <c r="G2126" s="3">
        <v>501</v>
      </c>
      <c r="H2126" s="3">
        <v>51</v>
      </c>
      <c r="I2126" s="4">
        <v>716.03</v>
      </c>
      <c r="J2126" s="4">
        <v>8260.9699999999993</v>
      </c>
      <c r="K2126" s="3">
        <v>41</v>
      </c>
      <c r="L2126" s="2" t="s">
        <v>2539</v>
      </c>
      <c r="M2126" s="2" t="s">
        <v>2546</v>
      </c>
      <c r="N2126" t="str">
        <f>TRIM(PROPER(Tabla_auditoría[[#This Row],[ID_Campaña]]))</f>
        <v>Cmp-001</v>
      </c>
      <c r="O2126" t="str">
        <f>TRIM(PROPER(Tabla_auditoría[[#This Row],[Canal]]))</f>
        <v>Paid Social</v>
      </c>
      <c r="P2126" t="str">
        <f>TRIM(PROPER(Tabla_auditoría[[#This Row],[País]]))</f>
        <v>Italia</v>
      </c>
      <c r="Q2126" t="str">
        <f>TRIM(PROPER(Tabla_auditoría[[#This Row],[Dispositivo]]))</f>
        <v>Mobile</v>
      </c>
      <c r="R2126" t="str">
        <f>TRIM(PROPER(Tabla_auditoría[[#This Row],[Tipo_Campaña]]))</f>
        <v>Conversión</v>
      </c>
      <c r="S2126" t="str">
        <f>TRIM(PROPER(Tabla_auditoría[[#This Row],[Responsable]]))</f>
        <v>Ana García</v>
      </c>
    </row>
    <row r="2127" spans="1:19" x14ac:dyDescent="0.3">
      <c r="A2127" s="1">
        <v>45730</v>
      </c>
      <c r="B2127" s="2" t="s">
        <v>2566</v>
      </c>
      <c r="C2127" s="2" t="s">
        <v>2543</v>
      </c>
      <c r="D2127" s="2" t="s">
        <v>2525</v>
      </c>
      <c r="E2127" s="2" t="s">
        <v>2529</v>
      </c>
      <c r="F2127" s="3">
        <v>175397</v>
      </c>
      <c r="G2127" s="3">
        <v>15195</v>
      </c>
      <c r="H2127" s="3">
        <v>1073</v>
      </c>
      <c r="I2127" s="4">
        <v>29749.360000000001</v>
      </c>
      <c r="J2127" s="4">
        <v>162478.39000000001</v>
      </c>
      <c r="K2127" s="3">
        <v>673</v>
      </c>
      <c r="L2127" s="2" t="s">
        <v>2539</v>
      </c>
      <c r="M2127" s="2" t="s">
        <v>2526</v>
      </c>
      <c r="N2127" t="str">
        <f>TRIM(PROPER(Tabla_auditoría[[#This Row],[ID_Campaña]]))</f>
        <v>Cmp-001</v>
      </c>
      <c r="O2127" t="str">
        <f>TRIM(PROPER(Tabla_auditoría[[#This Row],[Canal]]))</f>
        <v>Organic Social</v>
      </c>
      <c r="P2127" t="str">
        <f>TRIM(PROPER(Tabla_auditoría[[#This Row],[País]]))</f>
        <v>Francia</v>
      </c>
      <c r="Q2127" t="str">
        <f>TRIM(PROPER(Tabla_auditoría[[#This Row],[Dispositivo]]))</f>
        <v>Mobile</v>
      </c>
      <c r="R2127" t="str">
        <f>TRIM(PROPER(Tabla_auditoría[[#This Row],[Tipo_Campaña]]))</f>
        <v>Conversión</v>
      </c>
      <c r="S2127" t="str">
        <f>TRIM(PROPER(Tabla_auditoría[[#This Row],[Responsable]]))</f>
        <v>Laura Pérez</v>
      </c>
    </row>
    <row r="2128" spans="1:19" x14ac:dyDescent="0.3">
      <c r="A2128" s="1">
        <v>45744</v>
      </c>
      <c r="B2128" s="2" t="s">
        <v>2563</v>
      </c>
      <c r="C2128" s="2" t="s">
        <v>2521</v>
      </c>
      <c r="D2128" s="2" t="s">
        <v>2525</v>
      </c>
      <c r="E2128" s="2" t="s">
        <v>2529</v>
      </c>
      <c r="F2128" s="3">
        <v>9244</v>
      </c>
      <c r="G2128" s="3">
        <v>527</v>
      </c>
      <c r="H2128" s="3">
        <v>22</v>
      </c>
      <c r="I2128" s="4">
        <v>294.24</v>
      </c>
      <c r="J2128" s="4">
        <v>3608.86</v>
      </c>
      <c r="K2128" s="3">
        <v>17</v>
      </c>
      <c r="L2128" s="2" t="s">
        <v>2536</v>
      </c>
      <c r="M2128" s="2" t="s">
        <v>2537</v>
      </c>
      <c r="N2128" t="str">
        <f>TRIM(PROPER(Tabla_auditoría[[#This Row],[ID_Campaña]]))</f>
        <v>Cmp-023</v>
      </c>
      <c r="O2128" t="str">
        <f>TRIM(PROPER(Tabla_auditoría[[#This Row],[Canal]]))</f>
        <v>Paid Search</v>
      </c>
      <c r="P2128" t="str">
        <f>TRIM(PROPER(Tabla_auditoría[[#This Row],[País]]))</f>
        <v>Francia</v>
      </c>
      <c r="Q2128" t="str">
        <f>TRIM(PROPER(Tabla_auditoría[[#This Row],[Dispositivo]]))</f>
        <v>Mobile</v>
      </c>
      <c r="R2128" t="str">
        <f>TRIM(PROPER(Tabla_auditoría[[#This Row],[Tipo_Campaña]]))</f>
        <v>Reconocimiento</v>
      </c>
      <c r="S2128" t="str">
        <f>TRIM(PROPER(Tabla_auditoría[[#This Row],[Responsable]]))</f>
        <v>Marta López</v>
      </c>
    </row>
    <row r="2129" spans="1:19" x14ac:dyDescent="0.3">
      <c r="A2129" s="1">
        <v>45955</v>
      </c>
      <c r="B2129" s="2" t="s">
        <v>2567</v>
      </c>
      <c r="C2129" s="2" t="s">
        <v>2541</v>
      </c>
      <c r="D2129" s="2" t="s">
        <v>2531</v>
      </c>
      <c r="E2129" s="2" t="s">
        <v>2517</v>
      </c>
      <c r="F2129" s="3">
        <v>91158</v>
      </c>
      <c r="G2129" s="3">
        <v>1012</v>
      </c>
      <c r="H2129" s="3">
        <v>127</v>
      </c>
      <c r="I2129" s="4">
        <v>1820.13</v>
      </c>
      <c r="J2129" s="4">
        <v>25754.37</v>
      </c>
      <c r="K2129" s="3">
        <v>71</v>
      </c>
      <c r="L2129" s="2" t="s">
        <v>2536</v>
      </c>
      <c r="M2129" s="2" t="s">
        <v>2524</v>
      </c>
      <c r="N2129" t="str">
        <f>TRIM(PROPER(Tabla_auditoría[[#This Row],[ID_Campaña]]))</f>
        <v>Cmp-021</v>
      </c>
      <c r="O2129" t="str">
        <f>TRIM(PROPER(Tabla_auditoría[[#This Row],[Canal]]))</f>
        <v>Display</v>
      </c>
      <c r="P2129" t="str">
        <f>TRIM(PROPER(Tabla_auditoría[[#This Row],[País]]))</f>
        <v>Portugal</v>
      </c>
      <c r="Q2129" t="str">
        <f>TRIM(PROPER(Tabla_auditoría[[#This Row],[Dispositivo]]))</f>
        <v>Desktop</v>
      </c>
      <c r="R2129" t="str">
        <f>TRIM(PROPER(Tabla_auditoría[[#This Row],[Tipo_Campaña]]))</f>
        <v>Reconocimiento</v>
      </c>
      <c r="S2129" t="str">
        <f>TRIM(PROPER(Tabla_auditoría[[#This Row],[Responsable]]))</f>
        <v>Luis Martín</v>
      </c>
    </row>
    <row r="2130" spans="1:19" x14ac:dyDescent="0.3">
      <c r="A2130" s="1">
        <v>45730</v>
      </c>
      <c r="B2130" s="2" t="s">
        <v>2574</v>
      </c>
      <c r="C2130" s="2" t="s">
        <v>2527</v>
      </c>
      <c r="D2130" s="2" t="s">
        <v>2528</v>
      </c>
      <c r="E2130" s="2" t="s">
        <v>2529</v>
      </c>
      <c r="F2130" s="3">
        <v>53224</v>
      </c>
      <c r="G2130" s="3">
        <v>2096</v>
      </c>
      <c r="H2130" s="3">
        <v>93</v>
      </c>
      <c r="I2130" s="4">
        <v>4157.59</v>
      </c>
      <c r="J2130" s="4">
        <v>5710.81</v>
      </c>
      <c r="K2130" s="3">
        <v>75</v>
      </c>
      <c r="L2130" s="2" t="s">
        <v>2536</v>
      </c>
      <c r="M2130" s="2" t="s">
        <v>2537</v>
      </c>
      <c r="N2130" t="str">
        <f>TRIM(PROPER(Tabla_auditoría[[#This Row],[ID_Campaña]]))</f>
        <v>Cmp-003</v>
      </c>
      <c r="O2130" t="str">
        <f>TRIM(PROPER(Tabla_auditoría[[#This Row],[Canal]]))</f>
        <v>Affiliate</v>
      </c>
      <c r="P2130" t="str">
        <f>TRIM(PROPER(Tabla_auditoría[[#This Row],[País]]))</f>
        <v>España</v>
      </c>
      <c r="Q2130" t="str">
        <f>TRIM(PROPER(Tabla_auditoría[[#This Row],[Dispositivo]]))</f>
        <v>Mobile</v>
      </c>
      <c r="R2130" t="str">
        <f>TRIM(PROPER(Tabla_auditoría[[#This Row],[Tipo_Campaña]]))</f>
        <v>Reconocimiento</v>
      </c>
      <c r="S2130" t="str">
        <f>TRIM(PROPER(Tabla_auditoría[[#This Row],[Responsable]]))</f>
        <v>Marta López</v>
      </c>
    </row>
    <row r="2131" spans="1:19" x14ac:dyDescent="0.3">
      <c r="A2131" s="1">
        <v>45827</v>
      </c>
      <c r="B2131" s="2" t="s">
        <v>2554</v>
      </c>
      <c r="C2131" s="2" t="s">
        <v>2521</v>
      </c>
      <c r="D2131" s="2" t="s">
        <v>2525</v>
      </c>
      <c r="E2131" s="2" t="s">
        <v>2517</v>
      </c>
      <c r="F2131" s="3">
        <v>156433</v>
      </c>
      <c r="G2131" s="3">
        <v>12906</v>
      </c>
      <c r="H2131" s="3">
        <v>1134</v>
      </c>
      <c r="I2131" s="4">
        <v>11515.33</v>
      </c>
      <c r="J2131" s="4">
        <v>30592.76</v>
      </c>
      <c r="K2131" s="3">
        <v>881</v>
      </c>
      <c r="L2131" s="2" t="s">
        <v>2518</v>
      </c>
      <c r="M2131" s="2" t="s">
        <v>2519</v>
      </c>
      <c r="N2131" t="str">
        <f>TRIM(PROPER(Tabla_auditoría[[#This Row],[ID_Campaña]]))</f>
        <v>Cmp-019</v>
      </c>
      <c r="O2131" t="str">
        <f>TRIM(PROPER(Tabla_auditoría[[#This Row],[Canal]]))</f>
        <v>Paid Search</v>
      </c>
      <c r="P2131" t="str">
        <f>TRIM(PROPER(Tabla_auditoría[[#This Row],[País]]))</f>
        <v>Francia</v>
      </c>
      <c r="Q2131" t="str">
        <f>TRIM(PROPER(Tabla_auditoría[[#This Row],[Dispositivo]]))</f>
        <v>Desktop</v>
      </c>
      <c r="R2131" t="str">
        <f>TRIM(PROPER(Tabla_auditoría[[#This Row],[Tipo_Campaña]]))</f>
        <v>Adquisición</v>
      </c>
      <c r="S2131" t="str">
        <f>TRIM(PROPER(Tabla_auditoría[[#This Row],[Responsable]]))</f>
        <v>Carlos Ruiz</v>
      </c>
    </row>
    <row r="2132" spans="1:19" x14ac:dyDescent="0.3">
      <c r="A2132" s="1">
        <v>45824</v>
      </c>
      <c r="B2132" s="2" t="s">
        <v>2556</v>
      </c>
      <c r="C2132" s="2" t="s">
        <v>2543</v>
      </c>
      <c r="D2132" s="2" t="s">
        <v>2531</v>
      </c>
      <c r="E2132" s="2" t="s">
        <v>2534</v>
      </c>
      <c r="F2132" s="3">
        <v>84387</v>
      </c>
      <c r="G2132" s="3">
        <v>4921</v>
      </c>
      <c r="H2132" s="3">
        <v>92</v>
      </c>
      <c r="I2132" s="4">
        <v>9780.67</v>
      </c>
      <c r="J2132" s="4">
        <v>6261.48</v>
      </c>
      <c r="K2132" s="3">
        <v>49</v>
      </c>
      <c r="L2132" s="2" t="s">
        <v>2518</v>
      </c>
      <c r="M2132" s="2" t="s">
        <v>2537</v>
      </c>
      <c r="N2132" t="str">
        <f>TRIM(PROPER(Tabla_auditoría[[#This Row],[ID_Campaña]]))</f>
        <v>Cmp-014</v>
      </c>
      <c r="O2132" t="str">
        <f>TRIM(PROPER(Tabla_auditoría[[#This Row],[Canal]]))</f>
        <v>Organic Social</v>
      </c>
      <c r="P2132" t="str">
        <f>TRIM(PROPER(Tabla_auditoría[[#This Row],[País]]))</f>
        <v>Portugal</v>
      </c>
      <c r="Q2132" t="str">
        <f>TRIM(PROPER(Tabla_auditoría[[#This Row],[Dispositivo]]))</f>
        <v>Tablet</v>
      </c>
      <c r="R2132" t="str">
        <f>TRIM(PROPER(Tabla_auditoría[[#This Row],[Tipo_Campaña]]))</f>
        <v>Adquisición</v>
      </c>
      <c r="S2132" t="str">
        <f>TRIM(PROPER(Tabla_auditoría[[#This Row],[Responsable]]))</f>
        <v>Marta López</v>
      </c>
    </row>
    <row r="2133" spans="1:19" x14ac:dyDescent="0.3">
      <c r="A2133" s="1">
        <v>45723</v>
      </c>
      <c r="B2133" s="2" t="s">
        <v>2570</v>
      </c>
      <c r="C2133" s="2" t="s">
        <v>2521</v>
      </c>
      <c r="D2133" s="2" t="s">
        <v>2528</v>
      </c>
      <c r="E2133" s="2" t="s">
        <v>2517</v>
      </c>
      <c r="F2133" s="3">
        <v>8364</v>
      </c>
      <c r="G2133" s="3">
        <v>123</v>
      </c>
      <c r="H2133" s="3">
        <v>9</v>
      </c>
      <c r="I2133" s="4">
        <v>71.52</v>
      </c>
      <c r="J2133" s="4">
        <v>253.81</v>
      </c>
      <c r="K2133" s="3">
        <v>6</v>
      </c>
      <c r="L2133" s="2" t="s">
        <v>2518</v>
      </c>
      <c r="M2133" s="2" t="s">
        <v>2546</v>
      </c>
      <c r="N2133" t="str">
        <f>TRIM(PROPER(Tabla_auditoría[[#This Row],[ID_Campaña]]))</f>
        <v>Cmp-016</v>
      </c>
      <c r="O2133" t="str">
        <f>TRIM(PROPER(Tabla_auditoría[[#This Row],[Canal]]))</f>
        <v>Paid Search</v>
      </c>
      <c r="P2133" t="str">
        <f>TRIM(PROPER(Tabla_auditoría[[#This Row],[País]]))</f>
        <v>España</v>
      </c>
      <c r="Q2133" t="str">
        <f>TRIM(PROPER(Tabla_auditoría[[#This Row],[Dispositivo]]))</f>
        <v>Desktop</v>
      </c>
      <c r="R2133" t="str">
        <f>TRIM(PROPER(Tabla_auditoría[[#This Row],[Tipo_Campaña]]))</f>
        <v>Adquisición</v>
      </c>
      <c r="S2133" t="str">
        <f>TRIM(PROPER(Tabla_auditoría[[#This Row],[Responsable]]))</f>
        <v>Ana García</v>
      </c>
    </row>
    <row r="2134" spans="1:19" x14ac:dyDescent="0.3">
      <c r="A2134" s="1">
        <v>45901</v>
      </c>
      <c r="B2134" s="2" t="s">
        <v>2555</v>
      </c>
      <c r="C2134" s="2" t="s">
        <v>2527</v>
      </c>
      <c r="D2134" s="2" t="s">
        <v>2516</v>
      </c>
      <c r="E2134" s="2" t="s">
        <v>2517</v>
      </c>
      <c r="F2134" s="3">
        <v>151532</v>
      </c>
      <c r="G2134" s="3">
        <v>12136</v>
      </c>
      <c r="H2134" s="3">
        <v>135</v>
      </c>
      <c r="I2134" s="4">
        <v>17153.29</v>
      </c>
      <c r="J2134" s="4">
        <v>15798.49</v>
      </c>
      <c r="K2134" s="3">
        <v>118</v>
      </c>
      <c r="L2134" s="2" t="s">
        <v>2539</v>
      </c>
      <c r="M2134" s="2" t="s">
        <v>2524</v>
      </c>
      <c r="N2134" t="str">
        <f>TRIM(PROPER(Tabla_auditoría[[#This Row],[ID_Campaña]]))</f>
        <v>Cmp-010</v>
      </c>
      <c r="O2134" t="str">
        <f>TRIM(PROPER(Tabla_auditoría[[#This Row],[Canal]]))</f>
        <v>Affiliate</v>
      </c>
      <c r="P2134" t="str">
        <f>TRIM(PROPER(Tabla_auditoría[[#This Row],[País]]))</f>
        <v>México</v>
      </c>
      <c r="Q2134" t="str">
        <f>TRIM(PROPER(Tabla_auditoría[[#This Row],[Dispositivo]]))</f>
        <v>Desktop</v>
      </c>
      <c r="R2134" t="str">
        <f>TRIM(PROPER(Tabla_auditoría[[#This Row],[Tipo_Campaña]]))</f>
        <v>Conversión</v>
      </c>
      <c r="S2134" t="str">
        <f>TRIM(PROPER(Tabla_auditoría[[#This Row],[Responsable]]))</f>
        <v>Luis Martín</v>
      </c>
    </row>
    <row r="2135" spans="1:19" x14ac:dyDescent="0.3">
      <c r="A2135" s="1">
        <v>45930</v>
      </c>
      <c r="B2135" s="2" t="s">
        <v>2545</v>
      </c>
      <c r="C2135" s="2" t="s">
        <v>2521</v>
      </c>
      <c r="D2135" s="2" t="s">
        <v>2522</v>
      </c>
      <c r="E2135" s="2" t="s">
        <v>2517</v>
      </c>
      <c r="F2135" s="3">
        <v>144892</v>
      </c>
      <c r="G2135" s="3">
        <v>7727</v>
      </c>
      <c r="H2135" s="3">
        <v>951</v>
      </c>
      <c r="I2135" s="4">
        <v>1167.5999999999999</v>
      </c>
      <c r="J2135" s="4">
        <v>142820.71</v>
      </c>
      <c r="K2135" s="3">
        <v>533</v>
      </c>
      <c r="L2135" s="2" t="s">
        <v>2523</v>
      </c>
      <c r="M2135" s="2" t="s">
        <v>2526</v>
      </c>
      <c r="N2135" t="str">
        <f>TRIM(PROPER(Tabla_auditoría[[#This Row],[ID_Campaña]]))</f>
        <v>Cmp-011</v>
      </c>
      <c r="O2135" t="str">
        <f>TRIM(PROPER(Tabla_auditoría[[#This Row],[Canal]]))</f>
        <v>Paid Search</v>
      </c>
      <c r="P2135" t="str">
        <f>TRIM(PROPER(Tabla_auditoría[[#This Row],[País]]))</f>
        <v>Italia</v>
      </c>
      <c r="Q2135" t="str">
        <f>TRIM(PROPER(Tabla_auditoría[[#This Row],[Dispositivo]]))</f>
        <v>Desktop</v>
      </c>
      <c r="R2135" t="str">
        <f>TRIM(PROPER(Tabla_auditoría[[#This Row],[Tipo_Campaña]]))</f>
        <v>Retención</v>
      </c>
      <c r="S2135" t="str">
        <f>TRIM(PROPER(Tabla_auditoría[[#This Row],[Responsable]]))</f>
        <v>Laura Pérez</v>
      </c>
    </row>
    <row r="2136" spans="1:19" x14ac:dyDescent="0.3">
      <c r="A2136" s="1">
        <v>45750</v>
      </c>
      <c r="B2136" s="2" t="s">
        <v>2571</v>
      </c>
      <c r="C2136" s="2" t="s">
        <v>2541</v>
      </c>
      <c r="D2136" s="2" t="s">
        <v>2580</v>
      </c>
      <c r="E2136" s="2" t="s">
        <v>2529</v>
      </c>
      <c r="F2136" s="3">
        <v>150028</v>
      </c>
      <c r="G2136" s="3">
        <v>5060</v>
      </c>
      <c r="H2136" s="3">
        <v>514</v>
      </c>
      <c r="I2136" s="4">
        <v>2164.09</v>
      </c>
      <c r="J2136" s="4">
        <v>63297.43</v>
      </c>
      <c r="K2136" s="3">
        <v>296</v>
      </c>
      <c r="L2136" s="2" t="s">
        <v>2536</v>
      </c>
      <c r="M2136" s="2" t="s">
        <v>2519</v>
      </c>
      <c r="N2136" t="str">
        <f>TRIM(PROPER(Tabla_auditoría[[#This Row],[ID_Campaña]]))</f>
        <v>Cmp-029</v>
      </c>
      <c r="O2136" t="str">
        <f>TRIM(PROPER(Tabla_auditoría[[#This Row],[Canal]]))</f>
        <v>Display</v>
      </c>
      <c r="P2136" t="str">
        <f>TRIM(PROPER(Tabla_auditoría[[#This Row],[País]]))</f>
        <v>México</v>
      </c>
      <c r="Q2136" t="str">
        <f>TRIM(PROPER(Tabla_auditoría[[#This Row],[Dispositivo]]))</f>
        <v>Mobile</v>
      </c>
      <c r="R2136" t="str">
        <f>TRIM(PROPER(Tabla_auditoría[[#This Row],[Tipo_Campaña]]))</f>
        <v>Reconocimiento</v>
      </c>
      <c r="S2136" t="str">
        <f>TRIM(PROPER(Tabla_auditoría[[#This Row],[Responsable]]))</f>
        <v>Carlos Ruiz</v>
      </c>
    </row>
    <row r="2137" spans="1:19" x14ac:dyDescent="0.3">
      <c r="A2137" s="1">
        <v>45744</v>
      </c>
      <c r="B2137" s="2" t="s">
        <v>2571</v>
      </c>
      <c r="C2137" s="2" t="s">
        <v>2543</v>
      </c>
      <c r="D2137" s="2" t="s">
        <v>2531</v>
      </c>
      <c r="E2137" s="2" t="s">
        <v>2517</v>
      </c>
      <c r="F2137" s="3">
        <v>34270</v>
      </c>
      <c r="G2137" s="3">
        <v>2993</v>
      </c>
      <c r="H2137" s="3">
        <v>48</v>
      </c>
      <c r="I2137" s="4">
        <v>5345.06</v>
      </c>
      <c r="J2137" s="4">
        <v>3864.37</v>
      </c>
      <c r="K2137" s="3">
        <v>29</v>
      </c>
      <c r="L2137" s="2" t="s">
        <v>2523</v>
      </c>
      <c r="M2137" s="2" t="s">
        <v>2519</v>
      </c>
      <c r="N2137" t="str">
        <f>TRIM(PROPER(Tabla_auditoría[[#This Row],[ID_Campaña]]))</f>
        <v>Cmp-029</v>
      </c>
      <c r="O2137" t="str">
        <f>TRIM(PROPER(Tabla_auditoría[[#This Row],[Canal]]))</f>
        <v>Organic Social</v>
      </c>
      <c r="P2137" t="str">
        <f>TRIM(PROPER(Tabla_auditoría[[#This Row],[País]]))</f>
        <v>Portugal</v>
      </c>
      <c r="Q2137" t="str">
        <f>TRIM(PROPER(Tabla_auditoría[[#This Row],[Dispositivo]]))</f>
        <v>Desktop</v>
      </c>
      <c r="R2137" t="str">
        <f>TRIM(PROPER(Tabla_auditoría[[#This Row],[Tipo_Campaña]]))</f>
        <v>Retención</v>
      </c>
      <c r="S2137" t="str">
        <f>TRIM(PROPER(Tabla_auditoría[[#This Row],[Responsable]]))</f>
        <v>Carlos Ruiz</v>
      </c>
    </row>
    <row r="2138" spans="1:19" x14ac:dyDescent="0.3">
      <c r="A2138" s="1">
        <v>45732</v>
      </c>
      <c r="B2138" s="2" t="s">
        <v>2568</v>
      </c>
      <c r="C2138" s="2" t="s">
        <v>2533</v>
      </c>
      <c r="D2138" s="2" t="s">
        <v>2593</v>
      </c>
      <c r="E2138" s="2" t="s">
        <v>2517</v>
      </c>
      <c r="F2138" s="3">
        <v>1874</v>
      </c>
      <c r="G2138" s="3">
        <v>99</v>
      </c>
      <c r="H2138" s="3">
        <v>5</v>
      </c>
      <c r="I2138" s="4">
        <v>83.64</v>
      </c>
      <c r="J2138" s="4">
        <v>689.95</v>
      </c>
      <c r="K2138" s="3">
        <v>2</v>
      </c>
      <c r="L2138" s="2" t="s">
        <v>2523</v>
      </c>
      <c r="M2138" s="2" t="s">
        <v>2546</v>
      </c>
      <c r="N2138" t="str">
        <f>TRIM(PROPER(Tabla_auditoría[[#This Row],[ID_Campaña]]))</f>
        <v>Cmp-020</v>
      </c>
      <c r="O2138" t="str">
        <f>TRIM(PROPER(Tabla_auditoría[[#This Row],[Canal]]))</f>
        <v>Paid Social</v>
      </c>
      <c r="P2138" t="str">
        <f>TRIM(PROPER(Tabla_auditoría[[#This Row],[País]]))</f>
        <v>Francia</v>
      </c>
      <c r="Q2138" t="str">
        <f>TRIM(PROPER(Tabla_auditoría[[#This Row],[Dispositivo]]))</f>
        <v>Desktop</v>
      </c>
      <c r="R2138" t="str">
        <f>TRIM(PROPER(Tabla_auditoría[[#This Row],[Tipo_Campaña]]))</f>
        <v>Retención</v>
      </c>
      <c r="S2138" t="str">
        <f>TRIM(PROPER(Tabla_auditoría[[#This Row],[Responsable]]))</f>
        <v>Ana García</v>
      </c>
    </row>
    <row r="2139" spans="1:19" x14ac:dyDescent="0.3">
      <c r="A2139" s="1">
        <v>45785</v>
      </c>
      <c r="B2139" s="2" t="s">
        <v>2574</v>
      </c>
      <c r="C2139" s="2" t="s">
        <v>2515</v>
      </c>
      <c r="D2139" s="2" t="s">
        <v>2531</v>
      </c>
      <c r="E2139" s="2" t="s">
        <v>2517</v>
      </c>
      <c r="F2139" s="3">
        <v>137094</v>
      </c>
      <c r="G2139" s="3">
        <v>7774</v>
      </c>
      <c r="H2139" s="3">
        <v>393</v>
      </c>
      <c r="I2139" s="4">
        <v>14541.86</v>
      </c>
      <c r="J2139" s="4">
        <v>20997.77</v>
      </c>
      <c r="K2139" s="3">
        <v>343</v>
      </c>
      <c r="L2139" s="2" t="s">
        <v>2536</v>
      </c>
      <c r="M2139" s="2" t="s">
        <v>2526</v>
      </c>
      <c r="N2139" t="str">
        <f>TRIM(PROPER(Tabla_auditoría[[#This Row],[ID_Campaña]]))</f>
        <v>Cmp-003</v>
      </c>
      <c r="O2139" t="str">
        <f>TRIM(PROPER(Tabla_auditoría[[#This Row],[Canal]]))</f>
        <v>Email</v>
      </c>
      <c r="P2139" t="str">
        <f>TRIM(PROPER(Tabla_auditoría[[#This Row],[País]]))</f>
        <v>Portugal</v>
      </c>
      <c r="Q2139" t="str">
        <f>TRIM(PROPER(Tabla_auditoría[[#This Row],[Dispositivo]]))</f>
        <v>Desktop</v>
      </c>
      <c r="R2139" t="str">
        <f>TRIM(PROPER(Tabla_auditoría[[#This Row],[Tipo_Campaña]]))</f>
        <v>Reconocimiento</v>
      </c>
      <c r="S2139" t="str">
        <f>TRIM(PROPER(Tabla_auditoría[[#This Row],[Responsable]]))</f>
        <v>Laura Pérez</v>
      </c>
    </row>
    <row r="2140" spans="1:19" x14ac:dyDescent="0.3">
      <c r="A2140" s="1">
        <v>45737</v>
      </c>
      <c r="B2140" s="2" t="s">
        <v>2551</v>
      </c>
      <c r="C2140" s="2" t="s">
        <v>2515</v>
      </c>
      <c r="D2140" s="2" t="s">
        <v>2528</v>
      </c>
      <c r="E2140" s="2" t="s">
        <v>2529</v>
      </c>
      <c r="F2140" s="3">
        <v>136032</v>
      </c>
      <c r="G2140" s="3">
        <v>1613</v>
      </c>
      <c r="H2140" s="3">
        <v>151</v>
      </c>
      <c r="I2140" s="4">
        <v>1596</v>
      </c>
      <c r="J2140" s="4">
        <v>5546.95</v>
      </c>
      <c r="K2140" s="3">
        <v>109</v>
      </c>
      <c r="L2140" s="2" t="s">
        <v>2523</v>
      </c>
      <c r="M2140" s="2" t="s">
        <v>2537</v>
      </c>
      <c r="N2140" t="str">
        <f>TRIM(PROPER(Tabla_auditoría[[#This Row],[ID_Campaña]]))</f>
        <v>Cmp-028</v>
      </c>
      <c r="O2140" t="str">
        <f>TRIM(PROPER(Tabla_auditoría[[#This Row],[Canal]]))</f>
        <v>Email</v>
      </c>
      <c r="P2140" t="str">
        <f>TRIM(PROPER(Tabla_auditoría[[#This Row],[País]]))</f>
        <v>España</v>
      </c>
      <c r="Q2140" t="str">
        <f>TRIM(PROPER(Tabla_auditoría[[#This Row],[Dispositivo]]))</f>
        <v>Mobile</v>
      </c>
      <c r="R2140" t="str">
        <f>TRIM(PROPER(Tabla_auditoría[[#This Row],[Tipo_Campaña]]))</f>
        <v>Retención</v>
      </c>
      <c r="S2140" t="str">
        <f>TRIM(PROPER(Tabla_auditoría[[#This Row],[Responsable]]))</f>
        <v>Marta López</v>
      </c>
    </row>
    <row r="2141" spans="1:19" x14ac:dyDescent="0.3">
      <c r="A2141" s="1">
        <v>45887</v>
      </c>
      <c r="B2141" s="2" t="s">
        <v>2514</v>
      </c>
      <c r="C2141" s="2" t="s">
        <v>2533</v>
      </c>
      <c r="D2141" s="2" t="s">
        <v>2528</v>
      </c>
      <c r="E2141" s="2" t="s">
        <v>2529</v>
      </c>
      <c r="F2141" s="3">
        <v>64229</v>
      </c>
      <c r="G2141" s="3">
        <v>4631</v>
      </c>
      <c r="H2141" s="3">
        <v>51</v>
      </c>
      <c r="I2141" s="4">
        <v>7902.36</v>
      </c>
      <c r="J2141" s="4">
        <v>1897.58</v>
      </c>
      <c r="K2141" s="3">
        <v>23</v>
      </c>
      <c r="L2141" s="2" t="s">
        <v>2523</v>
      </c>
      <c r="M2141" s="2" t="s">
        <v>2526</v>
      </c>
      <c r="N2141" t="str">
        <f>TRIM(PROPER(Tabla_auditoría[[#This Row],[ID_Campaña]]))</f>
        <v>Cmp-002</v>
      </c>
      <c r="O2141" t="str">
        <f>TRIM(PROPER(Tabla_auditoría[[#This Row],[Canal]]))</f>
        <v>Paid Social</v>
      </c>
      <c r="P2141" t="str">
        <f>TRIM(PROPER(Tabla_auditoría[[#This Row],[País]]))</f>
        <v>España</v>
      </c>
      <c r="Q2141" t="str">
        <f>TRIM(PROPER(Tabla_auditoría[[#This Row],[Dispositivo]]))</f>
        <v>Mobile</v>
      </c>
      <c r="R2141" t="str">
        <f>TRIM(PROPER(Tabla_auditoría[[#This Row],[Tipo_Campaña]]))</f>
        <v>Retención</v>
      </c>
      <c r="S2141" t="str">
        <f>TRIM(PROPER(Tabla_auditoría[[#This Row],[Responsable]]))</f>
        <v>Laura Pérez</v>
      </c>
    </row>
    <row r="2142" spans="1:19" x14ac:dyDescent="0.3">
      <c r="A2142" s="1">
        <v>45771</v>
      </c>
      <c r="B2142" s="2" t="s">
        <v>2574</v>
      </c>
      <c r="C2142" s="2" t="s">
        <v>2521</v>
      </c>
      <c r="D2142" s="2" t="s">
        <v>2516</v>
      </c>
      <c r="E2142" s="2" t="s">
        <v>2529</v>
      </c>
      <c r="F2142" s="3">
        <v>105694</v>
      </c>
      <c r="G2142" s="3">
        <v>837</v>
      </c>
      <c r="H2142" s="3">
        <v>16</v>
      </c>
      <c r="I2142" s="4">
        <v>1376.23</v>
      </c>
      <c r="J2142" s="4">
        <v>607</v>
      </c>
      <c r="K2142" s="3">
        <v>11</v>
      </c>
      <c r="L2142" s="2" t="s">
        <v>2536</v>
      </c>
      <c r="M2142" s="2" t="s">
        <v>2526</v>
      </c>
      <c r="N2142" t="str">
        <f>TRIM(PROPER(Tabla_auditoría[[#This Row],[ID_Campaña]]))</f>
        <v>Cmp-003</v>
      </c>
      <c r="O2142" t="str">
        <f>TRIM(PROPER(Tabla_auditoría[[#This Row],[Canal]]))</f>
        <v>Paid Search</v>
      </c>
      <c r="P2142" t="str">
        <f>TRIM(PROPER(Tabla_auditoría[[#This Row],[País]]))</f>
        <v>México</v>
      </c>
      <c r="Q2142" t="str">
        <f>TRIM(PROPER(Tabla_auditoría[[#This Row],[Dispositivo]]))</f>
        <v>Mobile</v>
      </c>
      <c r="R2142" t="str">
        <f>TRIM(PROPER(Tabla_auditoría[[#This Row],[Tipo_Campaña]]))</f>
        <v>Reconocimiento</v>
      </c>
      <c r="S2142" t="str">
        <f>TRIM(PROPER(Tabla_auditoría[[#This Row],[Responsable]]))</f>
        <v>Laura Pérez</v>
      </c>
    </row>
    <row r="2143" spans="1:19" x14ac:dyDescent="0.3">
      <c r="A2143" s="1">
        <v>45872</v>
      </c>
      <c r="B2143" s="2" t="s">
        <v>2574</v>
      </c>
      <c r="C2143" s="2" t="s">
        <v>2543</v>
      </c>
      <c r="D2143" s="2" t="s">
        <v>2528</v>
      </c>
      <c r="E2143" s="2" t="s">
        <v>2529</v>
      </c>
      <c r="F2143" s="3">
        <v>158706</v>
      </c>
      <c r="G2143" s="3">
        <v>11332</v>
      </c>
      <c r="H2143" s="3">
        <v>1074</v>
      </c>
      <c r="I2143" s="4">
        <v>11128.01</v>
      </c>
      <c r="J2143" s="4">
        <v>193634.02</v>
      </c>
      <c r="K2143" s="3">
        <v>666</v>
      </c>
      <c r="L2143" s="2" t="s">
        <v>2518</v>
      </c>
      <c r="M2143" s="2" t="s">
        <v>2519</v>
      </c>
      <c r="N2143" t="str">
        <f>TRIM(PROPER(Tabla_auditoría[[#This Row],[ID_Campaña]]))</f>
        <v>Cmp-003</v>
      </c>
      <c r="O2143" t="str">
        <f>TRIM(PROPER(Tabla_auditoría[[#This Row],[Canal]]))</f>
        <v>Organic Social</v>
      </c>
      <c r="P2143" t="str">
        <f>TRIM(PROPER(Tabla_auditoría[[#This Row],[País]]))</f>
        <v>España</v>
      </c>
      <c r="Q2143" t="str">
        <f>TRIM(PROPER(Tabla_auditoría[[#This Row],[Dispositivo]]))</f>
        <v>Mobile</v>
      </c>
      <c r="R2143" t="str">
        <f>TRIM(PROPER(Tabla_auditoría[[#This Row],[Tipo_Campaña]]))</f>
        <v>Adquisición</v>
      </c>
      <c r="S2143" t="str">
        <f>TRIM(PROPER(Tabla_auditoría[[#This Row],[Responsable]]))</f>
        <v>Carlos Ruiz</v>
      </c>
    </row>
    <row r="2144" spans="1:19" x14ac:dyDescent="0.3">
      <c r="A2144" s="1">
        <v>45786</v>
      </c>
      <c r="B2144" s="2" t="s">
        <v>2544</v>
      </c>
      <c r="C2144" s="2" t="s">
        <v>2521</v>
      </c>
      <c r="D2144" s="2" t="s">
        <v>2516</v>
      </c>
      <c r="E2144" s="2" t="s">
        <v>2517</v>
      </c>
      <c r="F2144" s="3">
        <v>3407</v>
      </c>
      <c r="G2144" s="3">
        <v>24</v>
      </c>
      <c r="H2144" s="3">
        <v>1</v>
      </c>
      <c r="I2144" s="4">
        <v>39.200000000000003</v>
      </c>
      <c r="J2144" s="4">
        <v>172.19</v>
      </c>
      <c r="K2144" s="3">
        <v>0</v>
      </c>
      <c r="L2144" s="2" t="s">
        <v>2536</v>
      </c>
      <c r="M2144" s="2" t="s">
        <v>2524</v>
      </c>
      <c r="N2144" t="str">
        <f>TRIM(PROPER(Tabla_auditoría[[#This Row],[ID_Campaña]]))</f>
        <v>Cmp-006</v>
      </c>
      <c r="O2144" t="str">
        <f>TRIM(PROPER(Tabla_auditoría[[#This Row],[Canal]]))</f>
        <v>Paid Search</v>
      </c>
      <c r="P2144" t="str">
        <f>TRIM(PROPER(Tabla_auditoría[[#This Row],[País]]))</f>
        <v>México</v>
      </c>
      <c r="Q2144" t="str">
        <f>TRIM(PROPER(Tabla_auditoría[[#This Row],[Dispositivo]]))</f>
        <v>Desktop</v>
      </c>
      <c r="R2144" t="str">
        <f>TRIM(PROPER(Tabla_auditoría[[#This Row],[Tipo_Campaña]]))</f>
        <v>Reconocimiento</v>
      </c>
      <c r="S2144" t="str">
        <f>TRIM(PROPER(Tabla_auditoría[[#This Row],[Responsable]]))</f>
        <v>Luis Martín</v>
      </c>
    </row>
    <row r="2145" spans="1:19" x14ac:dyDescent="0.3">
      <c r="A2145" s="1">
        <v>45785</v>
      </c>
      <c r="B2145" s="2" t="s">
        <v>2565</v>
      </c>
      <c r="C2145" s="2" t="s">
        <v>2521</v>
      </c>
      <c r="D2145" s="2" t="s">
        <v>2525</v>
      </c>
      <c r="E2145" s="2" t="s">
        <v>2517</v>
      </c>
      <c r="F2145" s="3">
        <v>124110</v>
      </c>
      <c r="G2145" s="3">
        <v>1751</v>
      </c>
      <c r="H2145" s="3">
        <v>47</v>
      </c>
      <c r="I2145" s="4">
        <v>3573.66</v>
      </c>
      <c r="J2145" s="4">
        <v>8694.34</v>
      </c>
      <c r="K2145" s="3">
        <v>38</v>
      </c>
      <c r="L2145" s="2" t="s">
        <v>2539</v>
      </c>
      <c r="M2145" s="2" t="s">
        <v>2546</v>
      </c>
      <c r="N2145" t="str">
        <f>TRIM(PROPER(Tabla_auditoría[[#This Row],[ID_Campaña]]))</f>
        <v>Cmp-005</v>
      </c>
      <c r="O2145" t="str">
        <f>TRIM(PROPER(Tabla_auditoría[[#This Row],[Canal]]))</f>
        <v>Paid Search</v>
      </c>
      <c r="P2145" t="str">
        <f>TRIM(PROPER(Tabla_auditoría[[#This Row],[País]]))</f>
        <v>Francia</v>
      </c>
      <c r="Q2145" t="str">
        <f>TRIM(PROPER(Tabla_auditoría[[#This Row],[Dispositivo]]))</f>
        <v>Desktop</v>
      </c>
      <c r="R2145" t="str">
        <f>TRIM(PROPER(Tabla_auditoría[[#This Row],[Tipo_Campaña]]))</f>
        <v>Conversión</v>
      </c>
      <c r="S2145" t="str">
        <f>TRIM(PROPER(Tabla_auditoría[[#This Row],[Responsable]]))</f>
        <v>Ana García</v>
      </c>
    </row>
    <row r="2146" spans="1:19" x14ac:dyDescent="0.3">
      <c r="A2146" s="1">
        <v>45732</v>
      </c>
      <c r="B2146" s="2" t="s">
        <v>2564</v>
      </c>
      <c r="C2146" s="2" t="s">
        <v>2527</v>
      </c>
      <c r="D2146" s="2" t="s">
        <v>2528</v>
      </c>
      <c r="E2146" s="2" t="s">
        <v>2517</v>
      </c>
      <c r="F2146" s="3">
        <v>103870</v>
      </c>
      <c r="G2146" s="3">
        <v>2016</v>
      </c>
      <c r="H2146" s="3">
        <v>70</v>
      </c>
      <c r="I2146" s="4">
        <v>3023.26</v>
      </c>
      <c r="J2146" s="4">
        <v>4189.51</v>
      </c>
      <c r="K2146" s="3">
        <v>44</v>
      </c>
      <c r="L2146" s="2" t="s">
        <v>2536</v>
      </c>
      <c r="M2146" s="2" t="s">
        <v>2537</v>
      </c>
      <c r="N2146" t="str">
        <f>TRIM(PROPER(Tabla_auditoría[[#This Row],[ID_Campaña]]))</f>
        <v>Cmp-024</v>
      </c>
      <c r="O2146" t="str">
        <f>TRIM(PROPER(Tabla_auditoría[[#This Row],[Canal]]))</f>
        <v>Affiliate</v>
      </c>
      <c r="P2146" t="str">
        <f>TRIM(PROPER(Tabla_auditoría[[#This Row],[País]]))</f>
        <v>España</v>
      </c>
      <c r="Q2146" t="str">
        <f>TRIM(PROPER(Tabla_auditoría[[#This Row],[Dispositivo]]))</f>
        <v>Desktop</v>
      </c>
      <c r="R2146" t="str">
        <f>TRIM(PROPER(Tabla_auditoría[[#This Row],[Tipo_Campaña]]))</f>
        <v>Reconocimiento</v>
      </c>
      <c r="S2146" t="str">
        <f>TRIM(PROPER(Tabla_auditoría[[#This Row],[Responsable]]))</f>
        <v>Marta López</v>
      </c>
    </row>
    <row r="2147" spans="1:19" x14ac:dyDescent="0.3">
      <c r="A2147" s="1">
        <v>45730</v>
      </c>
      <c r="B2147" s="2" t="s">
        <v>2535</v>
      </c>
      <c r="C2147" s="2" t="s">
        <v>2541</v>
      </c>
      <c r="D2147" s="2" t="s">
        <v>2528</v>
      </c>
      <c r="E2147" s="2" t="s">
        <v>2529</v>
      </c>
      <c r="F2147" s="3">
        <v>75381</v>
      </c>
      <c r="G2147" s="3">
        <v>1741</v>
      </c>
      <c r="H2147" s="3">
        <v>218</v>
      </c>
      <c r="I2147" s="4">
        <v>1732.43</v>
      </c>
      <c r="J2147" s="4">
        <v>32543.71</v>
      </c>
      <c r="K2147" s="3">
        <v>98</v>
      </c>
      <c r="L2147" s="2" t="s">
        <v>2518</v>
      </c>
      <c r="M2147" s="2" t="s">
        <v>2524</v>
      </c>
      <c r="N2147" t="str">
        <f>TRIM(PROPER(Tabla_auditoría[[#This Row],[ID_Campaña]]))</f>
        <v>Cmp-015</v>
      </c>
      <c r="O2147" t="str">
        <f>TRIM(PROPER(Tabla_auditoría[[#This Row],[Canal]]))</f>
        <v>Display</v>
      </c>
      <c r="P2147" t="str">
        <f>TRIM(PROPER(Tabla_auditoría[[#This Row],[País]]))</f>
        <v>España</v>
      </c>
      <c r="Q2147" t="str">
        <f>TRIM(PROPER(Tabla_auditoría[[#This Row],[Dispositivo]]))</f>
        <v>Mobile</v>
      </c>
      <c r="R2147" t="str">
        <f>TRIM(PROPER(Tabla_auditoría[[#This Row],[Tipo_Campaña]]))</f>
        <v>Adquisición</v>
      </c>
      <c r="S2147" t="str">
        <f>TRIM(PROPER(Tabla_auditoría[[#This Row],[Responsable]]))</f>
        <v>Luis Martín</v>
      </c>
    </row>
    <row r="2148" spans="1:19" x14ac:dyDescent="0.3">
      <c r="A2148" s="1">
        <v>45680</v>
      </c>
      <c r="B2148" s="2" t="s">
        <v>2570</v>
      </c>
      <c r="C2148" s="2" t="s">
        <v>2521</v>
      </c>
      <c r="D2148" s="2" t="s">
        <v>2531</v>
      </c>
      <c r="E2148" s="2" t="s">
        <v>2517</v>
      </c>
      <c r="F2148" s="3">
        <v>171176</v>
      </c>
      <c r="G2148" s="3">
        <v>11005</v>
      </c>
      <c r="H2148" s="3">
        <v>724</v>
      </c>
      <c r="I2148" s="4">
        <v>20071.7</v>
      </c>
      <c r="J2148" s="4">
        <v>22382.26</v>
      </c>
      <c r="K2148" s="3">
        <v>527</v>
      </c>
      <c r="L2148" s="2" t="s">
        <v>2536</v>
      </c>
      <c r="M2148" s="2" t="s">
        <v>2546</v>
      </c>
      <c r="N2148" t="str">
        <f>TRIM(PROPER(Tabla_auditoría[[#This Row],[ID_Campaña]]))</f>
        <v>Cmp-016</v>
      </c>
      <c r="O2148" t="str">
        <f>TRIM(PROPER(Tabla_auditoría[[#This Row],[Canal]]))</f>
        <v>Paid Search</v>
      </c>
      <c r="P2148" t="str">
        <f>TRIM(PROPER(Tabla_auditoría[[#This Row],[País]]))</f>
        <v>Portugal</v>
      </c>
      <c r="Q2148" t="str">
        <f>TRIM(PROPER(Tabla_auditoría[[#This Row],[Dispositivo]]))</f>
        <v>Desktop</v>
      </c>
      <c r="R2148" t="str">
        <f>TRIM(PROPER(Tabla_auditoría[[#This Row],[Tipo_Campaña]]))</f>
        <v>Reconocimiento</v>
      </c>
      <c r="S2148" t="str">
        <f>TRIM(PROPER(Tabla_auditoría[[#This Row],[Responsable]]))</f>
        <v>Ana García</v>
      </c>
    </row>
    <row r="2149" spans="1:19" x14ac:dyDescent="0.3">
      <c r="A2149" s="1">
        <v>46017</v>
      </c>
      <c r="B2149" s="2" t="s">
        <v>2530</v>
      </c>
      <c r="C2149" s="2" t="s">
        <v>2543</v>
      </c>
      <c r="D2149" s="2" t="s">
        <v>2528</v>
      </c>
      <c r="E2149" s="2" t="s">
        <v>2517</v>
      </c>
      <c r="F2149" s="3">
        <v>134355</v>
      </c>
      <c r="G2149" s="3">
        <v>867</v>
      </c>
      <c r="H2149" s="3">
        <v>27</v>
      </c>
      <c r="I2149" s="4">
        <v>1778.99</v>
      </c>
      <c r="J2149" s="4">
        <v>4043.15</v>
      </c>
      <c r="K2149" s="3">
        <v>21</v>
      </c>
      <c r="L2149" s="2" t="s">
        <v>2523</v>
      </c>
      <c r="M2149" s="2" t="s">
        <v>2537</v>
      </c>
      <c r="N2149" t="str">
        <f>TRIM(PROPER(Tabla_auditoría[[#This Row],[ID_Campaña]]))</f>
        <v>Cmp-026</v>
      </c>
      <c r="O2149" t="str">
        <f>TRIM(PROPER(Tabla_auditoría[[#This Row],[Canal]]))</f>
        <v>Organic Social</v>
      </c>
      <c r="P2149" t="str">
        <f>TRIM(PROPER(Tabla_auditoría[[#This Row],[País]]))</f>
        <v>España</v>
      </c>
      <c r="Q2149" t="str">
        <f>TRIM(PROPER(Tabla_auditoría[[#This Row],[Dispositivo]]))</f>
        <v>Desktop</v>
      </c>
      <c r="R2149" t="str">
        <f>TRIM(PROPER(Tabla_auditoría[[#This Row],[Tipo_Campaña]]))</f>
        <v>Retención</v>
      </c>
      <c r="S2149" t="str">
        <f>TRIM(PROPER(Tabla_auditoría[[#This Row],[Responsable]]))</f>
        <v>Marta López</v>
      </c>
    </row>
    <row r="2150" spans="1:19" x14ac:dyDescent="0.3">
      <c r="A2150" s="1">
        <v>45986</v>
      </c>
      <c r="B2150" s="2" t="s">
        <v>2549</v>
      </c>
      <c r="C2150" s="2" t="s">
        <v>2527</v>
      </c>
      <c r="D2150" s="2" t="s">
        <v>2528</v>
      </c>
      <c r="E2150" s="2" t="s">
        <v>2529</v>
      </c>
      <c r="F2150" s="3">
        <v>152677</v>
      </c>
      <c r="G2150" s="3">
        <v>12307</v>
      </c>
      <c r="H2150" s="3">
        <v>585</v>
      </c>
      <c r="I2150" s="4">
        <v>5434.15</v>
      </c>
      <c r="J2150" s="4">
        <v>12185.95</v>
      </c>
      <c r="K2150" s="3">
        <v>501</v>
      </c>
      <c r="L2150" s="2" t="s">
        <v>2518</v>
      </c>
      <c r="M2150" s="2" t="s">
        <v>2546</v>
      </c>
      <c r="N2150" t="str">
        <f>TRIM(PROPER(Tabla_auditoría[[#This Row],[ID_Campaña]]))</f>
        <v>Cmp-007</v>
      </c>
      <c r="O2150" t="str">
        <f>TRIM(PROPER(Tabla_auditoría[[#This Row],[Canal]]))</f>
        <v>Affiliate</v>
      </c>
      <c r="P2150" t="str">
        <f>TRIM(PROPER(Tabla_auditoría[[#This Row],[País]]))</f>
        <v>España</v>
      </c>
      <c r="Q2150" t="str">
        <f>TRIM(PROPER(Tabla_auditoría[[#This Row],[Dispositivo]]))</f>
        <v>Mobile</v>
      </c>
      <c r="R2150" t="str">
        <f>TRIM(PROPER(Tabla_auditoría[[#This Row],[Tipo_Campaña]]))</f>
        <v>Adquisición</v>
      </c>
      <c r="S2150" t="str">
        <f>TRIM(PROPER(Tabla_auditoría[[#This Row],[Responsable]]))</f>
        <v>Ana García</v>
      </c>
    </row>
    <row r="2151" spans="1:19" x14ac:dyDescent="0.3">
      <c r="A2151" s="1">
        <v>45804</v>
      </c>
      <c r="B2151" s="2" t="s">
        <v>2535</v>
      </c>
      <c r="C2151" s="2" t="s">
        <v>2521</v>
      </c>
      <c r="D2151" s="2" t="s">
        <v>2528</v>
      </c>
      <c r="E2151" s="2" t="s">
        <v>2529</v>
      </c>
      <c r="F2151" s="3">
        <v>47951</v>
      </c>
      <c r="G2151" s="3">
        <v>896</v>
      </c>
      <c r="H2151" s="3">
        <v>43</v>
      </c>
      <c r="I2151" s="4">
        <v>1668.04</v>
      </c>
      <c r="J2151" s="4">
        <v>2366.06</v>
      </c>
      <c r="K2151" s="3">
        <v>28</v>
      </c>
      <c r="L2151" s="2" t="s">
        <v>2536</v>
      </c>
      <c r="M2151" s="2" t="s">
        <v>2519</v>
      </c>
      <c r="N2151" t="str">
        <f>TRIM(PROPER(Tabla_auditoría[[#This Row],[ID_Campaña]]))</f>
        <v>Cmp-015</v>
      </c>
      <c r="O2151" t="str">
        <f>TRIM(PROPER(Tabla_auditoría[[#This Row],[Canal]]))</f>
        <v>Paid Search</v>
      </c>
      <c r="P2151" t="str">
        <f>TRIM(PROPER(Tabla_auditoría[[#This Row],[País]]))</f>
        <v>España</v>
      </c>
      <c r="Q2151" t="str">
        <f>TRIM(PROPER(Tabla_auditoría[[#This Row],[Dispositivo]]))</f>
        <v>Mobile</v>
      </c>
      <c r="R2151" t="str">
        <f>TRIM(PROPER(Tabla_auditoría[[#This Row],[Tipo_Campaña]]))</f>
        <v>Reconocimiento</v>
      </c>
      <c r="S2151" t="str">
        <f>TRIM(PROPER(Tabla_auditoría[[#This Row],[Responsable]]))</f>
        <v>Carlos Ruiz</v>
      </c>
    </row>
    <row r="2152" spans="1:19" x14ac:dyDescent="0.3">
      <c r="A2152" s="1">
        <v>45674</v>
      </c>
      <c r="B2152" s="2" t="s">
        <v>2542</v>
      </c>
      <c r="C2152" s="2" t="s">
        <v>2541</v>
      </c>
      <c r="D2152" s="2" t="s">
        <v>2528</v>
      </c>
      <c r="E2152" s="2" t="s">
        <v>2529</v>
      </c>
      <c r="F2152" s="3">
        <v>17221</v>
      </c>
      <c r="G2152" s="3">
        <v>1244</v>
      </c>
      <c r="H2152" s="3">
        <v>123</v>
      </c>
      <c r="I2152" s="4">
        <v>1902.44</v>
      </c>
      <c r="J2152" s="4">
        <v>23709.45</v>
      </c>
      <c r="K2152" s="3">
        <v>80</v>
      </c>
      <c r="L2152" s="2" t="s">
        <v>2536</v>
      </c>
      <c r="M2152" s="2" t="s">
        <v>2524</v>
      </c>
      <c r="N2152" t="str">
        <f>TRIM(PROPER(Tabla_auditoría[[#This Row],[ID_Campaña]]))</f>
        <v>Cmp-025</v>
      </c>
      <c r="O2152" t="str">
        <f>TRIM(PROPER(Tabla_auditoría[[#This Row],[Canal]]))</f>
        <v>Display</v>
      </c>
      <c r="P2152" t="str">
        <f>TRIM(PROPER(Tabla_auditoría[[#This Row],[País]]))</f>
        <v>España</v>
      </c>
      <c r="Q2152" t="str">
        <f>TRIM(PROPER(Tabla_auditoría[[#This Row],[Dispositivo]]))</f>
        <v>Mobile</v>
      </c>
      <c r="R2152" t="str">
        <f>TRIM(PROPER(Tabla_auditoría[[#This Row],[Tipo_Campaña]]))</f>
        <v>Reconocimiento</v>
      </c>
      <c r="S2152" t="str">
        <f>TRIM(PROPER(Tabla_auditoría[[#This Row],[Responsable]]))</f>
        <v>Luis Martín</v>
      </c>
    </row>
    <row r="2153" spans="1:19" x14ac:dyDescent="0.3">
      <c r="A2153" s="1">
        <v>45714</v>
      </c>
      <c r="B2153" s="2" t="s">
        <v>2545</v>
      </c>
      <c r="C2153" s="2" t="s">
        <v>2533</v>
      </c>
      <c r="D2153" s="2" t="s">
        <v>2528</v>
      </c>
      <c r="E2153" s="2" t="s">
        <v>2529</v>
      </c>
      <c r="F2153" s="3">
        <v>64373</v>
      </c>
      <c r="G2153" s="3">
        <v>1115</v>
      </c>
      <c r="H2153" s="3">
        <v>122</v>
      </c>
      <c r="I2153" s="4">
        <v>962.21</v>
      </c>
      <c r="J2153" s="4">
        <v>12517.02</v>
      </c>
      <c r="K2153" s="3">
        <v>98</v>
      </c>
      <c r="L2153" s="2" t="s">
        <v>2536</v>
      </c>
      <c r="M2153" s="2" t="s">
        <v>2537</v>
      </c>
      <c r="N2153" t="str">
        <f>TRIM(PROPER(Tabla_auditoría[[#This Row],[ID_Campaña]]))</f>
        <v>Cmp-011</v>
      </c>
      <c r="O2153" t="str">
        <f>TRIM(PROPER(Tabla_auditoría[[#This Row],[Canal]]))</f>
        <v>Paid Social</v>
      </c>
      <c r="P2153" t="str">
        <f>TRIM(PROPER(Tabla_auditoría[[#This Row],[País]]))</f>
        <v>España</v>
      </c>
      <c r="Q2153" t="str">
        <f>TRIM(PROPER(Tabla_auditoría[[#This Row],[Dispositivo]]))</f>
        <v>Mobile</v>
      </c>
      <c r="R2153" t="str">
        <f>TRIM(PROPER(Tabla_auditoría[[#This Row],[Tipo_Campaña]]))</f>
        <v>Reconocimiento</v>
      </c>
      <c r="S2153" t="str">
        <f>TRIM(PROPER(Tabla_auditoría[[#This Row],[Responsable]]))</f>
        <v>Marta López</v>
      </c>
    </row>
    <row r="2154" spans="1:19" x14ac:dyDescent="0.3">
      <c r="A2154" s="1">
        <v>45948</v>
      </c>
      <c r="B2154" s="2" t="s">
        <v>2549</v>
      </c>
      <c r="C2154" s="2" t="s">
        <v>2515</v>
      </c>
      <c r="D2154" s="2" t="s">
        <v>2525</v>
      </c>
      <c r="E2154" s="2" t="s">
        <v>2529</v>
      </c>
      <c r="F2154" s="3">
        <v>69602</v>
      </c>
      <c r="G2154" s="3">
        <v>5574</v>
      </c>
      <c r="H2154" s="3">
        <v>59</v>
      </c>
      <c r="I2154" s="4">
        <v>4069.89</v>
      </c>
      <c r="J2154" s="4">
        <v>1936.86</v>
      </c>
      <c r="K2154" s="3">
        <v>37</v>
      </c>
      <c r="L2154" s="2" t="s">
        <v>2523</v>
      </c>
      <c r="M2154" s="2" t="s">
        <v>2524</v>
      </c>
      <c r="N2154" t="str">
        <f>TRIM(PROPER(Tabla_auditoría[[#This Row],[ID_Campaña]]))</f>
        <v>Cmp-007</v>
      </c>
      <c r="O2154" t="str">
        <f>TRIM(PROPER(Tabla_auditoría[[#This Row],[Canal]]))</f>
        <v>Email</v>
      </c>
      <c r="P2154" t="str">
        <f>TRIM(PROPER(Tabla_auditoría[[#This Row],[País]]))</f>
        <v>Francia</v>
      </c>
      <c r="Q2154" t="str">
        <f>TRIM(PROPER(Tabla_auditoría[[#This Row],[Dispositivo]]))</f>
        <v>Mobile</v>
      </c>
      <c r="R2154" t="str">
        <f>TRIM(PROPER(Tabla_auditoría[[#This Row],[Tipo_Campaña]]))</f>
        <v>Retención</v>
      </c>
      <c r="S2154" t="str">
        <f>TRIM(PROPER(Tabla_auditoría[[#This Row],[Responsable]]))</f>
        <v>Luis Martín</v>
      </c>
    </row>
    <row r="2155" spans="1:19" x14ac:dyDescent="0.3">
      <c r="A2155" s="1">
        <v>45873</v>
      </c>
      <c r="B2155" s="2" t="s">
        <v>2544</v>
      </c>
      <c r="C2155" s="2" t="s">
        <v>2541</v>
      </c>
      <c r="D2155" s="2" t="s">
        <v>2528</v>
      </c>
      <c r="E2155" s="2" t="s">
        <v>2517</v>
      </c>
      <c r="F2155" s="3">
        <v>74397</v>
      </c>
      <c r="G2155" s="3">
        <v>1633</v>
      </c>
      <c r="H2155" s="3">
        <v>213</v>
      </c>
      <c r="I2155" s="4">
        <v>689.46</v>
      </c>
      <c r="J2155" s="4">
        <v>20691.45</v>
      </c>
      <c r="K2155" s="3">
        <v>95</v>
      </c>
      <c r="L2155" s="2" t="s">
        <v>2523</v>
      </c>
      <c r="M2155" s="2" t="s">
        <v>2519</v>
      </c>
      <c r="N2155" t="str">
        <f>TRIM(PROPER(Tabla_auditoría[[#This Row],[ID_Campaña]]))</f>
        <v>Cmp-006</v>
      </c>
      <c r="O2155" t="str">
        <f>TRIM(PROPER(Tabla_auditoría[[#This Row],[Canal]]))</f>
        <v>Display</v>
      </c>
      <c r="P2155" t="str">
        <f>TRIM(PROPER(Tabla_auditoría[[#This Row],[País]]))</f>
        <v>España</v>
      </c>
      <c r="Q2155" t="str">
        <f>TRIM(PROPER(Tabla_auditoría[[#This Row],[Dispositivo]]))</f>
        <v>Desktop</v>
      </c>
      <c r="R2155" t="str">
        <f>TRIM(PROPER(Tabla_auditoría[[#This Row],[Tipo_Campaña]]))</f>
        <v>Retención</v>
      </c>
      <c r="S2155" t="str">
        <f>TRIM(PROPER(Tabla_auditoría[[#This Row],[Responsable]]))</f>
        <v>Carlos Ruiz</v>
      </c>
    </row>
    <row r="2156" spans="1:19" x14ac:dyDescent="0.3">
      <c r="A2156" s="1">
        <v>45936</v>
      </c>
      <c r="B2156" s="2" t="s">
        <v>2551</v>
      </c>
      <c r="C2156" s="2" t="s">
        <v>2521</v>
      </c>
      <c r="D2156" s="2" t="s">
        <v>2525</v>
      </c>
      <c r="E2156" s="2" t="s">
        <v>2517</v>
      </c>
      <c r="F2156" s="3">
        <v>68463</v>
      </c>
      <c r="G2156" s="3">
        <v>2798</v>
      </c>
      <c r="H2156" s="3">
        <v>113</v>
      </c>
      <c r="I2156" s="4">
        <v>5291.64</v>
      </c>
      <c r="J2156" s="4">
        <v>20327.22</v>
      </c>
      <c r="K2156" s="3">
        <v>80</v>
      </c>
      <c r="L2156" s="2" t="s">
        <v>2539</v>
      </c>
      <c r="M2156" s="2" t="s">
        <v>2546</v>
      </c>
      <c r="N2156" t="str">
        <f>TRIM(PROPER(Tabla_auditoría[[#This Row],[ID_Campaña]]))</f>
        <v>Cmp-028</v>
      </c>
      <c r="O2156" t="str">
        <f>TRIM(PROPER(Tabla_auditoría[[#This Row],[Canal]]))</f>
        <v>Paid Search</v>
      </c>
      <c r="P2156" t="str">
        <f>TRIM(PROPER(Tabla_auditoría[[#This Row],[País]]))</f>
        <v>Francia</v>
      </c>
      <c r="Q2156" t="str">
        <f>TRIM(PROPER(Tabla_auditoría[[#This Row],[Dispositivo]]))</f>
        <v>Desktop</v>
      </c>
      <c r="R2156" t="str">
        <f>TRIM(PROPER(Tabla_auditoría[[#This Row],[Tipo_Campaña]]))</f>
        <v>Conversión</v>
      </c>
      <c r="S2156" t="str">
        <f>TRIM(PROPER(Tabla_auditoría[[#This Row],[Responsable]]))</f>
        <v>Ana García</v>
      </c>
    </row>
    <row r="2157" spans="1:19" x14ac:dyDescent="0.3">
      <c r="A2157" s="1">
        <v>45899</v>
      </c>
      <c r="B2157" s="2" t="s">
        <v>2567</v>
      </c>
      <c r="C2157" s="2" t="s">
        <v>2543</v>
      </c>
      <c r="D2157" s="2" t="s">
        <v>2528</v>
      </c>
      <c r="E2157" s="2" t="s">
        <v>2517</v>
      </c>
      <c r="F2157" s="3">
        <v>118978</v>
      </c>
      <c r="G2157" s="3">
        <v>8992</v>
      </c>
      <c r="H2157" s="3">
        <v>1171</v>
      </c>
      <c r="I2157" s="4">
        <v>1391.39</v>
      </c>
      <c r="J2157" s="4">
        <v>203724.65</v>
      </c>
      <c r="K2157" s="3">
        <v>557</v>
      </c>
      <c r="L2157" s="2" t="s">
        <v>2536</v>
      </c>
      <c r="M2157" s="2" t="s">
        <v>2546</v>
      </c>
      <c r="N2157" t="str">
        <f>TRIM(PROPER(Tabla_auditoría[[#This Row],[ID_Campaña]]))</f>
        <v>Cmp-021</v>
      </c>
      <c r="O2157" t="str">
        <f>TRIM(PROPER(Tabla_auditoría[[#This Row],[Canal]]))</f>
        <v>Organic Social</v>
      </c>
      <c r="P2157" t="str">
        <f>TRIM(PROPER(Tabla_auditoría[[#This Row],[País]]))</f>
        <v>España</v>
      </c>
      <c r="Q2157" t="str">
        <f>TRIM(PROPER(Tabla_auditoría[[#This Row],[Dispositivo]]))</f>
        <v>Desktop</v>
      </c>
      <c r="R2157" t="str">
        <f>TRIM(PROPER(Tabla_auditoría[[#This Row],[Tipo_Campaña]]))</f>
        <v>Reconocimiento</v>
      </c>
      <c r="S2157" t="str">
        <f>TRIM(PROPER(Tabla_auditoría[[#This Row],[Responsable]]))</f>
        <v>Ana García</v>
      </c>
    </row>
    <row r="2158" spans="1:19" x14ac:dyDescent="0.3">
      <c r="A2158" s="1">
        <v>45716</v>
      </c>
      <c r="B2158" s="2" t="s">
        <v>2569</v>
      </c>
      <c r="C2158" s="2" t="s">
        <v>2515</v>
      </c>
      <c r="D2158" s="2" t="s">
        <v>2525</v>
      </c>
      <c r="E2158" s="2" t="s">
        <v>2517</v>
      </c>
      <c r="F2158" s="3">
        <v>61899</v>
      </c>
      <c r="G2158" s="3">
        <v>2080</v>
      </c>
      <c r="H2158" s="3">
        <v>133</v>
      </c>
      <c r="I2158" s="4">
        <v>3165.87</v>
      </c>
      <c r="J2158" s="4">
        <v>7164.27</v>
      </c>
      <c r="K2158" s="3">
        <v>91</v>
      </c>
      <c r="L2158" s="2" t="s">
        <v>2539</v>
      </c>
      <c r="M2158" s="2" t="s">
        <v>2537</v>
      </c>
      <c r="N2158" t="str">
        <f>TRIM(PROPER(Tabla_auditoría[[#This Row],[ID_Campaña]]))</f>
        <v>Cmp-013</v>
      </c>
      <c r="O2158" t="str">
        <f>TRIM(PROPER(Tabla_auditoría[[#This Row],[Canal]]))</f>
        <v>Email</v>
      </c>
      <c r="P2158" t="str">
        <f>TRIM(PROPER(Tabla_auditoría[[#This Row],[País]]))</f>
        <v>Francia</v>
      </c>
      <c r="Q2158" t="str">
        <f>TRIM(PROPER(Tabla_auditoría[[#This Row],[Dispositivo]]))</f>
        <v>Desktop</v>
      </c>
      <c r="R2158" t="str">
        <f>TRIM(PROPER(Tabla_auditoría[[#This Row],[Tipo_Campaña]]))</f>
        <v>Conversión</v>
      </c>
      <c r="S2158" t="str">
        <f>TRIM(PROPER(Tabla_auditoría[[#This Row],[Responsable]]))</f>
        <v>Marta López</v>
      </c>
    </row>
    <row r="2159" spans="1:19" x14ac:dyDescent="0.3">
      <c r="A2159" s="1">
        <v>45961</v>
      </c>
      <c r="B2159" s="2" t="s">
        <v>2538</v>
      </c>
      <c r="C2159" s="2" t="s">
        <v>2533</v>
      </c>
      <c r="D2159" s="2" t="s">
        <v>2525</v>
      </c>
      <c r="E2159" s="2" t="s">
        <v>2529</v>
      </c>
      <c r="F2159" s="3">
        <v>17021</v>
      </c>
      <c r="G2159" s="3">
        <v>638</v>
      </c>
      <c r="H2159" s="3">
        <v>66</v>
      </c>
      <c r="I2159" s="4">
        <v>619.58000000000004</v>
      </c>
      <c r="J2159" s="4">
        <v>10698.09</v>
      </c>
      <c r="K2159" s="3">
        <v>35</v>
      </c>
      <c r="L2159" s="2" t="s">
        <v>2523</v>
      </c>
      <c r="M2159" s="2" t="s">
        <v>2526</v>
      </c>
      <c r="N2159" t="str">
        <f>TRIM(PROPER(Tabla_auditoría[[#This Row],[ID_Campaña]]))</f>
        <v>Cmp-004</v>
      </c>
      <c r="O2159" t="str">
        <f>TRIM(PROPER(Tabla_auditoría[[#This Row],[Canal]]))</f>
        <v>Paid Social</v>
      </c>
      <c r="P2159" t="str">
        <f>TRIM(PROPER(Tabla_auditoría[[#This Row],[País]]))</f>
        <v>Francia</v>
      </c>
      <c r="Q2159" t="str">
        <f>TRIM(PROPER(Tabla_auditoría[[#This Row],[Dispositivo]]))</f>
        <v>Mobile</v>
      </c>
      <c r="R2159" t="str">
        <f>TRIM(PROPER(Tabla_auditoría[[#This Row],[Tipo_Campaña]]))</f>
        <v>Retención</v>
      </c>
      <c r="S2159" t="str">
        <f>TRIM(PROPER(Tabla_auditoría[[#This Row],[Responsable]]))</f>
        <v>Laura Pérez</v>
      </c>
    </row>
    <row r="2160" spans="1:19" x14ac:dyDescent="0.3">
      <c r="A2160" s="1">
        <v>45954</v>
      </c>
      <c r="B2160" s="2" t="s">
        <v>2560</v>
      </c>
      <c r="C2160" s="2" t="s">
        <v>2527</v>
      </c>
      <c r="D2160" s="2" t="s">
        <v>2525</v>
      </c>
      <c r="E2160" s="2" t="s">
        <v>2517</v>
      </c>
      <c r="F2160" s="3">
        <v>38441</v>
      </c>
      <c r="G2160" s="3">
        <v>1203</v>
      </c>
      <c r="H2160" s="3">
        <v>83</v>
      </c>
      <c r="I2160" s="4">
        <v>353</v>
      </c>
      <c r="J2160" s="4">
        <v>4209.84</v>
      </c>
      <c r="K2160" s="3">
        <v>45</v>
      </c>
      <c r="L2160" s="2" t="s">
        <v>2539</v>
      </c>
      <c r="M2160" s="2" t="s">
        <v>2526</v>
      </c>
      <c r="N2160" t="str">
        <f>TRIM(PROPER(Tabla_auditoría[[#This Row],[ID_Campaña]]))</f>
        <v>Cmp-027</v>
      </c>
      <c r="O2160" t="str">
        <f>TRIM(PROPER(Tabla_auditoría[[#This Row],[Canal]]))</f>
        <v>Affiliate</v>
      </c>
      <c r="P2160" t="str">
        <f>TRIM(PROPER(Tabla_auditoría[[#This Row],[País]]))</f>
        <v>Francia</v>
      </c>
      <c r="Q2160" t="str">
        <f>TRIM(PROPER(Tabla_auditoría[[#This Row],[Dispositivo]]))</f>
        <v>Desktop</v>
      </c>
      <c r="R2160" t="str">
        <f>TRIM(PROPER(Tabla_auditoría[[#This Row],[Tipo_Campaña]]))</f>
        <v>Conversión</v>
      </c>
      <c r="S2160" t="str">
        <f>TRIM(PROPER(Tabla_auditoría[[#This Row],[Responsable]]))</f>
        <v>Laura Pérez</v>
      </c>
    </row>
    <row r="2161" spans="1:19" x14ac:dyDescent="0.3">
      <c r="A2161" s="1">
        <v>45872</v>
      </c>
      <c r="B2161" s="2" t="s">
        <v>2530</v>
      </c>
      <c r="C2161" s="2" t="s">
        <v>2515</v>
      </c>
      <c r="D2161" s="2" t="s">
        <v>2528</v>
      </c>
      <c r="E2161" s="2" t="s">
        <v>2517</v>
      </c>
      <c r="F2161" s="3">
        <v>179572</v>
      </c>
      <c r="G2161" s="3">
        <v>12201</v>
      </c>
      <c r="H2161" s="3">
        <v>942</v>
      </c>
      <c r="I2161" s="4">
        <v>13510.98</v>
      </c>
      <c r="J2161" s="4">
        <v>167325.26999999999</v>
      </c>
      <c r="K2161" s="3">
        <v>512</v>
      </c>
      <c r="L2161" s="2" t="s">
        <v>2518</v>
      </c>
      <c r="M2161" s="2" t="s">
        <v>2519</v>
      </c>
      <c r="N2161" t="str">
        <f>TRIM(PROPER(Tabla_auditoría[[#This Row],[ID_Campaña]]))</f>
        <v>Cmp-026</v>
      </c>
      <c r="O2161" t="str">
        <f>TRIM(PROPER(Tabla_auditoría[[#This Row],[Canal]]))</f>
        <v>Email</v>
      </c>
      <c r="P2161" t="str">
        <f>TRIM(PROPER(Tabla_auditoría[[#This Row],[País]]))</f>
        <v>España</v>
      </c>
      <c r="Q2161" t="str">
        <f>TRIM(PROPER(Tabla_auditoría[[#This Row],[Dispositivo]]))</f>
        <v>Desktop</v>
      </c>
      <c r="R2161" t="str">
        <f>TRIM(PROPER(Tabla_auditoría[[#This Row],[Tipo_Campaña]]))</f>
        <v>Adquisición</v>
      </c>
      <c r="S2161" t="str">
        <f>TRIM(PROPER(Tabla_auditoría[[#This Row],[Responsable]]))</f>
        <v>Carlos Ruiz</v>
      </c>
    </row>
    <row r="2162" spans="1:19" x14ac:dyDescent="0.3">
      <c r="A2162" s="1">
        <v>45825</v>
      </c>
      <c r="B2162" s="2" t="s">
        <v>2570</v>
      </c>
      <c r="C2162" s="2" t="s">
        <v>2541</v>
      </c>
      <c r="D2162" s="2" t="s">
        <v>2516</v>
      </c>
      <c r="E2162" s="2" t="s">
        <v>2517</v>
      </c>
      <c r="F2162" s="3">
        <v>15935</v>
      </c>
      <c r="G2162" s="3">
        <v>1301</v>
      </c>
      <c r="H2162" s="3">
        <v>115</v>
      </c>
      <c r="I2162" s="4">
        <v>1238.22</v>
      </c>
      <c r="J2162" s="4">
        <v>12768.87</v>
      </c>
      <c r="K2162" s="3">
        <v>91</v>
      </c>
      <c r="L2162" s="2" t="s">
        <v>2523</v>
      </c>
      <c r="M2162" s="2" t="s">
        <v>2546</v>
      </c>
      <c r="N2162" t="str">
        <f>TRIM(PROPER(Tabla_auditoría[[#This Row],[ID_Campaña]]))</f>
        <v>Cmp-016</v>
      </c>
      <c r="O2162" t="str">
        <f>TRIM(PROPER(Tabla_auditoría[[#This Row],[Canal]]))</f>
        <v>Display</v>
      </c>
      <c r="P2162" t="str">
        <f>TRIM(PROPER(Tabla_auditoría[[#This Row],[País]]))</f>
        <v>México</v>
      </c>
      <c r="Q2162" t="str">
        <f>TRIM(PROPER(Tabla_auditoría[[#This Row],[Dispositivo]]))</f>
        <v>Desktop</v>
      </c>
      <c r="R2162" t="str">
        <f>TRIM(PROPER(Tabla_auditoría[[#This Row],[Tipo_Campaña]]))</f>
        <v>Retención</v>
      </c>
      <c r="S2162" t="str">
        <f>TRIM(PROPER(Tabla_auditoría[[#This Row],[Responsable]]))</f>
        <v>Ana García</v>
      </c>
    </row>
    <row r="2163" spans="1:19" x14ac:dyDescent="0.3">
      <c r="A2163" s="1">
        <v>45772</v>
      </c>
      <c r="B2163" s="2" t="s">
        <v>2530</v>
      </c>
      <c r="C2163" s="2" t="s">
        <v>2533</v>
      </c>
      <c r="D2163" s="2" t="s">
        <v>2522</v>
      </c>
      <c r="E2163" s="2" t="s">
        <v>2529</v>
      </c>
      <c r="F2163" s="3">
        <v>72739</v>
      </c>
      <c r="G2163" s="3">
        <v>1797</v>
      </c>
      <c r="H2163" s="3">
        <v>77</v>
      </c>
      <c r="I2163" s="4">
        <v>2076.1799999999998</v>
      </c>
      <c r="J2163" s="4">
        <v>10066.379999999999</v>
      </c>
      <c r="K2163" s="3">
        <v>39</v>
      </c>
      <c r="L2163" s="2" t="s">
        <v>2518</v>
      </c>
      <c r="M2163" s="2" t="s">
        <v>2519</v>
      </c>
      <c r="N2163" t="str">
        <f>TRIM(PROPER(Tabla_auditoría[[#This Row],[ID_Campaña]]))</f>
        <v>Cmp-026</v>
      </c>
      <c r="O2163" t="str">
        <f>TRIM(PROPER(Tabla_auditoría[[#This Row],[Canal]]))</f>
        <v>Paid Social</v>
      </c>
      <c r="P2163" t="str">
        <f>TRIM(PROPER(Tabla_auditoría[[#This Row],[País]]))</f>
        <v>Italia</v>
      </c>
      <c r="Q2163" t="str">
        <f>TRIM(PROPER(Tabla_auditoría[[#This Row],[Dispositivo]]))</f>
        <v>Mobile</v>
      </c>
      <c r="R2163" t="str">
        <f>TRIM(PROPER(Tabla_auditoría[[#This Row],[Tipo_Campaña]]))</f>
        <v>Adquisición</v>
      </c>
      <c r="S2163" t="str">
        <f>TRIM(PROPER(Tabla_auditoría[[#This Row],[Responsable]]))</f>
        <v>Carlos Ruiz</v>
      </c>
    </row>
    <row r="2164" spans="1:19" x14ac:dyDescent="0.3">
      <c r="A2164" s="1">
        <v>45898</v>
      </c>
      <c r="B2164" s="2" t="s">
        <v>2530</v>
      </c>
      <c r="C2164" s="2" t="s">
        <v>2533</v>
      </c>
      <c r="D2164" s="2" t="s">
        <v>2528</v>
      </c>
      <c r="E2164" s="2" t="s">
        <v>2529</v>
      </c>
      <c r="F2164" s="3">
        <v>112626</v>
      </c>
      <c r="G2164" s="3">
        <v>1406</v>
      </c>
      <c r="H2164" s="3">
        <v>18</v>
      </c>
      <c r="I2164" s="4">
        <v>289.36</v>
      </c>
      <c r="J2164" s="4">
        <v>805.83</v>
      </c>
      <c r="K2164" s="3">
        <v>13</v>
      </c>
      <c r="L2164" s="2" t="s">
        <v>2518</v>
      </c>
      <c r="M2164" s="2" t="s">
        <v>2546</v>
      </c>
      <c r="N2164" t="str">
        <f>TRIM(PROPER(Tabla_auditoría[[#This Row],[ID_Campaña]]))</f>
        <v>Cmp-026</v>
      </c>
      <c r="O2164" t="str">
        <f>TRIM(PROPER(Tabla_auditoría[[#This Row],[Canal]]))</f>
        <v>Paid Social</v>
      </c>
      <c r="P2164" t="str">
        <f>TRIM(PROPER(Tabla_auditoría[[#This Row],[País]]))</f>
        <v>España</v>
      </c>
      <c r="Q2164" t="str">
        <f>TRIM(PROPER(Tabla_auditoría[[#This Row],[Dispositivo]]))</f>
        <v>Mobile</v>
      </c>
      <c r="R2164" t="str">
        <f>TRIM(PROPER(Tabla_auditoría[[#This Row],[Tipo_Campaña]]))</f>
        <v>Adquisición</v>
      </c>
      <c r="S2164" t="str">
        <f>TRIM(PROPER(Tabla_auditoría[[#This Row],[Responsable]]))</f>
        <v>Ana García</v>
      </c>
    </row>
    <row r="2165" spans="1:19" x14ac:dyDescent="0.3">
      <c r="A2165" s="1">
        <v>45774</v>
      </c>
      <c r="B2165" s="2" t="s">
        <v>2550</v>
      </c>
      <c r="C2165" s="2" t="s">
        <v>2515</v>
      </c>
      <c r="D2165" s="2" t="s">
        <v>2528</v>
      </c>
      <c r="E2165" s="2" t="s">
        <v>2529</v>
      </c>
      <c r="F2165" s="3">
        <v>79966</v>
      </c>
      <c r="G2165" s="3">
        <v>4398</v>
      </c>
      <c r="H2165" s="3">
        <v>360</v>
      </c>
      <c r="I2165" s="4">
        <v>7998.2</v>
      </c>
      <c r="J2165" s="4">
        <v>10434.65</v>
      </c>
      <c r="K2165" s="3">
        <v>237</v>
      </c>
      <c r="L2165" s="2" t="s">
        <v>2536</v>
      </c>
      <c r="M2165" s="2" t="s">
        <v>2526</v>
      </c>
      <c r="N2165" t="str">
        <f>TRIM(PROPER(Tabla_auditoría[[#This Row],[ID_Campaña]]))</f>
        <v>Cmp-008</v>
      </c>
      <c r="O2165" t="str">
        <f>TRIM(PROPER(Tabla_auditoría[[#This Row],[Canal]]))</f>
        <v>Email</v>
      </c>
      <c r="P2165" t="str">
        <f>TRIM(PROPER(Tabla_auditoría[[#This Row],[País]]))</f>
        <v>España</v>
      </c>
      <c r="Q2165" t="str">
        <f>TRIM(PROPER(Tabla_auditoría[[#This Row],[Dispositivo]]))</f>
        <v>Mobile</v>
      </c>
      <c r="R2165" t="str">
        <f>TRIM(PROPER(Tabla_auditoría[[#This Row],[Tipo_Campaña]]))</f>
        <v>Reconocimiento</v>
      </c>
      <c r="S2165" t="str">
        <f>TRIM(PROPER(Tabla_auditoría[[#This Row],[Responsable]]))</f>
        <v>Laura Pérez</v>
      </c>
    </row>
    <row r="2166" spans="1:19" x14ac:dyDescent="0.3">
      <c r="A2166" s="1">
        <v>45674</v>
      </c>
      <c r="B2166" s="2" t="s">
        <v>2542</v>
      </c>
      <c r="C2166" s="2" t="s">
        <v>2533</v>
      </c>
      <c r="D2166" s="2" t="s">
        <v>2522</v>
      </c>
      <c r="E2166" s="2" t="s">
        <v>2529</v>
      </c>
      <c r="F2166" s="3">
        <v>20288</v>
      </c>
      <c r="G2166" s="3">
        <v>863</v>
      </c>
      <c r="H2166" s="3">
        <v>29</v>
      </c>
      <c r="I2166" s="4">
        <v>974.74</v>
      </c>
      <c r="J2166" s="4">
        <v>4127.5600000000004</v>
      </c>
      <c r="K2166" s="3">
        <v>19</v>
      </c>
      <c r="L2166" s="2" t="s">
        <v>2518</v>
      </c>
      <c r="M2166" s="2" t="s">
        <v>2524</v>
      </c>
      <c r="N2166" t="str">
        <f>TRIM(PROPER(Tabla_auditoría[[#This Row],[ID_Campaña]]))</f>
        <v>Cmp-025</v>
      </c>
      <c r="O2166" t="str">
        <f>TRIM(PROPER(Tabla_auditoría[[#This Row],[Canal]]))</f>
        <v>Paid Social</v>
      </c>
      <c r="P2166" t="str">
        <f>TRIM(PROPER(Tabla_auditoría[[#This Row],[País]]))</f>
        <v>Italia</v>
      </c>
      <c r="Q2166" t="str">
        <f>TRIM(PROPER(Tabla_auditoría[[#This Row],[Dispositivo]]))</f>
        <v>Mobile</v>
      </c>
      <c r="R2166" t="str">
        <f>TRIM(PROPER(Tabla_auditoría[[#This Row],[Tipo_Campaña]]))</f>
        <v>Adquisición</v>
      </c>
      <c r="S2166" t="str">
        <f>TRIM(PROPER(Tabla_auditoría[[#This Row],[Responsable]]))</f>
        <v>Luis Martín</v>
      </c>
    </row>
    <row r="2167" spans="1:19" x14ac:dyDescent="0.3">
      <c r="A2167" s="1">
        <v>45913</v>
      </c>
      <c r="B2167" s="2" t="s">
        <v>2542</v>
      </c>
      <c r="C2167" s="2" t="s">
        <v>2541</v>
      </c>
      <c r="D2167" s="2" t="s">
        <v>2528</v>
      </c>
      <c r="E2167" s="2" t="s">
        <v>2517</v>
      </c>
      <c r="F2167" s="3">
        <v>179624</v>
      </c>
      <c r="G2167" s="3">
        <v>7442</v>
      </c>
      <c r="H2167" s="3">
        <v>712</v>
      </c>
      <c r="I2167" s="4">
        <v>5662.89</v>
      </c>
      <c r="J2167" s="4">
        <v>151077.67000000001</v>
      </c>
      <c r="K2167" s="3">
        <v>455</v>
      </c>
      <c r="L2167" s="2" t="s">
        <v>2536</v>
      </c>
      <c r="M2167" s="2" t="s">
        <v>2526</v>
      </c>
      <c r="N2167" t="str">
        <f>TRIM(PROPER(Tabla_auditoría[[#This Row],[ID_Campaña]]))</f>
        <v>Cmp-025</v>
      </c>
      <c r="O2167" t="str">
        <f>TRIM(PROPER(Tabla_auditoría[[#This Row],[Canal]]))</f>
        <v>Display</v>
      </c>
      <c r="P2167" t="str">
        <f>TRIM(PROPER(Tabla_auditoría[[#This Row],[País]]))</f>
        <v>España</v>
      </c>
      <c r="Q2167" t="str">
        <f>TRIM(PROPER(Tabla_auditoría[[#This Row],[Dispositivo]]))</f>
        <v>Desktop</v>
      </c>
      <c r="R2167" t="str">
        <f>TRIM(PROPER(Tabla_auditoría[[#This Row],[Tipo_Campaña]]))</f>
        <v>Reconocimiento</v>
      </c>
      <c r="S2167" t="str">
        <f>TRIM(PROPER(Tabla_auditoría[[#This Row],[Responsable]]))</f>
        <v>Laura Pérez</v>
      </c>
    </row>
    <row r="2168" spans="1:19" x14ac:dyDescent="0.3">
      <c r="A2168" s="1">
        <v>45704</v>
      </c>
      <c r="B2168" s="2" t="s">
        <v>2535</v>
      </c>
      <c r="C2168" s="2" t="s">
        <v>2543</v>
      </c>
      <c r="D2168" s="2" t="s">
        <v>2525</v>
      </c>
      <c r="E2168" s="2" t="s">
        <v>2517</v>
      </c>
      <c r="F2168" s="3">
        <v>131266</v>
      </c>
      <c r="G2168" s="3">
        <v>8744</v>
      </c>
      <c r="H2168" s="3">
        <v>394</v>
      </c>
      <c r="I2168" s="4">
        <v>1678.44</v>
      </c>
      <c r="J2168" s="4">
        <v>18661.669999999998</v>
      </c>
      <c r="K2168" s="3">
        <v>304</v>
      </c>
      <c r="L2168" s="2" t="s">
        <v>2518</v>
      </c>
      <c r="M2168" s="2" t="s">
        <v>2526</v>
      </c>
      <c r="N2168" t="str">
        <f>TRIM(PROPER(Tabla_auditoría[[#This Row],[ID_Campaña]]))</f>
        <v>Cmp-015</v>
      </c>
      <c r="O2168" t="str">
        <f>TRIM(PROPER(Tabla_auditoría[[#This Row],[Canal]]))</f>
        <v>Organic Social</v>
      </c>
      <c r="P2168" t="str">
        <f>TRIM(PROPER(Tabla_auditoría[[#This Row],[País]]))</f>
        <v>Francia</v>
      </c>
      <c r="Q2168" t="str">
        <f>TRIM(PROPER(Tabla_auditoría[[#This Row],[Dispositivo]]))</f>
        <v>Desktop</v>
      </c>
      <c r="R2168" t="str">
        <f>TRIM(PROPER(Tabla_auditoría[[#This Row],[Tipo_Campaña]]))</f>
        <v>Adquisición</v>
      </c>
      <c r="S2168" t="str">
        <f>TRIM(PROPER(Tabla_auditoría[[#This Row],[Responsable]]))</f>
        <v>Laura Pérez</v>
      </c>
    </row>
    <row r="2169" spans="1:19" x14ac:dyDescent="0.3">
      <c r="A2169" s="1">
        <v>45707</v>
      </c>
      <c r="B2169" s="2" t="s">
        <v>2569</v>
      </c>
      <c r="C2169" s="2" t="s">
        <v>2543</v>
      </c>
      <c r="E2169" s="2" t="s">
        <v>2517</v>
      </c>
      <c r="F2169" s="3">
        <v>62047</v>
      </c>
      <c r="G2169" s="3">
        <v>4603</v>
      </c>
      <c r="H2169" s="3">
        <v>213</v>
      </c>
      <c r="I2169" s="4">
        <v>8542.27</v>
      </c>
      <c r="J2169" s="4">
        <v>15293.41</v>
      </c>
      <c r="K2169" s="3">
        <v>123</v>
      </c>
      <c r="L2169" s="2" t="s">
        <v>2518</v>
      </c>
      <c r="M2169" s="2" t="s">
        <v>2519</v>
      </c>
      <c r="N2169" t="str">
        <f>TRIM(PROPER(Tabla_auditoría[[#This Row],[ID_Campaña]]))</f>
        <v>Cmp-013</v>
      </c>
      <c r="O2169" t="str">
        <f>TRIM(PROPER(Tabla_auditoría[[#This Row],[Canal]]))</f>
        <v>Organic Social</v>
      </c>
      <c r="P2169" t="str">
        <f>TRIM(PROPER(Tabla_auditoría[[#This Row],[País]]))</f>
        <v/>
      </c>
      <c r="Q2169" t="str">
        <f>TRIM(PROPER(Tabla_auditoría[[#This Row],[Dispositivo]]))</f>
        <v>Desktop</v>
      </c>
      <c r="R2169" t="str">
        <f>TRIM(PROPER(Tabla_auditoría[[#This Row],[Tipo_Campaña]]))</f>
        <v>Adquisición</v>
      </c>
      <c r="S2169" t="str">
        <f>TRIM(PROPER(Tabla_auditoría[[#This Row],[Responsable]]))</f>
        <v>Carlos Ruiz</v>
      </c>
    </row>
    <row r="2170" spans="1:19" x14ac:dyDescent="0.3">
      <c r="A2170" s="1">
        <v>45990</v>
      </c>
      <c r="B2170" s="2" t="s">
        <v>2550</v>
      </c>
      <c r="C2170" s="2" t="s">
        <v>2541</v>
      </c>
      <c r="D2170" s="2" t="s">
        <v>2528</v>
      </c>
      <c r="E2170" s="2" t="s">
        <v>2517</v>
      </c>
      <c r="F2170" s="3">
        <v>178805</v>
      </c>
      <c r="G2170" s="3">
        <v>4889</v>
      </c>
      <c r="H2170" s="3">
        <v>232</v>
      </c>
      <c r="I2170" s="4">
        <v>3787.09</v>
      </c>
      <c r="J2170" s="4">
        <v>42097.83</v>
      </c>
      <c r="K2170" s="3">
        <v>122</v>
      </c>
      <c r="L2170" s="2" t="s">
        <v>2536</v>
      </c>
      <c r="M2170" s="2" t="s">
        <v>2519</v>
      </c>
      <c r="N2170" t="str">
        <f>TRIM(PROPER(Tabla_auditoría[[#This Row],[ID_Campaña]]))</f>
        <v>Cmp-008</v>
      </c>
      <c r="O2170" t="str">
        <f>TRIM(PROPER(Tabla_auditoría[[#This Row],[Canal]]))</f>
        <v>Display</v>
      </c>
      <c r="P2170" t="str">
        <f>TRIM(PROPER(Tabla_auditoría[[#This Row],[País]]))</f>
        <v>España</v>
      </c>
      <c r="Q2170" t="str">
        <f>TRIM(PROPER(Tabla_auditoría[[#This Row],[Dispositivo]]))</f>
        <v>Desktop</v>
      </c>
      <c r="R2170" t="str">
        <f>TRIM(PROPER(Tabla_auditoría[[#This Row],[Tipo_Campaña]]))</f>
        <v>Reconocimiento</v>
      </c>
      <c r="S2170" t="str">
        <f>TRIM(PROPER(Tabla_auditoría[[#This Row],[Responsable]]))</f>
        <v>Carlos Ruiz</v>
      </c>
    </row>
    <row r="2171" spans="1:19" x14ac:dyDescent="0.3">
      <c r="A2171" s="1">
        <v>46021</v>
      </c>
      <c r="B2171" s="2" t="s">
        <v>2564</v>
      </c>
      <c r="C2171" s="2" t="s">
        <v>2541</v>
      </c>
      <c r="D2171" s="2" t="s">
        <v>2528</v>
      </c>
      <c r="E2171" s="2" t="s">
        <v>2517</v>
      </c>
      <c r="F2171" s="3">
        <v>150843</v>
      </c>
      <c r="G2171" s="3">
        <v>11566</v>
      </c>
      <c r="H2171" s="3">
        <v>412</v>
      </c>
      <c r="I2171" s="4">
        <v>22706.01</v>
      </c>
      <c r="J2171" s="4">
        <v>12086.79</v>
      </c>
      <c r="K2171" s="3">
        <v>317</v>
      </c>
      <c r="L2171" s="2" t="s">
        <v>2518</v>
      </c>
      <c r="M2171" s="2" t="s">
        <v>2526</v>
      </c>
      <c r="N2171" t="str">
        <f>TRIM(PROPER(Tabla_auditoría[[#This Row],[ID_Campaña]]))</f>
        <v>Cmp-024</v>
      </c>
      <c r="O2171" t="str">
        <f>TRIM(PROPER(Tabla_auditoría[[#This Row],[Canal]]))</f>
        <v>Display</v>
      </c>
      <c r="P2171" t="str">
        <f>TRIM(PROPER(Tabla_auditoría[[#This Row],[País]]))</f>
        <v>España</v>
      </c>
      <c r="Q2171" t="str">
        <f>TRIM(PROPER(Tabla_auditoría[[#This Row],[Dispositivo]]))</f>
        <v>Desktop</v>
      </c>
      <c r="R2171" t="str">
        <f>TRIM(PROPER(Tabla_auditoría[[#This Row],[Tipo_Campaña]]))</f>
        <v>Adquisición</v>
      </c>
      <c r="S2171" t="str">
        <f>TRIM(PROPER(Tabla_auditoría[[#This Row],[Responsable]]))</f>
        <v>Laura Pérez</v>
      </c>
    </row>
    <row r="2172" spans="1:19" x14ac:dyDescent="0.3">
      <c r="A2172" s="1">
        <v>45757</v>
      </c>
      <c r="B2172" s="2" t="s">
        <v>2556</v>
      </c>
      <c r="C2172" s="2" t="s">
        <v>2527</v>
      </c>
      <c r="D2172" s="2" t="s">
        <v>2528</v>
      </c>
      <c r="E2172" s="2" t="s">
        <v>2517</v>
      </c>
      <c r="F2172" s="3">
        <v>120666</v>
      </c>
      <c r="G2172" s="3">
        <v>6149</v>
      </c>
      <c r="H2172" s="3">
        <v>428</v>
      </c>
      <c r="I2172" s="4">
        <v>8464.7900000000009</v>
      </c>
      <c r="J2172" s="4">
        <v>66365.919999999998</v>
      </c>
      <c r="K2172" s="3">
        <v>347</v>
      </c>
      <c r="L2172" s="2" t="s">
        <v>2523</v>
      </c>
      <c r="M2172" s="2" t="s">
        <v>2519</v>
      </c>
      <c r="N2172" t="str">
        <f>TRIM(PROPER(Tabla_auditoría[[#This Row],[ID_Campaña]]))</f>
        <v>Cmp-014</v>
      </c>
      <c r="O2172" t="str">
        <f>TRIM(PROPER(Tabla_auditoría[[#This Row],[Canal]]))</f>
        <v>Affiliate</v>
      </c>
      <c r="P2172" t="str">
        <f>TRIM(PROPER(Tabla_auditoría[[#This Row],[País]]))</f>
        <v>España</v>
      </c>
      <c r="Q2172" t="str">
        <f>TRIM(PROPER(Tabla_auditoría[[#This Row],[Dispositivo]]))</f>
        <v>Desktop</v>
      </c>
      <c r="R2172" t="str">
        <f>TRIM(PROPER(Tabla_auditoría[[#This Row],[Tipo_Campaña]]))</f>
        <v>Retención</v>
      </c>
      <c r="S2172" t="str">
        <f>TRIM(PROPER(Tabla_auditoría[[#This Row],[Responsable]]))</f>
        <v>Carlos Ruiz</v>
      </c>
    </row>
    <row r="2173" spans="1:19" x14ac:dyDescent="0.3">
      <c r="A2173" s="1">
        <v>45738</v>
      </c>
      <c r="B2173" s="2" t="s">
        <v>2566</v>
      </c>
      <c r="C2173" s="2" t="s">
        <v>2527</v>
      </c>
      <c r="D2173" s="2" t="s">
        <v>2525</v>
      </c>
      <c r="E2173" s="2" t="s">
        <v>2517</v>
      </c>
      <c r="F2173" s="3">
        <v>114607</v>
      </c>
      <c r="G2173" s="3">
        <v>2862</v>
      </c>
      <c r="H2173" s="3">
        <v>337</v>
      </c>
      <c r="I2173" s="4">
        <v>803.33</v>
      </c>
      <c r="J2173" s="4">
        <v>58408.58</v>
      </c>
      <c r="K2173" s="3">
        <v>254</v>
      </c>
      <c r="L2173" s="2" t="s">
        <v>2536</v>
      </c>
      <c r="M2173" s="2" t="s">
        <v>2519</v>
      </c>
      <c r="N2173" t="str">
        <f>TRIM(PROPER(Tabla_auditoría[[#This Row],[ID_Campaña]]))</f>
        <v>Cmp-001</v>
      </c>
      <c r="O2173" t="str">
        <f>TRIM(PROPER(Tabla_auditoría[[#This Row],[Canal]]))</f>
        <v>Affiliate</v>
      </c>
      <c r="P2173" t="str">
        <f>TRIM(PROPER(Tabla_auditoría[[#This Row],[País]]))</f>
        <v>Francia</v>
      </c>
      <c r="Q2173" t="str">
        <f>TRIM(PROPER(Tabla_auditoría[[#This Row],[Dispositivo]]))</f>
        <v>Desktop</v>
      </c>
      <c r="R2173" t="str">
        <f>TRIM(PROPER(Tabla_auditoría[[#This Row],[Tipo_Campaña]]))</f>
        <v>Reconocimiento</v>
      </c>
      <c r="S2173" t="str">
        <f>TRIM(PROPER(Tabla_auditoría[[#This Row],[Responsable]]))</f>
        <v>Carlos Ruiz</v>
      </c>
    </row>
    <row r="2174" spans="1:19" x14ac:dyDescent="0.3">
      <c r="A2174" s="1">
        <v>45851</v>
      </c>
      <c r="B2174" s="2" t="s">
        <v>2568</v>
      </c>
      <c r="C2174" s="2" t="s">
        <v>2533</v>
      </c>
      <c r="D2174" s="2" t="s">
        <v>2525</v>
      </c>
      <c r="E2174" s="2" t="s">
        <v>2529</v>
      </c>
      <c r="F2174" s="3">
        <v>171491</v>
      </c>
      <c r="G2174" s="3">
        <v>8552</v>
      </c>
      <c r="H2174" s="3">
        <v>235</v>
      </c>
      <c r="I2174" s="4">
        <v>8114.71</v>
      </c>
      <c r="J2174" s="4">
        <v>40299.300000000003</v>
      </c>
      <c r="K2174" s="3">
        <v>151</v>
      </c>
      <c r="L2174" s="2" t="s">
        <v>2536</v>
      </c>
      <c r="M2174" s="2" t="s">
        <v>2526</v>
      </c>
      <c r="N2174" t="str">
        <f>TRIM(PROPER(Tabla_auditoría[[#This Row],[ID_Campaña]]))</f>
        <v>Cmp-020</v>
      </c>
      <c r="O2174" t="str">
        <f>TRIM(PROPER(Tabla_auditoría[[#This Row],[Canal]]))</f>
        <v>Paid Social</v>
      </c>
      <c r="P2174" t="str">
        <f>TRIM(PROPER(Tabla_auditoría[[#This Row],[País]]))</f>
        <v>Francia</v>
      </c>
      <c r="Q2174" t="str">
        <f>TRIM(PROPER(Tabla_auditoría[[#This Row],[Dispositivo]]))</f>
        <v>Mobile</v>
      </c>
      <c r="R2174" t="str">
        <f>TRIM(PROPER(Tabla_auditoría[[#This Row],[Tipo_Campaña]]))</f>
        <v>Reconocimiento</v>
      </c>
      <c r="S2174" t="str">
        <f>TRIM(PROPER(Tabla_auditoría[[#This Row],[Responsable]]))</f>
        <v>Laura Pérez</v>
      </c>
    </row>
    <row r="2175" spans="1:19" x14ac:dyDescent="0.3">
      <c r="A2175" s="1">
        <v>45740</v>
      </c>
      <c r="B2175" s="2" t="s">
        <v>2532</v>
      </c>
      <c r="C2175" s="2" t="s">
        <v>2521</v>
      </c>
      <c r="D2175" s="2" t="s">
        <v>2528</v>
      </c>
      <c r="E2175" s="2" t="s">
        <v>2529</v>
      </c>
      <c r="F2175" s="3">
        <v>103572</v>
      </c>
      <c r="G2175" s="3">
        <v>1514</v>
      </c>
      <c r="H2175" s="3">
        <v>94</v>
      </c>
      <c r="I2175" s="4">
        <v>211.42</v>
      </c>
      <c r="J2175" s="4">
        <v>1413.25</v>
      </c>
      <c r="K2175" s="3">
        <v>69</v>
      </c>
      <c r="L2175" s="2" t="s">
        <v>2539</v>
      </c>
      <c r="M2175" s="2" t="s">
        <v>2524</v>
      </c>
      <c r="N2175" t="str">
        <f>TRIM(PROPER(Tabla_auditoría[[#This Row],[ID_Campaña]]))</f>
        <v>Cmp-022</v>
      </c>
      <c r="O2175" t="str">
        <f>TRIM(PROPER(Tabla_auditoría[[#This Row],[Canal]]))</f>
        <v>Paid Search</v>
      </c>
      <c r="P2175" t="str">
        <f>TRIM(PROPER(Tabla_auditoría[[#This Row],[País]]))</f>
        <v>España</v>
      </c>
      <c r="Q2175" t="str">
        <f>TRIM(PROPER(Tabla_auditoría[[#This Row],[Dispositivo]]))</f>
        <v>Mobile</v>
      </c>
      <c r="R2175" t="str">
        <f>TRIM(PROPER(Tabla_auditoría[[#This Row],[Tipo_Campaña]]))</f>
        <v>Conversión</v>
      </c>
      <c r="S2175" t="str">
        <f>TRIM(PROPER(Tabla_auditoría[[#This Row],[Responsable]]))</f>
        <v>Luis Martín</v>
      </c>
    </row>
    <row r="2176" spans="1:19" x14ac:dyDescent="0.3">
      <c r="A2176" s="1">
        <v>45727</v>
      </c>
      <c r="B2176" s="2" t="s">
        <v>2540</v>
      </c>
      <c r="C2176" s="2" t="s">
        <v>2515</v>
      </c>
      <c r="D2176" s="2" t="s">
        <v>2528</v>
      </c>
      <c r="E2176" s="2" t="s">
        <v>2517</v>
      </c>
      <c r="F2176" s="3">
        <v>116849</v>
      </c>
      <c r="G2176" s="3">
        <v>10176</v>
      </c>
      <c r="H2176" s="3">
        <v>765</v>
      </c>
      <c r="I2176" s="4">
        <v>2679.28</v>
      </c>
      <c r="J2176" s="4">
        <v>20455.93</v>
      </c>
      <c r="K2176" s="3">
        <v>411</v>
      </c>
      <c r="L2176" s="2" t="s">
        <v>2523</v>
      </c>
      <c r="M2176" s="2" t="s">
        <v>2524</v>
      </c>
      <c r="N2176" t="str">
        <f>TRIM(PROPER(Tabla_auditoría[[#This Row],[ID_Campaña]]))</f>
        <v>Cmp-017</v>
      </c>
      <c r="O2176" t="str">
        <f>TRIM(PROPER(Tabla_auditoría[[#This Row],[Canal]]))</f>
        <v>Email</v>
      </c>
      <c r="P2176" t="str">
        <f>TRIM(PROPER(Tabla_auditoría[[#This Row],[País]]))</f>
        <v>España</v>
      </c>
      <c r="Q2176" t="str">
        <f>TRIM(PROPER(Tabla_auditoría[[#This Row],[Dispositivo]]))</f>
        <v>Desktop</v>
      </c>
      <c r="R2176" t="str">
        <f>TRIM(PROPER(Tabla_auditoría[[#This Row],[Tipo_Campaña]]))</f>
        <v>Retención</v>
      </c>
      <c r="S2176" t="str">
        <f>TRIM(PROPER(Tabla_auditoría[[#This Row],[Responsable]]))</f>
        <v>Luis Martín</v>
      </c>
    </row>
    <row r="2177" spans="1:19" x14ac:dyDescent="0.3">
      <c r="A2177" s="1">
        <v>45699</v>
      </c>
      <c r="B2177" s="2" t="s">
        <v>2514</v>
      </c>
      <c r="C2177" s="2" t="s">
        <v>2521</v>
      </c>
      <c r="D2177" s="2" t="s">
        <v>2531</v>
      </c>
      <c r="E2177" s="2" t="s">
        <v>2517</v>
      </c>
      <c r="F2177" s="3">
        <v>105814</v>
      </c>
      <c r="G2177" s="3">
        <v>1794</v>
      </c>
      <c r="H2177" s="3">
        <v>90</v>
      </c>
      <c r="I2177" s="4">
        <v>3585.65</v>
      </c>
      <c r="J2177" s="4">
        <v>17010.919999999998</v>
      </c>
      <c r="K2177" s="3">
        <v>57</v>
      </c>
      <c r="L2177" s="2" t="s">
        <v>2518</v>
      </c>
      <c r="M2177" s="2" t="s">
        <v>2526</v>
      </c>
      <c r="N2177" t="str">
        <f>TRIM(PROPER(Tabla_auditoría[[#This Row],[ID_Campaña]]))</f>
        <v>Cmp-002</v>
      </c>
      <c r="O2177" t="str">
        <f>TRIM(PROPER(Tabla_auditoría[[#This Row],[Canal]]))</f>
        <v>Paid Search</v>
      </c>
      <c r="P2177" t="str">
        <f>TRIM(PROPER(Tabla_auditoría[[#This Row],[País]]))</f>
        <v>Portugal</v>
      </c>
      <c r="Q2177" t="str">
        <f>TRIM(PROPER(Tabla_auditoría[[#This Row],[Dispositivo]]))</f>
        <v>Desktop</v>
      </c>
      <c r="R2177" t="str">
        <f>TRIM(PROPER(Tabla_auditoría[[#This Row],[Tipo_Campaña]]))</f>
        <v>Adquisición</v>
      </c>
      <c r="S2177" t="str">
        <f>TRIM(PROPER(Tabla_auditoría[[#This Row],[Responsable]]))</f>
        <v>Laura Pérez</v>
      </c>
    </row>
    <row r="2178" spans="1:19" x14ac:dyDescent="0.3">
      <c r="A2178" s="1">
        <v>45996</v>
      </c>
      <c r="B2178" s="2" t="s">
        <v>2554</v>
      </c>
      <c r="C2178" s="2" t="s">
        <v>2527</v>
      </c>
      <c r="D2178" s="2" t="s">
        <v>2528</v>
      </c>
      <c r="E2178" s="2" t="s">
        <v>2529</v>
      </c>
      <c r="F2178" s="3">
        <v>172769</v>
      </c>
      <c r="G2178" s="3">
        <v>833</v>
      </c>
      <c r="H2178" s="3">
        <v>19</v>
      </c>
      <c r="I2178" s="4">
        <v>1328</v>
      </c>
      <c r="J2178" s="4">
        <v>3828.01</v>
      </c>
      <c r="K2178" s="3">
        <v>15</v>
      </c>
      <c r="L2178" s="2" t="s">
        <v>2536</v>
      </c>
      <c r="M2178" s="2" t="s">
        <v>2524</v>
      </c>
      <c r="N2178" t="str">
        <f>TRIM(PROPER(Tabla_auditoría[[#This Row],[ID_Campaña]]))</f>
        <v>Cmp-019</v>
      </c>
      <c r="O2178" t="str">
        <f>TRIM(PROPER(Tabla_auditoría[[#This Row],[Canal]]))</f>
        <v>Affiliate</v>
      </c>
      <c r="P2178" t="str">
        <f>TRIM(PROPER(Tabla_auditoría[[#This Row],[País]]))</f>
        <v>España</v>
      </c>
      <c r="Q2178" t="str">
        <f>TRIM(PROPER(Tabla_auditoría[[#This Row],[Dispositivo]]))</f>
        <v>Mobile</v>
      </c>
      <c r="R2178" t="str">
        <f>TRIM(PROPER(Tabla_auditoría[[#This Row],[Tipo_Campaña]]))</f>
        <v>Reconocimiento</v>
      </c>
      <c r="S2178" t="str">
        <f>TRIM(PROPER(Tabla_auditoría[[#This Row],[Responsable]]))</f>
        <v>Luis Martín</v>
      </c>
    </row>
    <row r="2179" spans="1:19" x14ac:dyDescent="0.3">
      <c r="A2179" s="1">
        <v>45852</v>
      </c>
      <c r="B2179" s="2" t="s">
        <v>2566</v>
      </c>
      <c r="C2179" s="2" t="s">
        <v>2515</v>
      </c>
      <c r="D2179" s="2" t="s">
        <v>2531</v>
      </c>
      <c r="E2179" s="2" t="s">
        <v>2529</v>
      </c>
      <c r="F2179" s="3">
        <v>1162</v>
      </c>
      <c r="G2179" s="3">
        <v>95</v>
      </c>
      <c r="H2179" s="3">
        <v>7</v>
      </c>
      <c r="I2179" s="4">
        <v>177.98</v>
      </c>
      <c r="J2179" s="4">
        <v>373.6</v>
      </c>
      <c r="K2179" s="3">
        <v>4</v>
      </c>
      <c r="L2179" s="2" t="s">
        <v>2518</v>
      </c>
      <c r="M2179" s="2" t="s">
        <v>2526</v>
      </c>
      <c r="N2179" t="str">
        <f>TRIM(PROPER(Tabla_auditoría[[#This Row],[ID_Campaña]]))</f>
        <v>Cmp-001</v>
      </c>
      <c r="O2179" t="str">
        <f>TRIM(PROPER(Tabla_auditoría[[#This Row],[Canal]]))</f>
        <v>Email</v>
      </c>
      <c r="P2179" t="str">
        <f>TRIM(PROPER(Tabla_auditoría[[#This Row],[País]]))</f>
        <v>Portugal</v>
      </c>
      <c r="Q2179" t="str">
        <f>TRIM(PROPER(Tabla_auditoría[[#This Row],[Dispositivo]]))</f>
        <v>Mobile</v>
      </c>
      <c r="R2179" t="str">
        <f>TRIM(PROPER(Tabla_auditoría[[#This Row],[Tipo_Campaña]]))</f>
        <v>Adquisición</v>
      </c>
      <c r="S2179" t="str">
        <f>TRIM(PROPER(Tabla_auditoría[[#This Row],[Responsable]]))</f>
        <v>Laura Pérez</v>
      </c>
    </row>
    <row r="2180" spans="1:19" x14ac:dyDescent="0.3">
      <c r="A2180" s="1">
        <v>45862</v>
      </c>
      <c r="B2180" s="2" t="s">
        <v>2556</v>
      </c>
      <c r="C2180" s="2" t="s">
        <v>2521</v>
      </c>
      <c r="D2180" s="2" t="s">
        <v>2531</v>
      </c>
      <c r="E2180" s="2" t="s">
        <v>2517</v>
      </c>
      <c r="F2180" s="3">
        <v>142268</v>
      </c>
      <c r="G2180" s="3">
        <v>8529</v>
      </c>
      <c r="H2180" s="3">
        <v>598</v>
      </c>
      <c r="I2180" s="4">
        <v>13539.01</v>
      </c>
      <c r="J2180" s="4">
        <v>51756.65</v>
      </c>
      <c r="K2180" s="3">
        <v>294</v>
      </c>
      <c r="L2180" s="2" t="s">
        <v>2536</v>
      </c>
      <c r="M2180" s="2" t="s">
        <v>2524</v>
      </c>
      <c r="N2180" t="str">
        <f>TRIM(PROPER(Tabla_auditoría[[#This Row],[ID_Campaña]]))</f>
        <v>Cmp-014</v>
      </c>
      <c r="O2180" t="str">
        <f>TRIM(PROPER(Tabla_auditoría[[#This Row],[Canal]]))</f>
        <v>Paid Search</v>
      </c>
      <c r="P2180" t="str">
        <f>TRIM(PROPER(Tabla_auditoría[[#This Row],[País]]))</f>
        <v>Portugal</v>
      </c>
      <c r="Q2180" t="str">
        <f>TRIM(PROPER(Tabla_auditoría[[#This Row],[Dispositivo]]))</f>
        <v>Desktop</v>
      </c>
      <c r="R2180" t="str">
        <f>TRIM(PROPER(Tabla_auditoría[[#This Row],[Tipo_Campaña]]))</f>
        <v>Reconocimiento</v>
      </c>
      <c r="S2180" t="str">
        <f>TRIM(PROPER(Tabla_auditoría[[#This Row],[Responsable]]))</f>
        <v>Luis Martín</v>
      </c>
    </row>
    <row r="2181" spans="1:19" x14ac:dyDescent="0.3">
      <c r="A2181" s="1">
        <v>46020</v>
      </c>
      <c r="B2181" s="2" t="s">
        <v>2544</v>
      </c>
      <c r="C2181" s="2" t="s">
        <v>2543</v>
      </c>
      <c r="D2181" s="2" t="s">
        <v>2528</v>
      </c>
      <c r="E2181" s="2" t="s">
        <v>2517</v>
      </c>
      <c r="F2181" s="3">
        <v>82712</v>
      </c>
      <c r="G2181" s="3">
        <v>7252</v>
      </c>
      <c r="H2181" s="3">
        <v>172</v>
      </c>
      <c r="I2181" s="4">
        <v>2041.56</v>
      </c>
      <c r="J2181" s="4">
        <v>19367.77</v>
      </c>
      <c r="K2181" s="3">
        <v>82</v>
      </c>
      <c r="L2181" s="2" t="s">
        <v>2539</v>
      </c>
      <c r="M2181" s="2" t="s">
        <v>2537</v>
      </c>
      <c r="N2181" t="str">
        <f>TRIM(PROPER(Tabla_auditoría[[#This Row],[ID_Campaña]]))</f>
        <v>Cmp-006</v>
      </c>
      <c r="O2181" t="str">
        <f>TRIM(PROPER(Tabla_auditoría[[#This Row],[Canal]]))</f>
        <v>Organic Social</v>
      </c>
      <c r="P2181" t="str">
        <f>TRIM(PROPER(Tabla_auditoría[[#This Row],[País]]))</f>
        <v>España</v>
      </c>
      <c r="Q2181" t="str">
        <f>TRIM(PROPER(Tabla_auditoría[[#This Row],[Dispositivo]]))</f>
        <v>Desktop</v>
      </c>
      <c r="R2181" t="str">
        <f>TRIM(PROPER(Tabla_auditoría[[#This Row],[Tipo_Campaña]]))</f>
        <v>Conversión</v>
      </c>
      <c r="S2181" t="str">
        <f>TRIM(PROPER(Tabla_auditoría[[#This Row],[Responsable]]))</f>
        <v>Marta López</v>
      </c>
    </row>
    <row r="2182" spans="1:19" x14ac:dyDescent="0.3">
      <c r="A2182" s="1">
        <v>46003</v>
      </c>
      <c r="B2182" s="2" t="s">
        <v>2563</v>
      </c>
      <c r="C2182" s="2" t="s">
        <v>2533</v>
      </c>
      <c r="D2182" s="2" t="s">
        <v>2528</v>
      </c>
      <c r="E2182" s="2" t="s">
        <v>2529</v>
      </c>
      <c r="F2182" s="3">
        <v>97376</v>
      </c>
      <c r="G2182" s="3">
        <v>2244</v>
      </c>
      <c r="H2182" s="3">
        <v>120</v>
      </c>
      <c r="I2182" s="4">
        <v>4397.3</v>
      </c>
      <c r="J2182" s="4">
        <v>14261.13</v>
      </c>
      <c r="K2182" s="3">
        <v>104</v>
      </c>
      <c r="L2182" s="2" t="s">
        <v>2523</v>
      </c>
      <c r="M2182" s="2" t="s">
        <v>2526</v>
      </c>
      <c r="N2182" t="str">
        <f>TRIM(PROPER(Tabla_auditoría[[#This Row],[ID_Campaña]]))</f>
        <v>Cmp-023</v>
      </c>
      <c r="O2182" t="str">
        <f>TRIM(PROPER(Tabla_auditoría[[#This Row],[Canal]]))</f>
        <v>Paid Social</v>
      </c>
      <c r="P2182" t="str">
        <f>TRIM(PROPER(Tabla_auditoría[[#This Row],[País]]))</f>
        <v>España</v>
      </c>
      <c r="Q2182" t="str">
        <f>TRIM(PROPER(Tabla_auditoría[[#This Row],[Dispositivo]]))</f>
        <v>Mobile</v>
      </c>
      <c r="R2182" t="str">
        <f>TRIM(PROPER(Tabla_auditoría[[#This Row],[Tipo_Campaña]]))</f>
        <v>Retención</v>
      </c>
      <c r="S2182" t="str">
        <f>TRIM(PROPER(Tabla_auditoría[[#This Row],[Responsable]]))</f>
        <v>Laura Pérez</v>
      </c>
    </row>
    <row r="2183" spans="1:19" x14ac:dyDescent="0.3">
      <c r="A2183" s="1">
        <v>45896</v>
      </c>
      <c r="B2183" s="2" t="s">
        <v>2540</v>
      </c>
      <c r="C2183" s="2" t="s">
        <v>2543</v>
      </c>
      <c r="D2183" s="2" t="s">
        <v>2525</v>
      </c>
      <c r="E2183" s="2" t="s">
        <v>2517</v>
      </c>
      <c r="F2183" s="3">
        <v>166563</v>
      </c>
      <c r="G2183" s="3">
        <v>8995</v>
      </c>
      <c r="H2183" s="3">
        <v>430</v>
      </c>
      <c r="I2183" s="4">
        <v>13758.51</v>
      </c>
      <c r="J2183" s="4">
        <v>30805.32</v>
      </c>
      <c r="K2183" s="3">
        <v>375</v>
      </c>
      <c r="L2183" s="2" t="s">
        <v>2539</v>
      </c>
      <c r="M2183" s="2" t="s">
        <v>2519</v>
      </c>
      <c r="N2183" t="str">
        <f>TRIM(PROPER(Tabla_auditoría[[#This Row],[ID_Campaña]]))</f>
        <v>Cmp-017</v>
      </c>
      <c r="O2183" t="str">
        <f>TRIM(PROPER(Tabla_auditoría[[#This Row],[Canal]]))</f>
        <v>Organic Social</v>
      </c>
      <c r="P2183" t="str">
        <f>TRIM(PROPER(Tabla_auditoría[[#This Row],[País]]))</f>
        <v>Francia</v>
      </c>
      <c r="Q2183" t="str">
        <f>TRIM(PROPER(Tabla_auditoría[[#This Row],[Dispositivo]]))</f>
        <v>Desktop</v>
      </c>
      <c r="R2183" t="str">
        <f>TRIM(PROPER(Tabla_auditoría[[#This Row],[Tipo_Campaña]]))</f>
        <v>Conversión</v>
      </c>
      <c r="S2183" t="str">
        <f>TRIM(PROPER(Tabla_auditoría[[#This Row],[Responsable]]))</f>
        <v>Carlos Ruiz</v>
      </c>
    </row>
    <row r="2184" spans="1:19" x14ac:dyDescent="0.3">
      <c r="A2184" s="1">
        <v>45949</v>
      </c>
      <c r="B2184" s="2" t="s">
        <v>2520</v>
      </c>
      <c r="C2184" s="2" t="s">
        <v>2533</v>
      </c>
      <c r="D2184" s="2" t="s">
        <v>2525</v>
      </c>
      <c r="E2184" s="2" t="s">
        <v>2534</v>
      </c>
      <c r="F2184" s="3">
        <v>55100</v>
      </c>
      <c r="G2184" s="3">
        <v>390</v>
      </c>
      <c r="H2184" s="3">
        <v>16</v>
      </c>
      <c r="I2184" s="4">
        <v>702.4</v>
      </c>
      <c r="J2184" s="4">
        <v>3285.18</v>
      </c>
      <c r="K2184" s="3">
        <v>11</v>
      </c>
      <c r="L2184" s="2" t="s">
        <v>2518</v>
      </c>
      <c r="M2184" s="2" t="s">
        <v>2519</v>
      </c>
      <c r="N2184" t="str">
        <f>TRIM(PROPER(Tabla_auditoría[[#This Row],[ID_Campaña]]))</f>
        <v>Cmp-009</v>
      </c>
      <c r="O2184" t="str">
        <f>TRIM(PROPER(Tabla_auditoría[[#This Row],[Canal]]))</f>
        <v>Paid Social</v>
      </c>
      <c r="P2184" t="str">
        <f>TRIM(PROPER(Tabla_auditoría[[#This Row],[País]]))</f>
        <v>Francia</v>
      </c>
      <c r="Q2184" t="str">
        <f>TRIM(PROPER(Tabla_auditoría[[#This Row],[Dispositivo]]))</f>
        <v>Tablet</v>
      </c>
      <c r="R2184" t="str">
        <f>TRIM(PROPER(Tabla_auditoría[[#This Row],[Tipo_Campaña]]))</f>
        <v>Adquisición</v>
      </c>
      <c r="S2184" t="str">
        <f>TRIM(PROPER(Tabla_auditoría[[#This Row],[Responsable]]))</f>
        <v>Carlos Ruiz</v>
      </c>
    </row>
    <row r="2185" spans="1:19" x14ac:dyDescent="0.3">
      <c r="A2185" s="1">
        <v>45798</v>
      </c>
      <c r="B2185" s="2" t="s">
        <v>2552</v>
      </c>
      <c r="C2185" s="2" t="s">
        <v>2521</v>
      </c>
      <c r="D2185" s="2" t="s">
        <v>2522</v>
      </c>
      <c r="E2185" s="2" t="s">
        <v>2534</v>
      </c>
      <c r="F2185" s="3">
        <v>133127</v>
      </c>
      <c r="G2185" s="3">
        <v>1418</v>
      </c>
      <c r="H2185" s="3">
        <v>126</v>
      </c>
      <c r="I2185" s="4">
        <v>372.76</v>
      </c>
      <c r="J2185" s="4">
        <v>18393.2</v>
      </c>
      <c r="K2185" s="3">
        <v>99</v>
      </c>
      <c r="L2185" s="2" t="s">
        <v>2536</v>
      </c>
      <c r="M2185" s="2" t="s">
        <v>2537</v>
      </c>
      <c r="N2185" t="str">
        <f>TRIM(PROPER(Tabla_auditoría[[#This Row],[ID_Campaña]]))</f>
        <v>Cmp-012</v>
      </c>
      <c r="O2185" t="str">
        <f>TRIM(PROPER(Tabla_auditoría[[#This Row],[Canal]]))</f>
        <v>Paid Search</v>
      </c>
      <c r="P2185" t="str">
        <f>TRIM(PROPER(Tabla_auditoría[[#This Row],[País]]))</f>
        <v>Italia</v>
      </c>
      <c r="Q2185" t="str">
        <f>TRIM(PROPER(Tabla_auditoría[[#This Row],[Dispositivo]]))</f>
        <v>Tablet</v>
      </c>
      <c r="R2185" t="str">
        <f>TRIM(PROPER(Tabla_auditoría[[#This Row],[Tipo_Campaña]]))</f>
        <v>Reconocimiento</v>
      </c>
      <c r="S2185" t="str">
        <f>TRIM(PROPER(Tabla_auditoría[[#This Row],[Responsable]]))</f>
        <v>Marta López</v>
      </c>
    </row>
    <row r="2186" spans="1:19" x14ac:dyDescent="0.3">
      <c r="A2186" s="1">
        <v>45727</v>
      </c>
      <c r="B2186" s="2" t="s">
        <v>2535</v>
      </c>
      <c r="C2186" s="2" t="s">
        <v>2515</v>
      </c>
      <c r="D2186" s="2" t="s">
        <v>2525</v>
      </c>
      <c r="E2186" s="2" t="s">
        <v>2534</v>
      </c>
      <c r="F2186" s="3">
        <v>20580</v>
      </c>
      <c r="G2186" s="3">
        <v>1144</v>
      </c>
      <c r="H2186" s="3">
        <v>113</v>
      </c>
      <c r="I2186" s="4">
        <v>2043.93</v>
      </c>
      <c r="J2186" s="4">
        <v>5066.7299999999996</v>
      </c>
      <c r="K2186" s="3">
        <v>59</v>
      </c>
      <c r="L2186" s="2" t="s">
        <v>2523</v>
      </c>
      <c r="M2186" s="2" t="s">
        <v>2546</v>
      </c>
      <c r="N2186" t="str">
        <f>TRIM(PROPER(Tabla_auditoría[[#This Row],[ID_Campaña]]))</f>
        <v>Cmp-015</v>
      </c>
      <c r="O2186" t="str">
        <f>TRIM(PROPER(Tabla_auditoría[[#This Row],[Canal]]))</f>
        <v>Email</v>
      </c>
      <c r="P2186" t="str">
        <f>TRIM(PROPER(Tabla_auditoría[[#This Row],[País]]))</f>
        <v>Francia</v>
      </c>
      <c r="Q2186" t="str">
        <f>TRIM(PROPER(Tabla_auditoría[[#This Row],[Dispositivo]]))</f>
        <v>Tablet</v>
      </c>
      <c r="R2186" t="str">
        <f>TRIM(PROPER(Tabla_auditoría[[#This Row],[Tipo_Campaña]]))</f>
        <v>Retención</v>
      </c>
      <c r="S2186" t="str">
        <f>TRIM(PROPER(Tabla_auditoría[[#This Row],[Responsable]]))</f>
        <v>Ana García</v>
      </c>
    </row>
    <row r="2187" spans="1:19" x14ac:dyDescent="0.3">
      <c r="A2187" s="1">
        <v>45866</v>
      </c>
      <c r="B2187" s="2" t="s">
        <v>2540</v>
      </c>
      <c r="C2187" s="2" t="s">
        <v>2521</v>
      </c>
      <c r="D2187" s="2" t="s">
        <v>2528</v>
      </c>
      <c r="E2187" s="2" t="s">
        <v>2529</v>
      </c>
      <c r="F2187" s="3">
        <v>165394</v>
      </c>
      <c r="G2187" s="3">
        <v>2853</v>
      </c>
      <c r="H2187" s="3">
        <v>192</v>
      </c>
      <c r="I2187" s="4">
        <v>5515.12</v>
      </c>
      <c r="J2187" s="4">
        <v>23758.79</v>
      </c>
      <c r="K2187" s="3">
        <v>147</v>
      </c>
      <c r="L2187" s="2" t="s">
        <v>2518</v>
      </c>
      <c r="M2187" s="2" t="s">
        <v>2537</v>
      </c>
      <c r="N2187" t="str">
        <f>TRIM(PROPER(Tabla_auditoría[[#This Row],[ID_Campaña]]))</f>
        <v>Cmp-017</v>
      </c>
      <c r="O2187" t="str">
        <f>TRIM(PROPER(Tabla_auditoría[[#This Row],[Canal]]))</f>
        <v>Paid Search</v>
      </c>
      <c r="P2187" t="str">
        <f>TRIM(PROPER(Tabla_auditoría[[#This Row],[País]]))</f>
        <v>España</v>
      </c>
      <c r="Q2187" t="str">
        <f>TRIM(PROPER(Tabla_auditoría[[#This Row],[Dispositivo]]))</f>
        <v>Mobile</v>
      </c>
      <c r="R2187" t="str">
        <f>TRIM(PROPER(Tabla_auditoría[[#This Row],[Tipo_Campaña]]))</f>
        <v>Adquisición</v>
      </c>
      <c r="S2187" t="str">
        <f>TRIM(PROPER(Tabla_auditoría[[#This Row],[Responsable]]))</f>
        <v>Marta López</v>
      </c>
    </row>
    <row r="2188" spans="1:19" x14ac:dyDescent="0.3">
      <c r="A2188" s="1">
        <v>45742</v>
      </c>
      <c r="B2188" s="2" t="s">
        <v>2542</v>
      </c>
      <c r="C2188" s="2" t="s">
        <v>2575</v>
      </c>
      <c r="D2188" s="2" t="s">
        <v>2528</v>
      </c>
      <c r="E2188" s="2" t="s">
        <v>2529</v>
      </c>
      <c r="F2188" s="3">
        <v>153030</v>
      </c>
      <c r="G2188" s="3">
        <v>6948</v>
      </c>
      <c r="H2188" s="3">
        <v>615</v>
      </c>
      <c r="I2188" s="4">
        <v>2816.4</v>
      </c>
      <c r="J2188" s="4">
        <v>115556.33</v>
      </c>
      <c r="K2188" s="3">
        <v>551</v>
      </c>
      <c r="L2188" s="2" t="s">
        <v>2518</v>
      </c>
      <c r="M2188" s="2" t="s">
        <v>2546</v>
      </c>
      <c r="N2188" t="str">
        <f>TRIM(PROPER(Tabla_auditoría[[#This Row],[ID_Campaña]]))</f>
        <v>Cmp-025</v>
      </c>
      <c r="O2188" t="str">
        <f>TRIM(PROPER(Tabla_auditoría[[#This Row],[Canal]]))</f>
        <v>Paid Search</v>
      </c>
      <c r="P2188" t="str">
        <f>TRIM(PROPER(Tabla_auditoría[[#This Row],[País]]))</f>
        <v>España</v>
      </c>
      <c r="Q2188" t="str">
        <f>TRIM(PROPER(Tabla_auditoría[[#This Row],[Dispositivo]]))</f>
        <v>Mobile</v>
      </c>
      <c r="R2188" t="str">
        <f>TRIM(PROPER(Tabla_auditoría[[#This Row],[Tipo_Campaña]]))</f>
        <v>Adquisición</v>
      </c>
      <c r="S2188" t="str">
        <f>TRIM(PROPER(Tabla_auditoría[[#This Row],[Responsable]]))</f>
        <v>Ana García</v>
      </c>
    </row>
    <row r="2189" spans="1:19" x14ac:dyDescent="0.3">
      <c r="A2189" s="1">
        <v>45841</v>
      </c>
      <c r="B2189" s="2" t="s">
        <v>2557</v>
      </c>
      <c r="C2189" s="2" t="s">
        <v>2533</v>
      </c>
      <c r="D2189" s="2" t="s">
        <v>2528</v>
      </c>
      <c r="E2189" s="2" t="s">
        <v>2517</v>
      </c>
      <c r="F2189" s="3">
        <v>3921</v>
      </c>
      <c r="G2189" s="3">
        <v>186</v>
      </c>
      <c r="H2189" s="3">
        <v>7</v>
      </c>
      <c r="I2189" s="4">
        <v>114.17</v>
      </c>
      <c r="J2189" s="4">
        <v>1171.28</v>
      </c>
      <c r="K2189" s="3">
        <v>4</v>
      </c>
      <c r="L2189" s="2" t="s">
        <v>2539</v>
      </c>
      <c r="M2189" s="2" t="s">
        <v>2524</v>
      </c>
      <c r="N2189" t="str">
        <f>TRIM(PROPER(Tabla_auditoría[[#This Row],[ID_Campaña]]))</f>
        <v>Cmp-030</v>
      </c>
      <c r="O2189" t="str">
        <f>TRIM(PROPER(Tabla_auditoría[[#This Row],[Canal]]))</f>
        <v>Paid Social</v>
      </c>
      <c r="P2189" t="str">
        <f>TRIM(PROPER(Tabla_auditoría[[#This Row],[País]]))</f>
        <v>España</v>
      </c>
      <c r="Q2189" t="str">
        <f>TRIM(PROPER(Tabla_auditoría[[#This Row],[Dispositivo]]))</f>
        <v>Desktop</v>
      </c>
      <c r="R2189" t="str">
        <f>TRIM(PROPER(Tabla_auditoría[[#This Row],[Tipo_Campaña]]))</f>
        <v>Conversión</v>
      </c>
      <c r="S2189" t="str">
        <f>TRIM(PROPER(Tabla_auditoría[[#This Row],[Responsable]]))</f>
        <v>Luis Martín</v>
      </c>
    </row>
    <row r="2190" spans="1:19" x14ac:dyDescent="0.3">
      <c r="A2190" s="1">
        <v>45763</v>
      </c>
      <c r="B2190" s="2" t="s">
        <v>2564</v>
      </c>
      <c r="C2190" s="2" t="s">
        <v>2533</v>
      </c>
      <c r="D2190" s="2" t="s">
        <v>2528</v>
      </c>
      <c r="E2190" s="2" t="s">
        <v>2517</v>
      </c>
      <c r="F2190" s="3">
        <v>80677</v>
      </c>
      <c r="G2190" s="3">
        <v>3625</v>
      </c>
      <c r="H2190" s="3">
        <v>494</v>
      </c>
      <c r="I2190" s="4">
        <v>3292.77</v>
      </c>
      <c r="J2190" s="4">
        <v>25757.86</v>
      </c>
      <c r="K2190" s="3">
        <v>414</v>
      </c>
      <c r="L2190" s="2" t="s">
        <v>2539</v>
      </c>
      <c r="M2190" s="2" t="s">
        <v>2524</v>
      </c>
      <c r="N2190" t="str">
        <f>TRIM(PROPER(Tabla_auditoría[[#This Row],[ID_Campaña]]))</f>
        <v>Cmp-024</v>
      </c>
      <c r="O2190" t="str">
        <f>TRIM(PROPER(Tabla_auditoría[[#This Row],[Canal]]))</f>
        <v>Paid Social</v>
      </c>
      <c r="P2190" t="str">
        <f>TRIM(PROPER(Tabla_auditoría[[#This Row],[País]]))</f>
        <v>España</v>
      </c>
      <c r="Q2190" t="str">
        <f>TRIM(PROPER(Tabla_auditoría[[#This Row],[Dispositivo]]))</f>
        <v>Desktop</v>
      </c>
      <c r="R2190" t="str">
        <f>TRIM(PROPER(Tabla_auditoría[[#This Row],[Tipo_Campaña]]))</f>
        <v>Conversión</v>
      </c>
      <c r="S2190" t="str">
        <f>TRIM(PROPER(Tabla_auditoría[[#This Row],[Responsable]]))</f>
        <v>Luis Martín</v>
      </c>
    </row>
    <row r="2191" spans="1:19" x14ac:dyDescent="0.3">
      <c r="A2191" s="1">
        <v>45692</v>
      </c>
      <c r="B2191" s="2" t="s">
        <v>2568</v>
      </c>
      <c r="C2191" s="2" t="s">
        <v>2521</v>
      </c>
      <c r="D2191" s="2" t="s">
        <v>2528</v>
      </c>
      <c r="E2191" s="2" t="s">
        <v>2529</v>
      </c>
      <c r="F2191" s="3">
        <v>108337</v>
      </c>
      <c r="G2191" s="3">
        <v>3200</v>
      </c>
      <c r="H2191" s="3">
        <v>389</v>
      </c>
      <c r="I2191" s="4">
        <v>443.02</v>
      </c>
      <c r="J2191" s="4">
        <v>63561.87</v>
      </c>
      <c r="K2191" s="3">
        <v>307</v>
      </c>
      <c r="L2191" s="2" t="s">
        <v>2518</v>
      </c>
      <c r="M2191" s="2" t="s">
        <v>2519</v>
      </c>
      <c r="N2191" t="str">
        <f>TRIM(PROPER(Tabla_auditoría[[#This Row],[ID_Campaña]]))</f>
        <v>Cmp-020</v>
      </c>
      <c r="O2191" t="str">
        <f>TRIM(PROPER(Tabla_auditoría[[#This Row],[Canal]]))</f>
        <v>Paid Search</v>
      </c>
      <c r="P2191" t="str">
        <f>TRIM(PROPER(Tabla_auditoría[[#This Row],[País]]))</f>
        <v>España</v>
      </c>
      <c r="Q2191" t="str">
        <f>TRIM(PROPER(Tabla_auditoría[[#This Row],[Dispositivo]]))</f>
        <v>Mobile</v>
      </c>
      <c r="R2191" t="str">
        <f>TRIM(PROPER(Tabla_auditoría[[#This Row],[Tipo_Campaña]]))</f>
        <v>Adquisición</v>
      </c>
      <c r="S2191" t="str">
        <f>TRIM(PROPER(Tabla_auditoría[[#This Row],[Responsable]]))</f>
        <v>Carlos Ruiz</v>
      </c>
    </row>
    <row r="2192" spans="1:19" x14ac:dyDescent="0.3">
      <c r="A2192" s="1">
        <v>45979</v>
      </c>
      <c r="B2192" s="2" t="s">
        <v>2550</v>
      </c>
      <c r="C2192" s="2" t="s">
        <v>2543</v>
      </c>
      <c r="D2192" s="2" t="s">
        <v>2528</v>
      </c>
      <c r="E2192" s="2" t="s">
        <v>2529</v>
      </c>
      <c r="F2192" s="3">
        <v>112306</v>
      </c>
      <c r="G2192" s="3">
        <v>9531</v>
      </c>
      <c r="H2192" s="3">
        <v>970</v>
      </c>
      <c r="I2192" s="4">
        <v>5696.44</v>
      </c>
      <c r="J2192" s="4">
        <v>193078.33</v>
      </c>
      <c r="K2192" s="3">
        <v>514</v>
      </c>
      <c r="L2192" s="2" t="s">
        <v>2539</v>
      </c>
      <c r="M2192" s="2" t="s">
        <v>2546</v>
      </c>
      <c r="N2192" t="str">
        <f>TRIM(PROPER(Tabla_auditoría[[#This Row],[ID_Campaña]]))</f>
        <v>Cmp-008</v>
      </c>
      <c r="O2192" t="str">
        <f>TRIM(PROPER(Tabla_auditoría[[#This Row],[Canal]]))</f>
        <v>Organic Social</v>
      </c>
      <c r="P2192" t="str">
        <f>TRIM(PROPER(Tabla_auditoría[[#This Row],[País]]))</f>
        <v>España</v>
      </c>
      <c r="Q2192" t="str">
        <f>TRIM(PROPER(Tabla_auditoría[[#This Row],[Dispositivo]]))</f>
        <v>Mobile</v>
      </c>
      <c r="R2192" t="str">
        <f>TRIM(PROPER(Tabla_auditoría[[#This Row],[Tipo_Campaña]]))</f>
        <v>Conversión</v>
      </c>
      <c r="S2192" t="str">
        <f>TRIM(PROPER(Tabla_auditoría[[#This Row],[Responsable]]))</f>
        <v>Ana García</v>
      </c>
    </row>
    <row r="2193" spans="1:19" x14ac:dyDescent="0.3">
      <c r="A2193" s="1">
        <v>45925</v>
      </c>
      <c r="B2193" s="2" t="s">
        <v>2563</v>
      </c>
      <c r="C2193" s="2" t="s">
        <v>2521</v>
      </c>
      <c r="D2193" s="2" t="s">
        <v>2528</v>
      </c>
      <c r="E2193" s="2" t="s">
        <v>2517</v>
      </c>
      <c r="F2193" s="3">
        <v>80508</v>
      </c>
      <c r="G2193" s="3">
        <v>6174</v>
      </c>
      <c r="H2193" s="3">
        <v>831</v>
      </c>
      <c r="I2193" s="4">
        <v>12758.11</v>
      </c>
      <c r="J2193" s="4">
        <v>98280.13</v>
      </c>
      <c r="K2193" s="3">
        <v>638</v>
      </c>
      <c r="L2193" s="2" t="s">
        <v>2518</v>
      </c>
      <c r="M2193" s="2" t="s">
        <v>2546</v>
      </c>
      <c r="N2193" t="str">
        <f>TRIM(PROPER(Tabla_auditoría[[#This Row],[ID_Campaña]]))</f>
        <v>Cmp-023</v>
      </c>
      <c r="O2193" t="str">
        <f>TRIM(PROPER(Tabla_auditoría[[#This Row],[Canal]]))</f>
        <v>Paid Search</v>
      </c>
      <c r="P2193" t="str">
        <f>TRIM(PROPER(Tabla_auditoría[[#This Row],[País]]))</f>
        <v>España</v>
      </c>
      <c r="Q2193" t="str">
        <f>TRIM(PROPER(Tabla_auditoría[[#This Row],[Dispositivo]]))</f>
        <v>Desktop</v>
      </c>
      <c r="R2193" t="str">
        <f>TRIM(PROPER(Tabla_auditoría[[#This Row],[Tipo_Campaña]]))</f>
        <v>Adquisición</v>
      </c>
      <c r="S2193" t="str">
        <f>TRIM(PROPER(Tabla_auditoría[[#This Row],[Responsable]]))</f>
        <v>Ana García</v>
      </c>
    </row>
    <row r="2194" spans="1:19" x14ac:dyDescent="0.3">
      <c r="A2194" s="1">
        <v>45979</v>
      </c>
      <c r="B2194" s="2" t="s">
        <v>2550</v>
      </c>
      <c r="C2194" s="2" t="s">
        <v>2515</v>
      </c>
      <c r="D2194" s="2" t="s">
        <v>2525</v>
      </c>
      <c r="E2194" s="2" t="s">
        <v>2517</v>
      </c>
      <c r="F2194" s="3">
        <v>6706</v>
      </c>
      <c r="G2194" s="3">
        <v>479</v>
      </c>
      <c r="H2194" s="3">
        <v>37</v>
      </c>
      <c r="I2194" s="4">
        <v>973.5</v>
      </c>
      <c r="J2194" s="4">
        <v>672.7</v>
      </c>
      <c r="K2194" s="3">
        <v>24</v>
      </c>
      <c r="L2194" s="2" t="s">
        <v>2523</v>
      </c>
      <c r="M2194" s="2" t="s">
        <v>2537</v>
      </c>
      <c r="N2194" t="str">
        <f>TRIM(PROPER(Tabla_auditoría[[#This Row],[ID_Campaña]]))</f>
        <v>Cmp-008</v>
      </c>
      <c r="O2194" t="str">
        <f>TRIM(PROPER(Tabla_auditoría[[#This Row],[Canal]]))</f>
        <v>Email</v>
      </c>
      <c r="P2194" t="str">
        <f>TRIM(PROPER(Tabla_auditoría[[#This Row],[País]]))</f>
        <v>Francia</v>
      </c>
      <c r="Q2194" t="str">
        <f>TRIM(PROPER(Tabla_auditoría[[#This Row],[Dispositivo]]))</f>
        <v>Desktop</v>
      </c>
      <c r="R2194" t="str">
        <f>TRIM(PROPER(Tabla_auditoría[[#This Row],[Tipo_Campaña]]))</f>
        <v>Retención</v>
      </c>
      <c r="S2194" t="str">
        <f>TRIM(PROPER(Tabla_auditoría[[#This Row],[Responsable]]))</f>
        <v>Marta López</v>
      </c>
    </row>
    <row r="2195" spans="1:19" x14ac:dyDescent="0.3">
      <c r="A2195" s="1">
        <v>45785</v>
      </c>
      <c r="B2195" s="2" t="s">
        <v>2549</v>
      </c>
      <c r="C2195" s="2" t="s">
        <v>2527</v>
      </c>
      <c r="D2195" s="2" t="s">
        <v>2522</v>
      </c>
      <c r="E2195" s="2" t="s">
        <v>2529</v>
      </c>
      <c r="F2195" s="3">
        <v>49150</v>
      </c>
      <c r="G2195" s="3">
        <v>3695</v>
      </c>
      <c r="H2195" s="3">
        <v>51</v>
      </c>
      <c r="I2195" s="4">
        <v>4441.67</v>
      </c>
      <c r="J2195" s="4">
        <v>7828.93</v>
      </c>
      <c r="K2195" s="3">
        <v>24</v>
      </c>
      <c r="L2195" s="2" t="s">
        <v>2518</v>
      </c>
      <c r="M2195" s="2" t="s">
        <v>2546</v>
      </c>
      <c r="N2195" t="str">
        <f>TRIM(PROPER(Tabla_auditoría[[#This Row],[ID_Campaña]]))</f>
        <v>Cmp-007</v>
      </c>
      <c r="O2195" t="str">
        <f>TRIM(PROPER(Tabla_auditoría[[#This Row],[Canal]]))</f>
        <v>Affiliate</v>
      </c>
      <c r="P2195" t="str">
        <f>TRIM(PROPER(Tabla_auditoría[[#This Row],[País]]))</f>
        <v>Italia</v>
      </c>
      <c r="Q2195" t="str">
        <f>TRIM(PROPER(Tabla_auditoría[[#This Row],[Dispositivo]]))</f>
        <v>Mobile</v>
      </c>
      <c r="R2195" t="str">
        <f>TRIM(PROPER(Tabla_auditoría[[#This Row],[Tipo_Campaña]]))</f>
        <v>Adquisición</v>
      </c>
      <c r="S2195" t="str">
        <f>TRIM(PROPER(Tabla_auditoría[[#This Row],[Responsable]]))</f>
        <v>Ana García</v>
      </c>
    </row>
    <row r="2196" spans="1:19" x14ac:dyDescent="0.3">
      <c r="A2196" s="1">
        <v>45807</v>
      </c>
      <c r="B2196" s="2" t="s">
        <v>2547</v>
      </c>
      <c r="C2196" s="2" t="s">
        <v>2543</v>
      </c>
      <c r="D2196" s="2" t="s">
        <v>2531</v>
      </c>
      <c r="E2196" s="2" t="s">
        <v>2517</v>
      </c>
      <c r="F2196" s="3">
        <v>9589</v>
      </c>
      <c r="G2196" s="3">
        <v>638</v>
      </c>
      <c r="H2196" s="3">
        <v>36</v>
      </c>
      <c r="I2196" s="4">
        <v>232.95</v>
      </c>
      <c r="J2196" s="4">
        <v>7886.28</v>
      </c>
      <c r="K2196" s="3">
        <v>23</v>
      </c>
      <c r="L2196" s="2" t="s">
        <v>2523</v>
      </c>
      <c r="M2196" s="2" t="s">
        <v>2537</v>
      </c>
      <c r="N2196" t="str">
        <f>TRIM(PROPER(Tabla_auditoría[[#This Row],[ID_Campaña]]))</f>
        <v>Cmp-018</v>
      </c>
      <c r="O2196" t="str">
        <f>TRIM(PROPER(Tabla_auditoría[[#This Row],[Canal]]))</f>
        <v>Organic Social</v>
      </c>
      <c r="P2196" t="str">
        <f>TRIM(PROPER(Tabla_auditoría[[#This Row],[País]]))</f>
        <v>Portugal</v>
      </c>
      <c r="Q2196" t="str">
        <f>TRIM(PROPER(Tabla_auditoría[[#This Row],[Dispositivo]]))</f>
        <v>Desktop</v>
      </c>
      <c r="R2196" t="str">
        <f>TRIM(PROPER(Tabla_auditoría[[#This Row],[Tipo_Campaña]]))</f>
        <v>Retención</v>
      </c>
      <c r="S2196" t="str">
        <f>TRIM(PROPER(Tabla_auditoría[[#This Row],[Responsable]]))</f>
        <v>Marta López</v>
      </c>
    </row>
    <row r="2197" spans="1:19" x14ac:dyDescent="0.3">
      <c r="A2197" s="1">
        <v>45709</v>
      </c>
      <c r="B2197" s="2" t="s">
        <v>2540</v>
      </c>
      <c r="C2197" s="2" t="s">
        <v>2521</v>
      </c>
      <c r="D2197" s="2" t="s">
        <v>2528</v>
      </c>
      <c r="E2197" s="2" t="s">
        <v>2517</v>
      </c>
      <c r="F2197" s="3">
        <v>76120</v>
      </c>
      <c r="G2197" s="3">
        <v>4014</v>
      </c>
      <c r="H2197" s="3">
        <v>546</v>
      </c>
      <c r="I2197" s="4">
        <v>2136.65</v>
      </c>
      <c r="J2197" s="4">
        <v>65611.149999999994</v>
      </c>
      <c r="K2197" s="3">
        <v>361</v>
      </c>
      <c r="L2197" s="2" t="s">
        <v>2536</v>
      </c>
      <c r="M2197" s="2" t="s">
        <v>2526</v>
      </c>
      <c r="N2197" t="str">
        <f>TRIM(PROPER(Tabla_auditoría[[#This Row],[ID_Campaña]]))</f>
        <v>Cmp-017</v>
      </c>
      <c r="O2197" t="str">
        <f>TRIM(PROPER(Tabla_auditoría[[#This Row],[Canal]]))</f>
        <v>Paid Search</v>
      </c>
      <c r="P2197" t="str">
        <f>TRIM(PROPER(Tabla_auditoría[[#This Row],[País]]))</f>
        <v>España</v>
      </c>
      <c r="Q2197" t="str">
        <f>TRIM(PROPER(Tabla_auditoría[[#This Row],[Dispositivo]]))</f>
        <v>Desktop</v>
      </c>
      <c r="R2197" t="str">
        <f>TRIM(PROPER(Tabla_auditoría[[#This Row],[Tipo_Campaña]]))</f>
        <v>Reconocimiento</v>
      </c>
      <c r="S2197" t="str">
        <f>TRIM(PROPER(Tabla_auditoría[[#This Row],[Responsable]]))</f>
        <v>Laura Pérez</v>
      </c>
    </row>
    <row r="2198" spans="1:19" x14ac:dyDescent="0.3">
      <c r="A2198" s="1">
        <v>45698</v>
      </c>
      <c r="B2198" s="2" t="s">
        <v>2555</v>
      </c>
      <c r="C2198" s="2" t="s">
        <v>2533</v>
      </c>
      <c r="D2198" s="2" t="s">
        <v>2525</v>
      </c>
      <c r="E2198" s="2" t="s">
        <v>2529</v>
      </c>
      <c r="F2198" s="3">
        <v>95972</v>
      </c>
      <c r="G2198" s="3">
        <v>986</v>
      </c>
      <c r="H2198" s="3">
        <v>28</v>
      </c>
      <c r="I2198" s="4">
        <v>1072.3399999999999</v>
      </c>
      <c r="J2198" s="4">
        <v>5741.78</v>
      </c>
      <c r="K2198" s="3">
        <v>22</v>
      </c>
      <c r="L2198" s="2" t="s">
        <v>2536</v>
      </c>
      <c r="M2198" s="2" t="s">
        <v>2519</v>
      </c>
      <c r="N2198" t="str">
        <f>TRIM(PROPER(Tabla_auditoría[[#This Row],[ID_Campaña]]))</f>
        <v>Cmp-010</v>
      </c>
      <c r="O2198" t="str">
        <f>TRIM(PROPER(Tabla_auditoría[[#This Row],[Canal]]))</f>
        <v>Paid Social</v>
      </c>
      <c r="P2198" t="str">
        <f>TRIM(PROPER(Tabla_auditoría[[#This Row],[País]]))</f>
        <v>Francia</v>
      </c>
      <c r="Q2198" t="str">
        <f>TRIM(PROPER(Tabla_auditoría[[#This Row],[Dispositivo]]))</f>
        <v>Mobile</v>
      </c>
      <c r="R2198" t="str">
        <f>TRIM(PROPER(Tabla_auditoría[[#This Row],[Tipo_Campaña]]))</f>
        <v>Reconocimiento</v>
      </c>
      <c r="S2198" t="str">
        <f>TRIM(PROPER(Tabla_auditoría[[#This Row],[Responsable]]))</f>
        <v>Carlos Ruiz</v>
      </c>
    </row>
    <row r="2199" spans="1:19" x14ac:dyDescent="0.3">
      <c r="A2199" s="1">
        <v>45687</v>
      </c>
      <c r="B2199" s="2" t="s">
        <v>2569</v>
      </c>
      <c r="C2199" s="2" t="s">
        <v>2527</v>
      </c>
      <c r="D2199" s="2" t="s">
        <v>2528</v>
      </c>
      <c r="E2199" s="2" t="s">
        <v>2561</v>
      </c>
      <c r="F2199" s="3">
        <v>176952</v>
      </c>
      <c r="G2199" s="3">
        <v>10671</v>
      </c>
      <c r="H2199" s="3">
        <v>955</v>
      </c>
      <c r="I2199" s="4">
        <v>16314.27</v>
      </c>
      <c r="J2199" s="4">
        <v>168400.17</v>
      </c>
      <c r="K2199" s="3">
        <v>670</v>
      </c>
      <c r="L2199" s="2" t="s">
        <v>2523</v>
      </c>
      <c r="M2199" s="2" t="s">
        <v>2526</v>
      </c>
      <c r="N2199" t="str">
        <f>TRIM(PROPER(Tabla_auditoría[[#This Row],[ID_Campaña]]))</f>
        <v>Cmp-013</v>
      </c>
      <c r="O2199" t="str">
        <f>TRIM(PROPER(Tabla_auditoría[[#This Row],[Canal]]))</f>
        <v>Affiliate</v>
      </c>
      <c r="P2199" t="str">
        <f>TRIM(PROPER(Tabla_auditoría[[#This Row],[País]]))</f>
        <v>España</v>
      </c>
      <c r="Q2199" t="str">
        <f>TRIM(PROPER(Tabla_auditoría[[#This Row],[Dispositivo]]))</f>
        <v>Mobile</v>
      </c>
      <c r="R2199" t="str">
        <f>TRIM(PROPER(Tabla_auditoría[[#This Row],[Tipo_Campaña]]))</f>
        <v>Retención</v>
      </c>
      <c r="S2199" t="str">
        <f>TRIM(PROPER(Tabla_auditoría[[#This Row],[Responsable]]))</f>
        <v>Laura Pérez</v>
      </c>
    </row>
    <row r="2200" spans="1:19" x14ac:dyDescent="0.3">
      <c r="A2200" s="1">
        <v>45795</v>
      </c>
      <c r="B2200" s="2" t="s">
        <v>2545</v>
      </c>
      <c r="C2200" s="2" t="s">
        <v>2527</v>
      </c>
      <c r="D2200" s="2" t="s">
        <v>2580</v>
      </c>
      <c r="E2200" s="2" t="s">
        <v>2529</v>
      </c>
      <c r="F2200" s="3">
        <v>53552</v>
      </c>
      <c r="G2200" s="3">
        <v>2249</v>
      </c>
      <c r="H2200" s="3">
        <v>170</v>
      </c>
      <c r="I2200" s="4">
        <v>3539.52</v>
      </c>
      <c r="J2200" s="4">
        <v>20810.72</v>
      </c>
      <c r="K2200" s="3">
        <v>141</v>
      </c>
      <c r="L2200" s="2" t="s">
        <v>2523</v>
      </c>
      <c r="M2200" s="2" t="s">
        <v>2546</v>
      </c>
      <c r="N2200" t="str">
        <f>TRIM(PROPER(Tabla_auditoría[[#This Row],[ID_Campaña]]))</f>
        <v>Cmp-011</v>
      </c>
      <c r="O2200" t="str">
        <f>TRIM(PROPER(Tabla_auditoría[[#This Row],[Canal]]))</f>
        <v>Affiliate</v>
      </c>
      <c r="P2200" t="str">
        <f>TRIM(PROPER(Tabla_auditoría[[#This Row],[País]]))</f>
        <v>México</v>
      </c>
      <c r="Q2200" t="str">
        <f>TRIM(PROPER(Tabla_auditoría[[#This Row],[Dispositivo]]))</f>
        <v>Mobile</v>
      </c>
      <c r="R2200" t="str">
        <f>TRIM(PROPER(Tabla_auditoría[[#This Row],[Tipo_Campaña]]))</f>
        <v>Retención</v>
      </c>
      <c r="S2200" t="str">
        <f>TRIM(PROPER(Tabla_auditoría[[#This Row],[Responsable]]))</f>
        <v>Ana García</v>
      </c>
    </row>
    <row r="2201" spans="1:19" x14ac:dyDescent="0.3">
      <c r="A2201" s="1">
        <v>45745</v>
      </c>
      <c r="B2201" s="2" t="s">
        <v>2567</v>
      </c>
      <c r="C2201" s="2" t="s">
        <v>2527</v>
      </c>
      <c r="D2201" s="2" t="s">
        <v>2528</v>
      </c>
      <c r="E2201" s="2" t="s">
        <v>2517</v>
      </c>
      <c r="F2201" s="3">
        <v>93683</v>
      </c>
      <c r="G2201" s="3">
        <v>661</v>
      </c>
      <c r="H2201" s="3">
        <v>4</v>
      </c>
      <c r="I2201" s="4">
        <v>655.41</v>
      </c>
      <c r="J2201" s="4">
        <v>604.12</v>
      </c>
      <c r="K2201" s="3">
        <v>2</v>
      </c>
      <c r="L2201" s="2" t="s">
        <v>2536</v>
      </c>
      <c r="M2201" s="2" t="s">
        <v>2519</v>
      </c>
      <c r="N2201" t="str">
        <f>TRIM(PROPER(Tabla_auditoría[[#This Row],[ID_Campaña]]))</f>
        <v>Cmp-021</v>
      </c>
      <c r="O2201" t="str">
        <f>TRIM(PROPER(Tabla_auditoría[[#This Row],[Canal]]))</f>
        <v>Affiliate</v>
      </c>
      <c r="P2201" t="str">
        <f>TRIM(PROPER(Tabla_auditoría[[#This Row],[País]]))</f>
        <v>España</v>
      </c>
      <c r="Q2201" t="str">
        <f>TRIM(PROPER(Tabla_auditoría[[#This Row],[Dispositivo]]))</f>
        <v>Desktop</v>
      </c>
      <c r="R2201" t="str">
        <f>TRIM(PROPER(Tabla_auditoría[[#This Row],[Tipo_Campaña]]))</f>
        <v>Reconocimiento</v>
      </c>
      <c r="S2201" t="str">
        <f>TRIM(PROPER(Tabla_auditoría[[#This Row],[Responsable]]))</f>
        <v>Carlos Ruiz</v>
      </c>
    </row>
    <row r="2202" spans="1:19" x14ac:dyDescent="0.3">
      <c r="A2202" s="1">
        <v>45886</v>
      </c>
      <c r="B2202" s="2" t="s">
        <v>2514</v>
      </c>
      <c r="C2202" s="2" t="s">
        <v>2515</v>
      </c>
      <c r="D2202" s="2" t="s">
        <v>2516</v>
      </c>
      <c r="E2202" s="2" t="s">
        <v>2534</v>
      </c>
      <c r="F2202" s="3">
        <v>56276</v>
      </c>
      <c r="G2202" s="3">
        <v>460</v>
      </c>
      <c r="H2202" s="3">
        <v>14</v>
      </c>
      <c r="I2202" s="4">
        <v>369.18</v>
      </c>
      <c r="J2202" s="4">
        <v>3077.41</v>
      </c>
      <c r="K2202" s="3">
        <v>10</v>
      </c>
      <c r="L2202" s="2" t="s">
        <v>2536</v>
      </c>
      <c r="M2202" s="2" t="s">
        <v>2526</v>
      </c>
      <c r="N2202" t="str">
        <f>TRIM(PROPER(Tabla_auditoría[[#This Row],[ID_Campaña]]))</f>
        <v>Cmp-002</v>
      </c>
      <c r="O2202" t="str">
        <f>TRIM(PROPER(Tabla_auditoría[[#This Row],[Canal]]))</f>
        <v>Email</v>
      </c>
      <c r="P2202" t="str">
        <f>TRIM(PROPER(Tabla_auditoría[[#This Row],[País]]))</f>
        <v>México</v>
      </c>
      <c r="Q2202" t="str">
        <f>TRIM(PROPER(Tabla_auditoría[[#This Row],[Dispositivo]]))</f>
        <v>Tablet</v>
      </c>
      <c r="R2202" t="str">
        <f>TRIM(PROPER(Tabla_auditoría[[#This Row],[Tipo_Campaña]]))</f>
        <v>Reconocimiento</v>
      </c>
      <c r="S2202" t="str">
        <f>TRIM(PROPER(Tabla_auditoría[[#This Row],[Responsable]]))</f>
        <v>Laura Pérez</v>
      </c>
    </row>
    <row r="2203" spans="1:19" x14ac:dyDescent="0.3">
      <c r="A2203" s="1">
        <v>45865</v>
      </c>
      <c r="B2203" s="2" t="s">
        <v>2565</v>
      </c>
      <c r="C2203" s="2" t="s">
        <v>2521</v>
      </c>
      <c r="D2203" s="2" t="s">
        <v>2525</v>
      </c>
      <c r="E2203" s="2" t="s">
        <v>2529</v>
      </c>
      <c r="F2203" s="3">
        <v>100849</v>
      </c>
      <c r="G2203" s="3">
        <v>5626</v>
      </c>
      <c r="H2203" s="3">
        <v>210</v>
      </c>
      <c r="I2203" s="4">
        <v>2276.66</v>
      </c>
      <c r="J2203" s="4">
        <v>16300.07</v>
      </c>
      <c r="K2203" s="3">
        <v>111</v>
      </c>
      <c r="L2203" s="2" t="s">
        <v>2523</v>
      </c>
      <c r="M2203" s="2" t="s">
        <v>2519</v>
      </c>
      <c r="N2203" t="str">
        <f>TRIM(PROPER(Tabla_auditoría[[#This Row],[ID_Campaña]]))</f>
        <v>Cmp-005</v>
      </c>
      <c r="O2203" t="str">
        <f>TRIM(PROPER(Tabla_auditoría[[#This Row],[Canal]]))</f>
        <v>Paid Search</v>
      </c>
      <c r="P2203" t="str">
        <f>TRIM(PROPER(Tabla_auditoría[[#This Row],[País]]))</f>
        <v>Francia</v>
      </c>
      <c r="Q2203" t="str">
        <f>TRIM(PROPER(Tabla_auditoría[[#This Row],[Dispositivo]]))</f>
        <v>Mobile</v>
      </c>
      <c r="R2203" t="str">
        <f>TRIM(PROPER(Tabla_auditoría[[#This Row],[Tipo_Campaña]]))</f>
        <v>Retención</v>
      </c>
      <c r="S2203" t="str">
        <f>TRIM(PROPER(Tabla_auditoría[[#This Row],[Responsable]]))</f>
        <v>Carlos Ruiz</v>
      </c>
    </row>
    <row r="2204" spans="1:19" x14ac:dyDescent="0.3">
      <c r="A2204" s="1">
        <v>45892</v>
      </c>
      <c r="B2204" s="2" t="s">
        <v>2560</v>
      </c>
      <c r="C2204" s="2" t="s">
        <v>2515</v>
      </c>
      <c r="D2204" s="2" t="s">
        <v>2525</v>
      </c>
      <c r="E2204" s="2" t="s">
        <v>2534</v>
      </c>
      <c r="F2204" s="3">
        <v>23456</v>
      </c>
      <c r="G2204" s="3">
        <v>1825</v>
      </c>
      <c r="H2204" s="3">
        <v>32</v>
      </c>
      <c r="I2204" s="4">
        <v>3777.26</v>
      </c>
      <c r="J2204" s="4">
        <v>6704.32</v>
      </c>
      <c r="K2204" s="3">
        <v>14</v>
      </c>
      <c r="L2204" s="2" t="s">
        <v>2518</v>
      </c>
      <c r="M2204" s="2" t="s">
        <v>2546</v>
      </c>
      <c r="N2204" t="str">
        <f>TRIM(PROPER(Tabla_auditoría[[#This Row],[ID_Campaña]]))</f>
        <v>Cmp-027</v>
      </c>
      <c r="O2204" t="str">
        <f>TRIM(PROPER(Tabla_auditoría[[#This Row],[Canal]]))</f>
        <v>Email</v>
      </c>
      <c r="P2204" t="str">
        <f>TRIM(PROPER(Tabla_auditoría[[#This Row],[País]]))</f>
        <v>Francia</v>
      </c>
      <c r="Q2204" t="str">
        <f>TRIM(PROPER(Tabla_auditoría[[#This Row],[Dispositivo]]))</f>
        <v>Tablet</v>
      </c>
      <c r="R2204" t="str">
        <f>TRIM(PROPER(Tabla_auditoría[[#This Row],[Tipo_Campaña]]))</f>
        <v>Adquisición</v>
      </c>
      <c r="S2204" t="str">
        <f>TRIM(PROPER(Tabla_auditoría[[#This Row],[Responsable]]))</f>
        <v>Ana García</v>
      </c>
    </row>
    <row r="2205" spans="1:19" x14ac:dyDescent="0.3">
      <c r="A2205" s="1">
        <v>45711</v>
      </c>
      <c r="B2205" s="2" t="s">
        <v>2560</v>
      </c>
      <c r="C2205" s="2" t="s">
        <v>2533</v>
      </c>
      <c r="D2205" s="2" t="s">
        <v>2528</v>
      </c>
      <c r="E2205" s="2" t="s">
        <v>2517</v>
      </c>
      <c r="F2205" s="3">
        <v>2439</v>
      </c>
      <c r="G2205" s="3">
        <v>149</v>
      </c>
      <c r="H2205" s="3">
        <v>8</v>
      </c>
      <c r="I2205" s="4">
        <v>100</v>
      </c>
      <c r="J2205" s="4">
        <v>327.49</v>
      </c>
      <c r="K2205" s="3">
        <v>5</v>
      </c>
      <c r="L2205" s="2" t="s">
        <v>2523</v>
      </c>
      <c r="M2205" s="2" t="s">
        <v>2519</v>
      </c>
      <c r="N2205" t="str">
        <f>TRIM(PROPER(Tabla_auditoría[[#This Row],[ID_Campaña]]))</f>
        <v>Cmp-027</v>
      </c>
      <c r="O2205" t="str">
        <f>TRIM(PROPER(Tabla_auditoría[[#This Row],[Canal]]))</f>
        <v>Paid Social</v>
      </c>
      <c r="P2205" t="str">
        <f>TRIM(PROPER(Tabla_auditoría[[#This Row],[País]]))</f>
        <v>España</v>
      </c>
      <c r="Q2205" t="str">
        <f>TRIM(PROPER(Tabla_auditoría[[#This Row],[Dispositivo]]))</f>
        <v>Desktop</v>
      </c>
      <c r="R2205" t="str">
        <f>TRIM(PROPER(Tabla_auditoría[[#This Row],[Tipo_Campaña]]))</f>
        <v>Retención</v>
      </c>
      <c r="S2205" t="str">
        <f>TRIM(PROPER(Tabla_auditoría[[#This Row],[Responsable]]))</f>
        <v>Carlos Ruiz</v>
      </c>
    </row>
    <row r="2206" spans="1:19" x14ac:dyDescent="0.3">
      <c r="A2206" s="1">
        <v>45761</v>
      </c>
      <c r="B2206" s="2" t="s">
        <v>2557</v>
      </c>
      <c r="C2206" s="2" t="s">
        <v>2533</v>
      </c>
      <c r="D2206" s="2" t="s">
        <v>2580</v>
      </c>
      <c r="E2206" s="2" t="s">
        <v>2517</v>
      </c>
      <c r="F2206" s="3">
        <v>156012</v>
      </c>
      <c r="G2206" s="3">
        <v>3591</v>
      </c>
      <c r="H2206" s="3">
        <v>3628</v>
      </c>
      <c r="I2206" s="4">
        <v>5485.86</v>
      </c>
      <c r="J2206" s="4">
        <v>88579.93</v>
      </c>
      <c r="K2206" s="3">
        <v>296</v>
      </c>
      <c r="L2206" s="2" t="s">
        <v>2523</v>
      </c>
      <c r="M2206" s="2" t="s">
        <v>2524</v>
      </c>
      <c r="N2206" t="str">
        <f>TRIM(PROPER(Tabla_auditoría[[#This Row],[ID_Campaña]]))</f>
        <v>Cmp-030</v>
      </c>
      <c r="O2206" t="str">
        <f>TRIM(PROPER(Tabla_auditoría[[#This Row],[Canal]]))</f>
        <v>Paid Social</v>
      </c>
      <c r="P2206" t="str">
        <f>TRIM(PROPER(Tabla_auditoría[[#This Row],[País]]))</f>
        <v>México</v>
      </c>
      <c r="Q2206" t="str">
        <f>TRIM(PROPER(Tabla_auditoría[[#This Row],[Dispositivo]]))</f>
        <v>Desktop</v>
      </c>
      <c r="R2206" t="str">
        <f>TRIM(PROPER(Tabla_auditoría[[#This Row],[Tipo_Campaña]]))</f>
        <v>Retención</v>
      </c>
      <c r="S2206" t="str">
        <f>TRIM(PROPER(Tabla_auditoría[[#This Row],[Responsable]]))</f>
        <v>Luis Martín</v>
      </c>
    </row>
    <row r="2207" spans="1:19" x14ac:dyDescent="0.3">
      <c r="A2207" s="1">
        <v>45874</v>
      </c>
      <c r="B2207" s="2" t="s">
        <v>2570</v>
      </c>
      <c r="C2207" s="2" t="s">
        <v>2515</v>
      </c>
      <c r="D2207" s="2" t="s">
        <v>2516</v>
      </c>
      <c r="E2207" s="2" t="s">
        <v>2517</v>
      </c>
      <c r="F2207" s="3">
        <v>173230</v>
      </c>
      <c r="G2207" s="3">
        <v>11924</v>
      </c>
      <c r="H2207" s="3">
        <v>1645</v>
      </c>
      <c r="I2207" s="4">
        <v>11479.55</v>
      </c>
      <c r="J2207" s="4">
        <v>304204.21999999997</v>
      </c>
      <c r="K2207" s="3">
        <v>1144</v>
      </c>
      <c r="L2207" s="2" t="s">
        <v>2536</v>
      </c>
      <c r="M2207" s="2" t="s">
        <v>2524</v>
      </c>
      <c r="N2207" t="str">
        <f>TRIM(PROPER(Tabla_auditoría[[#This Row],[ID_Campaña]]))</f>
        <v>Cmp-016</v>
      </c>
      <c r="O2207" t="str">
        <f>TRIM(PROPER(Tabla_auditoría[[#This Row],[Canal]]))</f>
        <v>Email</v>
      </c>
      <c r="P2207" t="str">
        <f>TRIM(PROPER(Tabla_auditoría[[#This Row],[País]]))</f>
        <v>México</v>
      </c>
      <c r="Q2207" t="str">
        <f>TRIM(PROPER(Tabla_auditoría[[#This Row],[Dispositivo]]))</f>
        <v>Desktop</v>
      </c>
      <c r="R2207" t="str">
        <f>TRIM(PROPER(Tabla_auditoría[[#This Row],[Tipo_Campaña]]))</f>
        <v>Reconocimiento</v>
      </c>
      <c r="S2207" t="str">
        <f>TRIM(PROPER(Tabla_auditoría[[#This Row],[Responsable]]))</f>
        <v>Luis Martín</v>
      </c>
    </row>
    <row r="2208" spans="1:19" x14ac:dyDescent="0.3">
      <c r="A2208" s="1">
        <v>45995</v>
      </c>
      <c r="B2208" s="2" t="s">
        <v>2569</v>
      </c>
      <c r="C2208" s="2" t="s">
        <v>2543</v>
      </c>
      <c r="D2208" s="2" t="s">
        <v>2531</v>
      </c>
      <c r="E2208" s="2" t="s">
        <v>2517</v>
      </c>
      <c r="F2208" s="3">
        <v>22865</v>
      </c>
      <c r="G2208" s="3">
        <v>460</v>
      </c>
      <c r="H2208" s="3">
        <v>25</v>
      </c>
      <c r="I2208" s="4">
        <v>927.36</v>
      </c>
      <c r="J2208" s="4">
        <v>3465.97</v>
      </c>
      <c r="K2208" s="3">
        <v>11</v>
      </c>
      <c r="L2208" s="2" t="s">
        <v>2536</v>
      </c>
      <c r="M2208" s="2" t="s">
        <v>2524</v>
      </c>
      <c r="N2208" t="str">
        <f>TRIM(PROPER(Tabla_auditoría[[#This Row],[ID_Campaña]]))</f>
        <v>Cmp-013</v>
      </c>
      <c r="O2208" t="str">
        <f>TRIM(PROPER(Tabla_auditoría[[#This Row],[Canal]]))</f>
        <v>Organic Social</v>
      </c>
      <c r="P2208" t="str">
        <f>TRIM(PROPER(Tabla_auditoría[[#This Row],[País]]))</f>
        <v>Portugal</v>
      </c>
      <c r="Q2208" t="str">
        <f>TRIM(PROPER(Tabla_auditoría[[#This Row],[Dispositivo]]))</f>
        <v>Desktop</v>
      </c>
      <c r="R2208" t="str">
        <f>TRIM(PROPER(Tabla_auditoría[[#This Row],[Tipo_Campaña]]))</f>
        <v>Reconocimiento</v>
      </c>
      <c r="S2208" t="str">
        <f>TRIM(PROPER(Tabla_auditoría[[#This Row],[Responsable]]))</f>
        <v>Luis Martín</v>
      </c>
    </row>
    <row r="2209" spans="1:19" x14ac:dyDescent="0.3">
      <c r="A2209" s="1">
        <v>45668</v>
      </c>
      <c r="B2209" s="2" t="s">
        <v>2567</v>
      </c>
      <c r="C2209" s="2" t="s">
        <v>2521</v>
      </c>
      <c r="D2209" s="2" t="s">
        <v>2528</v>
      </c>
      <c r="E2209" s="2" t="s">
        <v>2517</v>
      </c>
      <c r="F2209" s="3">
        <v>65882</v>
      </c>
      <c r="G2209" s="3">
        <v>1224</v>
      </c>
      <c r="H2209" s="3">
        <v>50</v>
      </c>
      <c r="I2209" s="4">
        <v>2353.34</v>
      </c>
      <c r="J2209" s="4">
        <v>7977.19</v>
      </c>
      <c r="K2209" s="3">
        <v>33</v>
      </c>
      <c r="L2209" s="2" t="s">
        <v>2523</v>
      </c>
      <c r="M2209" s="2" t="s">
        <v>2524</v>
      </c>
      <c r="N2209" t="str">
        <f>TRIM(PROPER(Tabla_auditoría[[#This Row],[ID_Campaña]]))</f>
        <v>Cmp-021</v>
      </c>
      <c r="O2209" t="str">
        <f>TRIM(PROPER(Tabla_auditoría[[#This Row],[Canal]]))</f>
        <v>Paid Search</v>
      </c>
      <c r="P2209" t="str">
        <f>TRIM(PROPER(Tabla_auditoría[[#This Row],[País]]))</f>
        <v>España</v>
      </c>
      <c r="Q2209" t="str">
        <f>TRIM(PROPER(Tabla_auditoría[[#This Row],[Dispositivo]]))</f>
        <v>Desktop</v>
      </c>
      <c r="R2209" t="str">
        <f>TRIM(PROPER(Tabla_auditoría[[#This Row],[Tipo_Campaña]]))</f>
        <v>Retención</v>
      </c>
      <c r="S2209" t="str">
        <f>TRIM(PROPER(Tabla_auditoría[[#This Row],[Responsable]]))</f>
        <v>Luis Martín</v>
      </c>
    </row>
    <row r="2210" spans="1:19" x14ac:dyDescent="0.3">
      <c r="A2210" s="1">
        <v>45697</v>
      </c>
      <c r="B2210" s="2" t="s">
        <v>2568</v>
      </c>
      <c r="C2210" s="2" t="s">
        <v>2521</v>
      </c>
      <c r="D2210" s="2" t="s">
        <v>2528</v>
      </c>
      <c r="E2210" s="2" t="s">
        <v>2529</v>
      </c>
      <c r="F2210" s="3">
        <v>178182</v>
      </c>
      <c r="G2210" s="3">
        <v>8974</v>
      </c>
      <c r="H2210" s="3">
        <v>511</v>
      </c>
      <c r="I2210" s="4">
        <v>13140.71</v>
      </c>
      <c r="J2210" s="4">
        <v>111714.96</v>
      </c>
      <c r="K2210" s="3">
        <v>422</v>
      </c>
      <c r="L2210" s="2" t="s">
        <v>2536</v>
      </c>
      <c r="M2210" s="2" t="s">
        <v>2526</v>
      </c>
      <c r="N2210" t="str">
        <f>TRIM(PROPER(Tabla_auditoría[[#This Row],[ID_Campaña]]))</f>
        <v>Cmp-020</v>
      </c>
      <c r="O2210" t="str">
        <f>TRIM(PROPER(Tabla_auditoría[[#This Row],[Canal]]))</f>
        <v>Paid Search</v>
      </c>
      <c r="P2210" t="str">
        <f>TRIM(PROPER(Tabla_auditoría[[#This Row],[País]]))</f>
        <v>España</v>
      </c>
      <c r="Q2210" t="str">
        <f>TRIM(PROPER(Tabla_auditoría[[#This Row],[Dispositivo]]))</f>
        <v>Mobile</v>
      </c>
      <c r="R2210" t="str">
        <f>TRIM(PROPER(Tabla_auditoría[[#This Row],[Tipo_Campaña]]))</f>
        <v>Reconocimiento</v>
      </c>
      <c r="S2210" t="str">
        <f>TRIM(PROPER(Tabla_auditoría[[#This Row],[Responsable]]))</f>
        <v>Laura Pérez</v>
      </c>
    </row>
    <row r="2211" spans="1:19" x14ac:dyDescent="0.3">
      <c r="A2211" s="1">
        <v>45698</v>
      </c>
      <c r="B2211" s="2" t="s">
        <v>2552</v>
      </c>
      <c r="C2211" s="2" t="s">
        <v>2533</v>
      </c>
      <c r="E2211" s="2" t="s">
        <v>2517</v>
      </c>
      <c r="F2211" s="3">
        <v>90182</v>
      </c>
      <c r="G2211" s="3">
        <v>6723</v>
      </c>
      <c r="H2211" s="3">
        <v>525</v>
      </c>
      <c r="I2211" s="4">
        <v>12012.57</v>
      </c>
      <c r="J2211" s="4">
        <v>104939.41</v>
      </c>
      <c r="K2211" s="3">
        <v>357</v>
      </c>
      <c r="L2211" s="2" t="s">
        <v>2539</v>
      </c>
      <c r="M2211" s="2" t="s">
        <v>2524</v>
      </c>
      <c r="N2211" t="str">
        <f>TRIM(PROPER(Tabla_auditoría[[#This Row],[ID_Campaña]]))</f>
        <v>Cmp-012</v>
      </c>
      <c r="O2211" t="str">
        <f>TRIM(PROPER(Tabla_auditoría[[#This Row],[Canal]]))</f>
        <v>Paid Social</v>
      </c>
      <c r="P2211" t="str">
        <f>TRIM(PROPER(Tabla_auditoría[[#This Row],[País]]))</f>
        <v/>
      </c>
      <c r="Q2211" t="str">
        <f>TRIM(PROPER(Tabla_auditoría[[#This Row],[Dispositivo]]))</f>
        <v>Desktop</v>
      </c>
      <c r="R2211" t="str">
        <f>TRIM(PROPER(Tabla_auditoría[[#This Row],[Tipo_Campaña]]))</f>
        <v>Conversión</v>
      </c>
      <c r="S2211" t="str">
        <f>TRIM(PROPER(Tabla_auditoría[[#This Row],[Responsable]]))</f>
        <v>Luis Martín</v>
      </c>
    </row>
    <row r="2212" spans="1:19" x14ac:dyDescent="0.3">
      <c r="A2212" s="1">
        <v>45757</v>
      </c>
      <c r="B2212" s="2" t="s">
        <v>2555</v>
      </c>
      <c r="C2212" s="2" t="s">
        <v>2521</v>
      </c>
      <c r="D2212" s="2" t="s">
        <v>2525</v>
      </c>
      <c r="E2212" s="2" t="s">
        <v>2529</v>
      </c>
      <c r="F2212" s="3">
        <v>77014</v>
      </c>
      <c r="G2212" s="3">
        <v>3981</v>
      </c>
      <c r="H2212" s="3">
        <v>280</v>
      </c>
      <c r="I2212" s="4">
        <v>4426.57</v>
      </c>
      <c r="J2212" s="4">
        <v>40102.15</v>
      </c>
      <c r="K2212" s="3">
        <v>198</v>
      </c>
      <c r="L2212" s="2" t="s">
        <v>2523</v>
      </c>
      <c r="M2212" s="2" t="s">
        <v>2526</v>
      </c>
      <c r="N2212" t="str">
        <f>TRIM(PROPER(Tabla_auditoría[[#This Row],[ID_Campaña]]))</f>
        <v>Cmp-010</v>
      </c>
      <c r="O2212" t="str">
        <f>TRIM(PROPER(Tabla_auditoría[[#This Row],[Canal]]))</f>
        <v>Paid Search</v>
      </c>
      <c r="P2212" t="str">
        <f>TRIM(PROPER(Tabla_auditoría[[#This Row],[País]]))</f>
        <v>Francia</v>
      </c>
      <c r="Q2212" t="str">
        <f>TRIM(PROPER(Tabla_auditoría[[#This Row],[Dispositivo]]))</f>
        <v>Mobile</v>
      </c>
      <c r="R2212" t="str">
        <f>TRIM(PROPER(Tabla_auditoría[[#This Row],[Tipo_Campaña]]))</f>
        <v>Retención</v>
      </c>
      <c r="S2212" t="str">
        <f>TRIM(PROPER(Tabla_auditoría[[#This Row],[Responsable]]))</f>
        <v>Laura Pérez</v>
      </c>
    </row>
    <row r="2213" spans="1:19" x14ac:dyDescent="0.3">
      <c r="A2213" s="1">
        <v>45906</v>
      </c>
      <c r="B2213" s="2" t="s">
        <v>2540</v>
      </c>
      <c r="C2213" s="2" t="s">
        <v>2515</v>
      </c>
      <c r="D2213" s="2" t="s">
        <v>2531</v>
      </c>
      <c r="E2213" s="2" t="s">
        <v>2517</v>
      </c>
      <c r="F2213" s="3">
        <v>176682</v>
      </c>
      <c r="G2213" s="3">
        <v>13206</v>
      </c>
      <c r="H2213" s="3">
        <v>1272</v>
      </c>
      <c r="I2213" s="4">
        <v>4385.3100000000004</v>
      </c>
      <c r="J2213" s="4">
        <v>277076.03999999998</v>
      </c>
      <c r="K2213" s="3">
        <v>672</v>
      </c>
      <c r="L2213" s="2" t="s">
        <v>2523</v>
      </c>
      <c r="M2213" s="2" t="s">
        <v>2526</v>
      </c>
      <c r="N2213" t="str">
        <f>TRIM(PROPER(Tabla_auditoría[[#This Row],[ID_Campaña]]))</f>
        <v>Cmp-017</v>
      </c>
      <c r="O2213" t="str">
        <f>TRIM(PROPER(Tabla_auditoría[[#This Row],[Canal]]))</f>
        <v>Email</v>
      </c>
      <c r="P2213" t="str">
        <f>TRIM(PROPER(Tabla_auditoría[[#This Row],[País]]))</f>
        <v>Portugal</v>
      </c>
      <c r="Q2213" t="str">
        <f>TRIM(PROPER(Tabla_auditoría[[#This Row],[Dispositivo]]))</f>
        <v>Desktop</v>
      </c>
      <c r="R2213" t="str">
        <f>TRIM(PROPER(Tabla_auditoría[[#This Row],[Tipo_Campaña]]))</f>
        <v>Retención</v>
      </c>
      <c r="S2213" t="str">
        <f>TRIM(PROPER(Tabla_auditoría[[#This Row],[Responsable]]))</f>
        <v>Laura Pérez</v>
      </c>
    </row>
    <row r="2214" spans="1:19" x14ac:dyDescent="0.3">
      <c r="A2214" s="1">
        <v>45797</v>
      </c>
      <c r="B2214" s="2" t="s">
        <v>2514</v>
      </c>
      <c r="C2214" s="2" t="s">
        <v>2541</v>
      </c>
      <c r="D2214" s="2" t="s">
        <v>2516</v>
      </c>
      <c r="E2214" s="2" t="s">
        <v>2529</v>
      </c>
      <c r="F2214" s="3">
        <v>142911</v>
      </c>
      <c r="G2214" s="3">
        <v>8008</v>
      </c>
      <c r="H2214" s="3">
        <v>867</v>
      </c>
      <c r="I2214" s="4">
        <v>13892.23</v>
      </c>
      <c r="J2214" s="4">
        <v>81223.240000000005</v>
      </c>
      <c r="K2214" s="3">
        <v>753</v>
      </c>
      <c r="L2214" s="2" t="s">
        <v>2539</v>
      </c>
      <c r="M2214" s="2" t="s">
        <v>2526</v>
      </c>
      <c r="N2214" t="str">
        <f>TRIM(PROPER(Tabla_auditoría[[#This Row],[ID_Campaña]]))</f>
        <v>Cmp-002</v>
      </c>
      <c r="O2214" t="str">
        <f>TRIM(PROPER(Tabla_auditoría[[#This Row],[Canal]]))</f>
        <v>Display</v>
      </c>
      <c r="P2214" t="str">
        <f>TRIM(PROPER(Tabla_auditoría[[#This Row],[País]]))</f>
        <v>México</v>
      </c>
      <c r="Q2214" t="str">
        <f>TRIM(PROPER(Tabla_auditoría[[#This Row],[Dispositivo]]))</f>
        <v>Mobile</v>
      </c>
      <c r="R2214" t="str">
        <f>TRIM(PROPER(Tabla_auditoría[[#This Row],[Tipo_Campaña]]))</f>
        <v>Conversión</v>
      </c>
      <c r="S2214" t="str">
        <f>TRIM(PROPER(Tabla_auditoría[[#This Row],[Responsable]]))</f>
        <v>Laura Pérez</v>
      </c>
    </row>
    <row r="2215" spans="1:19" x14ac:dyDescent="0.3">
      <c r="A2215" s="1">
        <v>45877</v>
      </c>
      <c r="B2215" s="2" t="s">
        <v>2545</v>
      </c>
      <c r="C2215" s="2" t="s">
        <v>2541</v>
      </c>
      <c r="D2215" s="2" t="s">
        <v>2528</v>
      </c>
      <c r="E2215" s="2" t="s">
        <v>2517</v>
      </c>
      <c r="F2215" s="3">
        <v>39450</v>
      </c>
      <c r="G2215" s="3">
        <v>2980</v>
      </c>
      <c r="H2215" s="3">
        <v>223</v>
      </c>
      <c r="I2215" s="4">
        <v>595.88</v>
      </c>
      <c r="J2215" s="4">
        <v>47662.21</v>
      </c>
      <c r="K2215" s="3">
        <v>113</v>
      </c>
      <c r="L2215" s="2" t="s">
        <v>2536</v>
      </c>
      <c r="M2215" s="2" t="s">
        <v>2519</v>
      </c>
      <c r="N2215" t="str">
        <f>TRIM(PROPER(Tabla_auditoría[[#This Row],[ID_Campaña]]))</f>
        <v>Cmp-011</v>
      </c>
      <c r="O2215" t="str">
        <f>TRIM(PROPER(Tabla_auditoría[[#This Row],[Canal]]))</f>
        <v>Display</v>
      </c>
      <c r="P2215" t="str">
        <f>TRIM(PROPER(Tabla_auditoría[[#This Row],[País]]))</f>
        <v>España</v>
      </c>
      <c r="Q2215" t="str">
        <f>TRIM(PROPER(Tabla_auditoría[[#This Row],[Dispositivo]]))</f>
        <v>Desktop</v>
      </c>
      <c r="R2215" t="str">
        <f>TRIM(PROPER(Tabla_auditoría[[#This Row],[Tipo_Campaña]]))</f>
        <v>Reconocimiento</v>
      </c>
      <c r="S2215" t="str">
        <f>TRIM(PROPER(Tabla_auditoría[[#This Row],[Responsable]]))</f>
        <v>Carlos Ruiz</v>
      </c>
    </row>
    <row r="2216" spans="1:19" x14ac:dyDescent="0.3">
      <c r="A2216" s="1">
        <v>45956</v>
      </c>
      <c r="B2216" s="2" t="s">
        <v>2565</v>
      </c>
      <c r="C2216" s="2" t="s">
        <v>2515</v>
      </c>
      <c r="D2216" s="2" t="s">
        <v>2528</v>
      </c>
      <c r="E2216" s="2" t="s">
        <v>2529</v>
      </c>
      <c r="F2216" s="3">
        <v>39011</v>
      </c>
      <c r="G2216" s="3">
        <v>3388</v>
      </c>
      <c r="H2216" s="3">
        <v>373</v>
      </c>
      <c r="I2216" s="4">
        <v>6701.66</v>
      </c>
      <c r="J2216" s="4">
        <v>62472.22</v>
      </c>
      <c r="K2216" s="3">
        <v>175</v>
      </c>
      <c r="L2216" s="2" t="s">
        <v>2536</v>
      </c>
      <c r="M2216" s="2" t="s">
        <v>2526</v>
      </c>
      <c r="N2216" t="str">
        <f>TRIM(PROPER(Tabla_auditoría[[#This Row],[ID_Campaña]]))</f>
        <v>Cmp-005</v>
      </c>
      <c r="O2216" t="str">
        <f>TRIM(PROPER(Tabla_auditoría[[#This Row],[Canal]]))</f>
        <v>Email</v>
      </c>
      <c r="P2216" t="str">
        <f>TRIM(PROPER(Tabla_auditoría[[#This Row],[País]]))</f>
        <v>España</v>
      </c>
      <c r="Q2216" t="str">
        <f>TRIM(PROPER(Tabla_auditoría[[#This Row],[Dispositivo]]))</f>
        <v>Mobile</v>
      </c>
      <c r="R2216" t="str">
        <f>TRIM(PROPER(Tabla_auditoría[[#This Row],[Tipo_Campaña]]))</f>
        <v>Reconocimiento</v>
      </c>
      <c r="S2216" t="str">
        <f>TRIM(PROPER(Tabla_auditoría[[#This Row],[Responsable]]))</f>
        <v>Laura Pérez</v>
      </c>
    </row>
    <row r="2217" spans="1:19" x14ac:dyDescent="0.3">
      <c r="A2217" s="1">
        <v>45944</v>
      </c>
      <c r="B2217" s="2" t="s">
        <v>2552</v>
      </c>
      <c r="C2217" s="2" t="s">
        <v>2521</v>
      </c>
      <c r="D2217" s="2" t="s">
        <v>2528</v>
      </c>
      <c r="E2217" s="2" t="s">
        <v>2517</v>
      </c>
      <c r="F2217" s="3">
        <v>73538</v>
      </c>
      <c r="G2217" s="3">
        <v>2640</v>
      </c>
      <c r="H2217" s="3">
        <v>298</v>
      </c>
      <c r="I2217" s="4">
        <v>2968.35</v>
      </c>
      <c r="J2217" s="4">
        <v>17641.77</v>
      </c>
      <c r="K2217" s="3">
        <v>215</v>
      </c>
      <c r="L2217" s="2" t="s">
        <v>2539</v>
      </c>
      <c r="M2217" s="2" t="s">
        <v>2526</v>
      </c>
      <c r="N2217" t="str">
        <f>TRIM(PROPER(Tabla_auditoría[[#This Row],[ID_Campaña]]))</f>
        <v>Cmp-012</v>
      </c>
      <c r="O2217" t="str">
        <f>TRIM(PROPER(Tabla_auditoría[[#This Row],[Canal]]))</f>
        <v>Paid Search</v>
      </c>
      <c r="P2217" t="str">
        <f>TRIM(PROPER(Tabla_auditoría[[#This Row],[País]]))</f>
        <v>España</v>
      </c>
      <c r="Q2217" t="str">
        <f>TRIM(PROPER(Tabla_auditoría[[#This Row],[Dispositivo]]))</f>
        <v>Desktop</v>
      </c>
      <c r="R2217" t="str">
        <f>TRIM(PROPER(Tabla_auditoría[[#This Row],[Tipo_Campaña]]))</f>
        <v>Conversión</v>
      </c>
      <c r="S2217" t="str">
        <f>TRIM(PROPER(Tabla_auditoría[[#This Row],[Responsable]]))</f>
        <v>Laura Pérez</v>
      </c>
    </row>
    <row r="2218" spans="1:19" x14ac:dyDescent="0.3">
      <c r="A2218" s="1">
        <v>45856</v>
      </c>
      <c r="B2218" s="2" t="s">
        <v>2514</v>
      </c>
      <c r="C2218" s="2" t="s">
        <v>2533</v>
      </c>
      <c r="D2218" s="2" t="s">
        <v>2528</v>
      </c>
      <c r="E2218" s="2" t="s">
        <v>2517</v>
      </c>
      <c r="F2218" s="3">
        <v>34831</v>
      </c>
      <c r="G2218" s="3">
        <v>2795</v>
      </c>
      <c r="H2218" s="3">
        <v>66</v>
      </c>
      <c r="I2218" s="4">
        <v>633.70000000000005</v>
      </c>
      <c r="J2218" s="4">
        <v>8768.14</v>
      </c>
      <c r="K2218" s="3">
        <v>38</v>
      </c>
      <c r="L2218" s="2" t="s">
        <v>2536</v>
      </c>
      <c r="M2218" s="2" t="s">
        <v>2524</v>
      </c>
      <c r="N2218" t="str">
        <f>TRIM(PROPER(Tabla_auditoría[[#This Row],[ID_Campaña]]))</f>
        <v>Cmp-002</v>
      </c>
      <c r="O2218" t="str">
        <f>TRIM(PROPER(Tabla_auditoría[[#This Row],[Canal]]))</f>
        <v>Paid Social</v>
      </c>
      <c r="P2218" t="str">
        <f>TRIM(PROPER(Tabla_auditoría[[#This Row],[País]]))</f>
        <v>España</v>
      </c>
      <c r="Q2218" t="str">
        <f>TRIM(PROPER(Tabla_auditoría[[#This Row],[Dispositivo]]))</f>
        <v>Desktop</v>
      </c>
      <c r="R2218" t="str">
        <f>TRIM(PROPER(Tabla_auditoría[[#This Row],[Tipo_Campaña]]))</f>
        <v>Reconocimiento</v>
      </c>
      <c r="S2218" t="str">
        <f>TRIM(PROPER(Tabla_auditoría[[#This Row],[Responsable]]))</f>
        <v>Luis Martín</v>
      </c>
    </row>
    <row r="2219" spans="1:19" x14ac:dyDescent="0.3">
      <c r="A2219" s="1">
        <v>45767</v>
      </c>
      <c r="B2219" s="2" t="s">
        <v>2538</v>
      </c>
      <c r="C2219" s="2" t="s">
        <v>2553</v>
      </c>
      <c r="D2219" s="2" t="s">
        <v>2522</v>
      </c>
      <c r="E2219" s="2" t="s">
        <v>2517</v>
      </c>
      <c r="F2219" s="3">
        <v>57008</v>
      </c>
      <c r="G2219" s="3">
        <v>1663</v>
      </c>
      <c r="H2219" s="3">
        <v>182</v>
      </c>
      <c r="I2219" s="4">
        <v>2872.78</v>
      </c>
      <c r="J2219" s="4">
        <v>18341.77</v>
      </c>
      <c r="K2219" s="3">
        <v>135</v>
      </c>
      <c r="L2219" s="2" t="s">
        <v>2536</v>
      </c>
      <c r="M2219" s="2" t="s">
        <v>2524</v>
      </c>
      <c r="N2219" t="str">
        <f>TRIM(PROPER(Tabla_auditoría[[#This Row],[ID_Campaña]]))</f>
        <v>Cmp-004</v>
      </c>
      <c r="O2219" t="str">
        <f>TRIM(PROPER(Tabla_auditoría[[#This Row],[Canal]]))</f>
        <v>Email</v>
      </c>
      <c r="P2219" t="str">
        <f>TRIM(PROPER(Tabla_auditoría[[#This Row],[País]]))</f>
        <v>Italia</v>
      </c>
      <c r="Q2219" t="str">
        <f>TRIM(PROPER(Tabla_auditoría[[#This Row],[Dispositivo]]))</f>
        <v>Desktop</v>
      </c>
      <c r="R2219" t="str">
        <f>TRIM(PROPER(Tabla_auditoría[[#This Row],[Tipo_Campaña]]))</f>
        <v>Reconocimiento</v>
      </c>
      <c r="S2219" t="str">
        <f>TRIM(PROPER(Tabla_auditoría[[#This Row],[Responsable]]))</f>
        <v>Luis Martín</v>
      </c>
    </row>
    <row r="2220" spans="1:19" x14ac:dyDescent="0.3">
      <c r="A2220" s="1">
        <v>45780</v>
      </c>
      <c r="B2220" s="2" t="s">
        <v>2542</v>
      </c>
      <c r="C2220" s="2" t="s">
        <v>2541</v>
      </c>
      <c r="D2220" s="2" t="s">
        <v>2516</v>
      </c>
      <c r="E2220" s="2" t="s">
        <v>2529</v>
      </c>
      <c r="F2220" s="3">
        <v>159247</v>
      </c>
      <c r="G2220" s="3">
        <v>2760</v>
      </c>
      <c r="H2220" s="3">
        <v>341</v>
      </c>
      <c r="I2220" s="4">
        <v>1344.65</v>
      </c>
      <c r="J2220" s="4">
        <v>5226.42</v>
      </c>
      <c r="K2220" s="3">
        <v>214</v>
      </c>
      <c r="L2220" s="2" t="s">
        <v>2518</v>
      </c>
      <c r="M2220" s="2" t="s">
        <v>2524</v>
      </c>
      <c r="N2220" t="str">
        <f>TRIM(PROPER(Tabla_auditoría[[#This Row],[ID_Campaña]]))</f>
        <v>Cmp-025</v>
      </c>
      <c r="O2220" t="str">
        <f>TRIM(PROPER(Tabla_auditoría[[#This Row],[Canal]]))</f>
        <v>Display</v>
      </c>
      <c r="P2220" t="str">
        <f>TRIM(PROPER(Tabla_auditoría[[#This Row],[País]]))</f>
        <v>México</v>
      </c>
      <c r="Q2220" t="str">
        <f>TRIM(PROPER(Tabla_auditoría[[#This Row],[Dispositivo]]))</f>
        <v>Mobile</v>
      </c>
      <c r="R2220" t="str">
        <f>TRIM(PROPER(Tabla_auditoría[[#This Row],[Tipo_Campaña]]))</f>
        <v>Adquisición</v>
      </c>
      <c r="S2220" t="str">
        <f>TRIM(PROPER(Tabla_auditoría[[#This Row],[Responsable]]))</f>
        <v>Luis Martín</v>
      </c>
    </row>
    <row r="2221" spans="1:19" x14ac:dyDescent="0.3">
      <c r="A2221" s="1">
        <v>45823</v>
      </c>
      <c r="B2221" s="2" t="s">
        <v>2551</v>
      </c>
      <c r="C2221" s="2" t="s">
        <v>2515</v>
      </c>
      <c r="D2221" s="2" t="s">
        <v>2528</v>
      </c>
      <c r="E2221" s="2" t="s">
        <v>2517</v>
      </c>
      <c r="F2221" s="3">
        <v>20808</v>
      </c>
      <c r="G2221" s="3">
        <v>514</v>
      </c>
      <c r="H2221" s="3">
        <v>46</v>
      </c>
      <c r="I2221" s="4">
        <v>166.89</v>
      </c>
      <c r="J2221" s="4">
        <v>7574.86</v>
      </c>
      <c r="K2221" s="3">
        <v>34</v>
      </c>
      <c r="L2221" s="2" t="s">
        <v>2539</v>
      </c>
      <c r="M2221" s="2" t="s">
        <v>2524</v>
      </c>
      <c r="N2221" t="str">
        <f>TRIM(PROPER(Tabla_auditoría[[#This Row],[ID_Campaña]]))</f>
        <v>Cmp-028</v>
      </c>
      <c r="O2221" t="str">
        <f>TRIM(PROPER(Tabla_auditoría[[#This Row],[Canal]]))</f>
        <v>Email</v>
      </c>
      <c r="P2221" t="str">
        <f>TRIM(PROPER(Tabla_auditoría[[#This Row],[País]]))</f>
        <v>España</v>
      </c>
      <c r="Q2221" t="str">
        <f>TRIM(PROPER(Tabla_auditoría[[#This Row],[Dispositivo]]))</f>
        <v>Desktop</v>
      </c>
      <c r="R2221" t="str">
        <f>TRIM(PROPER(Tabla_auditoría[[#This Row],[Tipo_Campaña]]))</f>
        <v>Conversión</v>
      </c>
      <c r="S2221" t="str">
        <f>TRIM(PROPER(Tabla_auditoría[[#This Row],[Responsable]]))</f>
        <v>Luis Martín</v>
      </c>
    </row>
    <row r="2222" spans="1:19" x14ac:dyDescent="0.3">
      <c r="A2222" s="1">
        <v>45989</v>
      </c>
      <c r="B2222" s="2" t="s">
        <v>2551</v>
      </c>
      <c r="C2222" s="2" t="s">
        <v>2541</v>
      </c>
      <c r="D2222" s="2" t="s">
        <v>2528</v>
      </c>
      <c r="E2222" s="2" t="s">
        <v>2517</v>
      </c>
      <c r="F2222" s="3">
        <v>41853</v>
      </c>
      <c r="G2222" s="3">
        <v>585</v>
      </c>
      <c r="H2222" s="3">
        <v>53</v>
      </c>
      <c r="I2222" s="4">
        <v>906.25</v>
      </c>
      <c r="J2222" s="4">
        <v>5643.16</v>
      </c>
      <c r="K2222" s="3">
        <v>27</v>
      </c>
      <c r="L2222" s="2" t="s">
        <v>2523</v>
      </c>
      <c r="M2222" s="2" t="s">
        <v>2519</v>
      </c>
      <c r="N2222" t="str">
        <f>TRIM(PROPER(Tabla_auditoría[[#This Row],[ID_Campaña]]))</f>
        <v>Cmp-028</v>
      </c>
      <c r="O2222" t="str">
        <f>TRIM(PROPER(Tabla_auditoría[[#This Row],[Canal]]))</f>
        <v>Display</v>
      </c>
      <c r="P2222" t="str">
        <f>TRIM(PROPER(Tabla_auditoría[[#This Row],[País]]))</f>
        <v>España</v>
      </c>
      <c r="Q2222" t="str">
        <f>TRIM(PROPER(Tabla_auditoría[[#This Row],[Dispositivo]]))</f>
        <v>Desktop</v>
      </c>
      <c r="R2222" t="str">
        <f>TRIM(PROPER(Tabla_auditoría[[#This Row],[Tipo_Campaña]]))</f>
        <v>Retención</v>
      </c>
      <c r="S2222" t="str">
        <f>TRIM(PROPER(Tabla_auditoría[[#This Row],[Responsable]]))</f>
        <v>Carlos Ruiz</v>
      </c>
    </row>
    <row r="2223" spans="1:19" x14ac:dyDescent="0.3">
      <c r="A2223" s="1">
        <v>45844</v>
      </c>
      <c r="B2223" s="2" t="s">
        <v>2514</v>
      </c>
      <c r="C2223" s="2" t="s">
        <v>2533</v>
      </c>
      <c r="D2223" s="2" t="s">
        <v>2528</v>
      </c>
      <c r="E2223" s="2" t="s">
        <v>2517</v>
      </c>
      <c r="F2223" s="3">
        <v>104588</v>
      </c>
      <c r="G2223" s="3">
        <v>2472</v>
      </c>
      <c r="H2223" s="3">
        <v>142</v>
      </c>
      <c r="I2223" s="4">
        <v>832.3</v>
      </c>
      <c r="J2223" s="4">
        <v>11870.18</v>
      </c>
      <c r="K2223" s="3">
        <v>102</v>
      </c>
      <c r="L2223" s="2" t="s">
        <v>2539</v>
      </c>
      <c r="M2223" s="2" t="s">
        <v>2524</v>
      </c>
      <c r="N2223" t="str">
        <f>TRIM(PROPER(Tabla_auditoría[[#This Row],[ID_Campaña]]))</f>
        <v>Cmp-002</v>
      </c>
      <c r="O2223" t="str">
        <f>TRIM(PROPER(Tabla_auditoría[[#This Row],[Canal]]))</f>
        <v>Paid Social</v>
      </c>
      <c r="P2223" t="str">
        <f>TRIM(PROPER(Tabla_auditoría[[#This Row],[País]]))</f>
        <v>España</v>
      </c>
      <c r="Q2223" t="str">
        <f>TRIM(PROPER(Tabla_auditoría[[#This Row],[Dispositivo]]))</f>
        <v>Desktop</v>
      </c>
      <c r="R2223" t="str">
        <f>TRIM(PROPER(Tabla_auditoría[[#This Row],[Tipo_Campaña]]))</f>
        <v>Conversión</v>
      </c>
      <c r="S2223" t="str">
        <f>TRIM(PROPER(Tabla_auditoría[[#This Row],[Responsable]]))</f>
        <v>Luis Martín</v>
      </c>
    </row>
    <row r="2224" spans="1:19" x14ac:dyDescent="0.3">
      <c r="A2224" s="1">
        <v>45940</v>
      </c>
      <c r="B2224" s="2" t="s">
        <v>2542</v>
      </c>
      <c r="C2224" s="2" t="s">
        <v>2515</v>
      </c>
      <c r="D2224" s="2" t="s">
        <v>2528</v>
      </c>
      <c r="E2224" s="2" t="s">
        <v>2529</v>
      </c>
      <c r="F2224" s="3">
        <v>145436</v>
      </c>
      <c r="G2224" s="3">
        <v>1104</v>
      </c>
      <c r="H2224" s="3">
        <v>27</v>
      </c>
      <c r="I2224" s="4">
        <v>572.88</v>
      </c>
      <c r="J2224" s="4">
        <v>4268.9399999999996</v>
      </c>
      <c r="K2224" s="3">
        <v>23</v>
      </c>
      <c r="L2224" s="2" t="s">
        <v>2536</v>
      </c>
      <c r="M2224" s="2" t="s">
        <v>2524</v>
      </c>
      <c r="N2224" t="str">
        <f>TRIM(PROPER(Tabla_auditoría[[#This Row],[ID_Campaña]]))</f>
        <v>Cmp-025</v>
      </c>
      <c r="O2224" t="str">
        <f>TRIM(PROPER(Tabla_auditoría[[#This Row],[Canal]]))</f>
        <v>Email</v>
      </c>
      <c r="P2224" t="str">
        <f>TRIM(PROPER(Tabla_auditoría[[#This Row],[País]]))</f>
        <v>España</v>
      </c>
      <c r="Q2224" t="str">
        <f>TRIM(PROPER(Tabla_auditoría[[#This Row],[Dispositivo]]))</f>
        <v>Mobile</v>
      </c>
      <c r="R2224" t="str">
        <f>TRIM(PROPER(Tabla_auditoría[[#This Row],[Tipo_Campaña]]))</f>
        <v>Reconocimiento</v>
      </c>
      <c r="S2224" t="str">
        <f>TRIM(PROPER(Tabla_auditoría[[#This Row],[Responsable]]))</f>
        <v>Luis Martín</v>
      </c>
    </row>
    <row r="2225" spans="1:19" x14ac:dyDescent="0.3">
      <c r="A2225" s="1">
        <v>45981</v>
      </c>
      <c r="B2225" s="2" t="s">
        <v>2538</v>
      </c>
      <c r="C2225" s="2" t="s">
        <v>2527</v>
      </c>
      <c r="D2225" s="2" t="s">
        <v>2528</v>
      </c>
      <c r="E2225" s="2" t="s">
        <v>2529</v>
      </c>
      <c r="F2225" s="3">
        <v>25969</v>
      </c>
      <c r="G2225" s="3">
        <v>516</v>
      </c>
      <c r="H2225" s="3">
        <v>64</v>
      </c>
      <c r="I2225" s="4">
        <v>745.61</v>
      </c>
      <c r="J2225" s="4">
        <v>2220.69</v>
      </c>
      <c r="K2225" s="3">
        <v>37</v>
      </c>
      <c r="L2225" s="2" t="s">
        <v>2539</v>
      </c>
      <c r="M2225" s="2" t="s">
        <v>2519</v>
      </c>
      <c r="N2225" t="str">
        <f>TRIM(PROPER(Tabla_auditoría[[#This Row],[ID_Campaña]]))</f>
        <v>Cmp-004</v>
      </c>
      <c r="O2225" t="str">
        <f>TRIM(PROPER(Tabla_auditoría[[#This Row],[Canal]]))</f>
        <v>Affiliate</v>
      </c>
      <c r="P2225" t="str">
        <f>TRIM(PROPER(Tabla_auditoría[[#This Row],[País]]))</f>
        <v>España</v>
      </c>
      <c r="Q2225" t="str">
        <f>TRIM(PROPER(Tabla_auditoría[[#This Row],[Dispositivo]]))</f>
        <v>Mobile</v>
      </c>
      <c r="R2225" t="str">
        <f>TRIM(PROPER(Tabla_auditoría[[#This Row],[Tipo_Campaña]]))</f>
        <v>Conversión</v>
      </c>
      <c r="S2225" t="str">
        <f>TRIM(PROPER(Tabla_auditoría[[#This Row],[Responsable]]))</f>
        <v>Carlos Ruiz</v>
      </c>
    </row>
    <row r="2226" spans="1:19" x14ac:dyDescent="0.3">
      <c r="A2226" s="1">
        <v>45883</v>
      </c>
      <c r="B2226" s="2" t="s">
        <v>2555</v>
      </c>
      <c r="C2226" s="2" t="s">
        <v>2515</v>
      </c>
      <c r="D2226" s="2" t="s">
        <v>2522</v>
      </c>
      <c r="E2226" s="2" t="s">
        <v>2517</v>
      </c>
      <c r="F2226" s="3">
        <v>80817</v>
      </c>
      <c r="G2226" s="3">
        <v>5906</v>
      </c>
      <c r="H2226" s="3">
        <v>496</v>
      </c>
      <c r="I2226" s="4">
        <v>11741.17</v>
      </c>
      <c r="J2226" s="4">
        <v>82847.679999999993</v>
      </c>
      <c r="K2226" s="3">
        <v>439</v>
      </c>
      <c r="L2226" s="2" t="s">
        <v>2523</v>
      </c>
      <c r="M2226" s="2" t="s">
        <v>2524</v>
      </c>
      <c r="N2226" t="str">
        <f>TRIM(PROPER(Tabla_auditoría[[#This Row],[ID_Campaña]]))</f>
        <v>Cmp-010</v>
      </c>
      <c r="O2226" t="str">
        <f>TRIM(PROPER(Tabla_auditoría[[#This Row],[Canal]]))</f>
        <v>Email</v>
      </c>
      <c r="P2226" t="str">
        <f>TRIM(PROPER(Tabla_auditoría[[#This Row],[País]]))</f>
        <v>Italia</v>
      </c>
      <c r="Q2226" t="str">
        <f>TRIM(PROPER(Tabla_auditoría[[#This Row],[Dispositivo]]))</f>
        <v>Desktop</v>
      </c>
      <c r="R2226" t="str">
        <f>TRIM(PROPER(Tabla_auditoría[[#This Row],[Tipo_Campaña]]))</f>
        <v>Retención</v>
      </c>
      <c r="S2226" t="str">
        <f>TRIM(PROPER(Tabla_auditoría[[#This Row],[Responsable]]))</f>
        <v>Luis Martín</v>
      </c>
    </row>
    <row r="2227" spans="1:19" x14ac:dyDescent="0.3">
      <c r="A2227" s="1">
        <v>45948</v>
      </c>
      <c r="B2227" s="2" t="s">
        <v>2551</v>
      </c>
      <c r="C2227" s="2" t="s">
        <v>2553</v>
      </c>
      <c r="D2227" s="2" t="s">
        <v>2528</v>
      </c>
      <c r="E2227" s="2" t="s">
        <v>2529</v>
      </c>
      <c r="F2227" s="3">
        <v>97690</v>
      </c>
      <c r="G2227" s="3">
        <v>3481</v>
      </c>
      <c r="H2227" s="3">
        <v>217</v>
      </c>
      <c r="I2227" s="4">
        <v>1952.13</v>
      </c>
      <c r="J2227" s="4">
        <v>37073.89</v>
      </c>
      <c r="K2227" s="3">
        <v>148</v>
      </c>
      <c r="L2227" s="2" t="s">
        <v>2539</v>
      </c>
      <c r="N2227" t="str">
        <f>TRIM(PROPER(Tabla_auditoría[[#This Row],[ID_Campaña]]))</f>
        <v>Cmp-028</v>
      </c>
      <c r="O2227" t="str">
        <f>TRIM(PROPER(Tabla_auditoría[[#This Row],[Canal]]))</f>
        <v>Email</v>
      </c>
      <c r="P2227" t="str">
        <f>TRIM(PROPER(Tabla_auditoría[[#This Row],[País]]))</f>
        <v>España</v>
      </c>
      <c r="Q2227" t="str">
        <f>TRIM(PROPER(Tabla_auditoría[[#This Row],[Dispositivo]]))</f>
        <v>Mobile</v>
      </c>
      <c r="R2227" t="str">
        <f>TRIM(PROPER(Tabla_auditoría[[#This Row],[Tipo_Campaña]]))</f>
        <v>Conversión</v>
      </c>
      <c r="S2227" t="str">
        <f>TRIM(PROPER(Tabla_auditoría[[#This Row],[Responsable]]))</f>
        <v/>
      </c>
    </row>
    <row r="2228" spans="1:19" x14ac:dyDescent="0.3">
      <c r="A2228" s="1">
        <v>45885</v>
      </c>
      <c r="B2228" s="2" t="s">
        <v>2545</v>
      </c>
      <c r="C2228" s="2" t="s">
        <v>2533</v>
      </c>
      <c r="D2228" s="2" t="s">
        <v>2528</v>
      </c>
      <c r="E2228" s="2" t="s">
        <v>2517</v>
      </c>
      <c r="F2228" s="3">
        <v>11816</v>
      </c>
      <c r="G2228" s="3">
        <v>803</v>
      </c>
      <c r="H2228" s="3">
        <v>8</v>
      </c>
      <c r="I2228" s="4">
        <v>346.29</v>
      </c>
      <c r="J2228" s="4">
        <v>745.29</v>
      </c>
      <c r="K2228" s="3">
        <v>4</v>
      </c>
      <c r="L2228" s="2" t="s">
        <v>2536</v>
      </c>
      <c r="M2228" s="2" t="s">
        <v>2526</v>
      </c>
      <c r="N2228" t="str">
        <f>TRIM(PROPER(Tabla_auditoría[[#This Row],[ID_Campaña]]))</f>
        <v>Cmp-011</v>
      </c>
      <c r="O2228" t="str">
        <f>TRIM(PROPER(Tabla_auditoría[[#This Row],[Canal]]))</f>
        <v>Paid Social</v>
      </c>
      <c r="P2228" t="str">
        <f>TRIM(PROPER(Tabla_auditoría[[#This Row],[País]]))</f>
        <v>España</v>
      </c>
      <c r="Q2228" t="str">
        <f>TRIM(PROPER(Tabla_auditoría[[#This Row],[Dispositivo]]))</f>
        <v>Desktop</v>
      </c>
      <c r="R2228" t="str">
        <f>TRIM(PROPER(Tabla_auditoría[[#This Row],[Tipo_Campaña]]))</f>
        <v>Reconocimiento</v>
      </c>
      <c r="S2228" t="str">
        <f>TRIM(PROPER(Tabla_auditoría[[#This Row],[Responsable]]))</f>
        <v>Laura Pérez</v>
      </c>
    </row>
    <row r="2229" spans="1:19" x14ac:dyDescent="0.3">
      <c r="A2229" s="1">
        <v>45819</v>
      </c>
      <c r="B2229" s="2" t="s">
        <v>2520</v>
      </c>
      <c r="C2229" s="2" t="s">
        <v>2543</v>
      </c>
      <c r="D2229" s="2" t="s">
        <v>2516</v>
      </c>
      <c r="E2229" s="2" t="s">
        <v>2529</v>
      </c>
      <c r="F2229" s="3">
        <v>85263</v>
      </c>
      <c r="G2229" s="3">
        <v>2892</v>
      </c>
      <c r="H2229" s="3">
        <v>324</v>
      </c>
      <c r="I2229" s="4">
        <v>356.14</v>
      </c>
      <c r="J2229" s="4">
        <v>40983.31</v>
      </c>
      <c r="K2229" s="3">
        <v>200</v>
      </c>
      <c r="L2229" s="2" t="s">
        <v>2523</v>
      </c>
      <c r="M2229" s="2" t="s">
        <v>2537</v>
      </c>
      <c r="N2229" t="str">
        <f>TRIM(PROPER(Tabla_auditoría[[#This Row],[ID_Campaña]]))</f>
        <v>Cmp-009</v>
      </c>
      <c r="O2229" t="str">
        <f>TRIM(PROPER(Tabla_auditoría[[#This Row],[Canal]]))</f>
        <v>Organic Social</v>
      </c>
      <c r="P2229" t="str">
        <f>TRIM(PROPER(Tabla_auditoría[[#This Row],[País]]))</f>
        <v>México</v>
      </c>
      <c r="Q2229" t="str">
        <f>TRIM(PROPER(Tabla_auditoría[[#This Row],[Dispositivo]]))</f>
        <v>Mobile</v>
      </c>
      <c r="R2229" t="str">
        <f>TRIM(PROPER(Tabla_auditoría[[#This Row],[Tipo_Campaña]]))</f>
        <v>Retención</v>
      </c>
      <c r="S2229" t="str">
        <f>TRIM(PROPER(Tabla_auditoría[[#This Row],[Responsable]]))</f>
        <v>Marta López</v>
      </c>
    </row>
    <row r="2230" spans="1:19" x14ac:dyDescent="0.3">
      <c r="A2230" s="1">
        <v>45954</v>
      </c>
      <c r="B2230" s="2" t="s">
        <v>2565</v>
      </c>
      <c r="C2230" s="2" t="s">
        <v>2533</v>
      </c>
      <c r="D2230" s="2" t="s">
        <v>2573</v>
      </c>
      <c r="E2230" s="2" t="s">
        <v>2529</v>
      </c>
      <c r="F2230" s="3">
        <v>75858</v>
      </c>
      <c r="G2230" s="3">
        <v>6028</v>
      </c>
      <c r="H2230" s="3">
        <v>377</v>
      </c>
      <c r="I2230" s="4">
        <v>683.81</v>
      </c>
      <c r="J2230" s="4">
        <v>69660.91</v>
      </c>
      <c r="K2230" s="3">
        <v>193</v>
      </c>
      <c r="L2230" s="2" t="s">
        <v>2539</v>
      </c>
      <c r="M2230" s="2" t="s">
        <v>2524</v>
      </c>
      <c r="N2230" t="str">
        <f>TRIM(PROPER(Tabla_auditoría[[#This Row],[ID_Campaña]]))</f>
        <v>Cmp-005</v>
      </c>
      <c r="O2230" t="str">
        <f>TRIM(PROPER(Tabla_auditoría[[#This Row],[Canal]]))</f>
        <v>Paid Social</v>
      </c>
      <c r="P2230" t="str">
        <f>TRIM(PROPER(Tabla_auditoría[[#This Row],[País]]))</f>
        <v>España</v>
      </c>
      <c r="Q2230" t="str">
        <f>TRIM(PROPER(Tabla_auditoría[[#This Row],[Dispositivo]]))</f>
        <v>Mobile</v>
      </c>
      <c r="R2230" t="str">
        <f>TRIM(PROPER(Tabla_auditoría[[#This Row],[Tipo_Campaña]]))</f>
        <v>Conversión</v>
      </c>
      <c r="S2230" t="str">
        <f>TRIM(PROPER(Tabla_auditoría[[#This Row],[Responsable]]))</f>
        <v>Luis Martín</v>
      </c>
    </row>
    <row r="2231" spans="1:19" x14ac:dyDescent="0.3">
      <c r="A2231" s="1">
        <v>45986</v>
      </c>
      <c r="B2231" s="2" t="s">
        <v>2567</v>
      </c>
      <c r="C2231" s="2" t="s">
        <v>2515</v>
      </c>
      <c r="D2231" s="2" t="s">
        <v>2528</v>
      </c>
      <c r="E2231" s="2" t="s">
        <v>2529</v>
      </c>
      <c r="F2231" s="3">
        <v>46519</v>
      </c>
      <c r="G2231" s="3">
        <v>896</v>
      </c>
      <c r="H2231" s="3">
        <v>26</v>
      </c>
      <c r="I2231" s="4">
        <v>1246.43</v>
      </c>
      <c r="J2231" s="4">
        <v>4074.71</v>
      </c>
      <c r="K2231" s="3">
        <v>12</v>
      </c>
      <c r="L2231" s="2" t="s">
        <v>2523</v>
      </c>
      <c r="M2231" s="2" t="s">
        <v>2546</v>
      </c>
      <c r="N2231" t="str">
        <f>TRIM(PROPER(Tabla_auditoría[[#This Row],[ID_Campaña]]))</f>
        <v>Cmp-021</v>
      </c>
      <c r="O2231" t="str">
        <f>TRIM(PROPER(Tabla_auditoría[[#This Row],[Canal]]))</f>
        <v>Email</v>
      </c>
      <c r="P2231" t="str">
        <f>TRIM(PROPER(Tabla_auditoría[[#This Row],[País]]))</f>
        <v>España</v>
      </c>
      <c r="Q2231" t="str">
        <f>TRIM(PROPER(Tabla_auditoría[[#This Row],[Dispositivo]]))</f>
        <v>Mobile</v>
      </c>
      <c r="R2231" t="str">
        <f>TRIM(PROPER(Tabla_auditoría[[#This Row],[Tipo_Campaña]]))</f>
        <v>Retención</v>
      </c>
      <c r="S2231" t="str">
        <f>TRIM(PROPER(Tabla_auditoría[[#This Row],[Responsable]]))</f>
        <v>Ana García</v>
      </c>
    </row>
    <row r="2232" spans="1:19" x14ac:dyDescent="0.3">
      <c r="A2232" s="1">
        <v>45734</v>
      </c>
      <c r="B2232" s="2" t="s">
        <v>2540</v>
      </c>
      <c r="C2232" s="2" t="s">
        <v>2521</v>
      </c>
      <c r="D2232" s="2" t="s">
        <v>2531</v>
      </c>
      <c r="E2232" s="2" t="s">
        <v>2517</v>
      </c>
      <c r="F2232" s="3">
        <v>8716</v>
      </c>
      <c r="G2232" s="3">
        <v>633</v>
      </c>
      <c r="H2232" s="3">
        <v>28</v>
      </c>
      <c r="I2232" s="4">
        <v>425.02</v>
      </c>
      <c r="J2232" s="4">
        <v>3925.31</v>
      </c>
      <c r="K2232" s="3">
        <v>17</v>
      </c>
      <c r="L2232" s="2" t="s">
        <v>2536</v>
      </c>
      <c r="M2232" s="2" t="s">
        <v>2519</v>
      </c>
      <c r="N2232" t="str">
        <f>TRIM(PROPER(Tabla_auditoría[[#This Row],[ID_Campaña]]))</f>
        <v>Cmp-017</v>
      </c>
      <c r="O2232" t="str">
        <f>TRIM(PROPER(Tabla_auditoría[[#This Row],[Canal]]))</f>
        <v>Paid Search</v>
      </c>
      <c r="P2232" t="str">
        <f>TRIM(PROPER(Tabla_auditoría[[#This Row],[País]]))</f>
        <v>Portugal</v>
      </c>
      <c r="Q2232" t="str">
        <f>TRIM(PROPER(Tabla_auditoría[[#This Row],[Dispositivo]]))</f>
        <v>Desktop</v>
      </c>
      <c r="R2232" t="str">
        <f>TRIM(PROPER(Tabla_auditoría[[#This Row],[Tipo_Campaña]]))</f>
        <v>Reconocimiento</v>
      </c>
      <c r="S2232" t="str">
        <f>TRIM(PROPER(Tabla_auditoría[[#This Row],[Responsable]]))</f>
        <v>Carlos Ruiz</v>
      </c>
    </row>
    <row r="2233" spans="1:19" x14ac:dyDescent="0.3">
      <c r="A2233" s="1">
        <v>45674</v>
      </c>
      <c r="B2233" s="2" t="s">
        <v>2581</v>
      </c>
      <c r="C2233" s="2" t="s">
        <v>2541</v>
      </c>
      <c r="D2233" s="2" t="s">
        <v>2516</v>
      </c>
      <c r="E2233" s="2" t="s">
        <v>2529</v>
      </c>
      <c r="F2233" s="3">
        <v>17438</v>
      </c>
      <c r="G2233" s="3">
        <v>211</v>
      </c>
      <c r="H2233" s="3">
        <v>26</v>
      </c>
      <c r="I2233" s="4">
        <v>37.340000000000003</v>
      </c>
      <c r="J2233" s="4">
        <v>4020.37</v>
      </c>
      <c r="K2233" s="3">
        <v>14</v>
      </c>
      <c r="L2233" s="2" t="s">
        <v>2518</v>
      </c>
      <c r="M2233" s="2" t="s">
        <v>2546</v>
      </c>
      <c r="N2233" t="str">
        <f>TRIM(PROPER(Tabla_auditoría[[#This Row],[ID_Campaña]]))</f>
        <v>Cmp-009</v>
      </c>
      <c r="O2233" t="str">
        <f>TRIM(PROPER(Tabla_auditoría[[#This Row],[Canal]]))</f>
        <v>Display</v>
      </c>
      <c r="P2233" t="str">
        <f>TRIM(PROPER(Tabla_auditoría[[#This Row],[País]]))</f>
        <v>México</v>
      </c>
      <c r="Q2233" t="str">
        <f>TRIM(PROPER(Tabla_auditoría[[#This Row],[Dispositivo]]))</f>
        <v>Mobile</v>
      </c>
      <c r="R2233" t="str">
        <f>TRIM(PROPER(Tabla_auditoría[[#This Row],[Tipo_Campaña]]))</f>
        <v>Adquisición</v>
      </c>
      <c r="S2233" t="str">
        <f>TRIM(PROPER(Tabla_auditoría[[#This Row],[Responsable]]))</f>
        <v>Ana García</v>
      </c>
    </row>
    <row r="2234" spans="1:19" x14ac:dyDescent="0.3">
      <c r="A2234" s="1">
        <v>45864</v>
      </c>
      <c r="B2234" s="2" t="s">
        <v>2545</v>
      </c>
      <c r="C2234" s="2" t="s">
        <v>2543</v>
      </c>
      <c r="D2234" s="2" t="s">
        <v>2522</v>
      </c>
      <c r="E2234" s="2" t="s">
        <v>2529</v>
      </c>
      <c r="F2234" s="3">
        <v>3011</v>
      </c>
      <c r="G2234" s="3">
        <v>123</v>
      </c>
      <c r="H2234" s="3">
        <v>2</v>
      </c>
      <c r="I2234" s="4">
        <v>19.64</v>
      </c>
      <c r="J2234" s="4">
        <v>396.37</v>
      </c>
      <c r="K2234" s="3">
        <v>1</v>
      </c>
      <c r="L2234" s="2" t="s">
        <v>2536</v>
      </c>
      <c r="M2234" s="2" t="s">
        <v>2537</v>
      </c>
      <c r="N2234" t="str">
        <f>TRIM(PROPER(Tabla_auditoría[[#This Row],[ID_Campaña]]))</f>
        <v>Cmp-011</v>
      </c>
      <c r="O2234" t="str">
        <f>TRIM(PROPER(Tabla_auditoría[[#This Row],[Canal]]))</f>
        <v>Organic Social</v>
      </c>
      <c r="P2234" t="str">
        <f>TRIM(PROPER(Tabla_auditoría[[#This Row],[País]]))</f>
        <v>Italia</v>
      </c>
      <c r="Q2234" t="str">
        <f>TRIM(PROPER(Tabla_auditoría[[#This Row],[Dispositivo]]))</f>
        <v>Mobile</v>
      </c>
      <c r="R2234" t="str">
        <f>TRIM(PROPER(Tabla_auditoría[[#This Row],[Tipo_Campaña]]))</f>
        <v>Reconocimiento</v>
      </c>
      <c r="S2234" t="str">
        <f>TRIM(PROPER(Tabla_auditoría[[#This Row],[Responsable]]))</f>
        <v>Marta López</v>
      </c>
    </row>
    <row r="2235" spans="1:19" x14ac:dyDescent="0.3">
      <c r="A2235" s="1">
        <v>45697</v>
      </c>
      <c r="B2235" s="2" t="s">
        <v>2552</v>
      </c>
      <c r="C2235" s="2" t="s">
        <v>2543</v>
      </c>
      <c r="D2235" s="2" t="s">
        <v>2531</v>
      </c>
      <c r="E2235" s="2" t="s">
        <v>2517</v>
      </c>
      <c r="F2235" s="3">
        <v>23510</v>
      </c>
      <c r="G2235" s="3">
        <v>470</v>
      </c>
      <c r="H2235" s="3">
        <v>33</v>
      </c>
      <c r="I2235" s="4">
        <v>839.59</v>
      </c>
      <c r="J2235" s="4">
        <v>6278.69</v>
      </c>
      <c r="K2235" s="3">
        <v>22</v>
      </c>
      <c r="L2235" s="2" t="s">
        <v>2523</v>
      </c>
      <c r="M2235" s="2" t="s">
        <v>2526</v>
      </c>
      <c r="N2235" t="str">
        <f>TRIM(PROPER(Tabla_auditoría[[#This Row],[ID_Campaña]]))</f>
        <v>Cmp-012</v>
      </c>
      <c r="O2235" t="str">
        <f>TRIM(PROPER(Tabla_auditoría[[#This Row],[Canal]]))</f>
        <v>Organic Social</v>
      </c>
      <c r="P2235" t="str">
        <f>TRIM(PROPER(Tabla_auditoría[[#This Row],[País]]))</f>
        <v>Portugal</v>
      </c>
      <c r="Q2235" t="str">
        <f>TRIM(PROPER(Tabla_auditoría[[#This Row],[Dispositivo]]))</f>
        <v>Desktop</v>
      </c>
      <c r="R2235" t="str">
        <f>TRIM(PROPER(Tabla_auditoría[[#This Row],[Tipo_Campaña]]))</f>
        <v>Retención</v>
      </c>
      <c r="S2235" t="str">
        <f>TRIM(PROPER(Tabla_auditoría[[#This Row],[Responsable]]))</f>
        <v>Laura Pérez</v>
      </c>
    </row>
    <row r="2236" spans="1:19" x14ac:dyDescent="0.3">
      <c r="A2236" s="1">
        <v>45936</v>
      </c>
      <c r="B2236" s="2" t="s">
        <v>2514</v>
      </c>
      <c r="C2236" s="2" t="s">
        <v>2521</v>
      </c>
      <c r="D2236" s="2" t="s">
        <v>2525</v>
      </c>
      <c r="E2236" s="2" t="s">
        <v>2517</v>
      </c>
      <c r="F2236" s="3">
        <v>158769</v>
      </c>
      <c r="G2236" s="3">
        <v>8117</v>
      </c>
      <c r="H2236" s="3">
        <v>365</v>
      </c>
      <c r="I2236" s="4">
        <v>13976.51</v>
      </c>
      <c r="J2236" s="4">
        <v>27294.44</v>
      </c>
      <c r="K2236" s="3">
        <v>257</v>
      </c>
      <c r="L2236" s="2" t="s">
        <v>2523</v>
      </c>
      <c r="M2236" s="2" t="s">
        <v>2526</v>
      </c>
      <c r="N2236" t="str">
        <f>TRIM(PROPER(Tabla_auditoría[[#This Row],[ID_Campaña]]))</f>
        <v>Cmp-002</v>
      </c>
      <c r="O2236" t="str">
        <f>TRIM(PROPER(Tabla_auditoría[[#This Row],[Canal]]))</f>
        <v>Paid Search</v>
      </c>
      <c r="P2236" t="str">
        <f>TRIM(PROPER(Tabla_auditoría[[#This Row],[País]]))</f>
        <v>Francia</v>
      </c>
      <c r="Q2236" t="str">
        <f>TRIM(PROPER(Tabla_auditoría[[#This Row],[Dispositivo]]))</f>
        <v>Desktop</v>
      </c>
      <c r="R2236" t="str">
        <f>TRIM(PROPER(Tabla_auditoría[[#This Row],[Tipo_Campaña]]))</f>
        <v>Retención</v>
      </c>
      <c r="S2236" t="str">
        <f>TRIM(PROPER(Tabla_auditoría[[#This Row],[Responsable]]))</f>
        <v>Laura Pérez</v>
      </c>
    </row>
    <row r="2237" spans="1:19" x14ac:dyDescent="0.3">
      <c r="A2237" s="1">
        <v>46013</v>
      </c>
      <c r="B2237" s="2" t="s">
        <v>2550</v>
      </c>
      <c r="C2237" s="2" t="s">
        <v>2543</v>
      </c>
      <c r="D2237" s="2" t="s">
        <v>2528</v>
      </c>
      <c r="E2237" s="2" t="s">
        <v>2517</v>
      </c>
      <c r="F2237" s="3">
        <v>80262</v>
      </c>
      <c r="G2237" s="3">
        <v>4565</v>
      </c>
      <c r="H2237" s="3">
        <v>272</v>
      </c>
      <c r="I2237" s="4">
        <v>2446.7600000000002</v>
      </c>
      <c r="J2237" s="4">
        <v>43241.66</v>
      </c>
      <c r="K2237" s="3">
        <v>185</v>
      </c>
      <c r="L2237" s="2" t="s">
        <v>2536</v>
      </c>
      <c r="M2237" s="2" t="s">
        <v>2524</v>
      </c>
      <c r="N2237" t="str">
        <f>TRIM(PROPER(Tabla_auditoría[[#This Row],[ID_Campaña]]))</f>
        <v>Cmp-008</v>
      </c>
      <c r="O2237" t="str">
        <f>TRIM(PROPER(Tabla_auditoría[[#This Row],[Canal]]))</f>
        <v>Organic Social</v>
      </c>
      <c r="P2237" t="str">
        <f>TRIM(PROPER(Tabla_auditoría[[#This Row],[País]]))</f>
        <v>España</v>
      </c>
      <c r="Q2237" t="str">
        <f>TRIM(PROPER(Tabla_auditoría[[#This Row],[Dispositivo]]))</f>
        <v>Desktop</v>
      </c>
      <c r="R2237" t="str">
        <f>TRIM(PROPER(Tabla_auditoría[[#This Row],[Tipo_Campaña]]))</f>
        <v>Reconocimiento</v>
      </c>
      <c r="S2237" t="str">
        <f>TRIM(PROPER(Tabla_auditoría[[#This Row],[Responsable]]))</f>
        <v>Luis Martín</v>
      </c>
    </row>
    <row r="2238" spans="1:19" x14ac:dyDescent="0.3">
      <c r="A2238" s="1">
        <v>45926</v>
      </c>
      <c r="B2238" s="2" t="s">
        <v>2549</v>
      </c>
      <c r="C2238" s="2" t="s">
        <v>2521</v>
      </c>
      <c r="D2238" s="2" t="s">
        <v>2516</v>
      </c>
      <c r="E2238" s="2" t="s">
        <v>2517</v>
      </c>
      <c r="F2238" s="3">
        <v>118229</v>
      </c>
      <c r="G2238" s="3">
        <v>10169</v>
      </c>
      <c r="H2238" s="3">
        <v>214</v>
      </c>
      <c r="I2238" s="4">
        <v>8244.91</v>
      </c>
      <c r="J2238" s="4">
        <v>19736.330000000002</v>
      </c>
      <c r="K2238" s="3">
        <v>175</v>
      </c>
      <c r="L2238" s="2" t="s">
        <v>2539</v>
      </c>
      <c r="M2238" s="2" t="s">
        <v>2526</v>
      </c>
      <c r="N2238" t="str">
        <f>TRIM(PROPER(Tabla_auditoría[[#This Row],[ID_Campaña]]))</f>
        <v>Cmp-007</v>
      </c>
      <c r="O2238" t="str">
        <f>TRIM(PROPER(Tabla_auditoría[[#This Row],[Canal]]))</f>
        <v>Paid Search</v>
      </c>
      <c r="P2238" t="str">
        <f>TRIM(PROPER(Tabla_auditoría[[#This Row],[País]]))</f>
        <v>México</v>
      </c>
      <c r="Q2238" t="str">
        <f>TRIM(PROPER(Tabla_auditoría[[#This Row],[Dispositivo]]))</f>
        <v>Desktop</v>
      </c>
      <c r="R2238" t="str">
        <f>TRIM(PROPER(Tabla_auditoría[[#This Row],[Tipo_Campaña]]))</f>
        <v>Conversión</v>
      </c>
      <c r="S2238" t="str">
        <f>TRIM(PROPER(Tabla_auditoría[[#This Row],[Responsable]]))</f>
        <v>Laura Pérez</v>
      </c>
    </row>
    <row r="2239" spans="1:19" x14ac:dyDescent="0.3">
      <c r="A2239" s="1">
        <v>45940</v>
      </c>
      <c r="B2239" s="2" t="s">
        <v>2549</v>
      </c>
      <c r="C2239" s="2" t="s">
        <v>2521</v>
      </c>
      <c r="D2239" s="2" t="s">
        <v>2516</v>
      </c>
      <c r="E2239" s="2" t="s">
        <v>2517</v>
      </c>
      <c r="F2239" s="3">
        <v>148462</v>
      </c>
      <c r="G2239" s="3">
        <v>8117</v>
      </c>
      <c r="H2239" s="3">
        <v>784</v>
      </c>
      <c r="I2239" s="4">
        <v>3246.35</v>
      </c>
      <c r="J2239" s="4">
        <v>111959.65</v>
      </c>
      <c r="K2239" s="3">
        <v>408</v>
      </c>
      <c r="L2239" s="2" t="s">
        <v>2539</v>
      </c>
      <c r="M2239" s="2" t="s">
        <v>2524</v>
      </c>
      <c r="N2239" t="str">
        <f>TRIM(PROPER(Tabla_auditoría[[#This Row],[ID_Campaña]]))</f>
        <v>Cmp-007</v>
      </c>
      <c r="O2239" t="str">
        <f>TRIM(PROPER(Tabla_auditoría[[#This Row],[Canal]]))</f>
        <v>Paid Search</v>
      </c>
      <c r="P2239" t="str">
        <f>TRIM(PROPER(Tabla_auditoría[[#This Row],[País]]))</f>
        <v>México</v>
      </c>
      <c r="Q2239" t="str">
        <f>TRIM(PROPER(Tabla_auditoría[[#This Row],[Dispositivo]]))</f>
        <v>Desktop</v>
      </c>
      <c r="R2239" t="str">
        <f>TRIM(PROPER(Tabla_auditoría[[#This Row],[Tipo_Campaña]]))</f>
        <v>Conversión</v>
      </c>
      <c r="S2239" t="str">
        <f>TRIM(PROPER(Tabla_auditoría[[#This Row],[Responsable]]))</f>
        <v>Luis Martín</v>
      </c>
    </row>
    <row r="2240" spans="1:19" x14ac:dyDescent="0.3">
      <c r="A2240" s="1">
        <v>45837</v>
      </c>
      <c r="B2240" s="2" t="s">
        <v>2550</v>
      </c>
      <c r="C2240" s="2" t="s">
        <v>2521</v>
      </c>
      <c r="D2240" s="2" t="s">
        <v>2516</v>
      </c>
      <c r="E2240" s="2" t="s">
        <v>2529</v>
      </c>
      <c r="F2240" s="3">
        <v>123827</v>
      </c>
      <c r="G2240" s="3">
        <v>1661</v>
      </c>
      <c r="H2240" s="3">
        <v>89</v>
      </c>
      <c r="I2240" s="4">
        <v>3477.56</v>
      </c>
      <c r="J2240" s="4">
        <v>2944.48</v>
      </c>
      <c r="K2240" s="3">
        <v>66</v>
      </c>
      <c r="L2240" s="2" t="s">
        <v>2536</v>
      </c>
      <c r="M2240" s="2" t="s">
        <v>2537</v>
      </c>
      <c r="N2240" t="str">
        <f>TRIM(PROPER(Tabla_auditoría[[#This Row],[ID_Campaña]]))</f>
        <v>Cmp-008</v>
      </c>
      <c r="O2240" t="str">
        <f>TRIM(PROPER(Tabla_auditoría[[#This Row],[Canal]]))</f>
        <v>Paid Search</v>
      </c>
      <c r="P2240" t="str">
        <f>TRIM(PROPER(Tabla_auditoría[[#This Row],[País]]))</f>
        <v>México</v>
      </c>
      <c r="Q2240" t="str">
        <f>TRIM(PROPER(Tabla_auditoría[[#This Row],[Dispositivo]]))</f>
        <v>Mobile</v>
      </c>
      <c r="R2240" t="str">
        <f>TRIM(PROPER(Tabla_auditoría[[#This Row],[Tipo_Campaña]]))</f>
        <v>Reconocimiento</v>
      </c>
      <c r="S2240" t="str">
        <f>TRIM(PROPER(Tabla_auditoría[[#This Row],[Responsable]]))</f>
        <v>Marta López</v>
      </c>
    </row>
    <row r="2241" spans="1:19" x14ac:dyDescent="0.3">
      <c r="A2241" s="1">
        <v>45749</v>
      </c>
      <c r="B2241" s="2" t="s">
        <v>2570</v>
      </c>
      <c r="C2241" s="2" t="s">
        <v>2553</v>
      </c>
      <c r="D2241" s="2" t="s">
        <v>2525</v>
      </c>
      <c r="E2241" s="2" t="s">
        <v>2517</v>
      </c>
      <c r="F2241" s="3">
        <v>49315</v>
      </c>
      <c r="G2241" s="3">
        <v>1724</v>
      </c>
      <c r="H2241" s="3">
        <v>9</v>
      </c>
      <c r="I2241" s="4">
        <v>374.6</v>
      </c>
      <c r="J2241" s="4">
        <v>1972.92</v>
      </c>
      <c r="K2241" s="3">
        <v>4</v>
      </c>
      <c r="L2241" s="2" t="s">
        <v>2518</v>
      </c>
      <c r="M2241" s="2" t="s">
        <v>2526</v>
      </c>
      <c r="N2241" t="str">
        <f>TRIM(PROPER(Tabla_auditoría[[#This Row],[ID_Campaña]]))</f>
        <v>Cmp-016</v>
      </c>
      <c r="O2241" t="str">
        <f>TRIM(PROPER(Tabla_auditoría[[#This Row],[Canal]]))</f>
        <v>Email</v>
      </c>
      <c r="P2241" t="str">
        <f>TRIM(PROPER(Tabla_auditoría[[#This Row],[País]]))</f>
        <v>Francia</v>
      </c>
      <c r="Q2241" t="str">
        <f>TRIM(PROPER(Tabla_auditoría[[#This Row],[Dispositivo]]))</f>
        <v>Desktop</v>
      </c>
      <c r="R2241" t="str">
        <f>TRIM(PROPER(Tabla_auditoría[[#This Row],[Tipo_Campaña]]))</f>
        <v>Adquisición</v>
      </c>
      <c r="S2241" t="str">
        <f>TRIM(PROPER(Tabla_auditoría[[#This Row],[Responsable]]))</f>
        <v>Laura Pérez</v>
      </c>
    </row>
    <row r="2242" spans="1:19" x14ac:dyDescent="0.3">
      <c r="A2242" s="1">
        <v>45821</v>
      </c>
      <c r="B2242" s="2" t="s">
        <v>2564</v>
      </c>
      <c r="C2242" s="2" t="s">
        <v>2521</v>
      </c>
      <c r="D2242" s="2" t="s">
        <v>2531</v>
      </c>
      <c r="E2242" s="2" t="s">
        <v>2529</v>
      </c>
      <c r="F2242" s="3">
        <v>46109</v>
      </c>
      <c r="G2242" s="3">
        <v>3417</v>
      </c>
      <c r="H2242" s="3">
        <v>321</v>
      </c>
      <c r="I2242" s="4">
        <v>3192.09</v>
      </c>
      <c r="J2242" s="4">
        <v>26471.119999999999</v>
      </c>
      <c r="K2242" s="3">
        <v>223</v>
      </c>
      <c r="L2242" s="2" t="s">
        <v>2539</v>
      </c>
      <c r="M2242" s="2" t="s">
        <v>2546</v>
      </c>
      <c r="N2242" t="str">
        <f>TRIM(PROPER(Tabla_auditoría[[#This Row],[ID_Campaña]]))</f>
        <v>Cmp-024</v>
      </c>
      <c r="O2242" t="str">
        <f>TRIM(PROPER(Tabla_auditoría[[#This Row],[Canal]]))</f>
        <v>Paid Search</v>
      </c>
      <c r="P2242" t="str">
        <f>TRIM(PROPER(Tabla_auditoría[[#This Row],[País]]))</f>
        <v>Portugal</v>
      </c>
      <c r="Q2242" t="str">
        <f>TRIM(PROPER(Tabla_auditoría[[#This Row],[Dispositivo]]))</f>
        <v>Mobile</v>
      </c>
      <c r="R2242" t="str">
        <f>TRIM(PROPER(Tabla_auditoría[[#This Row],[Tipo_Campaña]]))</f>
        <v>Conversión</v>
      </c>
      <c r="S2242" t="str">
        <f>TRIM(PROPER(Tabla_auditoría[[#This Row],[Responsable]]))</f>
        <v>Ana García</v>
      </c>
    </row>
    <row r="2243" spans="1:19" x14ac:dyDescent="0.3">
      <c r="A2243" s="1">
        <v>45854</v>
      </c>
      <c r="B2243" s="2" t="s">
        <v>2555</v>
      </c>
      <c r="C2243" s="2" t="s">
        <v>2521</v>
      </c>
      <c r="D2243" s="2" t="s">
        <v>2528</v>
      </c>
      <c r="E2243" s="2" t="s">
        <v>2529</v>
      </c>
      <c r="F2243" s="3">
        <v>23638</v>
      </c>
      <c r="G2243" s="3">
        <v>128</v>
      </c>
      <c r="H2243" s="3">
        <v>1</v>
      </c>
      <c r="I2243" s="4">
        <v>13.76</v>
      </c>
      <c r="J2243" s="4">
        <v>66.05</v>
      </c>
      <c r="K2243" s="3">
        <v>0</v>
      </c>
      <c r="L2243" s="2" t="s">
        <v>2518</v>
      </c>
      <c r="M2243" s="2" t="s">
        <v>2524</v>
      </c>
      <c r="N2243" t="str">
        <f>TRIM(PROPER(Tabla_auditoría[[#This Row],[ID_Campaña]]))</f>
        <v>Cmp-010</v>
      </c>
      <c r="O2243" t="str">
        <f>TRIM(PROPER(Tabla_auditoría[[#This Row],[Canal]]))</f>
        <v>Paid Search</v>
      </c>
      <c r="P2243" t="str">
        <f>TRIM(PROPER(Tabla_auditoría[[#This Row],[País]]))</f>
        <v>España</v>
      </c>
      <c r="Q2243" t="str">
        <f>TRIM(PROPER(Tabla_auditoría[[#This Row],[Dispositivo]]))</f>
        <v>Mobile</v>
      </c>
      <c r="R2243" t="str">
        <f>TRIM(PROPER(Tabla_auditoría[[#This Row],[Tipo_Campaña]]))</f>
        <v>Adquisición</v>
      </c>
      <c r="S2243" t="str">
        <f>TRIM(PROPER(Tabla_auditoría[[#This Row],[Responsable]]))</f>
        <v>Luis Martín</v>
      </c>
    </row>
    <row r="2244" spans="1:19" x14ac:dyDescent="0.3">
      <c r="A2244" s="1">
        <v>45982</v>
      </c>
      <c r="B2244" s="2" t="s">
        <v>2557</v>
      </c>
      <c r="C2244" s="2" t="s">
        <v>2521</v>
      </c>
      <c r="D2244" s="2" t="s">
        <v>2531</v>
      </c>
      <c r="E2244" s="2" t="s">
        <v>2517</v>
      </c>
      <c r="F2244" s="3">
        <v>150337</v>
      </c>
      <c r="G2244" s="3">
        <v>4507</v>
      </c>
      <c r="H2244" s="3">
        <v>330</v>
      </c>
      <c r="I2244" s="4">
        <v>8435.9500000000007</v>
      </c>
      <c r="J2244" s="4">
        <v>19284.84</v>
      </c>
      <c r="K2244" s="3">
        <v>199</v>
      </c>
      <c r="L2244" s="2" t="s">
        <v>2518</v>
      </c>
      <c r="M2244" s="2" t="s">
        <v>2524</v>
      </c>
      <c r="N2244" t="str">
        <f>TRIM(PROPER(Tabla_auditoría[[#This Row],[ID_Campaña]]))</f>
        <v>Cmp-030</v>
      </c>
      <c r="O2244" t="str">
        <f>TRIM(PROPER(Tabla_auditoría[[#This Row],[Canal]]))</f>
        <v>Paid Search</v>
      </c>
      <c r="P2244" t="str">
        <f>TRIM(PROPER(Tabla_auditoría[[#This Row],[País]]))</f>
        <v>Portugal</v>
      </c>
      <c r="Q2244" t="str">
        <f>TRIM(PROPER(Tabla_auditoría[[#This Row],[Dispositivo]]))</f>
        <v>Desktop</v>
      </c>
      <c r="R2244" t="str">
        <f>TRIM(PROPER(Tabla_auditoría[[#This Row],[Tipo_Campaña]]))</f>
        <v>Adquisición</v>
      </c>
      <c r="S2244" t="str">
        <f>TRIM(PROPER(Tabla_auditoría[[#This Row],[Responsable]]))</f>
        <v>Luis Martín</v>
      </c>
    </row>
    <row r="2245" spans="1:19" x14ac:dyDescent="0.3">
      <c r="A2245" s="1">
        <v>45985</v>
      </c>
      <c r="B2245" s="2" t="s">
        <v>2535</v>
      </c>
      <c r="C2245" s="2" t="s">
        <v>2521</v>
      </c>
      <c r="D2245" s="2" t="s">
        <v>2525</v>
      </c>
      <c r="E2245" s="2" t="s">
        <v>2529</v>
      </c>
      <c r="F2245" s="3">
        <v>24563</v>
      </c>
      <c r="G2245" s="3">
        <v>1730</v>
      </c>
      <c r="H2245" s="3">
        <v>225</v>
      </c>
      <c r="I2245" s="4">
        <v>1997.52</v>
      </c>
      <c r="J2245" s="4">
        <v>47315.39</v>
      </c>
      <c r="K2245" s="3">
        <v>161</v>
      </c>
      <c r="L2245" s="2" t="s">
        <v>2518</v>
      </c>
      <c r="M2245" s="2" t="s">
        <v>2537</v>
      </c>
      <c r="N2245" t="str">
        <f>TRIM(PROPER(Tabla_auditoría[[#This Row],[ID_Campaña]]))</f>
        <v>Cmp-015</v>
      </c>
      <c r="O2245" t="str">
        <f>TRIM(PROPER(Tabla_auditoría[[#This Row],[Canal]]))</f>
        <v>Paid Search</v>
      </c>
      <c r="P2245" t="str">
        <f>TRIM(PROPER(Tabla_auditoría[[#This Row],[País]]))</f>
        <v>Francia</v>
      </c>
      <c r="Q2245" t="str">
        <f>TRIM(PROPER(Tabla_auditoría[[#This Row],[Dispositivo]]))</f>
        <v>Mobile</v>
      </c>
      <c r="R2245" t="str">
        <f>TRIM(PROPER(Tabla_auditoría[[#This Row],[Tipo_Campaña]]))</f>
        <v>Adquisición</v>
      </c>
      <c r="S2245" t="str">
        <f>TRIM(PROPER(Tabla_auditoría[[#This Row],[Responsable]]))</f>
        <v>Marta López</v>
      </c>
    </row>
    <row r="2246" spans="1:19" x14ac:dyDescent="0.3">
      <c r="A2246" s="1">
        <v>45889</v>
      </c>
      <c r="B2246" s="2" t="s">
        <v>2571</v>
      </c>
      <c r="C2246" s="2" t="s">
        <v>2515</v>
      </c>
      <c r="D2246" s="2" t="s">
        <v>2528</v>
      </c>
      <c r="E2246" s="2" t="s">
        <v>2517</v>
      </c>
      <c r="F2246" s="3">
        <v>62233</v>
      </c>
      <c r="G2246" s="3">
        <v>3567</v>
      </c>
      <c r="H2246" s="3">
        <v>218</v>
      </c>
      <c r="I2246" s="4">
        <v>6164.11</v>
      </c>
      <c r="J2246" s="4">
        <v>19257.61</v>
      </c>
      <c r="K2246" s="3">
        <v>179</v>
      </c>
      <c r="L2246" s="2" t="s">
        <v>2536</v>
      </c>
      <c r="M2246" s="2" t="s">
        <v>2524</v>
      </c>
      <c r="N2246" t="str">
        <f>TRIM(PROPER(Tabla_auditoría[[#This Row],[ID_Campaña]]))</f>
        <v>Cmp-029</v>
      </c>
      <c r="O2246" t="str">
        <f>TRIM(PROPER(Tabla_auditoría[[#This Row],[Canal]]))</f>
        <v>Email</v>
      </c>
      <c r="P2246" t="str">
        <f>TRIM(PROPER(Tabla_auditoría[[#This Row],[País]]))</f>
        <v>España</v>
      </c>
      <c r="Q2246" t="str">
        <f>TRIM(PROPER(Tabla_auditoría[[#This Row],[Dispositivo]]))</f>
        <v>Desktop</v>
      </c>
      <c r="R2246" t="str">
        <f>TRIM(PROPER(Tabla_auditoría[[#This Row],[Tipo_Campaña]]))</f>
        <v>Reconocimiento</v>
      </c>
      <c r="S2246" t="str">
        <f>TRIM(PROPER(Tabla_auditoría[[#This Row],[Responsable]]))</f>
        <v>Luis Martín</v>
      </c>
    </row>
    <row r="2247" spans="1:19" x14ac:dyDescent="0.3">
      <c r="A2247" s="1">
        <v>45904</v>
      </c>
      <c r="B2247" s="2" t="s">
        <v>2542</v>
      </c>
      <c r="C2247" s="2" t="s">
        <v>2541</v>
      </c>
      <c r="D2247" s="2" t="s">
        <v>2525</v>
      </c>
      <c r="E2247" s="2" t="s">
        <v>2517</v>
      </c>
      <c r="F2247" s="3">
        <v>16619</v>
      </c>
      <c r="G2247" s="3">
        <v>508</v>
      </c>
      <c r="H2247" s="3">
        <v>16</v>
      </c>
      <c r="I2247" s="4">
        <v>114.47</v>
      </c>
      <c r="J2247" s="4">
        <v>2210.91</v>
      </c>
      <c r="K2247" s="3">
        <v>10</v>
      </c>
      <c r="L2247" s="2" t="s">
        <v>2536</v>
      </c>
      <c r="M2247" s="2" t="s">
        <v>2524</v>
      </c>
      <c r="N2247" t="str">
        <f>TRIM(PROPER(Tabla_auditoría[[#This Row],[ID_Campaña]]))</f>
        <v>Cmp-025</v>
      </c>
      <c r="O2247" t="str">
        <f>TRIM(PROPER(Tabla_auditoría[[#This Row],[Canal]]))</f>
        <v>Display</v>
      </c>
      <c r="P2247" t="str">
        <f>TRIM(PROPER(Tabla_auditoría[[#This Row],[País]]))</f>
        <v>Francia</v>
      </c>
      <c r="Q2247" t="str">
        <f>TRIM(PROPER(Tabla_auditoría[[#This Row],[Dispositivo]]))</f>
        <v>Desktop</v>
      </c>
      <c r="R2247" t="str">
        <f>TRIM(PROPER(Tabla_auditoría[[#This Row],[Tipo_Campaña]]))</f>
        <v>Reconocimiento</v>
      </c>
      <c r="S2247" t="str">
        <f>TRIM(PROPER(Tabla_auditoría[[#This Row],[Responsable]]))</f>
        <v>Luis Martín</v>
      </c>
    </row>
    <row r="2248" spans="1:19" x14ac:dyDescent="0.3">
      <c r="A2248" s="1">
        <v>45848</v>
      </c>
      <c r="B2248" s="2" t="s">
        <v>2555</v>
      </c>
      <c r="C2248" s="2" t="s">
        <v>2533</v>
      </c>
      <c r="D2248" s="2" t="s">
        <v>2528</v>
      </c>
      <c r="E2248" s="2" t="s">
        <v>2529</v>
      </c>
      <c r="F2248" s="3">
        <v>169528</v>
      </c>
      <c r="G2248" s="3">
        <v>7933</v>
      </c>
      <c r="H2248" s="3">
        <v>628</v>
      </c>
      <c r="I2248" s="4">
        <v>13027.5</v>
      </c>
      <c r="J2248" s="4">
        <v>100367.9</v>
      </c>
      <c r="K2248" s="3">
        <v>523</v>
      </c>
      <c r="L2248" s="2" t="s">
        <v>2518</v>
      </c>
      <c r="M2248" s="2" t="s">
        <v>2546</v>
      </c>
      <c r="N2248" t="str">
        <f>TRIM(PROPER(Tabla_auditoría[[#This Row],[ID_Campaña]]))</f>
        <v>Cmp-010</v>
      </c>
      <c r="O2248" t="str">
        <f>TRIM(PROPER(Tabla_auditoría[[#This Row],[Canal]]))</f>
        <v>Paid Social</v>
      </c>
      <c r="P2248" t="str">
        <f>TRIM(PROPER(Tabla_auditoría[[#This Row],[País]]))</f>
        <v>España</v>
      </c>
      <c r="Q2248" t="str">
        <f>TRIM(PROPER(Tabla_auditoría[[#This Row],[Dispositivo]]))</f>
        <v>Mobile</v>
      </c>
      <c r="R2248" t="str">
        <f>TRIM(PROPER(Tabla_auditoría[[#This Row],[Tipo_Campaña]]))</f>
        <v>Adquisición</v>
      </c>
      <c r="S2248" t="str">
        <f>TRIM(PROPER(Tabla_auditoría[[#This Row],[Responsable]]))</f>
        <v>Ana García</v>
      </c>
    </row>
    <row r="2249" spans="1:19" x14ac:dyDescent="0.3">
      <c r="A2249" s="1">
        <v>45794</v>
      </c>
      <c r="B2249" s="2" t="s">
        <v>2532</v>
      </c>
      <c r="C2249" s="2" t="s">
        <v>2543</v>
      </c>
      <c r="D2249" s="2" t="s">
        <v>2528</v>
      </c>
      <c r="E2249" s="2" t="s">
        <v>2517</v>
      </c>
      <c r="F2249" s="3">
        <v>140744</v>
      </c>
      <c r="G2249" s="3">
        <v>6832</v>
      </c>
      <c r="H2249" s="3">
        <v>160</v>
      </c>
      <c r="I2249" s="4">
        <v>2048.9</v>
      </c>
      <c r="J2249" s="4">
        <v>29697.01</v>
      </c>
      <c r="K2249" s="3">
        <v>83</v>
      </c>
      <c r="L2249" s="2" t="s">
        <v>2536</v>
      </c>
      <c r="M2249" s="2" t="s">
        <v>2537</v>
      </c>
      <c r="N2249" t="str">
        <f>TRIM(PROPER(Tabla_auditoría[[#This Row],[ID_Campaña]]))</f>
        <v>Cmp-022</v>
      </c>
      <c r="O2249" t="str">
        <f>TRIM(PROPER(Tabla_auditoría[[#This Row],[Canal]]))</f>
        <v>Organic Social</v>
      </c>
      <c r="P2249" t="str">
        <f>TRIM(PROPER(Tabla_auditoría[[#This Row],[País]]))</f>
        <v>España</v>
      </c>
      <c r="Q2249" t="str">
        <f>TRIM(PROPER(Tabla_auditoría[[#This Row],[Dispositivo]]))</f>
        <v>Desktop</v>
      </c>
      <c r="R2249" t="str">
        <f>TRIM(PROPER(Tabla_auditoría[[#This Row],[Tipo_Campaña]]))</f>
        <v>Reconocimiento</v>
      </c>
      <c r="S2249" t="str">
        <f>TRIM(PROPER(Tabla_auditoría[[#This Row],[Responsable]]))</f>
        <v>Marta López</v>
      </c>
    </row>
    <row r="2250" spans="1:19" x14ac:dyDescent="0.3">
      <c r="A2250" s="1">
        <v>45789</v>
      </c>
      <c r="B2250" s="2" t="s">
        <v>2532</v>
      </c>
      <c r="C2250" s="2" t="s">
        <v>2543</v>
      </c>
      <c r="D2250" s="2" t="s">
        <v>2522</v>
      </c>
      <c r="E2250" s="2" t="s">
        <v>2529</v>
      </c>
      <c r="F2250" s="3">
        <v>91058</v>
      </c>
      <c r="G2250" s="3">
        <v>4463</v>
      </c>
      <c r="H2250" s="3">
        <v>325</v>
      </c>
      <c r="I2250" s="4">
        <v>953.8</v>
      </c>
      <c r="J2250" s="4">
        <v>7459.12</v>
      </c>
      <c r="K2250" s="3">
        <v>272</v>
      </c>
      <c r="L2250" s="2" t="s">
        <v>2523</v>
      </c>
      <c r="M2250" s="2" t="s">
        <v>2537</v>
      </c>
      <c r="N2250" t="str">
        <f>TRIM(PROPER(Tabla_auditoría[[#This Row],[ID_Campaña]]))</f>
        <v>Cmp-022</v>
      </c>
      <c r="O2250" t="str">
        <f>TRIM(PROPER(Tabla_auditoría[[#This Row],[Canal]]))</f>
        <v>Organic Social</v>
      </c>
      <c r="P2250" t="str">
        <f>TRIM(PROPER(Tabla_auditoría[[#This Row],[País]]))</f>
        <v>Italia</v>
      </c>
      <c r="Q2250" t="str">
        <f>TRIM(PROPER(Tabla_auditoría[[#This Row],[Dispositivo]]))</f>
        <v>Mobile</v>
      </c>
      <c r="R2250" t="str">
        <f>TRIM(PROPER(Tabla_auditoría[[#This Row],[Tipo_Campaña]]))</f>
        <v>Retención</v>
      </c>
      <c r="S2250" t="str">
        <f>TRIM(PROPER(Tabla_auditoría[[#This Row],[Responsable]]))</f>
        <v>Marta López</v>
      </c>
    </row>
    <row r="2251" spans="1:19" x14ac:dyDescent="0.3">
      <c r="A2251" s="1">
        <v>45755</v>
      </c>
      <c r="B2251" s="2" t="s">
        <v>2557</v>
      </c>
      <c r="C2251" s="2" t="s">
        <v>2515</v>
      </c>
      <c r="D2251" s="2" t="s">
        <v>2528</v>
      </c>
      <c r="E2251" s="2" t="s">
        <v>2517</v>
      </c>
      <c r="F2251" s="3">
        <v>52778</v>
      </c>
      <c r="G2251" s="3">
        <v>1859</v>
      </c>
      <c r="H2251" s="3">
        <v>88</v>
      </c>
      <c r="I2251" s="4">
        <v>3484.66</v>
      </c>
      <c r="J2251" s="4">
        <v>14022.66</v>
      </c>
      <c r="K2251" s="3">
        <v>44</v>
      </c>
      <c r="L2251" s="2" t="s">
        <v>2536</v>
      </c>
      <c r="M2251" s="2" t="s">
        <v>2537</v>
      </c>
      <c r="N2251" t="str">
        <f>TRIM(PROPER(Tabla_auditoría[[#This Row],[ID_Campaña]]))</f>
        <v>Cmp-030</v>
      </c>
      <c r="O2251" t="str">
        <f>TRIM(PROPER(Tabla_auditoría[[#This Row],[Canal]]))</f>
        <v>Email</v>
      </c>
      <c r="P2251" t="str">
        <f>TRIM(PROPER(Tabla_auditoría[[#This Row],[País]]))</f>
        <v>España</v>
      </c>
      <c r="Q2251" t="str">
        <f>TRIM(PROPER(Tabla_auditoría[[#This Row],[Dispositivo]]))</f>
        <v>Desktop</v>
      </c>
      <c r="R2251" t="str">
        <f>TRIM(PROPER(Tabla_auditoría[[#This Row],[Tipo_Campaña]]))</f>
        <v>Reconocimiento</v>
      </c>
      <c r="S2251" t="str">
        <f>TRIM(PROPER(Tabla_auditoría[[#This Row],[Responsable]]))</f>
        <v>Marta López</v>
      </c>
    </row>
    <row r="2252" spans="1:19" x14ac:dyDescent="0.3">
      <c r="A2252" s="1">
        <v>45663</v>
      </c>
      <c r="B2252" s="2" t="s">
        <v>2552</v>
      </c>
      <c r="C2252" s="2" t="s">
        <v>2521</v>
      </c>
      <c r="D2252" s="2" t="s">
        <v>2531</v>
      </c>
      <c r="E2252" s="2" t="s">
        <v>2529</v>
      </c>
      <c r="F2252" s="3">
        <v>88726</v>
      </c>
      <c r="G2252" s="3">
        <v>1710</v>
      </c>
      <c r="H2252" s="3">
        <v>75</v>
      </c>
      <c r="I2252" s="4">
        <v>1350.76</v>
      </c>
      <c r="J2252" s="4">
        <v>12830.36</v>
      </c>
      <c r="K2252" s="3">
        <v>59</v>
      </c>
      <c r="L2252" s="2" t="s">
        <v>2518</v>
      </c>
      <c r="M2252" s="2" t="s">
        <v>2524</v>
      </c>
      <c r="N2252" t="str">
        <f>TRIM(PROPER(Tabla_auditoría[[#This Row],[ID_Campaña]]))</f>
        <v>Cmp-012</v>
      </c>
      <c r="O2252" t="str">
        <f>TRIM(PROPER(Tabla_auditoría[[#This Row],[Canal]]))</f>
        <v>Paid Search</v>
      </c>
      <c r="P2252" t="str">
        <f>TRIM(PROPER(Tabla_auditoría[[#This Row],[País]]))</f>
        <v>Portugal</v>
      </c>
      <c r="Q2252" t="str">
        <f>TRIM(PROPER(Tabla_auditoría[[#This Row],[Dispositivo]]))</f>
        <v>Mobile</v>
      </c>
      <c r="R2252" t="str">
        <f>TRIM(PROPER(Tabla_auditoría[[#This Row],[Tipo_Campaña]]))</f>
        <v>Adquisición</v>
      </c>
      <c r="S2252" t="str">
        <f>TRIM(PROPER(Tabla_auditoría[[#This Row],[Responsable]]))</f>
        <v>Luis Martín</v>
      </c>
    </row>
    <row r="2253" spans="1:19" x14ac:dyDescent="0.3">
      <c r="A2253" s="1">
        <v>45952</v>
      </c>
      <c r="B2253" s="2" t="s">
        <v>2571</v>
      </c>
      <c r="C2253" s="2" t="s">
        <v>2533</v>
      </c>
      <c r="D2253" s="2" t="s">
        <v>2522</v>
      </c>
      <c r="E2253" s="2" t="s">
        <v>2529</v>
      </c>
      <c r="F2253" s="3">
        <v>151314</v>
      </c>
      <c r="G2253" s="3">
        <v>9761</v>
      </c>
      <c r="H2253" s="3">
        <v>9790</v>
      </c>
      <c r="I2253" s="4">
        <v>11377.62</v>
      </c>
      <c r="J2253" s="4">
        <v>61417.41</v>
      </c>
      <c r="K2253" s="3">
        <v>834</v>
      </c>
      <c r="L2253" s="2" t="s">
        <v>2518</v>
      </c>
      <c r="M2253" s="2" t="s">
        <v>2519</v>
      </c>
      <c r="N2253" t="str">
        <f>TRIM(PROPER(Tabla_auditoría[[#This Row],[ID_Campaña]]))</f>
        <v>Cmp-029</v>
      </c>
      <c r="O2253" t="str">
        <f>TRIM(PROPER(Tabla_auditoría[[#This Row],[Canal]]))</f>
        <v>Paid Social</v>
      </c>
      <c r="P2253" t="str">
        <f>TRIM(PROPER(Tabla_auditoría[[#This Row],[País]]))</f>
        <v>Italia</v>
      </c>
      <c r="Q2253" t="str">
        <f>TRIM(PROPER(Tabla_auditoría[[#This Row],[Dispositivo]]))</f>
        <v>Mobile</v>
      </c>
      <c r="R2253" t="str">
        <f>TRIM(PROPER(Tabla_auditoría[[#This Row],[Tipo_Campaña]]))</f>
        <v>Adquisición</v>
      </c>
      <c r="S2253" t="str">
        <f>TRIM(PROPER(Tabla_auditoría[[#This Row],[Responsable]]))</f>
        <v>Carlos Ruiz</v>
      </c>
    </row>
    <row r="2254" spans="1:19" x14ac:dyDescent="0.3">
      <c r="A2254" s="1">
        <v>45991</v>
      </c>
      <c r="B2254" s="2" t="s">
        <v>2549</v>
      </c>
      <c r="C2254" s="2" t="s">
        <v>2521</v>
      </c>
      <c r="D2254" s="2" t="s">
        <v>2516</v>
      </c>
      <c r="E2254" s="2" t="s">
        <v>2517</v>
      </c>
      <c r="F2254" s="3">
        <v>96731</v>
      </c>
      <c r="G2254" s="3">
        <v>7280</v>
      </c>
      <c r="H2254" s="3">
        <v>261</v>
      </c>
      <c r="I2254" s="4">
        <v>2957.33</v>
      </c>
      <c r="J2254" s="4">
        <v>6192.78</v>
      </c>
      <c r="K2254" s="3">
        <v>211</v>
      </c>
      <c r="L2254" s="2" t="s">
        <v>2523</v>
      </c>
      <c r="M2254" s="2" t="s">
        <v>2537</v>
      </c>
      <c r="N2254" t="str">
        <f>TRIM(PROPER(Tabla_auditoría[[#This Row],[ID_Campaña]]))</f>
        <v>Cmp-007</v>
      </c>
      <c r="O2254" t="str">
        <f>TRIM(PROPER(Tabla_auditoría[[#This Row],[Canal]]))</f>
        <v>Paid Search</v>
      </c>
      <c r="P2254" t="str">
        <f>TRIM(PROPER(Tabla_auditoría[[#This Row],[País]]))</f>
        <v>México</v>
      </c>
      <c r="Q2254" t="str">
        <f>TRIM(PROPER(Tabla_auditoría[[#This Row],[Dispositivo]]))</f>
        <v>Desktop</v>
      </c>
      <c r="R2254" t="str">
        <f>TRIM(PROPER(Tabla_auditoría[[#This Row],[Tipo_Campaña]]))</f>
        <v>Retención</v>
      </c>
      <c r="S2254" t="str">
        <f>TRIM(PROPER(Tabla_auditoría[[#This Row],[Responsable]]))</f>
        <v>Marta López</v>
      </c>
    </row>
    <row r="2255" spans="1:19" x14ac:dyDescent="0.3">
      <c r="A2255" s="1">
        <v>45827</v>
      </c>
      <c r="B2255" s="2" t="s">
        <v>2570</v>
      </c>
      <c r="C2255" s="2" t="s">
        <v>2543</v>
      </c>
      <c r="D2255" s="2" t="s">
        <v>2525</v>
      </c>
      <c r="E2255" s="2" t="s">
        <v>2517</v>
      </c>
      <c r="F2255" s="3">
        <v>39027</v>
      </c>
      <c r="G2255" s="3">
        <v>2516</v>
      </c>
      <c r="H2255" s="3">
        <v>225</v>
      </c>
      <c r="I2255" s="4">
        <v>3206.42</v>
      </c>
      <c r="J2255" s="4">
        <v>30724.28</v>
      </c>
      <c r="K2255" s="3">
        <v>192</v>
      </c>
      <c r="L2255" s="2" t="s">
        <v>2523</v>
      </c>
      <c r="M2255" s="2" t="s">
        <v>2546</v>
      </c>
      <c r="N2255" t="str">
        <f>TRIM(PROPER(Tabla_auditoría[[#This Row],[ID_Campaña]]))</f>
        <v>Cmp-016</v>
      </c>
      <c r="O2255" t="str">
        <f>TRIM(PROPER(Tabla_auditoría[[#This Row],[Canal]]))</f>
        <v>Organic Social</v>
      </c>
      <c r="P2255" t="str">
        <f>TRIM(PROPER(Tabla_auditoría[[#This Row],[País]]))</f>
        <v>Francia</v>
      </c>
      <c r="Q2255" t="str">
        <f>TRIM(PROPER(Tabla_auditoría[[#This Row],[Dispositivo]]))</f>
        <v>Desktop</v>
      </c>
      <c r="R2255" t="str">
        <f>TRIM(PROPER(Tabla_auditoría[[#This Row],[Tipo_Campaña]]))</f>
        <v>Retención</v>
      </c>
      <c r="S2255" t="str">
        <f>TRIM(PROPER(Tabla_auditoría[[#This Row],[Responsable]]))</f>
        <v>Ana García</v>
      </c>
    </row>
    <row r="2256" spans="1:19" x14ac:dyDescent="0.3">
      <c r="A2256" s="1">
        <v>45745</v>
      </c>
      <c r="B2256" s="2" t="s">
        <v>2549</v>
      </c>
      <c r="C2256" s="2" t="s">
        <v>2527</v>
      </c>
      <c r="D2256" s="2" t="s">
        <v>2528</v>
      </c>
      <c r="E2256" s="2" t="s">
        <v>2596</v>
      </c>
      <c r="F2256" s="3">
        <v>169346</v>
      </c>
      <c r="G2256" s="3">
        <v>9690</v>
      </c>
      <c r="H2256" s="3">
        <v>944</v>
      </c>
      <c r="I2256" s="4">
        <v>4182.46</v>
      </c>
      <c r="J2256" s="4">
        <v>151059.42000000001</v>
      </c>
      <c r="K2256" s="3">
        <v>699</v>
      </c>
      <c r="L2256" s="2" t="s">
        <v>2536</v>
      </c>
      <c r="M2256" s="2" t="s">
        <v>2524</v>
      </c>
      <c r="N2256" t="str">
        <f>TRIM(PROPER(Tabla_auditoría[[#This Row],[ID_Campaña]]))</f>
        <v>Cmp-007</v>
      </c>
      <c r="O2256" t="str">
        <f>TRIM(PROPER(Tabla_auditoría[[#This Row],[Canal]]))</f>
        <v>Affiliate</v>
      </c>
      <c r="P2256" t="str">
        <f>TRIM(PROPER(Tabla_auditoría[[#This Row],[País]]))</f>
        <v>España</v>
      </c>
      <c r="Q2256" t="str">
        <f>TRIM(PROPER(Tabla_auditoría[[#This Row],[Dispositivo]]))</f>
        <v>Tablet</v>
      </c>
      <c r="R2256" t="str">
        <f>TRIM(PROPER(Tabla_auditoría[[#This Row],[Tipo_Campaña]]))</f>
        <v>Reconocimiento</v>
      </c>
      <c r="S2256" t="str">
        <f>TRIM(PROPER(Tabla_auditoría[[#This Row],[Responsable]]))</f>
        <v>Luis Martín</v>
      </c>
    </row>
    <row r="2257" spans="1:19" x14ac:dyDescent="0.3">
      <c r="A2257" s="1">
        <v>45826</v>
      </c>
      <c r="B2257" s="2" t="s">
        <v>2535</v>
      </c>
      <c r="C2257" s="2" t="s">
        <v>2577</v>
      </c>
      <c r="D2257" s="2" t="s">
        <v>2528</v>
      </c>
      <c r="E2257" s="2" t="s">
        <v>2517</v>
      </c>
      <c r="F2257" s="3">
        <v>178812</v>
      </c>
      <c r="G2257" s="3">
        <v>1519</v>
      </c>
      <c r="H2257" s="3">
        <v>56</v>
      </c>
      <c r="I2257" s="4">
        <v>2311.06</v>
      </c>
      <c r="J2257" s="4">
        <v>4607.66</v>
      </c>
      <c r="K2257" s="3">
        <v>42</v>
      </c>
      <c r="L2257" s="2" t="s">
        <v>2518</v>
      </c>
      <c r="M2257" s="2" t="s">
        <v>2526</v>
      </c>
      <c r="N2257" t="str">
        <f>TRIM(PROPER(Tabla_auditoría[[#This Row],[ID_Campaña]]))</f>
        <v>Cmp-015</v>
      </c>
      <c r="O2257" t="str">
        <f>TRIM(PROPER(Tabla_auditoría[[#This Row],[Canal]]))</f>
        <v>Affiliate</v>
      </c>
      <c r="P2257" t="str">
        <f>TRIM(PROPER(Tabla_auditoría[[#This Row],[País]]))</f>
        <v>España</v>
      </c>
      <c r="Q2257" t="str">
        <f>TRIM(PROPER(Tabla_auditoría[[#This Row],[Dispositivo]]))</f>
        <v>Desktop</v>
      </c>
      <c r="R2257" t="str">
        <f>TRIM(PROPER(Tabla_auditoría[[#This Row],[Tipo_Campaña]]))</f>
        <v>Adquisición</v>
      </c>
      <c r="S2257" t="str">
        <f>TRIM(PROPER(Tabla_auditoría[[#This Row],[Responsable]]))</f>
        <v>Laura Pérez</v>
      </c>
    </row>
    <row r="2258" spans="1:19" x14ac:dyDescent="0.3">
      <c r="A2258" s="1">
        <v>45724</v>
      </c>
      <c r="B2258" s="2" t="s">
        <v>2565</v>
      </c>
      <c r="C2258" s="2" t="s">
        <v>2527</v>
      </c>
      <c r="D2258" s="2" t="s">
        <v>2516</v>
      </c>
      <c r="E2258" s="2" t="s">
        <v>2529</v>
      </c>
      <c r="F2258" s="3">
        <v>111279</v>
      </c>
      <c r="G2258" s="3">
        <v>7583</v>
      </c>
      <c r="H2258" s="3">
        <v>432</v>
      </c>
      <c r="I2258" s="4">
        <v>2838.59</v>
      </c>
      <c r="J2258" s="4">
        <v>55583.3</v>
      </c>
      <c r="K2258" s="3">
        <v>346</v>
      </c>
      <c r="L2258" s="2" t="s">
        <v>2539</v>
      </c>
      <c r="M2258" s="2" t="s">
        <v>2526</v>
      </c>
      <c r="N2258" t="str">
        <f>TRIM(PROPER(Tabla_auditoría[[#This Row],[ID_Campaña]]))</f>
        <v>Cmp-005</v>
      </c>
      <c r="O2258" t="str">
        <f>TRIM(PROPER(Tabla_auditoría[[#This Row],[Canal]]))</f>
        <v>Affiliate</v>
      </c>
      <c r="P2258" t="str">
        <f>TRIM(PROPER(Tabla_auditoría[[#This Row],[País]]))</f>
        <v>México</v>
      </c>
      <c r="Q2258" t="str">
        <f>TRIM(PROPER(Tabla_auditoría[[#This Row],[Dispositivo]]))</f>
        <v>Mobile</v>
      </c>
      <c r="R2258" t="str">
        <f>TRIM(PROPER(Tabla_auditoría[[#This Row],[Tipo_Campaña]]))</f>
        <v>Conversión</v>
      </c>
      <c r="S2258" t="str">
        <f>TRIM(PROPER(Tabla_auditoría[[#This Row],[Responsable]]))</f>
        <v>Laura Pérez</v>
      </c>
    </row>
    <row r="2259" spans="1:19" x14ac:dyDescent="0.3">
      <c r="A2259" s="1">
        <v>46000</v>
      </c>
      <c r="B2259" s="2" t="s">
        <v>2565</v>
      </c>
      <c r="C2259" s="2" t="s">
        <v>2541</v>
      </c>
      <c r="D2259" s="2" t="s">
        <v>2525</v>
      </c>
      <c r="E2259" s="2" t="s">
        <v>2529</v>
      </c>
      <c r="F2259" s="3">
        <v>138731</v>
      </c>
      <c r="G2259" s="3">
        <v>11011</v>
      </c>
      <c r="H2259" s="3">
        <v>1069</v>
      </c>
      <c r="I2259" s="4">
        <v>3982.96</v>
      </c>
      <c r="J2259" s="4">
        <v>36314.43</v>
      </c>
      <c r="K2259" s="3">
        <v>534</v>
      </c>
      <c r="L2259" s="2" t="s">
        <v>2518</v>
      </c>
      <c r="M2259" s="2" t="s">
        <v>2519</v>
      </c>
      <c r="N2259" t="str">
        <f>TRIM(PROPER(Tabla_auditoría[[#This Row],[ID_Campaña]]))</f>
        <v>Cmp-005</v>
      </c>
      <c r="O2259" t="str">
        <f>TRIM(PROPER(Tabla_auditoría[[#This Row],[Canal]]))</f>
        <v>Display</v>
      </c>
      <c r="P2259" t="str">
        <f>TRIM(PROPER(Tabla_auditoría[[#This Row],[País]]))</f>
        <v>Francia</v>
      </c>
      <c r="Q2259" t="str">
        <f>TRIM(PROPER(Tabla_auditoría[[#This Row],[Dispositivo]]))</f>
        <v>Mobile</v>
      </c>
      <c r="R2259" t="str">
        <f>TRIM(PROPER(Tabla_auditoría[[#This Row],[Tipo_Campaña]]))</f>
        <v>Adquisición</v>
      </c>
      <c r="S2259" t="str">
        <f>TRIM(PROPER(Tabla_auditoría[[#This Row],[Responsable]]))</f>
        <v>Carlos Ruiz</v>
      </c>
    </row>
    <row r="2260" spans="1:19" x14ac:dyDescent="0.3">
      <c r="A2260" s="1">
        <v>45917</v>
      </c>
      <c r="B2260" s="2" t="s">
        <v>2568</v>
      </c>
      <c r="C2260" s="2" t="s">
        <v>2575</v>
      </c>
      <c r="D2260" s="2" t="s">
        <v>2516</v>
      </c>
      <c r="E2260" s="2" t="s">
        <v>2529</v>
      </c>
      <c r="F2260" s="3">
        <v>13383</v>
      </c>
      <c r="G2260" s="3">
        <v>663</v>
      </c>
      <c r="H2260" s="3">
        <v>63</v>
      </c>
      <c r="I2260" s="4">
        <v>129.6</v>
      </c>
      <c r="J2260" s="4">
        <v>1082.6199999999999</v>
      </c>
      <c r="K2260" s="3">
        <v>36</v>
      </c>
      <c r="L2260" s="2" t="s">
        <v>2536</v>
      </c>
      <c r="M2260" s="2" t="s">
        <v>2519</v>
      </c>
      <c r="N2260" t="str">
        <f>TRIM(PROPER(Tabla_auditoría[[#This Row],[ID_Campaña]]))</f>
        <v>Cmp-020</v>
      </c>
      <c r="O2260" t="str">
        <f>TRIM(PROPER(Tabla_auditoría[[#This Row],[Canal]]))</f>
        <v>Paid Search</v>
      </c>
      <c r="P2260" t="str">
        <f>TRIM(PROPER(Tabla_auditoría[[#This Row],[País]]))</f>
        <v>México</v>
      </c>
      <c r="Q2260" t="str">
        <f>TRIM(PROPER(Tabla_auditoría[[#This Row],[Dispositivo]]))</f>
        <v>Mobile</v>
      </c>
      <c r="R2260" t="str">
        <f>TRIM(PROPER(Tabla_auditoría[[#This Row],[Tipo_Campaña]]))</f>
        <v>Reconocimiento</v>
      </c>
      <c r="S2260" t="str">
        <f>TRIM(PROPER(Tabla_auditoría[[#This Row],[Responsable]]))</f>
        <v>Carlos Ruiz</v>
      </c>
    </row>
    <row r="2261" spans="1:19" x14ac:dyDescent="0.3">
      <c r="A2261" s="1">
        <v>45815</v>
      </c>
      <c r="B2261" s="2" t="s">
        <v>2554</v>
      </c>
      <c r="C2261" s="2" t="s">
        <v>2543</v>
      </c>
      <c r="D2261" s="2" t="s">
        <v>2528</v>
      </c>
      <c r="E2261" s="2" t="s">
        <v>2529</v>
      </c>
      <c r="F2261" s="3">
        <v>54845</v>
      </c>
      <c r="G2261" s="3">
        <v>2453</v>
      </c>
      <c r="H2261" s="3">
        <v>25</v>
      </c>
      <c r="I2261" s="4">
        <v>4036.48</v>
      </c>
      <c r="J2261" s="4">
        <v>1395.53</v>
      </c>
      <c r="K2261" s="3">
        <v>15</v>
      </c>
      <c r="L2261" s="2" t="s">
        <v>2518</v>
      </c>
      <c r="M2261" s="2" t="s">
        <v>2526</v>
      </c>
      <c r="N2261" t="str">
        <f>TRIM(PROPER(Tabla_auditoría[[#This Row],[ID_Campaña]]))</f>
        <v>Cmp-019</v>
      </c>
      <c r="O2261" t="str">
        <f>TRIM(PROPER(Tabla_auditoría[[#This Row],[Canal]]))</f>
        <v>Organic Social</v>
      </c>
      <c r="P2261" t="str">
        <f>TRIM(PROPER(Tabla_auditoría[[#This Row],[País]]))</f>
        <v>España</v>
      </c>
      <c r="Q2261" t="str">
        <f>TRIM(PROPER(Tabla_auditoría[[#This Row],[Dispositivo]]))</f>
        <v>Mobile</v>
      </c>
      <c r="R2261" t="str">
        <f>TRIM(PROPER(Tabla_auditoría[[#This Row],[Tipo_Campaña]]))</f>
        <v>Adquisición</v>
      </c>
      <c r="S2261" t="str">
        <f>TRIM(PROPER(Tabla_auditoría[[#This Row],[Responsable]]))</f>
        <v>Laura Pérez</v>
      </c>
    </row>
    <row r="2262" spans="1:19" x14ac:dyDescent="0.3">
      <c r="A2262" s="1">
        <v>45791</v>
      </c>
      <c r="B2262" s="2" t="s">
        <v>2535</v>
      </c>
      <c r="C2262" s="2" t="s">
        <v>2543</v>
      </c>
      <c r="D2262" s="2" t="s">
        <v>2528</v>
      </c>
      <c r="E2262" s="2" t="s">
        <v>2517</v>
      </c>
      <c r="F2262" s="3">
        <v>111803</v>
      </c>
      <c r="G2262" s="3">
        <v>1084</v>
      </c>
      <c r="H2262" s="3">
        <v>135</v>
      </c>
      <c r="I2262" s="4">
        <v>1072.3900000000001</v>
      </c>
      <c r="J2262" s="4">
        <v>17073.8</v>
      </c>
      <c r="K2262" s="3">
        <v>120</v>
      </c>
      <c r="L2262" s="2" t="s">
        <v>2518</v>
      </c>
      <c r="M2262" s="2" t="s">
        <v>2524</v>
      </c>
      <c r="N2262" t="str">
        <f>TRIM(PROPER(Tabla_auditoría[[#This Row],[ID_Campaña]]))</f>
        <v>Cmp-015</v>
      </c>
      <c r="O2262" t="str">
        <f>TRIM(PROPER(Tabla_auditoría[[#This Row],[Canal]]))</f>
        <v>Organic Social</v>
      </c>
      <c r="P2262" t="str">
        <f>TRIM(PROPER(Tabla_auditoría[[#This Row],[País]]))</f>
        <v>España</v>
      </c>
      <c r="Q2262" t="str">
        <f>TRIM(PROPER(Tabla_auditoría[[#This Row],[Dispositivo]]))</f>
        <v>Desktop</v>
      </c>
      <c r="R2262" t="str">
        <f>TRIM(PROPER(Tabla_auditoría[[#This Row],[Tipo_Campaña]]))</f>
        <v>Adquisición</v>
      </c>
      <c r="S2262" t="str">
        <f>TRIM(PROPER(Tabla_auditoría[[#This Row],[Responsable]]))</f>
        <v>Luis Martín</v>
      </c>
    </row>
    <row r="2263" spans="1:19" x14ac:dyDescent="0.3">
      <c r="A2263" s="1">
        <v>45753</v>
      </c>
      <c r="B2263" s="2" t="s">
        <v>2574</v>
      </c>
      <c r="C2263" s="2" t="s">
        <v>2533</v>
      </c>
      <c r="D2263" s="2" t="s">
        <v>2528</v>
      </c>
      <c r="E2263" s="2" t="s">
        <v>2517</v>
      </c>
      <c r="F2263" s="3">
        <v>110939</v>
      </c>
      <c r="G2263" s="3">
        <v>4039</v>
      </c>
      <c r="H2263" s="3">
        <v>117</v>
      </c>
      <c r="I2263" s="4">
        <v>6618.77</v>
      </c>
      <c r="J2263" s="4">
        <v>20530.71</v>
      </c>
      <c r="K2263" s="3">
        <v>98</v>
      </c>
      <c r="L2263" s="2" t="s">
        <v>2523</v>
      </c>
      <c r="M2263" s="2" t="s">
        <v>2526</v>
      </c>
      <c r="N2263" t="str">
        <f>TRIM(PROPER(Tabla_auditoría[[#This Row],[ID_Campaña]]))</f>
        <v>Cmp-003</v>
      </c>
      <c r="O2263" t="str">
        <f>TRIM(PROPER(Tabla_auditoría[[#This Row],[Canal]]))</f>
        <v>Paid Social</v>
      </c>
      <c r="P2263" t="str">
        <f>TRIM(PROPER(Tabla_auditoría[[#This Row],[País]]))</f>
        <v>España</v>
      </c>
      <c r="Q2263" t="str">
        <f>TRIM(PROPER(Tabla_auditoría[[#This Row],[Dispositivo]]))</f>
        <v>Desktop</v>
      </c>
      <c r="R2263" t="str">
        <f>TRIM(PROPER(Tabla_auditoría[[#This Row],[Tipo_Campaña]]))</f>
        <v>Retención</v>
      </c>
      <c r="S2263" t="str">
        <f>TRIM(PROPER(Tabla_auditoría[[#This Row],[Responsable]]))</f>
        <v>Laura Pérez</v>
      </c>
    </row>
    <row r="2264" spans="1:19" x14ac:dyDescent="0.3">
      <c r="A2264" s="1">
        <v>45797</v>
      </c>
      <c r="B2264" s="2" t="s">
        <v>2555</v>
      </c>
      <c r="C2264" s="2" t="s">
        <v>2543</v>
      </c>
      <c r="D2264" s="2" t="s">
        <v>2525</v>
      </c>
      <c r="E2264" s="2" t="s">
        <v>2529</v>
      </c>
      <c r="F2264" s="3">
        <v>129790</v>
      </c>
      <c r="G2264" s="3">
        <v>790</v>
      </c>
      <c r="H2264" s="3">
        <v>87</v>
      </c>
      <c r="I2264" s="4">
        <v>1352.45</v>
      </c>
      <c r="J2264" s="4">
        <v>14281.58</v>
      </c>
      <c r="K2264" s="3">
        <v>43</v>
      </c>
      <c r="L2264" s="2" t="s">
        <v>2518</v>
      </c>
      <c r="M2264" s="2" t="s">
        <v>2524</v>
      </c>
      <c r="N2264" t="str">
        <f>TRIM(PROPER(Tabla_auditoría[[#This Row],[ID_Campaña]]))</f>
        <v>Cmp-010</v>
      </c>
      <c r="O2264" t="str">
        <f>TRIM(PROPER(Tabla_auditoría[[#This Row],[Canal]]))</f>
        <v>Organic Social</v>
      </c>
      <c r="P2264" t="str">
        <f>TRIM(PROPER(Tabla_auditoría[[#This Row],[País]]))</f>
        <v>Francia</v>
      </c>
      <c r="Q2264" t="str">
        <f>TRIM(PROPER(Tabla_auditoría[[#This Row],[Dispositivo]]))</f>
        <v>Mobile</v>
      </c>
      <c r="R2264" t="str">
        <f>TRIM(PROPER(Tabla_auditoría[[#This Row],[Tipo_Campaña]]))</f>
        <v>Adquisición</v>
      </c>
      <c r="S2264" t="str">
        <f>TRIM(PROPER(Tabla_auditoría[[#This Row],[Responsable]]))</f>
        <v>Luis Martín</v>
      </c>
    </row>
    <row r="2265" spans="1:19" x14ac:dyDescent="0.3">
      <c r="A2265" s="1">
        <v>45997</v>
      </c>
      <c r="B2265" s="2" t="s">
        <v>2542</v>
      </c>
      <c r="C2265" s="2" t="s">
        <v>2521</v>
      </c>
      <c r="D2265" s="2" t="s">
        <v>2516</v>
      </c>
      <c r="E2265" s="2" t="s">
        <v>2517</v>
      </c>
      <c r="F2265" s="3">
        <v>124952</v>
      </c>
      <c r="G2265" s="3">
        <v>6875</v>
      </c>
      <c r="H2265" s="3">
        <v>91</v>
      </c>
      <c r="I2265" s="4">
        <v>3521.97</v>
      </c>
      <c r="J2265" s="4">
        <v>4253.42</v>
      </c>
      <c r="K2265" s="3">
        <v>70</v>
      </c>
      <c r="L2265" s="2" t="s">
        <v>2523</v>
      </c>
      <c r="M2265" s="2" t="s">
        <v>2524</v>
      </c>
      <c r="N2265" t="str">
        <f>TRIM(PROPER(Tabla_auditoría[[#This Row],[ID_Campaña]]))</f>
        <v>Cmp-025</v>
      </c>
      <c r="O2265" t="str">
        <f>TRIM(PROPER(Tabla_auditoría[[#This Row],[Canal]]))</f>
        <v>Paid Search</v>
      </c>
      <c r="P2265" t="str">
        <f>TRIM(PROPER(Tabla_auditoría[[#This Row],[País]]))</f>
        <v>México</v>
      </c>
      <c r="Q2265" t="str">
        <f>TRIM(PROPER(Tabla_auditoría[[#This Row],[Dispositivo]]))</f>
        <v>Desktop</v>
      </c>
      <c r="R2265" t="str">
        <f>TRIM(PROPER(Tabla_auditoría[[#This Row],[Tipo_Campaña]]))</f>
        <v>Retención</v>
      </c>
      <c r="S2265" t="str">
        <f>TRIM(PROPER(Tabla_auditoría[[#This Row],[Responsable]]))</f>
        <v>Luis Martín</v>
      </c>
    </row>
    <row r="2266" spans="1:19" x14ac:dyDescent="0.3">
      <c r="A2266" s="1">
        <v>45679</v>
      </c>
      <c r="B2266" s="2" t="s">
        <v>2567</v>
      </c>
      <c r="C2266" s="2" t="s">
        <v>2541</v>
      </c>
      <c r="D2266" s="2" t="s">
        <v>2528</v>
      </c>
      <c r="E2266" s="2" t="s">
        <v>2529</v>
      </c>
      <c r="F2266" s="3">
        <v>141781</v>
      </c>
      <c r="G2266" s="3">
        <v>11568</v>
      </c>
      <c r="H2266" s="3">
        <v>796</v>
      </c>
      <c r="I2266" s="4">
        <v>9844.5300000000007</v>
      </c>
      <c r="J2266" s="4">
        <v>50838.76</v>
      </c>
      <c r="K2266" s="3">
        <v>503</v>
      </c>
      <c r="L2266" s="2" t="s">
        <v>2539</v>
      </c>
      <c r="M2266" s="2" t="s">
        <v>2537</v>
      </c>
      <c r="N2266" t="str">
        <f>TRIM(PROPER(Tabla_auditoría[[#This Row],[ID_Campaña]]))</f>
        <v>Cmp-021</v>
      </c>
      <c r="O2266" t="str">
        <f>TRIM(PROPER(Tabla_auditoría[[#This Row],[Canal]]))</f>
        <v>Display</v>
      </c>
      <c r="P2266" t="str">
        <f>TRIM(PROPER(Tabla_auditoría[[#This Row],[País]]))</f>
        <v>España</v>
      </c>
      <c r="Q2266" t="str">
        <f>TRIM(PROPER(Tabla_auditoría[[#This Row],[Dispositivo]]))</f>
        <v>Mobile</v>
      </c>
      <c r="R2266" t="str">
        <f>TRIM(PROPER(Tabla_auditoría[[#This Row],[Tipo_Campaña]]))</f>
        <v>Conversión</v>
      </c>
      <c r="S2266" t="str">
        <f>TRIM(PROPER(Tabla_auditoría[[#This Row],[Responsable]]))</f>
        <v>Marta López</v>
      </c>
    </row>
    <row r="2267" spans="1:19" x14ac:dyDescent="0.3">
      <c r="A2267" s="1">
        <v>45814</v>
      </c>
      <c r="B2267" s="2" t="s">
        <v>2549</v>
      </c>
      <c r="C2267" s="2" t="s">
        <v>2543</v>
      </c>
      <c r="D2267" s="2" t="s">
        <v>2528</v>
      </c>
      <c r="E2267" s="2" t="s">
        <v>2517</v>
      </c>
      <c r="F2267" s="3">
        <v>20277</v>
      </c>
      <c r="G2267" s="3">
        <v>1600</v>
      </c>
      <c r="H2267" s="3">
        <v>140</v>
      </c>
      <c r="I2267" s="4">
        <v>1806.65</v>
      </c>
      <c r="J2267" s="4">
        <v>6237.7</v>
      </c>
      <c r="K2267" s="3">
        <v>117</v>
      </c>
      <c r="L2267" s="2" t="s">
        <v>2523</v>
      </c>
      <c r="M2267" s="2" t="s">
        <v>2519</v>
      </c>
      <c r="N2267" t="str">
        <f>TRIM(PROPER(Tabla_auditoría[[#This Row],[ID_Campaña]]))</f>
        <v>Cmp-007</v>
      </c>
      <c r="O2267" t="str">
        <f>TRIM(PROPER(Tabla_auditoría[[#This Row],[Canal]]))</f>
        <v>Organic Social</v>
      </c>
      <c r="P2267" t="str">
        <f>TRIM(PROPER(Tabla_auditoría[[#This Row],[País]]))</f>
        <v>España</v>
      </c>
      <c r="Q2267" t="str">
        <f>TRIM(PROPER(Tabla_auditoría[[#This Row],[Dispositivo]]))</f>
        <v>Desktop</v>
      </c>
      <c r="R2267" t="str">
        <f>TRIM(PROPER(Tabla_auditoría[[#This Row],[Tipo_Campaña]]))</f>
        <v>Retención</v>
      </c>
      <c r="S2267" t="str">
        <f>TRIM(PROPER(Tabla_auditoría[[#This Row],[Responsable]]))</f>
        <v>Carlos Ruiz</v>
      </c>
    </row>
    <row r="2268" spans="1:19" x14ac:dyDescent="0.3">
      <c r="A2268" s="1">
        <v>45940</v>
      </c>
      <c r="B2268" s="2" t="s">
        <v>2564</v>
      </c>
      <c r="D2268" s="2" t="s">
        <v>2531</v>
      </c>
      <c r="E2268" s="2" t="s">
        <v>2529</v>
      </c>
      <c r="F2268" s="3">
        <v>18500</v>
      </c>
      <c r="G2268" s="3">
        <v>1656</v>
      </c>
      <c r="H2268" s="3">
        <v>18</v>
      </c>
      <c r="I2268" s="4">
        <v>2295.0300000000002</v>
      </c>
      <c r="J2268" s="4">
        <v>3644.14</v>
      </c>
      <c r="K2268" s="3">
        <v>14</v>
      </c>
      <c r="L2268" s="2" t="s">
        <v>2523</v>
      </c>
      <c r="M2268" s="2" t="s">
        <v>2519</v>
      </c>
      <c r="N2268" t="str">
        <f>TRIM(PROPER(Tabla_auditoría[[#This Row],[ID_Campaña]]))</f>
        <v>Cmp-024</v>
      </c>
      <c r="O2268" t="str">
        <f>TRIM(PROPER(Tabla_auditoría[[#This Row],[Canal]]))</f>
        <v/>
      </c>
      <c r="P2268" t="str">
        <f>TRIM(PROPER(Tabla_auditoría[[#This Row],[País]]))</f>
        <v>Portugal</v>
      </c>
      <c r="Q2268" t="str">
        <f>TRIM(PROPER(Tabla_auditoría[[#This Row],[Dispositivo]]))</f>
        <v>Mobile</v>
      </c>
      <c r="R2268" t="str">
        <f>TRIM(PROPER(Tabla_auditoría[[#This Row],[Tipo_Campaña]]))</f>
        <v>Retención</v>
      </c>
      <c r="S2268" t="str">
        <f>TRIM(PROPER(Tabla_auditoría[[#This Row],[Responsable]]))</f>
        <v>Carlos Ruiz</v>
      </c>
    </row>
    <row r="2269" spans="1:19" x14ac:dyDescent="0.3">
      <c r="A2269" s="1">
        <v>45681</v>
      </c>
      <c r="B2269" s="2" t="s">
        <v>2557</v>
      </c>
      <c r="C2269" s="2" t="s">
        <v>2527</v>
      </c>
      <c r="D2269" s="2" t="s">
        <v>2522</v>
      </c>
      <c r="E2269" s="2" t="s">
        <v>2529</v>
      </c>
      <c r="F2269" s="3">
        <v>47596</v>
      </c>
      <c r="G2269" s="3">
        <v>1850</v>
      </c>
      <c r="H2269" s="3">
        <v>245</v>
      </c>
      <c r="I2269" s="4">
        <v>2493.3000000000002</v>
      </c>
      <c r="J2269" s="4">
        <v>53588.42</v>
      </c>
      <c r="K2269" s="3">
        <v>131</v>
      </c>
      <c r="L2269" s="2" t="s">
        <v>2523</v>
      </c>
      <c r="M2269" s="2" t="s">
        <v>2526</v>
      </c>
      <c r="N2269" t="str">
        <f>TRIM(PROPER(Tabla_auditoría[[#This Row],[ID_Campaña]]))</f>
        <v>Cmp-030</v>
      </c>
      <c r="O2269" t="str">
        <f>TRIM(PROPER(Tabla_auditoría[[#This Row],[Canal]]))</f>
        <v>Affiliate</v>
      </c>
      <c r="P2269" t="str">
        <f>TRIM(PROPER(Tabla_auditoría[[#This Row],[País]]))</f>
        <v>Italia</v>
      </c>
      <c r="Q2269" t="str">
        <f>TRIM(PROPER(Tabla_auditoría[[#This Row],[Dispositivo]]))</f>
        <v>Mobile</v>
      </c>
      <c r="R2269" t="str">
        <f>TRIM(PROPER(Tabla_auditoría[[#This Row],[Tipo_Campaña]]))</f>
        <v>Retención</v>
      </c>
      <c r="S2269" t="str">
        <f>TRIM(PROPER(Tabla_auditoría[[#This Row],[Responsable]]))</f>
        <v>Laura Pérez</v>
      </c>
    </row>
    <row r="2270" spans="1:19" x14ac:dyDescent="0.3">
      <c r="A2270" s="1">
        <v>45889</v>
      </c>
      <c r="B2270" s="2" t="s">
        <v>2540</v>
      </c>
      <c r="C2270" s="2" t="s">
        <v>2533</v>
      </c>
      <c r="D2270" s="2" t="s">
        <v>2528</v>
      </c>
      <c r="E2270" s="2" t="s">
        <v>2529</v>
      </c>
      <c r="F2270" s="3">
        <v>108306</v>
      </c>
      <c r="G2270" s="3">
        <v>8389</v>
      </c>
      <c r="H2270" s="3">
        <v>967</v>
      </c>
      <c r="I2270" s="4">
        <v>7668.25</v>
      </c>
      <c r="J2270" s="4">
        <v>130326.22</v>
      </c>
      <c r="K2270" s="3">
        <v>650</v>
      </c>
      <c r="L2270" s="2" t="s">
        <v>2539</v>
      </c>
      <c r="M2270" s="2" t="s">
        <v>2537</v>
      </c>
      <c r="N2270" t="str">
        <f>TRIM(PROPER(Tabla_auditoría[[#This Row],[ID_Campaña]]))</f>
        <v>Cmp-017</v>
      </c>
      <c r="O2270" t="str">
        <f>TRIM(PROPER(Tabla_auditoría[[#This Row],[Canal]]))</f>
        <v>Paid Social</v>
      </c>
      <c r="P2270" t="str">
        <f>TRIM(PROPER(Tabla_auditoría[[#This Row],[País]]))</f>
        <v>España</v>
      </c>
      <c r="Q2270" t="str">
        <f>TRIM(PROPER(Tabla_auditoría[[#This Row],[Dispositivo]]))</f>
        <v>Mobile</v>
      </c>
      <c r="R2270" t="str">
        <f>TRIM(PROPER(Tabla_auditoría[[#This Row],[Tipo_Campaña]]))</f>
        <v>Conversión</v>
      </c>
      <c r="S2270" t="str">
        <f>TRIM(PROPER(Tabla_auditoría[[#This Row],[Responsable]]))</f>
        <v>Marta López</v>
      </c>
    </row>
    <row r="2271" spans="1:19" x14ac:dyDescent="0.3">
      <c r="A2271" s="1">
        <v>45831</v>
      </c>
      <c r="B2271" s="2" t="s">
        <v>2555</v>
      </c>
      <c r="C2271" s="2" t="s">
        <v>2541</v>
      </c>
      <c r="D2271" s="2" t="s">
        <v>2528</v>
      </c>
      <c r="E2271" s="2" t="s">
        <v>2517</v>
      </c>
      <c r="F2271" s="3">
        <v>170870</v>
      </c>
      <c r="G2271" s="3">
        <v>2505</v>
      </c>
      <c r="H2271" s="3">
        <v>58</v>
      </c>
      <c r="I2271" s="4">
        <v>3533.01</v>
      </c>
      <c r="J2271" s="4">
        <v>4634.3900000000003</v>
      </c>
      <c r="K2271" s="3">
        <v>43</v>
      </c>
      <c r="L2271" s="2" t="s">
        <v>2518</v>
      </c>
      <c r="M2271" s="2" t="s">
        <v>2519</v>
      </c>
      <c r="N2271" t="str">
        <f>TRIM(PROPER(Tabla_auditoría[[#This Row],[ID_Campaña]]))</f>
        <v>Cmp-010</v>
      </c>
      <c r="O2271" t="str">
        <f>TRIM(PROPER(Tabla_auditoría[[#This Row],[Canal]]))</f>
        <v>Display</v>
      </c>
      <c r="P2271" t="str">
        <f>TRIM(PROPER(Tabla_auditoría[[#This Row],[País]]))</f>
        <v>España</v>
      </c>
      <c r="Q2271" t="str">
        <f>TRIM(PROPER(Tabla_auditoría[[#This Row],[Dispositivo]]))</f>
        <v>Desktop</v>
      </c>
      <c r="R2271" t="str">
        <f>TRIM(PROPER(Tabla_auditoría[[#This Row],[Tipo_Campaña]]))</f>
        <v>Adquisición</v>
      </c>
      <c r="S2271" t="str">
        <f>TRIM(PROPER(Tabla_auditoría[[#This Row],[Responsable]]))</f>
        <v>Carlos Ruiz</v>
      </c>
    </row>
    <row r="2272" spans="1:19" x14ac:dyDescent="0.3">
      <c r="A2272" s="1">
        <v>45961</v>
      </c>
      <c r="B2272" s="2" t="s">
        <v>2569</v>
      </c>
      <c r="C2272" s="2" t="s">
        <v>2521</v>
      </c>
      <c r="D2272" s="2" t="s">
        <v>2516</v>
      </c>
      <c r="E2272" s="2" t="s">
        <v>2529</v>
      </c>
      <c r="F2272" s="3">
        <v>154720</v>
      </c>
      <c r="G2272" s="3">
        <v>5156</v>
      </c>
      <c r="H2272" s="3">
        <v>344</v>
      </c>
      <c r="I2272" s="4">
        <v>5514.36</v>
      </c>
      <c r="J2272" s="4">
        <v>65999.41</v>
      </c>
      <c r="K2272" s="3">
        <v>291</v>
      </c>
      <c r="L2272" s="2" t="s">
        <v>2536</v>
      </c>
      <c r="M2272" s="2" t="s">
        <v>2519</v>
      </c>
      <c r="N2272" t="str">
        <f>TRIM(PROPER(Tabla_auditoría[[#This Row],[ID_Campaña]]))</f>
        <v>Cmp-013</v>
      </c>
      <c r="O2272" t="str">
        <f>TRIM(PROPER(Tabla_auditoría[[#This Row],[Canal]]))</f>
        <v>Paid Search</v>
      </c>
      <c r="P2272" t="str">
        <f>TRIM(PROPER(Tabla_auditoría[[#This Row],[País]]))</f>
        <v>México</v>
      </c>
      <c r="Q2272" t="str">
        <f>TRIM(PROPER(Tabla_auditoría[[#This Row],[Dispositivo]]))</f>
        <v>Mobile</v>
      </c>
      <c r="R2272" t="str">
        <f>TRIM(PROPER(Tabla_auditoría[[#This Row],[Tipo_Campaña]]))</f>
        <v>Reconocimiento</v>
      </c>
      <c r="S2272" t="str">
        <f>TRIM(PROPER(Tabla_auditoría[[#This Row],[Responsable]]))</f>
        <v>Carlos Ruiz</v>
      </c>
    </row>
    <row r="2273" spans="1:19" x14ac:dyDescent="0.3">
      <c r="A2273" s="1">
        <v>45857</v>
      </c>
      <c r="B2273" s="2" t="s">
        <v>2570</v>
      </c>
      <c r="C2273" s="2" t="s">
        <v>2515</v>
      </c>
      <c r="D2273" s="2" t="s">
        <v>2516</v>
      </c>
      <c r="E2273" s="2" t="s">
        <v>2517</v>
      </c>
      <c r="F2273" s="3">
        <v>105531</v>
      </c>
      <c r="G2273" s="3">
        <v>1779</v>
      </c>
      <c r="H2273" s="3">
        <v>97</v>
      </c>
      <c r="I2273" s="4">
        <v>2397.8200000000002</v>
      </c>
      <c r="J2273" s="4">
        <v>14815.12</v>
      </c>
      <c r="K2273" s="3">
        <v>45</v>
      </c>
      <c r="L2273" s="2" t="s">
        <v>2536</v>
      </c>
      <c r="M2273" s="2" t="s">
        <v>2537</v>
      </c>
      <c r="N2273" t="str">
        <f>TRIM(PROPER(Tabla_auditoría[[#This Row],[ID_Campaña]]))</f>
        <v>Cmp-016</v>
      </c>
      <c r="O2273" t="str">
        <f>TRIM(PROPER(Tabla_auditoría[[#This Row],[Canal]]))</f>
        <v>Email</v>
      </c>
      <c r="P2273" t="str">
        <f>TRIM(PROPER(Tabla_auditoría[[#This Row],[País]]))</f>
        <v>México</v>
      </c>
      <c r="Q2273" t="str">
        <f>TRIM(PROPER(Tabla_auditoría[[#This Row],[Dispositivo]]))</f>
        <v>Desktop</v>
      </c>
      <c r="R2273" t="str">
        <f>TRIM(PROPER(Tabla_auditoría[[#This Row],[Tipo_Campaña]]))</f>
        <v>Reconocimiento</v>
      </c>
      <c r="S2273" t="str">
        <f>TRIM(PROPER(Tabla_auditoría[[#This Row],[Responsable]]))</f>
        <v>Marta López</v>
      </c>
    </row>
    <row r="2274" spans="1:19" x14ac:dyDescent="0.3">
      <c r="A2274" s="1">
        <v>45748</v>
      </c>
      <c r="B2274" s="2" t="s">
        <v>2530</v>
      </c>
      <c r="C2274" s="2" t="s">
        <v>2521</v>
      </c>
      <c r="D2274" s="2" t="s">
        <v>2531</v>
      </c>
      <c r="E2274" s="2" t="s">
        <v>2517</v>
      </c>
      <c r="F2274" s="3">
        <v>150936</v>
      </c>
      <c r="G2274" s="3">
        <v>5880</v>
      </c>
      <c r="H2274" s="3">
        <v>732</v>
      </c>
      <c r="I2274" s="4">
        <v>10803.19</v>
      </c>
      <c r="J2274" s="4">
        <v>83522.41</v>
      </c>
      <c r="K2274" s="3">
        <v>381</v>
      </c>
      <c r="L2274" s="2" t="s">
        <v>2518</v>
      </c>
      <c r="M2274" s="2" t="s">
        <v>2537</v>
      </c>
      <c r="N2274" t="str">
        <f>TRIM(PROPER(Tabla_auditoría[[#This Row],[ID_Campaña]]))</f>
        <v>Cmp-026</v>
      </c>
      <c r="O2274" t="str">
        <f>TRIM(PROPER(Tabla_auditoría[[#This Row],[Canal]]))</f>
        <v>Paid Search</v>
      </c>
      <c r="P2274" t="str">
        <f>TRIM(PROPER(Tabla_auditoría[[#This Row],[País]]))</f>
        <v>Portugal</v>
      </c>
      <c r="Q2274" t="str">
        <f>TRIM(PROPER(Tabla_auditoría[[#This Row],[Dispositivo]]))</f>
        <v>Desktop</v>
      </c>
      <c r="R2274" t="str">
        <f>TRIM(PROPER(Tabla_auditoría[[#This Row],[Tipo_Campaña]]))</f>
        <v>Adquisición</v>
      </c>
      <c r="S2274" t="str">
        <f>TRIM(PROPER(Tabla_auditoría[[#This Row],[Responsable]]))</f>
        <v>Marta López</v>
      </c>
    </row>
    <row r="2275" spans="1:19" x14ac:dyDescent="0.3">
      <c r="A2275" s="1">
        <v>45984</v>
      </c>
      <c r="B2275" s="2" t="s">
        <v>2550</v>
      </c>
      <c r="C2275" s="2" t="s">
        <v>2541</v>
      </c>
      <c r="D2275" s="2" t="s">
        <v>2528</v>
      </c>
      <c r="E2275" s="2" t="s">
        <v>2517</v>
      </c>
      <c r="F2275" s="3">
        <v>141521</v>
      </c>
      <c r="G2275" s="3">
        <v>11874</v>
      </c>
      <c r="H2275" s="3">
        <v>622</v>
      </c>
      <c r="I2275" s="4">
        <v>1603.67</v>
      </c>
      <c r="J2275" s="4">
        <v>92673.96</v>
      </c>
      <c r="K2275" s="3">
        <v>365</v>
      </c>
      <c r="L2275" s="2" t="s">
        <v>2518</v>
      </c>
      <c r="M2275" s="2" t="s">
        <v>2524</v>
      </c>
      <c r="N2275" t="str">
        <f>TRIM(PROPER(Tabla_auditoría[[#This Row],[ID_Campaña]]))</f>
        <v>Cmp-008</v>
      </c>
      <c r="O2275" t="str">
        <f>TRIM(PROPER(Tabla_auditoría[[#This Row],[Canal]]))</f>
        <v>Display</v>
      </c>
      <c r="P2275" t="str">
        <f>TRIM(PROPER(Tabla_auditoría[[#This Row],[País]]))</f>
        <v>España</v>
      </c>
      <c r="Q2275" t="str">
        <f>TRIM(PROPER(Tabla_auditoría[[#This Row],[Dispositivo]]))</f>
        <v>Desktop</v>
      </c>
      <c r="R2275" t="str">
        <f>TRIM(PROPER(Tabla_auditoría[[#This Row],[Tipo_Campaña]]))</f>
        <v>Adquisición</v>
      </c>
      <c r="S2275" t="str">
        <f>TRIM(PROPER(Tabla_auditoría[[#This Row],[Responsable]]))</f>
        <v>Luis Martín</v>
      </c>
    </row>
    <row r="2276" spans="1:19" x14ac:dyDescent="0.3">
      <c r="A2276" s="1">
        <v>45741</v>
      </c>
      <c r="B2276" s="2" t="s">
        <v>2547</v>
      </c>
      <c r="C2276" s="2" t="s">
        <v>2533</v>
      </c>
      <c r="D2276" s="2" t="s">
        <v>2528</v>
      </c>
      <c r="E2276" s="2" t="s">
        <v>2517</v>
      </c>
      <c r="F2276" s="3">
        <v>14517</v>
      </c>
      <c r="G2276" s="3">
        <v>427</v>
      </c>
      <c r="H2276" s="3">
        <v>58</v>
      </c>
      <c r="I2276" s="4">
        <v>619.94000000000005</v>
      </c>
      <c r="J2276" s="4">
        <v>2722.83</v>
      </c>
      <c r="K2276" s="3">
        <v>37</v>
      </c>
      <c r="L2276" s="2" t="s">
        <v>2523</v>
      </c>
      <c r="M2276" s="2" t="s">
        <v>2537</v>
      </c>
      <c r="N2276" t="str">
        <f>TRIM(PROPER(Tabla_auditoría[[#This Row],[ID_Campaña]]))</f>
        <v>Cmp-018</v>
      </c>
      <c r="O2276" t="str">
        <f>TRIM(PROPER(Tabla_auditoría[[#This Row],[Canal]]))</f>
        <v>Paid Social</v>
      </c>
      <c r="P2276" t="str">
        <f>TRIM(PROPER(Tabla_auditoría[[#This Row],[País]]))</f>
        <v>España</v>
      </c>
      <c r="Q2276" t="str">
        <f>TRIM(PROPER(Tabla_auditoría[[#This Row],[Dispositivo]]))</f>
        <v>Desktop</v>
      </c>
      <c r="R2276" t="str">
        <f>TRIM(PROPER(Tabla_auditoría[[#This Row],[Tipo_Campaña]]))</f>
        <v>Retención</v>
      </c>
      <c r="S2276" t="str">
        <f>TRIM(PROPER(Tabla_auditoría[[#This Row],[Responsable]]))</f>
        <v>Marta López</v>
      </c>
    </row>
    <row r="2277" spans="1:19" x14ac:dyDescent="0.3">
      <c r="A2277" s="1">
        <v>45977</v>
      </c>
      <c r="B2277" s="2" t="s">
        <v>2542</v>
      </c>
      <c r="C2277" s="2" t="s">
        <v>2543</v>
      </c>
      <c r="D2277" s="2" t="s">
        <v>2525</v>
      </c>
      <c r="E2277" s="2" t="s">
        <v>2529</v>
      </c>
      <c r="F2277" s="3">
        <v>104634</v>
      </c>
      <c r="G2277" s="3">
        <v>7855</v>
      </c>
      <c r="H2277" s="3">
        <v>458</v>
      </c>
      <c r="I2277" s="4">
        <v>6478.7</v>
      </c>
      <c r="J2277" s="4">
        <v>83699.19</v>
      </c>
      <c r="K2277" s="3">
        <v>360</v>
      </c>
      <c r="L2277" s="2" t="s">
        <v>2518</v>
      </c>
      <c r="M2277" s="2" t="s">
        <v>2526</v>
      </c>
      <c r="N2277" t="str">
        <f>TRIM(PROPER(Tabla_auditoría[[#This Row],[ID_Campaña]]))</f>
        <v>Cmp-025</v>
      </c>
      <c r="O2277" t="str">
        <f>TRIM(PROPER(Tabla_auditoría[[#This Row],[Canal]]))</f>
        <v>Organic Social</v>
      </c>
      <c r="P2277" t="str">
        <f>TRIM(PROPER(Tabla_auditoría[[#This Row],[País]]))</f>
        <v>Francia</v>
      </c>
      <c r="Q2277" t="str">
        <f>TRIM(PROPER(Tabla_auditoría[[#This Row],[Dispositivo]]))</f>
        <v>Mobile</v>
      </c>
      <c r="R2277" t="str">
        <f>TRIM(PROPER(Tabla_auditoría[[#This Row],[Tipo_Campaña]]))</f>
        <v>Adquisición</v>
      </c>
      <c r="S2277" t="str">
        <f>TRIM(PROPER(Tabla_auditoría[[#This Row],[Responsable]]))</f>
        <v>Laura Pérez</v>
      </c>
    </row>
    <row r="2278" spans="1:19" x14ac:dyDescent="0.3">
      <c r="A2278" s="1">
        <v>45689</v>
      </c>
      <c r="B2278" s="2" t="s">
        <v>2549</v>
      </c>
      <c r="C2278" s="2" t="s">
        <v>2541</v>
      </c>
      <c r="D2278" s="2" t="s">
        <v>2573</v>
      </c>
      <c r="E2278" s="2" t="s">
        <v>2517</v>
      </c>
      <c r="F2278" s="3">
        <v>69685</v>
      </c>
      <c r="G2278" s="3">
        <v>6204</v>
      </c>
      <c r="H2278" s="3">
        <v>360</v>
      </c>
      <c r="I2278" s="4">
        <v>5547.72</v>
      </c>
      <c r="J2278" s="4">
        <v>50927.26</v>
      </c>
      <c r="K2278" s="3">
        <v>268</v>
      </c>
      <c r="L2278" s="2" t="s">
        <v>2518</v>
      </c>
      <c r="M2278" s="2" t="s">
        <v>2524</v>
      </c>
      <c r="N2278" t="str">
        <f>TRIM(PROPER(Tabla_auditoría[[#This Row],[ID_Campaña]]))</f>
        <v>Cmp-007</v>
      </c>
      <c r="O2278" t="str">
        <f>TRIM(PROPER(Tabla_auditoría[[#This Row],[Canal]]))</f>
        <v>Display</v>
      </c>
      <c r="P2278" t="str">
        <f>TRIM(PROPER(Tabla_auditoría[[#This Row],[País]]))</f>
        <v>España</v>
      </c>
      <c r="Q2278" t="str">
        <f>TRIM(PROPER(Tabla_auditoría[[#This Row],[Dispositivo]]))</f>
        <v>Desktop</v>
      </c>
      <c r="R2278" t="str">
        <f>TRIM(PROPER(Tabla_auditoría[[#This Row],[Tipo_Campaña]]))</f>
        <v>Adquisición</v>
      </c>
      <c r="S2278" t="str">
        <f>TRIM(PROPER(Tabla_auditoría[[#This Row],[Responsable]]))</f>
        <v>Luis Martín</v>
      </c>
    </row>
    <row r="2279" spans="1:19" x14ac:dyDescent="0.3">
      <c r="A2279" s="1">
        <v>45691</v>
      </c>
      <c r="B2279" s="2" t="s">
        <v>2547</v>
      </c>
      <c r="C2279" s="2" t="s">
        <v>2527</v>
      </c>
      <c r="D2279" s="2" t="s">
        <v>2528</v>
      </c>
      <c r="E2279" s="2" t="s">
        <v>2517</v>
      </c>
      <c r="F2279" s="3">
        <v>105828</v>
      </c>
      <c r="G2279" s="3">
        <v>1596</v>
      </c>
      <c r="H2279" s="3">
        <v>198</v>
      </c>
      <c r="I2279" s="4">
        <v>2053.38</v>
      </c>
      <c r="J2279" s="4">
        <v>32741.25</v>
      </c>
      <c r="K2279" s="3">
        <v>102</v>
      </c>
      <c r="L2279" s="2" t="s">
        <v>2536</v>
      </c>
      <c r="M2279" s="2" t="s">
        <v>2537</v>
      </c>
      <c r="N2279" t="str">
        <f>TRIM(PROPER(Tabla_auditoría[[#This Row],[ID_Campaña]]))</f>
        <v>Cmp-018</v>
      </c>
      <c r="O2279" t="str">
        <f>TRIM(PROPER(Tabla_auditoría[[#This Row],[Canal]]))</f>
        <v>Affiliate</v>
      </c>
      <c r="P2279" t="str">
        <f>TRIM(PROPER(Tabla_auditoría[[#This Row],[País]]))</f>
        <v>España</v>
      </c>
      <c r="Q2279" t="str">
        <f>TRIM(PROPER(Tabla_auditoría[[#This Row],[Dispositivo]]))</f>
        <v>Desktop</v>
      </c>
      <c r="R2279" t="str">
        <f>TRIM(PROPER(Tabla_auditoría[[#This Row],[Tipo_Campaña]]))</f>
        <v>Reconocimiento</v>
      </c>
      <c r="S2279" t="str">
        <f>TRIM(PROPER(Tabla_auditoría[[#This Row],[Responsable]]))</f>
        <v>Marta López</v>
      </c>
    </row>
    <row r="2280" spans="1:19" x14ac:dyDescent="0.3">
      <c r="A2280" s="1">
        <v>45814</v>
      </c>
      <c r="B2280" s="2" t="s">
        <v>2520</v>
      </c>
      <c r="C2280" s="2" t="s">
        <v>2515</v>
      </c>
      <c r="D2280" s="2" t="s">
        <v>2525</v>
      </c>
      <c r="E2280" s="2" t="s">
        <v>2559</v>
      </c>
      <c r="F2280" s="3">
        <v>65462</v>
      </c>
      <c r="G2280" s="3">
        <v>1781</v>
      </c>
      <c r="H2280" s="3">
        <v>79</v>
      </c>
      <c r="I2280" s="4">
        <v>1507.78</v>
      </c>
      <c r="J2280" s="4">
        <v>11500.07</v>
      </c>
      <c r="K2280" s="3">
        <v>46</v>
      </c>
      <c r="L2280" s="2" t="s">
        <v>2539</v>
      </c>
      <c r="M2280" s="2" t="s">
        <v>2546</v>
      </c>
      <c r="N2280" t="str">
        <f>TRIM(PROPER(Tabla_auditoría[[#This Row],[ID_Campaña]]))</f>
        <v>Cmp-009</v>
      </c>
      <c r="O2280" t="str">
        <f>TRIM(PROPER(Tabla_auditoría[[#This Row],[Canal]]))</f>
        <v>Email</v>
      </c>
      <c r="P2280" t="str">
        <f>TRIM(PROPER(Tabla_auditoría[[#This Row],[País]]))</f>
        <v>Francia</v>
      </c>
      <c r="Q2280" t="str">
        <f>TRIM(PROPER(Tabla_auditoría[[#This Row],[Dispositivo]]))</f>
        <v>Desktop</v>
      </c>
      <c r="R2280" t="str">
        <f>TRIM(PROPER(Tabla_auditoría[[#This Row],[Tipo_Campaña]]))</f>
        <v>Conversión</v>
      </c>
      <c r="S2280" t="str">
        <f>TRIM(PROPER(Tabla_auditoría[[#This Row],[Responsable]]))</f>
        <v>Ana García</v>
      </c>
    </row>
    <row r="2281" spans="1:19" x14ac:dyDescent="0.3">
      <c r="A2281" s="1">
        <v>45829</v>
      </c>
      <c r="B2281" s="2" t="s">
        <v>2569</v>
      </c>
      <c r="C2281" s="2" t="s">
        <v>2541</v>
      </c>
      <c r="D2281" s="2" t="s">
        <v>2516</v>
      </c>
      <c r="E2281" s="2" t="s">
        <v>2529</v>
      </c>
      <c r="F2281" s="3">
        <v>31248</v>
      </c>
      <c r="G2281" s="3">
        <v>2618</v>
      </c>
      <c r="H2281" s="3">
        <v>298</v>
      </c>
      <c r="I2281" s="4">
        <v>3166.54</v>
      </c>
      <c r="J2281" s="4">
        <v>27031.68</v>
      </c>
      <c r="K2281" s="3">
        <v>181</v>
      </c>
      <c r="L2281" s="2" t="s">
        <v>2539</v>
      </c>
      <c r="M2281" s="2" t="s">
        <v>2537</v>
      </c>
      <c r="N2281" t="str">
        <f>TRIM(PROPER(Tabla_auditoría[[#This Row],[ID_Campaña]]))</f>
        <v>Cmp-013</v>
      </c>
      <c r="O2281" t="str">
        <f>TRIM(PROPER(Tabla_auditoría[[#This Row],[Canal]]))</f>
        <v>Display</v>
      </c>
      <c r="P2281" t="str">
        <f>TRIM(PROPER(Tabla_auditoría[[#This Row],[País]]))</f>
        <v>México</v>
      </c>
      <c r="Q2281" t="str">
        <f>TRIM(PROPER(Tabla_auditoría[[#This Row],[Dispositivo]]))</f>
        <v>Mobile</v>
      </c>
      <c r="R2281" t="str">
        <f>TRIM(PROPER(Tabla_auditoría[[#This Row],[Tipo_Campaña]]))</f>
        <v>Conversión</v>
      </c>
      <c r="S2281" t="str">
        <f>TRIM(PROPER(Tabla_auditoría[[#This Row],[Responsable]]))</f>
        <v>Marta López</v>
      </c>
    </row>
    <row r="2282" spans="1:19" x14ac:dyDescent="0.3">
      <c r="A2282" s="1">
        <v>45785</v>
      </c>
      <c r="B2282" s="2" t="s">
        <v>2574</v>
      </c>
      <c r="C2282" s="2" t="s">
        <v>2543</v>
      </c>
      <c r="D2282" s="2" t="s">
        <v>2522</v>
      </c>
      <c r="E2282" s="2" t="s">
        <v>2529</v>
      </c>
      <c r="F2282" s="3">
        <v>1025</v>
      </c>
      <c r="G2282" s="3">
        <v>65</v>
      </c>
      <c r="H2282" s="3">
        <v>8</v>
      </c>
      <c r="I2282" s="4">
        <v>36.64</v>
      </c>
      <c r="J2282" s="4">
        <v>1579.3</v>
      </c>
      <c r="K2282" s="3">
        <v>4</v>
      </c>
      <c r="L2282" s="2" t="s">
        <v>2523</v>
      </c>
      <c r="M2282" s="2" t="s">
        <v>2537</v>
      </c>
      <c r="N2282" t="str">
        <f>TRIM(PROPER(Tabla_auditoría[[#This Row],[ID_Campaña]]))</f>
        <v>Cmp-003</v>
      </c>
      <c r="O2282" t="str">
        <f>TRIM(PROPER(Tabla_auditoría[[#This Row],[Canal]]))</f>
        <v>Organic Social</v>
      </c>
      <c r="P2282" t="str">
        <f>TRIM(PROPER(Tabla_auditoría[[#This Row],[País]]))</f>
        <v>Italia</v>
      </c>
      <c r="Q2282" t="str">
        <f>TRIM(PROPER(Tabla_auditoría[[#This Row],[Dispositivo]]))</f>
        <v>Mobile</v>
      </c>
      <c r="R2282" t="str">
        <f>TRIM(PROPER(Tabla_auditoría[[#This Row],[Tipo_Campaña]]))</f>
        <v>Retención</v>
      </c>
      <c r="S2282" t="str">
        <f>TRIM(PROPER(Tabla_auditoría[[#This Row],[Responsable]]))</f>
        <v>Marta López</v>
      </c>
    </row>
    <row r="2283" spans="1:19" x14ac:dyDescent="0.3">
      <c r="A2283" s="1">
        <v>46005</v>
      </c>
      <c r="B2283" s="2" t="s">
        <v>2547</v>
      </c>
      <c r="C2283" s="2" t="s">
        <v>2577</v>
      </c>
      <c r="D2283" s="2" t="s">
        <v>2528</v>
      </c>
      <c r="E2283" s="2" t="s">
        <v>2529</v>
      </c>
      <c r="F2283" s="3">
        <v>142872</v>
      </c>
      <c r="G2283" s="3">
        <v>5740</v>
      </c>
      <c r="H2283" s="3">
        <v>753</v>
      </c>
      <c r="I2283" s="4">
        <v>4988.3</v>
      </c>
      <c r="J2283" s="4">
        <v>157776.14000000001</v>
      </c>
      <c r="K2283" s="3">
        <v>544</v>
      </c>
      <c r="L2283" s="2" t="s">
        <v>2536</v>
      </c>
      <c r="M2283" s="2" t="s">
        <v>2537</v>
      </c>
      <c r="N2283" t="str">
        <f>TRIM(PROPER(Tabla_auditoría[[#This Row],[ID_Campaña]]))</f>
        <v>Cmp-018</v>
      </c>
      <c r="O2283" t="str">
        <f>TRIM(PROPER(Tabla_auditoría[[#This Row],[Canal]]))</f>
        <v>Affiliate</v>
      </c>
      <c r="P2283" t="str">
        <f>TRIM(PROPER(Tabla_auditoría[[#This Row],[País]]))</f>
        <v>España</v>
      </c>
      <c r="Q2283" t="str">
        <f>TRIM(PROPER(Tabla_auditoría[[#This Row],[Dispositivo]]))</f>
        <v>Mobile</v>
      </c>
      <c r="R2283" t="str">
        <f>TRIM(PROPER(Tabla_auditoría[[#This Row],[Tipo_Campaña]]))</f>
        <v>Reconocimiento</v>
      </c>
      <c r="S2283" t="str">
        <f>TRIM(PROPER(Tabla_auditoría[[#This Row],[Responsable]]))</f>
        <v>Marta López</v>
      </c>
    </row>
    <row r="2284" spans="1:19" x14ac:dyDescent="0.3">
      <c r="A2284" s="1">
        <v>45897</v>
      </c>
      <c r="B2284" s="2" t="s">
        <v>2565</v>
      </c>
      <c r="C2284" s="2" t="s">
        <v>2515</v>
      </c>
      <c r="D2284" s="2" t="s">
        <v>2528</v>
      </c>
      <c r="E2284" s="2" t="s">
        <v>2529</v>
      </c>
      <c r="F2284" s="3">
        <v>117663</v>
      </c>
      <c r="G2284" s="3">
        <v>6184</v>
      </c>
      <c r="H2284" s="3">
        <v>690</v>
      </c>
      <c r="I2284" s="4">
        <v>9917.4500000000007</v>
      </c>
      <c r="J2284" s="4">
        <v>114306.39</v>
      </c>
      <c r="K2284" s="3">
        <v>366</v>
      </c>
      <c r="L2284" s="2" t="s">
        <v>2523</v>
      </c>
      <c r="M2284" s="2" t="s">
        <v>2546</v>
      </c>
      <c r="N2284" t="str">
        <f>TRIM(PROPER(Tabla_auditoría[[#This Row],[ID_Campaña]]))</f>
        <v>Cmp-005</v>
      </c>
      <c r="O2284" t="str">
        <f>TRIM(PROPER(Tabla_auditoría[[#This Row],[Canal]]))</f>
        <v>Email</v>
      </c>
      <c r="P2284" t="str">
        <f>TRIM(PROPER(Tabla_auditoría[[#This Row],[País]]))</f>
        <v>España</v>
      </c>
      <c r="Q2284" t="str">
        <f>TRIM(PROPER(Tabla_auditoría[[#This Row],[Dispositivo]]))</f>
        <v>Mobile</v>
      </c>
      <c r="R2284" t="str">
        <f>TRIM(PROPER(Tabla_auditoría[[#This Row],[Tipo_Campaña]]))</f>
        <v>Retención</v>
      </c>
      <c r="S2284" t="str">
        <f>TRIM(PROPER(Tabla_auditoría[[#This Row],[Responsable]]))</f>
        <v>Ana García</v>
      </c>
    </row>
    <row r="2285" spans="1:19" x14ac:dyDescent="0.3">
      <c r="A2285" s="1">
        <v>45913</v>
      </c>
      <c r="B2285" s="2" t="s">
        <v>2565</v>
      </c>
      <c r="C2285" s="2" t="s">
        <v>2543</v>
      </c>
      <c r="D2285" s="2" t="s">
        <v>2516</v>
      </c>
      <c r="E2285" s="2" t="s">
        <v>2529</v>
      </c>
      <c r="F2285" s="3">
        <v>45185</v>
      </c>
      <c r="G2285" s="3">
        <v>3674</v>
      </c>
      <c r="H2285" s="3">
        <v>418</v>
      </c>
      <c r="I2285" s="4">
        <v>989.34</v>
      </c>
      <c r="J2285" s="4">
        <v>36013.410000000003</v>
      </c>
      <c r="K2285" s="3">
        <v>234</v>
      </c>
      <c r="L2285" s="2" t="s">
        <v>2536</v>
      </c>
      <c r="M2285" s="2" t="s">
        <v>2524</v>
      </c>
      <c r="N2285" t="str">
        <f>TRIM(PROPER(Tabla_auditoría[[#This Row],[ID_Campaña]]))</f>
        <v>Cmp-005</v>
      </c>
      <c r="O2285" t="str">
        <f>TRIM(PROPER(Tabla_auditoría[[#This Row],[Canal]]))</f>
        <v>Organic Social</v>
      </c>
      <c r="P2285" t="str">
        <f>TRIM(PROPER(Tabla_auditoría[[#This Row],[País]]))</f>
        <v>México</v>
      </c>
      <c r="Q2285" t="str">
        <f>TRIM(PROPER(Tabla_auditoría[[#This Row],[Dispositivo]]))</f>
        <v>Mobile</v>
      </c>
      <c r="R2285" t="str">
        <f>TRIM(PROPER(Tabla_auditoría[[#This Row],[Tipo_Campaña]]))</f>
        <v>Reconocimiento</v>
      </c>
      <c r="S2285" t="str">
        <f>TRIM(PROPER(Tabla_auditoría[[#This Row],[Responsable]]))</f>
        <v>Luis Martín</v>
      </c>
    </row>
    <row r="2286" spans="1:19" x14ac:dyDescent="0.3">
      <c r="A2286" s="1">
        <v>45669</v>
      </c>
      <c r="B2286" s="2" t="s">
        <v>2560</v>
      </c>
      <c r="C2286" s="2" t="s">
        <v>2543</v>
      </c>
      <c r="D2286" s="2" t="s">
        <v>2531</v>
      </c>
      <c r="E2286" s="2" t="s">
        <v>2529</v>
      </c>
      <c r="F2286" s="3">
        <v>13467</v>
      </c>
      <c r="G2286" s="3">
        <v>587</v>
      </c>
      <c r="H2286" s="3">
        <v>18</v>
      </c>
      <c r="I2286" s="4">
        <v>111.03</v>
      </c>
      <c r="J2286" s="4">
        <v>1749.98</v>
      </c>
      <c r="K2286" s="3">
        <v>10</v>
      </c>
      <c r="L2286" s="2" t="s">
        <v>2539</v>
      </c>
      <c r="M2286" s="2" t="s">
        <v>2526</v>
      </c>
      <c r="N2286" t="str">
        <f>TRIM(PROPER(Tabla_auditoría[[#This Row],[ID_Campaña]]))</f>
        <v>Cmp-027</v>
      </c>
      <c r="O2286" t="str">
        <f>TRIM(PROPER(Tabla_auditoría[[#This Row],[Canal]]))</f>
        <v>Organic Social</v>
      </c>
      <c r="P2286" t="str">
        <f>TRIM(PROPER(Tabla_auditoría[[#This Row],[País]]))</f>
        <v>Portugal</v>
      </c>
      <c r="Q2286" t="str">
        <f>TRIM(PROPER(Tabla_auditoría[[#This Row],[Dispositivo]]))</f>
        <v>Mobile</v>
      </c>
      <c r="R2286" t="str">
        <f>TRIM(PROPER(Tabla_auditoría[[#This Row],[Tipo_Campaña]]))</f>
        <v>Conversión</v>
      </c>
      <c r="S2286" t="str">
        <f>TRIM(PROPER(Tabla_auditoría[[#This Row],[Responsable]]))</f>
        <v>Laura Pérez</v>
      </c>
    </row>
    <row r="2287" spans="1:19" x14ac:dyDescent="0.3">
      <c r="A2287" s="1">
        <v>45681</v>
      </c>
      <c r="B2287" s="2" t="s">
        <v>2551</v>
      </c>
      <c r="C2287" s="2" t="s">
        <v>2515</v>
      </c>
      <c r="D2287" s="2" t="s">
        <v>2528</v>
      </c>
      <c r="E2287" s="2" t="s">
        <v>2517</v>
      </c>
      <c r="F2287" s="3">
        <v>15231</v>
      </c>
      <c r="G2287" s="3">
        <v>971</v>
      </c>
      <c r="H2287" s="3">
        <v>33</v>
      </c>
      <c r="I2287" s="4">
        <v>1440.26</v>
      </c>
      <c r="J2287" s="4">
        <v>3451.4</v>
      </c>
      <c r="K2287" s="3">
        <v>18</v>
      </c>
      <c r="L2287" s="2" t="s">
        <v>2539</v>
      </c>
      <c r="M2287" s="2" t="s">
        <v>2519</v>
      </c>
      <c r="N2287" t="str">
        <f>TRIM(PROPER(Tabla_auditoría[[#This Row],[ID_Campaña]]))</f>
        <v>Cmp-028</v>
      </c>
      <c r="O2287" t="str">
        <f>TRIM(PROPER(Tabla_auditoría[[#This Row],[Canal]]))</f>
        <v>Email</v>
      </c>
      <c r="P2287" t="str">
        <f>TRIM(PROPER(Tabla_auditoría[[#This Row],[País]]))</f>
        <v>España</v>
      </c>
      <c r="Q2287" t="str">
        <f>TRIM(PROPER(Tabla_auditoría[[#This Row],[Dispositivo]]))</f>
        <v>Desktop</v>
      </c>
      <c r="R2287" t="str">
        <f>TRIM(PROPER(Tabla_auditoría[[#This Row],[Tipo_Campaña]]))</f>
        <v>Conversión</v>
      </c>
      <c r="S2287" t="str">
        <f>TRIM(PROPER(Tabla_auditoría[[#This Row],[Responsable]]))</f>
        <v>Carlos Ruiz</v>
      </c>
    </row>
    <row r="2288" spans="1:19" x14ac:dyDescent="0.3">
      <c r="A2288" s="1">
        <v>45795</v>
      </c>
      <c r="B2288" s="2" t="s">
        <v>2569</v>
      </c>
      <c r="C2288" s="2" t="s">
        <v>2527</v>
      </c>
      <c r="D2288" s="2" t="s">
        <v>2528</v>
      </c>
      <c r="E2288" s="2" t="s">
        <v>2529</v>
      </c>
      <c r="F2288" s="3">
        <v>123596</v>
      </c>
      <c r="G2288" s="3">
        <v>2576</v>
      </c>
      <c r="H2288" s="3">
        <v>132</v>
      </c>
      <c r="I2288" s="4">
        <v>2550.98</v>
      </c>
      <c r="J2288" s="4">
        <v>6405.52</v>
      </c>
      <c r="K2288" s="3">
        <v>117</v>
      </c>
      <c r="L2288" s="2" t="s">
        <v>2536</v>
      </c>
      <c r="M2288" s="2" t="s">
        <v>2519</v>
      </c>
      <c r="N2288" t="str">
        <f>TRIM(PROPER(Tabla_auditoría[[#This Row],[ID_Campaña]]))</f>
        <v>Cmp-013</v>
      </c>
      <c r="O2288" t="str">
        <f>TRIM(PROPER(Tabla_auditoría[[#This Row],[Canal]]))</f>
        <v>Affiliate</v>
      </c>
      <c r="P2288" t="str">
        <f>TRIM(PROPER(Tabla_auditoría[[#This Row],[País]]))</f>
        <v>España</v>
      </c>
      <c r="Q2288" t="str">
        <f>TRIM(PROPER(Tabla_auditoría[[#This Row],[Dispositivo]]))</f>
        <v>Mobile</v>
      </c>
      <c r="R2288" t="str">
        <f>TRIM(PROPER(Tabla_auditoría[[#This Row],[Tipo_Campaña]]))</f>
        <v>Reconocimiento</v>
      </c>
      <c r="S2288" t="str">
        <f>TRIM(PROPER(Tabla_auditoría[[#This Row],[Responsable]]))</f>
        <v>Carlos Ruiz</v>
      </c>
    </row>
    <row r="2289" spans="1:19" x14ac:dyDescent="0.3">
      <c r="A2289" s="1">
        <v>46016</v>
      </c>
      <c r="B2289" s="2" t="s">
        <v>2552</v>
      </c>
      <c r="C2289" s="2" t="s">
        <v>2533</v>
      </c>
      <c r="D2289" s="2" t="s">
        <v>2525</v>
      </c>
      <c r="E2289" s="2" t="s">
        <v>2529</v>
      </c>
      <c r="F2289" s="3">
        <v>30971</v>
      </c>
      <c r="G2289" s="3">
        <v>508</v>
      </c>
      <c r="H2289" s="3">
        <v>63</v>
      </c>
      <c r="I2289" s="4">
        <v>863.58</v>
      </c>
      <c r="J2289" s="4">
        <v>954.92</v>
      </c>
      <c r="K2289" s="3">
        <v>45</v>
      </c>
      <c r="L2289" s="2" t="s">
        <v>2536</v>
      </c>
      <c r="M2289" s="2" t="s">
        <v>2526</v>
      </c>
      <c r="N2289" t="str">
        <f>TRIM(PROPER(Tabla_auditoría[[#This Row],[ID_Campaña]]))</f>
        <v>Cmp-012</v>
      </c>
      <c r="O2289" t="str">
        <f>TRIM(PROPER(Tabla_auditoría[[#This Row],[Canal]]))</f>
        <v>Paid Social</v>
      </c>
      <c r="P2289" t="str">
        <f>TRIM(PROPER(Tabla_auditoría[[#This Row],[País]]))</f>
        <v>Francia</v>
      </c>
      <c r="Q2289" t="str">
        <f>TRIM(PROPER(Tabla_auditoría[[#This Row],[Dispositivo]]))</f>
        <v>Mobile</v>
      </c>
      <c r="R2289" t="str">
        <f>TRIM(PROPER(Tabla_auditoría[[#This Row],[Tipo_Campaña]]))</f>
        <v>Reconocimiento</v>
      </c>
      <c r="S2289" t="str">
        <f>TRIM(PROPER(Tabla_auditoría[[#This Row],[Responsable]]))</f>
        <v>Laura Pérez</v>
      </c>
    </row>
    <row r="2290" spans="1:19" x14ac:dyDescent="0.3">
      <c r="A2290" s="1">
        <v>45821</v>
      </c>
      <c r="B2290" s="2" t="s">
        <v>2569</v>
      </c>
      <c r="C2290" s="2" t="s">
        <v>2527</v>
      </c>
      <c r="D2290" s="2" t="s">
        <v>2516</v>
      </c>
      <c r="E2290" s="2" t="s">
        <v>2517</v>
      </c>
      <c r="F2290" s="3">
        <v>6679</v>
      </c>
      <c r="G2290" s="3">
        <v>119</v>
      </c>
      <c r="H2290" s="3">
        <v>2</v>
      </c>
      <c r="I2290" s="4">
        <v>174.38</v>
      </c>
      <c r="J2290" s="4">
        <v>96.04</v>
      </c>
      <c r="K2290" s="3">
        <v>1</v>
      </c>
      <c r="L2290" s="2" t="s">
        <v>2539</v>
      </c>
      <c r="M2290" s="2" t="s">
        <v>2526</v>
      </c>
      <c r="N2290" t="str">
        <f>TRIM(PROPER(Tabla_auditoría[[#This Row],[ID_Campaña]]))</f>
        <v>Cmp-013</v>
      </c>
      <c r="O2290" t="str">
        <f>TRIM(PROPER(Tabla_auditoría[[#This Row],[Canal]]))</f>
        <v>Affiliate</v>
      </c>
      <c r="P2290" t="str">
        <f>TRIM(PROPER(Tabla_auditoría[[#This Row],[País]]))</f>
        <v>México</v>
      </c>
      <c r="Q2290" t="str">
        <f>TRIM(PROPER(Tabla_auditoría[[#This Row],[Dispositivo]]))</f>
        <v>Desktop</v>
      </c>
      <c r="R2290" t="str">
        <f>TRIM(PROPER(Tabla_auditoría[[#This Row],[Tipo_Campaña]]))</f>
        <v>Conversión</v>
      </c>
      <c r="S2290" t="str">
        <f>TRIM(PROPER(Tabla_auditoría[[#This Row],[Responsable]]))</f>
        <v>Laura Pérez</v>
      </c>
    </row>
    <row r="2291" spans="1:19" x14ac:dyDescent="0.3">
      <c r="A2291" s="1">
        <v>46011</v>
      </c>
      <c r="B2291" s="2" t="s">
        <v>2552</v>
      </c>
      <c r="C2291" s="2" t="s">
        <v>2521</v>
      </c>
      <c r="D2291" s="2" t="s">
        <v>2528</v>
      </c>
      <c r="E2291" s="2" t="s">
        <v>2529</v>
      </c>
      <c r="F2291" s="3">
        <v>71914</v>
      </c>
      <c r="G2291" s="3">
        <v>4965</v>
      </c>
      <c r="H2291" s="3">
        <v>161</v>
      </c>
      <c r="I2291" s="4">
        <v>4667.07</v>
      </c>
      <c r="J2291" s="4">
        <v>28450.6</v>
      </c>
      <c r="K2291" s="3">
        <v>117</v>
      </c>
      <c r="L2291" s="2" t="s">
        <v>2523</v>
      </c>
      <c r="M2291" s="2" t="s">
        <v>2524</v>
      </c>
      <c r="N2291" t="str">
        <f>TRIM(PROPER(Tabla_auditoría[[#This Row],[ID_Campaña]]))</f>
        <v>Cmp-012</v>
      </c>
      <c r="O2291" t="str">
        <f>TRIM(PROPER(Tabla_auditoría[[#This Row],[Canal]]))</f>
        <v>Paid Search</v>
      </c>
      <c r="P2291" t="str">
        <f>TRIM(PROPER(Tabla_auditoría[[#This Row],[País]]))</f>
        <v>España</v>
      </c>
      <c r="Q2291" t="str">
        <f>TRIM(PROPER(Tabla_auditoría[[#This Row],[Dispositivo]]))</f>
        <v>Mobile</v>
      </c>
      <c r="R2291" t="str">
        <f>TRIM(PROPER(Tabla_auditoría[[#This Row],[Tipo_Campaña]]))</f>
        <v>Retención</v>
      </c>
      <c r="S2291" t="str">
        <f>TRIM(PROPER(Tabla_auditoría[[#This Row],[Responsable]]))</f>
        <v>Luis Martín</v>
      </c>
    </row>
    <row r="2292" spans="1:19" x14ac:dyDescent="0.3">
      <c r="A2292" s="1">
        <v>45755</v>
      </c>
      <c r="B2292" s="2" t="s">
        <v>2538</v>
      </c>
      <c r="C2292" s="2" t="s">
        <v>2543</v>
      </c>
      <c r="D2292" s="2" t="s">
        <v>2528</v>
      </c>
      <c r="E2292" s="2" t="s">
        <v>2534</v>
      </c>
      <c r="F2292" s="3">
        <v>3495</v>
      </c>
      <c r="G2292" s="3">
        <v>213</v>
      </c>
      <c r="H2292" s="3">
        <v>2</v>
      </c>
      <c r="I2292" s="4">
        <v>145.43</v>
      </c>
      <c r="J2292" s="4">
        <v>323.07</v>
      </c>
      <c r="K2292" s="3">
        <v>1</v>
      </c>
      <c r="L2292" s="2" t="s">
        <v>2539</v>
      </c>
      <c r="M2292" s="2" t="s">
        <v>2524</v>
      </c>
      <c r="N2292" t="str">
        <f>TRIM(PROPER(Tabla_auditoría[[#This Row],[ID_Campaña]]))</f>
        <v>Cmp-004</v>
      </c>
      <c r="O2292" t="str">
        <f>TRIM(PROPER(Tabla_auditoría[[#This Row],[Canal]]))</f>
        <v>Organic Social</v>
      </c>
      <c r="P2292" t="str">
        <f>TRIM(PROPER(Tabla_auditoría[[#This Row],[País]]))</f>
        <v>España</v>
      </c>
      <c r="Q2292" t="str">
        <f>TRIM(PROPER(Tabla_auditoría[[#This Row],[Dispositivo]]))</f>
        <v>Tablet</v>
      </c>
      <c r="R2292" t="str">
        <f>TRIM(PROPER(Tabla_auditoría[[#This Row],[Tipo_Campaña]]))</f>
        <v>Conversión</v>
      </c>
      <c r="S2292" t="str">
        <f>TRIM(PROPER(Tabla_auditoría[[#This Row],[Responsable]]))</f>
        <v>Luis Martín</v>
      </c>
    </row>
    <row r="2293" spans="1:19" x14ac:dyDescent="0.3">
      <c r="A2293" s="1">
        <v>46015</v>
      </c>
      <c r="B2293" s="2" t="s">
        <v>2556</v>
      </c>
      <c r="C2293" s="2" t="s">
        <v>2527</v>
      </c>
      <c r="D2293" s="2" t="s">
        <v>2531</v>
      </c>
      <c r="E2293" s="2" t="s">
        <v>2517</v>
      </c>
      <c r="F2293" s="3">
        <v>153561</v>
      </c>
      <c r="G2293" s="3">
        <v>8864</v>
      </c>
      <c r="H2293" s="3">
        <v>737</v>
      </c>
      <c r="I2293" s="4">
        <v>15850.88</v>
      </c>
      <c r="J2293" s="4">
        <v>72650.81</v>
      </c>
      <c r="K2293" s="3">
        <v>608</v>
      </c>
      <c r="L2293" s="2" t="s">
        <v>2539</v>
      </c>
      <c r="M2293" s="2" t="s">
        <v>2546</v>
      </c>
      <c r="N2293" t="str">
        <f>TRIM(PROPER(Tabla_auditoría[[#This Row],[ID_Campaña]]))</f>
        <v>Cmp-014</v>
      </c>
      <c r="O2293" t="str">
        <f>TRIM(PROPER(Tabla_auditoría[[#This Row],[Canal]]))</f>
        <v>Affiliate</v>
      </c>
      <c r="P2293" t="str">
        <f>TRIM(PROPER(Tabla_auditoría[[#This Row],[País]]))</f>
        <v>Portugal</v>
      </c>
      <c r="Q2293" t="str">
        <f>TRIM(PROPER(Tabla_auditoría[[#This Row],[Dispositivo]]))</f>
        <v>Desktop</v>
      </c>
      <c r="R2293" t="str">
        <f>TRIM(PROPER(Tabla_auditoría[[#This Row],[Tipo_Campaña]]))</f>
        <v>Conversión</v>
      </c>
      <c r="S2293" t="str">
        <f>TRIM(PROPER(Tabla_auditoría[[#This Row],[Responsable]]))</f>
        <v>Ana García</v>
      </c>
    </row>
    <row r="2294" spans="1:19" x14ac:dyDescent="0.3">
      <c r="A2294" s="1">
        <v>45833</v>
      </c>
      <c r="B2294" s="2" t="s">
        <v>2565</v>
      </c>
      <c r="C2294" s="2" t="s">
        <v>2527</v>
      </c>
      <c r="D2294" s="2" t="s">
        <v>2528</v>
      </c>
      <c r="E2294" s="2" t="s">
        <v>2517</v>
      </c>
      <c r="F2294" s="3">
        <v>60169</v>
      </c>
      <c r="G2294" s="3">
        <v>2765</v>
      </c>
      <c r="H2294" s="3">
        <v>114</v>
      </c>
      <c r="I2294" s="4">
        <v>1161.5</v>
      </c>
      <c r="J2294" s="4">
        <v>7020.84</v>
      </c>
      <c r="K2294" s="3">
        <v>52</v>
      </c>
      <c r="L2294" s="2" t="s">
        <v>2536</v>
      </c>
      <c r="M2294" s="2" t="s">
        <v>2524</v>
      </c>
      <c r="N2294" t="str">
        <f>TRIM(PROPER(Tabla_auditoría[[#This Row],[ID_Campaña]]))</f>
        <v>Cmp-005</v>
      </c>
      <c r="O2294" t="str">
        <f>TRIM(PROPER(Tabla_auditoría[[#This Row],[Canal]]))</f>
        <v>Affiliate</v>
      </c>
      <c r="P2294" t="str">
        <f>TRIM(PROPER(Tabla_auditoría[[#This Row],[País]]))</f>
        <v>España</v>
      </c>
      <c r="Q2294" t="str">
        <f>TRIM(PROPER(Tabla_auditoría[[#This Row],[Dispositivo]]))</f>
        <v>Desktop</v>
      </c>
      <c r="R2294" t="str">
        <f>TRIM(PROPER(Tabla_auditoría[[#This Row],[Tipo_Campaña]]))</f>
        <v>Reconocimiento</v>
      </c>
      <c r="S2294" t="str">
        <f>TRIM(PROPER(Tabla_auditoría[[#This Row],[Responsable]]))</f>
        <v>Luis Martín</v>
      </c>
    </row>
    <row r="2295" spans="1:19" x14ac:dyDescent="0.3">
      <c r="A2295" s="1">
        <v>45798</v>
      </c>
      <c r="B2295" s="2" t="s">
        <v>2532</v>
      </c>
      <c r="C2295" s="2" t="s">
        <v>2521</v>
      </c>
      <c r="D2295" s="2" t="s">
        <v>2528</v>
      </c>
      <c r="E2295" s="2" t="s">
        <v>2529</v>
      </c>
      <c r="F2295" s="3">
        <v>75567</v>
      </c>
      <c r="G2295" s="3">
        <v>3022</v>
      </c>
      <c r="H2295" s="3">
        <v>352</v>
      </c>
      <c r="I2295" s="4">
        <v>2106.15</v>
      </c>
      <c r="J2295" s="4">
        <v>22871.69</v>
      </c>
      <c r="K2295" s="3">
        <v>314</v>
      </c>
      <c r="L2295" s="2" t="s">
        <v>2518</v>
      </c>
      <c r="M2295" s="2" t="s">
        <v>2524</v>
      </c>
      <c r="N2295" t="str">
        <f>TRIM(PROPER(Tabla_auditoría[[#This Row],[ID_Campaña]]))</f>
        <v>Cmp-022</v>
      </c>
      <c r="O2295" t="str">
        <f>TRIM(PROPER(Tabla_auditoría[[#This Row],[Canal]]))</f>
        <v>Paid Search</v>
      </c>
      <c r="P2295" t="str">
        <f>TRIM(PROPER(Tabla_auditoría[[#This Row],[País]]))</f>
        <v>España</v>
      </c>
      <c r="Q2295" t="str">
        <f>TRIM(PROPER(Tabla_auditoría[[#This Row],[Dispositivo]]))</f>
        <v>Mobile</v>
      </c>
      <c r="R2295" t="str">
        <f>TRIM(PROPER(Tabla_auditoría[[#This Row],[Tipo_Campaña]]))</f>
        <v>Adquisición</v>
      </c>
      <c r="S2295" t="str">
        <f>TRIM(PROPER(Tabla_auditoría[[#This Row],[Responsable]]))</f>
        <v>Luis Martín</v>
      </c>
    </row>
    <row r="2296" spans="1:19" x14ac:dyDescent="0.3">
      <c r="A2296" s="1">
        <v>45887</v>
      </c>
      <c r="B2296" s="2" t="s">
        <v>2552</v>
      </c>
      <c r="C2296" s="2" t="s">
        <v>2521</v>
      </c>
      <c r="D2296" s="2" t="s">
        <v>2528</v>
      </c>
      <c r="E2296" s="2" t="s">
        <v>2517</v>
      </c>
      <c r="F2296" s="3">
        <v>40005</v>
      </c>
      <c r="G2296" s="3">
        <v>2187</v>
      </c>
      <c r="H2296" s="3">
        <v>248</v>
      </c>
      <c r="I2296" s="4">
        <v>651.98</v>
      </c>
      <c r="J2296" s="4">
        <v>23120.65</v>
      </c>
      <c r="K2296" s="3">
        <v>199</v>
      </c>
      <c r="L2296" s="2" t="s">
        <v>2539</v>
      </c>
      <c r="M2296" s="2" t="s">
        <v>2537</v>
      </c>
      <c r="N2296" t="str">
        <f>TRIM(PROPER(Tabla_auditoría[[#This Row],[ID_Campaña]]))</f>
        <v>Cmp-012</v>
      </c>
      <c r="O2296" t="str">
        <f>TRIM(PROPER(Tabla_auditoría[[#This Row],[Canal]]))</f>
        <v>Paid Search</v>
      </c>
      <c r="P2296" t="str">
        <f>TRIM(PROPER(Tabla_auditoría[[#This Row],[País]]))</f>
        <v>España</v>
      </c>
      <c r="Q2296" t="str">
        <f>TRIM(PROPER(Tabla_auditoría[[#This Row],[Dispositivo]]))</f>
        <v>Desktop</v>
      </c>
      <c r="R2296" t="str">
        <f>TRIM(PROPER(Tabla_auditoría[[#This Row],[Tipo_Campaña]]))</f>
        <v>Conversión</v>
      </c>
      <c r="S2296" t="str">
        <f>TRIM(PROPER(Tabla_auditoría[[#This Row],[Responsable]]))</f>
        <v>Marta López</v>
      </c>
    </row>
    <row r="2297" spans="1:19" x14ac:dyDescent="0.3">
      <c r="A2297" s="1">
        <v>45686</v>
      </c>
      <c r="B2297" s="2" t="s">
        <v>2556</v>
      </c>
      <c r="C2297" s="2" t="s">
        <v>2521</v>
      </c>
      <c r="D2297" s="2" t="s">
        <v>2528</v>
      </c>
      <c r="E2297" s="2" t="s">
        <v>2517</v>
      </c>
      <c r="F2297" s="3">
        <v>155722</v>
      </c>
      <c r="G2297" s="3">
        <v>7415</v>
      </c>
      <c r="H2297" s="3">
        <v>1015</v>
      </c>
      <c r="I2297" s="4">
        <v>12585.94</v>
      </c>
      <c r="J2297" s="4">
        <v>87081.32</v>
      </c>
      <c r="K2297" s="3">
        <v>821</v>
      </c>
      <c r="L2297" s="2" t="s">
        <v>2539</v>
      </c>
      <c r="M2297" s="2" t="s">
        <v>2526</v>
      </c>
      <c r="N2297" t="str">
        <f>TRIM(PROPER(Tabla_auditoría[[#This Row],[ID_Campaña]]))</f>
        <v>Cmp-014</v>
      </c>
      <c r="O2297" t="str">
        <f>TRIM(PROPER(Tabla_auditoría[[#This Row],[Canal]]))</f>
        <v>Paid Search</v>
      </c>
      <c r="P2297" t="str">
        <f>TRIM(PROPER(Tabla_auditoría[[#This Row],[País]]))</f>
        <v>España</v>
      </c>
      <c r="Q2297" t="str">
        <f>TRIM(PROPER(Tabla_auditoría[[#This Row],[Dispositivo]]))</f>
        <v>Desktop</v>
      </c>
      <c r="R2297" t="str">
        <f>TRIM(PROPER(Tabla_auditoría[[#This Row],[Tipo_Campaña]]))</f>
        <v>Conversión</v>
      </c>
      <c r="S2297" t="str">
        <f>TRIM(PROPER(Tabla_auditoría[[#This Row],[Responsable]]))</f>
        <v>Laura Pérez</v>
      </c>
    </row>
    <row r="2298" spans="1:19" x14ac:dyDescent="0.3">
      <c r="A2298" s="1">
        <v>45849</v>
      </c>
      <c r="B2298" s="2" t="s">
        <v>2564</v>
      </c>
      <c r="C2298" s="2" t="s">
        <v>2533</v>
      </c>
      <c r="D2298" s="2" t="s">
        <v>2516</v>
      </c>
      <c r="E2298" s="2" t="s">
        <v>2529</v>
      </c>
      <c r="F2298" s="3">
        <v>176788</v>
      </c>
      <c r="G2298" s="3">
        <v>13555</v>
      </c>
      <c r="H2298" s="3">
        <v>1810</v>
      </c>
      <c r="I2298" s="4">
        <v>22642.93</v>
      </c>
      <c r="J2298" s="4">
        <v>313851.81</v>
      </c>
      <c r="K2298" s="3">
        <v>1397</v>
      </c>
      <c r="L2298" s="2" t="s">
        <v>2518</v>
      </c>
      <c r="M2298" s="2" t="s">
        <v>2526</v>
      </c>
      <c r="N2298" t="str">
        <f>TRIM(PROPER(Tabla_auditoría[[#This Row],[ID_Campaña]]))</f>
        <v>Cmp-024</v>
      </c>
      <c r="O2298" t="str">
        <f>TRIM(PROPER(Tabla_auditoría[[#This Row],[Canal]]))</f>
        <v>Paid Social</v>
      </c>
      <c r="P2298" t="str">
        <f>TRIM(PROPER(Tabla_auditoría[[#This Row],[País]]))</f>
        <v>México</v>
      </c>
      <c r="Q2298" t="str">
        <f>TRIM(PROPER(Tabla_auditoría[[#This Row],[Dispositivo]]))</f>
        <v>Mobile</v>
      </c>
      <c r="R2298" t="str">
        <f>TRIM(PROPER(Tabla_auditoría[[#This Row],[Tipo_Campaña]]))</f>
        <v>Adquisición</v>
      </c>
      <c r="S2298" t="str">
        <f>TRIM(PROPER(Tabla_auditoría[[#This Row],[Responsable]]))</f>
        <v>Laura Pérez</v>
      </c>
    </row>
    <row r="2299" spans="1:19" x14ac:dyDescent="0.3">
      <c r="A2299" s="1">
        <v>45714</v>
      </c>
      <c r="B2299" s="2" t="s">
        <v>2555</v>
      </c>
      <c r="C2299" s="2" t="s">
        <v>2541</v>
      </c>
      <c r="D2299" s="2" t="s">
        <v>2516</v>
      </c>
      <c r="E2299" s="2" t="s">
        <v>2517</v>
      </c>
      <c r="F2299" s="3">
        <v>83520</v>
      </c>
      <c r="G2299" s="3">
        <v>7210</v>
      </c>
      <c r="H2299" s="3">
        <v>45</v>
      </c>
      <c r="I2299" s="4">
        <v>3971.98</v>
      </c>
      <c r="J2299" s="4">
        <v>7863.71</v>
      </c>
      <c r="K2299" s="3">
        <v>27</v>
      </c>
      <c r="L2299" s="2" t="s">
        <v>2518</v>
      </c>
      <c r="M2299" s="2" t="s">
        <v>2524</v>
      </c>
      <c r="N2299" t="str">
        <f>TRIM(PROPER(Tabla_auditoría[[#This Row],[ID_Campaña]]))</f>
        <v>Cmp-010</v>
      </c>
      <c r="O2299" t="str">
        <f>TRIM(PROPER(Tabla_auditoría[[#This Row],[Canal]]))</f>
        <v>Display</v>
      </c>
      <c r="P2299" t="str">
        <f>TRIM(PROPER(Tabla_auditoría[[#This Row],[País]]))</f>
        <v>México</v>
      </c>
      <c r="Q2299" t="str">
        <f>TRIM(PROPER(Tabla_auditoría[[#This Row],[Dispositivo]]))</f>
        <v>Desktop</v>
      </c>
      <c r="R2299" t="str">
        <f>TRIM(PROPER(Tabla_auditoría[[#This Row],[Tipo_Campaña]]))</f>
        <v>Adquisición</v>
      </c>
      <c r="S2299" t="str">
        <f>TRIM(PROPER(Tabla_auditoría[[#This Row],[Responsable]]))</f>
        <v>Luis Martín</v>
      </c>
    </row>
    <row r="2300" spans="1:19" x14ac:dyDescent="0.3">
      <c r="A2300" s="1">
        <v>45685</v>
      </c>
      <c r="B2300" s="2" t="s">
        <v>2567</v>
      </c>
      <c r="C2300" s="2" t="s">
        <v>2521</v>
      </c>
      <c r="D2300" s="2" t="s">
        <v>2525</v>
      </c>
      <c r="E2300" s="2" t="s">
        <v>2517</v>
      </c>
      <c r="F2300" s="3">
        <v>66963</v>
      </c>
      <c r="G2300" s="3">
        <v>5174</v>
      </c>
      <c r="H2300" s="3">
        <v>159</v>
      </c>
      <c r="I2300" s="4">
        <v>3707.43</v>
      </c>
      <c r="J2300" s="4">
        <v>30141.67</v>
      </c>
      <c r="K2300" s="3">
        <v>103</v>
      </c>
      <c r="L2300" s="2" t="s">
        <v>2536</v>
      </c>
      <c r="M2300" s="2" t="s">
        <v>2537</v>
      </c>
      <c r="N2300" t="str">
        <f>TRIM(PROPER(Tabla_auditoría[[#This Row],[ID_Campaña]]))</f>
        <v>Cmp-021</v>
      </c>
      <c r="O2300" t="str">
        <f>TRIM(PROPER(Tabla_auditoría[[#This Row],[Canal]]))</f>
        <v>Paid Search</v>
      </c>
      <c r="P2300" t="str">
        <f>TRIM(PROPER(Tabla_auditoría[[#This Row],[País]]))</f>
        <v>Francia</v>
      </c>
      <c r="Q2300" t="str">
        <f>TRIM(PROPER(Tabla_auditoría[[#This Row],[Dispositivo]]))</f>
        <v>Desktop</v>
      </c>
      <c r="R2300" t="str">
        <f>TRIM(PROPER(Tabla_auditoría[[#This Row],[Tipo_Campaña]]))</f>
        <v>Reconocimiento</v>
      </c>
      <c r="S2300" t="str">
        <f>TRIM(PROPER(Tabla_auditoría[[#This Row],[Responsable]]))</f>
        <v>Marta López</v>
      </c>
    </row>
    <row r="2301" spans="1:19" x14ac:dyDescent="0.3">
      <c r="A2301" s="1">
        <v>45708</v>
      </c>
      <c r="B2301" s="2" t="s">
        <v>2530</v>
      </c>
      <c r="C2301" s="2" t="s">
        <v>2543</v>
      </c>
      <c r="D2301" s="2" t="s">
        <v>2528</v>
      </c>
      <c r="E2301" s="2" t="s">
        <v>2517</v>
      </c>
      <c r="F2301" s="3">
        <v>131552</v>
      </c>
      <c r="G2301" s="3">
        <v>7390</v>
      </c>
      <c r="H2301" s="3">
        <v>394</v>
      </c>
      <c r="I2301" s="4">
        <v>14746.13</v>
      </c>
      <c r="J2301" s="4">
        <v>56382.5</v>
      </c>
      <c r="K2301" s="3">
        <v>232</v>
      </c>
      <c r="L2301" s="2" t="s">
        <v>2518</v>
      </c>
      <c r="M2301" s="2" t="s">
        <v>2524</v>
      </c>
      <c r="N2301" t="str">
        <f>TRIM(PROPER(Tabla_auditoría[[#This Row],[ID_Campaña]]))</f>
        <v>Cmp-026</v>
      </c>
      <c r="O2301" t="str">
        <f>TRIM(PROPER(Tabla_auditoría[[#This Row],[Canal]]))</f>
        <v>Organic Social</v>
      </c>
      <c r="P2301" t="str">
        <f>TRIM(PROPER(Tabla_auditoría[[#This Row],[País]]))</f>
        <v>España</v>
      </c>
      <c r="Q2301" t="str">
        <f>TRIM(PROPER(Tabla_auditoría[[#This Row],[Dispositivo]]))</f>
        <v>Desktop</v>
      </c>
      <c r="R2301" t="str">
        <f>TRIM(PROPER(Tabla_auditoría[[#This Row],[Tipo_Campaña]]))</f>
        <v>Adquisición</v>
      </c>
      <c r="S2301" t="str">
        <f>TRIM(PROPER(Tabla_auditoría[[#This Row],[Responsable]]))</f>
        <v>Luis Martín</v>
      </c>
    </row>
    <row r="2302" spans="1:19" x14ac:dyDescent="0.3">
      <c r="A2302" s="1">
        <v>45979</v>
      </c>
      <c r="B2302" s="2" t="s">
        <v>2547</v>
      </c>
      <c r="C2302" s="2" t="s">
        <v>2527</v>
      </c>
      <c r="D2302" s="2" t="s">
        <v>2528</v>
      </c>
      <c r="E2302" s="2" t="s">
        <v>2529</v>
      </c>
      <c r="F2302" s="3">
        <v>25044</v>
      </c>
      <c r="G2302" s="3">
        <v>1593</v>
      </c>
      <c r="H2302" s="3">
        <v>28</v>
      </c>
      <c r="I2302" s="4">
        <v>905.16</v>
      </c>
      <c r="J2302" s="4">
        <v>2069.69</v>
      </c>
      <c r="K2302" s="3">
        <v>16</v>
      </c>
      <c r="L2302" s="2" t="s">
        <v>2539</v>
      </c>
      <c r="M2302" s="2" t="s">
        <v>2526</v>
      </c>
      <c r="N2302" t="str">
        <f>TRIM(PROPER(Tabla_auditoría[[#This Row],[ID_Campaña]]))</f>
        <v>Cmp-018</v>
      </c>
      <c r="O2302" t="str">
        <f>TRIM(PROPER(Tabla_auditoría[[#This Row],[Canal]]))</f>
        <v>Affiliate</v>
      </c>
      <c r="P2302" t="str">
        <f>TRIM(PROPER(Tabla_auditoría[[#This Row],[País]]))</f>
        <v>España</v>
      </c>
      <c r="Q2302" t="str">
        <f>TRIM(PROPER(Tabla_auditoría[[#This Row],[Dispositivo]]))</f>
        <v>Mobile</v>
      </c>
      <c r="R2302" t="str">
        <f>TRIM(PROPER(Tabla_auditoría[[#This Row],[Tipo_Campaña]]))</f>
        <v>Conversión</v>
      </c>
      <c r="S2302" t="str">
        <f>TRIM(PROPER(Tabla_auditoría[[#This Row],[Responsable]]))</f>
        <v>Laura Pérez</v>
      </c>
    </row>
    <row r="2303" spans="1:19" x14ac:dyDescent="0.3">
      <c r="A2303" s="1">
        <v>45975</v>
      </c>
      <c r="B2303" s="2" t="s">
        <v>2538</v>
      </c>
      <c r="C2303" s="2" t="s">
        <v>2543</v>
      </c>
      <c r="D2303" s="2" t="s">
        <v>2531</v>
      </c>
      <c r="E2303" s="2" t="s">
        <v>2529</v>
      </c>
      <c r="F2303" s="3">
        <v>93010</v>
      </c>
      <c r="G2303" s="3">
        <v>1208</v>
      </c>
      <c r="H2303" s="3">
        <v>132</v>
      </c>
      <c r="I2303" s="4">
        <v>1757.33</v>
      </c>
      <c r="J2303" s="4">
        <v>25499.38</v>
      </c>
      <c r="K2303" s="3">
        <v>80</v>
      </c>
      <c r="L2303" s="2" t="s">
        <v>2523</v>
      </c>
      <c r="M2303" s="2" t="s">
        <v>2546</v>
      </c>
      <c r="N2303" t="str">
        <f>TRIM(PROPER(Tabla_auditoría[[#This Row],[ID_Campaña]]))</f>
        <v>Cmp-004</v>
      </c>
      <c r="O2303" t="str">
        <f>TRIM(PROPER(Tabla_auditoría[[#This Row],[Canal]]))</f>
        <v>Organic Social</v>
      </c>
      <c r="P2303" t="str">
        <f>TRIM(PROPER(Tabla_auditoría[[#This Row],[País]]))</f>
        <v>Portugal</v>
      </c>
      <c r="Q2303" t="str">
        <f>TRIM(PROPER(Tabla_auditoría[[#This Row],[Dispositivo]]))</f>
        <v>Mobile</v>
      </c>
      <c r="R2303" t="str">
        <f>TRIM(PROPER(Tabla_auditoría[[#This Row],[Tipo_Campaña]]))</f>
        <v>Retención</v>
      </c>
      <c r="S2303" t="str">
        <f>TRIM(PROPER(Tabla_auditoría[[#This Row],[Responsable]]))</f>
        <v>Ana García</v>
      </c>
    </row>
    <row r="2304" spans="1:19" x14ac:dyDescent="0.3">
      <c r="A2304" s="1">
        <v>45773</v>
      </c>
      <c r="B2304" s="2" t="s">
        <v>2540</v>
      </c>
      <c r="C2304" s="2" t="s">
        <v>2515</v>
      </c>
      <c r="D2304" s="2" t="s">
        <v>2528</v>
      </c>
      <c r="E2304" s="2" t="s">
        <v>2529</v>
      </c>
      <c r="F2304" s="3">
        <v>145644</v>
      </c>
      <c r="G2304" s="3">
        <v>10729</v>
      </c>
      <c r="H2304" s="3">
        <v>1421</v>
      </c>
      <c r="I2304" s="4">
        <v>1453.02</v>
      </c>
      <c r="J2304" s="4">
        <v>250329.44</v>
      </c>
      <c r="K2304" s="3">
        <v>1263</v>
      </c>
      <c r="L2304" s="2" t="s">
        <v>2536</v>
      </c>
      <c r="M2304" s="2" t="s">
        <v>2537</v>
      </c>
      <c r="N2304" t="str">
        <f>TRIM(PROPER(Tabla_auditoría[[#This Row],[ID_Campaña]]))</f>
        <v>Cmp-017</v>
      </c>
      <c r="O2304" t="str">
        <f>TRIM(PROPER(Tabla_auditoría[[#This Row],[Canal]]))</f>
        <v>Email</v>
      </c>
      <c r="P2304" t="str">
        <f>TRIM(PROPER(Tabla_auditoría[[#This Row],[País]]))</f>
        <v>España</v>
      </c>
      <c r="Q2304" t="str">
        <f>TRIM(PROPER(Tabla_auditoría[[#This Row],[Dispositivo]]))</f>
        <v>Mobile</v>
      </c>
      <c r="R2304" t="str">
        <f>TRIM(PROPER(Tabla_auditoría[[#This Row],[Tipo_Campaña]]))</f>
        <v>Reconocimiento</v>
      </c>
      <c r="S2304" t="str">
        <f>TRIM(PROPER(Tabla_auditoría[[#This Row],[Responsable]]))</f>
        <v>Marta López</v>
      </c>
    </row>
    <row r="2305" spans="1:19" x14ac:dyDescent="0.3">
      <c r="A2305" s="1">
        <v>45931</v>
      </c>
      <c r="B2305" s="2" t="s">
        <v>2565</v>
      </c>
      <c r="C2305" s="2" t="s">
        <v>2543</v>
      </c>
      <c r="D2305" s="2" t="s">
        <v>2525</v>
      </c>
      <c r="E2305" s="2" t="s">
        <v>2517</v>
      </c>
      <c r="F2305" s="3">
        <v>62252</v>
      </c>
      <c r="G2305" s="3">
        <v>3841</v>
      </c>
      <c r="H2305" s="3">
        <v>29</v>
      </c>
      <c r="I2305" s="4">
        <v>7114.33</v>
      </c>
      <c r="J2305" s="4">
        <v>5839.92</v>
      </c>
      <c r="K2305" s="3">
        <v>22</v>
      </c>
      <c r="L2305" s="2" t="s">
        <v>2539</v>
      </c>
      <c r="M2305" s="2" t="s">
        <v>2526</v>
      </c>
      <c r="N2305" t="str">
        <f>TRIM(PROPER(Tabla_auditoría[[#This Row],[ID_Campaña]]))</f>
        <v>Cmp-005</v>
      </c>
      <c r="O2305" t="str">
        <f>TRIM(PROPER(Tabla_auditoría[[#This Row],[Canal]]))</f>
        <v>Organic Social</v>
      </c>
      <c r="P2305" t="str">
        <f>TRIM(PROPER(Tabla_auditoría[[#This Row],[País]]))</f>
        <v>Francia</v>
      </c>
      <c r="Q2305" t="str">
        <f>TRIM(PROPER(Tabla_auditoría[[#This Row],[Dispositivo]]))</f>
        <v>Desktop</v>
      </c>
      <c r="R2305" t="str">
        <f>TRIM(PROPER(Tabla_auditoría[[#This Row],[Tipo_Campaña]]))</f>
        <v>Conversión</v>
      </c>
      <c r="S2305" t="str">
        <f>TRIM(PROPER(Tabla_auditoría[[#This Row],[Responsable]]))</f>
        <v>Laura Pérez</v>
      </c>
    </row>
    <row r="2306" spans="1:19" x14ac:dyDescent="0.3">
      <c r="A2306" s="1">
        <v>45883</v>
      </c>
      <c r="B2306" s="2" t="s">
        <v>2551</v>
      </c>
      <c r="C2306" s="2" t="s">
        <v>2543</v>
      </c>
      <c r="D2306" s="2" t="s">
        <v>2528</v>
      </c>
      <c r="E2306" s="2" t="s">
        <v>2561</v>
      </c>
      <c r="F2306" s="3">
        <v>172079</v>
      </c>
      <c r="G2306" s="3">
        <v>12450</v>
      </c>
      <c r="H2306" s="3">
        <v>922</v>
      </c>
      <c r="I2306" s="4">
        <v>6512.12</v>
      </c>
      <c r="J2306" s="4">
        <v>90286.16</v>
      </c>
      <c r="K2306" s="3">
        <v>690</v>
      </c>
      <c r="L2306" s="2" t="s">
        <v>2536</v>
      </c>
      <c r="M2306" s="2" t="s">
        <v>2526</v>
      </c>
      <c r="N2306" t="str">
        <f>TRIM(PROPER(Tabla_auditoría[[#This Row],[ID_Campaña]]))</f>
        <v>Cmp-028</v>
      </c>
      <c r="O2306" t="str">
        <f>TRIM(PROPER(Tabla_auditoría[[#This Row],[Canal]]))</f>
        <v>Organic Social</v>
      </c>
      <c r="P2306" t="str">
        <f>TRIM(PROPER(Tabla_auditoría[[#This Row],[País]]))</f>
        <v>España</v>
      </c>
      <c r="Q2306" t="str">
        <f>TRIM(PROPER(Tabla_auditoría[[#This Row],[Dispositivo]]))</f>
        <v>Mobile</v>
      </c>
      <c r="R2306" t="str">
        <f>TRIM(PROPER(Tabla_auditoría[[#This Row],[Tipo_Campaña]]))</f>
        <v>Reconocimiento</v>
      </c>
      <c r="S2306" t="str">
        <f>TRIM(PROPER(Tabla_auditoría[[#This Row],[Responsable]]))</f>
        <v>Laura Pérez</v>
      </c>
    </row>
    <row r="2307" spans="1:19" x14ac:dyDescent="0.3">
      <c r="A2307" s="1">
        <v>45677</v>
      </c>
      <c r="B2307" s="2" t="s">
        <v>2564</v>
      </c>
      <c r="C2307" s="2" t="s">
        <v>2527</v>
      </c>
      <c r="D2307" s="2" t="s">
        <v>2516</v>
      </c>
      <c r="E2307" s="2" t="s">
        <v>2529</v>
      </c>
      <c r="F2307" s="3">
        <v>86509</v>
      </c>
      <c r="G2307" s="3">
        <v>5627</v>
      </c>
      <c r="H2307" s="3">
        <v>554</v>
      </c>
      <c r="I2307" s="4">
        <v>2602.64</v>
      </c>
      <c r="J2307" s="4">
        <v>109245.61</v>
      </c>
      <c r="K2307" s="3">
        <v>387</v>
      </c>
      <c r="L2307" s="2" t="s">
        <v>2518</v>
      </c>
      <c r="M2307" s="2" t="s">
        <v>2526</v>
      </c>
      <c r="N2307" t="str">
        <f>TRIM(PROPER(Tabla_auditoría[[#This Row],[ID_Campaña]]))</f>
        <v>Cmp-024</v>
      </c>
      <c r="O2307" t="str">
        <f>TRIM(PROPER(Tabla_auditoría[[#This Row],[Canal]]))</f>
        <v>Affiliate</v>
      </c>
      <c r="P2307" t="str">
        <f>TRIM(PROPER(Tabla_auditoría[[#This Row],[País]]))</f>
        <v>México</v>
      </c>
      <c r="Q2307" t="str">
        <f>TRIM(PROPER(Tabla_auditoría[[#This Row],[Dispositivo]]))</f>
        <v>Mobile</v>
      </c>
      <c r="R2307" t="str">
        <f>TRIM(PROPER(Tabla_auditoría[[#This Row],[Tipo_Campaña]]))</f>
        <v>Adquisición</v>
      </c>
      <c r="S2307" t="str">
        <f>TRIM(PROPER(Tabla_auditoría[[#This Row],[Responsable]]))</f>
        <v>Laura Pérez</v>
      </c>
    </row>
    <row r="2308" spans="1:19" x14ac:dyDescent="0.3">
      <c r="A2308" s="1">
        <v>45694</v>
      </c>
      <c r="B2308" s="2" t="s">
        <v>2530</v>
      </c>
      <c r="C2308" s="2" t="s">
        <v>2515</v>
      </c>
      <c r="D2308" s="2" t="s">
        <v>2528</v>
      </c>
      <c r="E2308" s="2" t="s">
        <v>2517</v>
      </c>
      <c r="F2308" s="3">
        <v>12310</v>
      </c>
      <c r="G2308" s="3">
        <v>596</v>
      </c>
      <c r="H2308" s="3">
        <v>19</v>
      </c>
      <c r="I2308" s="4">
        <v>219.54</v>
      </c>
      <c r="J2308" s="4">
        <v>1383.9</v>
      </c>
      <c r="K2308" s="3">
        <v>12</v>
      </c>
      <c r="L2308" s="2" t="s">
        <v>2523</v>
      </c>
      <c r="M2308" s="2" t="s">
        <v>2524</v>
      </c>
      <c r="N2308" t="str">
        <f>TRIM(PROPER(Tabla_auditoría[[#This Row],[ID_Campaña]]))</f>
        <v>Cmp-026</v>
      </c>
      <c r="O2308" t="str">
        <f>TRIM(PROPER(Tabla_auditoría[[#This Row],[Canal]]))</f>
        <v>Email</v>
      </c>
      <c r="P2308" t="str">
        <f>TRIM(PROPER(Tabla_auditoría[[#This Row],[País]]))</f>
        <v>España</v>
      </c>
      <c r="Q2308" t="str">
        <f>TRIM(PROPER(Tabla_auditoría[[#This Row],[Dispositivo]]))</f>
        <v>Desktop</v>
      </c>
      <c r="R2308" t="str">
        <f>TRIM(PROPER(Tabla_auditoría[[#This Row],[Tipo_Campaña]]))</f>
        <v>Retención</v>
      </c>
      <c r="S2308" t="str">
        <f>TRIM(PROPER(Tabla_auditoría[[#This Row],[Responsable]]))</f>
        <v>Luis Martín</v>
      </c>
    </row>
    <row r="2309" spans="1:19" x14ac:dyDescent="0.3">
      <c r="A2309" s="1">
        <v>45852</v>
      </c>
      <c r="B2309" s="2" t="s">
        <v>2556</v>
      </c>
      <c r="C2309" s="2" t="s">
        <v>2533</v>
      </c>
      <c r="D2309" s="2" t="s">
        <v>2516</v>
      </c>
      <c r="E2309" s="2" t="s">
        <v>2517</v>
      </c>
      <c r="F2309" s="3">
        <v>34056</v>
      </c>
      <c r="G2309" s="3">
        <v>2096</v>
      </c>
      <c r="H2309" s="3">
        <v>148</v>
      </c>
      <c r="I2309" s="4">
        <v>2903.2</v>
      </c>
      <c r="J2309" s="4">
        <v>22649.43</v>
      </c>
      <c r="K2309" s="3">
        <v>131</v>
      </c>
      <c r="L2309" s="2" t="s">
        <v>2523</v>
      </c>
      <c r="M2309" s="2" t="s">
        <v>2526</v>
      </c>
      <c r="N2309" t="str">
        <f>TRIM(PROPER(Tabla_auditoría[[#This Row],[ID_Campaña]]))</f>
        <v>Cmp-014</v>
      </c>
      <c r="O2309" t="str">
        <f>TRIM(PROPER(Tabla_auditoría[[#This Row],[Canal]]))</f>
        <v>Paid Social</v>
      </c>
      <c r="P2309" t="str">
        <f>TRIM(PROPER(Tabla_auditoría[[#This Row],[País]]))</f>
        <v>México</v>
      </c>
      <c r="Q2309" t="str">
        <f>TRIM(PROPER(Tabla_auditoría[[#This Row],[Dispositivo]]))</f>
        <v>Desktop</v>
      </c>
      <c r="R2309" t="str">
        <f>TRIM(PROPER(Tabla_auditoría[[#This Row],[Tipo_Campaña]]))</f>
        <v>Retención</v>
      </c>
      <c r="S2309" t="str">
        <f>TRIM(PROPER(Tabla_auditoría[[#This Row],[Responsable]]))</f>
        <v>Laura Pérez</v>
      </c>
    </row>
    <row r="2310" spans="1:19" x14ac:dyDescent="0.3">
      <c r="A2310" s="1">
        <v>45906</v>
      </c>
      <c r="B2310" s="2" t="s">
        <v>2554</v>
      </c>
      <c r="C2310" s="2" t="s">
        <v>2543</v>
      </c>
      <c r="D2310" s="2" t="s">
        <v>2528</v>
      </c>
      <c r="E2310" s="2" t="s">
        <v>2517</v>
      </c>
      <c r="F2310" s="3">
        <v>89532</v>
      </c>
      <c r="G2310" s="3">
        <v>5359</v>
      </c>
      <c r="H2310" s="3">
        <v>470</v>
      </c>
      <c r="I2310" s="4">
        <v>2317.08</v>
      </c>
      <c r="J2310" s="4">
        <v>24221.58</v>
      </c>
      <c r="K2310" s="3">
        <v>315</v>
      </c>
      <c r="L2310" s="2" t="s">
        <v>2536</v>
      </c>
      <c r="M2310" s="2" t="s">
        <v>2524</v>
      </c>
      <c r="N2310" t="str">
        <f>TRIM(PROPER(Tabla_auditoría[[#This Row],[ID_Campaña]]))</f>
        <v>Cmp-019</v>
      </c>
      <c r="O2310" t="str">
        <f>TRIM(PROPER(Tabla_auditoría[[#This Row],[Canal]]))</f>
        <v>Organic Social</v>
      </c>
      <c r="P2310" t="str">
        <f>TRIM(PROPER(Tabla_auditoría[[#This Row],[País]]))</f>
        <v>España</v>
      </c>
      <c r="Q2310" t="str">
        <f>TRIM(PROPER(Tabla_auditoría[[#This Row],[Dispositivo]]))</f>
        <v>Desktop</v>
      </c>
      <c r="R2310" t="str">
        <f>TRIM(PROPER(Tabla_auditoría[[#This Row],[Tipo_Campaña]]))</f>
        <v>Reconocimiento</v>
      </c>
      <c r="S2310" t="str">
        <f>TRIM(PROPER(Tabla_auditoría[[#This Row],[Responsable]]))</f>
        <v>Luis Martín</v>
      </c>
    </row>
    <row r="2311" spans="1:19" x14ac:dyDescent="0.3">
      <c r="A2311" s="1">
        <v>45995</v>
      </c>
      <c r="B2311" s="2" t="s">
        <v>2544</v>
      </c>
      <c r="C2311" s="2" t="s">
        <v>2543</v>
      </c>
      <c r="D2311" s="2" t="s">
        <v>2525</v>
      </c>
      <c r="E2311" s="2" t="s">
        <v>2517</v>
      </c>
      <c r="F2311" s="3">
        <v>137453</v>
      </c>
      <c r="G2311" s="3">
        <v>5153</v>
      </c>
      <c r="H2311" s="3">
        <v>48</v>
      </c>
      <c r="I2311" s="4">
        <v>9012.7000000000007</v>
      </c>
      <c r="J2311" s="4">
        <v>725.98</v>
      </c>
      <c r="K2311" s="3">
        <v>38</v>
      </c>
      <c r="L2311" s="2" t="s">
        <v>2536</v>
      </c>
      <c r="M2311" s="2" t="s">
        <v>2537</v>
      </c>
      <c r="N2311" t="str">
        <f>TRIM(PROPER(Tabla_auditoría[[#This Row],[ID_Campaña]]))</f>
        <v>Cmp-006</v>
      </c>
      <c r="O2311" t="str">
        <f>TRIM(PROPER(Tabla_auditoría[[#This Row],[Canal]]))</f>
        <v>Organic Social</v>
      </c>
      <c r="P2311" t="str">
        <f>TRIM(PROPER(Tabla_auditoría[[#This Row],[País]]))</f>
        <v>Francia</v>
      </c>
      <c r="Q2311" t="str">
        <f>TRIM(PROPER(Tabla_auditoría[[#This Row],[Dispositivo]]))</f>
        <v>Desktop</v>
      </c>
      <c r="R2311" t="str">
        <f>TRIM(PROPER(Tabla_auditoría[[#This Row],[Tipo_Campaña]]))</f>
        <v>Reconocimiento</v>
      </c>
      <c r="S2311" t="str">
        <f>TRIM(PROPER(Tabla_auditoría[[#This Row],[Responsable]]))</f>
        <v>Marta López</v>
      </c>
    </row>
    <row r="2312" spans="1:19" x14ac:dyDescent="0.3">
      <c r="A2312" s="1">
        <v>45783</v>
      </c>
      <c r="B2312" s="2" t="s">
        <v>2549</v>
      </c>
      <c r="C2312" s="2" t="s">
        <v>2533</v>
      </c>
      <c r="D2312" s="2" t="s">
        <v>2516</v>
      </c>
      <c r="E2312" s="2" t="s">
        <v>2529</v>
      </c>
      <c r="F2312" s="3">
        <v>88028</v>
      </c>
      <c r="G2312" s="3">
        <v>860</v>
      </c>
      <c r="H2312" s="3">
        <v>14</v>
      </c>
      <c r="I2312" s="4">
        <v>813.48</v>
      </c>
      <c r="J2312" s="4">
        <v>407.24</v>
      </c>
      <c r="K2312" s="3">
        <v>8</v>
      </c>
      <c r="L2312" s="2" t="s">
        <v>2518</v>
      </c>
      <c r="M2312" s="2" t="s">
        <v>2546</v>
      </c>
      <c r="N2312" t="str">
        <f>TRIM(PROPER(Tabla_auditoría[[#This Row],[ID_Campaña]]))</f>
        <v>Cmp-007</v>
      </c>
      <c r="O2312" t="str">
        <f>TRIM(PROPER(Tabla_auditoría[[#This Row],[Canal]]))</f>
        <v>Paid Social</v>
      </c>
      <c r="P2312" t="str">
        <f>TRIM(PROPER(Tabla_auditoría[[#This Row],[País]]))</f>
        <v>México</v>
      </c>
      <c r="Q2312" t="str">
        <f>TRIM(PROPER(Tabla_auditoría[[#This Row],[Dispositivo]]))</f>
        <v>Mobile</v>
      </c>
      <c r="R2312" t="str">
        <f>TRIM(PROPER(Tabla_auditoría[[#This Row],[Tipo_Campaña]]))</f>
        <v>Adquisición</v>
      </c>
      <c r="S2312" t="str">
        <f>TRIM(PROPER(Tabla_auditoría[[#This Row],[Responsable]]))</f>
        <v>Ana García</v>
      </c>
    </row>
    <row r="2313" spans="1:19" x14ac:dyDescent="0.3">
      <c r="A2313" s="1">
        <v>45675</v>
      </c>
      <c r="B2313" s="2" t="s">
        <v>2564</v>
      </c>
      <c r="C2313" s="2" t="s">
        <v>2515</v>
      </c>
      <c r="D2313" s="2" t="s">
        <v>2528</v>
      </c>
      <c r="E2313" s="2" t="s">
        <v>2529</v>
      </c>
      <c r="F2313" s="3">
        <v>125817</v>
      </c>
      <c r="G2313" s="3">
        <v>3590</v>
      </c>
      <c r="H2313" s="3">
        <v>492</v>
      </c>
      <c r="I2313" s="4">
        <v>5254.97</v>
      </c>
      <c r="J2313" s="4">
        <v>21494.880000000001</v>
      </c>
      <c r="K2313" s="3">
        <v>308</v>
      </c>
      <c r="L2313" s="2" t="s">
        <v>2523</v>
      </c>
      <c r="M2313" s="2" t="s">
        <v>2519</v>
      </c>
      <c r="N2313" t="str">
        <f>TRIM(PROPER(Tabla_auditoría[[#This Row],[ID_Campaña]]))</f>
        <v>Cmp-024</v>
      </c>
      <c r="O2313" t="str">
        <f>TRIM(PROPER(Tabla_auditoría[[#This Row],[Canal]]))</f>
        <v>Email</v>
      </c>
      <c r="P2313" t="str">
        <f>TRIM(PROPER(Tabla_auditoría[[#This Row],[País]]))</f>
        <v>España</v>
      </c>
      <c r="Q2313" t="str">
        <f>TRIM(PROPER(Tabla_auditoría[[#This Row],[Dispositivo]]))</f>
        <v>Mobile</v>
      </c>
      <c r="R2313" t="str">
        <f>TRIM(PROPER(Tabla_auditoría[[#This Row],[Tipo_Campaña]]))</f>
        <v>Retención</v>
      </c>
      <c r="S2313" t="str">
        <f>TRIM(PROPER(Tabla_auditoría[[#This Row],[Responsable]]))</f>
        <v>Carlos Ruiz</v>
      </c>
    </row>
    <row r="2314" spans="1:19" x14ac:dyDescent="0.3">
      <c r="A2314" s="1">
        <v>45776</v>
      </c>
      <c r="B2314" s="2" t="s">
        <v>2564</v>
      </c>
      <c r="C2314" s="2" t="s">
        <v>2541</v>
      </c>
      <c r="D2314" s="2" t="s">
        <v>2573</v>
      </c>
      <c r="E2314" s="2" t="s">
        <v>2529</v>
      </c>
      <c r="F2314" s="3">
        <v>74838</v>
      </c>
      <c r="G2314" s="3">
        <v>3310</v>
      </c>
      <c r="H2314" s="3">
        <v>254</v>
      </c>
      <c r="I2314" s="4">
        <v>2216.0500000000002</v>
      </c>
      <c r="J2314" s="4">
        <v>4593.8599999999997</v>
      </c>
      <c r="K2314" s="3">
        <v>124</v>
      </c>
      <c r="L2314" s="2" t="s">
        <v>2536</v>
      </c>
      <c r="M2314" s="2" t="s">
        <v>2546</v>
      </c>
      <c r="N2314" t="str">
        <f>TRIM(PROPER(Tabla_auditoría[[#This Row],[ID_Campaña]]))</f>
        <v>Cmp-024</v>
      </c>
      <c r="O2314" t="str">
        <f>TRIM(PROPER(Tabla_auditoría[[#This Row],[Canal]]))</f>
        <v>Display</v>
      </c>
      <c r="P2314" t="str">
        <f>TRIM(PROPER(Tabla_auditoría[[#This Row],[País]]))</f>
        <v>España</v>
      </c>
      <c r="Q2314" t="str">
        <f>TRIM(PROPER(Tabla_auditoría[[#This Row],[Dispositivo]]))</f>
        <v>Mobile</v>
      </c>
      <c r="R2314" t="str">
        <f>TRIM(PROPER(Tabla_auditoría[[#This Row],[Tipo_Campaña]]))</f>
        <v>Reconocimiento</v>
      </c>
      <c r="S2314" t="str">
        <f>TRIM(PROPER(Tabla_auditoría[[#This Row],[Responsable]]))</f>
        <v>Ana García</v>
      </c>
    </row>
    <row r="2315" spans="1:19" x14ac:dyDescent="0.3">
      <c r="A2315" s="1">
        <v>45684</v>
      </c>
      <c r="B2315" s="2" t="s">
        <v>2592</v>
      </c>
      <c r="C2315" s="2" t="s">
        <v>2527</v>
      </c>
      <c r="D2315" s="2" t="s">
        <v>2528</v>
      </c>
      <c r="E2315" s="2" t="s">
        <v>2517</v>
      </c>
      <c r="F2315" s="3">
        <v>66713</v>
      </c>
      <c r="G2315" s="3">
        <v>5561</v>
      </c>
      <c r="H2315" s="3">
        <v>610</v>
      </c>
      <c r="I2315" s="4">
        <v>10005.93</v>
      </c>
      <c r="J2315" s="4">
        <v>74528.240000000005</v>
      </c>
      <c r="K2315" s="3">
        <v>501</v>
      </c>
      <c r="L2315" s="2" t="s">
        <v>2539</v>
      </c>
      <c r="M2315" s="2" t="s">
        <v>2526</v>
      </c>
      <c r="N2315" t="str">
        <f>TRIM(PROPER(Tabla_auditoría[[#This Row],[ID_Campaña]]))</f>
        <v>Cmp-018</v>
      </c>
      <c r="O2315" t="str">
        <f>TRIM(PROPER(Tabla_auditoría[[#This Row],[Canal]]))</f>
        <v>Affiliate</v>
      </c>
      <c r="P2315" t="str">
        <f>TRIM(PROPER(Tabla_auditoría[[#This Row],[País]]))</f>
        <v>España</v>
      </c>
      <c r="Q2315" t="str">
        <f>TRIM(PROPER(Tabla_auditoría[[#This Row],[Dispositivo]]))</f>
        <v>Desktop</v>
      </c>
      <c r="R2315" t="str">
        <f>TRIM(PROPER(Tabla_auditoría[[#This Row],[Tipo_Campaña]]))</f>
        <v>Conversión</v>
      </c>
      <c r="S2315" t="str">
        <f>TRIM(PROPER(Tabla_auditoría[[#This Row],[Responsable]]))</f>
        <v>Laura Pérez</v>
      </c>
    </row>
    <row r="2316" spans="1:19" x14ac:dyDescent="0.3">
      <c r="A2316" s="1">
        <v>45713</v>
      </c>
      <c r="B2316" s="2" t="s">
        <v>2566</v>
      </c>
      <c r="C2316" s="2" t="s">
        <v>2543</v>
      </c>
      <c r="D2316" s="2" t="s">
        <v>2531</v>
      </c>
      <c r="E2316" s="2" t="s">
        <v>2529</v>
      </c>
      <c r="F2316" s="3">
        <v>85218</v>
      </c>
      <c r="G2316" s="3">
        <v>6975</v>
      </c>
      <c r="H2316" s="3">
        <v>741</v>
      </c>
      <c r="I2316" s="4">
        <v>12876.21</v>
      </c>
      <c r="J2316" s="4">
        <v>44547.56</v>
      </c>
      <c r="K2316" s="3">
        <v>596</v>
      </c>
      <c r="L2316" s="2" t="s">
        <v>2539</v>
      </c>
      <c r="M2316" s="2" t="s">
        <v>2526</v>
      </c>
      <c r="N2316" t="str">
        <f>TRIM(PROPER(Tabla_auditoría[[#This Row],[ID_Campaña]]))</f>
        <v>Cmp-001</v>
      </c>
      <c r="O2316" t="str">
        <f>TRIM(PROPER(Tabla_auditoría[[#This Row],[Canal]]))</f>
        <v>Organic Social</v>
      </c>
      <c r="P2316" t="str">
        <f>TRIM(PROPER(Tabla_auditoría[[#This Row],[País]]))</f>
        <v>Portugal</v>
      </c>
      <c r="Q2316" t="str">
        <f>TRIM(PROPER(Tabla_auditoría[[#This Row],[Dispositivo]]))</f>
        <v>Mobile</v>
      </c>
      <c r="R2316" t="str">
        <f>TRIM(PROPER(Tabla_auditoría[[#This Row],[Tipo_Campaña]]))</f>
        <v>Conversión</v>
      </c>
      <c r="S2316" t="str">
        <f>TRIM(PROPER(Tabla_auditoría[[#This Row],[Responsable]]))</f>
        <v>Laura Pérez</v>
      </c>
    </row>
    <row r="2317" spans="1:19" x14ac:dyDescent="0.3">
      <c r="A2317" s="1">
        <v>45866</v>
      </c>
      <c r="B2317" s="2" t="s">
        <v>2552</v>
      </c>
      <c r="C2317" s="2" t="s">
        <v>2515</v>
      </c>
      <c r="D2317" s="2" t="s">
        <v>2531</v>
      </c>
      <c r="E2317" s="2" t="s">
        <v>2517</v>
      </c>
      <c r="F2317" s="3">
        <v>88432</v>
      </c>
      <c r="G2317" s="3">
        <v>5971</v>
      </c>
      <c r="H2317" s="3">
        <v>280</v>
      </c>
      <c r="I2317" s="4">
        <v>9512.51</v>
      </c>
      <c r="J2317" s="4">
        <v>56394.42</v>
      </c>
      <c r="K2317" s="3">
        <v>249</v>
      </c>
      <c r="L2317" s="2" t="s">
        <v>2539</v>
      </c>
      <c r="M2317" s="2" t="s">
        <v>2526</v>
      </c>
      <c r="N2317" t="str">
        <f>TRIM(PROPER(Tabla_auditoría[[#This Row],[ID_Campaña]]))</f>
        <v>Cmp-012</v>
      </c>
      <c r="O2317" t="str">
        <f>TRIM(PROPER(Tabla_auditoría[[#This Row],[Canal]]))</f>
        <v>Email</v>
      </c>
      <c r="P2317" t="str">
        <f>TRIM(PROPER(Tabla_auditoría[[#This Row],[País]]))</f>
        <v>Portugal</v>
      </c>
      <c r="Q2317" t="str">
        <f>TRIM(PROPER(Tabla_auditoría[[#This Row],[Dispositivo]]))</f>
        <v>Desktop</v>
      </c>
      <c r="R2317" t="str">
        <f>TRIM(PROPER(Tabla_auditoría[[#This Row],[Tipo_Campaña]]))</f>
        <v>Conversión</v>
      </c>
      <c r="S2317" t="str">
        <f>TRIM(PROPER(Tabla_auditoría[[#This Row],[Responsable]]))</f>
        <v>Laura Pérez</v>
      </c>
    </row>
    <row r="2318" spans="1:19" x14ac:dyDescent="0.3">
      <c r="A2318" s="1">
        <v>45845</v>
      </c>
      <c r="B2318" s="2" t="s">
        <v>2574</v>
      </c>
      <c r="C2318" s="2" t="s">
        <v>2541</v>
      </c>
      <c r="D2318" s="2" t="s">
        <v>2516</v>
      </c>
      <c r="E2318" s="2" t="s">
        <v>2534</v>
      </c>
      <c r="F2318" s="3">
        <v>144023</v>
      </c>
      <c r="G2318" s="3">
        <v>12595</v>
      </c>
      <c r="H2318" s="3">
        <v>1188</v>
      </c>
      <c r="I2318" s="4">
        <v>22609.94</v>
      </c>
      <c r="J2318" s="4">
        <v>183094.21</v>
      </c>
      <c r="K2318" s="3">
        <v>840</v>
      </c>
      <c r="L2318" s="2" t="s">
        <v>2539</v>
      </c>
      <c r="M2318" s="2" t="s">
        <v>2524</v>
      </c>
      <c r="N2318" t="str">
        <f>TRIM(PROPER(Tabla_auditoría[[#This Row],[ID_Campaña]]))</f>
        <v>Cmp-003</v>
      </c>
      <c r="O2318" t="str">
        <f>TRIM(PROPER(Tabla_auditoría[[#This Row],[Canal]]))</f>
        <v>Display</v>
      </c>
      <c r="P2318" t="str">
        <f>TRIM(PROPER(Tabla_auditoría[[#This Row],[País]]))</f>
        <v>México</v>
      </c>
      <c r="Q2318" t="str">
        <f>TRIM(PROPER(Tabla_auditoría[[#This Row],[Dispositivo]]))</f>
        <v>Tablet</v>
      </c>
      <c r="R2318" t="str">
        <f>TRIM(PROPER(Tabla_auditoría[[#This Row],[Tipo_Campaña]]))</f>
        <v>Conversión</v>
      </c>
      <c r="S2318" t="str">
        <f>TRIM(PROPER(Tabla_auditoría[[#This Row],[Responsable]]))</f>
        <v>Luis Martín</v>
      </c>
    </row>
    <row r="2319" spans="1:19" x14ac:dyDescent="0.3">
      <c r="A2319" s="1">
        <v>45999</v>
      </c>
      <c r="B2319" s="2" t="s">
        <v>2560</v>
      </c>
      <c r="C2319" s="2" t="s">
        <v>2515</v>
      </c>
      <c r="D2319" s="2" t="s">
        <v>2516</v>
      </c>
      <c r="E2319" s="2" t="s">
        <v>2529</v>
      </c>
      <c r="F2319" s="3">
        <v>12247</v>
      </c>
      <c r="G2319" s="3">
        <v>721</v>
      </c>
      <c r="H2319" s="3">
        <v>71</v>
      </c>
      <c r="I2319" s="4">
        <v>1219.23</v>
      </c>
      <c r="J2319" s="4">
        <v>5280.11</v>
      </c>
      <c r="K2319" s="3">
        <v>54</v>
      </c>
      <c r="L2319" s="2" t="s">
        <v>2518</v>
      </c>
      <c r="M2319" s="2" t="s">
        <v>2524</v>
      </c>
      <c r="N2319" t="str">
        <f>TRIM(PROPER(Tabla_auditoría[[#This Row],[ID_Campaña]]))</f>
        <v>Cmp-027</v>
      </c>
      <c r="O2319" t="str">
        <f>TRIM(PROPER(Tabla_auditoría[[#This Row],[Canal]]))</f>
        <v>Email</v>
      </c>
      <c r="P2319" t="str">
        <f>TRIM(PROPER(Tabla_auditoría[[#This Row],[País]]))</f>
        <v>México</v>
      </c>
      <c r="Q2319" t="str">
        <f>TRIM(PROPER(Tabla_auditoría[[#This Row],[Dispositivo]]))</f>
        <v>Mobile</v>
      </c>
      <c r="R2319" t="str">
        <f>TRIM(PROPER(Tabla_auditoría[[#This Row],[Tipo_Campaña]]))</f>
        <v>Adquisición</v>
      </c>
      <c r="S2319" t="str">
        <f>TRIM(PROPER(Tabla_auditoría[[#This Row],[Responsable]]))</f>
        <v>Luis Martín</v>
      </c>
    </row>
    <row r="2320" spans="1:19" x14ac:dyDescent="0.3">
      <c r="A2320" s="1">
        <v>45849</v>
      </c>
      <c r="B2320" s="2" t="s">
        <v>2540</v>
      </c>
      <c r="C2320" s="2" t="s">
        <v>2515</v>
      </c>
      <c r="D2320" s="2" t="s">
        <v>2516</v>
      </c>
      <c r="E2320" s="2" t="s">
        <v>2529</v>
      </c>
      <c r="F2320" s="3">
        <v>5481</v>
      </c>
      <c r="G2320" s="3">
        <v>74</v>
      </c>
      <c r="H2320" s="3">
        <v>3</v>
      </c>
      <c r="I2320" s="4">
        <v>126.8</v>
      </c>
      <c r="J2320" s="4">
        <v>164</v>
      </c>
      <c r="K2320" s="3">
        <v>2</v>
      </c>
      <c r="L2320" s="2" t="s">
        <v>2523</v>
      </c>
      <c r="M2320" s="2" t="s">
        <v>2519</v>
      </c>
      <c r="N2320" t="str">
        <f>TRIM(PROPER(Tabla_auditoría[[#This Row],[ID_Campaña]]))</f>
        <v>Cmp-017</v>
      </c>
      <c r="O2320" t="str">
        <f>TRIM(PROPER(Tabla_auditoría[[#This Row],[Canal]]))</f>
        <v>Email</v>
      </c>
      <c r="P2320" t="str">
        <f>TRIM(PROPER(Tabla_auditoría[[#This Row],[País]]))</f>
        <v>México</v>
      </c>
      <c r="Q2320" t="str">
        <f>TRIM(PROPER(Tabla_auditoría[[#This Row],[Dispositivo]]))</f>
        <v>Mobile</v>
      </c>
      <c r="R2320" t="str">
        <f>TRIM(PROPER(Tabla_auditoría[[#This Row],[Tipo_Campaña]]))</f>
        <v>Retención</v>
      </c>
      <c r="S2320" t="str">
        <f>TRIM(PROPER(Tabla_auditoría[[#This Row],[Responsable]]))</f>
        <v>Carlos Ruiz</v>
      </c>
    </row>
    <row r="2321" spans="1:19" x14ac:dyDescent="0.3">
      <c r="A2321" s="1">
        <v>45966</v>
      </c>
      <c r="B2321" s="2" t="s">
        <v>2538</v>
      </c>
      <c r="C2321" s="2" t="s">
        <v>2515</v>
      </c>
      <c r="D2321" s="2" t="s">
        <v>2516</v>
      </c>
      <c r="E2321" s="2" t="s">
        <v>2517</v>
      </c>
      <c r="F2321" s="3">
        <v>77501</v>
      </c>
      <c r="G2321" s="3">
        <v>1774</v>
      </c>
      <c r="H2321" s="3">
        <v>68</v>
      </c>
      <c r="I2321" s="4">
        <v>947.37</v>
      </c>
      <c r="J2321" s="4">
        <v>6043.49</v>
      </c>
      <c r="K2321" s="3">
        <v>51</v>
      </c>
      <c r="L2321" s="2" t="s">
        <v>2536</v>
      </c>
      <c r="M2321" s="2" t="s">
        <v>2526</v>
      </c>
      <c r="N2321" t="str">
        <f>TRIM(PROPER(Tabla_auditoría[[#This Row],[ID_Campaña]]))</f>
        <v>Cmp-004</v>
      </c>
      <c r="O2321" t="str">
        <f>TRIM(PROPER(Tabla_auditoría[[#This Row],[Canal]]))</f>
        <v>Email</v>
      </c>
      <c r="P2321" t="str">
        <f>TRIM(PROPER(Tabla_auditoría[[#This Row],[País]]))</f>
        <v>México</v>
      </c>
      <c r="Q2321" t="str">
        <f>TRIM(PROPER(Tabla_auditoría[[#This Row],[Dispositivo]]))</f>
        <v>Desktop</v>
      </c>
      <c r="R2321" t="str">
        <f>TRIM(PROPER(Tabla_auditoría[[#This Row],[Tipo_Campaña]]))</f>
        <v>Reconocimiento</v>
      </c>
      <c r="S2321" t="str">
        <f>TRIM(PROPER(Tabla_auditoría[[#This Row],[Responsable]]))</f>
        <v>Laura Pérez</v>
      </c>
    </row>
    <row r="2322" spans="1:19" x14ac:dyDescent="0.3">
      <c r="A2322" s="1">
        <v>46010</v>
      </c>
      <c r="B2322" s="2" t="s">
        <v>2568</v>
      </c>
      <c r="C2322" s="2" t="s">
        <v>2521</v>
      </c>
      <c r="D2322" s="2" t="s">
        <v>2525</v>
      </c>
      <c r="E2322" s="2" t="s">
        <v>2529</v>
      </c>
      <c r="F2322" s="3">
        <v>63275</v>
      </c>
      <c r="G2322" s="3">
        <v>4902</v>
      </c>
      <c r="H2322" s="3">
        <v>62</v>
      </c>
      <c r="I2322" s="4">
        <v>4845.1899999999996</v>
      </c>
      <c r="J2322" s="4">
        <v>8266.0400000000009</v>
      </c>
      <c r="K2322" s="3">
        <v>29</v>
      </c>
      <c r="L2322" s="2" t="s">
        <v>2539</v>
      </c>
      <c r="M2322" s="2" t="s">
        <v>2537</v>
      </c>
      <c r="N2322" t="str">
        <f>TRIM(PROPER(Tabla_auditoría[[#This Row],[ID_Campaña]]))</f>
        <v>Cmp-020</v>
      </c>
      <c r="O2322" t="str">
        <f>TRIM(PROPER(Tabla_auditoría[[#This Row],[Canal]]))</f>
        <v>Paid Search</v>
      </c>
      <c r="P2322" t="str">
        <f>TRIM(PROPER(Tabla_auditoría[[#This Row],[País]]))</f>
        <v>Francia</v>
      </c>
      <c r="Q2322" t="str">
        <f>TRIM(PROPER(Tabla_auditoría[[#This Row],[Dispositivo]]))</f>
        <v>Mobile</v>
      </c>
      <c r="R2322" t="str">
        <f>TRIM(PROPER(Tabla_auditoría[[#This Row],[Tipo_Campaña]]))</f>
        <v>Conversión</v>
      </c>
      <c r="S2322" t="str">
        <f>TRIM(PROPER(Tabla_auditoría[[#This Row],[Responsable]]))</f>
        <v>Marta López</v>
      </c>
    </row>
    <row r="2323" spans="1:19" x14ac:dyDescent="0.3">
      <c r="A2323" s="1">
        <v>45928</v>
      </c>
      <c r="B2323" s="2" t="s">
        <v>2514</v>
      </c>
      <c r="C2323" s="2" t="s">
        <v>2533</v>
      </c>
      <c r="D2323" s="2" t="s">
        <v>2528</v>
      </c>
      <c r="E2323" s="2" t="s">
        <v>2517</v>
      </c>
      <c r="F2323" s="3">
        <v>169426</v>
      </c>
      <c r="G2323" s="3">
        <v>9431</v>
      </c>
      <c r="H2323" s="3">
        <v>876</v>
      </c>
      <c r="I2323" s="4">
        <v>2895.52</v>
      </c>
      <c r="J2323" s="4">
        <v>186342.29</v>
      </c>
      <c r="K2323" s="3">
        <v>756</v>
      </c>
      <c r="L2323" s="2" t="s">
        <v>2518</v>
      </c>
      <c r="M2323" s="2" t="s">
        <v>2526</v>
      </c>
      <c r="N2323" t="str">
        <f>TRIM(PROPER(Tabla_auditoría[[#This Row],[ID_Campaña]]))</f>
        <v>Cmp-002</v>
      </c>
      <c r="O2323" t="str">
        <f>TRIM(PROPER(Tabla_auditoría[[#This Row],[Canal]]))</f>
        <v>Paid Social</v>
      </c>
      <c r="P2323" t="str">
        <f>TRIM(PROPER(Tabla_auditoría[[#This Row],[País]]))</f>
        <v>España</v>
      </c>
      <c r="Q2323" t="str">
        <f>TRIM(PROPER(Tabla_auditoría[[#This Row],[Dispositivo]]))</f>
        <v>Desktop</v>
      </c>
      <c r="R2323" t="str">
        <f>TRIM(PROPER(Tabla_auditoría[[#This Row],[Tipo_Campaña]]))</f>
        <v>Adquisición</v>
      </c>
      <c r="S2323" t="str">
        <f>TRIM(PROPER(Tabla_auditoría[[#This Row],[Responsable]]))</f>
        <v>Laura Pérez</v>
      </c>
    </row>
    <row r="2324" spans="1:19" x14ac:dyDescent="0.3">
      <c r="A2324" s="1">
        <v>45711</v>
      </c>
      <c r="B2324" s="2" t="s">
        <v>2567</v>
      </c>
      <c r="C2324" s="2" t="s">
        <v>2527</v>
      </c>
      <c r="D2324" s="2" t="s">
        <v>2528</v>
      </c>
      <c r="E2324" s="2" t="s">
        <v>2517</v>
      </c>
      <c r="F2324" s="3">
        <v>34835</v>
      </c>
      <c r="G2324" s="3">
        <v>2812</v>
      </c>
      <c r="H2324" s="3">
        <v>343</v>
      </c>
      <c r="I2324" s="4">
        <v>3528.38</v>
      </c>
      <c r="J2324" s="4">
        <v>72886.850000000006</v>
      </c>
      <c r="K2324" s="3">
        <v>200</v>
      </c>
      <c r="L2324" s="2" t="s">
        <v>2536</v>
      </c>
      <c r="M2324" s="2" t="s">
        <v>2537</v>
      </c>
      <c r="N2324" t="str">
        <f>TRIM(PROPER(Tabla_auditoría[[#This Row],[ID_Campaña]]))</f>
        <v>Cmp-021</v>
      </c>
      <c r="O2324" t="str">
        <f>TRIM(PROPER(Tabla_auditoría[[#This Row],[Canal]]))</f>
        <v>Affiliate</v>
      </c>
      <c r="P2324" t="str">
        <f>TRIM(PROPER(Tabla_auditoría[[#This Row],[País]]))</f>
        <v>España</v>
      </c>
      <c r="Q2324" t="str">
        <f>TRIM(PROPER(Tabla_auditoría[[#This Row],[Dispositivo]]))</f>
        <v>Desktop</v>
      </c>
      <c r="R2324" t="str">
        <f>TRIM(PROPER(Tabla_auditoría[[#This Row],[Tipo_Campaña]]))</f>
        <v>Reconocimiento</v>
      </c>
      <c r="S2324" t="str">
        <f>TRIM(PROPER(Tabla_auditoría[[#This Row],[Responsable]]))</f>
        <v>Marta López</v>
      </c>
    </row>
    <row r="2325" spans="1:19" x14ac:dyDescent="0.3">
      <c r="A2325" s="1">
        <v>45752</v>
      </c>
      <c r="B2325" s="2" t="s">
        <v>2574</v>
      </c>
      <c r="C2325" s="2" t="s">
        <v>2527</v>
      </c>
      <c r="D2325" s="2" t="s">
        <v>2522</v>
      </c>
      <c r="E2325" s="2" t="s">
        <v>2529</v>
      </c>
      <c r="F2325" s="3">
        <v>121890</v>
      </c>
      <c r="G2325" s="3">
        <v>615</v>
      </c>
      <c r="H2325" s="3">
        <v>21</v>
      </c>
      <c r="I2325" s="4">
        <v>893.36</v>
      </c>
      <c r="J2325" s="4">
        <v>972.26</v>
      </c>
      <c r="K2325" s="3">
        <v>10</v>
      </c>
      <c r="L2325" s="2" t="s">
        <v>2523</v>
      </c>
      <c r="M2325" s="2" t="s">
        <v>2524</v>
      </c>
      <c r="N2325" t="str">
        <f>TRIM(PROPER(Tabla_auditoría[[#This Row],[ID_Campaña]]))</f>
        <v>Cmp-003</v>
      </c>
      <c r="O2325" t="str">
        <f>TRIM(PROPER(Tabla_auditoría[[#This Row],[Canal]]))</f>
        <v>Affiliate</v>
      </c>
      <c r="P2325" t="str">
        <f>TRIM(PROPER(Tabla_auditoría[[#This Row],[País]]))</f>
        <v>Italia</v>
      </c>
      <c r="Q2325" t="str">
        <f>TRIM(PROPER(Tabla_auditoría[[#This Row],[Dispositivo]]))</f>
        <v>Mobile</v>
      </c>
      <c r="R2325" t="str">
        <f>TRIM(PROPER(Tabla_auditoría[[#This Row],[Tipo_Campaña]]))</f>
        <v>Retención</v>
      </c>
      <c r="S2325" t="str">
        <f>TRIM(PROPER(Tabla_auditoría[[#This Row],[Responsable]]))</f>
        <v>Luis Martín</v>
      </c>
    </row>
    <row r="2326" spans="1:19" x14ac:dyDescent="0.3">
      <c r="A2326" s="1">
        <v>45990</v>
      </c>
      <c r="B2326" s="2" t="s">
        <v>2554</v>
      </c>
      <c r="C2326" s="2" t="s">
        <v>2543</v>
      </c>
      <c r="D2326" s="2" t="s">
        <v>2531</v>
      </c>
      <c r="E2326" s="2" t="s">
        <v>2529</v>
      </c>
      <c r="F2326" s="3">
        <v>76031</v>
      </c>
      <c r="G2326" s="3">
        <v>4118</v>
      </c>
      <c r="H2326" s="3">
        <v>186</v>
      </c>
      <c r="I2326" s="4">
        <v>7725.1</v>
      </c>
      <c r="J2326" s="4">
        <v>14664.85</v>
      </c>
      <c r="K2326" s="3">
        <v>94</v>
      </c>
      <c r="L2326" s="2" t="s">
        <v>2539</v>
      </c>
      <c r="M2326" s="2" t="s">
        <v>2519</v>
      </c>
      <c r="N2326" t="str">
        <f>TRIM(PROPER(Tabla_auditoría[[#This Row],[ID_Campaña]]))</f>
        <v>Cmp-019</v>
      </c>
      <c r="O2326" t="str">
        <f>TRIM(PROPER(Tabla_auditoría[[#This Row],[Canal]]))</f>
        <v>Organic Social</v>
      </c>
      <c r="P2326" t="str">
        <f>TRIM(PROPER(Tabla_auditoría[[#This Row],[País]]))</f>
        <v>Portugal</v>
      </c>
      <c r="Q2326" t="str">
        <f>TRIM(PROPER(Tabla_auditoría[[#This Row],[Dispositivo]]))</f>
        <v>Mobile</v>
      </c>
      <c r="R2326" t="str">
        <f>TRIM(PROPER(Tabla_auditoría[[#This Row],[Tipo_Campaña]]))</f>
        <v>Conversión</v>
      </c>
      <c r="S2326" t="str">
        <f>TRIM(PROPER(Tabla_auditoría[[#This Row],[Responsable]]))</f>
        <v>Carlos Ruiz</v>
      </c>
    </row>
    <row r="2327" spans="1:19" x14ac:dyDescent="0.3">
      <c r="A2327" s="1">
        <v>45925</v>
      </c>
      <c r="B2327" s="2" t="s">
        <v>2542</v>
      </c>
      <c r="C2327" s="2" t="s">
        <v>2521</v>
      </c>
      <c r="D2327" s="2" t="s">
        <v>2528</v>
      </c>
      <c r="E2327" s="2" t="s">
        <v>2517</v>
      </c>
      <c r="F2327" s="3">
        <v>117760</v>
      </c>
      <c r="G2327" s="3">
        <v>3365</v>
      </c>
      <c r="H2327" s="3">
        <v>97</v>
      </c>
      <c r="J2327" s="4">
        <v>6413.48</v>
      </c>
      <c r="K2327" s="3">
        <v>53</v>
      </c>
      <c r="L2327" s="2" t="s">
        <v>2536</v>
      </c>
      <c r="M2327" s="2" t="s">
        <v>2519</v>
      </c>
      <c r="N2327" t="str">
        <f>TRIM(PROPER(Tabla_auditoría[[#This Row],[ID_Campaña]]))</f>
        <v>Cmp-025</v>
      </c>
      <c r="O2327" t="str">
        <f>TRIM(PROPER(Tabla_auditoría[[#This Row],[Canal]]))</f>
        <v>Paid Search</v>
      </c>
      <c r="P2327" t="str">
        <f>TRIM(PROPER(Tabla_auditoría[[#This Row],[País]]))</f>
        <v>España</v>
      </c>
      <c r="Q2327" t="str">
        <f>TRIM(PROPER(Tabla_auditoría[[#This Row],[Dispositivo]]))</f>
        <v>Desktop</v>
      </c>
      <c r="R2327" t="str">
        <f>TRIM(PROPER(Tabla_auditoría[[#This Row],[Tipo_Campaña]]))</f>
        <v>Reconocimiento</v>
      </c>
      <c r="S2327" t="str">
        <f>TRIM(PROPER(Tabla_auditoría[[#This Row],[Responsable]]))</f>
        <v>Carlos Ruiz</v>
      </c>
    </row>
    <row r="2328" spans="1:19" x14ac:dyDescent="0.3">
      <c r="A2328" s="1">
        <v>45966</v>
      </c>
      <c r="B2328" s="2" t="s">
        <v>2532</v>
      </c>
      <c r="C2328" s="2" t="s">
        <v>2548</v>
      </c>
      <c r="D2328" s="2" t="s">
        <v>2528</v>
      </c>
      <c r="E2328" s="2" t="s">
        <v>2517</v>
      </c>
      <c r="F2328" s="3">
        <v>143332</v>
      </c>
      <c r="G2328" s="3">
        <v>9194</v>
      </c>
      <c r="H2328" s="3">
        <v>1107</v>
      </c>
      <c r="I2328" s="4">
        <v>4021.76</v>
      </c>
      <c r="J2328" s="4">
        <v>96415.4</v>
      </c>
      <c r="K2328" s="3">
        <v>966</v>
      </c>
      <c r="L2328" s="2" t="s">
        <v>2539</v>
      </c>
      <c r="M2328" s="2" t="s">
        <v>2526</v>
      </c>
      <c r="N2328" t="str">
        <f>TRIM(PROPER(Tabla_auditoría[[#This Row],[ID_Campaña]]))</f>
        <v>Cmp-022</v>
      </c>
      <c r="O2328" t="str">
        <f>TRIM(PROPER(Tabla_auditoría[[#This Row],[Canal]]))</f>
        <v>Display</v>
      </c>
      <c r="P2328" t="str">
        <f>TRIM(PROPER(Tabla_auditoría[[#This Row],[País]]))</f>
        <v>España</v>
      </c>
      <c r="Q2328" t="str">
        <f>TRIM(PROPER(Tabla_auditoría[[#This Row],[Dispositivo]]))</f>
        <v>Desktop</v>
      </c>
      <c r="R2328" t="str">
        <f>TRIM(PROPER(Tabla_auditoría[[#This Row],[Tipo_Campaña]]))</f>
        <v>Conversión</v>
      </c>
      <c r="S2328" t="str">
        <f>TRIM(PROPER(Tabla_auditoría[[#This Row],[Responsable]]))</f>
        <v>Laura Pérez</v>
      </c>
    </row>
    <row r="2329" spans="1:19" x14ac:dyDescent="0.3">
      <c r="A2329" s="1">
        <v>45696</v>
      </c>
      <c r="B2329" s="2" t="s">
        <v>2566</v>
      </c>
      <c r="C2329" s="2" t="s">
        <v>2515</v>
      </c>
      <c r="D2329" s="2" t="s">
        <v>2525</v>
      </c>
      <c r="E2329" s="2" t="s">
        <v>2529</v>
      </c>
      <c r="F2329" s="3">
        <v>160761</v>
      </c>
      <c r="G2329" s="3">
        <v>11676</v>
      </c>
      <c r="H2329" s="3">
        <v>1065</v>
      </c>
      <c r="I2329" s="4">
        <v>17325.72</v>
      </c>
      <c r="J2329" s="4">
        <v>202070.43</v>
      </c>
      <c r="K2329" s="3">
        <v>865</v>
      </c>
      <c r="L2329" s="2" t="s">
        <v>2536</v>
      </c>
      <c r="M2329" s="2" t="s">
        <v>2537</v>
      </c>
      <c r="N2329" t="str">
        <f>TRIM(PROPER(Tabla_auditoría[[#This Row],[ID_Campaña]]))</f>
        <v>Cmp-001</v>
      </c>
      <c r="O2329" t="str">
        <f>TRIM(PROPER(Tabla_auditoría[[#This Row],[Canal]]))</f>
        <v>Email</v>
      </c>
      <c r="P2329" t="str">
        <f>TRIM(PROPER(Tabla_auditoría[[#This Row],[País]]))</f>
        <v>Francia</v>
      </c>
      <c r="Q2329" t="str">
        <f>TRIM(PROPER(Tabla_auditoría[[#This Row],[Dispositivo]]))</f>
        <v>Mobile</v>
      </c>
      <c r="R2329" t="str">
        <f>TRIM(PROPER(Tabla_auditoría[[#This Row],[Tipo_Campaña]]))</f>
        <v>Reconocimiento</v>
      </c>
      <c r="S2329" t="str">
        <f>TRIM(PROPER(Tabla_auditoría[[#This Row],[Responsable]]))</f>
        <v>Marta López</v>
      </c>
    </row>
    <row r="2330" spans="1:19" x14ac:dyDescent="0.3">
      <c r="A2330" s="1">
        <v>45955</v>
      </c>
      <c r="B2330" s="2" t="s">
        <v>2550</v>
      </c>
      <c r="C2330" s="2" t="s">
        <v>2527</v>
      </c>
      <c r="D2330" s="2" t="s">
        <v>2528</v>
      </c>
      <c r="E2330" s="2" t="s">
        <v>2529</v>
      </c>
      <c r="F2330" s="3">
        <v>118375</v>
      </c>
      <c r="G2330" s="3">
        <v>1377</v>
      </c>
      <c r="H2330" s="3">
        <v>183</v>
      </c>
      <c r="I2330" s="4">
        <v>1351.8</v>
      </c>
      <c r="J2330" s="4">
        <v>23839.24</v>
      </c>
      <c r="K2330" s="3">
        <v>92</v>
      </c>
      <c r="L2330" s="2" t="s">
        <v>2536</v>
      </c>
      <c r="M2330" s="2" t="s">
        <v>2537</v>
      </c>
      <c r="N2330" t="str">
        <f>TRIM(PROPER(Tabla_auditoría[[#This Row],[ID_Campaña]]))</f>
        <v>Cmp-008</v>
      </c>
      <c r="O2330" t="str">
        <f>TRIM(PROPER(Tabla_auditoría[[#This Row],[Canal]]))</f>
        <v>Affiliate</v>
      </c>
      <c r="P2330" t="str">
        <f>TRIM(PROPER(Tabla_auditoría[[#This Row],[País]]))</f>
        <v>España</v>
      </c>
      <c r="Q2330" t="str">
        <f>TRIM(PROPER(Tabla_auditoría[[#This Row],[Dispositivo]]))</f>
        <v>Mobile</v>
      </c>
      <c r="R2330" t="str">
        <f>TRIM(PROPER(Tabla_auditoría[[#This Row],[Tipo_Campaña]]))</f>
        <v>Reconocimiento</v>
      </c>
      <c r="S2330" t="str">
        <f>TRIM(PROPER(Tabla_auditoría[[#This Row],[Responsable]]))</f>
        <v>Marta López</v>
      </c>
    </row>
    <row r="2331" spans="1:19" x14ac:dyDescent="0.3">
      <c r="A2331" s="1">
        <v>45752</v>
      </c>
      <c r="B2331" s="2" t="s">
        <v>2570</v>
      </c>
      <c r="C2331" s="2" t="s">
        <v>2527</v>
      </c>
      <c r="D2331" s="2" t="s">
        <v>2528</v>
      </c>
      <c r="E2331" s="2" t="s">
        <v>2529</v>
      </c>
      <c r="F2331" s="3">
        <v>173950</v>
      </c>
      <c r="G2331" s="3">
        <v>11915</v>
      </c>
      <c r="H2331" s="3">
        <v>345</v>
      </c>
      <c r="I2331" s="4">
        <v>14390.19</v>
      </c>
      <c r="J2331" s="4">
        <v>61993.35</v>
      </c>
      <c r="K2331" s="3">
        <v>231</v>
      </c>
      <c r="L2331" s="2" t="s">
        <v>2536</v>
      </c>
      <c r="M2331" s="2" t="s">
        <v>2537</v>
      </c>
      <c r="N2331" t="str">
        <f>TRIM(PROPER(Tabla_auditoría[[#This Row],[ID_Campaña]]))</f>
        <v>Cmp-016</v>
      </c>
      <c r="O2331" t="str">
        <f>TRIM(PROPER(Tabla_auditoría[[#This Row],[Canal]]))</f>
        <v>Affiliate</v>
      </c>
      <c r="P2331" t="str">
        <f>TRIM(PROPER(Tabla_auditoría[[#This Row],[País]]))</f>
        <v>España</v>
      </c>
      <c r="Q2331" t="str">
        <f>TRIM(PROPER(Tabla_auditoría[[#This Row],[Dispositivo]]))</f>
        <v>Mobile</v>
      </c>
      <c r="R2331" t="str">
        <f>TRIM(PROPER(Tabla_auditoría[[#This Row],[Tipo_Campaña]]))</f>
        <v>Reconocimiento</v>
      </c>
      <c r="S2331" t="str">
        <f>TRIM(PROPER(Tabla_auditoría[[#This Row],[Responsable]]))</f>
        <v>Marta López</v>
      </c>
    </row>
    <row r="2332" spans="1:19" x14ac:dyDescent="0.3">
      <c r="A2332" s="1">
        <v>45917</v>
      </c>
      <c r="B2332" s="2" t="s">
        <v>2540</v>
      </c>
      <c r="C2332" s="2" t="s">
        <v>2543</v>
      </c>
      <c r="D2332" s="2" t="s">
        <v>2516</v>
      </c>
      <c r="E2332" s="2" t="s">
        <v>2529</v>
      </c>
      <c r="F2332" s="3">
        <v>37786</v>
      </c>
      <c r="G2332" s="3">
        <v>1813</v>
      </c>
      <c r="H2332" s="3">
        <v>120</v>
      </c>
      <c r="I2332" s="4">
        <v>3478.59</v>
      </c>
      <c r="J2332" s="4">
        <v>22271.24</v>
      </c>
      <c r="K2332" s="3">
        <v>65</v>
      </c>
      <c r="L2332" s="2" t="s">
        <v>2518</v>
      </c>
      <c r="M2332" s="2" t="s">
        <v>2524</v>
      </c>
      <c r="N2332" t="str">
        <f>TRIM(PROPER(Tabla_auditoría[[#This Row],[ID_Campaña]]))</f>
        <v>Cmp-017</v>
      </c>
      <c r="O2332" t="str">
        <f>TRIM(PROPER(Tabla_auditoría[[#This Row],[Canal]]))</f>
        <v>Organic Social</v>
      </c>
      <c r="P2332" t="str">
        <f>TRIM(PROPER(Tabla_auditoría[[#This Row],[País]]))</f>
        <v>México</v>
      </c>
      <c r="Q2332" t="str">
        <f>TRIM(PROPER(Tabla_auditoría[[#This Row],[Dispositivo]]))</f>
        <v>Mobile</v>
      </c>
      <c r="R2332" t="str">
        <f>TRIM(PROPER(Tabla_auditoría[[#This Row],[Tipo_Campaña]]))</f>
        <v>Adquisición</v>
      </c>
      <c r="S2332" t="str">
        <f>TRIM(PROPER(Tabla_auditoría[[#This Row],[Responsable]]))</f>
        <v>Luis Martín</v>
      </c>
    </row>
    <row r="2333" spans="1:19" x14ac:dyDescent="0.3">
      <c r="A2333" s="1">
        <v>45898</v>
      </c>
      <c r="B2333" s="2" t="s">
        <v>2563</v>
      </c>
      <c r="C2333" s="2" t="s">
        <v>2533</v>
      </c>
      <c r="D2333" s="2" t="s">
        <v>2528</v>
      </c>
      <c r="E2333" s="2" t="s">
        <v>2534</v>
      </c>
      <c r="F2333" s="3">
        <v>44816</v>
      </c>
      <c r="G2333" s="3">
        <v>2894</v>
      </c>
      <c r="H2333" s="3">
        <v>188</v>
      </c>
      <c r="I2333" s="4">
        <v>4372.95</v>
      </c>
      <c r="J2333" s="4">
        <v>25182.36</v>
      </c>
      <c r="K2333" s="3">
        <v>140</v>
      </c>
      <c r="L2333" s="2" t="s">
        <v>2539</v>
      </c>
      <c r="M2333" s="2" t="s">
        <v>2524</v>
      </c>
      <c r="N2333" t="str">
        <f>TRIM(PROPER(Tabla_auditoría[[#This Row],[ID_Campaña]]))</f>
        <v>Cmp-023</v>
      </c>
      <c r="O2333" t="str">
        <f>TRIM(PROPER(Tabla_auditoría[[#This Row],[Canal]]))</f>
        <v>Paid Social</v>
      </c>
      <c r="P2333" t="str">
        <f>TRIM(PROPER(Tabla_auditoría[[#This Row],[País]]))</f>
        <v>España</v>
      </c>
      <c r="Q2333" t="str">
        <f>TRIM(PROPER(Tabla_auditoría[[#This Row],[Dispositivo]]))</f>
        <v>Tablet</v>
      </c>
      <c r="R2333" t="str">
        <f>TRIM(PROPER(Tabla_auditoría[[#This Row],[Tipo_Campaña]]))</f>
        <v>Conversión</v>
      </c>
      <c r="S2333" t="str">
        <f>TRIM(PROPER(Tabla_auditoría[[#This Row],[Responsable]]))</f>
        <v>Luis Martín</v>
      </c>
    </row>
    <row r="2334" spans="1:19" x14ac:dyDescent="0.3">
      <c r="A2334" s="1">
        <v>45962</v>
      </c>
      <c r="B2334" s="2" t="s">
        <v>2551</v>
      </c>
      <c r="C2334" s="2" t="s">
        <v>2521</v>
      </c>
      <c r="D2334" s="2" t="s">
        <v>2528</v>
      </c>
      <c r="E2334" s="2" t="s">
        <v>2561</v>
      </c>
      <c r="F2334" s="3">
        <v>116290</v>
      </c>
      <c r="G2334" s="3">
        <v>8652</v>
      </c>
      <c r="H2334" s="3">
        <v>137</v>
      </c>
      <c r="I2334" s="4">
        <v>15386.67</v>
      </c>
      <c r="J2334" s="4">
        <v>12683.33</v>
      </c>
      <c r="K2334" s="3">
        <v>68</v>
      </c>
      <c r="L2334" s="2" t="s">
        <v>2518</v>
      </c>
      <c r="M2334" s="2" t="s">
        <v>2526</v>
      </c>
      <c r="N2334" t="str">
        <f>TRIM(PROPER(Tabla_auditoría[[#This Row],[ID_Campaña]]))</f>
        <v>Cmp-028</v>
      </c>
      <c r="O2334" t="str">
        <f>TRIM(PROPER(Tabla_auditoría[[#This Row],[Canal]]))</f>
        <v>Paid Search</v>
      </c>
      <c r="P2334" t="str">
        <f>TRIM(PROPER(Tabla_auditoría[[#This Row],[País]]))</f>
        <v>España</v>
      </c>
      <c r="Q2334" t="str">
        <f>TRIM(PROPER(Tabla_auditoría[[#This Row],[Dispositivo]]))</f>
        <v>Mobile</v>
      </c>
      <c r="R2334" t="str">
        <f>TRIM(PROPER(Tabla_auditoría[[#This Row],[Tipo_Campaña]]))</f>
        <v>Adquisición</v>
      </c>
      <c r="S2334" t="str">
        <f>TRIM(PROPER(Tabla_auditoría[[#This Row],[Responsable]]))</f>
        <v>Laura Pérez</v>
      </c>
    </row>
    <row r="2335" spans="1:19" x14ac:dyDescent="0.3">
      <c r="A2335" s="1">
        <v>45708</v>
      </c>
      <c r="B2335" s="2" t="s">
        <v>2550</v>
      </c>
      <c r="C2335" s="2" t="s">
        <v>2533</v>
      </c>
      <c r="D2335" s="2" t="s">
        <v>2525</v>
      </c>
      <c r="E2335" s="2" t="s">
        <v>2517</v>
      </c>
      <c r="F2335" s="3">
        <v>112186</v>
      </c>
      <c r="G2335" s="3">
        <v>5157</v>
      </c>
      <c r="H2335" s="3">
        <v>544</v>
      </c>
      <c r="I2335" s="4">
        <v>4368.72</v>
      </c>
      <c r="J2335" s="4">
        <v>27031.39</v>
      </c>
      <c r="K2335" s="3">
        <v>399</v>
      </c>
      <c r="L2335" s="2" t="s">
        <v>2518</v>
      </c>
      <c r="M2335" s="2" t="s">
        <v>2537</v>
      </c>
      <c r="N2335" t="str">
        <f>TRIM(PROPER(Tabla_auditoría[[#This Row],[ID_Campaña]]))</f>
        <v>Cmp-008</v>
      </c>
      <c r="O2335" t="str">
        <f>TRIM(PROPER(Tabla_auditoría[[#This Row],[Canal]]))</f>
        <v>Paid Social</v>
      </c>
      <c r="P2335" t="str">
        <f>TRIM(PROPER(Tabla_auditoría[[#This Row],[País]]))</f>
        <v>Francia</v>
      </c>
      <c r="Q2335" t="str">
        <f>TRIM(PROPER(Tabla_auditoría[[#This Row],[Dispositivo]]))</f>
        <v>Desktop</v>
      </c>
      <c r="R2335" t="str">
        <f>TRIM(PROPER(Tabla_auditoría[[#This Row],[Tipo_Campaña]]))</f>
        <v>Adquisición</v>
      </c>
      <c r="S2335" t="str">
        <f>TRIM(PROPER(Tabla_auditoría[[#This Row],[Responsable]]))</f>
        <v>Marta López</v>
      </c>
    </row>
    <row r="2336" spans="1:19" x14ac:dyDescent="0.3">
      <c r="A2336" s="1">
        <v>46021</v>
      </c>
      <c r="B2336" s="2" t="s">
        <v>2569</v>
      </c>
      <c r="C2336" s="2" t="s">
        <v>2541</v>
      </c>
      <c r="D2336" s="2" t="s">
        <v>2528</v>
      </c>
      <c r="E2336" s="2" t="s">
        <v>2534</v>
      </c>
      <c r="F2336" s="3">
        <v>85943</v>
      </c>
      <c r="G2336" s="3">
        <v>4939</v>
      </c>
      <c r="H2336" s="3">
        <v>335</v>
      </c>
      <c r="I2336" s="4">
        <v>5912.02</v>
      </c>
      <c r="J2336" s="4">
        <v>58301.16</v>
      </c>
      <c r="K2336" s="3">
        <v>245</v>
      </c>
      <c r="L2336" s="2" t="s">
        <v>2536</v>
      </c>
      <c r="M2336" s="2" t="s">
        <v>2524</v>
      </c>
      <c r="N2336" t="str">
        <f>TRIM(PROPER(Tabla_auditoría[[#This Row],[ID_Campaña]]))</f>
        <v>Cmp-013</v>
      </c>
      <c r="O2336" t="str">
        <f>TRIM(PROPER(Tabla_auditoría[[#This Row],[Canal]]))</f>
        <v>Display</v>
      </c>
      <c r="P2336" t="str">
        <f>TRIM(PROPER(Tabla_auditoría[[#This Row],[País]]))</f>
        <v>España</v>
      </c>
      <c r="Q2336" t="str">
        <f>TRIM(PROPER(Tabla_auditoría[[#This Row],[Dispositivo]]))</f>
        <v>Tablet</v>
      </c>
      <c r="R2336" t="str">
        <f>TRIM(PROPER(Tabla_auditoría[[#This Row],[Tipo_Campaña]]))</f>
        <v>Reconocimiento</v>
      </c>
      <c r="S2336" t="str">
        <f>TRIM(PROPER(Tabla_auditoría[[#This Row],[Responsable]]))</f>
        <v>Luis Martín</v>
      </c>
    </row>
    <row r="2337" spans="1:19" x14ac:dyDescent="0.3">
      <c r="A2337" s="1">
        <v>45874</v>
      </c>
      <c r="B2337" s="2" t="s">
        <v>2590</v>
      </c>
      <c r="C2337" s="2" t="s">
        <v>2527</v>
      </c>
      <c r="D2337" s="2" t="s">
        <v>2522</v>
      </c>
      <c r="E2337" s="2" t="s">
        <v>2534</v>
      </c>
      <c r="F2337" s="3">
        <v>149652</v>
      </c>
      <c r="G2337" s="3">
        <v>12473</v>
      </c>
      <c r="H2337" s="3">
        <v>1228</v>
      </c>
      <c r="I2337" s="4">
        <v>6169.49</v>
      </c>
      <c r="J2337" s="4">
        <v>137857.82999999999</v>
      </c>
      <c r="K2337" s="3">
        <v>915</v>
      </c>
      <c r="L2337" s="2" t="s">
        <v>2539</v>
      </c>
      <c r="M2337" s="2" t="s">
        <v>2537</v>
      </c>
      <c r="N2337" t="str">
        <f>TRIM(PROPER(Tabla_auditoría[[#This Row],[ID_Campaña]]))</f>
        <v>Cmp-005</v>
      </c>
      <c r="O2337" t="str">
        <f>TRIM(PROPER(Tabla_auditoría[[#This Row],[Canal]]))</f>
        <v>Affiliate</v>
      </c>
      <c r="P2337" t="str">
        <f>TRIM(PROPER(Tabla_auditoría[[#This Row],[País]]))</f>
        <v>Italia</v>
      </c>
      <c r="Q2337" t="str">
        <f>TRIM(PROPER(Tabla_auditoría[[#This Row],[Dispositivo]]))</f>
        <v>Tablet</v>
      </c>
      <c r="R2337" t="str">
        <f>TRIM(PROPER(Tabla_auditoría[[#This Row],[Tipo_Campaña]]))</f>
        <v>Conversión</v>
      </c>
      <c r="S2337" t="str">
        <f>TRIM(PROPER(Tabla_auditoría[[#This Row],[Responsable]]))</f>
        <v>Marta López</v>
      </c>
    </row>
    <row r="2338" spans="1:19" x14ac:dyDescent="0.3">
      <c r="A2338" s="1">
        <v>45881</v>
      </c>
      <c r="B2338" s="2" t="s">
        <v>2554</v>
      </c>
      <c r="C2338" s="2" t="s">
        <v>2521</v>
      </c>
      <c r="D2338" s="2" t="s">
        <v>2528</v>
      </c>
      <c r="E2338" s="2" t="s">
        <v>2534</v>
      </c>
      <c r="F2338" s="3">
        <v>101942</v>
      </c>
      <c r="G2338" s="3">
        <v>8319</v>
      </c>
      <c r="H2338" s="3">
        <v>940</v>
      </c>
      <c r="I2338" s="4">
        <v>2990.03</v>
      </c>
      <c r="J2338" s="4">
        <v>139687.18</v>
      </c>
      <c r="K2338" s="3">
        <v>491</v>
      </c>
      <c r="L2338" s="2" t="s">
        <v>2523</v>
      </c>
      <c r="M2338" s="2" t="s">
        <v>2524</v>
      </c>
      <c r="N2338" t="str">
        <f>TRIM(PROPER(Tabla_auditoría[[#This Row],[ID_Campaña]]))</f>
        <v>Cmp-019</v>
      </c>
      <c r="O2338" t="str">
        <f>TRIM(PROPER(Tabla_auditoría[[#This Row],[Canal]]))</f>
        <v>Paid Search</v>
      </c>
      <c r="P2338" t="str">
        <f>TRIM(PROPER(Tabla_auditoría[[#This Row],[País]]))</f>
        <v>España</v>
      </c>
      <c r="Q2338" t="str">
        <f>TRIM(PROPER(Tabla_auditoría[[#This Row],[Dispositivo]]))</f>
        <v>Tablet</v>
      </c>
      <c r="R2338" t="str">
        <f>TRIM(PROPER(Tabla_auditoría[[#This Row],[Tipo_Campaña]]))</f>
        <v>Retención</v>
      </c>
      <c r="S2338" t="str">
        <f>TRIM(PROPER(Tabla_auditoría[[#This Row],[Responsable]]))</f>
        <v>Luis Martín</v>
      </c>
    </row>
    <row r="2339" spans="1:19" x14ac:dyDescent="0.3">
      <c r="A2339" s="1">
        <v>45851</v>
      </c>
      <c r="B2339" s="2" t="s">
        <v>2556</v>
      </c>
      <c r="C2339" s="2" t="s">
        <v>2543</v>
      </c>
      <c r="D2339" s="2" t="s">
        <v>2516</v>
      </c>
      <c r="E2339" s="2" t="s">
        <v>2517</v>
      </c>
      <c r="F2339" s="3">
        <v>17624</v>
      </c>
      <c r="G2339" s="3">
        <v>1286</v>
      </c>
      <c r="H2339" s="3">
        <v>97</v>
      </c>
      <c r="I2339" s="4">
        <v>2481.63</v>
      </c>
      <c r="J2339" s="4">
        <v>8537.9699999999993</v>
      </c>
      <c r="K2339" s="3">
        <v>83</v>
      </c>
      <c r="L2339" s="2" t="s">
        <v>2523</v>
      </c>
      <c r="M2339" s="2" t="s">
        <v>2546</v>
      </c>
      <c r="N2339" t="str">
        <f>TRIM(PROPER(Tabla_auditoría[[#This Row],[ID_Campaña]]))</f>
        <v>Cmp-014</v>
      </c>
      <c r="O2339" t="str">
        <f>TRIM(PROPER(Tabla_auditoría[[#This Row],[Canal]]))</f>
        <v>Organic Social</v>
      </c>
      <c r="P2339" t="str">
        <f>TRIM(PROPER(Tabla_auditoría[[#This Row],[País]]))</f>
        <v>México</v>
      </c>
      <c r="Q2339" t="str">
        <f>TRIM(PROPER(Tabla_auditoría[[#This Row],[Dispositivo]]))</f>
        <v>Desktop</v>
      </c>
      <c r="R2339" t="str">
        <f>TRIM(PROPER(Tabla_auditoría[[#This Row],[Tipo_Campaña]]))</f>
        <v>Retención</v>
      </c>
      <c r="S2339" t="str">
        <f>TRIM(PROPER(Tabla_auditoría[[#This Row],[Responsable]]))</f>
        <v>Ana García</v>
      </c>
    </row>
    <row r="2340" spans="1:19" x14ac:dyDescent="0.3">
      <c r="A2340" s="1">
        <v>45855</v>
      </c>
      <c r="B2340" s="2" t="s">
        <v>2557</v>
      </c>
      <c r="C2340" s="2" t="s">
        <v>2533</v>
      </c>
      <c r="D2340" s="2" t="s">
        <v>2528</v>
      </c>
      <c r="E2340" s="2" t="s">
        <v>2517</v>
      </c>
      <c r="F2340" s="3">
        <v>77666</v>
      </c>
      <c r="G2340" s="3">
        <v>4239</v>
      </c>
      <c r="H2340" s="3">
        <v>363</v>
      </c>
      <c r="I2340" s="4">
        <v>2028.05</v>
      </c>
      <c r="J2340" s="4">
        <v>16558.099999999999</v>
      </c>
      <c r="K2340" s="3">
        <v>289</v>
      </c>
      <c r="L2340" s="2" t="s">
        <v>2539</v>
      </c>
      <c r="M2340" s="2" t="s">
        <v>2519</v>
      </c>
      <c r="N2340" t="str">
        <f>TRIM(PROPER(Tabla_auditoría[[#This Row],[ID_Campaña]]))</f>
        <v>Cmp-030</v>
      </c>
      <c r="O2340" t="str">
        <f>TRIM(PROPER(Tabla_auditoría[[#This Row],[Canal]]))</f>
        <v>Paid Social</v>
      </c>
      <c r="P2340" t="str">
        <f>TRIM(PROPER(Tabla_auditoría[[#This Row],[País]]))</f>
        <v>España</v>
      </c>
      <c r="Q2340" t="str">
        <f>TRIM(PROPER(Tabla_auditoría[[#This Row],[Dispositivo]]))</f>
        <v>Desktop</v>
      </c>
      <c r="R2340" t="str">
        <f>TRIM(PROPER(Tabla_auditoría[[#This Row],[Tipo_Campaña]]))</f>
        <v>Conversión</v>
      </c>
      <c r="S2340" t="str">
        <f>TRIM(PROPER(Tabla_auditoría[[#This Row],[Responsable]]))</f>
        <v>Carlos Ruiz</v>
      </c>
    </row>
    <row r="2341" spans="1:19" x14ac:dyDescent="0.3">
      <c r="A2341" s="1">
        <v>45754</v>
      </c>
      <c r="B2341" s="2" t="s">
        <v>2532</v>
      </c>
      <c r="C2341" s="2" t="s">
        <v>2527</v>
      </c>
      <c r="D2341" s="2" t="s">
        <v>2525</v>
      </c>
      <c r="E2341" s="2" t="s">
        <v>2529</v>
      </c>
      <c r="F2341" s="3">
        <v>102561</v>
      </c>
      <c r="G2341" s="3">
        <v>952</v>
      </c>
      <c r="H2341" s="3">
        <v>90</v>
      </c>
      <c r="I2341" s="4">
        <v>336.81</v>
      </c>
      <c r="J2341" s="4">
        <v>11859.8</v>
      </c>
      <c r="K2341" s="3">
        <v>67</v>
      </c>
      <c r="L2341" s="2" t="s">
        <v>2523</v>
      </c>
      <c r="M2341" s="2" t="s">
        <v>2546</v>
      </c>
      <c r="N2341" t="str">
        <f>TRIM(PROPER(Tabla_auditoría[[#This Row],[ID_Campaña]]))</f>
        <v>Cmp-022</v>
      </c>
      <c r="O2341" t="str">
        <f>TRIM(PROPER(Tabla_auditoría[[#This Row],[Canal]]))</f>
        <v>Affiliate</v>
      </c>
      <c r="P2341" t="str">
        <f>TRIM(PROPER(Tabla_auditoría[[#This Row],[País]]))</f>
        <v>Francia</v>
      </c>
      <c r="Q2341" t="str">
        <f>TRIM(PROPER(Tabla_auditoría[[#This Row],[Dispositivo]]))</f>
        <v>Mobile</v>
      </c>
      <c r="R2341" t="str">
        <f>TRIM(PROPER(Tabla_auditoría[[#This Row],[Tipo_Campaña]]))</f>
        <v>Retención</v>
      </c>
      <c r="S2341" t="str">
        <f>TRIM(PROPER(Tabla_auditoría[[#This Row],[Responsable]]))</f>
        <v>Ana García</v>
      </c>
    </row>
    <row r="2342" spans="1:19" x14ac:dyDescent="0.3">
      <c r="A2342" s="1">
        <v>45986</v>
      </c>
      <c r="B2342" s="2" t="s">
        <v>2565</v>
      </c>
      <c r="C2342" s="2" t="s">
        <v>2515</v>
      </c>
      <c r="D2342" s="2" t="s">
        <v>2522</v>
      </c>
      <c r="E2342" s="2" t="s">
        <v>2517</v>
      </c>
      <c r="F2342" s="3">
        <v>73219</v>
      </c>
      <c r="G2342" s="3">
        <v>2926</v>
      </c>
      <c r="H2342" s="3">
        <v>106</v>
      </c>
      <c r="I2342" s="4">
        <v>941.36</v>
      </c>
      <c r="J2342" s="4">
        <v>3532.59</v>
      </c>
      <c r="K2342" s="3">
        <v>71</v>
      </c>
      <c r="L2342" s="2" t="s">
        <v>2518</v>
      </c>
      <c r="M2342" s="2" t="s">
        <v>2524</v>
      </c>
      <c r="N2342" t="str">
        <f>TRIM(PROPER(Tabla_auditoría[[#This Row],[ID_Campaña]]))</f>
        <v>Cmp-005</v>
      </c>
      <c r="O2342" t="str">
        <f>TRIM(PROPER(Tabla_auditoría[[#This Row],[Canal]]))</f>
        <v>Email</v>
      </c>
      <c r="P2342" t="str">
        <f>TRIM(PROPER(Tabla_auditoría[[#This Row],[País]]))</f>
        <v>Italia</v>
      </c>
      <c r="Q2342" t="str">
        <f>TRIM(PROPER(Tabla_auditoría[[#This Row],[Dispositivo]]))</f>
        <v>Desktop</v>
      </c>
      <c r="R2342" t="str">
        <f>TRIM(PROPER(Tabla_auditoría[[#This Row],[Tipo_Campaña]]))</f>
        <v>Adquisición</v>
      </c>
      <c r="S2342" t="str">
        <f>TRIM(PROPER(Tabla_auditoría[[#This Row],[Responsable]]))</f>
        <v>Luis Martín</v>
      </c>
    </row>
    <row r="2343" spans="1:19" x14ac:dyDescent="0.3">
      <c r="A2343" s="1">
        <v>45719</v>
      </c>
      <c r="B2343" s="2" t="s">
        <v>2540</v>
      </c>
      <c r="C2343" s="2" t="s">
        <v>2543</v>
      </c>
      <c r="D2343" s="2" t="s">
        <v>2525</v>
      </c>
      <c r="E2343" s="2" t="s">
        <v>2559</v>
      </c>
      <c r="F2343" s="3">
        <v>45406</v>
      </c>
      <c r="G2343" s="3">
        <v>2623</v>
      </c>
      <c r="H2343" s="3">
        <v>343</v>
      </c>
      <c r="I2343" s="4">
        <v>1895.35</v>
      </c>
      <c r="J2343" s="4">
        <v>5269.42</v>
      </c>
      <c r="K2343" s="3">
        <v>223</v>
      </c>
      <c r="L2343" s="2" t="s">
        <v>2536</v>
      </c>
      <c r="M2343" s="2" t="s">
        <v>2537</v>
      </c>
      <c r="N2343" t="str">
        <f>TRIM(PROPER(Tabla_auditoría[[#This Row],[ID_Campaña]]))</f>
        <v>Cmp-017</v>
      </c>
      <c r="O2343" t="str">
        <f>TRIM(PROPER(Tabla_auditoría[[#This Row],[Canal]]))</f>
        <v>Organic Social</v>
      </c>
      <c r="P2343" t="str">
        <f>TRIM(PROPER(Tabla_auditoría[[#This Row],[País]]))</f>
        <v>Francia</v>
      </c>
      <c r="Q2343" t="str">
        <f>TRIM(PROPER(Tabla_auditoría[[#This Row],[Dispositivo]]))</f>
        <v>Desktop</v>
      </c>
      <c r="R2343" t="str">
        <f>TRIM(PROPER(Tabla_auditoría[[#This Row],[Tipo_Campaña]]))</f>
        <v>Reconocimiento</v>
      </c>
      <c r="S2343" t="str">
        <f>TRIM(PROPER(Tabla_auditoría[[#This Row],[Responsable]]))</f>
        <v>Marta López</v>
      </c>
    </row>
    <row r="2344" spans="1:19" x14ac:dyDescent="0.3">
      <c r="A2344" s="1">
        <v>45899</v>
      </c>
      <c r="B2344" s="2" t="s">
        <v>2566</v>
      </c>
      <c r="C2344" s="2" t="s">
        <v>2521</v>
      </c>
      <c r="D2344" s="2" t="s">
        <v>2522</v>
      </c>
      <c r="E2344" s="2" t="s">
        <v>2517</v>
      </c>
      <c r="F2344" s="3">
        <v>124056</v>
      </c>
      <c r="G2344" s="3">
        <v>6876</v>
      </c>
      <c r="H2344" s="3">
        <v>646</v>
      </c>
      <c r="I2344" s="4">
        <v>3197.51</v>
      </c>
      <c r="J2344" s="4">
        <v>83871.8</v>
      </c>
      <c r="K2344" s="3">
        <v>430</v>
      </c>
      <c r="L2344" s="2" t="s">
        <v>2539</v>
      </c>
      <c r="M2344" s="2" t="s">
        <v>2537</v>
      </c>
      <c r="N2344" t="str">
        <f>TRIM(PROPER(Tabla_auditoría[[#This Row],[ID_Campaña]]))</f>
        <v>Cmp-001</v>
      </c>
      <c r="O2344" t="str">
        <f>TRIM(PROPER(Tabla_auditoría[[#This Row],[Canal]]))</f>
        <v>Paid Search</v>
      </c>
      <c r="P2344" t="str">
        <f>TRIM(PROPER(Tabla_auditoría[[#This Row],[País]]))</f>
        <v>Italia</v>
      </c>
      <c r="Q2344" t="str">
        <f>TRIM(PROPER(Tabla_auditoría[[#This Row],[Dispositivo]]))</f>
        <v>Desktop</v>
      </c>
      <c r="R2344" t="str">
        <f>TRIM(PROPER(Tabla_auditoría[[#This Row],[Tipo_Campaña]]))</f>
        <v>Conversión</v>
      </c>
      <c r="S2344" t="str">
        <f>TRIM(PROPER(Tabla_auditoría[[#This Row],[Responsable]]))</f>
        <v>Marta López</v>
      </c>
    </row>
    <row r="2345" spans="1:19" x14ac:dyDescent="0.3">
      <c r="A2345" s="1">
        <v>45885</v>
      </c>
      <c r="B2345" s="2" t="s">
        <v>2544</v>
      </c>
      <c r="C2345" s="2" t="s">
        <v>2515</v>
      </c>
      <c r="D2345" s="2" t="s">
        <v>2531</v>
      </c>
      <c r="E2345" s="2" t="s">
        <v>2517</v>
      </c>
      <c r="F2345" s="3">
        <v>78935</v>
      </c>
      <c r="G2345" s="3">
        <v>4984</v>
      </c>
      <c r="H2345" s="3">
        <v>575</v>
      </c>
      <c r="I2345" s="4">
        <v>1779.6</v>
      </c>
      <c r="J2345" s="4">
        <v>112395.06</v>
      </c>
      <c r="K2345" s="3">
        <v>409</v>
      </c>
      <c r="L2345" s="2" t="s">
        <v>2536</v>
      </c>
      <c r="M2345" s="2" t="s">
        <v>2537</v>
      </c>
      <c r="N2345" t="str">
        <f>TRIM(PROPER(Tabla_auditoría[[#This Row],[ID_Campaña]]))</f>
        <v>Cmp-006</v>
      </c>
      <c r="O2345" t="str">
        <f>TRIM(PROPER(Tabla_auditoría[[#This Row],[Canal]]))</f>
        <v>Email</v>
      </c>
      <c r="P2345" t="str">
        <f>TRIM(PROPER(Tabla_auditoría[[#This Row],[País]]))</f>
        <v>Portugal</v>
      </c>
      <c r="Q2345" t="str">
        <f>TRIM(PROPER(Tabla_auditoría[[#This Row],[Dispositivo]]))</f>
        <v>Desktop</v>
      </c>
      <c r="R2345" t="str">
        <f>TRIM(PROPER(Tabla_auditoría[[#This Row],[Tipo_Campaña]]))</f>
        <v>Reconocimiento</v>
      </c>
      <c r="S2345" t="str">
        <f>TRIM(PROPER(Tabla_auditoría[[#This Row],[Responsable]]))</f>
        <v>Marta López</v>
      </c>
    </row>
    <row r="2346" spans="1:19" x14ac:dyDescent="0.3">
      <c r="A2346" s="1">
        <v>45715</v>
      </c>
      <c r="B2346" s="2" t="s">
        <v>2532</v>
      </c>
      <c r="C2346" s="2" t="s">
        <v>2527</v>
      </c>
      <c r="D2346" s="2" t="s">
        <v>2528</v>
      </c>
      <c r="E2346" s="2" t="s">
        <v>2517</v>
      </c>
      <c r="F2346" s="3">
        <v>54036</v>
      </c>
      <c r="G2346" s="3">
        <v>1452</v>
      </c>
      <c r="H2346" s="3">
        <v>8</v>
      </c>
      <c r="I2346" s="4">
        <v>650.87</v>
      </c>
      <c r="J2346" s="4">
        <v>1438.7</v>
      </c>
      <c r="K2346" s="3">
        <v>3</v>
      </c>
      <c r="L2346" s="2" t="s">
        <v>2518</v>
      </c>
      <c r="M2346" s="2" t="s">
        <v>2519</v>
      </c>
      <c r="N2346" t="str">
        <f>TRIM(PROPER(Tabla_auditoría[[#This Row],[ID_Campaña]]))</f>
        <v>Cmp-022</v>
      </c>
      <c r="O2346" t="str">
        <f>TRIM(PROPER(Tabla_auditoría[[#This Row],[Canal]]))</f>
        <v>Affiliate</v>
      </c>
      <c r="P2346" t="str">
        <f>TRIM(PROPER(Tabla_auditoría[[#This Row],[País]]))</f>
        <v>España</v>
      </c>
      <c r="Q2346" t="str">
        <f>TRIM(PROPER(Tabla_auditoría[[#This Row],[Dispositivo]]))</f>
        <v>Desktop</v>
      </c>
      <c r="R2346" t="str">
        <f>TRIM(PROPER(Tabla_auditoría[[#This Row],[Tipo_Campaña]]))</f>
        <v>Adquisición</v>
      </c>
      <c r="S2346" t="str">
        <f>TRIM(PROPER(Tabla_auditoría[[#This Row],[Responsable]]))</f>
        <v>Carlos Ruiz</v>
      </c>
    </row>
    <row r="2347" spans="1:19" x14ac:dyDescent="0.3">
      <c r="A2347" s="1">
        <v>45924</v>
      </c>
      <c r="B2347" s="2" t="s">
        <v>2557</v>
      </c>
      <c r="C2347" s="2" t="s">
        <v>2521</v>
      </c>
      <c r="D2347" s="2" t="s">
        <v>2522</v>
      </c>
      <c r="E2347" s="2" t="s">
        <v>2529</v>
      </c>
      <c r="F2347" s="3">
        <v>60275</v>
      </c>
      <c r="G2347" s="3">
        <v>2800</v>
      </c>
      <c r="H2347" s="3">
        <v>163</v>
      </c>
      <c r="I2347" s="4">
        <v>2623.63</v>
      </c>
      <c r="J2347" s="4">
        <v>11742.64</v>
      </c>
      <c r="K2347" s="3">
        <v>83</v>
      </c>
      <c r="L2347" s="2" t="s">
        <v>2518</v>
      </c>
      <c r="M2347" s="2" t="s">
        <v>2519</v>
      </c>
      <c r="N2347" t="str">
        <f>TRIM(PROPER(Tabla_auditoría[[#This Row],[ID_Campaña]]))</f>
        <v>Cmp-030</v>
      </c>
      <c r="O2347" t="str">
        <f>TRIM(PROPER(Tabla_auditoría[[#This Row],[Canal]]))</f>
        <v>Paid Search</v>
      </c>
      <c r="P2347" t="str">
        <f>TRIM(PROPER(Tabla_auditoría[[#This Row],[País]]))</f>
        <v>Italia</v>
      </c>
      <c r="Q2347" t="str">
        <f>TRIM(PROPER(Tabla_auditoría[[#This Row],[Dispositivo]]))</f>
        <v>Mobile</v>
      </c>
      <c r="R2347" t="str">
        <f>TRIM(PROPER(Tabla_auditoría[[#This Row],[Tipo_Campaña]]))</f>
        <v>Adquisición</v>
      </c>
      <c r="S2347" t="str">
        <f>TRIM(PROPER(Tabla_auditoría[[#This Row],[Responsable]]))</f>
        <v>Carlos Ruiz</v>
      </c>
    </row>
    <row r="2348" spans="1:19" x14ac:dyDescent="0.3">
      <c r="A2348" s="1">
        <v>45963</v>
      </c>
      <c r="B2348" s="2" t="s">
        <v>2544</v>
      </c>
      <c r="C2348" s="2" t="s">
        <v>2541</v>
      </c>
      <c r="D2348" s="2" t="s">
        <v>2528</v>
      </c>
      <c r="E2348" s="2" t="s">
        <v>2529</v>
      </c>
      <c r="F2348" s="3">
        <v>101539</v>
      </c>
      <c r="G2348" s="3">
        <v>7681</v>
      </c>
      <c r="H2348" s="3">
        <v>898</v>
      </c>
      <c r="I2348" s="4">
        <v>2116.38</v>
      </c>
      <c r="J2348" s="4">
        <v>153917.21</v>
      </c>
      <c r="K2348" s="3">
        <v>597</v>
      </c>
      <c r="L2348" s="2" t="s">
        <v>2536</v>
      </c>
      <c r="M2348" s="2" t="s">
        <v>2519</v>
      </c>
      <c r="N2348" t="str">
        <f>TRIM(PROPER(Tabla_auditoría[[#This Row],[ID_Campaña]]))</f>
        <v>Cmp-006</v>
      </c>
      <c r="O2348" t="str">
        <f>TRIM(PROPER(Tabla_auditoría[[#This Row],[Canal]]))</f>
        <v>Display</v>
      </c>
      <c r="P2348" t="str">
        <f>TRIM(PROPER(Tabla_auditoría[[#This Row],[País]]))</f>
        <v>España</v>
      </c>
      <c r="Q2348" t="str">
        <f>TRIM(PROPER(Tabla_auditoría[[#This Row],[Dispositivo]]))</f>
        <v>Mobile</v>
      </c>
      <c r="R2348" t="str">
        <f>TRIM(PROPER(Tabla_auditoría[[#This Row],[Tipo_Campaña]]))</f>
        <v>Reconocimiento</v>
      </c>
      <c r="S2348" t="str">
        <f>TRIM(PROPER(Tabla_auditoría[[#This Row],[Responsable]]))</f>
        <v>Carlos Ruiz</v>
      </c>
    </row>
    <row r="2349" spans="1:19" x14ac:dyDescent="0.3">
      <c r="A2349" s="1">
        <v>45963</v>
      </c>
      <c r="B2349" s="2" t="s">
        <v>2530</v>
      </c>
      <c r="C2349" s="2" t="s">
        <v>2533</v>
      </c>
      <c r="D2349" s="2" t="s">
        <v>2525</v>
      </c>
      <c r="E2349" s="2" t="s">
        <v>2529</v>
      </c>
      <c r="F2349" s="3">
        <v>107920</v>
      </c>
      <c r="G2349" s="3">
        <v>2646</v>
      </c>
      <c r="H2349" s="3">
        <v>80</v>
      </c>
      <c r="I2349" s="4">
        <v>313.33999999999997</v>
      </c>
      <c r="J2349" s="4">
        <v>16240.95</v>
      </c>
      <c r="K2349" s="3">
        <v>70</v>
      </c>
      <c r="L2349" s="2" t="s">
        <v>2536</v>
      </c>
      <c r="M2349" s="2" t="s">
        <v>2526</v>
      </c>
      <c r="N2349" t="str">
        <f>TRIM(PROPER(Tabla_auditoría[[#This Row],[ID_Campaña]]))</f>
        <v>Cmp-026</v>
      </c>
      <c r="O2349" t="str">
        <f>TRIM(PROPER(Tabla_auditoría[[#This Row],[Canal]]))</f>
        <v>Paid Social</v>
      </c>
      <c r="P2349" t="str">
        <f>TRIM(PROPER(Tabla_auditoría[[#This Row],[País]]))</f>
        <v>Francia</v>
      </c>
      <c r="Q2349" t="str">
        <f>TRIM(PROPER(Tabla_auditoría[[#This Row],[Dispositivo]]))</f>
        <v>Mobile</v>
      </c>
      <c r="R2349" t="str">
        <f>TRIM(PROPER(Tabla_auditoría[[#This Row],[Tipo_Campaña]]))</f>
        <v>Reconocimiento</v>
      </c>
      <c r="S2349" t="str">
        <f>TRIM(PROPER(Tabla_auditoría[[#This Row],[Responsable]]))</f>
        <v>Laura Pérez</v>
      </c>
    </row>
    <row r="2350" spans="1:19" x14ac:dyDescent="0.3">
      <c r="A2350" s="1">
        <v>45712</v>
      </c>
      <c r="B2350" s="2" t="s">
        <v>2535</v>
      </c>
      <c r="C2350" s="2" t="s">
        <v>2543</v>
      </c>
      <c r="D2350" s="2" t="s">
        <v>2528</v>
      </c>
      <c r="E2350" s="2" t="s">
        <v>2529</v>
      </c>
      <c r="F2350" s="3">
        <v>132739</v>
      </c>
      <c r="G2350" s="3">
        <v>6408</v>
      </c>
      <c r="H2350" s="3">
        <v>129</v>
      </c>
      <c r="I2350" s="4">
        <v>8347.43</v>
      </c>
      <c r="J2350" s="4">
        <v>9646.6299999999992</v>
      </c>
      <c r="K2350" s="3">
        <v>79</v>
      </c>
      <c r="L2350" s="2" t="s">
        <v>2536</v>
      </c>
      <c r="M2350" s="2" t="s">
        <v>2537</v>
      </c>
      <c r="N2350" t="str">
        <f>TRIM(PROPER(Tabla_auditoría[[#This Row],[ID_Campaña]]))</f>
        <v>Cmp-015</v>
      </c>
      <c r="O2350" t="str">
        <f>TRIM(PROPER(Tabla_auditoría[[#This Row],[Canal]]))</f>
        <v>Organic Social</v>
      </c>
      <c r="P2350" t="str">
        <f>TRIM(PROPER(Tabla_auditoría[[#This Row],[País]]))</f>
        <v>España</v>
      </c>
      <c r="Q2350" t="str">
        <f>TRIM(PROPER(Tabla_auditoría[[#This Row],[Dispositivo]]))</f>
        <v>Mobile</v>
      </c>
      <c r="R2350" t="str">
        <f>TRIM(PROPER(Tabla_auditoría[[#This Row],[Tipo_Campaña]]))</f>
        <v>Reconocimiento</v>
      </c>
      <c r="S2350" t="str">
        <f>TRIM(PROPER(Tabla_auditoría[[#This Row],[Responsable]]))</f>
        <v>Marta López</v>
      </c>
    </row>
    <row r="2351" spans="1:19" x14ac:dyDescent="0.3">
      <c r="A2351" s="1">
        <v>45992</v>
      </c>
      <c r="B2351" s="2" t="s">
        <v>2603</v>
      </c>
      <c r="C2351" s="2" t="s">
        <v>2541</v>
      </c>
      <c r="D2351" s="2" t="s">
        <v>2525</v>
      </c>
      <c r="E2351" s="2" t="s">
        <v>2517</v>
      </c>
      <c r="F2351" s="3">
        <v>114547</v>
      </c>
      <c r="G2351" s="3">
        <v>8913</v>
      </c>
      <c r="H2351" s="3">
        <v>1155</v>
      </c>
      <c r="I2351" s="4">
        <v>8462.9500000000007</v>
      </c>
      <c r="J2351" s="4">
        <v>24272.21</v>
      </c>
      <c r="K2351" s="3">
        <v>874</v>
      </c>
      <c r="L2351" s="2" t="s">
        <v>2539</v>
      </c>
      <c r="M2351" s="2" t="s">
        <v>2537</v>
      </c>
      <c r="N2351" t="str">
        <f>TRIM(PROPER(Tabla_auditoría[[#This Row],[ID_Campaña]]))</f>
        <v>Cmp-002</v>
      </c>
      <c r="O2351" t="str">
        <f>TRIM(PROPER(Tabla_auditoría[[#This Row],[Canal]]))</f>
        <v>Display</v>
      </c>
      <c r="P2351" t="str">
        <f>TRIM(PROPER(Tabla_auditoría[[#This Row],[País]]))</f>
        <v>Francia</v>
      </c>
      <c r="Q2351" t="str">
        <f>TRIM(PROPER(Tabla_auditoría[[#This Row],[Dispositivo]]))</f>
        <v>Desktop</v>
      </c>
      <c r="R2351" t="str">
        <f>TRIM(PROPER(Tabla_auditoría[[#This Row],[Tipo_Campaña]]))</f>
        <v>Conversión</v>
      </c>
      <c r="S2351" t="str">
        <f>TRIM(PROPER(Tabla_auditoría[[#This Row],[Responsable]]))</f>
        <v>Marta López</v>
      </c>
    </row>
    <row r="2352" spans="1:19" x14ac:dyDescent="0.3">
      <c r="A2352" s="1">
        <v>45743</v>
      </c>
      <c r="B2352" s="2" t="s">
        <v>2520</v>
      </c>
      <c r="C2352" s="2" t="s">
        <v>2541</v>
      </c>
      <c r="D2352" s="2" t="s">
        <v>2528</v>
      </c>
      <c r="E2352" s="2" t="s">
        <v>2517</v>
      </c>
      <c r="F2352" s="3">
        <v>79309</v>
      </c>
      <c r="G2352" s="3">
        <v>4040</v>
      </c>
      <c r="H2352" s="3">
        <v>447</v>
      </c>
      <c r="I2352" s="4">
        <v>6717.69</v>
      </c>
      <c r="J2352" s="4">
        <v>24424.26</v>
      </c>
      <c r="K2352" s="3">
        <v>365</v>
      </c>
      <c r="L2352" s="2" t="s">
        <v>2539</v>
      </c>
      <c r="M2352" s="2" t="s">
        <v>2526</v>
      </c>
      <c r="N2352" t="str">
        <f>TRIM(PROPER(Tabla_auditoría[[#This Row],[ID_Campaña]]))</f>
        <v>Cmp-009</v>
      </c>
      <c r="O2352" t="str">
        <f>TRIM(PROPER(Tabla_auditoría[[#This Row],[Canal]]))</f>
        <v>Display</v>
      </c>
      <c r="P2352" t="str">
        <f>TRIM(PROPER(Tabla_auditoría[[#This Row],[País]]))</f>
        <v>España</v>
      </c>
      <c r="Q2352" t="str">
        <f>TRIM(PROPER(Tabla_auditoría[[#This Row],[Dispositivo]]))</f>
        <v>Desktop</v>
      </c>
      <c r="R2352" t="str">
        <f>TRIM(PROPER(Tabla_auditoría[[#This Row],[Tipo_Campaña]]))</f>
        <v>Conversión</v>
      </c>
      <c r="S2352" t="str">
        <f>TRIM(PROPER(Tabla_auditoría[[#This Row],[Responsable]]))</f>
        <v>Laura Pérez</v>
      </c>
    </row>
    <row r="2353" spans="1:19" x14ac:dyDescent="0.3">
      <c r="A2353" s="1">
        <v>45836</v>
      </c>
      <c r="B2353" s="2" t="s">
        <v>2549</v>
      </c>
      <c r="C2353" s="2" t="s">
        <v>2521</v>
      </c>
      <c r="D2353" s="2" t="s">
        <v>2528</v>
      </c>
      <c r="E2353" s="2" t="s">
        <v>2529</v>
      </c>
      <c r="F2353" s="3">
        <v>76040</v>
      </c>
      <c r="G2353" s="3">
        <v>1951</v>
      </c>
      <c r="H2353" s="3">
        <v>33</v>
      </c>
      <c r="I2353" s="4">
        <v>1905.27</v>
      </c>
      <c r="J2353" s="4">
        <v>3411.47</v>
      </c>
      <c r="K2353" s="3">
        <v>28</v>
      </c>
      <c r="L2353" s="2" t="s">
        <v>2518</v>
      </c>
      <c r="M2353" s="2" t="s">
        <v>2546</v>
      </c>
      <c r="N2353" t="str">
        <f>TRIM(PROPER(Tabla_auditoría[[#This Row],[ID_Campaña]]))</f>
        <v>Cmp-007</v>
      </c>
      <c r="O2353" t="str">
        <f>TRIM(PROPER(Tabla_auditoría[[#This Row],[Canal]]))</f>
        <v>Paid Search</v>
      </c>
      <c r="P2353" t="str">
        <f>TRIM(PROPER(Tabla_auditoría[[#This Row],[País]]))</f>
        <v>España</v>
      </c>
      <c r="Q2353" t="str">
        <f>TRIM(PROPER(Tabla_auditoría[[#This Row],[Dispositivo]]))</f>
        <v>Mobile</v>
      </c>
      <c r="R2353" t="str">
        <f>TRIM(PROPER(Tabla_auditoría[[#This Row],[Tipo_Campaña]]))</f>
        <v>Adquisición</v>
      </c>
      <c r="S2353" t="str">
        <f>TRIM(PROPER(Tabla_auditoría[[#This Row],[Responsable]]))</f>
        <v>Ana García</v>
      </c>
    </row>
    <row r="2354" spans="1:19" x14ac:dyDescent="0.3">
      <c r="A2354" s="1">
        <v>45717</v>
      </c>
      <c r="B2354" s="2" t="s">
        <v>2520</v>
      </c>
      <c r="C2354" s="2" t="s">
        <v>2543</v>
      </c>
      <c r="D2354" s="2" t="s">
        <v>2522</v>
      </c>
      <c r="E2354" s="2" t="s">
        <v>2517</v>
      </c>
      <c r="F2354" s="3">
        <v>76764</v>
      </c>
      <c r="G2354" s="3">
        <v>1631</v>
      </c>
      <c r="H2354" s="3">
        <v>185</v>
      </c>
      <c r="I2354" s="4">
        <v>2432.11</v>
      </c>
      <c r="J2354" s="4">
        <v>13943.68</v>
      </c>
      <c r="K2354" s="3">
        <v>102</v>
      </c>
      <c r="L2354" s="2" t="s">
        <v>2539</v>
      </c>
      <c r="M2354" s="2" t="s">
        <v>2546</v>
      </c>
      <c r="N2354" t="str">
        <f>TRIM(PROPER(Tabla_auditoría[[#This Row],[ID_Campaña]]))</f>
        <v>Cmp-009</v>
      </c>
      <c r="O2354" t="str">
        <f>TRIM(PROPER(Tabla_auditoría[[#This Row],[Canal]]))</f>
        <v>Organic Social</v>
      </c>
      <c r="P2354" t="str">
        <f>TRIM(PROPER(Tabla_auditoría[[#This Row],[País]]))</f>
        <v>Italia</v>
      </c>
      <c r="Q2354" t="str">
        <f>TRIM(PROPER(Tabla_auditoría[[#This Row],[Dispositivo]]))</f>
        <v>Desktop</v>
      </c>
      <c r="R2354" t="str">
        <f>TRIM(PROPER(Tabla_auditoría[[#This Row],[Tipo_Campaña]]))</f>
        <v>Conversión</v>
      </c>
      <c r="S2354" t="str">
        <f>TRIM(PROPER(Tabla_auditoría[[#This Row],[Responsable]]))</f>
        <v>Ana García</v>
      </c>
    </row>
    <row r="2355" spans="1:19" x14ac:dyDescent="0.3">
      <c r="A2355" s="1">
        <v>45912</v>
      </c>
      <c r="B2355" s="2" t="s">
        <v>2557</v>
      </c>
      <c r="C2355" s="2" t="s">
        <v>2515</v>
      </c>
      <c r="D2355" s="2" t="s">
        <v>2531</v>
      </c>
      <c r="E2355" s="2" t="s">
        <v>2529</v>
      </c>
      <c r="F2355" s="3">
        <v>37824</v>
      </c>
      <c r="G2355" s="3">
        <v>2783</v>
      </c>
      <c r="H2355" s="3">
        <v>321</v>
      </c>
      <c r="I2355" s="4">
        <v>1451.13</v>
      </c>
      <c r="J2355" s="4">
        <v>53271.02</v>
      </c>
      <c r="K2355" s="3">
        <v>224</v>
      </c>
      <c r="L2355" s="2" t="s">
        <v>2539</v>
      </c>
      <c r="M2355" s="2" t="s">
        <v>2526</v>
      </c>
      <c r="N2355" t="str">
        <f>TRIM(PROPER(Tabla_auditoría[[#This Row],[ID_Campaña]]))</f>
        <v>Cmp-030</v>
      </c>
      <c r="O2355" t="str">
        <f>TRIM(PROPER(Tabla_auditoría[[#This Row],[Canal]]))</f>
        <v>Email</v>
      </c>
      <c r="P2355" t="str">
        <f>TRIM(PROPER(Tabla_auditoría[[#This Row],[País]]))</f>
        <v>Portugal</v>
      </c>
      <c r="Q2355" t="str">
        <f>TRIM(PROPER(Tabla_auditoría[[#This Row],[Dispositivo]]))</f>
        <v>Mobile</v>
      </c>
      <c r="R2355" t="str">
        <f>TRIM(PROPER(Tabla_auditoría[[#This Row],[Tipo_Campaña]]))</f>
        <v>Conversión</v>
      </c>
      <c r="S2355" t="str">
        <f>TRIM(PROPER(Tabla_auditoría[[#This Row],[Responsable]]))</f>
        <v>Laura Pérez</v>
      </c>
    </row>
    <row r="2356" spans="1:19" x14ac:dyDescent="0.3">
      <c r="A2356" s="1">
        <v>45705</v>
      </c>
      <c r="B2356" s="2" t="s">
        <v>2556</v>
      </c>
      <c r="C2356" s="2" t="s">
        <v>2543</v>
      </c>
      <c r="D2356" s="2" t="s">
        <v>2528</v>
      </c>
      <c r="E2356" s="2" t="s">
        <v>2529</v>
      </c>
      <c r="F2356" s="3">
        <v>96470</v>
      </c>
      <c r="G2356" s="3">
        <v>2590</v>
      </c>
      <c r="H2356" s="3">
        <v>74</v>
      </c>
      <c r="I2356" s="4">
        <v>1268.92</v>
      </c>
      <c r="J2356" s="4">
        <v>14382.1</v>
      </c>
      <c r="K2356" s="3">
        <v>60</v>
      </c>
      <c r="L2356" s="2" t="s">
        <v>2536</v>
      </c>
      <c r="M2356" s="2" t="s">
        <v>2519</v>
      </c>
      <c r="N2356" t="str">
        <f>TRIM(PROPER(Tabla_auditoría[[#This Row],[ID_Campaña]]))</f>
        <v>Cmp-014</v>
      </c>
      <c r="O2356" t="str">
        <f>TRIM(PROPER(Tabla_auditoría[[#This Row],[Canal]]))</f>
        <v>Organic Social</v>
      </c>
      <c r="P2356" t="str">
        <f>TRIM(PROPER(Tabla_auditoría[[#This Row],[País]]))</f>
        <v>España</v>
      </c>
      <c r="Q2356" t="str">
        <f>TRIM(PROPER(Tabla_auditoría[[#This Row],[Dispositivo]]))</f>
        <v>Mobile</v>
      </c>
      <c r="R2356" t="str">
        <f>TRIM(PROPER(Tabla_auditoría[[#This Row],[Tipo_Campaña]]))</f>
        <v>Reconocimiento</v>
      </c>
      <c r="S2356" t="str">
        <f>TRIM(PROPER(Tabla_auditoría[[#This Row],[Responsable]]))</f>
        <v>Carlos Ruiz</v>
      </c>
    </row>
    <row r="2357" spans="1:19" x14ac:dyDescent="0.3">
      <c r="A2357" s="1">
        <v>45992</v>
      </c>
      <c r="B2357" s="2" t="s">
        <v>2545</v>
      </c>
      <c r="C2357" s="2" t="s">
        <v>2543</v>
      </c>
      <c r="D2357" s="2" t="s">
        <v>2525</v>
      </c>
      <c r="E2357" s="2" t="s">
        <v>2517</v>
      </c>
      <c r="F2357" s="3">
        <v>169663</v>
      </c>
      <c r="G2357" s="3">
        <v>14121</v>
      </c>
      <c r="H2357" s="3">
        <v>1887</v>
      </c>
      <c r="I2357" s="4">
        <v>21781.64</v>
      </c>
      <c r="J2357" s="4">
        <v>171390.14</v>
      </c>
      <c r="K2357" s="3">
        <v>1020</v>
      </c>
      <c r="L2357" s="2" t="s">
        <v>2523</v>
      </c>
      <c r="M2357" s="2" t="s">
        <v>2526</v>
      </c>
      <c r="N2357" t="str">
        <f>TRIM(PROPER(Tabla_auditoría[[#This Row],[ID_Campaña]]))</f>
        <v>Cmp-011</v>
      </c>
      <c r="O2357" t="str">
        <f>TRIM(PROPER(Tabla_auditoría[[#This Row],[Canal]]))</f>
        <v>Organic Social</v>
      </c>
      <c r="P2357" t="str">
        <f>TRIM(PROPER(Tabla_auditoría[[#This Row],[País]]))</f>
        <v>Francia</v>
      </c>
      <c r="Q2357" t="str">
        <f>TRIM(PROPER(Tabla_auditoría[[#This Row],[Dispositivo]]))</f>
        <v>Desktop</v>
      </c>
      <c r="R2357" t="str">
        <f>TRIM(PROPER(Tabla_auditoría[[#This Row],[Tipo_Campaña]]))</f>
        <v>Retención</v>
      </c>
      <c r="S2357" t="str">
        <f>TRIM(PROPER(Tabla_auditoría[[#This Row],[Responsable]]))</f>
        <v>Laura Pérez</v>
      </c>
    </row>
    <row r="2358" spans="1:19" x14ac:dyDescent="0.3">
      <c r="A2358" s="1">
        <v>46013</v>
      </c>
      <c r="B2358" s="2" t="s">
        <v>2554</v>
      </c>
      <c r="C2358" s="2" t="s">
        <v>2515</v>
      </c>
      <c r="D2358" s="2" t="s">
        <v>2531</v>
      </c>
      <c r="E2358" s="2" t="s">
        <v>2517</v>
      </c>
      <c r="F2358" s="3">
        <v>146855</v>
      </c>
      <c r="G2358" s="3">
        <v>7391</v>
      </c>
      <c r="H2358" s="3">
        <v>949</v>
      </c>
      <c r="I2358" s="4">
        <v>8458.75</v>
      </c>
      <c r="J2358" s="4">
        <v>23779.84</v>
      </c>
      <c r="K2358" s="3">
        <v>826</v>
      </c>
      <c r="L2358" s="2" t="s">
        <v>2518</v>
      </c>
      <c r="M2358" s="2" t="s">
        <v>2519</v>
      </c>
      <c r="N2358" t="str">
        <f>TRIM(PROPER(Tabla_auditoría[[#This Row],[ID_Campaña]]))</f>
        <v>Cmp-019</v>
      </c>
      <c r="O2358" t="str">
        <f>TRIM(PROPER(Tabla_auditoría[[#This Row],[Canal]]))</f>
        <v>Email</v>
      </c>
      <c r="P2358" t="str">
        <f>TRIM(PROPER(Tabla_auditoría[[#This Row],[País]]))</f>
        <v>Portugal</v>
      </c>
      <c r="Q2358" t="str">
        <f>TRIM(PROPER(Tabla_auditoría[[#This Row],[Dispositivo]]))</f>
        <v>Desktop</v>
      </c>
      <c r="R2358" t="str">
        <f>TRIM(PROPER(Tabla_auditoría[[#This Row],[Tipo_Campaña]]))</f>
        <v>Adquisición</v>
      </c>
      <c r="S2358" t="str">
        <f>TRIM(PROPER(Tabla_auditoría[[#This Row],[Responsable]]))</f>
        <v>Carlos Ruiz</v>
      </c>
    </row>
    <row r="2359" spans="1:19" x14ac:dyDescent="0.3">
      <c r="A2359" s="1">
        <v>45672</v>
      </c>
      <c r="B2359" s="2" t="s">
        <v>2557</v>
      </c>
      <c r="C2359" s="2" t="s">
        <v>2541</v>
      </c>
      <c r="D2359" s="2" t="s">
        <v>2528</v>
      </c>
      <c r="E2359" s="2" t="s">
        <v>2517</v>
      </c>
      <c r="F2359" s="3">
        <v>62847</v>
      </c>
      <c r="G2359" s="3">
        <v>5129</v>
      </c>
      <c r="H2359" s="3">
        <v>323</v>
      </c>
      <c r="I2359" s="4">
        <v>4762.03</v>
      </c>
      <c r="J2359" s="4">
        <v>50634.82</v>
      </c>
      <c r="K2359" s="3">
        <v>226</v>
      </c>
      <c r="L2359" s="2" t="s">
        <v>2523</v>
      </c>
      <c r="M2359" s="2" t="s">
        <v>2537</v>
      </c>
      <c r="N2359" t="str">
        <f>TRIM(PROPER(Tabla_auditoría[[#This Row],[ID_Campaña]]))</f>
        <v>Cmp-030</v>
      </c>
      <c r="O2359" t="str">
        <f>TRIM(PROPER(Tabla_auditoría[[#This Row],[Canal]]))</f>
        <v>Display</v>
      </c>
      <c r="P2359" t="str">
        <f>TRIM(PROPER(Tabla_auditoría[[#This Row],[País]]))</f>
        <v>España</v>
      </c>
      <c r="Q2359" t="str">
        <f>TRIM(PROPER(Tabla_auditoría[[#This Row],[Dispositivo]]))</f>
        <v>Desktop</v>
      </c>
      <c r="R2359" t="str">
        <f>TRIM(PROPER(Tabla_auditoría[[#This Row],[Tipo_Campaña]]))</f>
        <v>Retención</v>
      </c>
      <c r="S2359" t="str">
        <f>TRIM(PROPER(Tabla_auditoría[[#This Row],[Responsable]]))</f>
        <v>Marta López</v>
      </c>
    </row>
    <row r="2360" spans="1:19" x14ac:dyDescent="0.3">
      <c r="A2360" s="1">
        <v>45886</v>
      </c>
      <c r="B2360" s="2" t="s">
        <v>2571</v>
      </c>
      <c r="C2360" s="2" t="s">
        <v>2521</v>
      </c>
      <c r="D2360" s="2" t="s">
        <v>2528</v>
      </c>
      <c r="E2360" s="2" t="s">
        <v>2517</v>
      </c>
      <c r="F2360" s="3">
        <v>161748</v>
      </c>
      <c r="G2360" s="3">
        <v>5871</v>
      </c>
      <c r="H2360" s="3">
        <v>92</v>
      </c>
      <c r="I2360" s="4">
        <v>4496.58</v>
      </c>
      <c r="J2360" s="4">
        <v>3235.92</v>
      </c>
      <c r="K2360" s="3">
        <v>50</v>
      </c>
      <c r="L2360" s="2" t="s">
        <v>2539</v>
      </c>
      <c r="M2360" s="2" t="s">
        <v>2524</v>
      </c>
      <c r="N2360" t="str">
        <f>TRIM(PROPER(Tabla_auditoría[[#This Row],[ID_Campaña]]))</f>
        <v>Cmp-029</v>
      </c>
      <c r="O2360" t="str">
        <f>TRIM(PROPER(Tabla_auditoría[[#This Row],[Canal]]))</f>
        <v>Paid Search</v>
      </c>
      <c r="P2360" t="str">
        <f>TRIM(PROPER(Tabla_auditoría[[#This Row],[País]]))</f>
        <v>España</v>
      </c>
      <c r="Q2360" t="str">
        <f>TRIM(PROPER(Tabla_auditoría[[#This Row],[Dispositivo]]))</f>
        <v>Desktop</v>
      </c>
      <c r="R2360" t="str">
        <f>TRIM(PROPER(Tabla_auditoría[[#This Row],[Tipo_Campaña]]))</f>
        <v>Conversión</v>
      </c>
      <c r="S2360" t="str">
        <f>TRIM(PROPER(Tabla_auditoría[[#This Row],[Responsable]]))</f>
        <v>Luis Martín</v>
      </c>
    </row>
    <row r="2361" spans="1:19" x14ac:dyDescent="0.3">
      <c r="A2361" s="1">
        <v>45663</v>
      </c>
      <c r="B2361" s="2" t="s">
        <v>2571</v>
      </c>
      <c r="C2361" s="2" t="s">
        <v>2527</v>
      </c>
      <c r="D2361" s="2" t="s">
        <v>2525</v>
      </c>
      <c r="E2361" s="2" t="s">
        <v>2517</v>
      </c>
      <c r="F2361" s="3">
        <v>71430</v>
      </c>
      <c r="G2361" s="3">
        <v>4937</v>
      </c>
      <c r="H2361" s="3">
        <v>230</v>
      </c>
      <c r="I2361" s="4">
        <v>1272.3699999999999</v>
      </c>
      <c r="J2361" s="4">
        <v>40774.699999999997</v>
      </c>
      <c r="K2361" s="3">
        <v>155</v>
      </c>
      <c r="L2361" s="2" t="s">
        <v>2518</v>
      </c>
      <c r="M2361" s="2" t="s">
        <v>2537</v>
      </c>
      <c r="N2361" t="str">
        <f>TRIM(PROPER(Tabla_auditoría[[#This Row],[ID_Campaña]]))</f>
        <v>Cmp-029</v>
      </c>
      <c r="O2361" t="str">
        <f>TRIM(PROPER(Tabla_auditoría[[#This Row],[Canal]]))</f>
        <v>Affiliate</v>
      </c>
      <c r="P2361" t="str">
        <f>TRIM(PROPER(Tabla_auditoría[[#This Row],[País]]))</f>
        <v>Francia</v>
      </c>
      <c r="Q2361" t="str">
        <f>TRIM(PROPER(Tabla_auditoría[[#This Row],[Dispositivo]]))</f>
        <v>Desktop</v>
      </c>
      <c r="R2361" t="str">
        <f>TRIM(PROPER(Tabla_auditoría[[#This Row],[Tipo_Campaña]]))</f>
        <v>Adquisición</v>
      </c>
      <c r="S2361" t="str">
        <f>TRIM(PROPER(Tabla_auditoría[[#This Row],[Responsable]]))</f>
        <v>Marta López</v>
      </c>
    </row>
    <row r="2362" spans="1:19" x14ac:dyDescent="0.3">
      <c r="A2362" s="1">
        <v>45971</v>
      </c>
      <c r="B2362" s="2" t="s">
        <v>2520</v>
      </c>
      <c r="C2362" s="2" t="s">
        <v>2521</v>
      </c>
      <c r="D2362" s="2" t="s">
        <v>2516</v>
      </c>
      <c r="E2362" s="2" t="s">
        <v>2529</v>
      </c>
      <c r="F2362" s="3">
        <v>141891</v>
      </c>
      <c r="G2362" s="3">
        <v>2062</v>
      </c>
      <c r="H2362" s="3">
        <v>90</v>
      </c>
      <c r="I2362" s="4">
        <v>3209.95</v>
      </c>
      <c r="J2362" s="4">
        <v>9905.64</v>
      </c>
      <c r="K2362" s="3">
        <v>46</v>
      </c>
      <c r="L2362" s="2" t="s">
        <v>2539</v>
      </c>
      <c r="M2362" s="2" t="s">
        <v>2537</v>
      </c>
      <c r="N2362" t="str">
        <f>TRIM(PROPER(Tabla_auditoría[[#This Row],[ID_Campaña]]))</f>
        <v>Cmp-009</v>
      </c>
      <c r="O2362" t="str">
        <f>TRIM(PROPER(Tabla_auditoría[[#This Row],[Canal]]))</f>
        <v>Paid Search</v>
      </c>
      <c r="P2362" t="str">
        <f>TRIM(PROPER(Tabla_auditoría[[#This Row],[País]]))</f>
        <v>México</v>
      </c>
      <c r="Q2362" t="str">
        <f>TRIM(PROPER(Tabla_auditoría[[#This Row],[Dispositivo]]))</f>
        <v>Mobile</v>
      </c>
      <c r="R2362" t="str">
        <f>TRIM(PROPER(Tabla_auditoría[[#This Row],[Tipo_Campaña]]))</f>
        <v>Conversión</v>
      </c>
      <c r="S2362" t="str">
        <f>TRIM(PROPER(Tabla_auditoría[[#This Row],[Responsable]]))</f>
        <v>Marta López</v>
      </c>
    </row>
    <row r="2363" spans="1:19" x14ac:dyDescent="0.3">
      <c r="A2363" s="1">
        <v>45691</v>
      </c>
      <c r="B2363" s="2" t="s">
        <v>2520</v>
      </c>
      <c r="C2363" s="2" t="s">
        <v>2533</v>
      </c>
      <c r="D2363" s="2" t="s">
        <v>2528</v>
      </c>
      <c r="E2363" s="2" t="s">
        <v>2517</v>
      </c>
      <c r="F2363" s="3">
        <v>169819</v>
      </c>
      <c r="G2363" s="3">
        <v>1558</v>
      </c>
      <c r="H2363" s="3">
        <v>212</v>
      </c>
      <c r="I2363" s="4">
        <v>172.06</v>
      </c>
      <c r="J2363" s="4">
        <v>45672.78</v>
      </c>
      <c r="K2363" s="3">
        <v>162</v>
      </c>
      <c r="L2363" s="2" t="s">
        <v>2539</v>
      </c>
      <c r="M2363" s="2" t="s">
        <v>2526</v>
      </c>
      <c r="N2363" t="str">
        <f>TRIM(PROPER(Tabla_auditoría[[#This Row],[ID_Campaña]]))</f>
        <v>Cmp-009</v>
      </c>
      <c r="O2363" t="str">
        <f>TRIM(PROPER(Tabla_auditoría[[#This Row],[Canal]]))</f>
        <v>Paid Social</v>
      </c>
      <c r="P2363" t="str">
        <f>TRIM(PROPER(Tabla_auditoría[[#This Row],[País]]))</f>
        <v>España</v>
      </c>
      <c r="Q2363" t="str">
        <f>TRIM(PROPER(Tabla_auditoría[[#This Row],[Dispositivo]]))</f>
        <v>Desktop</v>
      </c>
      <c r="R2363" t="str">
        <f>TRIM(PROPER(Tabla_auditoría[[#This Row],[Tipo_Campaña]]))</f>
        <v>Conversión</v>
      </c>
      <c r="S2363" t="str">
        <f>TRIM(PROPER(Tabla_auditoría[[#This Row],[Responsable]]))</f>
        <v>Laura Pérez</v>
      </c>
    </row>
    <row r="2364" spans="1:19" x14ac:dyDescent="0.3">
      <c r="A2364" s="1">
        <v>45780</v>
      </c>
      <c r="B2364" s="2" t="s">
        <v>2567</v>
      </c>
      <c r="C2364" s="2" t="s">
        <v>2541</v>
      </c>
      <c r="D2364" s="2" t="s">
        <v>2528</v>
      </c>
      <c r="E2364" s="2" t="s">
        <v>2529</v>
      </c>
      <c r="F2364" s="3">
        <v>9900</v>
      </c>
      <c r="G2364" s="3">
        <v>554</v>
      </c>
      <c r="H2364" s="3">
        <v>43</v>
      </c>
      <c r="I2364" s="4">
        <v>1053.56</v>
      </c>
      <c r="J2364" s="4">
        <v>2902.88</v>
      </c>
      <c r="K2364" s="3">
        <v>31</v>
      </c>
      <c r="L2364" s="2" t="s">
        <v>2518</v>
      </c>
      <c r="M2364" s="2" t="s">
        <v>2537</v>
      </c>
      <c r="N2364" t="str">
        <f>TRIM(PROPER(Tabla_auditoría[[#This Row],[ID_Campaña]]))</f>
        <v>Cmp-021</v>
      </c>
      <c r="O2364" t="str">
        <f>TRIM(PROPER(Tabla_auditoría[[#This Row],[Canal]]))</f>
        <v>Display</v>
      </c>
      <c r="P2364" t="str">
        <f>TRIM(PROPER(Tabla_auditoría[[#This Row],[País]]))</f>
        <v>España</v>
      </c>
      <c r="Q2364" t="str">
        <f>TRIM(PROPER(Tabla_auditoría[[#This Row],[Dispositivo]]))</f>
        <v>Mobile</v>
      </c>
      <c r="R2364" t="str">
        <f>TRIM(PROPER(Tabla_auditoría[[#This Row],[Tipo_Campaña]]))</f>
        <v>Adquisición</v>
      </c>
      <c r="S2364" t="str">
        <f>TRIM(PROPER(Tabla_auditoría[[#This Row],[Responsable]]))</f>
        <v>Marta López</v>
      </c>
    </row>
    <row r="2365" spans="1:19" x14ac:dyDescent="0.3">
      <c r="A2365" s="1">
        <v>45786</v>
      </c>
      <c r="B2365" s="2" t="s">
        <v>2554</v>
      </c>
      <c r="C2365" s="2" t="s">
        <v>2527</v>
      </c>
      <c r="D2365" s="2" t="s">
        <v>2525</v>
      </c>
      <c r="E2365" s="2" t="s">
        <v>2517</v>
      </c>
      <c r="F2365" s="3">
        <v>99791</v>
      </c>
      <c r="G2365" s="3">
        <v>7473</v>
      </c>
      <c r="H2365" s="3">
        <v>668</v>
      </c>
      <c r="I2365" s="4">
        <v>12860.38</v>
      </c>
      <c r="J2365" s="4">
        <v>102392.56</v>
      </c>
      <c r="K2365" s="3">
        <v>461</v>
      </c>
      <c r="L2365" s="2" t="s">
        <v>2518</v>
      </c>
      <c r="M2365" s="2" t="s">
        <v>2524</v>
      </c>
      <c r="N2365" t="str">
        <f>TRIM(PROPER(Tabla_auditoría[[#This Row],[ID_Campaña]]))</f>
        <v>Cmp-019</v>
      </c>
      <c r="O2365" t="str">
        <f>TRIM(PROPER(Tabla_auditoría[[#This Row],[Canal]]))</f>
        <v>Affiliate</v>
      </c>
      <c r="P2365" t="str">
        <f>TRIM(PROPER(Tabla_auditoría[[#This Row],[País]]))</f>
        <v>Francia</v>
      </c>
      <c r="Q2365" t="str">
        <f>TRIM(PROPER(Tabla_auditoría[[#This Row],[Dispositivo]]))</f>
        <v>Desktop</v>
      </c>
      <c r="R2365" t="str">
        <f>TRIM(PROPER(Tabla_auditoría[[#This Row],[Tipo_Campaña]]))</f>
        <v>Adquisición</v>
      </c>
      <c r="S2365" t="str">
        <f>TRIM(PROPER(Tabla_auditoría[[#This Row],[Responsable]]))</f>
        <v>Luis Martín</v>
      </c>
    </row>
    <row r="2366" spans="1:19" x14ac:dyDescent="0.3">
      <c r="A2366" s="1">
        <v>45838</v>
      </c>
      <c r="B2366" s="2" t="s">
        <v>2530</v>
      </c>
      <c r="C2366" s="2" t="s">
        <v>2541</v>
      </c>
      <c r="D2366" s="2" t="s">
        <v>2522</v>
      </c>
      <c r="E2366" s="2" t="s">
        <v>2517</v>
      </c>
      <c r="F2366" s="3">
        <v>89411</v>
      </c>
      <c r="G2366" s="3">
        <v>2201</v>
      </c>
      <c r="H2366" s="3">
        <v>132</v>
      </c>
      <c r="I2366" s="4">
        <v>2741.66</v>
      </c>
      <c r="J2366" s="4">
        <v>22767.919999999998</v>
      </c>
      <c r="K2366" s="3">
        <v>78</v>
      </c>
      <c r="L2366" s="2" t="s">
        <v>2539</v>
      </c>
      <c r="M2366" s="2" t="s">
        <v>2519</v>
      </c>
      <c r="N2366" t="str">
        <f>TRIM(PROPER(Tabla_auditoría[[#This Row],[ID_Campaña]]))</f>
        <v>Cmp-026</v>
      </c>
      <c r="O2366" t="str">
        <f>TRIM(PROPER(Tabla_auditoría[[#This Row],[Canal]]))</f>
        <v>Display</v>
      </c>
      <c r="P2366" t="str">
        <f>TRIM(PROPER(Tabla_auditoría[[#This Row],[País]]))</f>
        <v>Italia</v>
      </c>
      <c r="Q2366" t="str">
        <f>TRIM(PROPER(Tabla_auditoría[[#This Row],[Dispositivo]]))</f>
        <v>Desktop</v>
      </c>
      <c r="R2366" t="str">
        <f>TRIM(PROPER(Tabla_auditoría[[#This Row],[Tipo_Campaña]]))</f>
        <v>Conversión</v>
      </c>
      <c r="S2366" t="str">
        <f>TRIM(PROPER(Tabla_auditoría[[#This Row],[Responsable]]))</f>
        <v>Carlos Ruiz</v>
      </c>
    </row>
    <row r="2367" spans="1:19" x14ac:dyDescent="0.3">
      <c r="A2367" s="1">
        <v>45911</v>
      </c>
      <c r="B2367" s="2" t="s">
        <v>2566</v>
      </c>
      <c r="C2367" s="2" t="s">
        <v>2543</v>
      </c>
      <c r="D2367" s="2" t="s">
        <v>2525</v>
      </c>
      <c r="E2367" s="2" t="s">
        <v>2517</v>
      </c>
      <c r="F2367" s="3">
        <v>18264</v>
      </c>
      <c r="G2367" s="3">
        <v>1483</v>
      </c>
      <c r="H2367" s="3">
        <v>141</v>
      </c>
      <c r="I2367" s="4">
        <v>898.74</v>
      </c>
      <c r="J2367" s="4">
        <v>21639.16</v>
      </c>
      <c r="K2367" s="3">
        <v>76</v>
      </c>
      <c r="L2367" s="2" t="s">
        <v>2536</v>
      </c>
      <c r="M2367" s="2" t="s">
        <v>2537</v>
      </c>
      <c r="N2367" t="str">
        <f>TRIM(PROPER(Tabla_auditoría[[#This Row],[ID_Campaña]]))</f>
        <v>Cmp-001</v>
      </c>
      <c r="O2367" t="str">
        <f>TRIM(PROPER(Tabla_auditoría[[#This Row],[Canal]]))</f>
        <v>Organic Social</v>
      </c>
      <c r="P2367" t="str">
        <f>TRIM(PROPER(Tabla_auditoría[[#This Row],[País]]))</f>
        <v>Francia</v>
      </c>
      <c r="Q2367" t="str">
        <f>TRIM(PROPER(Tabla_auditoría[[#This Row],[Dispositivo]]))</f>
        <v>Desktop</v>
      </c>
      <c r="R2367" t="str">
        <f>TRIM(PROPER(Tabla_auditoría[[#This Row],[Tipo_Campaña]]))</f>
        <v>Reconocimiento</v>
      </c>
      <c r="S2367" t="str">
        <f>TRIM(PROPER(Tabla_auditoría[[#This Row],[Responsable]]))</f>
        <v>Marta López</v>
      </c>
    </row>
    <row r="2368" spans="1:19" x14ac:dyDescent="0.3">
      <c r="A2368" s="1">
        <v>45810</v>
      </c>
      <c r="B2368" s="2" t="s">
        <v>2514</v>
      </c>
      <c r="C2368" s="2" t="s">
        <v>2533</v>
      </c>
      <c r="D2368" s="2" t="s">
        <v>2528</v>
      </c>
      <c r="E2368" s="2" t="s">
        <v>2529</v>
      </c>
      <c r="F2368" s="3">
        <v>32729</v>
      </c>
      <c r="G2368" s="3">
        <v>1350</v>
      </c>
      <c r="H2368" s="3">
        <v>108</v>
      </c>
      <c r="I2368" s="4">
        <v>832.98</v>
      </c>
      <c r="J2368" s="4">
        <v>5264.86</v>
      </c>
      <c r="K2368" s="3">
        <v>77</v>
      </c>
      <c r="L2368" s="2" t="s">
        <v>2518</v>
      </c>
      <c r="M2368" s="2" t="s">
        <v>2537</v>
      </c>
      <c r="N2368" t="str">
        <f>TRIM(PROPER(Tabla_auditoría[[#This Row],[ID_Campaña]]))</f>
        <v>Cmp-002</v>
      </c>
      <c r="O2368" t="str">
        <f>TRIM(PROPER(Tabla_auditoría[[#This Row],[Canal]]))</f>
        <v>Paid Social</v>
      </c>
      <c r="P2368" t="str">
        <f>TRIM(PROPER(Tabla_auditoría[[#This Row],[País]]))</f>
        <v>España</v>
      </c>
      <c r="Q2368" t="str">
        <f>TRIM(PROPER(Tabla_auditoría[[#This Row],[Dispositivo]]))</f>
        <v>Mobile</v>
      </c>
      <c r="R2368" t="str">
        <f>TRIM(PROPER(Tabla_auditoría[[#This Row],[Tipo_Campaña]]))</f>
        <v>Adquisición</v>
      </c>
      <c r="S2368" t="str">
        <f>TRIM(PROPER(Tabla_auditoría[[#This Row],[Responsable]]))</f>
        <v>Marta López</v>
      </c>
    </row>
    <row r="2369" spans="1:19" x14ac:dyDescent="0.3">
      <c r="A2369" s="1">
        <v>45793</v>
      </c>
      <c r="B2369" s="2" t="s">
        <v>2564</v>
      </c>
      <c r="C2369" s="2" t="s">
        <v>2515</v>
      </c>
      <c r="D2369" s="2" t="s">
        <v>2525</v>
      </c>
      <c r="E2369" s="2" t="s">
        <v>2529</v>
      </c>
      <c r="F2369" s="3">
        <v>121895</v>
      </c>
      <c r="G2369" s="3">
        <v>2708</v>
      </c>
      <c r="H2369" s="3">
        <v>171</v>
      </c>
      <c r="I2369" s="4">
        <v>1730.93</v>
      </c>
      <c r="J2369" s="4">
        <v>3287.82</v>
      </c>
      <c r="K2369" s="3">
        <v>146</v>
      </c>
      <c r="L2369" s="2" t="s">
        <v>2518</v>
      </c>
      <c r="M2369" s="2" t="s">
        <v>2519</v>
      </c>
      <c r="N2369" t="str">
        <f>TRIM(PROPER(Tabla_auditoría[[#This Row],[ID_Campaña]]))</f>
        <v>Cmp-024</v>
      </c>
      <c r="O2369" t="str">
        <f>TRIM(PROPER(Tabla_auditoría[[#This Row],[Canal]]))</f>
        <v>Email</v>
      </c>
      <c r="P2369" t="str">
        <f>TRIM(PROPER(Tabla_auditoría[[#This Row],[País]]))</f>
        <v>Francia</v>
      </c>
      <c r="Q2369" t="str">
        <f>TRIM(PROPER(Tabla_auditoría[[#This Row],[Dispositivo]]))</f>
        <v>Mobile</v>
      </c>
      <c r="R2369" t="str">
        <f>TRIM(PROPER(Tabla_auditoría[[#This Row],[Tipo_Campaña]]))</f>
        <v>Adquisición</v>
      </c>
      <c r="S2369" t="str">
        <f>TRIM(PROPER(Tabla_auditoría[[#This Row],[Responsable]]))</f>
        <v>Carlos Ruiz</v>
      </c>
    </row>
    <row r="2370" spans="1:19" x14ac:dyDescent="0.3">
      <c r="A2370" s="1">
        <v>45701</v>
      </c>
      <c r="B2370" s="2" t="s">
        <v>2551</v>
      </c>
      <c r="C2370" s="2" t="s">
        <v>2515</v>
      </c>
      <c r="D2370" s="2" t="s">
        <v>2525</v>
      </c>
      <c r="E2370" s="2" t="s">
        <v>2517</v>
      </c>
      <c r="F2370" s="3">
        <v>143428</v>
      </c>
      <c r="G2370" s="3">
        <v>6278</v>
      </c>
      <c r="H2370" s="3">
        <v>755</v>
      </c>
      <c r="I2370" s="4">
        <v>7351.32</v>
      </c>
      <c r="J2370" s="4">
        <v>55166.55</v>
      </c>
      <c r="K2370" s="3">
        <v>547</v>
      </c>
      <c r="L2370" s="2" t="s">
        <v>2539</v>
      </c>
      <c r="M2370" s="2" t="s">
        <v>2526</v>
      </c>
      <c r="N2370" t="str">
        <f>TRIM(PROPER(Tabla_auditoría[[#This Row],[ID_Campaña]]))</f>
        <v>Cmp-028</v>
      </c>
      <c r="O2370" t="str">
        <f>TRIM(PROPER(Tabla_auditoría[[#This Row],[Canal]]))</f>
        <v>Email</v>
      </c>
      <c r="P2370" t="str">
        <f>TRIM(PROPER(Tabla_auditoría[[#This Row],[País]]))</f>
        <v>Francia</v>
      </c>
      <c r="Q2370" t="str">
        <f>TRIM(PROPER(Tabla_auditoría[[#This Row],[Dispositivo]]))</f>
        <v>Desktop</v>
      </c>
      <c r="R2370" t="str">
        <f>TRIM(PROPER(Tabla_auditoría[[#This Row],[Tipo_Campaña]]))</f>
        <v>Conversión</v>
      </c>
      <c r="S2370" t="str">
        <f>TRIM(PROPER(Tabla_auditoría[[#This Row],[Responsable]]))</f>
        <v>Laura Pérez</v>
      </c>
    </row>
    <row r="2371" spans="1:19" x14ac:dyDescent="0.3">
      <c r="A2371" s="1">
        <v>45756</v>
      </c>
      <c r="B2371" s="2" t="s">
        <v>2550</v>
      </c>
      <c r="C2371" s="2" t="s">
        <v>2543</v>
      </c>
      <c r="D2371" s="2" t="s">
        <v>2528</v>
      </c>
      <c r="E2371" s="2" t="s">
        <v>2517</v>
      </c>
      <c r="F2371" s="3">
        <v>41745</v>
      </c>
      <c r="G2371" s="3">
        <v>3341</v>
      </c>
      <c r="H2371" s="3">
        <v>275</v>
      </c>
      <c r="I2371" s="4">
        <v>-5522.74</v>
      </c>
      <c r="J2371" s="4">
        <v>39074.339999999997</v>
      </c>
      <c r="K2371" s="3">
        <v>189</v>
      </c>
      <c r="L2371" s="2" t="s">
        <v>2536</v>
      </c>
      <c r="M2371" s="2" t="s">
        <v>2546</v>
      </c>
      <c r="N2371" t="str">
        <f>TRIM(PROPER(Tabla_auditoría[[#This Row],[ID_Campaña]]))</f>
        <v>Cmp-008</v>
      </c>
      <c r="O2371" t="str">
        <f>TRIM(PROPER(Tabla_auditoría[[#This Row],[Canal]]))</f>
        <v>Organic Social</v>
      </c>
      <c r="P2371" t="str">
        <f>TRIM(PROPER(Tabla_auditoría[[#This Row],[País]]))</f>
        <v>España</v>
      </c>
      <c r="Q2371" t="str">
        <f>TRIM(PROPER(Tabla_auditoría[[#This Row],[Dispositivo]]))</f>
        <v>Desktop</v>
      </c>
      <c r="R2371" t="str">
        <f>TRIM(PROPER(Tabla_auditoría[[#This Row],[Tipo_Campaña]]))</f>
        <v>Reconocimiento</v>
      </c>
      <c r="S2371" t="str">
        <f>TRIM(PROPER(Tabla_auditoría[[#This Row],[Responsable]]))</f>
        <v>Ana García</v>
      </c>
    </row>
    <row r="2372" spans="1:19" x14ac:dyDescent="0.3">
      <c r="A2372" s="1">
        <v>45747</v>
      </c>
      <c r="B2372" s="2" t="s">
        <v>2582</v>
      </c>
      <c r="C2372" s="2" t="s">
        <v>2527</v>
      </c>
      <c r="D2372" s="2" t="s">
        <v>2528</v>
      </c>
      <c r="E2372" s="2" t="s">
        <v>2529</v>
      </c>
      <c r="F2372" s="3">
        <v>136562</v>
      </c>
      <c r="G2372" s="3">
        <v>9297</v>
      </c>
      <c r="H2372" s="3">
        <v>1193</v>
      </c>
      <c r="I2372" s="4">
        <v>19216.13</v>
      </c>
      <c r="J2372" s="4">
        <v>137187.45000000001</v>
      </c>
      <c r="K2372" s="3">
        <v>873</v>
      </c>
      <c r="L2372" s="2" t="s">
        <v>2518</v>
      </c>
      <c r="M2372" s="2" t="s">
        <v>2537</v>
      </c>
      <c r="N2372" t="str">
        <f>TRIM(PROPER(Tabla_auditoría[[#This Row],[ID_Campaña]]))</f>
        <v>Cmp-028</v>
      </c>
      <c r="O2372" t="str">
        <f>TRIM(PROPER(Tabla_auditoría[[#This Row],[Canal]]))</f>
        <v>Affiliate</v>
      </c>
      <c r="P2372" t="str">
        <f>TRIM(PROPER(Tabla_auditoría[[#This Row],[País]]))</f>
        <v>España</v>
      </c>
      <c r="Q2372" t="str">
        <f>TRIM(PROPER(Tabla_auditoría[[#This Row],[Dispositivo]]))</f>
        <v>Mobile</v>
      </c>
      <c r="R2372" t="str">
        <f>TRIM(PROPER(Tabla_auditoría[[#This Row],[Tipo_Campaña]]))</f>
        <v>Adquisición</v>
      </c>
      <c r="S2372" t="str">
        <f>TRIM(PROPER(Tabla_auditoría[[#This Row],[Responsable]]))</f>
        <v>Marta López</v>
      </c>
    </row>
    <row r="2373" spans="1:19" x14ac:dyDescent="0.3">
      <c r="A2373" s="1">
        <v>45792</v>
      </c>
      <c r="B2373" s="2" t="s">
        <v>2563</v>
      </c>
      <c r="C2373" s="2" t="s">
        <v>2521</v>
      </c>
      <c r="D2373" s="2" t="s">
        <v>2528</v>
      </c>
      <c r="E2373" s="2" t="s">
        <v>2517</v>
      </c>
      <c r="F2373" s="3">
        <v>89257</v>
      </c>
      <c r="G2373" s="3">
        <v>7908</v>
      </c>
      <c r="H2373" s="3">
        <v>476</v>
      </c>
      <c r="I2373" s="4">
        <v>15709.46</v>
      </c>
      <c r="J2373" s="4">
        <v>42247.03</v>
      </c>
      <c r="K2373" s="3">
        <v>244</v>
      </c>
      <c r="L2373" s="2" t="s">
        <v>2536</v>
      </c>
      <c r="M2373" s="2" t="s">
        <v>2537</v>
      </c>
      <c r="N2373" t="str">
        <f>TRIM(PROPER(Tabla_auditoría[[#This Row],[ID_Campaña]]))</f>
        <v>Cmp-023</v>
      </c>
      <c r="O2373" t="str">
        <f>TRIM(PROPER(Tabla_auditoría[[#This Row],[Canal]]))</f>
        <v>Paid Search</v>
      </c>
      <c r="P2373" t="str">
        <f>TRIM(PROPER(Tabla_auditoría[[#This Row],[País]]))</f>
        <v>España</v>
      </c>
      <c r="Q2373" t="str">
        <f>TRIM(PROPER(Tabla_auditoría[[#This Row],[Dispositivo]]))</f>
        <v>Desktop</v>
      </c>
      <c r="R2373" t="str">
        <f>TRIM(PROPER(Tabla_auditoría[[#This Row],[Tipo_Campaña]]))</f>
        <v>Reconocimiento</v>
      </c>
      <c r="S2373" t="str">
        <f>TRIM(PROPER(Tabla_auditoría[[#This Row],[Responsable]]))</f>
        <v>Marta López</v>
      </c>
    </row>
    <row r="2374" spans="1:19" x14ac:dyDescent="0.3">
      <c r="A2374" s="1">
        <v>45935</v>
      </c>
      <c r="B2374" s="2" t="s">
        <v>2551</v>
      </c>
      <c r="C2374" s="2" t="s">
        <v>2533</v>
      </c>
      <c r="D2374" s="2" t="s">
        <v>2522</v>
      </c>
      <c r="E2374" s="2" t="s">
        <v>2529</v>
      </c>
      <c r="F2374" s="3">
        <v>69456</v>
      </c>
      <c r="G2374" s="3">
        <v>4917</v>
      </c>
      <c r="H2374" s="3">
        <v>115</v>
      </c>
      <c r="I2374" s="4">
        <v>8541.98</v>
      </c>
      <c r="J2374" s="4">
        <v>3257.25</v>
      </c>
      <c r="K2374" s="3">
        <v>95</v>
      </c>
      <c r="L2374" s="2" t="s">
        <v>2539</v>
      </c>
      <c r="M2374" s="2" t="s">
        <v>2526</v>
      </c>
      <c r="N2374" t="str">
        <f>TRIM(PROPER(Tabla_auditoría[[#This Row],[ID_Campaña]]))</f>
        <v>Cmp-028</v>
      </c>
      <c r="O2374" t="str">
        <f>TRIM(PROPER(Tabla_auditoría[[#This Row],[Canal]]))</f>
        <v>Paid Social</v>
      </c>
      <c r="P2374" t="str">
        <f>TRIM(PROPER(Tabla_auditoría[[#This Row],[País]]))</f>
        <v>Italia</v>
      </c>
      <c r="Q2374" t="str">
        <f>TRIM(PROPER(Tabla_auditoría[[#This Row],[Dispositivo]]))</f>
        <v>Mobile</v>
      </c>
      <c r="R2374" t="str">
        <f>TRIM(PROPER(Tabla_auditoría[[#This Row],[Tipo_Campaña]]))</f>
        <v>Conversión</v>
      </c>
      <c r="S2374" t="str">
        <f>TRIM(PROPER(Tabla_auditoría[[#This Row],[Responsable]]))</f>
        <v>Laura Pérez</v>
      </c>
    </row>
    <row r="2375" spans="1:19" x14ac:dyDescent="0.3">
      <c r="A2375" s="1">
        <v>45989</v>
      </c>
      <c r="B2375" s="2" t="s">
        <v>2560</v>
      </c>
      <c r="C2375" s="2" t="s">
        <v>2527</v>
      </c>
      <c r="D2375" s="2" t="s">
        <v>2516</v>
      </c>
      <c r="E2375" s="2" t="s">
        <v>2529</v>
      </c>
      <c r="F2375" s="3">
        <v>68278</v>
      </c>
      <c r="G2375" s="3">
        <v>5648</v>
      </c>
      <c r="H2375" s="3">
        <v>403</v>
      </c>
      <c r="I2375" s="4">
        <v>3169.34</v>
      </c>
      <c r="J2375" s="4">
        <v>19094.150000000001</v>
      </c>
      <c r="K2375" s="3">
        <v>189</v>
      </c>
      <c r="L2375" s="2" t="s">
        <v>2523</v>
      </c>
      <c r="M2375" s="2" t="s">
        <v>2526</v>
      </c>
      <c r="N2375" t="str">
        <f>TRIM(PROPER(Tabla_auditoría[[#This Row],[ID_Campaña]]))</f>
        <v>Cmp-027</v>
      </c>
      <c r="O2375" t="str">
        <f>TRIM(PROPER(Tabla_auditoría[[#This Row],[Canal]]))</f>
        <v>Affiliate</v>
      </c>
      <c r="P2375" t="str">
        <f>TRIM(PROPER(Tabla_auditoría[[#This Row],[País]]))</f>
        <v>México</v>
      </c>
      <c r="Q2375" t="str">
        <f>TRIM(PROPER(Tabla_auditoría[[#This Row],[Dispositivo]]))</f>
        <v>Mobile</v>
      </c>
      <c r="R2375" t="str">
        <f>TRIM(PROPER(Tabla_auditoría[[#This Row],[Tipo_Campaña]]))</f>
        <v>Retención</v>
      </c>
      <c r="S2375" t="str">
        <f>TRIM(PROPER(Tabla_auditoría[[#This Row],[Responsable]]))</f>
        <v>Laura Pérez</v>
      </c>
    </row>
    <row r="2376" spans="1:19" x14ac:dyDescent="0.3">
      <c r="A2376" s="1">
        <v>45921</v>
      </c>
      <c r="B2376" s="2" t="s">
        <v>2545</v>
      </c>
      <c r="C2376" s="2" t="s">
        <v>2541</v>
      </c>
      <c r="D2376" s="2" t="s">
        <v>2516</v>
      </c>
      <c r="E2376" s="2" t="s">
        <v>2534</v>
      </c>
      <c r="F2376" s="3">
        <v>45098</v>
      </c>
      <c r="G2376" s="3">
        <v>3058</v>
      </c>
      <c r="H2376" s="3">
        <v>327</v>
      </c>
      <c r="I2376" s="4">
        <v>2130.19</v>
      </c>
      <c r="J2376" s="4">
        <v>24926.12</v>
      </c>
      <c r="K2376" s="3">
        <v>203</v>
      </c>
      <c r="L2376" s="2" t="s">
        <v>2523</v>
      </c>
      <c r="M2376" s="2" t="s">
        <v>2519</v>
      </c>
      <c r="N2376" t="str">
        <f>TRIM(PROPER(Tabla_auditoría[[#This Row],[ID_Campaña]]))</f>
        <v>Cmp-011</v>
      </c>
      <c r="O2376" t="str">
        <f>TRIM(PROPER(Tabla_auditoría[[#This Row],[Canal]]))</f>
        <v>Display</v>
      </c>
      <c r="P2376" t="str">
        <f>TRIM(PROPER(Tabla_auditoría[[#This Row],[País]]))</f>
        <v>México</v>
      </c>
      <c r="Q2376" t="str">
        <f>TRIM(PROPER(Tabla_auditoría[[#This Row],[Dispositivo]]))</f>
        <v>Tablet</v>
      </c>
      <c r="R2376" t="str">
        <f>TRIM(PROPER(Tabla_auditoría[[#This Row],[Tipo_Campaña]]))</f>
        <v>Retención</v>
      </c>
      <c r="S2376" t="str">
        <f>TRIM(PROPER(Tabla_auditoría[[#This Row],[Responsable]]))</f>
        <v>Carlos Ruiz</v>
      </c>
    </row>
    <row r="2377" spans="1:19" x14ac:dyDescent="0.3">
      <c r="A2377" s="1">
        <v>45956</v>
      </c>
      <c r="B2377" s="2" t="s">
        <v>2532</v>
      </c>
      <c r="C2377" s="2" t="s">
        <v>2515</v>
      </c>
      <c r="D2377" s="2" t="s">
        <v>2528</v>
      </c>
      <c r="E2377" s="2" t="s">
        <v>2529</v>
      </c>
      <c r="F2377" s="3">
        <v>176353</v>
      </c>
      <c r="G2377" s="3">
        <v>9955</v>
      </c>
      <c r="H2377" s="3">
        <v>287</v>
      </c>
      <c r="I2377" s="4">
        <v>2015.95</v>
      </c>
      <c r="J2377" s="4">
        <v>30458.57</v>
      </c>
      <c r="K2377" s="3">
        <v>223</v>
      </c>
      <c r="L2377" s="2" t="s">
        <v>2518</v>
      </c>
      <c r="M2377" s="2" t="s">
        <v>2519</v>
      </c>
      <c r="N2377" t="str">
        <f>TRIM(PROPER(Tabla_auditoría[[#This Row],[ID_Campaña]]))</f>
        <v>Cmp-022</v>
      </c>
      <c r="O2377" t="str">
        <f>TRIM(PROPER(Tabla_auditoría[[#This Row],[Canal]]))</f>
        <v>Email</v>
      </c>
      <c r="P2377" t="str">
        <f>TRIM(PROPER(Tabla_auditoría[[#This Row],[País]]))</f>
        <v>España</v>
      </c>
      <c r="Q2377" t="str">
        <f>TRIM(PROPER(Tabla_auditoría[[#This Row],[Dispositivo]]))</f>
        <v>Mobile</v>
      </c>
      <c r="R2377" t="str">
        <f>TRIM(PROPER(Tabla_auditoría[[#This Row],[Tipo_Campaña]]))</f>
        <v>Adquisición</v>
      </c>
      <c r="S2377" t="str">
        <f>TRIM(PROPER(Tabla_auditoría[[#This Row],[Responsable]]))</f>
        <v>Carlos Ruiz</v>
      </c>
    </row>
    <row r="2378" spans="1:19" x14ac:dyDescent="0.3">
      <c r="A2378" s="1">
        <v>45764</v>
      </c>
      <c r="B2378" s="2" t="s">
        <v>2571</v>
      </c>
      <c r="C2378" s="2" t="s">
        <v>2527</v>
      </c>
      <c r="D2378" s="2" t="s">
        <v>2525</v>
      </c>
      <c r="E2378" s="2" t="s">
        <v>2517</v>
      </c>
      <c r="F2378" s="3">
        <v>85755</v>
      </c>
      <c r="G2378" s="3">
        <v>5618</v>
      </c>
      <c r="H2378" s="3">
        <v>288</v>
      </c>
      <c r="I2378" s="4">
        <v>1038</v>
      </c>
      <c r="J2378" s="4">
        <v>23494.37</v>
      </c>
      <c r="K2378" s="3">
        <v>236</v>
      </c>
      <c r="L2378" s="2" t="s">
        <v>2523</v>
      </c>
      <c r="M2378" s="2" t="s">
        <v>2524</v>
      </c>
      <c r="N2378" t="str">
        <f>TRIM(PROPER(Tabla_auditoría[[#This Row],[ID_Campaña]]))</f>
        <v>Cmp-029</v>
      </c>
      <c r="O2378" t="str">
        <f>TRIM(PROPER(Tabla_auditoría[[#This Row],[Canal]]))</f>
        <v>Affiliate</v>
      </c>
      <c r="P2378" t="str">
        <f>TRIM(PROPER(Tabla_auditoría[[#This Row],[País]]))</f>
        <v>Francia</v>
      </c>
      <c r="Q2378" t="str">
        <f>TRIM(PROPER(Tabla_auditoría[[#This Row],[Dispositivo]]))</f>
        <v>Desktop</v>
      </c>
      <c r="R2378" t="str">
        <f>TRIM(PROPER(Tabla_auditoría[[#This Row],[Tipo_Campaña]]))</f>
        <v>Retención</v>
      </c>
      <c r="S2378" t="str">
        <f>TRIM(PROPER(Tabla_auditoría[[#This Row],[Responsable]]))</f>
        <v>Luis Martín</v>
      </c>
    </row>
    <row r="2379" spans="1:19" x14ac:dyDescent="0.3">
      <c r="A2379" s="1">
        <v>45960</v>
      </c>
      <c r="B2379" s="2" t="s">
        <v>2552</v>
      </c>
      <c r="C2379" s="2" t="s">
        <v>2515</v>
      </c>
      <c r="D2379" s="2" t="s">
        <v>2528</v>
      </c>
      <c r="E2379" s="2" t="s">
        <v>2529</v>
      </c>
      <c r="F2379" s="3">
        <v>141037</v>
      </c>
      <c r="G2379" s="3">
        <v>853</v>
      </c>
      <c r="H2379" s="3">
        <v>62</v>
      </c>
      <c r="I2379" s="4">
        <v>806.95</v>
      </c>
      <c r="J2379" s="4">
        <v>11074.93</v>
      </c>
      <c r="K2379" s="3">
        <v>47</v>
      </c>
      <c r="L2379" s="2" t="s">
        <v>2518</v>
      </c>
      <c r="M2379" s="2" t="s">
        <v>2537</v>
      </c>
      <c r="N2379" t="str">
        <f>TRIM(PROPER(Tabla_auditoría[[#This Row],[ID_Campaña]]))</f>
        <v>Cmp-012</v>
      </c>
      <c r="O2379" t="str">
        <f>TRIM(PROPER(Tabla_auditoría[[#This Row],[Canal]]))</f>
        <v>Email</v>
      </c>
      <c r="P2379" t="str">
        <f>TRIM(PROPER(Tabla_auditoría[[#This Row],[País]]))</f>
        <v>España</v>
      </c>
      <c r="Q2379" t="str">
        <f>TRIM(PROPER(Tabla_auditoría[[#This Row],[Dispositivo]]))</f>
        <v>Mobile</v>
      </c>
      <c r="R2379" t="str">
        <f>TRIM(PROPER(Tabla_auditoría[[#This Row],[Tipo_Campaña]]))</f>
        <v>Adquisición</v>
      </c>
      <c r="S2379" t="str">
        <f>TRIM(PROPER(Tabla_auditoría[[#This Row],[Responsable]]))</f>
        <v>Marta López</v>
      </c>
    </row>
    <row r="2380" spans="1:19" x14ac:dyDescent="0.3">
      <c r="A2380" s="1">
        <v>45799</v>
      </c>
      <c r="B2380" s="2" t="s">
        <v>2532</v>
      </c>
      <c r="C2380" s="2" t="s">
        <v>2527</v>
      </c>
      <c r="D2380" s="2" t="s">
        <v>2516</v>
      </c>
      <c r="E2380" s="2" t="s">
        <v>2517</v>
      </c>
      <c r="F2380" s="3">
        <v>2032</v>
      </c>
      <c r="G2380" s="3">
        <v>43</v>
      </c>
      <c r="H2380" s="3">
        <v>2</v>
      </c>
      <c r="I2380" s="4">
        <v>7.74</v>
      </c>
      <c r="J2380" s="4">
        <v>330.35</v>
      </c>
      <c r="K2380" s="3">
        <v>1</v>
      </c>
      <c r="L2380" s="2" t="s">
        <v>2536</v>
      </c>
      <c r="M2380" s="2" t="s">
        <v>2519</v>
      </c>
      <c r="N2380" t="str">
        <f>TRIM(PROPER(Tabla_auditoría[[#This Row],[ID_Campaña]]))</f>
        <v>Cmp-022</v>
      </c>
      <c r="O2380" t="str">
        <f>TRIM(PROPER(Tabla_auditoría[[#This Row],[Canal]]))</f>
        <v>Affiliate</v>
      </c>
      <c r="P2380" t="str">
        <f>TRIM(PROPER(Tabla_auditoría[[#This Row],[País]]))</f>
        <v>México</v>
      </c>
      <c r="Q2380" t="str">
        <f>TRIM(PROPER(Tabla_auditoría[[#This Row],[Dispositivo]]))</f>
        <v>Desktop</v>
      </c>
      <c r="R2380" t="str">
        <f>TRIM(PROPER(Tabla_auditoría[[#This Row],[Tipo_Campaña]]))</f>
        <v>Reconocimiento</v>
      </c>
      <c r="S2380" t="str">
        <f>TRIM(PROPER(Tabla_auditoría[[#This Row],[Responsable]]))</f>
        <v>Carlos Ruiz</v>
      </c>
    </row>
    <row r="2381" spans="1:19" x14ac:dyDescent="0.3">
      <c r="A2381" s="1">
        <v>45724</v>
      </c>
      <c r="B2381" s="2" t="s">
        <v>2555</v>
      </c>
      <c r="C2381" s="2" t="s">
        <v>2543</v>
      </c>
      <c r="D2381" s="2" t="s">
        <v>2528</v>
      </c>
      <c r="E2381" s="2" t="s">
        <v>2517</v>
      </c>
      <c r="F2381" s="3">
        <v>53012</v>
      </c>
      <c r="G2381" s="3">
        <v>4490</v>
      </c>
      <c r="H2381" s="3">
        <v>344</v>
      </c>
      <c r="I2381" s="4">
        <v>6684.79</v>
      </c>
      <c r="J2381" s="4">
        <v>20668.189999999999</v>
      </c>
      <c r="K2381" s="3">
        <v>184</v>
      </c>
      <c r="L2381" s="2" t="s">
        <v>2523</v>
      </c>
      <c r="M2381" s="2" t="s">
        <v>2526</v>
      </c>
      <c r="N2381" t="str">
        <f>TRIM(PROPER(Tabla_auditoría[[#This Row],[ID_Campaña]]))</f>
        <v>Cmp-010</v>
      </c>
      <c r="O2381" t="str">
        <f>TRIM(PROPER(Tabla_auditoría[[#This Row],[Canal]]))</f>
        <v>Organic Social</v>
      </c>
      <c r="P2381" t="str">
        <f>TRIM(PROPER(Tabla_auditoría[[#This Row],[País]]))</f>
        <v>España</v>
      </c>
      <c r="Q2381" t="str">
        <f>TRIM(PROPER(Tabla_auditoría[[#This Row],[Dispositivo]]))</f>
        <v>Desktop</v>
      </c>
      <c r="R2381" t="str">
        <f>TRIM(PROPER(Tabla_auditoría[[#This Row],[Tipo_Campaña]]))</f>
        <v>Retención</v>
      </c>
      <c r="S2381" t="str">
        <f>TRIM(PROPER(Tabla_auditoría[[#This Row],[Responsable]]))</f>
        <v>Laura Pérez</v>
      </c>
    </row>
    <row r="2382" spans="1:19" x14ac:dyDescent="0.3">
      <c r="A2382" s="1">
        <v>45775</v>
      </c>
      <c r="B2382" s="2" t="s">
        <v>2564</v>
      </c>
      <c r="C2382" s="2" t="s">
        <v>2533</v>
      </c>
      <c r="D2382" s="2" t="s">
        <v>2528</v>
      </c>
      <c r="E2382" s="2" t="s">
        <v>2517</v>
      </c>
      <c r="F2382" s="3">
        <v>60620</v>
      </c>
      <c r="G2382" s="3">
        <v>4722</v>
      </c>
      <c r="H2382" s="3">
        <v>572</v>
      </c>
      <c r="I2382" s="4">
        <v>4575.6099999999997</v>
      </c>
      <c r="J2382" s="4">
        <v>57645.24</v>
      </c>
      <c r="K2382" s="3">
        <v>422</v>
      </c>
      <c r="L2382" s="2" t="s">
        <v>2523</v>
      </c>
      <c r="M2382" s="2" t="s">
        <v>2519</v>
      </c>
      <c r="N2382" t="str">
        <f>TRIM(PROPER(Tabla_auditoría[[#This Row],[ID_Campaña]]))</f>
        <v>Cmp-024</v>
      </c>
      <c r="O2382" t="str">
        <f>TRIM(PROPER(Tabla_auditoría[[#This Row],[Canal]]))</f>
        <v>Paid Social</v>
      </c>
      <c r="P2382" t="str">
        <f>TRIM(PROPER(Tabla_auditoría[[#This Row],[País]]))</f>
        <v>España</v>
      </c>
      <c r="Q2382" t="str">
        <f>TRIM(PROPER(Tabla_auditoría[[#This Row],[Dispositivo]]))</f>
        <v>Desktop</v>
      </c>
      <c r="R2382" t="str">
        <f>TRIM(PROPER(Tabla_auditoría[[#This Row],[Tipo_Campaña]]))</f>
        <v>Retención</v>
      </c>
      <c r="S2382" t="str">
        <f>TRIM(PROPER(Tabla_auditoría[[#This Row],[Responsable]]))</f>
        <v>Carlos Ruiz</v>
      </c>
    </row>
    <row r="2383" spans="1:19" x14ac:dyDescent="0.3">
      <c r="A2383" s="1">
        <v>45669</v>
      </c>
      <c r="B2383" s="2" t="s">
        <v>2551</v>
      </c>
      <c r="C2383" s="2" t="s">
        <v>2527</v>
      </c>
      <c r="D2383" s="2" t="s">
        <v>2528</v>
      </c>
      <c r="E2383" s="2" t="s">
        <v>2517</v>
      </c>
      <c r="F2383" s="3">
        <v>2728</v>
      </c>
      <c r="G2383" s="3">
        <v>242</v>
      </c>
      <c r="H2383" s="3">
        <v>12</v>
      </c>
      <c r="I2383" s="4">
        <v>301.33999999999997</v>
      </c>
      <c r="J2383" s="4">
        <v>2055.61</v>
      </c>
      <c r="K2383" s="3">
        <v>5</v>
      </c>
      <c r="L2383" s="2" t="s">
        <v>2536</v>
      </c>
      <c r="M2383" s="2" t="s">
        <v>2537</v>
      </c>
      <c r="N2383" t="str">
        <f>TRIM(PROPER(Tabla_auditoría[[#This Row],[ID_Campaña]]))</f>
        <v>Cmp-028</v>
      </c>
      <c r="O2383" t="str">
        <f>TRIM(PROPER(Tabla_auditoría[[#This Row],[Canal]]))</f>
        <v>Affiliate</v>
      </c>
      <c r="P2383" t="str">
        <f>TRIM(PROPER(Tabla_auditoría[[#This Row],[País]]))</f>
        <v>España</v>
      </c>
      <c r="Q2383" t="str">
        <f>TRIM(PROPER(Tabla_auditoría[[#This Row],[Dispositivo]]))</f>
        <v>Desktop</v>
      </c>
      <c r="R2383" t="str">
        <f>TRIM(PROPER(Tabla_auditoría[[#This Row],[Tipo_Campaña]]))</f>
        <v>Reconocimiento</v>
      </c>
      <c r="S2383" t="str">
        <f>TRIM(PROPER(Tabla_auditoría[[#This Row],[Responsable]]))</f>
        <v>Marta López</v>
      </c>
    </row>
    <row r="2384" spans="1:19" x14ac:dyDescent="0.3">
      <c r="A2384" s="1">
        <v>45785</v>
      </c>
      <c r="B2384" s="2" t="s">
        <v>2571</v>
      </c>
      <c r="C2384" s="2" t="s">
        <v>2543</v>
      </c>
      <c r="D2384" s="2" t="s">
        <v>2516</v>
      </c>
      <c r="E2384" s="2" t="s">
        <v>2529</v>
      </c>
      <c r="F2384" s="3">
        <v>31767</v>
      </c>
      <c r="G2384" s="3">
        <v>2205</v>
      </c>
      <c r="H2384" s="3">
        <v>214</v>
      </c>
      <c r="I2384" s="4">
        <v>1253.1199999999999</v>
      </c>
      <c r="J2384" s="4">
        <v>13436.87</v>
      </c>
      <c r="K2384" s="3">
        <v>136</v>
      </c>
      <c r="L2384" s="2" t="s">
        <v>2539</v>
      </c>
      <c r="M2384" s="2" t="s">
        <v>2519</v>
      </c>
      <c r="N2384" t="str">
        <f>TRIM(PROPER(Tabla_auditoría[[#This Row],[ID_Campaña]]))</f>
        <v>Cmp-029</v>
      </c>
      <c r="O2384" t="str">
        <f>TRIM(PROPER(Tabla_auditoría[[#This Row],[Canal]]))</f>
        <v>Organic Social</v>
      </c>
      <c r="P2384" t="str">
        <f>TRIM(PROPER(Tabla_auditoría[[#This Row],[País]]))</f>
        <v>México</v>
      </c>
      <c r="Q2384" t="str">
        <f>TRIM(PROPER(Tabla_auditoría[[#This Row],[Dispositivo]]))</f>
        <v>Mobile</v>
      </c>
      <c r="R2384" t="str">
        <f>TRIM(PROPER(Tabla_auditoría[[#This Row],[Tipo_Campaña]]))</f>
        <v>Conversión</v>
      </c>
      <c r="S2384" t="str">
        <f>TRIM(PROPER(Tabla_auditoría[[#This Row],[Responsable]]))</f>
        <v>Carlos Ruiz</v>
      </c>
    </row>
    <row r="2385" spans="1:19" x14ac:dyDescent="0.3">
      <c r="A2385" s="1">
        <v>45867</v>
      </c>
      <c r="B2385" s="2" t="s">
        <v>2567</v>
      </c>
      <c r="C2385" s="2" t="s">
        <v>2521</v>
      </c>
      <c r="D2385" s="2" t="s">
        <v>2522</v>
      </c>
      <c r="E2385" s="2" t="s">
        <v>2517</v>
      </c>
      <c r="F2385" s="3">
        <v>6567</v>
      </c>
      <c r="G2385" s="3">
        <v>382</v>
      </c>
      <c r="H2385" s="3">
        <v>19</v>
      </c>
      <c r="I2385" s="4">
        <v>463.66</v>
      </c>
      <c r="J2385" s="4">
        <v>2236.96</v>
      </c>
      <c r="K2385" s="3">
        <v>14</v>
      </c>
      <c r="L2385" s="2" t="s">
        <v>2539</v>
      </c>
      <c r="M2385" s="2" t="s">
        <v>2524</v>
      </c>
      <c r="N2385" t="str">
        <f>TRIM(PROPER(Tabla_auditoría[[#This Row],[ID_Campaña]]))</f>
        <v>Cmp-021</v>
      </c>
      <c r="O2385" t="str">
        <f>TRIM(PROPER(Tabla_auditoría[[#This Row],[Canal]]))</f>
        <v>Paid Search</v>
      </c>
      <c r="P2385" t="str">
        <f>TRIM(PROPER(Tabla_auditoría[[#This Row],[País]]))</f>
        <v>Italia</v>
      </c>
      <c r="Q2385" t="str">
        <f>TRIM(PROPER(Tabla_auditoría[[#This Row],[Dispositivo]]))</f>
        <v>Desktop</v>
      </c>
      <c r="R2385" t="str">
        <f>TRIM(PROPER(Tabla_auditoría[[#This Row],[Tipo_Campaña]]))</f>
        <v>Conversión</v>
      </c>
      <c r="S2385" t="str">
        <f>TRIM(PROPER(Tabla_auditoría[[#This Row],[Responsable]]))</f>
        <v>Luis Martín</v>
      </c>
    </row>
    <row r="2386" spans="1:19" x14ac:dyDescent="0.3">
      <c r="A2386" s="1">
        <v>45909</v>
      </c>
      <c r="B2386" s="2" t="s">
        <v>2574</v>
      </c>
      <c r="C2386" s="2" t="s">
        <v>2543</v>
      </c>
      <c r="D2386" s="2" t="s">
        <v>2516</v>
      </c>
      <c r="E2386" s="2" t="s">
        <v>2529</v>
      </c>
      <c r="F2386" s="3">
        <v>98741</v>
      </c>
      <c r="G2386" s="3">
        <v>1688</v>
      </c>
      <c r="H2386" s="3">
        <v>97</v>
      </c>
      <c r="I2386" s="4">
        <v>2762.13</v>
      </c>
      <c r="J2386" s="4">
        <v>9096.52</v>
      </c>
      <c r="K2386" s="3">
        <v>61</v>
      </c>
      <c r="L2386" s="2" t="s">
        <v>2539</v>
      </c>
      <c r="M2386" s="2" t="s">
        <v>2526</v>
      </c>
      <c r="N2386" t="str">
        <f>TRIM(PROPER(Tabla_auditoría[[#This Row],[ID_Campaña]]))</f>
        <v>Cmp-003</v>
      </c>
      <c r="O2386" t="str">
        <f>TRIM(PROPER(Tabla_auditoría[[#This Row],[Canal]]))</f>
        <v>Organic Social</v>
      </c>
      <c r="P2386" t="str">
        <f>TRIM(PROPER(Tabla_auditoría[[#This Row],[País]]))</f>
        <v>México</v>
      </c>
      <c r="Q2386" t="str">
        <f>TRIM(PROPER(Tabla_auditoría[[#This Row],[Dispositivo]]))</f>
        <v>Mobile</v>
      </c>
      <c r="R2386" t="str">
        <f>TRIM(PROPER(Tabla_auditoría[[#This Row],[Tipo_Campaña]]))</f>
        <v>Conversión</v>
      </c>
      <c r="S2386" t="str">
        <f>TRIM(PROPER(Tabla_auditoría[[#This Row],[Responsable]]))</f>
        <v>Laura Pérez</v>
      </c>
    </row>
    <row r="2387" spans="1:19" x14ac:dyDescent="0.3">
      <c r="A2387" s="1">
        <v>45810</v>
      </c>
      <c r="B2387" s="2" t="s">
        <v>2570</v>
      </c>
      <c r="C2387" s="2" t="s">
        <v>2543</v>
      </c>
      <c r="D2387" s="2" t="s">
        <v>2525</v>
      </c>
      <c r="E2387" s="2" t="s">
        <v>2529</v>
      </c>
      <c r="F2387" s="3">
        <v>15713</v>
      </c>
      <c r="G2387" s="3">
        <v>649</v>
      </c>
      <c r="H2387" s="3">
        <v>53</v>
      </c>
      <c r="I2387" s="4">
        <v>876.41</v>
      </c>
      <c r="J2387" s="4">
        <v>11505.02</v>
      </c>
      <c r="K2387" s="3">
        <v>38</v>
      </c>
      <c r="L2387" s="2" t="s">
        <v>2523</v>
      </c>
      <c r="M2387" s="2" t="s">
        <v>2519</v>
      </c>
      <c r="N2387" t="str">
        <f>TRIM(PROPER(Tabla_auditoría[[#This Row],[ID_Campaña]]))</f>
        <v>Cmp-016</v>
      </c>
      <c r="O2387" t="str">
        <f>TRIM(PROPER(Tabla_auditoría[[#This Row],[Canal]]))</f>
        <v>Organic Social</v>
      </c>
      <c r="P2387" t="str">
        <f>TRIM(PROPER(Tabla_auditoría[[#This Row],[País]]))</f>
        <v>Francia</v>
      </c>
      <c r="Q2387" t="str">
        <f>TRIM(PROPER(Tabla_auditoría[[#This Row],[Dispositivo]]))</f>
        <v>Mobile</v>
      </c>
      <c r="R2387" t="str">
        <f>TRIM(PROPER(Tabla_auditoría[[#This Row],[Tipo_Campaña]]))</f>
        <v>Retención</v>
      </c>
      <c r="S2387" t="str">
        <f>TRIM(PROPER(Tabla_auditoría[[#This Row],[Responsable]]))</f>
        <v>Carlos Ruiz</v>
      </c>
    </row>
    <row r="2388" spans="1:19" x14ac:dyDescent="0.3">
      <c r="A2388" s="1">
        <v>45982</v>
      </c>
      <c r="B2388" s="2" t="s">
        <v>2566</v>
      </c>
      <c r="C2388" s="2" t="s">
        <v>2515</v>
      </c>
      <c r="D2388" s="2" t="s">
        <v>2516</v>
      </c>
      <c r="E2388" s="2" t="s">
        <v>2517</v>
      </c>
      <c r="F2388" s="3">
        <v>70313</v>
      </c>
      <c r="G2388" s="3">
        <v>5007</v>
      </c>
      <c r="H2388" s="3">
        <v>429</v>
      </c>
      <c r="I2388" s="4">
        <v>1444.66</v>
      </c>
      <c r="J2388" s="4">
        <v>88353.03</v>
      </c>
      <c r="K2388" s="3">
        <v>357</v>
      </c>
      <c r="L2388" s="2" t="s">
        <v>2536</v>
      </c>
      <c r="M2388" s="2" t="s">
        <v>2526</v>
      </c>
      <c r="N2388" t="str">
        <f>TRIM(PROPER(Tabla_auditoría[[#This Row],[ID_Campaña]]))</f>
        <v>Cmp-001</v>
      </c>
      <c r="O2388" t="str">
        <f>TRIM(PROPER(Tabla_auditoría[[#This Row],[Canal]]))</f>
        <v>Email</v>
      </c>
      <c r="P2388" t="str">
        <f>TRIM(PROPER(Tabla_auditoría[[#This Row],[País]]))</f>
        <v>México</v>
      </c>
      <c r="Q2388" t="str">
        <f>TRIM(PROPER(Tabla_auditoría[[#This Row],[Dispositivo]]))</f>
        <v>Desktop</v>
      </c>
      <c r="R2388" t="str">
        <f>TRIM(PROPER(Tabla_auditoría[[#This Row],[Tipo_Campaña]]))</f>
        <v>Reconocimiento</v>
      </c>
      <c r="S2388" t="str">
        <f>TRIM(PROPER(Tabla_auditoría[[#This Row],[Responsable]]))</f>
        <v>Laura Pérez</v>
      </c>
    </row>
    <row r="2389" spans="1:19" x14ac:dyDescent="0.3">
      <c r="A2389" s="1">
        <v>45752</v>
      </c>
      <c r="B2389" s="2" t="s">
        <v>2550</v>
      </c>
      <c r="C2389" s="2" t="s">
        <v>2533</v>
      </c>
      <c r="D2389" s="2" t="s">
        <v>2525</v>
      </c>
      <c r="E2389" s="2" t="s">
        <v>2529</v>
      </c>
      <c r="F2389" s="3">
        <v>151482</v>
      </c>
      <c r="G2389" s="3">
        <v>5235</v>
      </c>
      <c r="H2389" s="3">
        <v>352</v>
      </c>
      <c r="I2389" s="4">
        <v>3035.14</v>
      </c>
      <c r="J2389" s="4">
        <v>77210.3</v>
      </c>
      <c r="K2389" s="3">
        <v>219</v>
      </c>
      <c r="L2389" s="2" t="s">
        <v>2539</v>
      </c>
      <c r="M2389" s="2" t="s">
        <v>2526</v>
      </c>
      <c r="N2389" t="str">
        <f>TRIM(PROPER(Tabla_auditoría[[#This Row],[ID_Campaña]]))</f>
        <v>Cmp-008</v>
      </c>
      <c r="O2389" t="str">
        <f>TRIM(PROPER(Tabla_auditoría[[#This Row],[Canal]]))</f>
        <v>Paid Social</v>
      </c>
      <c r="P2389" t="str">
        <f>TRIM(PROPER(Tabla_auditoría[[#This Row],[País]]))</f>
        <v>Francia</v>
      </c>
      <c r="Q2389" t="str">
        <f>TRIM(PROPER(Tabla_auditoría[[#This Row],[Dispositivo]]))</f>
        <v>Mobile</v>
      </c>
      <c r="R2389" t="str">
        <f>TRIM(PROPER(Tabla_auditoría[[#This Row],[Tipo_Campaña]]))</f>
        <v>Conversión</v>
      </c>
      <c r="S2389" t="str">
        <f>TRIM(PROPER(Tabla_auditoría[[#This Row],[Responsable]]))</f>
        <v>Laura Pérez</v>
      </c>
    </row>
    <row r="2390" spans="1:19" x14ac:dyDescent="0.3">
      <c r="A2390" s="1">
        <v>45695</v>
      </c>
      <c r="B2390" s="2" t="s">
        <v>2568</v>
      </c>
      <c r="C2390" s="2" t="s">
        <v>2527</v>
      </c>
      <c r="E2390" s="2" t="s">
        <v>2529</v>
      </c>
      <c r="F2390" s="3">
        <v>95666</v>
      </c>
      <c r="G2390" s="3">
        <v>4656</v>
      </c>
      <c r="H2390" s="3">
        <v>273</v>
      </c>
      <c r="I2390" s="4">
        <v>9347.14</v>
      </c>
      <c r="J2390" s="4">
        <v>37745.980000000003</v>
      </c>
      <c r="K2390" s="3">
        <v>229</v>
      </c>
      <c r="L2390" s="2" t="s">
        <v>2518</v>
      </c>
      <c r="M2390" s="2" t="s">
        <v>2519</v>
      </c>
      <c r="N2390" t="str">
        <f>TRIM(PROPER(Tabla_auditoría[[#This Row],[ID_Campaña]]))</f>
        <v>Cmp-020</v>
      </c>
      <c r="O2390" t="str">
        <f>TRIM(PROPER(Tabla_auditoría[[#This Row],[Canal]]))</f>
        <v>Affiliate</v>
      </c>
      <c r="P2390" t="str">
        <f>TRIM(PROPER(Tabla_auditoría[[#This Row],[País]]))</f>
        <v/>
      </c>
      <c r="Q2390" t="str">
        <f>TRIM(PROPER(Tabla_auditoría[[#This Row],[Dispositivo]]))</f>
        <v>Mobile</v>
      </c>
      <c r="R2390" t="str">
        <f>TRIM(PROPER(Tabla_auditoría[[#This Row],[Tipo_Campaña]]))</f>
        <v>Adquisición</v>
      </c>
      <c r="S2390" t="str">
        <f>TRIM(PROPER(Tabla_auditoría[[#This Row],[Responsable]]))</f>
        <v>Carlos Ruiz</v>
      </c>
    </row>
    <row r="2391" spans="1:19" x14ac:dyDescent="0.3">
      <c r="A2391" s="1">
        <v>45940</v>
      </c>
      <c r="B2391" s="2" t="s">
        <v>2550</v>
      </c>
      <c r="C2391" s="2" t="s">
        <v>2521</v>
      </c>
      <c r="D2391" s="2" t="s">
        <v>2516</v>
      </c>
      <c r="E2391" s="2" t="s">
        <v>2529</v>
      </c>
      <c r="F2391" s="3">
        <v>5444</v>
      </c>
      <c r="G2391" s="3">
        <v>131</v>
      </c>
      <c r="H2391" s="3">
        <v>142</v>
      </c>
      <c r="I2391" s="4">
        <v>23.76</v>
      </c>
      <c r="J2391" s="4">
        <v>370.94</v>
      </c>
      <c r="K2391" s="3">
        <v>6</v>
      </c>
      <c r="L2391" s="2" t="s">
        <v>2518</v>
      </c>
      <c r="M2391" s="2" t="s">
        <v>2546</v>
      </c>
      <c r="N2391" t="str">
        <f>TRIM(PROPER(Tabla_auditoría[[#This Row],[ID_Campaña]]))</f>
        <v>Cmp-008</v>
      </c>
      <c r="O2391" t="str">
        <f>TRIM(PROPER(Tabla_auditoría[[#This Row],[Canal]]))</f>
        <v>Paid Search</v>
      </c>
      <c r="P2391" t="str">
        <f>TRIM(PROPER(Tabla_auditoría[[#This Row],[País]]))</f>
        <v>México</v>
      </c>
      <c r="Q2391" t="str">
        <f>TRIM(PROPER(Tabla_auditoría[[#This Row],[Dispositivo]]))</f>
        <v>Mobile</v>
      </c>
      <c r="R2391" t="str">
        <f>TRIM(PROPER(Tabla_auditoría[[#This Row],[Tipo_Campaña]]))</f>
        <v>Adquisición</v>
      </c>
      <c r="S2391" t="str">
        <f>TRIM(PROPER(Tabla_auditoría[[#This Row],[Responsable]]))</f>
        <v>Ana García</v>
      </c>
    </row>
    <row r="2392" spans="1:19" x14ac:dyDescent="0.3">
      <c r="A2392" s="1">
        <v>45835</v>
      </c>
      <c r="B2392" s="2" t="s">
        <v>2545</v>
      </c>
      <c r="C2392" s="2" t="s">
        <v>2515</v>
      </c>
      <c r="D2392" s="2" t="s">
        <v>2522</v>
      </c>
      <c r="E2392" s="2" t="s">
        <v>2517</v>
      </c>
      <c r="F2392" s="3">
        <v>117311</v>
      </c>
      <c r="G2392" s="3">
        <v>9895</v>
      </c>
      <c r="H2392" s="3">
        <v>752</v>
      </c>
      <c r="I2392" s="4">
        <v>8161.27</v>
      </c>
      <c r="J2392" s="4">
        <v>34034.39</v>
      </c>
      <c r="K2392" s="3">
        <v>588</v>
      </c>
      <c r="L2392" s="2" t="s">
        <v>2536</v>
      </c>
      <c r="M2392" s="2" t="s">
        <v>2524</v>
      </c>
      <c r="N2392" t="str">
        <f>TRIM(PROPER(Tabla_auditoría[[#This Row],[ID_Campaña]]))</f>
        <v>Cmp-011</v>
      </c>
      <c r="O2392" t="str">
        <f>TRIM(PROPER(Tabla_auditoría[[#This Row],[Canal]]))</f>
        <v>Email</v>
      </c>
      <c r="P2392" t="str">
        <f>TRIM(PROPER(Tabla_auditoría[[#This Row],[País]]))</f>
        <v>Italia</v>
      </c>
      <c r="Q2392" t="str">
        <f>TRIM(PROPER(Tabla_auditoría[[#This Row],[Dispositivo]]))</f>
        <v>Desktop</v>
      </c>
      <c r="R2392" t="str">
        <f>TRIM(PROPER(Tabla_auditoría[[#This Row],[Tipo_Campaña]]))</f>
        <v>Reconocimiento</v>
      </c>
      <c r="S2392" t="str">
        <f>TRIM(PROPER(Tabla_auditoría[[#This Row],[Responsable]]))</f>
        <v>Luis Martín</v>
      </c>
    </row>
    <row r="2393" spans="1:19" x14ac:dyDescent="0.3">
      <c r="A2393" s="1">
        <v>45825</v>
      </c>
      <c r="B2393" s="2" t="s">
        <v>2574</v>
      </c>
      <c r="C2393" s="2" t="s">
        <v>2521</v>
      </c>
      <c r="D2393" s="2" t="s">
        <v>2531</v>
      </c>
      <c r="E2393" s="2" t="s">
        <v>2529</v>
      </c>
      <c r="F2393" s="3">
        <v>119287</v>
      </c>
      <c r="G2393" s="3">
        <v>8541</v>
      </c>
      <c r="H2393" s="3">
        <v>727</v>
      </c>
      <c r="I2393" s="4">
        <v>9208.41</v>
      </c>
      <c r="J2393" s="4">
        <v>74011.42</v>
      </c>
      <c r="K2393" s="3">
        <v>512</v>
      </c>
      <c r="L2393" s="2" t="s">
        <v>2518</v>
      </c>
      <c r="M2393" s="2" t="s">
        <v>2537</v>
      </c>
      <c r="N2393" t="str">
        <f>TRIM(PROPER(Tabla_auditoría[[#This Row],[ID_Campaña]]))</f>
        <v>Cmp-003</v>
      </c>
      <c r="O2393" t="str">
        <f>TRIM(PROPER(Tabla_auditoría[[#This Row],[Canal]]))</f>
        <v>Paid Search</v>
      </c>
      <c r="P2393" t="str">
        <f>TRIM(PROPER(Tabla_auditoría[[#This Row],[País]]))</f>
        <v>Portugal</v>
      </c>
      <c r="Q2393" t="str">
        <f>TRIM(PROPER(Tabla_auditoría[[#This Row],[Dispositivo]]))</f>
        <v>Mobile</v>
      </c>
      <c r="R2393" t="str">
        <f>TRIM(PROPER(Tabla_auditoría[[#This Row],[Tipo_Campaña]]))</f>
        <v>Adquisición</v>
      </c>
      <c r="S2393" t="str">
        <f>TRIM(PROPER(Tabla_auditoría[[#This Row],[Responsable]]))</f>
        <v>Marta López</v>
      </c>
    </row>
    <row r="2394" spans="1:19" x14ac:dyDescent="0.3">
      <c r="A2394" s="1">
        <v>45877</v>
      </c>
      <c r="B2394" s="2" t="s">
        <v>2550</v>
      </c>
      <c r="C2394" s="2" t="s">
        <v>2521</v>
      </c>
      <c r="D2394" s="2" t="s">
        <v>2531</v>
      </c>
      <c r="E2394" s="2" t="s">
        <v>2517</v>
      </c>
      <c r="F2394" s="3">
        <v>174479</v>
      </c>
      <c r="G2394" s="3">
        <v>14775</v>
      </c>
      <c r="H2394" s="3">
        <v>835</v>
      </c>
      <c r="I2394" s="4">
        <v>28644.77</v>
      </c>
      <c r="J2394" s="4">
        <v>152997.82</v>
      </c>
      <c r="K2394" s="3">
        <v>743</v>
      </c>
      <c r="L2394" s="2" t="s">
        <v>2539</v>
      </c>
      <c r="M2394" s="2" t="s">
        <v>2526</v>
      </c>
      <c r="N2394" t="str">
        <f>TRIM(PROPER(Tabla_auditoría[[#This Row],[ID_Campaña]]))</f>
        <v>Cmp-008</v>
      </c>
      <c r="O2394" t="str">
        <f>TRIM(PROPER(Tabla_auditoría[[#This Row],[Canal]]))</f>
        <v>Paid Search</v>
      </c>
      <c r="P2394" t="str">
        <f>TRIM(PROPER(Tabla_auditoría[[#This Row],[País]]))</f>
        <v>Portugal</v>
      </c>
      <c r="Q2394" t="str">
        <f>TRIM(PROPER(Tabla_auditoría[[#This Row],[Dispositivo]]))</f>
        <v>Desktop</v>
      </c>
      <c r="R2394" t="str">
        <f>TRIM(PROPER(Tabla_auditoría[[#This Row],[Tipo_Campaña]]))</f>
        <v>Conversión</v>
      </c>
      <c r="S2394" t="str">
        <f>TRIM(PROPER(Tabla_auditoría[[#This Row],[Responsable]]))</f>
        <v>Laura Pérez</v>
      </c>
    </row>
    <row r="2395" spans="1:19" x14ac:dyDescent="0.3">
      <c r="A2395" s="1">
        <v>45927</v>
      </c>
      <c r="B2395" s="2" t="s">
        <v>2547</v>
      </c>
      <c r="C2395" s="2" t="s">
        <v>2541</v>
      </c>
      <c r="D2395" s="2" t="s">
        <v>2528</v>
      </c>
      <c r="E2395" s="2" t="s">
        <v>2517</v>
      </c>
      <c r="F2395" s="3">
        <v>20115</v>
      </c>
      <c r="G2395" s="3">
        <v>476</v>
      </c>
      <c r="H2395" s="3">
        <v>49</v>
      </c>
      <c r="I2395" s="4">
        <v>942.08</v>
      </c>
      <c r="J2395" s="4">
        <v>4894.6099999999997</v>
      </c>
      <c r="K2395" s="3">
        <v>42</v>
      </c>
      <c r="L2395" s="2" t="s">
        <v>2539</v>
      </c>
      <c r="M2395" s="2" t="s">
        <v>2537</v>
      </c>
      <c r="N2395" t="str">
        <f>TRIM(PROPER(Tabla_auditoría[[#This Row],[ID_Campaña]]))</f>
        <v>Cmp-018</v>
      </c>
      <c r="O2395" t="str">
        <f>TRIM(PROPER(Tabla_auditoría[[#This Row],[Canal]]))</f>
        <v>Display</v>
      </c>
      <c r="P2395" t="str">
        <f>TRIM(PROPER(Tabla_auditoría[[#This Row],[País]]))</f>
        <v>España</v>
      </c>
      <c r="Q2395" t="str">
        <f>TRIM(PROPER(Tabla_auditoría[[#This Row],[Dispositivo]]))</f>
        <v>Desktop</v>
      </c>
      <c r="R2395" t="str">
        <f>TRIM(PROPER(Tabla_auditoría[[#This Row],[Tipo_Campaña]]))</f>
        <v>Conversión</v>
      </c>
      <c r="S2395" t="str">
        <f>TRIM(PROPER(Tabla_auditoría[[#This Row],[Responsable]]))</f>
        <v>Marta López</v>
      </c>
    </row>
    <row r="2396" spans="1:19" x14ac:dyDescent="0.3">
      <c r="A2396" s="1">
        <v>45746</v>
      </c>
      <c r="B2396" s="2" t="s">
        <v>2532</v>
      </c>
      <c r="C2396" s="2" t="s">
        <v>2521</v>
      </c>
      <c r="D2396" s="2" t="s">
        <v>2528</v>
      </c>
      <c r="E2396" s="2" t="s">
        <v>2529</v>
      </c>
      <c r="F2396" s="3">
        <v>68235</v>
      </c>
      <c r="G2396" s="3">
        <v>2010</v>
      </c>
      <c r="H2396" s="3">
        <v>12</v>
      </c>
      <c r="I2396" s="4">
        <v>1548.89</v>
      </c>
      <c r="J2396" s="4">
        <v>362.66</v>
      </c>
      <c r="K2396" s="3">
        <v>9</v>
      </c>
      <c r="L2396" s="2" t="s">
        <v>2536</v>
      </c>
      <c r="M2396" s="2" t="s">
        <v>2524</v>
      </c>
      <c r="N2396" t="str">
        <f>TRIM(PROPER(Tabla_auditoría[[#This Row],[ID_Campaña]]))</f>
        <v>Cmp-022</v>
      </c>
      <c r="O2396" t="str">
        <f>TRIM(PROPER(Tabla_auditoría[[#This Row],[Canal]]))</f>
        <v>Paid Search</v>
      </c>
      <c r="P2396" t="str">
        <f>TRIM(PROPER(Tabla_auditoría[[#This Row],[País]]))</f>
        <v>España</v>
      </c>
      <c r="Q2396" t="str">
        <f>TRIM(PROPER(Tabla_auditoría[[#This Row],[Dispositivo]]))</f>
        <v>Mobile</v>
      </c>
      <c r="R2396" t="str">
        <f>TRIM(PROPER(Tabla_auditoría[[#This Row],[Tipo_Campaña]]))</f>
        <v>Reconocimiento</v>
      </c>
      <c r="S2396" t="str">
        <f>TRIM(PROPER(Tabla_auditoría[[#This Row],[Responsable]]))</f>
        <v>Luis Martín</v>
      </c>
    </row>
    <row r="2397" spans="1:19" x14ac:dyDescent="0.3">
      <c r="A2397" s="1">
        <v>45987</v>
      </c>
      <c r="B2397" s="2" t="s">
        <v>2535</v>
      </c>
      <c r="C2397" s="2" t="s">
        <v>2527</v>
      </c>
      <c r="D2397" s="2" t="s">
        <v>2528</v>
      </c>
      <c r="E2397" s="2" t="s">
        <v>2517</v>
      </c>
      <c r="F2397" s="3">
        <v>77581</v>
      </c>
      <c r="G2397" s="3">
        <v>918</v>
      </c>
      <c r="H2397" s="3">
        <v>121</v>
      </c>
      <c r="I2397" s="4">
        <v>1503.96</v>
      </c>
      <c r="J2397" s="4">
        <v>5356.63</v>
      </c>
      <c r="K2397" s="3">
        <v>102</v>
      </c>
      <c r="L2397" s="2" t="s">
        <v>2518</v>
      </c>
      <c r="M2397" s="2" t="s">
        <v>2524</v>
      </c>
      <c r="N2397" t="str">
        <f>TRIM(PROPER(Tabla_auditoría[[#This Row],[ID_Campaña]]))</f>
        <v>Cmp-015</v>
      </c>
      <c r="O2397" t="str">
        <f>TRIM(PROPER(Tabla_auditoría[[#This Row],[Canal]]))</f>
        <v>Affiliate</v>
      </c>
      <c r="P2397" t="str">
        <f>TRIM(PROPER(Tabla_auditoría[[#This Row],[País]]))</f>
        <v>España</v>
      </c>
      <c r="Q2397" t="str">
        <f>TRIM(PROPER(Tabla_auditoría[[#This Row],[Dispositivo]]))</f>
        <v>Desktop</v>
      </c>
      <c r="R2397" t="str">
        <f>TRIM(PROPER(Tabla_auditoría[[#This Row],[Tipo_Campaña]]))</f>
        <v>Adquisición</v>
      </c>
      <c r="S2397" t="str">
        <f>TRIM(PROPER(Tabla_auditoría[[#This Row],[Responsable]]))</f>
        <v>Luis Martín</v>
      </c>
    </row>
    <row r="2398" spans="1:19" x14ac:dyDescent="0.3">
      <c r="A2398" s="1">
        <v>45940</v>
      </c>
      <c r="B2398" s="2" t="s">
        <v>2535</v>
      </c>
      <c r="C2398" s="2" t="s">
        <v>2533</v>
      </c>
      <c r="D2398" s="2" t="s">
        <v>2525</v>
      </c>
      <c r="E2398" s="2" t="s">
        <v>2529</v>
      </c>
      <c r="F2398" s="3">
        <v>127220</v>
      </c>
      <c r="G2398" s="3">
        <v>9240</v>
      </c>
      <c r="H2398" s="3">
        <v>400</v>
      </c>
      <c r="I2398" s="4">
        <v>1092.8499999999999</v>
      </c>
      <c r="J2398" s="4">
        <v>64907.24</v>
      </c>
      <c r="K2398" s="3">
        <v>276</v>
      </c>
      <c r="L2398" s="2" t="s">
        <v>2523</v>
      </c>
      <c r="M2398" s="2" t="s">
        <v>2526</v>
      </c>
      <c r="N2398" t="str">
        <f>TRIM(PROPER(Tabla_auditoría[[#This Row],[ID_Campaña]]))</f>
        <v>Cmp-015</v>
      </c>
      <c r="O2398" t="str">
        <f>TRIM(PROPER(Tabla_auditoría[[#This Row],[Canal]]))</f>
        <v>Paid Social</v>
      </c>
      <c r="P2398" t="str">
        <f>TRIM(PROPER(Tabla_auditoría[[#This Row],[País]]))</f>
        <v>Francia</v>
      </c>
      <c r="Q2398" t="str">
        <f>TRIM(PROPER(Tabla_auditoría[[#This Row],[Dispositivo]]))</f>
        <v>Mobile</v>
      </c>
      <c r="R2398" t="str">
        <f>TRIM(PROPER(Tabla_auditoría[[#This Row],[Tipo_Campaña]]))</f>
        <v>Retención</v>
      </c>
      <c r="S2398" t="str">
        <f>TRIM(PROPER(Tabla_auditoría[[#This Row],[Responsable]]))</f>
        <v>Laura Pérez</v>
      </c>
    </row>
    <row r="2399" spans="1:19" x14ac:dyDescent="0.3">
      <c r="A2399" s="1">
        <v>45991</v>
      </c>
      <c r="B2399" s="2" t="s">
        <v>2549</v>
      </c>
      <c r="C2399" s="2" t="s">
        <v>2521</v>
      </c>
      <c r="D2399" s="2" t="s">
        <v>2516</v>
      </c>
      <c r="E2399" s="2" t="s">
        <v>2517</v>
      </c>
      <c r="F2399" s="3">
        <v>96731</v>
      </c>
      <c r="G2399" s="3">
        <v>7280</v>
      </c>
      <c r="H2399" s="3">
        <v>261</v>
      </c>
      <c r="I2399" s="4">
        <v>2957.33</v>
      </c>
      <c r="J2399" s="4">
        <v>6192.78</v>
      </c>
      <c r="K2399" s="3">
        <v>211</v>
      </c>
      <c r="L2399" s="2" t="s">
        <v>2523</v>
      </c>
      <c r="M2399" s="2" t="s">
        <v>2537</v>
      </c>
      <c r="N2399" t="str">
        <f>TRIM(PROPER(Tabla_auditoría[[#This Row],[ID_Campaña]]))</f>
        <v>Cmp-007</v>
      </c>
      <c r="O2399" t="str">
        <f>TRIM(PROPER(Tabla_auditoría[[#This Row],[Canal]]))</f>
        <v>Paid Search</v>
      </c>
      <c r="P2399" t="str">
        <f>TRIM(PROPER(Tabla_auditoría[[#This Row],[País]]))</f>
        <v>México</v>
      </c>
      <c r="Q2399" t="str">
        <f>TRIM(PROPER(Tabla_auditoría[[#This Row],[Dispositivo]]))</f>
        <v>Desktop</v>
      </c>
      <c r="R2399" t="str">
        <f>TRIM(PROPER(Tabla_auditoría[[#This Row],[Tipo_Campaña]]))</f>
        <v>Retención</v>
      </c>
      <c r="S2399" t="str">
        <f>TRIM(PROPER(Tabla_auditoría[[#This Row],[Responsable]]))</f>
        <v>Marta López</v>
      </c>
    </row>
    <row r="2400" spans="1:19" x14ac:dyDescent="0.3">
      <c r="A2400" s="1">
        <v>45911</v>
      </c>
      <c r="B2400" s="2" t="s">
        <v>2557</v>
      </c>
      <c r="C2400" s="2" t="s">
        <v>2521</v>
      </c>
      <c r="D2400" s="2" t="s">
        <v>2528</v>
      </c>
      <c r="E2400" s="2" t="s">
        <v>2517</v>
      </c>
      <c r="F2400" s="3">
        <v>71189</v>
      </c>
      <c r="G2400" s="3">
        <v>2654</v>
      </c>
      <c r="H2400" s="3">
        <v>342</v>
      </c>
      <c r="I2400" s="4">
        <v>5071.8100000000004</v>
      </c>
      <c r="J2400" s="4">
        <v>70473.789999999994</v>
      </c>
      <c r="K2400" s="3">
        <v>175</v>
      </c>
      <c r="L2400" s="2" t="s">
        <v>2536</v>
      </c>
      <c r="M2400" s="2" t="s">
        <v>2524</v>
      </c>
      <c r="N2400" t="str">
        <f>TRIM(PROPER(Tabla_auditoría[[#This Row],[ID_Campaña]]))</f>
        <v>Cmp-030</v>
      </c>
      <c r="O2400" t="str">
        <f>TRIM(PROPER(Tabla_auditoría[[#This Row],[Canal]]))</f>
        <v>Paid Search</v>
      </c>
      <c r="P2400" t="str">
        <f>TRIM(PROPER(Tabla_auditoría[[#This Row],[País]]))</f>
        <v>España</v>
      </c>
      <c r="Q2400" t="str">
        <f>TRIM(PROPER(Tabla_auditoría[[#This Row],[Dispositivo]]))</f>
        <v>Desktop</v>
      </c>
      <c r="R2400" t="str">
        <f>TRIM(PROPER(Tabla_auditoría[[#This Row],[Tipo_Campaña]]))</f>
        <v>Reconocimiento</v>
      </c>
      <c r="S2400" t="str">
        <f>TRIM(PROPER(Tabla_auditoría[[#This Row],[Responsable]]))</f>
        <v>Luis Martín</v>
      </c>
    </row>
    <row r="2401" spans="1:19" x14ac:dyDescent="0.3">
      <c r="A2401" s="1">
        <v>45934</v>
      </c>
      <c r="B2401" s="2" t="s">
        <v>2514</v>
      </c>
      <c r="C2401" s="2" t="s">
        <v>2515</v>
      </c>
      <c r="D2401" s="2" t="s">
        <v>2516</v>
      </c>
      <c r="E2401" s="2" t="s">
        <v>2517</v>
      </c>
      <c r="F2401" s="3">
        <v>118195</v>
      </c>
      <c r="G2401" s="3">
        <v>1928</v>
      </c>
      <c r="H2401" s="3">
        <v>27</v>
      </c>
      <c r="I2401" s="4">
        <v>3626.58</v>
      </c>
      <c r="J2401" s="4">
        <v>5357.18</v>
      </c>
      <c r="K2401" s="3">
        <v>21</v>
      </c>
      <c r="L2401" s="2" t="s">
        <v>2536</v>
      </c>
      <c r="M2401" s="2" t="s">
        <v>2537</v>
      </c>
      <c r="N2401" t="str">
        <f>TRIM(PROPER(Tabla_auditoría[[#This Row],[ID_Campaña]]))</f>
        <v>Cmp-002</v>
      </c>
      <c r="O2401" t="str">
        <f>TRIM(PROPER(Tabla_auditoría[[#This Row],[Canal]]))</f>
        <v>Email</v>
      </c>
      <c r="P2401" t="str">
        <f>TRIM(PROPER(Tabla_auditoría[[#This Row],[País]]))</f>
        <v>México</v>
      </c>
      <c r="Q2401" t="str">
        <f>TRIM(PROPER(Tabla_auditoría[[#This Row],[Dispositivo]]))</f>
        <v>Desktop</v>
      </c>
      <c r="R2401" t="str">
        <f>TRIM(PROPER(Tabla_auditoría[[#This Row],[Tipo_Campaña]]))</f>
        <v>Reconocimiento</v>
      </c>
      <c r="S2401" t="str">
        <f>TRIM(PROPER(Tabla_auditoría[[#This Row],[Responsable]]))</f>
        <v>Marta López</v>
      </c>
    </row>
    <row r="2402" spans="1:19" x14ac:dyDescent="0.3">
      <c r="A2402" s="1">
        <v>45718</v>
      </c>
      <c r="B2402" s="2" t="s">
        <v>2570</v>
      </c>
      <c r="C2402" s="2" t="s">
        <v>2515</v>
      </c>
      <c r="D2402" s="2" t="s">
        <v>2516</v>
      </c>
      <c r="E2402" s="2" t="s">
        <v>2517</v>
      </c>
      <c r="F2402" s="3">
        <v>79984</v>
      </c>
      <c r="G2402" s="3">
        <v>989</v>
      </c>
      <c r="H2402" s="3">
        <v>61</v>
      </c>
      <c r="I2402" s="4">
        <v>716.74</v>
      </c>
      <c r="J2402" s="4">
        <v>9932.16</v>
      </c>
      <c r="K2402" s="3">
        <v>37</v>
      </c>
      <c r="L2402" s="2" t="s">
        <v>2523</v>
      </c>
      <c r="M2402" s="2" t="s">
        <v>2519</v>
      </c>
      <c r="N2402" t="str">
        <f>TRIM(PROPER(Tabla_auditoría[[#This Row],[ID_Campaña]]))</f>
        <v>Cmp-016</v>
      </c>
      <c r="O2402" t="str">
        <f>TRIM(PROPER(Tabla_auditoría[[#This Row],[Canal]]))</f>
        <v>Email</v>
      </c>
      <c r="P2402" t="str">
        <f>TRIM(PROPER(Tabla_auditoría[[#This Row],[País]]))</f>
        <v>México</v>
      </c>
      <c r="Q2402" t="str">
        <f>TRIM(PROPER(Tabla_auditoría[[#This Row],[Dispositivo]]))</f>
        <v>Desktop</v>
      </c>
      <c r="R2402" t="str">
        <f>TRIM(PROPER(Tabla_auditoría[[#This Row],[Tipo_Campaña]]))</f>
        <v>Retención</v>
      </c>
      <c r="S2402" t="str">
        <f>TRIM(PROPER(Tabla_auditoría[[#This Row],[Responsable]]))</f>
        <v>Carlos Ruiz</v>
      </c>
    </row>
    <row r="2403" spans="1:19" x14ac:dyDescent="0.3">
      <c r="A2403" s="1">
        <v>45963</v>
      </c>
      <c r="B2403" s="2" t="s">
        <v>2544</v>
      </c>
      <c r="C2403" s="2" t="s">
        <v>2521</v>
      </c>
      <c r="D2403" s="2" t="s">
        <v>2525</v>
      </c>
      <c r="E2403" s="2" t="s">
        <v>2517</v>
      </c>
      <c r="F2403" s="3">
        <v>52118</v>
      </c>
      <c r="G2403" s="3">
        <v>3992</v>
      </c>
      <c r="H2403" s="3">
        <v>501</v>
      </c>
      <c r="I2403" s="4">
        <v>4372.91</v>
      </c>
      <c r="J2403" s="4">
        <v>68998.720000000001</v>
      </c>
      <c r="K2403" s="3">
        <v>400</v>
      </c>
      <c r="L2403" s="2" t="s">
        <v>2536</v>
      </c>
      <c r="M2403" s="2" t="s">
        <v>2526</v>
      </c>
      <c r="N2403" t="str">
        <f>TRIM(PROPER(Tabla_auditoría[[#This Row],[ID_Campaña]]))</f>
        <v>Cmp-006</v>
      </c>
      <c r="O2403" t="str">
        <f>TRIM(PROPER(Tabla_auditoría[[#This Row],[Canal]]))</f>
        <v>Paid Search</v>
      </c>
      <c r="P2403" t="str">
        <f>TRIM(PROPER(Tabla_auditoría[[#This Row],[País]]))</f>
        <v>Francia</v>
      </c>
      <c r="Q2403" t="str">
        <f>TRIM(PROPER(Tabla_auditoría[[#This Row],[Dispositivo]]))</f>
        <v>Desktop</v>
      </c>
      <c r="R2403" t="str">
        <f>TRIM(PROPER(Tabla_auditoría[[#This Row],[Tipo_Campaña]]))</f>
        <v>Reconocimiento</v>
      </c>
      <c r="S2403" t="str">
        <f>TRIM(PROPER(Tabla_auditoría[[#This Row],[Responsable]]))</f>
        <v>Laura Pérez</v>
      </c>
    </row>
    <row r="2404" spans="1:19" x14ac:dyDescent="0.3">
      <c r="A2404" s="1">
        <v>45927</v>
      </c>
      <c r="B2404" s="2" t="s">
        <v>2567</v>
      </c>
      <c r="C2404" s="2" t="s">
        <v>2533</v>
      </c>
      <c r="D2404" s="2" t="s">
        <v>2516</v>
      </c>
      <c r="E2404" s="2" t="s">
        <v>2529</v>
      </c>
      <c r="F2404" s="3">
        <v>153671</v>
      </c>
      <c r="G2404" s="3">
        <v>7395</v>
      </c>
      <c r="H2404" s="3">
        <v>1020</v>
      </c>
      <c r="I2404" s="4">
        <v>13017.39</v>
      </c>
      <c r="J2404" s="4">
        <v>41588.89</v>
      </c>
      <c r="K2404" s="3">
        <v>783</v>
      </c>
      <c r="L2404" s="2" t="s">
        <v>2539</v>
      </c>
      <c r="M2404" s="2" t="s">
        <v>2526</v>
      </c>
      <c r="N2404" t="str">
        <f>TRIM(PROPER(Tabla_auditoría[[#This Row],[ID_Campaña]]))</f>
        <v>Cmp-021</v>
      </c>
      <c r="O2404" t="str">
        <f>TRIM(PROPER(Tabla_auditoría[[#This Row],[Canal]]))</f>
        <v>Paid Social</v>
      </c>
      <c r="P2404" t="str">
        <f>TRIM(PROPER(Tabla_auditoría[[#This Row],[País]]))</f>
        <v>México</v>
      </c>
      <c r="Q2404" t="str">
        <f>TRIM(PROPER(Tabla_auditoría[[#This Row],[Dispositivo]]))</f>
        <v>Mobile</v>
      </c>
      <c r="R2404" t="str">
        <f>TRIM(PROPER(Tabla_auditoría[[#This Row],[Tipo_Campaña]]))</f>
        <v>Conversión</v>
      </c>
      <c r="S2404" t="str">
        <f>TRIM(PROPER(Tabla_auditoría[[#This Row],[Responsable]]))</f>
        <v>Laura Pérez</v>
      </c>
    </row>
    <row r="2405" spans="1:19" x14ac:dyDescent="0.3">
      <c r="A2405" s="1">
        <v>45883</v>
      </c>
      <c r="B2405" s="2" t="s">
        <v>2570</v>
      </c>
      <c r="C2405" s="2" t="s">
        <v>2515</v>
      </c>
      <c r="D2405" s="2" t="s">
        <v>2528</v>
      </c>
      <c r="E2405" s="2" t="s">
        <v>2517</v>
      </c>
      <c r="F2405" s="3">
        <v>29530</v>
      </c>
      <c r="G2405" s="3">
        <v>278</v>
      </c>
      <c r="H2405" s="3">
        <v>6</v>
      </c>
      <c r="I2405" s="4">
        <v>33.97</v>
      </c>
      <c r="J2405" s="4">
        <v>1283.56</v>
      </c>
      <c r="K2405" s="3">
        <v>5</v>
      </c>
      <c r="L2405" s="2" t="s">
        <v>2518</v>
      </c>
      <c r="M2405" s="2" t="s">
        <v>2526</v>
      </c>
      <c r="N2405" t="str">
        <f>TRIM(PROPER(Tabla_auditoría[[#This Row],[ID_Campaña]]))</f>
        <v>Cmp-016</v>
      </c>
      <c r="O2405" t="str">
        <f>TRIM(PROPER(Tabla_auditoría[[#This Row],[Canal]]))</f>
        <v>Email</v>
      </c>
      <c r="P2405" t="str">
        <f>TRIM(PROPER(Tabla_auditoría[[#This Row],[País]]))</f>
        <v>España</v>
      </c>
      <c r="Q2405" t="str">
        <f>TRIM(PROPER(Tabla_auditoría[[#This Row],[Dispositivo]]))</f>
        <v>Desktop</v>
      </c>
      <c r="R2405" t="str">
        <f>TRIM(PROPER(Tabla_auditoría[[#This Row],[Tipo_Campaña]]))</f>
        <v>Adquisición</v>
      </c>
      <c r="S2405" t="str">
        <f>TRIM(PROPER(Tabla_auditoría[[#This Row],[Responsable]]))</f>
        <v>Laura Pérez</v>
      </c>
    </row>
    <row r="2406" spans="1:19" x14ac:dyDescent="0.3">
      <c r="A2406" s="1">
        <v>45891</v>
      </c>
      <c r="B2406" s="2" t="s">
        <v>2571</v>
      </c>
      <c r="C2406" s="2" t="s">
        <v>2533</v>
      </c>
      <c r="D2406" s="2" t="s">
        <v>2528</v>
      </c>
      <c r="E2406" s="2" t="s">
        <v>2529</v>
      </c>
      <c r="F2406" s="3">
        <v>72677</v>
      </c>
      <c r="G2406" s="3">
        <v>5047</v>
      </c>
      <c r="H2406" s="3">
        <v>118</v>
      </c>
      <c r="I2406" s="4">
        <v>5325.2</v>
      </c>
      <c r="J2406" s="4">
        <v>14030.83</v>
      </c>
      <c r="K2406" s="3">
        <v>72</v>
      </c>
      <c r="L2406" s="2" t="s">
        <v>2518</v>
      </c>
      <c r="M2406" s="2" t="s">
        <v>2524</v>
      </c>
      <c r="N2406" t="str">
        <f>TRIM(PROPER(Tabla_auditoría[[#This Row],[ID_Campaña]]))</f>
        <v>Cmp-029</v>
      </c>
      <c r="O2406" t="str">
        <f>TRIM(PROPER(Tabla_auditoría[[#This Row],[Canal]]))</f>
        <v>Paid Social</v>
      </c>
      <c r="P2406" t="str">
        <f>TRIM(PROPER(Tabla_auditoría[[#This Row],[País]]))</f>
        <v>España</v>
      </c>
      <c r="Q2406" t="str">
        <f>TRIM(PROPER(Tabla_auditoría[[#This Row],[Dispositivo]]))</f>
        <v>Mobile</v>
      </c>
      <c r="R2406" t="str">
        <f>TRIM(PROPER(Tabla_auditoría[[#This Row],[Tipo_Campaña]]))</f>
        <v>Adquisición</v>
      </c>
      <c r="S2406" t="str">
        <f>TRIM(PROPER(Tabla_auditoría[[#This Row],[Responsable]]))</f>
        <v>Luis Martín</v>
      </c>
    </row>
    <row r="2407" spans="1:19" x14ac:dyDescent="0.3">
      <c r="A2407" s="1">
        <v>45885</v>
      </c>
      <c r="B2407" s="2" t="s">
        <v>2574</v>
      </c>
      <c r="C2407" s="2" t="s">
        <v>2533</v>
      </c>
      <c r="D2407" s="2" t="s">
        <v>2531</v>
      </c>
      <c r="E2407" s="2" t="s">
        <v>2529</v>
      </c>
      <c r="F2407" s="3">
        <v>19451</v>
      </c>
      <c r="G2407" s="3">
        <v>1076</v>
      </c>
      <c r="H2407" s="3">
        <v>55</v>
      </c>
      <c r="I2407" s="4">
        <v>1782.7</v>
      </c>
      <c r="J2407" s="4">
        <v>10580.99</v>
      </c>
      <c r="K2407" s="3">
        <v>31</v>
      </c>
      <c r="L2407" s="2" t="s">
        <v>2518</v>
      </c>
      <c r="M2407" s="2" t="s">
        <v>2546</v>
      </c>
      <c r="N2407" t="str">
        <f>TRIM(PROPER(Tabla_auditoría[[#This Row],[ID_Campaña]]))</f>
        <v>Cmp-003</v>
      </c>
      <c r="O2407" t="str">
        <f>TRIM(PROPER(Tabla_auditoría[[#This Row],[Canal]]))</f>
        <v>Paid Social</v>
      </c>
      <c r="P2407" t="str">
        <f>TRIM(PROPER(Tabla_auditoría[[#This Row],[País]]))</f>
        <v>Portugal</v>
      </c>
      <c r="Q2407" t="str">
        <f>TRIM(PROPER(Tabla_auditoría[[#This Row],[Dispositivo]]))</f>
        <v>Mobile</v>
      </c>
      <c r="R2407" t="str">
        <f>TRIM(PROPER(Tabla_auditoría[[#This Row],[Tipo_Campaña]]))</f>
        <v>Adquisición</v>
      </c>
      <c r="S2407" t="str">
        <f>TRIM(PROPER(Tabla_auditoría[[#This Row],[Responsable]]))</f>
        <v>Ana García</v>
      </c>
    </row>
    <row r="2408" spans="1:19" x14ac:dyDescent="0.3">
      <c r="A2408" s="1">
        <v>45815</v>
      </c>
      <c r="B2408" s="2" t="s">
        <v>2550</v>
      </c>
      <c r="C2408" s="2" t="s">
        <v>2521</v>
      </c>
      <c r="D2408" s="2" t="s">
        <v>2580</v>
      </c>
      <c r="E2408" s="2" t="s">
        <v>2517</v>
      </c>
      <c r="F2408" s="3">
        <v>24633</v>
      </c>
      <c r="G2408" s="3">
        <v>786</v>
      </c>
      <c r="H2408" s="3">
        <v>32</v>
      </c>
      <c r="I2408" s="4">
        <v>300.83</v>
      </c>
      <c r="J2408" s="4">
        <v>5931.67</v>
      </c>
      <c r="K2408" s="3">
        <v>22</v>
      </c>
      <c r="L2408" s="2" t="s">
        <v>2518</v>
      </c>
      <c r="M2408" s="2" t="s">
        <v>2524</v>
      </c>
      <c r="N2408" t="str">
        <f>TRIM(PROPER(Tabla_auditoría[[#This Row],[ID_Campaña]]))</f>
        <v>Cmp-008</v>
      </c>
      <c r="O2408" t="str">
        <f>TRIM(PROPER(Tabla_auditoría[[#This Row],[Canal]]))</f>
        <v>Paid Search</v>
      </c>
      <c r="P2408" t="str">
        <f>TRIM(PROPER(Tabla_auditoría[[#This Row],[País]]))</f>
        <v>México</v>
      </c>
      <c r="Q2408" t="str">
        <f>TRIM(PROPER(Tabla_auditoría[[#This Row],[Dispositivo]]))</f>
        <v>Desktop</v>
      </c>
      <c r="R2408" t="str">
        <f>TRIM(PROPER(Tabla_auditoría[[#This Row],[Tipo_Campaña]]))</f>
        <v>Adquisición</v>
      </c>
      <c r="S2408" t="str">
        <f>TRIM(PROPER(Tabla_auditoría[[#This Row],[Responsable]]))</f>
        <v>Luis Martín</v>
      </c>
    </row>
    <row r="2409" spans="1:19" x14ac:dyDescent="0.3">
      <c r="A2409" s="1">
        <v>45989</v>
      </c>
      <c r="B2409" s="2" t="s">
        <v>2567</v>
      </c>
      <c r="C2409" s="2" t="s">
        <v>2515</v>
      </c>
      <c r="D2409" s="2" t="s">
        <v>2525</v>
      </c>
      <c r="E2409" s="2" t="s">
        <v>2529</v>
      </c>
      <c r="F2409" s="3">
        <v>92803</v>
      </c>
      <c r="G2409" s="3">
        <v>7973</v>
      </c>
      <c r="H2409" s="3">
        <v>131</v>
      </c>
      <c r="I2409" s="4">
        <v>12099.2</v>
      </c>
      <c r="J2409" s="4">
        <v>4560.53</v>
      </c>
      <c r="K2409" s="3">
        <v>105</v>
      </c>
      <c r="L2409" s="2" t="s">
        <v>2518</v>
      </c>
      <c r="M2409" s="2" t="s">
        <v>2546</v>
      </c>
      <c r="N2409" t="str">
        <f>TRIM(PROPER(Tabla_auditoría[[#This Row],[ID_Campaña]]))</f>
        <v>Cmp-021</v>
      </c>
      <c r="O2409" t="str">
        <f>TRIM(PROPER(Tabla_auditoría[[#This Row],[Canal]]))</f>
        <v>Email</v>
      </c>
      <c r="P2409" t="str">
        <f>TRIM(PROPER(Tabla_auditoría[[#This Row],[País]]))</f>
        <v>Francia</v>
      </c>
      <c r="Q2409" t="str">
        <f>TRIM(PROPER(Tabla_auditoría[[#This Row],[Dispositivo]]))</f>
        <v>Mobile</v>
      </c>
      <c r="R2409" t="str">
        <f>TRIM(PROPER(Tabla_auditoría[[#This Row],[Tipo_Campaña]]))</f>
        <v>Adquisición</v>
      </c>
      <c r="S2409" t="str">
        <f>TRIM(PROPER(Tabla_auditoría[[#This Row],[Responsable]]))</f>
        <v>Ana García</v>
      </c>
    </row>
    <row r="2410" spans="1:19" x14ac:dyDescent="0.3">
      <c r="A2410" s="1">
        <v>45869</v>
      </c>
      <c r="B2410" s="2" t="s">
        <v>2569</v>
      </c>
      <c r="C2410" s="2" t="s">
        <v>2515</v>
      </c>
      <c r="D2410" s="2" t="s">
        <v>2528</v>
      </c>
      <c r="E2410" s="2" t="s">
        <v>2534</v>
      </c>
      <c r="F2410" s="3">
        <v>19513</v>
      </c>
      <c r="G2410" s="3">
        <v>1215</v>
      </c>
      <c r="H2410" s="3">
        <v>62</v>
      </c>
      <c r="I2410" s="4">
        <v>1388.53</v>
      </c>
      <c r="J2410" s="4">
        <v>13062.47</v>
      </c>
      <c r="K2410" s="3">
        <v>29</v>
      </c>
      <c r="L2410" s="2" t="s">
        <v>2536</v>
      </c>
      <c r="M2410" s="2" t="s">
        <v>2519</v>
      </c>
      <c r="N2410" t="str">
        <f>TRIM(PROPER(Tabla_auditoría[[#This Row],[ID_Campaña]]))</f>
        <v>Cmp-013</v>
      </c>
      <c r="O2410" t="str">
        <f>TRIM(PROPER(Tabla_auditoría[[#This Row],[Canal]]))</f>
        <v>Email</v>
      </c>
      <c r="P2410" t="str">
        <f>TRIM(PROPER(Tabla_auditoría[[#This Row],[País]]))</f>
        <v>España</v>
      </c>
      <c r="Q2410" t="str">
        <f>TRIM(PROPER(Tabla_auditoría[[#This Row],[Dispositivo]]))</f>
        <v>Tablet</v>
      </c>
      <c r="R2410" t="str">
        <f>TRIM(PROPER(Tabla_auditoría[[#This Row],[Tipo_Campaña]]))</f>
        <v>Reconocimiento</v>
      </c>
      <c r="S2410" t="str">
        <f>TRIM(PROPER(Tabla_auditoría[[#This Row],[Responsable]]))</f>
        <v>Carlos Ruiz</v>
      </c>
    </row>
    <row r="2411" spans="1:19" x14ac:dyDescent="0.3">
      <c r="A2411" s="1">
        <v>45953</v>
      </c>
      <c r="B2411" s="2" t="s">
        <v>2550</v>
      </c>
      <c r="C2411" s="2" t="s">
        <v>2562</v>
      </c>
      <c r="D2411" s="2" t="s">
        <v>2528</v>
      </c>
      <c r="E2411" s="2" t="s">
        <v>2529</v>
      </c>
      <c r="F2411" s="3">
        <v>105096</v>
      </c>
      <c r="G2411" s="3">
        <v>7790</v>
      </c>
      <c r="H2411" s="3">
        <v>739</v>
      </c>
      <c r="I2411" s="4">
        <v>15918.42</v>
      </c>
      <c r="J2411" s="4">
        <v>119560.1</v>
      </c>
      <c r="K2411" s="3">
        <v>555</v>
      </c>
      <c r="L2411" s="2" t="s">
        <v>2523</v>
      </c>
      <c r="M2411" s="2" t="s">
        <v>2526</v>
      </c>
      <c r="N2411" t="str">
        <f>TRIM(PROPER(Tabla_auditoría[[#This Row],[ID_Campaña]]))</f>
        <v>Cmp-008</v>
      </c>
      <c r="O2411" t="str">
        <f>TRIM(PROPER(Tabla_auditoría[[#This Row],[Canal]]))</f>
        <v>Organic Social</v>
      </c>
      <c r="P2411" t="str">
        <f>TRIM(PROPER(Tabla_auditoría[[#This Row],[País]]))</f>
        <v>España</v>
      </c>
      <c r="Q2411" t="str">
        <f>TRIM(PROPER(Tabla_auditoría[[#This Row],[Dispositivo]]))</f>
        <v>Mobile</v>
      </c>
      <c r="R2411" t="str">
        <f>TRIM(PROPER(Tabla_auditoría[[#This Row],[Tipo_Campaña]]))</f>
        <v>Retención</v>
      </c>
      <c r="S2411" t="str">
        <f>TRIM(PROPER(Tabla_auditoría[[#This Row],[Responsable]]))</f>
        <v>Laura Pérez</v>
      </c>
    </row>
    <row r="2412" spans="1:19" x14ac:dyDescent="0.3">
      <c r="A2412" s="1">
        <v>45973</v>
      </c>
      <c r="B2412" s="2" t="s">
        <v>2557</v>
      </c>
      <c r="C2412" s="2" t="s">
        <v>2543</v>
      </c>
      <c r="D2412" s="2" t="s">
        <v>2528</v>
      </c>
      <c r="E2412" s="2" t="s">
        <v>2517</v>
      </c>
      <c r="F2412" s="3">
        <v>139870</v>
      </c>
      <c r="G2412" s="3">
        <v>6061</v>
      </c>
      <c r="H2412" s="3">
        <v>811</v>
      </c>
      <c r="I2412" s="4">
        <v>2823.88</v>
      </c>
      <c r="J2412" s="4">
        <v>134104.56</v>
      </c>
      <c r="K2412" s="3">
        <v>570</v>
      </c>
      <c r="L2412" s="2" t="s">
        <v>2536</v>
      </c>
      <c r="M2412" s="2" t="s">
        <v>2537</v>
      </c>
      <c r="N2412" t="str">
        <f>TRIM(PROPER(Tabla_auditoría[[#This Row],[ID_Campaña]]))</f>
        <v>Cmp-030</v>
      </c>
      <c r="O2412" t="str">
        <f>TRIM(PROPER(Tabla_auditoría[[#This Row],[Canal]]))</f>
        <v>Organic Social</v>
      </c>
      <c r="P2412" t="str">
        <f>TRIM(PROPER(Tabla_auditoría[[#This Row],[País]]))</f>
        <v>España</v>
      </c>
      <c r="Q2412" t="str">
        <f>TRIM(PROPER(Tabla_auditoría[[#This Row],[Dispositivo]]))</f>
        <v>Desktop</v>
      </c>
      <c r="R2412" t="str">
        <f>TRIM(PROPER(Tabla_auditoría[[#This Row],[Tipo_Campaña]]))</f>
        <v>Reconocimiento</v>
      </c>
      <c r="S2412" t="str">
        <f>TRIM(PROPER(Tabla_auditoría[[#This Row],[Responsable]]))</f>
        <v>Marta López</v>
      </c>
    </row>
    <row r="2413" spans="1:19" x14ac:dyDescent="0.3">
      <c r="A2413" s="1">
        <v>45682</v>
      </c>
      <c r="B2413" s="2" t="s">
        <v>2570</v>
      </c>
      <c r="C2413" s="2" t="s">
        <v>2527</v>
      </c>
      <c r="D2413" s="2" t="s">
        <v>2525</v>
      </c>
      <c r="E2413" s="2" t="s">
        <v>2517</v>
      </c>
      <c r="F2413" s="3">
        <v>104530</v>
      </c>
      <c r="G2413" s="3">
        <v>6590</v>
      </c>
      <c r="H2413" s="3">
        <v>474</v>
      </c>
      <c r="I2413" s="4">
        <v>7214.8</v>
      </c>
      <c r="J2413" s="4">
        <v>76628.23</v>
      </c>
      <c r="K2413" s="3">
        <v>384</v>
      </c>
      <c r="L2413" s="2" t="s">
        <v>2523</v>
      </c>
      <c r="M2413" s="2" t="s">
        <v>2526</v>
      </c>
      <c r="N2413" t="str">
        <f>TRIM(PROPER(Tabla_auditoría[[#This Row],[ID_Campaña]]))</f>
        <v>Cmp-016</v>
      </c>
      <c r="O2413" t="str">
        <f>TRIM(PROPER(Tabla_auditoría[[#This Row],[Canal]]))</f>
        <v>Affiliate</v>
      </c>
      <c r="P2413" t="str">
        <f>TRIM(PROPER(Tabla_auditoría[[#This Row],[País]]))</f>
        <v>Francia</v>
      </c>
      <c r="Q2413" t="str">
        <f>TRIM(PROPER(Tabla_auditoría[[#This Row],[Dispositivo]]))</f>
        <v>Desktop</v>
      </c>
      <c r="R2413" t="str">
        <f>TRIM(PROPER(Tabla_auditoría[[#This Row],[Tipo_Campaña]]))</f>
        <v>Retención</v>
      </c>
      <c r="S2413" t="str">
        <f>TRIM(PROPER(Tabla_auditoría[[#This Row],[Responsable]]))</f>
        <v>Laura Pérez</v>
      </c>
    </row>
    <row r="2414" spans="1:19" x14ac:dyDescent="0.3">
      <c r="A2414" s="1">
        <v>45964</v>
      </c>
      <c r="B2414" s="2" t="s">
        <v>2532</v>
      </c>
      <c r="C2414" s="2" t="s">
        <v>2533</v>
      </c>
      <c r="D2414" s="2" t="s">
        <v>2528</v>
      </c>
      <c r="E2414" s="2" t="s">
        <v>2529</v>
      </c>
      <c r="F2414" s="3">
        <v>163979</v>
      </c>
      <c r="G2414" s="3">
        <v>10871</v>
      </c>
      <c r="H2414" s="3">
        <v>1045</v>
      </c>
      <c r="I2414" s="4">
        <v>14415.42</v>
      </c>
      <c r="J2414" s="4">
        <v>112137.65</v>
      </c>
      <c r="K2414" s="3">
        <v>841</v>
      </c>
      <c r="L2414" s="2" t="s">
        <v>2523</v>
      </c>
      <c r="M2414" s="2" t="s">
        <v>2526</v>
      </c>
      <c r="N2414" t="str">
        <f>TRIM(PROPER(Tabla_auditoría[[#This Row],[ID_Campaña]]))</f>
        <v>Cmp-022</v>
      </c>
      <c r="O2414" t="str">
        <f>TRIM(PROPER(Tabla_auditoría[[#This Row],[Canal]]))</f>
        <v>Paid Social</v>
      </c>
      <c r="P2414" t="str">
        <f>TRIM(PROPER(Tabla_auditoría[[#This Row],[País]]))</f>
        <v>España</v>
      </c>
      <c r="Q2414" t="str">
        <f>TRIM(PROPER(Tabla_auditoría[[#This Row],[Dispositivo]]))</f>
        <v>Mobile</v>
      </c>
      <c r="R2414" t="str">
        <f>TRIM(PROPER(Tabla_auditoría[[#This Row],[Tipo_Campaña]]))</f>
        <v>Retención</v>
      </c>
      <c r="S2414" t="str">
        <f>TRIM(PROPER(Tabla_auditoría[[#This Row],[Responsable]]))</f>
        <v>Laura Pérez</v>
      </c>
    </row>
    <row r="2415" spans="1:19" x14ac:dyDescent="0.3">
      <c r="A2415" s="1">
        <v>45705</v>
      </c>
      <c r="B2415" s="2" t="s">
        <v>2569</v>
      </c>
      <c r="C2415" s="2" t="s">
        <v>2527</v>
      </c>
      <c r="D2415" s="2" t="s">
        <v>2593</v>
      </c>
      <c r="E2415" s="2" t="s">
        <v>2517</v>
      </c>
      <c r="F2415" s="3">
        <v>152420</v>
      </c>
      <c r="G2415" s="3">
        <v>2297</v>
      </c>
      <c r="H2415" s="3">
        <v>296</v>
      </c>
      <c r="I2415" s="4">
        <v>709.33</v>
      </c>
      <c r="J2415" s="4">
        <v>32651.22</v>
      </c>
      <c r="K2415" s="3">
        <v>266</v>
      </c>
      <c r="L2415" s="2" t="s">
        <v>2539</v>
      </c>
      <c r="M2415" s="2" t="s">
        <v>2524</v>
      </c>
      <c r="N2415" t="str">
        <f>TRIM(PROPER(Tabla_auditoría[[#This Row],[ID_Campaña]]))</f>
        <v>Cmp-013</v>
      </c>
      <c r="O2415" t="str">
        <f>TRIM(PROPER(Tabla_auditoría[[#This Row],[Canal]]))</f>
        <v>Affiliate</v>
      </c>
      <c r="P2415" t="str">
        <f>TRIM(PROPER(Tabla_auditoría[[#This Row],[País]]))</f>
        <v>Francia</v>
      </c>
      <c r="Q2415" t="str">
        <f>TRIM(PROPER(Tabla_auditoría[[#This Row],[Dispositivo]]))</f>
        <v>Desktop</v>
      </c>
      <c r="R2415" t="str">
        <f>TRIM(PROPER(Tabla_auditoría[[#This Row],[Tipo_Campaña]]))</f>
        <v>Conversión</v>
      </c>
      <c r="S2415" t="str">
        <f>TRIM(PROPER(Tabla_auditoría[[#This Row],[Responsable]]))</f>
        <v>Luis Martín</v>
      </c>
    </row>
    <row r="2416" spans="1:19" x14ac:dyDescent="0.3">
      <c r="A2416" s="1">
        <v>45936</v>
      </c>
      <c r="B2416" s="2" t="s">
        <v>2554</v>
      </c>
      <c r="C2416" s="2" t="s">
        <v>2543</v>
      </c>
      <c r="D2416" s="2" t="s">
        <v>2528</v>
      </c>
      <c r="E2416" s="2" t="s">
        <v>2529</v>
      </c>
      <c r="F2416" s="3">
        <v>96797</v>
      </c>
      <c r="G2416" s="3">
        <v>2065</v>
      </c>
      <c r="H2416" s="3">
        <v>85</v>
      </c>
      <c r="I2416" s="4">
        <v>1378.3</v>
      </c>
      <c r="J2416" s="4">
        <v>2011.12</v>
      </c>
      <c r="K2416" s="3">
        <v>59</v>
      </c>
      <c r="L2416" s="2" t="s">
        <v>2536</v>
      </c>
      <c r="M2416" s="2" t="s">
        <v>2526</v>
      </c>
      <c r="N2416" t="str">
        <f>TRIM(PROPER(Tabla_auditoría[[#This Row],[ID_Campaña]]))</f>
        <v>Cmp-019</v>
      </c>
      <c r="O2416" t="str">
        <f>TRIM(PROPER(Tabla_auditoría[[#This Row],[Canal]]))</f>
        <v>Organic Social</v>
      </c>
      <c r="P2416" t="str">
        <f>TRIM(PROPER(Tabla_auditoría[[#This Row],[País]]))</f>
        <v>España</v>
      </c>
      <c r="Q2416" t="str">
        <f>TRIM(PROPER(Tabla_auditoría[[#This Row],[Dispositivo]]))</f>
        <v>Mobile</v>
      </c>
      <c r="R2416" t="str">
        <f>TRIM(PROPER(Tabla_auditoría[[#This Row],[Tipo_Campaña]]))</f>
        <v>Reconocimiento</v>
      </c>
      <c r="S2416" t="str">
        <f>TRIM(PROPER(Tabla_auditoría[[#This Row],[Responsable]]))</f>
        <v>Laura Pérez</v>
      </c>
    </row>
    <row r="2417" spans="1:19" x14ac:dyDescent="0.3">
      <c r="A2417" s="1">
        <v>45875</v>
      </c>
      <c r="B2417" s="2" t="s">
        <v>2545</v>
      </c>
      <c r="C2417" s="2" t="s">
        <v>2527</v>
      </c>
      <c r="D2417" s="2" t="s">
        <v>2522</v>
      </c>
      <c r="E2417" s="2" t="s">
        <v>2529</v>
      </c>
      <c r="F2417" s="3">
        <v>150173</v>
      </c>
      <c r="G2417" s="3">
        <v>13170</v>
      </c>
      <c r="H2417" s="3">
        <v>88</v>
      </c>
      <c r="I2417" s="4">
        <v>23279.98</v>
      </c>
      <c r="J2417" s="4">
        <v>4308.62</v>
      </c>
      <c r="K2417" s="3">
        <v>61</v>
      </c>
      <c r="L2417" s="2" t="s">
        <v>2518</v>
      </c>
      <c r="M2417" s="2" t="s">
        <v>2519</v>
      </c>
      <c r="N2417" t="str">
        <f>TRIM(PROPER(Tabla_auditoría[[#This Row],[ID_Campaña]]))</f>
        <v>Cmp-011</v>
      </c>
      <c r="O2417" t="str">
        <f>TRIM(PROPER(Tabla_auditoría[[#This Row],[Canal]]))</f>
        <v>Affiliate</v>
      </c>
      <c r="P2417" t="str">
        <f>TRIM(PROPER(Tabla_auditoría[[#This Row],[País]]))</f>
        <v>Italia</v>
      </c>
      <c r="Q2417" t="str">
        <f>TRIM(PROPER(Tabla_auditoría[[#This Row],[Dispositivo]]))</f>
        <v>Mobile</v>
      </c>
      <c r="R2417" t="str">
        <f>TRIM(PROPER(Tabla_auditoría[[#This Row],[Tipo_Campaña]]))</f>
        <v>Adquisición</v>
      </c>
      <c r="S2417" t="str">
        <f>TRIM(PROPER(Tabla_auditoría[[#This Row],[Responsable]]))</f>
        <v>Carlos Ruiz</v>
      </c>
    </row>
    <row r="2418" spans="1:19" x14ac:dyDescent="0.3">
      <c r="A2418" s="1">
        <v>45740</v>
      </c>
      <c r="B2418" s="2" t="s">
        <v>2557</v>
      </c>
      <c r="C2418" s="2" t="s">
        <v>2521</v>
      </c>
      <c r="D2418" s="2" t="s">
        <v>2522</v>
      </c>
      <c r="E2418" s="2" t="s">
        <v>2517</v>
      </c>
      <c r="F2418" s="3">
        <v>63088</v>
      </c>
      <c r="G2418" s="3">
        <v>4672</v>
      </c>
      <c r="H2418" s="3">
        <v>514</v>
      </c>
      <c r="I2418" s="4">
        <v>3053.46</v>
      </c>
      <c r="J2418" s="4">
        <v>81746.13</v>
      </c>
      <c r="K2418" s="3">
        <v>278</v>
      </c>
      <c r="L2418" s="2" t="s">
        <v>2523</v>
      </c>
      <c r="M2418" s="2" t="s">
        <v>2546</v>
      </c>
      <c r="N2418" t="str">
        <f>TRIM(PROPER(Tabla_auditoría[[#This Row],[ID_Campaña]]))</f>
        <v>Cmp-030</v>
      </c>
      <c r="O2418" t="str">
        <f>TRIM(PROPER(Tabla_auditoría[[#This Row],[Canal]]))</f>
        <v>Paid Search</v>
      </c>
      <c r="P2418" t="str">
        <f>TRIM(PROPER(Tabla_auditoría[[#This Row],[País]]))</f>
        <v>Italia</v>
      </c>
      <c r="Q2418" t="str">
        <f>TRIM(PROPER(Tabla_auditoría[[#This Row],[Dispositivo]]))</f>
        <v>Desktop</v>
      </c>
      <c r="R2418" t="str">
        <f>TRIM(PROPER(Tabla_auditoría[[#This Row],[Tipo_Campaña]]))</f>
        <v>Retención</v>
      </c>
      <c r="S2418" t="str">
        <f>TRIM(PROPER(Tabla_auditoría[[#This Row],[Responsable]]))</f>
        <v>Ana García</v>
      </c>
    </row>
    <row r="2419" spans="1:19" x14ac:dyDescent="0.3">
      <c r="A2419" s="1">
        <v>45808</v>
      </c>
      <c r="B2419" s="2" t="s">
        <v>2544</v>
      </c>
      <c r="C2419" s="2" t="s">
        <v>2541</v>
      </c>
      <c r="D2419" s="2" t="s">
        <v>2525</v>
      </c>
      <c r="E2419" s="2" t="s">
        <v>2517</v>
      </c>
      <c r="F2419" s="3">
        <v>50503</v>
      </c>
      <c r="G2419" s="3">
        <v>2701</v>
      </c>
      <c r="H2419" s="3">
        <v>210</v>
      </c>
      <c r="I2419" s="4">
        <v>319.08</v>
      </c>
      <c r="J2419" s="4">
        <v>21004.91</v>
      </c>
      <c r="K2419" s="3">
        <v>135</v>
      </c>
      <c r="L2419" s="2" t="s">
        <v>2539</v>
      </c>
      <c r="M2419" s="2" t="s">
        <v>2524</v>
      </c>
      <c r="N2419" t="str">
        <f>TRIM(PROPER(Tabla_auditoría[[#This Row],[ID_Campaña]]))</f>
        <v>Cmp-006</v>
      </c>
      <c r="O2419" t="str">
        <f>TRIM(PROPER(Tabla_auditoría[[#This Row],[Canal]]))</f>
        <v>Display</v>
      </c>
      <c r="P2419" t="str">
        <f>TRIM(PROPER(Tabla_auditoría[[#This Row],[País]]))</f>
        <v>Francia</v>
      </c>
      <c r="Q2419" t="str">
        <f>TRIM(PROPER(Tabla_auditoría[[#This Row],[Dispositivo]]))</f>
        <v>Desktop</v>
      </c>
      <c r="R2419" t="str">
        <f>TRIM(PROPER(Tabla_auditoría[[#This Row],[Tipo_Campaña]]))</f>
        <v>Conversión</v>
      </c>
      <c r="S2419" t="str">
        <f>TRIM(PROPER(Tabla_auditoría[[#This Row],[Responsable]]))</f>
        <v>Luis Martín</v>
      </c>
    </row>
    <row r="2420" spans="1:19" x14ac:dyDescent="0.3">
      <c r="A2420" s="1">
        <v>45939</v>
      </c>
      <c r="B2420" s="2" t="s">
        <v>2550</v>
      </c>
      <c r="C2420" s="2" t="s">
        <v>2543</v>
      </c>
      <c r="D2420" s="2" t="s">
        <v>2522</v>
      </c>
      <c r="E2420" s="2" t="s">
        <v>2529</v>
      </c>
      <c r="F2420" s="3">
        <v>171687</v>
      </c>
      <c r="G2420" s="3">
        <v>8541</v>
      </c>
      <c r="H2420" s="3">
        <v>344</v>
      </c>
      <c r="I2420" s="4">
        <v>10748.37</v>
      </c>
      <c r="J2420" s="4">
        <v>11884.79</v>
      </c>
      <c r="K2420" s="3">
        <v>233</v>
      </c>
      <c r="L2420" s="2" t="s">
        <v>2523</v>
      </c>
      <c r="M2420" s="2" t="s">
        <v>2537</v>
      </c>
      <c r="N2420" t="str">
        <f>TRIM(PROPER(Tabla_auditoría[[#This Row],[ID_Campaña]]))</f>
        <v>Cmp-008</v>
      </c>
      <c r="O2420" t="str">
        <f>TRIM(PROPER(Tabla_auditoría[[#This Row],[Canal]]))</f>
        <v>Organic Social</v>
      </c>
      <c r="P2420" t="str">
        <f>TRIM(PROPER(Tabla_auditoría[[#This Row],[País]]))</f>
        <v>Italia</v>
      </c>
      <c r="Q2420" t="str">
        <f>TRIM(PROPER(Tabla_auditoría[[#This Row],[Dispositivo]]))</f>
        <v>Mobile</v>
      </c>
      <c r="R2420" t="str">
        <f>TRIM(PROPER(Tabla_auditoría[[#This Row],[Tipo_Campaña]]))</f>
        <v>Retención</v>
      </c>
      <c r="S2420" t="str">
        <f>TRIM(PROPER(Tabla_auditoría[[#This Row],[Responsable]]))</f>
        <v>Marta López</v>
      </c>
    </row>
    <row r="2421" spans="1:19" x14ac:dyDescent="0.3">
      <c r="A2421" s="1">
        <v>45945</v>
      </c>
      <c r="B2421" s="2" t="s">
        <v>2520</v>
      </c>
      <c r="C2421" s="2" t="s">
        <v>2543</v>
      </c>
      <c r="D2421" s="2" t="s">
        <v>2531</v>
      </c>
      <c r="E2421" s="2" t="s">
        <v>2529</v>
      </c>
      <c r="F2421" s="3">
        <v>85382</v>
      </c>
      <c r="G2421" s="3">
        <v>4664</v>
      </c>
      <c r="H2421" s="3">
        <v>556</v>
      </c>
      <c r="I2421" s="4">
        <v>5962.18</v>
      </c>
      <c r="J2421" s="4">
        <v>83397.56</v>
      </c>
      <c r="K2421" s="3">
        <v>280</v>
      </c>
      <c r="L2421" s="2" t="s">
        <v>2523</v>
      </c>
      <c r="M2421" s="2" t="s">
        <v>2546</v>
      </c>
      <c r="N2421" t="str">
        <f>TRIM(PROPER(Tabla_auditoría[[#This Row],[ID_Campaña]]))</f>
        <v>Cmp-009</v>
      </c>
      <c r="O2421" t="str">
        <f>TRIM(PROPER(Tabla_auditoría[[#This Row],[Canal]]))</f>
        <v>Organic Social</v>
      </c>
      <c r="P2421" t="str">
        <f>TRIM(PROPER(Tabla_auditoría[[#This Row],[País]]))</f>
        <v>Portugal</v>
      </c>
      <c r="Q2421" t="str">
        <f>TRIM(PROPER(Tabla_auditoría[[#This Row],[Dispositivo]]))</f>
        <v>Mobile</v>
      </c>
      <c r="R2421" t="str">
        <f>TRIM(PROPER(Tabla_auditoría[[#This Row],[Tipo_Campaña]]))</f>
        <v>Retención</v>
      </c>
      <c r="S2421" t="str">
        <f>TRIM(PROPER(Tabla_auditoría[[#This Row],[Responsable]]))</f>
        <v>Ana García</v>
      </c>
    </row>
    <row r="2422" spans="1:19" x14ac:dyDescent="0.3">
      <c r="A2422" s="1">
        <v>45998</v>
      </c>
      <c r="B2422" s="2" t="s">
        <v>2545</v>
      </c>
      <c r="C2422" s="2" t="s">
        <v>2541</v>
      </c>
      <c r="D2422" s="2" t="s">
        <v>2528</v>
      </c>
      <c r="E2422" s="2" t="s">
        <v>2534</v>
      </c>
      <c r="F2422" s="3">
        <v>99552</v>
      </c>
      <c r="G2422" s="3">
        <v>4854</v>
      </c>
      <c r="H2422" s="3">
        <v>88</v>
      </c>
      <c r="I2422" s="4">
        <v>3678.59</v>
      </c>
      <c r="J2422" s="4">
        <v>2313.58</v>
      </c>
      <c r="K2422" s="3">
        <v>56</v>
      </c>
      <c r="L2422" s="2" t="s">
        <v>2536</v>
      </c>
      <c r="M2422" s="2" t="s">
        <v>2546</v>
      </c>
      <c r="N2422" t="str">
        <f>TRIM(PROPER(Tabla_auditoría[[#This Row],[ID_Campaña]]))</f>
        <v>Cmp-011</v>
      </c>
      <c r="O2422" t="str">
        <f>TRIM(PROPER(Tabla_auditoría[[#This Row],[Canal]]))</f>
        <v>Display</v>
      </c>
      <c r="P2422" t="str">
        <f>TRIM(PROPER(Tabla_auditoría[[#This Row],[País]]))</f>
        <v>España</v>
      </c>
      <c r="Q2422" t="str">
        <f>TRIM(PROPER(Tabla_auditoría[[#This Row],[Dispositivo]]))</f>
        <v>Tablet</v>
      </c>
      <c r="R2422" t="str">
        <f>TRIM(PROPER(Tabla_auditoría[[#This Row],[Tipo_Campaña]]))</f>
        <v>Reconocimiento</v>
      </c>
      <c r="S2422" t="str">
        <f>TRIM(PROPER(Tabla_auditoría[[#This Row],[Responsable]]))</f>
        <v>Ana García</v>
      </c>
    </row>
    <row r="2423" spans="1:19" x14ac:dyDescent="0.3">
      <c r="A2423" s="1">
        <v>45925</v>
      </c>
      <c r="B2423" s="2" t="s">
        <v>2514</v>
      </c>
      <c r="C2423" s="2" t="s">
        <v>2541</v>
      </c>
      <c r="D2423" s="2" t="s">
        <v>2528</v>
      </c>
      <c r="E2423" s="2" t="s">
        <v>2529</v>
      </c>
      <c r="F2423" s="3">
        <v>106069</v>
      </c>
      <c r="G2423" s="3">
        <v>3404</v>
      </c>
      <c r="H2423" s="3">
        <v>92</v>
      </c>
      <c r="I2423" s="4">
        <v>5410.79</v>
      </c>
      <c r="J2423" s="4">
        <v>17172.98</v>
      </c>
      <c r="K2423" s="3">
        <v>59</v>
      </c>
      <c r="L2423" s="2" t="s">
        <v>2536</v>
      </c>
      <c r="M2423" s="2" t="s">
        <v>2519</v>
      </c>
      <c r="N2423" t="str">
        <f>TRIM(PROPER(Tabla_auditoría[[#This Row],[ID_Campaña]]))</f>
        <v>Cmp-002</v>
      </c>
      <c r="O2423" t="str">
        <f>TRIM(PROPER(Tabla_auditoría[[#This Row],[Canal]]))</f>
        <v>Display</v>
      </c>
      <c r="P2423" t="str">
        <f>TRIM(PROPER(Tabla_auditoría[[#This Row],[País]]))</f>
        <v>España</v>
      </c>
      <c r="Q2423" t="str">
        <f>TRIM(PROPER(Tabla_auditoría[[#This Row],[Dispositivo]]))</f>
        <v>Mobile</v>
      </c>
      <c r="R2423" t="str">
        <f>TRIM(PROPER(Tabla_auditoría[[#This Row],[Tipo_Campaña]]))</f>
        <v>Reconocimiento</v>
      </c>
      <c r="S2423" t="str">
        <f>TRIM(PROPER(Tabla_auditoría[[#This Row],[Responsable]]))</f>
        <v>Carlos Ruiz</v>
      </c>
    </row>
    <row r="2424" spans="1:19" x14ac:dyDescent="0.3">
      <c r="A2424" s="1">
        <v>45697</v>
      </c>
      <c r="B2424" s="2" t="s">
        <v>2514</v>
      </c>
      <c r="C2424" s="2" t="s">
        <v>2543</v>
      </c>
      <c r="D2424" s="2" t="s">
        <v>2525</v>
      </c>
      <c r="E2424" s="2" t="s">
        <v>2517</v>
      </c>
      <c r="F2424" s="3">
        <v>28374</v>
      </c>
      <c r="G2424" s="3">
        <v>1867</v>
      </c>
      <c r="H2424" s="3">
        <v>52</v>
      </c>
      <c r="I2424" s="4">
        <v>3092.31</v>
      </c>
      <c r="J2424" s="4">
        <v>1647.67</v>
      </c>
      <c r="K2424" s="3">
        <v>28</v>
      </c>
      <c r="L2424" s="2" t="s">
        <v>2536</v>
      </c>
      <c r="M2424" s="2" t="s">
        <v>2526</v>
      </c>
      <c r="N2424" t="str">
        <f>TRIM(PROPER(Tabla_auditoría[[#This Row],[ID_Campaña]]))</f>
        <v>Cmp-002</v>
      </c>
      <c r="O2424" t="str">
        <f>TRIM(PROPER(Tabla_auditoría[[#This Row],[Canal]]))</f>
        <v>Organic Social</v>
      </c>
      <c r="P2424" t="str">
        <f>TRIM(PROPER(Tabla_auditoría[[#This Row],[País]]))</f>
        <v>Francia</v>
      </c>
      <c r="Q2424" t="str">
        <f>TRIM(PROPER(Tabla_auditoría[[#This Row],[Dispositivo]]))</f>
        <v>Desktop</v>
      </c>
      <c r="R2424" t="str">
        <f>TRIM(PROPER(Tabla_auditoría[[#This Row],[Tipo_Campaña]]))</f>
        <v>Reconocimiento</v>
      </c>
      <c r="S2424" t="str">
        <f>TRIM(PROPER(Tabla_auditoría[[#This Row],[Responsable]]))</f>
        <v>Laura Pérez</v>
      </c>
    </row>
    <row r="2425" spans="1:19" x14ac:dyDescent="0.3">
      <c r="A2425" s="1">
        <v>45953</v>
      </c>
      <c r="B2425" s="2" t="s">
        <v>2535</v>
      </c>
      <c r="C2425" s="2" t="s">
        <v>2533</v>
      </c>
      <c r="D2425" s="2" t="s">
        <v>2525</v>
      </c>
      <c r="E2425" s="2" t="s">
        <v>2529</v>
      </c>
      <c r="F2425" s="3">
        <v>1214</v>
      </c>
      <c r="G2425" s="3">
        <v>49</v>
      </c>
      <c r="H2425" s="3">
        <v>2</v>
      </c>
      <c r="I2425" s="4">
        <v>50.07</v>
      </c>
      <c r="J2425" s="4">
        <v>252.03</v>
      </c>
      <c r="K2425" s="3">
        <v>1</v>
      </c>
      <c r="L2425" s="2" t="s">
        <v>2539</v>
      </c>
      <c r="M2425" s="2" t="s">
        <v>2526</v>
      </c>
      <c r="N2425" t="str">
        <f>TRIM(PROPER(Tabla_auditoría[[#This Row],[ID_Campaña]]))</f>
        <v>Cmp-015</v>
      </c>
      <c r="O2425" t="str">
        <f>TRIM(PROPER(Tabla_auditoría[[#This Row],[Canal]]))</f>
        <v>Paid Social</v>
      </c>
      <c r="P2425" t="str">
        <f>TRIM(PROPER(Tabla_auditoría[[#This Row],[País]]))</f>
        <v>Francia</v>
      </c>
      <c r="Q2425" t="str">
        <f>TRIM(PROPER(Tabla_auditoría[[#This Row],[Dispositivo]]))</f>
        <v>Mobile</v>
      </c>
      <c r="R2425" t="str">
        <f>TRIM(PROPER(Tabla_auditoría[[#This Row],[Tipo_Campaña]]))</f>
        <v>Conversión</v>
      </c>
      <c r="S2425" t="str">
        <f>TRIM(PROPER(Tabla_auditoría[[#This Row],[Responsable]]))</f>
        <v>Laura Pérez</v>
      </c>
    </row>
    <row r="2426" spans="1:19" x14ac:dyDescent="0.3">
      <c r="A2426" s="1">
        <v>45669</v>
      </c>
      <c r="B2426" s="2" t="s">
        <v>2514</v>
      </c>
      <c r="C2426" s="2" t="s">
        <v>2515</v>
      </c>
      <c r="D2426" s="2" t="s">
        <v>2528</v>
      </c>
      <c r="E2426" s="2" t="s">
        <v>2529</v>
      </c>
      <c r="F2426" s="3">
        <v>102229</v>
      </c>
      <c r="G2426" s="3">
        <v>8025</v>
      </c>
      <c r="H2426" s="3">
        <v>1062</v>
      </c>
      <c r="I2426" s="4">
        <v>14604.59</v>
      </c>
      <c r="J2426" s="4">
        <v>178659.09</v>
      </c>
      <c r="K2426" s="3">
        <v>827</v>
      </c>
      <c r="L2426" s="2" t="s">
        <v>2523</v>
      </c>
      <c r="M2426" s="2" t="s">
        <v>2546</v>
      </c>
      <c r="N2426" t="str">
        <f>TRIM(PROPER(Tabla_auditoría[[#This Row],[ID_Campaña]]))</f>
        <v>Cmp-002</v>
      </c>
      <c r="O2426" t="str">
        <f>TRIM(PROPER(Tabla_auditoría[[#This Row],[Canal]]))</f>
        <v>Email</v>
      </c>
      <c r="P2426" t="str">
        <f>TRIM(PROPER(Tabla_auditoría[[#This Row],[País]]))</f>
        <v>España</v>
      </c>
      <c r="Q2426" t="str">
        <f>TRIM(PROPER(Tabla_auditoría[[#This Row],[Dispositivo]]))</f>
        <v>Mobile</v>
      </c>
      <c r="R2426" t="str">
        <f>TRIM(PROPER(Tabla_auditoría[[#This Row],[Tipo_Campaña]]))</f>
        <v>Retención</v>
      </c>
      <c r="S2426" t="str">
        <f>TRIM(PROPER(Tabla_auditoría[[#This Row],[Responsable]]))</f>
        <v>Ana García</v>
      </c>
    </row>
    <row r="2427" spans="1:19" x14ac:dyDescent="0.3">
      <c r="A2427" s="1">
        <v>45722</v>
      </c>
      <c r="B2427" s="2" t="s">
        <v>2530</v>
      </c>
      <c r="C2427" s="2" t="s">
        <v>2543</v>
      </c>
      <c r="D2427" s="2" t="s">
        <v>2528</v>
      </c>
      <c r="E2427" s="2" t="s">
        <v>2517</v>
      </c>
      <c r="F2427" s="3">
        <v>126631</v>
      </c>
      <c r="G2427" s="3">
        <v>8670</v>
      </c>
      <c r="H2427" s="3">
        <v>820</v>
      </c>
      <c r="I2427" s="4">
        <v>17713.2</v>
      </c>
      <c r="J2427" s="4">
        <v>92482.89</v>
      </c>
      <c r="K2427" s="3">
        <v>587</v>
      </c>
      <c r="L2427" s="2" t="s">
        <v>2539</v>
      </c>
      <c r="M2427" s="2" t="s">
        <v>2537</v>
      </c>
      <c r="N2427" t="str">
        <f>TRIM(PROPER(Tabla_auditoría[[#This Row],[ID_Campaña]]))</f>
        <v>Cmp-026</v>
      </c>
      <c r="O2427" t="str">
        <f>TRIM(PROPER(Tabla_auditoría[[#This Row],[Canal]]))</f>
        <v>Organic Social</v>
      </c>
      <c r="P2427" t="str">
        <f>TRIM(PROPER(Tabla_auditoría[[#This Row],[País]]))</f>
        <v>España</v>
      </c>
      <c r="Q2427" t="str">
        <f>TRIM(PROPER(Tabla_auditoría[[#This Row],[Dispositivo]]))</f>
        <v>Desktop</v>
      </c>
      <c r="R2427" t="str">
        <f>TRIM(PROPER(Tabla_auditoría[[#This Row],[Tipo_Campaña]]))</f>
        <v>Conversión</v>
      </c>
      <c r="S2427" t="str">
        <f>TRIM(PROPER(Tabla_auditoría[[#This Row],[Responsable]]))</f>
        <v>Marta López</v>
      </c>
    </row>
    <row r="2428" spans="1:19" x14ac:dyDescent="0.3">
      <c r="A2428" s="1">
        <v>46022</v>
      </c>
      <c r="B2428" s="2" t="s">
        <v>2555</v>
      </c>
      <c r="C2428" s="2" t="s">
        <v>2521</v>
      </c>
      <c r="D2428" s="2" t="s">
        <v>2525</v>
      </c>
      <c r="E2428" s="2" t="s">
        <v>2517</v>
      </c>
      <c r="F2428" s="3">
        <v>114197</v>
      </c>
      <c r="G2428" s="3">
        <v>3885</v>
      </c>
      <c r="H2428" s="3">
        <v>431</v>
      </c>
      <c r="I2428" s="4">
        <v>7387.11</v>
      </c>
      <c r="J2428" s="4">
        <v>69183.62</v>
      </c>
      <c r="K2428" s="3">
        <v>198</v>
      </c>
      <c r="L2428" s="2" t="s">
        <v>2536</v>
      </c>
      <c r="M2428" s="2" t="s">
        <v>2526</v>
      </c>
      <c r="N2428" t="str">
        <f>TRIM(PROPER(Tabla_auditoría[[#This Row],[ID_Campaña]]))</f>
        <v>Cmp-010</v>
      </c>
      <c r="O2428" t="str">
        <f>TRIM(PROPER(Tabla_auditoría[[#This Row],[Canal]]))</f>
        <v>Paid Search</v>
      </c>
      <c r="P2428" t="str">
        <f>TRIM(PROPER(Tabla_auditoría[[#This Row],[País]]))</f>
        <v>Francia</v>
      </c>
      <c r="Q2428" t="str">
        <f>TRIM(PROPER(Tabla_auditoría[[#This Row],[Dispositivo]]))</f>
        <v>Desktop</v>
      </c>
      <c r="R2428" t="str">
        <f>TRIM(PROPER(Tabla_auditoría[[#This Row],[Tipo_Campaña]]))</f>
        <v>Reconocimiento</v>
      </c>
      <c r="S2428" t="str">
        <f>TRIM(PROPER(Tabla_auditoría[[#This Row],[Responsable]]))</f>
        <v>Laura Pérez</v>
      </c>
    </row>
    <row r="2429" spans="1:19" x14ac:dyDescent="0.3">
      <c r="A2429" s="1">
        <v>46021</v>
      </c>
      <c r="B2429" s="2" t="s">
        <v>2542</v>
      </c>
      <c r="C2429" s="2" t="s">
        <v>2527</v>
      </c>
      <c r="D2429" s="2" t="s">
        <v>2528</v>
      </c>
      <c r="E2429" s="2" t="s">
        <v>2529</v>
      </c>
      <c r="F2429" s="3">
        <v>15873</v>
      </c>
      <c r="G2429" s="3">
        <v>680</v>
      </c>
      <c r="H2429" s="3">
        <v>32</v>
      </c>
      <c r="I2429" s="4">
        <v>252.96</v>
      </c>
      <c r="J2429" s="4">
        <v>4901.2299999999996</v>
      </c>
      <c r="K2429" s="3">
        <v>17</v>
      </c>
      <c r="L2429" s="2" t="s">
        <v>2518</v>
      </c>
      <c r="M2429" s="2" t="s">
        <v>2519</v>
      </c>
      <c r="N2429" t="str">
        <f>TRIM(PROPER(Tabla_auditoría[[#This Row],[ID_Campaña]]))</f>
        <v>Cmp-025</v>
      </c>
      <c r="O2429" t="str">
        <f>TRIM(PROPER(Tabla_auditoría[[#This Row],[Canal]]))</f>
        <v>Affiliate</v>
      </c>
      <c r="P2429" t="str">
        <f>TRIM(PROPER(Tabla_auditoría[[#This Row],[País]]))</f>
        <v>España</v>
      </c>
      <c r="Q2429" t="str">
        <f>TRIM(PROPER(Tabla_auditoría[[#This Row],[Dispositivo]]))</f>
        <v>Mobile</v>
      </c>
      <c r="R2429" t="str">
        <f>TRIM(PROPER(Tabla_auditoría[[#This Row],[Tipo_Campaña]]))</f>
        <v>Adquisición</v>
      </c>
      <c r="S2429" t="str">
        <f>TRIM(PROPER(Tabla_auditoría[[#This Row],[Responsable]]))</f>
        <v>Carlos Ruiz</v>
      </c>
    </row>
    <row r="2430" spans="1:19" x14ac:dyDescent="0.3">
      <c r="A2430" s="1">
        <v>45847</v>
      </c>
      <c r="B2430" s="2" t="s">
        <v>2557</v>
      </c>
      <c r="C2430" s="2" t="s">
        <v>2541</v>
      </c>
      <c r="D2430" s="2" t="s">
        <v>2528</v>
      </c>
      <c r="E2430" s="2" t="s">
        <v>2534</v>
      </c>
      <c r="F2430" s="3">
        <v>158168</v>
      </c>
      <c r="G2430" s="3">
        <v>13117</v>
      </c>
      <c r="H2430" s="3">
        <v>204</v>
      </c>
      <c r="I2430" s="4">
        <v>18104.75</v>
      </c>
      <c r="J2430" s="4">
        <v>28768.66</v>
      </c>
      <c r="K2430" s="3">
        <v>135</v>
      </c>
      <c r="L2430" s="2" t="s">
        <v>2518</v>
      </c>
      <c r="M2430" s="2" t="s">
        <v>2519</v>
      </c>
      <c r="N2430" t="str">
        <f>TRIM(PROPER(Tabla_auditoría[[#This Row],[ID_Campaña]]))</f>
        <v>Cmp-030</v>
      </c>
      <c r="O2430" t="str">
        <f>TRIM(PROPER(Tabla_auditoría[[#This Row],[Canal]]))</f>
        <v>Display</v>
      </c>
      <c r="P2430" t="str">
        <f>TRIM(PROPER(Tabla_auditoría[[#This Row],[País]]))</f>
        <v>España</v>
      </c>
      <c r="Q2430" t="str">
        <f>TRIM(PROPER(Tabla_auditoría[[#This Row],[Dispositivo]]))</f>
        <v>Tablet</v>
      </c>
      <c r="R2430" t="str">
        <f>TRIM(PROPER(Tabla_auditoría[[#This Row],[Tipo_Campaña]]))</f>
        <v>Adquisición</v>
      </c>
      <c r="S2430" t="str">
        <f>TRIM(PROPER(Tabla_auditoría[[#This Row],[Responsable]]))</f>
        <v>Carlos Ruiz</v>
      </c>
    </row>
    <row r="2431" spans="1:19" x14ac:dyDescent="0.3">
      <c r="A2431" s="1">
        <v>45981</v>
      </c>
      <c r="B2431" s="2" t="s">
        <v>2538</v>
      </c>
      <c r="C2431" s="2" t="s">
        <v>2527</v>
      </c>
      <c r="D2431" s="2" t="s">
        <v>2528</v>
      </c>
      <c r="E2431" s="2" t="s">
        <v>2529</v>
      </c>
      <c r="F2431" s="3">
        <v>25969</v>
      </c>
      <c r="G2431" s="3">
        <v>516</v>
      </c>
      <c r="H2431" s="3">
        <v>64</v>
      </c>
      <c r="I2431" s="4">
        <v>745.61</v>
      </c>
      <c r="J2431" s="4">
        <v>2220.69</v>
      </c>
      <c r="K2431" s="3">
        <v>37</v>
      </c>
      <c r="L2431" s="2" t="s">
        <v>2539</v>
      </c>
      <c r="M2431" s="2" t="s">
        <v>2519</v>
      </c>
      <c r="N2431" t="str">
        <f>TRIM(PROPER(Tabla_auditoría[[#This Row],[ID_Campaña]]))</f>
        <v>Cmp-004</v>
      </c>
      <c r="O2431" t="str">
        <f>TRIM(PROPER(Tabla_auditoría[[#This Row],[Canal]]))</f>
        <v>Affiliate</v>
      </c>
      <c r="P2431" t="str">
        <f>TRIM(PROPER(Tabla_auditoría[[#This Row],[País]]))</f>
        <v>España</v>
      </c>
      <c r="Q2431" t="str">
        <f>TRIM(PROPER(Tabla_auditoría[[#This Row],[Dispositivo]]))</f>
        <v>Mobile</v>
      </c>
      <c r="R2431" t="str">
        <f>TRIM(PROPER(Tabla_auditoría[[#This Row],[Tipo_Campaña]]))</f>
        <v>Conversión</v>
      </c>
      <c r="S2431" t="str">
        <f>TRIM(PROPER(Tabla_auditoría[[#This Row],[Responsable]]))</f>
        <v>Carlos Ruiz</v>
      </c>
    </row>
    <row r="2432" spans="1:19" x14ac:dyDescent="0.3">
      <c r="A2432" s="1">
        <v>45679</v>
      </c>
      <c r="B2432" s="2" t="s">
        <v>2565</v>
      </c>
      <c r="C2432" s="2" t="s">
        <v>2527</v>
      </c>
      <c r="D2432" s="2" t="s">
        <v>2531</v>
      </c>
      <c r="E2432" s="2" t="s">
        <v>2529</v>
      </c>
      <c r="F2432" s="3">
        <v>42981</v>
      </c>
      <c r="G2432" s="3">
        <v>2902</v>
      </c>
      <c r="H2432" s="3">
        <v>285</v>
      </c>
      <c r="I2432" s="4">
        <v>5485.4</v>
      </c>
      <c r="J2432" s="4">
        <v>57117.3</v>
      </c>
      <c r="K2432" s="3">
        <v>212</v>
      </c>
      <c r="L2432" s="2" t="s">
        <v>2523</v>
      </c>
      <c r="M2432" s="2" t="s">
        <v>2537</v>
      </c>
      <c r="N2432" t="str">
        <f>TRIM(PROPER(Tabla_auditoría[[#This Row],[ID_Campaña]]))</f>
        <v>Cmp-005</v>
      </c>
      <c r="O2432" t="str">
        <f>TRIM(PROPER(Tabla_auditoría[[#This Row],[Canal]]))</f>
        <v>Affiliate</v>
      </c>
      <c r="P2432" t="str">
        <f>TRIM(PROPER(Tabla_auditoría[[#This Row],[País]]))</f>
        <v>Portugal</v>
      </c>
      <c r="Q2432" t="str">
        <f>TRIM(PROPER(Tabla_auditoría[[#This Row],[Dispositivo]]))</f>
        <v>Mobile</v>
      </c>
      <c r="R2432" t="str">
        <f>TRIM(PROPER(Tabla_auditoría[[#This Row],[Tipo_Campaña]]))</f>
        <v>Retención</v>
      </c>
      <c r="S2432" t="str">
        <f>TRIM(PROPER(Tabla_auditoría[[#This Row],[Responsable]]))</f>
        <v>Marta López</v>
      </c>
    </row>
    <row r="2433" spans="1:19" x14ac:dyDescent="0.3">
      <c r="A2433" s="1">
        <v>45811</v>
      </c>
      <c r="B2433" s="2" t="s">
        <v>2545</v>
      </c>
      <c r="C2433" s="2" t="s">
        <v>2515</v>
      </c>
      <c r="D2433" s="2" t="s">
        <v>2528</v>
      </c>
      <c r="E2433" s="2" t="s">
        <v>2517</v>
      </c>
      <c r="F2433" s="3">
        <v>31010</v>
      </c>
      <c r="G2433" s="3">
        <v>1913</v>
      </c>
      <c r="H2433" s="3">
        <v>91</v>
      </c>
      <c r="I2433" s="4">
        <v>1889.37</v>
      </c>
      <c r="J2433" s="4">
        <v>4677.63</v>
      </c>
      <c r="K2433" s="3">
        <v>44</v>
      </c>
      <c r="L2433" s="2" t="s">
        <v>2536</v>
      </c>
      <c r="M2433" s="2" t="s">
        <v>2524</v>
      </c>
      <c r="N2433" t="str">
        <f>TRIM(PROPER(Tabla_auditoría[[#This Row],[ID_Campaña]]))</f>
        <v>Cmp-011</v>
      </c>
      <c r="O2433" t="str">
        <f>TRIM(PROPER(Tabla_auditoría[[#This Row],[Canal]]))</f>
        <v>Email</v>
      </c>
      <c r="P2433" t="str">
        <f>TRIM(PROPER(Tabla_auditoría[[#This Row],[País]]))</f>
        <v>España</v>
      </c>
      <c r="Q2433" t="str">
        <f>TRIM(PROPER(Tabla_auditoría[[#This Row],[Dispositivo]]))</f>
        <v>Desktop</v>
      </c>
      <c r="R2433" t="str">
        <f>TRIM(PROPER(Tabla_auditoría[[#This Row],[Tipo_Campaña]]))</f>
        <v>Reconocimiento</v>
      </c>
      <c r="S2433" t="str">
        <f>TRIM(PROPER(Tabla_auditoría[[#This Row],[Responsable]]))</f>
        <v>Luis Martín</v>
      </c>
    </row>
    <row r="2434" spans="1:19" x14ac:dyDescent="0.3">
      <c r="A2434" s="1">
        <v>45838</v>
      </c>
      <c r="B2434" s="2" t="s">
        <v>2532</v>
      </c>
      <c r="C2434" s="2" t="s">
        <v>2533</v>
      </c>
      <c r="D2434" s="2" t="s">
        <v>2528</v>
      </c>
      <c r="E2434" s="2" t="s">
        <v>2517</v>
      </c>
      <c r="F2434" s="3">
        <v>112192</v>
      </c>
      <c r="G2434" s="3">
        <v>5964</v>
      </c>
      <c r="H2434" s="3">
        <v>826</v>
      </c>
      <c r="I2434" s="4">
        <v>5272.56</v>
      </c>
      <c r="J2434" s="4">
        <v>103278.97</v>
      </c>
      <c r="K2434" s="3">
        <v>615</v>
      </c>
      <c r="L2434" s="2" t="s">
        <v>2536</v>
      </c>
      <c r="M2434" s="2" t="s">
        <v>2526</v>
      </c>
      <c r="N2434" t="str">
        <f>TRIM(PROPER(Tabla_auditoría[[#This Row],[ID_Campaña]]))</f>
        <v>Cmp-022</v>
      </c>
      <c r="O2434" t="str">
        <f>TRIM(PROPER(Tabla_auditoría[[#This Row],[Canal]]))</f>
        <v>Paid Social</v>
      </c>
      <c r="P2434" t="str">
        <f>TRIM(PROPER(Tabla_auditoría[[#This Row],[País]]))</f>
        <v>España</v>
      </c>
      <c r="Q2434" t="str">
        <f>TRIM(PROPER(Tabla_auditoría[[#This Row],[Dispositivo]]))</f>
        <v>Desktop</v>
      </c>
      <c r="R2434" t="str">
        <f>TRIM(PROPER(Tabla_auditoría[[#This Row],[Tipo_Campaña]]))</f>
        <v>Reconocimiento</v>
      </c>
      <c r="S2434" t="str">
        <f>TRIM(PROPER(Tabla_auditoría[[#This Row],[Responsable]]))</f>
        <v>Laura Pérez</v>
      </c>
    </row>
    <row r="2435" spans="1:19" x14ac:dyDescent="0.3">
      <c r="A2435" s="1">
        <v>45842</v>
      </c>
      <c r="B2435" s="2" t="s">
        <v>2568</v>
      </c>
      <c r="C2435" s="2" t="s">
        <v>2527</v>
      </c>
      <c r="D2435" s="2" t="s">
        <v>2528</v>
      </c>
      <c r="E2435" s="2" t="s">
        <v>2529</v>
      </c>
      <c r="F2435" s="3">
        <v>116672</v>
      </c>
      <c r="G2435" s="3">
        <v>2178</v>
      </c>
      <c r="H2435" s="3">
        <v>296</v>
      </c>
      <c r="I2435" s="4">
        <v>3104.95</v>
      </c>
      <c r="J2435" s="4">
        <v>35826.36</v>
      </c>
      <c r="K2435" s="3">
        <v>175</v>
      </c>
      <c r="L2435" s="2" t="s">
        <v>2523</v>
      </c>
      <c r="M2435" s="2" t="s">
        <v>2526</v>
      </c>
      <c r="N2435" t="str">
        <f>TRIM(PROPER(Tabla_auditoría[[#This Row],[ID_Campaña]]))</f>
        <v>Cmp-020</v>
      </c>
      <c r="O2435" t="str">
        <f>TRIM(PROPER(Tabla_auditoría[[#This Row],[Canal]]))</f>
        <v>Affiliate</v>
      </c>
      <c r="P2435" t="str">
        <f>TRIM(PROPER(Tabla_auditoría[[#This Row],[País]]))</f>
        <v>España</v>
      </c>
      <c r="Q2435" t="str">
        <f>TRIM(PROPER(Tabla_auditoría[[#This Row],[Dispositivo]]))</f>
        <v>Mobile</v>
      </c>
      <c r="R2435" t="str">
        <f>TRIM(PROPER(Tabla_auditoría[[#This Row],[Tipo_Campaña]]))</f>
        <v>Retención</v>
      </c>
      <c r="S2435" t="str">
        <f>TRIM(PROPER(Tabla_auditoría[[#This Row],[Responsable]]))</f>
        <v>Laura Pérez</v>
      </c>
    </row>
    <row r="2436" spans="1:19" x14ac:dyDescent="0.3">
      <c r="A2436" s="1">
        <v>45771</v>
      </c>
      <c r="B2436" s="2" t="s">
        <v>2565</v>
      </c>
      <c r="C2436" s="2" t="s">
        <v>2543</v>
      </c>
      <c r="D2436" s="2" t="s">
        <v>2516</v>
      </c>
      <c r="E2436" s="2" t="s">
        <v>2534</v>
      </c>
      <c r="F2436" s="3">
        <v>165271</v>
      </c>
      <c r="G2436" s="3">
        <v>10161</v>
      </c>
      <c r="H2436" s="3">
        <v>750</v>
      </c>
      <c r="I2436" s="4">
        <v>2116.5500000000002</v>
      </c>
      <c r="J2436" s="4">
        <v>139746.29</v>
      </c>
      <c r="K2436" s="3">
        <v>382</v>
      </c>
      <c r="L2436" s="2" t="s">
        <v>2518</v>
      </c>
      <c r="M2436" s="2" t="s">
        <v>2524</v>
      </c>
      <c r="N2436" t="str">
        <f>TRIM(PROPER(Tabla_auditoría[[#This Row],[ID_Campaña]]))</f>
        <v>Cmp-005</v>
      </c>
      <c r="O2436" t="str">
        <f>TRIM(PROPER(Tabla_auditoría[[#This Row],[Canal]]))</f>
        <v>Organic Social</v>
      </c>
      <c r="P2436" t="str">
        <f>TRIM(PROPER(Tabla_auditoría[[#This Row],[País]]))</f>
        <v>México</v>
      </c>
      <c r="Q2436" t="str">
        <f>TRIM(PROPER(Tabla_auditoría[[#This Row],[Dispositivo]]))</f>
        <v>Tablet</v>
      </c>
      <c r="R2436" t="str">
        <f>TRIM(PROPER(Tabla_auditoría[[#This Row],[Tipo_Campaña]]))</f>
        <v>Adquisición</v>
      </c>
      <c r="S2436" t="str">
        <f>TRIM(PROPER(Tabla_auditoría[[#This Row],[Responsable]]))</f>
        <v>Luis Martín</v>
      </c>
    </row>
    <row r="2437" spans="1:19" x14ac:dyDescent="0.3">
      <c r="A2437" s="1">
        <v>45879</v>
      </c>
      <c r="B2437" s="2" t="s">
        <v>2551</v>
      </c>
      <c r="C2437" s="2" t="s">
        <v>2521</v>
      </c>
      <c r="D2437" s="2" t="s">
        <v>2528</v>
      </c>
      <c r="E2437" s="2" t="s">
        <v>2529</v>
      </c>
      <c r="F2437" s="3">
        <v>137397</v>
      </c>
      <c r="G2437" s="3">
        <v>12252</v>
      </c>
      <c r="H2437" s="3">
        <v>339</v>
      </c>
      <c r="J2437" s="4">
        <v>16568.13</v>
      </c>
      <c r="K2437" s="3">
        <v>182</v>
      </c>
      <c r="L2437" s="2" t="s">
        <v>2536</v>
      </c>
      <c r="M2437" s="2" t="s">
        <v>2524</v>
      </c>
      <c r="N2437" t="str">
        <f>TRIM(PROPER(Tabla_auditoría[[#This Row],[ID_Campaña]]))</f>
        <v>Cmp-028</v>
      </c>
      <c r="O2437" t="str">
        <f>TRIM(PROPER(Tabla_auditoría[[#This Row],[Canal]]))</f>
        <v>Paid Search</v>
      </c>
      <c r="P2437" t="str">
        <f>TRIM(PROPER(Tabla_auditoría[[#This Row],[País]]))</f>
        <v>España</v>
      </c>
      <c r="Q2437" t="str">
        <f>TRIM(PROPER(Tabla_auditoría[[#This Row],[Dispositivo]]))</f>
        <v>Mobile</v>
      </c>
      <c r="R2437" t="str">
        <f>TRIM(PROPER(Tabla_auditoría[[#This Row],[Tipo_Campaña]]))</f>
        <v>Reconocimiento</v>
      </c>
      <c r="S2437" t="str">
        <f>TRIM(PROPER(Tabla_auditoría[[#This Row],[Responsable]]))</f>
        <v>Luis Martín</v>
      </c>
    </row>
    <row r="2438" spans="1:19" x14ac:dyDescent="0.3">
      <c r="A2438" s="1">
        <v>45876</v>
      </c>
      <c r="B2438" s="2" t="s">
        <v>2563</v>
      </c>
      <c r="C2438" s="2" t="s">
        <v>2515</v>
      </c>
      <c r="D2438" s="2" t="s">
        <v>2522</v>
      </c>
      <c r="E2438" s="2" t="s">
        <v>2559</v>
      </c>
      <c r="F2438" s="3">
        <v>115744</v>
      </c>
      <c r="G2438" s="3">
        <v>8313</v>
      </c>
      <c r="H2438" s="3">
        <v>181</v>
      </c>
      <c r="I2438" s="4">
        <v>14193.28</v>
      </c>
      <c r="J2438" s="4">
        <v>19562.96</v>
      </c>
      <c r="K2438" s="3">
        <v>130</v>
      </c>
      <c r="L2438" s="2" t="s">
        <v>2518</v>
      </c>
      <c r="M2438" s="2" t="s">
        <v>2546</v>
      </c>
      <c r="N2438" t="str">
        <f>TRIM(PROPER(Tabla_auditoría[[#This Row],[ID_Campaña]]))</f>
        <v>Cmp-023</v>
      </c>
      <c r="O2438" t="str">
        <f>TRIM(PROPER(Tabla_auditoría[[#This Row],[Canal]]))</f>
        <v>Email</v>
      </c>
      <c r="P2438" t="str">
        <f>TRIM(PROPER(Tabla_auditoría[[#This Row],[País]]))</f>
        <v>Italia</v>
      </c>
      <c r="Q2438" t="str">
        <f>TRIM(PROPER(Tabla_auditoría[[#This Row],[Dispositivo]]))</f>
        <v>Desktop</v>
      </c>
      <c r="R2438" t="str">
        <f>TRIM(PROPER(Tabla_auditoría[[#This Row],[Tipo_Campaña]]))</f>
        <v>Adquisición</v>
      </c>
      <c r="S2438" t="str">
        <f>TRIM(PROPER(Tabla_auditoría[[#This Row],[Responsable]]))</f>
        <v>Ana García</v>
      </c>
    </row>
    <row r="2439" spans="1:19" x14ac:dyDescent="0.3">
      <c r="A2439" s="1">
        <v>45966</v>
      </c>
      <c r="B2439" s="2" t="s">
        <v>2567</v>
      </c>
      <c r="C2439" s="2" t="s">
        <v>2533</v>
      </c>
      <c r="D2439" s="2" t="s">
        <v>2528</v>
      </c>
      <c r="E2439" s="2" t="s">
        <v>2529</v>
      </c>
      <c r="F2439" s="3">
        <v>10681</v>
      </c>
      <c r="G2439" s="3">
        <v>675</v>
      </c>
      <c r="H2439" s="3">
        <v>4</v>
      </c>
      <c r="I2439" s="4">
        <v>886.65</v>
      </c>
      <c r="J2439" s="4">
        <v>87.15</v>
      </c>
      <c r="K2439" s="3">
        <v>2</v>
      </c>
      <c r="L2439" s="2" t="s">
        <v>2539</v>
      </c>
      <c r="M2439" s="2" t="s">
        <v>2519</v>
      </c>
      <c r="N2439" t="str">
        <f>TRIM(PROPER(Tabla_auditoría[[#This Row],[ID_Campaña]]))</f>
        <v>Cmp-021</v>
      </c>
      <c r="O2439" t="str">
        <f>TRIM(PROPER(Tabla_auditoría[[#This Row],[Canal]]))</f>
        <v>Paid Social</v>
      </c>
      <c r="P2439" t="str">
        <f>TRIM(PROPER(Tabla_auditoría[[#This Row],[País]]))</f>
        <v>España</v>
      </c>
      <c r="Q2439" t="str">
        <f>TRIM(PROPER(Tabla_auditoría[[#This Row],[Dispositivo]]))</f>
        <v>Mobile</v>
      </c>
      <c r="R2439" t="str">
        <f>TRIM(PROPER(Tabla_auditoría[[#This Row],[Tipo_Campaña]]))</f>
        <v>Conversión</v>
      </c>
      <c r="S2439" t="str">
        <f>TRIM(PROPER(Tabla_auditoría[[#This Row],[Responsable]]))</f>
        <v>Carlos Ruiz</v>
      </c>
    </row>
    <row r="2440" spans="1:19" x14ac:dyDescent="0.3">
      <c r="A2440" s="1">
        <v>45982</v>
      </c>
      <c r="B2440" s="2" t="s">
        <v>2538</v>
      </c>
      <c r="C2440" s="2" t="s">
        <v>2541</v>
      </c>
      <c r="D2440" s="2" t="s">
        <v>2531</v>
      </c>
      <c r="E2440" s="2" t="s">
        <v>2529</v>
      </c>
      <c r="F2440" s="3">
        <v>96331</v>
      </c>
      <c r="G2440" s="3">
        <v>6941</v>
      </c>
      <c r="H2440" s="3">
        <v>654</v>
      </c>
      <c r="I2440" s="4">
        <v>13110.14</v>
      </c>
      <c r="J2440" s="4">
        <v>97813.35</v>
      </c>
      <c r="K2440" s="3">
        <v>493</v>
      </c>
      <c r="L2440" s="2" t="s">
        <v>2536</v>
      </c>
      <c r="M2440" s="2" t="s">
        <v>2524</v>
      </c>
      <c r="N2440" t="str">
        <f>TRIM(PROPER(Tabla_auditoría[[#This Row],[ID_Campaña]]))</f>
        <v>Cmp-004</v>
      </c>
      <c r="O2440" t="str">
        <f>TRIM(PROPER(Tabla_auditoría[[#This Row],[Canal]]))</f>
        <v>Display</v>
      </c>
      <c r="P2440" t="str">
        <f>TRIM(PROPER(Tabla_auditoría[[#This Row],[País]]))</f>
        <v>Portugal</v>
      </c>
      <c r="Q2440" t="str">
        <f>TRIM(PROPER(Tabla_auditoría[[#This Row],[Dispositivo]]))</f>
        <v>Mobile</v>
      </c>
      <c r="R2440" t="str">
        <f>TRIM(PROPER(Tabla_auditoría[[#This Row],[Tipo_Campaña]]))</f>
        <v>Reconocimiento</v>
      </c>
      <c r="S2440" t="str">
        <f>TRIM(PROPER(Tabla_auditoría[[#This Row],[Responsable]]))</f>
        <v>Luis Martín</v>
      </c>
    </row>
    <row r="2441" spans="1:19" x14ac:dyDescent="0.3">
      <c r="A2441" s="1">
        <v>45959</v>
      </c>
      <c r="B2441" s="2" t="s">
        <v>2551</v>
      </c>
      <c r="C2441" s="2" t="s">
        <v>2527</v>
      </c>
      <c r="D2441" s="2" t="s">
        <v>2528</v>
      </c>
      <c r="E2441" s="2" t="s">
        <v>2529</v>
      </c>
      <c r="F2441" s="3">
        <v>66727</v>
      </c>
      <c r="G2441" s="3">
        <v>4522</v>
      </c>
      <c r="H2441" s="3">
        <v>528</v>
      </c>
      <c r="I2441" s="4">
        <v>5185.99</v>
      </c>
      <c r="J2441" s="4">
        <v>86182.75</v>
      </c>
      <c r="K2441" s="3">
        <v>472</v>
      </c>
      <c r="L2441" s="2" t="s">
        <v>2523</v>
      </c>
      <c r="M2441" s="2" t="s">
        <v>2537</v>
      </c>
      <c r="N2441" t="str">
        <f>TRIM(PROPER(Tabla_auditoría[[#This Row],[ID_Campaña]]))</f>
        <v>Cmp-028</v>
      </c>
      <c r="O2441" t="str">
        <f>TRIM(PROPER(Tabla_auditoría[[#This Row],[Canal]]))</f>
        <v>Affiliate</v>
      </c>
      <c r="P2441" t="str">
        <f>TRIM(PROPER(Tabla_auditoría[[#This Row],[País]]))</f>
        <v>España</v>
      </c>
      <c r="Q2441" t="str">
        <f>TRIM(PROPER(Tabla_auditoría[[#This Row],[Dispositivo]]))</f>
        <v>Mobile</v>
      </c>
      <c r="R2441" t="str">
        <f>TRIM(PROPER(Tabla_auditoría[[#This Row],[Tipo_Campaña]]))</f>
        <v>Retención</v>
      </c>
      <c r="S2441" t="str">
        <f>TRIM(PROPER(Tabla_auditoría[[#This Row],[Responsable]]))</f>
        <v>Marta López</v>
      </c>
    </row>
    <row r="2442" spans="1:19" x14ac:dyDescent="0.3">
      <c r="A2442" s="1">
        <v>45926</v>
      </c>
      <c r="B2442" s="2" t="s">
        <v>2554</v>
      </c>
      <c r="C2442" s="2" t="s">
        <v>2515</v>
      </c>
      <c r="D2442" s="2" t="s">
        <v>2528</v>
      </c>
      <c r="E2442" s="2" t="s">
        <v>2529</v>
      </c>
      <c r="F2442" s="3">
        <v>158490</v>
      </c>
      <c r="G2442" s="3">
        <v>6871</v>
      </c>
      <c r="H2442" s="3">
        <v>489</v>
      </c>
      <c r="I2442" s="4">
        <v>13818.64</v>
      </c>
      <c r="J2442" s="4">
        <v>85169.09</v>
      </c>
      <c r="K2442" s="3">
        <v>301</v>
      </c>
      <c r="L2442" s="2" t="s">
        <v>2518</v>
      </c>
      <c r="M2442" s="2" t="s">
        <v>2546</v>
      </c>
      <c r="N2442" t="str">
        <f>TRIM(PROPER(Tabla_auditoría[[#This Row],[ID_Campaña]]))</f>
        <v>Cmp-019</v>
      </c>
      <c r="O2442" t="str">
        <f>TRIM(PROPER(Tabla_auditoría[[#This Row],[Canal]]))</f>
        <v>Email</v>
      </c>
      <c r="P2442" t="str">
        <f>TRIM(PROPER(Tabla_auditoría[[#This Row],[País]]))</f>
        <v>España</v>
      </c>
      <c r="Q2442" t="str">
        <f>TRIM(PROPER(Tabla_auditoría[[#This Row],[Dispositivo]]))</f>
        <v>Mobile</v>
      </c>
      <c r="R2442" t="str">
        <f>TRIM(PROPER(Tabla_auditoría[[#This Row],[Tipo_Campaña]]))</f>
        <v>Adquisición</v>
      </c>
      <c r="S2442" t="str">
        <f>TRIM(PROPER(Tabla_auditoría[[#This Row],[Responsable]]))</f>
        <v>Ana García</v>
      </c>
    </row>
    <row r="2443" spans="1:19" x14ac:dyDescent="0.3">
      <c r="A2443" s="1">
        <v>45784</v>
      </c>
      <c r="B2443" s="2" t="s">
        <v>2569</v>
      </c>
      <c r="C2443" s="2" t="s">
        <v>2521</v>
      </c>
      <c r="D2443" s="2" t="s">
        <v>2516</v>
      </c>
      <c r="E2443" s="2" t="s">
        <v>2529</v>
      </c>
      <c r="F2443" s="3">
        <v>150094</v>
      </c>
      <c r="G2443" s="3">
        <v>5387</v>
      </c>
      <c r="H2443" s="3">
        <v>545</v>
      </c>
      <c r="I2443" s="4">
        <v>5335.04</v>
      </c>
      <c r="J2443" s="4">
        <v>8683.6200000000008</v>
      </c>
      <c r="K2443" s="3">
        <v>430</v>
      </c>
      <c r="L2443" s="2" t="s">
        <v>2539</v>
      </c>
      <c r="M2443" s="2" t="s">
        <v>2537</v>
      </c>
      <c r="N2443" t="str">
        <f>TRIM(PROPER(Tabla_auditoría[[#This Row],[ID_Campaña]]))</f>
        <v>Cmp-013</v>
      </c>
      <c r="O2443" t="str">
        <f>TRIM(PROPER(Tabla_auditoría[[#This Row],[Canal]]))</f>
        <v>Paid Search</v>
      </c>
      <c r="P2443" t="str">
        <f>TRIM(PROPER(Tabla_auditoría[[#This Row],[País]]))</f>
        <v>México</v>
      </c>
      <c r="Q2443" t="str">
        <f>TRIM(PROPER(Tabla_auditoría[[#This Row],[Dispositivo]]))</f>
        <v>Mobile</v>
      </c>
      <c r="R2443" t="str">
        <f>TRIM(PROPER(Tabla_auditoría[[#This Row],[Tipo_Campaña]]))</f>
        <v>Conversión</v>
      </c>
      <c r="S2443" t="str">
        <f>TRIM(PROPER(Tabla_auditoría[[#This Row],[Responsable]]))</f>
        <v>Marta López</v>
      </c>
    </row>
    <row r="2444" spans="1:19" x14ac:dyDescent="0.3">
      <c r="A2444" s="1">
        <v>45856</v>
      </c>
      <c r="B2444" s="2" t="s">
        <v>2545</v>
      </c>
      <c r="C2444" s="2" t="s">
        <v>2521</v>
      </c>
      <c r="D2444" s="2" t="s">
        <v>2525</v>
      </c>
      <c r="E2444" s="2" t="s">
        <v>2517</v>
      </c>
      <c r="F2444" s="3">
        <v>153211</v>
      </c>
      <c r="G2444" s="3">
        <v>11578</v>
      </c>
      <c r="H2444" s="3">
        <v>965</v>
      </c>
      <c r="I2444" s="4">
        <v>9650.1299999999992</v>
      </c>
      <c r="J2444" s="4">
        <v>184088.59</v>
      </c>
      <c r="K2444" s="3">
        <v>570</v>
      </c>
      <c r="L2444" s="2" t="s">
        <v>2518</v>
      </c>
      <c r="M2444" s="2" t="s">
        <v>2546</v>
      </c>
      <c r="N2444" t="str">
        <f>TRIM(PROPER(Tabla_auditoría[[#This Row],[ID_Campaña]]))</f>
        <v>Cmp-011</v>
      </c>
      <c r="O2444" t="str">
        <f>TRIM(PROPER(Tabla_auditoría[[#This Row],[Canal]]))</f>
        <v>Paid Search</v>
      </c>
      <c r="P2444" t="str">
        <f>TRIM(PROPER(Tabla_auditoría[[#This Row],[País]]))</f>
        <v>Francia</v>
      </c>
      <c r="Q2444" t="str">
        <f>TRIM(PROPER(Tabla_auditoría[[#This Row],[Dispositivo]]))</f>
        <v>Desktop</v>
      </c>
      <c r="R2444" t="str">
        <f>TRIM(PROPER(Tabla_auditoría[[#This Row],[Tipo_Campaña]]))</f>
        <v>Adquisición</v>
      </c>
      <c r="S2444" t="str">
        <f>TRIM(PROPER(Tabla_auditoría[[#This Row],[Responsable]]))</f>
        <v>Ana García</v>
      </c>
    </row>
    <row r="2445" spans="1:19" x14ac:dyDescent="0.3">
      <c r="A2445" s="1">
        <v>45943</v>
      </c>
      <c r="B2445" s="2" t="s">
        <v>2550</v>
      </c>
      <c r="C2445" s="2" t="s">
        <v>2541</v>
      </c>
      <c r="D2445" s="2" t="s">
        <v>2525</v>
      </c>
      <c r="E2445" s="2" t="s">
        <v>2517</v>
      </c>
      <c r="F2445" s="3">
        <v>135463</v>
      </c>
      <c r="G2445" s="3">
        <v>3593</v>
      </c>
      <c r="H2445" s="3">
        <v>480</v>
      </c>
      <c r="I2445" s="4">
        <v>1114.5999999999999</v>
      </c>
      <c r="J2445" s="4">
        <v>11042.63</v>
      </c>
      <c r="K2445" s="3">
        <v>283</v>
      </c>
      <c r="L2445" s="2" t="s">
        <v>2523</v>
      </c>
      <c r="M2445" s="2" t="s">
        <v>2524</v>
      </c>
      <c r="N2445" t="str">
        <f>TRIM(PROPER(Tabla_auditoría[[#This Row],[ID_Campaña]]))</f>
        <v>Cmp-008</v>
      </c>
      <c r="O2445" t="str">
        <f>TRIM(PROPER(Tabla_auditoría[[#This Row],[Canal]]))</f>
        <v>Display</v>
      </c>
      <c r="P2445" t="str">
        <f>TRIM(PROPER(Tabla_auditoría[[#This Row],[País]]))</f>
        <v>Francia</v>
      </c>
      <c r="Q2445" t="str">
        <f>TRIM(PROPER(Tabla_auditoría[[#This Row],[Dispositivo]]))</f>
        <v>Desktop</v>
      </c>
      <c r="R2445" t="str">
        <f>TRIM(PROPER(Tabla_auditoría[[#This Row],[Tipo_Campaña]]))</f>
        <v>Retención</v>
      </c>
      <c r="S2445" t="str">
        <f>TRIM(PROPER(Tabla_auditoría[[#This Row],[Responsable]]))</f>
        <v>Luis Martín</v>
      </c>
    </row>
    <row r="2446" spans="1:19" x14ac:dyDescent="0.3">
      <c r="A2446" s="1">
        <v>45906</v>
      </c>
      <c r="B2446" s="2" t="s">
        <v>2552</v>
      </c>
      <c r="C2446" s="2" t="s">
        <v>2533</v>
      </c>
      <c r="D2446" s="2" t="s">
        <v>2531</v>
      </c>
      <c r="E2446" s="2" t="s">
        <v>2517</v>
      </c>
      <c r="F2446" s="3">
        <v>140126</v>
      </c>
      <c r="G2446" s="3">
        <v>11011</v>
      </c>
      <c r="H2446" s="3">
        <v>1056</v>
      </c>
      <c r="I2446" s="4">
        <v>5021.1000000000004</v>
      </c>
      <c r="J2446" s="4">
        <v>153046.67000000001</v>
      </c>
      <c r="K2446" s="3">
        <v>515</v>
      </c>
      <c r="L2446" s="2" t="s">
        <v>2518</v>
      </c>
      <c r="M2446" s="2" t="s">
        <v>2537</v>
      </c>
      <c r="N2446" t="str">
        <f>TRIM(PROPER(Tabla_auditoría[[#This Row],[ID_Campaña]]))</f>
        <v>Cmp-012</v>
      </c>
      <c r="O2446" t="str">
        <f>TRIM(PROPER(Tabla_auditoría[[#This Row],[Canal]]))</f>
        <v>Paid Social</v>
      </c>
      <c r="P2446" t="str">
        <f>TRIM(PROPER(Tabla_auditoría[[#This Row],[País]]))</f>
        <v>Portugal</v>
      </c>
      <c r="Q2446" t="str">
        <f>TRIM(PROPER(Tabla_auditoría[[#This Row],[Dispositivo]]))</f>
        <v>Desktop</v>
      </c>
      <c r="R2446" t="str">
        <f>TRIM(PROPER(Tabla_auditoría[[#This Row],[Tipo_Campaña]]))</f>
        <v>Adquisición</v>
      </c>
      <c r="S2446" t="str">
        <f>TRIM(PROPER(Tabla_auditoría[[#This Row],[Responsable]]))</f>
        <v>Marta López</v>
      </c>
    </row>
    <row r="2447" spans="1:19" x14ac:dyDescent="0.3">
      <c r="A2447" s="1">
        <v>45724</v>
      </c>
      <c r="B2447" s="2" t="s">
        <v>2569</v>
      </c>
      <c r="C2447" s="2" t="s">
        <v>2515</v>
      </c>
      <c r="D2447" s="2" t="s">
        <v>2528</v>
      </c>
      <c r="E2447" s="2" t="s">
        <v>2529</v>
      </c>
      <c r="F2447" s="3">
        <v>67832</v>
      </c>
      <c r="G2447" s="3">
        <v>1516</v>
      </c>
      <c r="H2447" s="3">
        <v>87</v>
      </c>
      <c r="I2447" s="4">
        <v>448.12</v>
      </c>
      <c r="J2447" s="4">
        <v>5421.27</v>
      </c>
      <c r="K2447" s="3">
        <v>44</v>
      </c>
      <c r="L2447" s="2" t="s">
        <v>2539</v>
      </c>
      <c r="M2447" s="2" t="s">
        <v>2519</v>
      </c>
      <c r="N2447" t="str">
        <f>TRIM(PROPER(Tabla_auditoría[[#This Row],[ID_Campaña]]))</f>
        <v>Cmp-013</v>
      </c>
      <c r="O2447" t="str">
        <f>TRIM(PROPER(Tabla_auditoría[[#This Row],[Canal]]))</f>
        <v>Email</v>
      </c>
      <c r="P2447" t="str">
        <f>TRIM(PROPER(Tabla_auditoría[[#This Row],[País]]))</f>
        <v>España</v>
      </c>
      <c r="Q2447" t="str">
        <f>TRIM(PROPER(Tabla_auditoría[[#This Row],[Dispositivo]]))</f>
        <v>Mobile</v>
      </c>
      <c r="R2447" t="str">
        <f>TRIM(PROPER(Tabla_auditoría[[#This Row],[Tipo_Campaña]]))</f>
        <v>Conversión</v>
      </c>
      <c r="S2447" t="str">
        <f>TRIM(PROPER(Tabla_auditoría[[#This Row],[Responsable]]))</f>
        <v>Carlos Ruiz</v>
      </c>
    </row>
    <row r="2448" spans="1:19" x14ac:dyDescent="0.3">
      <c r="A2448" s="1">
        <v>45910</v>
      </c>
      <c r="B2448" s="2" t="s">
        <v>2530</v>
      </c>
      <c r="C2448" s="2" t="s">
        <v>2521</v>
      </c>
      <c r="D2448" s="2" t="s">
        <v>2525</v>
      </c>
      <c r="E2448" s="2" t="s">
        <v>2517</v>
      </c>
      <c r="F2448" s="3">
        <v>54132</v>
      </c>
      <c r="G2448" s="3">
        <v>4759</v>
      </c>
      <c r="H2448" s="3">
        <v>236</v>
      </c>
      <c r="I2448" s="4">
        <v>2053.7600000000002</v>
      </c>
      <c r="J2448" s="4">
        <v>42766.28</v>
      </c>
      <c r="K2448" s="3">
        <v>149</v>
      </c>
      <c r="L2448" s="2" t="s">
        <v>2523</v>
      </c>
      <c r="M2448" s="2" t="s">
        <v>2524</v>
      </c>
      <c r="N2448" t="str">
        <f>TRIM(PROPER(Tabla_auditoría[[#This Row],[ID_Campaña]]))</f>
        <v>Cmp-026</v>
      </c>
      <c r="O2448" t="str">
        <f>TRIM(PROPER(Tabla_auditoría[[#This Row],[Canal]]))</f>
        <v>Paid Search</v>
      </c>
      <c r="P2448" t="str">
        <f>TRIM(PROPER(Tabla_auditoría[[#This Row],[País]]))</f>
        <v>Francia</v>
      </c>
      <c r="Q2448" t="str">
        <f>TRIM(PROPER(Tabla_auditoría[[#This Row],[Dispositivo]]))</f>
        <v>Desktop</v>
      </c>
      <c r="R2448" t="str">
        <f>TRIM(PROPER(Tabla_auditoría[[#This Row],[Tipo_Campaña]]))</f>
        <v>Retención</v>
      </c>
      <c r="S2448" t="str">
        <f>TRIM(PROPER(Tabla_auditoría[[#This Row],[Responsable]]))</f>
        <v>Luis Martín</v>
      </c>
    </row>
    <row r="2449" spans="1:19" x14ac:dyDescent="0.3">
      <c r="A2449" s="1">
        <v>45716</v>
      </c>
      <c r="B2449" s="2" t="s">
        <v>2555</v>
      </c>
      <c r="C2449" s="2" t="s">
        <v>2541</v>
      </c>
      <c r="D2449" s="2" t="s">
        <v>2528</v>
      </c>
      <c r="E2449" s="2" t="s">
        <v>2517</v>
      </c>
      <c r="F2449" s="3">
        <v>159021</v>
      </c>
      <c r="G2449" s="3">
        <v>6363</v>
      </c>
      <c r="H2449" s="3">
        <v>797</v>
      </c>
      <c r="I2449" s="4">
        <v>10746.17</v>
      </c>
      <c r="J2449" s="4">
        <v>59554.29</v>
      </c>
      <c r="K2449" s="3">
        <v>650</v>
      </c>
      <c r="L2449" s="2" t="s">
        <v>2518</v>
      </c>
      <c r="M2449" s="2" t="s">
        <v>2537</v>
      </c>
      <c r="N2449" t="str">
        <f>TRIM(PROPER(Tabla_auditoría[[#This Row],[ID_Campaña]]))</f>
        <v>Cmp-010</v>
      </c>
      <c r="O2449" t="str">
        <f>TRIM(PROPER(Tabla_auditoría[[#This Row],[Canal]]))</f>
        <v>Display</v>
      </c>
      <c r="P2449" t="str">
        <f>TRIM(PROPER(Tabla_auditoría[[#This Row],[País]]))</f>
        <v>España</v>
      </c>
      <c r="Q2449" t="str">
        <f>TRIM(PROPER(Tabla_auditoría[[#This Row],[Dispositivo]]))</f>
        <v>Desktop</v>
      </c>
      <c r="R2449" t="str">
        <f>TRIM(PROPER(Tabla_auditoría[[#This Row],[Tipo_Campaña]]))</f>
        <v>Adquisición</v>
      </c>
      <c r="S2449" t="str">
        <f>TRIM(PROPER(Tabla_auditoría[[#This Row],[Responsable]]))</f>
        <v>Marta López</v>
      </c>
    </row>
    <row r="2450" spans="1:19" x14ac:dyDescent="0.3">
      <c r="A2450" s="1">
        <v>45723</v>
      </c>
      <c r="B2450" s="2" t="s">
        <v>2547</v>
      </c>
      <c r="C2450" s="2" t="s">
        <v>2521</v>
      </c>
      <c r="D2450" s="2" t="s">
        <v>2525</v>
      </c>
      <c r="E2450" s="2" t="s">
        <v>2517</v>
      </c>
      <c r="F2450" s="3">
        <v>172334</v>
      </c>
      <c r="G2450" s="3">
        <v>11933</v>
      </c>
      <c r="H2450" s="3">
        <v>865</v>
      </c>
      <c r="I2450" s="4">
        <v>16565.84</v>
      </c>
      <c r="J2450" s="4">
        <v>22770.37</v>
      </c>
      <c r="K2450" s="3">
        <v>532</v>
      </c>
      <c r="L2450" s="2" t="s">
        <v>2518</v>
      </c>
      <c r="M2450" s="2" t="s">
        <v>2526</v>
      </c>
      <c r="N2450" t="str">
        <f>TRIM(PROPER(Tabla_auditoría[[#This Row],[ID_Campaña]]))</f>
        <v>Cmp-018</v>
      </c>
      <c r="O2450" t="str">
        <f>TRIM(PROPER(Tabla_auditoría[[#This Row],[Canal]]))</f>
        <v>Paid Search</v>
      </c>
      <c r="P2450" t="str">
        <f>TRIM(PROPER(Tabla_auditoría[[#This Row],[País]]))</f>
        <v>Francia</v>
      </c>
      <c r="Q2450" t="str">
        <f>TRIM(PROPER(Tabla_auditoría[[#This Row],[Dispositivo]]))</f>
        <v>Desktop</v>
      </c>
      <c r="R2450" t="str">
        <f>TRIM(PROPER(Tabla_auditoría[[#This Row],[Tipo_Campaña]]))</f>
        <v>Adquisición</v>
      </c>
      <c r="S2450" t="str">
        <f>TRIM(PROPER(Tabla_auditoría[[#This Row],[Responsable]]))</f>
        <v>Laura Pérez</v>
      </c>
    </row>
    <row r="2451" spans="1:19" x14ac:dyDescent="0.3">
      <c r="A2451" s="1">
        <v>45837</v>
      </c>
      <c r="B2451" s="2" t="s">
        <v>2570</v>
      </c>
      <c r="C2451" s="2" t="s">
        <v>2515</v>
      </c>
      <c r="D2451" s="2" t="s">
        <v>2522</v>
      </c>
      <c r="E2451" s="2" t="s">
        <v>2529</v>
      </c>
      <c r="F2451" s="3">
        <v>159170</v>
      </c>
      <c r="G2451" s="3">
        <v>13780</v>
      </c>
      <c r="H2451" s="3">
        <v>89</v>
      </c>
      <c r="I2451" s="4">
        <v>12935.9</v>
      </c>
      <c r="J2451" s="4">
        <v>9498.49</v>
      </c>
      <c r="K2451" s="3">
        <v>51</v>
      </c>
      <c r="L2451" s="2" t="s">
        <v>2523</v>
      </c>
      <c r="M2451" s="2" t="s">
        <v>2526</v>
      </c>
      <c r="N2451" t="str">
        <f>TRIM(PROPER(Tabla_auditoría[[#This Row],[ID_Campaña]]))</f>
        <v>Cmp-016</v>
      </c>
      <c r="O2451" t="str">
        <f>TRIM(PROPER(Tabla_auditoría[[#This Row],[Canal]]))</f>
        <v>Email</v>
      </c>
      <c r="P2451" t="str">
        <f>TRIM(PROPER(Tabla_auditoría[[#This Row],[País]]))</f>
        <v>Italia</v>
      </c>
      <c r="Q2451" t="str">
        <f>TRIM(PROPER(Tabla_auditoría[[#This Row],[Dispositivo]]))</f>
        <v>Mobile</v>
      </c>
      <c r="R2451" t="str">
        <f>TRIM(PROPER(Tabla_auditoría[[#This Row],[Tipo_Campaña]]))</f>
        <v>Retención</v>
      </c>
      <c r="S2451" t="str">
        <f>TRIM(PROPER(Tabla_auditoría[[#This Row],[Responsable]]))</f>
        <v>Laura Pérez</v>
      </c>
    </row>
    <row r="2452" spans="1:19" x14ac:dyDescent="0.3">
      <c r="A2452" s="1">
        <v>45847</v>
      </c>
      <c r="B2452" s="2" t="s">
        <v>2569</v>
      </c>
      <c r="C2452" s="2" t="s">
        <v>2541</v>
      </c>
      <c r="D2452" s="2" t="s">
        <v>2531</v>
      </c>
      <c r="E2452" s="2" t="s">
        <v>2529</v>
      </c>
      <c r="F2452" s="3">
        <v>36139</v>
      </c>
      <c r="G2452" s="3">
        <v>1076</v>
      </c>
      <c r="H2452" s="3">
        <v>102</v>
      </c>
      <c r="I2452" s="4">
        <v>1871.09</v>
      </c>
      <c r="J2452" s="4">
        <v>22056</v>
      </c>
      <c r="K2452" s="3">
        <v>70</v>
      </c>
      <c r="L2452" s="2" t="s">
        <v>2518</v>
      </c>
      <c r="M2452" s="2" t="s">
        <v>2526</v>
      </c>
      <c r="N2452" t="str">
        <f>TRIM(PROPER(Tabla_auditoría[[#This Row],[ID_Campaña]]))</f>
        <v>Cmp-013</v>
      </c>
      <c r="O2452" t="str">
        <f>TRIM(PROPER(Tabla_auditoría[[#This Row],[Canal]]))</f>
        <v>Display</v>
      </c>
      <c r="P2452" t="str">
        <f>TRIM(PROPER(Tabla_auditoría[[#This Row],[País]]))</f>
        <v>Portugal</v>
      </c>
      <c r="Q2452" t="str">
        <f>TRIM(PROPER(Tabla_auditoría[[#This Row],[Dispositivo]]))</f>
        <v>Mobile</v>
      </c>
      <c r="R2452" t="str">
        <f>TRIM(PROPER(Tabla_auditoría[[#This Row],[Tipo_Campaña]]))</f>
        <v>Adquisición</v>
      </c>
      <c r="S2452" t="str">
        <f>TRIM(PROPER(Tabla_auditoría[[#This Row],[Responsable]]))</f>
        <v>Laura Pérez</v>
      </c>
    </row>
    <row r="2453" spans="1:19" x14ac:dyDescent="0.3">
      <c r="A2453" s="1">
        <v>45835</v>
      </c>
      <c r="B2453" s="2" t="s">
        <v>2552</v>
      </c>
      <c r="C2453" s="2" t="s">
        <v>2515</v>
      </c>
      <c r="D2453" s="2" t="s">
        <v>2528</v>
      </c>
      <c r="E2453" s="2" t="s">
        <v>2561</v>
      </c>
      <c r="F2453" s="3">
        <v>141083</v>
      </c>
      <c r="G2453" s="3">
        <v>3457</v>
      </c>
      <c r="H2453" s="3">
        <v>80</v>
      </c>
      <c r="I2453" s="4">
        <v>1030.1300000000001</v>
      </c>
      <c r="J2453" s="4">
        <v>1990.29</v>
      </c>
      <c r="K2453" s="3">
        <v>50</v>
      </c>
      <c r="L2453" s="2" t="s">
        <v>2523</v>
      </c>
      <c r="M2453" s="2" t="s">
        <v>2524</v>
      </c>
      <c r="N2453" t="str">
        <f>TRIM(PROPER(Tabla_auditoría[[#This Row],[ID_Campaña]]))</f>
        <v>Cmp-012</v>
      </c>
      <c r="O2453" t="str">
        <f>TRIM(PROPER(Tabla_auditoría[[#This Row],[Canal]]))</f>
        <v>Email</v>
      </c>
      <c r="P2453" t="str">
        <f>TRIM(PROPER(Tabla_auditoría[[#This Row],[País]]))</f>
        <v>España</v>
      </c>
      <c r="Q2453" t="str">
        <f>TRIM(PROPER(Tabla_auditoría[[#This Row],[Dispositivo]]))</f>
        <v>Mobile</v>
      </c>
      <c r="R2453" t="str">
        <f>TRIM(PROPER(Tabla_auditoría[[#This Row],[Tipo_Campaña]]))</f>
        <v>Retención</v>
      </c>
      <c r="S2453" t="str">
        <f>TRIM(PROPER(Tabla_auditoría[[#This Row],[Responsable]]))</f>
        <v>Luis Martín</v>
      </c>
    </row>
    <row r="2454" spans="1:19" x14ac:dyDescent="0.3">
      <c r="A2454" s="1">
        <v>45865</v>
      </c>
      <c r="B2454" s="2" t="s">
        <v>2554</v>
      </c>
      <c r="C2454" s="2" t="s">
        <v>2515</v>
      </c>
      <c r="D2454" s="2" t="s">
        <v>2516</v>
      </c>
      <c r="E2454" s="2" t="s">
        <v>2529</v>
      </c>
      <c r="F2454" s="3">
        <v>22975</v>
      </c>
      <c r="G2454" s="3">
        <v>1068</v>
      </c>
      <c r="H2454" s="3">
        <v>79</v>
      </c>
      <c r="I2454" s="4">
        <v>595.24</v>
      </c>
      <c r="J2454" s="4">
        <v>16489.900000000001</v>
      </c>
      <c r="K2454" s="3">
        <v>49</v>
      </c>
      <c r="L2454" s="2" t="s">
        <v>2518</v>
      </c>
      <c r="M2454" s="2" t="s">
        <v>2537</v>
      </c>
      <c r="N2454" t="str">
        <f>TRIM(PROPER(Tabla_auditoría[[#This Row],[ID_Campaña]]))</f>
        <v>Cmp-019</v>
      </c>
      <c r="O2454" t="str">
        <f>TRIM(PROPER(Tabla_auditoría[[#This Row],[Canal]]))</f>
        <v>Email</v>
      </c>
      <c r="P2454" t="str">
        <f>TRIM(PROPER(Tabla_auditoría[[#This Row],[País]]))</f>
        <v>México</v>
      </c>
      <c r="Q2454" t="str">
        <f>TRIM(PROPER(Tabla_auditoría[[#This Row],[Dispositivo]]))</f>
        <v>Mobile</v>
      </c>
      <c r="R2454" t="str">
        <f>TRIM(PROPER(Tabla_auditoría[[#This Row],[Tipo_Campaña]]))</f>
        <v>Adquisición</v>
      </c>
      <c r="S2454" t="str">
        <f>TRIM(PROPER(Tabla_auditoría[[#This Row],[Responsable]]))</f>
        <v>Marta López</v>
      </c>
    </row>
    <row r="2455" spans="1:19" x14ac:dyDescent="0.3">
      <c r="A2455" s="1">
        <v>45738</v>
      </c>
      <c r="B2455" s="2" t="s">
        <v>2554</v>
      </c>
      <c r="C2455" s="2" t="s">
        <v>2533</v>
      </c>
      <c r="D2455" s="2" t="s">
        <v>2528</v>
      </c>
      <c r="E2455" s="2" t="s">
        <v>2529</v>
      </c>
      <c r="F2455" s="3">
        <v>100611</v>
      </c>
      <c r="G2455" s="3">
        <v>1676</v>
      </c>
      <c r="H2455" s="3">
        <v>34</v>
      </c>
      <c r="I2455" s="4">
        <v>614.26</v>
      </c>
      <c r="J2455" s="4">
        <v>1240.72</v>
      </c>
      <c r="K2455" s="3">
        <v>29</v>
      </c>
      <c r="L2455" s="2" t="s">
        <v>2539</v>
      </c>
      <c r="M2455" s="2" t="s">
        <v>2537</v>
      </c>
      <c r="N2455" t="str">
        <f>TRIM(PROPER(Tabla_auditoría[[#This Row],[ID_Campaña]]))</f>
        <v>Cmp-019</v>
      </c>
      <c r="O2455" t="str">
        <f>TRIM(PROPER(Tabla_auditoría[[#This Row],[Canal]]))</f>
        <v>Paid Social</v>
      </c>
      <c r="P2455" t="str">
        <f>TRIM(PROPER(Tabla_auditoría[[#This Row],[País]]))</f>
        <v>España</v>
      </c>
      <c r="Q2455" t="str">
        <f>TRIM(PROPER(Tabla_auditoría[[#This Row],[Dispositivo]]))</f>
        <v>Mobile</v>
      </c>
      <c r="R2455" t="str">
        <f>TRIM(PROPER(Tabla_auditoría[[#This Row],[Tipo_Campaña]]))</f>
        <v>Conversión</v>
      </c>
      <c r="S2455" t="str">
        <f>TRIM(PROPER(Tabla_auditoría[[#This Row],[Responsable]]))</f>
        <v>Marta López</v>
      </c>
    </row>
    <row r="2456" spans="1:19" x14ac:dyDescent="0.3">
      <c r="A2456" s="1">
        <v>45870</v>
      </c>
      <c r="B2456" s="2" t="s">
        <v>2545</v>
      </c>
      <c r="C2456" s="2" t="s">
        <v>2533</v>
      </c>
      <c r="D2456" s="2" t="s">
        <v>2528</v>
      </c>
      <c r="E2456" s="2" t="s">
        <v>2529</v>
      </c>
      <c r="F2456" s="3">
        <v>152141</v>
      </c>
      <c r="G2456" s="3">
        <v>11790</v>
      </c>
      <c r="H2456" s="3">
        <v>1271</v>
      </c>
      <c r="I2456" s="4">
        <v>1659.98</v>
      </c>
      <c r="J2456" s="4">
        <v>120772.99</v>
      </c>
      <c r="K2456" s="3">
        <v>944</v>
      </c>
      <c r="L2456" s="2" t="s">
        <v>2523</v>
      </c>
      <c r="M2456" s="2" t="s">
        <v>2546</v>
      </c>
      <c r="N2456" t="str">
        <f>TRIM(PROPER(Tabla_auditoría[[#This Row],[ID_Campaña]]))</f>
        <v>Cmp-011</v>
      </c>
      <c r="O2456" t="str">
        <f>TRIM(PROPER(Tabla_auditoría[[#This Row],[Canal]]))</f>
        <v>Paid Social</v>
      </c>
      <c r="P2456" t="str">
        <f>TRIM(PROPER(Tabla_auditoría[[#This Row],[País]]))</f>
        <v>España</v>
      </c>
      <c r="Q2456" t="str">
        <f>TRIM(PROPER(Tabla_auditoría[[#This Row],[Dispositivo]]))</f>
        <v>Mobile</v>
      </c>
      <c r="R2456" t="str">
        <f>TRIM(PROPER(Tabla_auditoría[[#This Row],[Tipo_Campaña]]))</f>
        <v>Retención</v>
      </c>
      <c r="S2456" t="str">
        <f>TRIM(PROPER(Tabla_auditoría[[#This Row],[Responsable]]))</f>
        <v>Ana García</v>
      </c>
    </row>
    <row r="2457" spans="1:19" x14ac:dyDescent="0.3">
      <c r="A2457" s="1">
        <v>45815</v>
      </c>
      <c r="B2457" s="2" t="s">
        <v>2563</v>
      </c>
      <c r="C2457" s="2" t="s">
        <v>2515</v>
      </c>
      <c r="D2457" s="2" t="s">
        <v>2528</v>
      </c>
      <c r="E2457" s="2" t="s">
        <v>2517</v>
      </c>
      <c r="F2457" s="3">
        <v>54026</v>
      </c>
      <c r="G2457" s="3">
        <v>4736</v>
      </c>
      <c r="H2457" s="3">
        <v>184</v>
      </c>
      <c r="I2457" s="4">
        <v>9548.18</v>
      </c>
      <c r="J2457" s="4">
        <v>30139.31</v>
      </c>
      <c r="K2457" s="3">
        <v>85</v>
      </c>
      <c r="L2457" s="2" t="s">
        <v>2523</v>
      </c>
      <c r="M2457" s="2" t="s">
        <v>2519</v>
      </c>
      <c r="N2457" t="str">
        <f>TRIM(PROPER(Tabla_auditoría[[#This Row],[ID_Campaña]]))</f>
        <v>Cmp-023</v>
      </c>
      <c r="O2457" t="str">
        <f>TRIM(PROPER(Tabla_auditoría[[#This Row],[Canal]]))</f>
        <v>Email</v>
      </c>
      <c r="P2457" t="str">
        <f>TRIM(PROPER(Tabla_auditoría[[#This Row],[País]]))</f>
        <v>España</v>
      </c>
      <c r="Q2457" t="str">
        <f>TRIM(PROPER(Tabla_auditoría[[#This Row],[Dispositivo]]))</f>
        <v>Desktop</v>
      </c>
      <c r="R2457" t="str">
        <f>TRIM(PROPER(Tabla_auditoría[[#This Row],[Tipo_Campaña]]))</f>
        <v>Retención</v>
      </c>
      <c r="S2457" t="str">
        <f>TRIM(PROPER(Tabla_auditoría[[#This Row],[Responsable]]))</f>
        <v>Carlos Ruiz</v>
      </c>
    </row>
    <row r="2458" spans="1:19" x14ac:dyDescent="0.3">
      <c r="A2458" s="1">
        <v>45678</v>
      </c>
      <c r="B2458" s="2" t="s">
        <v>2557</v>
      </c>
      <c r="C2458" s="2" t="s">
        <v>2543</v>
      </c>
      <c r="D2458" s="2" t="s">
        <v>2531</v>
      </c>
      <c r="E2458" s="2" t="s">
        <v>2529</v>
      </c>
      <c r="F2458" s="3">
        <v>49736</v>
      </c>
      <c r="G2458" s="3">
        <v>787</v>
      </c>
      <c r="H2458" s="3">
        <v>16</v>
      </c>
      <c r="I2458" s="4">
        <v>1254.3</v>
      </c>
      <c r="J2458" s="4">
        <v>2345.4299999999998</v>
      </c>
      <c r="K2458" s="3">
        <v>7</v>
      </c>
      <c r="L2458" s="2" t="s">
        <v>2518</v>
      </c>
      <c r="M2458" s="2" t="s">
        <v>2524</v>
      </c>
      <c r="N2458" t="str">
        <f>TRIM(PROPER(Tabla_auditoría[[#This Row],[ID_Campaña]]))</f>
        <v>Cmp-030</v>
      </c>
      <c r="O2458" t="str">
        <f>TRIM(PROPER(Tabla_auditoría[[#This Row],[Canal]]))</f>
        <v>Organic Social</v>
      </c>
      <c r="P2458" t="str">
        <f>TRIM(PROPER(Tabla_auditoría[[#This Row],[País]]))</f>
        <v>Portugal</v>
      </c>
      <c r="Q2458" t="str">
        <f>TRIM(PROPER(Tabla_auditoría[[#This Row],[Dispositivo]]))</f>
        <v>Mobile</v>
      </c>
      <c r="R2458" t="str">
        <f>TRIM(PROPER(Tabla_auditoría[[#This Row],[Tipo_Campaña]]))</f>
        <v>Adquisición</v>
      </c>
      <c r="S2458" t="str">
        <f>TRIM(PROPER(Tabla_auditoría[[#This Row],[Responsable]]))</f>
        <v>Luis Martín</v>
      </c>
    </row>
    <row r="2459" spans="1:19" x14ac:dyDescent="0.3">
      <c r="A2459" s="1">
        <v>45760</v>
      </c>
      <c r="B2459" s="2" t="s">
        <v>2574</v>
      </c>
      <c r="C2459" s="2" t="s">
        <v>2521</v>
      </c>
      <c r="D2459" s="2" t="s">
        <v>2525</v>
      </c>
      <c r="E2459" s="2" t="s">
        <v>2529</v>
      </c>
      <c r="F2459" s="3">
        <v>80964</v>
      </c>
      <c r="G2459" s="3">
        <v>6340</v>
      </c>
      <c r="H2459" s="3">
        <v>40</v>
      </c>
      <c r="I2459" s="4">
        <v>12407.19</v>
      </c>
      <c r="J2459" s="4">
        <v>2860.03</v>
      </c>
      <c r="K2459" s="3">
        <v>31</v>
      </c>
      <c r="L2459" s="2" t="s">
        <v>2523</v>
      </c>
      <c r="M2459" s="2" t="s">
        <v>2519</v>
      </c>
      <c r="N2459" t="str">
        <f>TRIM(PROPER(Tabla_auditoría[[#This Row],[ID_Campaña]]))</f>
        <v>Cmp-003</v>
      </c>
      <c r="O2459" t="str">
        <f>TRIM(PROPER(Tabla_auditoría[[#This Row],[Canal]]))</f>
        <v>Paid Search</v>
      </c>
      <c r="P2459" t="str">
        <f>TRIM(PROPER(Tabla_auditoría[[#This Row],[País]]))</f>
        <v>Francia</v>
      </c>
      <c r="Q2459" t="str">
        <f>TRIM(PROPER(Tabla_auditoría[[#This Row],[Dispositivo]]))</f>
        <v>Mobile</v>
      </c>
      <c r="R2459" t="str">
        <f>TRIM(PROPER(Tabla_auditoría[[#This Row],[Tipo_Campaña]]))</f>
        <v>Retención</v>
      </c>
      <c r="S2459" t="str">
        <f>TRIM(PROPER(Tabla_auditoría[[#This Row],[Responsable]]))</f>
        <v>Carlos Ruiz</v>
      </c>
    </row>
    <row r="2460" spans="1:19" x14ac:dyDescent="0.3">
      <c r="A2460" s="1">
        <v>45678</v>
      </c>
      <c r="B2460" s="2" t="s">
        <v>2566</v>
      </c>
      <c r="C2460" s="2" t="s">
        <v>2541</v>
      </c>
      <c r="D2460" s="2" t="s">
        <v>2528</v>
      </c>
      <c r="E2460" s="2" t="s">
        <v>2529</v>
      </c>
      <c r="F2460" s="3">
        <v>101307</v>
      </c>
      <c r="G2460" s="3">
        <v>4951</v>
      </c>
      <c r="H2460" s="3">
        <v>33</v>
      </c>
      <c r="I2460" s="4">
        <v>2857.18</v>
      </c>
      <c r="J2460" s="4">
        <v>1326.66</v>
      </c>
      <c r="K2460" s="3">
        <v>19</v>
      </c>
      <c r="L2460" s="2" t="s">
        <v>2523</v>
      </c>
      <c r="M2460" s="2" t="s">
        <v>2546</v>
      </c>
      <c r="N2460" t="str">
        <f>TRIM(PROPER(Tabla_auditoría[[#This Row],[ID_Campaña]]))</f>
        <v>Cmp-001</v>
      </c>
      <c r="O2460" t="str">
        <f>TRIM(PROPER(Tabla_auditoría[[#This Row],[Canal]]))</f>
        <v>Display</v>
      </c>
      <c r="P2460" t="str">
        <f>TRIM(PROPER(Tabla_auditoría[[#This Row],[País]]))</f>
        <v>España</v>
      </c>
      <c r="Q2460" t="str">
        <f>TRIM(PROPER(Tabla_auditoría[[#This Row],[Dispositivo]]))</f>
        <v>Mobile</v>
      </c>
      <c r="R2460" t="str">
        <f>TRIM(PROPER(Tabla_auditoría[[#This Row],[Tipo_Campaña]]))</f>
        <v>Retención</v>
      </c>
      <c r="S2460" t="str">
        <f>TRIM(PROPER(Tabla_auditoría[[#This Row],[Responsable]]))</f>
        <v>Ana García</v>
      </c>
    </row>
    <row r="2461" spans="1:19" x14ac:dyDescent="0.3">
      <c r="A2461" s="1">
        <v>45676</v>
      </c>
      <c r="B2461" s="2" t="s">
        <v>2547</v>
      </c>
      <c r="C2461" s="2" t="s">
        <v>2527</v>
      </c>
      <c r="D2461" s="2" t="s">
        <v>2516</v>
      </c>
      <c r="E2461" s="2" t="s">
        <v>2517</v>
      </c>
      <c r="F2461" s="3">
        <v>72780</v>
      </c>
      <c r="G2461" s="3">
        <v>4278</v>
      </c>
      <c r="H2461" s="3">
        <v>512</v>
      </c>
      <c r="I2461" s="4">
        <v>951.71</v>
      </c>
      <c r="J2461" s="4">
        <v>24263.63</v>
      </c>
      <c r="K2461" s="3">
        <v>367</v>
      </c>
      <c r="L2461" s="2" t="s">
        <v>2518</v>
      </c>
      <c r="M2461" s="2" t="s">
        <v>2546</v>
      </c>
      <c r="N2461" t="str">
        <f>TRIM(PROPER(Tabla_auditoría[[#This Row],[ID_Campaña]]))</f>
        <v>Cmp-018</v>
      </c>
      <c r="O2461" t="str">
        <f>TRIM(PROPER(Tabla_auditoría[[#This Row],[Canal]]))</f>
        <v>Affiliate</v>
      </c>
      <c r="P2461" t="str">
        <f>TRIM(PROPER(Tabla_auditoría[[#This Row],[País]]))</f>
        <v>México</v>
      </c>
      <c r="Q2461" t="str">
        <f>TRIM(PROPER(Tabla_auditoría[[#This Row],[Dispositivo]]))</f>
        <v>Desktop</v>
      </c>
      <c r="R2461" t="str">
        <f>TRIM(PROPER(Tabla_auditoría[[#This Row],[Tipo_Campaña]]))</f>
        <v>Adquisición</v>
      </c>
      <c r="S2461" t="str">
        <f>TRIM(PROPER(Tabla_auditoría[[#This Row],[Responsable]]))</f>
        <v>Ana García</v>
      </c>
    </row>
    <row r="2462" spans="1:19" x14ac:dyDescent="0.3">
      <c r="A2462" s="1">
        <v>46011</v>
      </c>
      <c r="B2462" s="2" t="s">
        <v>2545</v>
      </c>
      <c r="C2462" s="2" t="s">
        <v>2533</v>
      </c>
      <c r="D2462" s="2" t="s">
        <v>2528</v>
      </c>
      <c r="E2462" s="2" t="s">
        <v>2517</v>
      </c>
      <c r="F2462" s="3">
        <v>18565</v>
      </c>
      <c r="G2462" s="3">
        <v>1247</v>
      </c>
      <c r="H2462" s="3">
        <v>74</v>
      </c>
      <c r="I2462" s="4">
        <v>1565.04</v>
      </c>
      <c r="J2462" s="4">
        <v>6293.62</v>
      </c>
      <c r="K2462" s="3">
        <v>40</v>
      </c>
      <c r="L2462" s="2" t="s">
        <v>2539</v>
      </c>
      <c r="M2462" s="2" t="s">
        <v>2524</v>
      </c>
      <c r="N2462" t="str">
        <f>TRIM(PROPER(Tabla_auditoría[[#This Row],[ID_Campaña]]))</f>
        <v>Cmp-011</v>
      </c>
      <c r="O2462" t="str">
        <f>TRIM(PROPER(Tabla_auditoría[[#This Row],[Canal]]))</f>
        <v>Paid Social</v>
      </c>
      <c r="P2462" t="str">
        <f>TRIM(PROPER(Tabla_auditoría[[#This Row],[País]]))</f>
        <v>España</v>
      </c>
      <c r="Q2462" t="str">
        <f>TRIM(PROPER(Tabla_auditoría[[#This Row],[Dispositivo]]))</f>
        <v>Desktop</v>
      </c>
      <c r="R2462" t="str">
        <f>TRIM(PROPER(Tabla_auditoría[[#This Row],[Tipo_Campaña]]))</f>
        <v>Conversión</v>
      </c>
      <c r="S2462" t="str">
        <f>TRIM(PROPER(Tabla_auditoría[[#This Row],[Responsable]]))</f>
        <v>Luis Martín</v>
      </c>
    </row>
    <row r="2463" spans="1:19" x14ac:dyDescent="0.3">
      <c r="A2463" s="1">
        <v>45712</v>
      </c>
      <c r="B2463" s="2" t="s">
        <v>2554</v>
      </c>
      <c r="C2463" s="2" t="s">
        <v>2527</v>
      </c>
      <c r="D2463" s="2" t="s">
        <v>2516</v>
      </c>
      <c r="E2463" s="2" t="s">
        <v>2517</v>
      </c>
      <c r="F2463" s="3">
        <v>26290</v>
      </c>
      <c r="G2463" s="3">
        <v>349</v>
      </c>
      <c r="H2463" s="3">
        <v>39</v>
      </c>
      <c r="I2463" s="4">
        <v>702.38</v>
      </c>
      <c r="J2463" s="4">
        <v>4895.63</v>
      </c>
      <c r="K2463" s="3">
        <v>19</v>
      </c>
      <c r="L2463" s="2" t="s">
        <v>2536</v>
      </c>
      <c r="M2463" s="2" t="s">
        <v>2524</v>
      </c>
      <c r="N2463" t="str">
        <f>TRIM(PROPER(Tabla_auditoría[[#This Row],[ID_Campaña]]))</f>
        <v>Cmp-019</v>
      </c>
      <c r="O2463" t="str">
        <f>TRIM(PROPER(Tabla_auditoría[[#This Row],[Canal]]))</f>
        <v>Affiliate</v>
      </c>
      <c r="P2463" t="str">
        <f>TRIM(PROPER(Tabla_auditoría[[#This Row],[País]]))</f>
        <v>México</v>
      </c>
      <c r="Q2463" t="str">
        <f>TRIM(PROPER(Tabla_auditoría[[#This Row],[Dispositivo]]))</f>
        <v>Desktop</v>
      </c>
      <c r="R2463" t="str">
        <f>TRIM(PROPER(Tabla_auditoría[[#This Row],[Tipo_Campaña]]))</f>
        <v>Reconocimiento</v>
      </c>
      <c r="S2463" t="str">
        <f>TRIM(PROPER(Tabla_auditoría[[#This Row],[Responsable]]))</f>
        <v>Luis Martín</v>
      </c>
    </row>
    <row r="2464" spans="1:19" x14ac:dyDescent="0.3">
      <c r="A2464" s="1">
        <v>45740</v>
      </c>
      <c r="B2464" s="2" t="s">
        <v>2565</v>
      </c>
      <c r="C2464" s="2" t="s">
        <v>2541</v>
      </c>
      <c r="D2464" s="2" t="s">
        <v>2528</v>
      </c>
      <c r="E2464" s="2" t="s">
        <v>2529</v>
      </c>
      <c r="F2464" s="3">
        <v>96040</v>
      </c>
      <c r="G2464" s="3">
        <v>3500</v>
      </c>
      <c r="H2464" s="3">
        <v>398</v>
      </c>
      <c r="I2464" s="4">
        <v>5383.58</v>
      </c>
      <c r="J2464" s="4">
        <v>52931.57</v>
      </c>
      <c r="K2464" s="3">
        <v>180</v>
      </c>
      <c r="L2464" s="2" t="s">
        <v>2523</v>
      </c>
      <c r="M2464" s="2" t="s">
        <v>2526</v>
      </c>
      <c r="N2464" t="str">
        <f>TRIM(PROPER(Tabla_auditoría[[#This Row],[ID_Campaña]]))</f>
        <v>Cmp-005</v>
      </c>
      <c r="O2464" t="str">
        <f>TRIM(PROPER(Tabla_auditoría[[#This Row],[Canal]]))</f>
        <v>Display</v>
      </c>
      <c r="P2464" t="str">
        <f>TRIM(PROPER(Tabla_auditoría[[#This Row],[País]]))</f>
        <v>España</v>
      </c>
      <c r="Q2464" t="str">
        <f>TRIM(PROPER(Tabla_auditoría[[#This Row],[Dispositivo]]))</f>
        <v>Mobile</v>
      </c>
      <c r="R2464" t="str">
        <f>TRIM(PROPER(Tabla_auditoría[[#This Row],[Tipo_Campaña]]))</f>
        <v>Retención</v>
      </c>
      <c r="S2464" t="str">
        <f>TRIM(PROPER(Tabla_auditoría[[#This Row],[Responsable]]))</f>
        <v>Laura Pérez</v>
      </c>
    </row>
    <row r="2465" spans="1:19" x14ac:dyDescent="0.3">
      <c r="A2465" s="1">
        <v>45909</v>
      </c>
      <c r="B2465" s="2" t="s">
        <v>2568</v>
      </c>
      <c r="C2465" s="2" t="s">
        <v>2527</v>
      </c>
      <c r="D2465" s="2" t="s">
        <v>2525</v>
      </c>
      <c r="E2465" s="2" t="s">
        <v>2517</v>
      </c>
      <c r="F2465" s="3">
        <v>91403</v>
      </c>
      <c r="G2465" s="3">
        <v>7958</v>
      </c>
      <c r="H2465" s="3">
        <v>355</v>
      </c>
      <c r="I2465" s="4">
        <v>5697.89</v>
      </c>
      <c r="J2465" s="4">
        <v>70001.48</v>
      </c>
      <c r="K2465" s="3">
        <v>164</v>
      </c>
      <c r="L2465" s="2" t="s">
        <v>2518</v>
      </c>
      <c r="M2465" s="2" t="s">
        <v>2546</v>
      </c>
      <c r="N2465" t="str">
        <f>TRIM(PROPER(Tabla_auditoría[[#This Row],[ID_Campaña]]))</f>
        <v>Cmp-020</v>
      </c>
      <c r="O2465" t="str">
        <f>TRIM(PROPER(Tabla_auditoría[[#This Row],[Canal]]))</f>
        <v>Affiliate</v>
      </c>
      <c r="P2465" t="str">
        <f>TRIM(PROPER(Tabla_auditoría[[#This Row],[País]]))</f>
        <v>Francia</v>
      </c>
      <c r="Q2465" t="str">
        <f>TRIM(PROPER(Tabla_auditoría[[#This Row],[Dispositivo]]))</f>
        <v>Desktop</v>
      </c>
      <c r="R2465" t="str">
        <f>TRIM(PROPER(Tabla_auditoría[[#This Row],[Tipo_Campaña]]))</f>
        <v>Adquisición</v>
      </c>
      <c r="S2465" t="str">
        <f>TRIM(PROPER(Tabla_auditoría[[#This Row],[Responsable]]))</f>
        <v>Ana García</v>
      </c>
    </row>
    <row r="2466" spans="1:19" x14ac:dyDescent="0.3">
      <c r="A2466" s="1">
        <v>45705</v>
      </c>
      <c r="B2466" s="2" t="s">
        <v>2568</v>
      </c>
      <c r="C2466" s="2" t="s">
        <v>2541</v>
      </c>
      <c r="D2466" s="2" t="s">
        <v>2516</v>
      </c>
      <c r="E2466" s="2" t="s">
        <v>2517</v>
      </c>
      <c r="F2466" s="3">
        <v>41194</v>
      </c>
      <c r="G2466" s="3">
        <v>3055</v>
      </c>
      <c r="H2466" s="3">
        <v>282</v>
      </c>
      <c r="I2466" s="4">
        <v>1682.94</v>
      </c>
      <c r="J2466" s="4">
        <v>19862.990000000002</v>
      </c>
      <c r="K2466" s="3">
        <v>209</v>
      </c>
      <c r="L2466" s="2" t="s">
        <v>2518</v>
      </c>
      <c r="M2466" s="2" t="s">
        <v>2526</v>
      </c>
      <c r="N2466" t="str">
        <f>TRIM(PROPER(Tabla_auditoría[[#This Row],[ID_Campaña]]))</f>
        <v>Cmp-020</v>
      </c>
      <c r="O2466" t="str">
        <f>TRIM(PROPER(Tabla_auditoría[[#This Row],[Canal]]))</f>
        <v>Display</v>
      </c>
      <c r="P2466" t="str">
        <f>TRIM(PROPER(Tabla_auditoría[[#This Row],[País]]))</f>
        <v>México</v>
      </c>
      <c r="Q2466" t="str">
        <f>TRIM(PROPER(Tabla_auditoría[[#This Row],[Dispositivo]]))</f>
        <v>Desktop</v>
      </c>
      <c r="R2466" t="str">
        <f>TRIM(PROPER(Tabla_auditoría[[#This Row],[Tipo_Campaña]]))</f>
        <v>Adquisición</v>
      </c>
      <c r="S2466" t="str">
        <f>TRIM(PROPER(Tabla_auditoría[[#This Row],[Responsable]]))</f>
        <v>Laura Pérez</v>
      </c>
    </row>
    <row r="2467" spans="1:19" x14ac:dyDescent="0.3">
      <c r="A2467" s="1">
        <v>45716</v>
      </c>
      <c r="B2467" s="2" t="s">
        <v>2530</v>
      </c>
      <c r="C2467" s="2" t="s">
        <v>2527</v>
      </c>
      <c r="D2467" s="2" t="s">
        <v>2522</v>
      </c>
      <c r="E2467" s="2" t="s">
        <v>2534</v>
      </c>
      <c r="F2467" s="3">
        <v>71272</v>
      </c>
      <c r="G2467" s="3">
        <v>461</v>
      </c>
      <c r="H2467" s="3">
        <v>28</v>
      </c>
      <c r="I2467" s="4">
        <v>559.41999999999996</v>
      </c>
      <c r="J2467" s="4">
        <v>5087.5200000000004</v>
      </c>
      <c r="K2467" s="3">
        <v>14</v>
      </c>
      <c r="L2467" s="2" t="s">
        <v>2518</v>
      </c>
      <c r="M2467" s="2" t="s">
        <v>2524</v>
      </c>
      <c r="N2467" t="str">
        <f>TRIM(PROPER(Tabla_auditoría[[#This Row],[ID_Campaña]]))</f>
        <v>Cmp-026</v>
      </c>
      <c r="O2467" t="str">
        <f>TRIM(PROPER(Tabla_auditoría[[#This Row],[Canal]]))</f>
        <v>Affiliate</v>
      </c>
      <c r="P2467" t="str">
        <f>TRIM(PROPER(Tabla_auditoría[[#This Row],[País]]))</f>
        <v>Italia</v>
      </c>
      <c r="Q2467" t="str">
        <f>TRIM(PROPER(Tabla_auditoría[[#This Row],[Dispositivo]]))</f>
        <v>Tablet</v>
      </c>
      <c r="R2467" t="str">
        <f>TRIM(PROPER(Tabla_auditoría[[#This Row],[Tipo_Campaña]]))</f>
        <v>Adquisición</v>
      </c>
      <c r="S2467" t="str">
        <f>TRIM(PROPER(Tabla_auditoría[[#This Row],[Responsable]]))</f>
        <v>Luis Martín</v>
      </c>
    </row>
    <row r="2468" spans="1:19" x14ac:dyDescent="0.3">
      <c r="A2468" s="1">
        <v>45774</v>
      </c>
      <c r="B2468" s="2" t="s">
        <v>2563</v>
      </c>
      <c r="C2468" s="2" t="s">
        <v>2543</v>
      </c>
      <c r="D2468" s="2" t="s">
        <v>2528</v>
      </c>
      <c r="E2468" s="2" t="s">
        <v>2529</v>
      </c>
      <c r="F2468" s="3">
        <v>124841</v>
      </c>
      <c r="G2468" s="3">
        <v>1968</v>
      </c>
      <c r="H2468" s="3">
        <v>153</v>
      </c>
      <c r="I2468" s="4">
        <v>1671.86</v>
      </c>
      <c r="J2468" s="4">
        <v>11659.99</v>
      </c>
      <c r="K2468" s="3">
        <v>136</v>
      </c>
      <c r="L2468" s="2" t="s">
        <v>2539</v>
      </c>
      <c r="M2468" s="2" t="s">
        <v>2526</v>
      </c>
      <c r="N2468" t="str">
        <f>TRIM(PROPER(Tabla_auditoría[[#This Row],[ID_Campaña]]))</f>
        <v>Cmp-023</v>
      </c>
      <c r="O2468" t="str">
        <f>TRIM(PROPER(Tabla_auditoría[[#This Row],[Canal]]))</f>
        <v>Organic Social</v>
      </c>
      <c r="P2468" t="str">
        <f>TRIM(PROPER(Tabla_auditoría[[#This Row],[País]]))</f>
        <v>España</v>
      </c>
      <c r="Q2468" t="str">
        <f>TRIM(PROPER(Tabla_auditoría[[#This Row],[Dispositivo]]))</f>
        <v>Mobile</v>
      </c>
      <c r="R2468" t="str">
        <f>TRIM(PROPER(Tabla_auditoría[[#This Row],[Tipo_Campaña]]))</f>
        <v>Conversión</v>
      </c>
      <c r="S2468" t="str">
        <f>TRIM(PROPER(Tabla_auditoría[[#This Row],[Responsable]]))</f>
        <v>Laura Pérez</v>
      </c>
    </row>
    <row r="2469" spans="1:19" x14ac:dyDescent="0.3">
      <c r="A2469" s="1">
        <v>45706</v>
      </c>
      <c r="B2469" s="2" t="s">
        <v>2544</v>
      </c>
      <c r="C2469" s="2" t="s">
        <v>2543</v>
      </c>
      <c r="D2469" s="2" t="s">
        <v>2528</v>
      </c>
      <c r="E2469" s="2" t="s">
        <v>2529</v>
      </c>
      <c r="F2469" s="3">
        <v>122209</v>
      </c>
      <c r="G2469" s="3">
        <v>7448</v>
      </c>
      <c r="H2469" s="3">
        <v>878</v>
      </c>
      <c r="I2469" s="4">
        <v>3623.81</v>
      </c>
      <c r="J2469" s="4">
        <v>147409.71</v>
      </c>
      <c r="K2469" s="3">
        <v>545</v>
      </c>
      <c r="L2469" s="2" t="s">
        <v>2518</v>
      </c>
      <c r="M2469" s="2" t="s">
        <v>2524</v>
      </c>
      <c r="N2469" t="str">
        <f>TRIM(PROPER(Tabla_auditoría[[#This Row],[ID_Campaña]]))</f>
        <v>Cmp-006</v>
      </c>
      <c r="O2469" t="str">
        <f>TRIM(PROPER(Tabla_auditoría[[#This Row],[Canal]]))</f>
        <v>Organic Social</v>
      </c>
      <c r="P2469" t="str">
        <f>TRIM(PROPER(Tabla_auditoría[[#This Row],[País]]))</f>
        <v>España</v>
      </c>
      <c r="Q2469" t="str">
        <f>TRIM(PROPER(Tabla_auditoría[[#This Row],[Dispositivo]]))</f>
        <v>Mobile</v>
      </c>
      <c r="R2469" t="str">
        <f>TRIM(PROPER(Tabla_auditoría[[#This Row],[Tipo_Campaña]]))</f>
        <v>Adquisición</v>
      </c>
      <c r="S2469" t="str">
        <f>TRIM(PROPER(Tabla_auditoría[[#This Row],[Responsable]]))</f>
        <v>Luis Martín</v>
      </c>
    </row>
    <row r="2470" spans="1:19" x14ac:dyDescent="0.3">
      <c r="A2470" s="1">
        <v>45859</v>
      </c>
      <c r="B2470" s="2" t="s">
        <v>2574</v>
      </c>
      <c r="C2470" s="2" t="s">
        <v>2541</v>
      </c>
      <c r="D2470" s="2" t="s">
        <v>2528</v>
      </c>
      <c r="E2470" s="2" t="s">
        <v>2529</v>
      </c>
      <c r="F2470" s="3">
        <v>7795</v>
      </c>
      <c r="G2470" s="3">
        <v>170</v>
      </c>
      <c r="H2470" s="3">
        <v>19</v>
      </c>
      <c r="I2470" s="4">
        <v>106.63</v>
      </c>
      <c r="J2470" s="4">
        <v>920.32</v>
      </c>
      <c r="K2470" s="3">
        <v>14</v>
      </c>
      <c r="L2470" s="2" t="s">
        <v>2523</v>
      </c>
      <c r="M2470" s="2" t="s">
        <v>2524</v>
      </c>
      <c r="N2470" t="str">
        <f>TRIM(PROPER(Tabla_auditoría[[#This Row],[ID_Campaña]]))</f>
        <v>Cmp-003</v>
      </c>
      <c r="O2470" t="str">
        <f>TRIM(PROPER(Tabla_auditoría[[#This Row],[Canal]]))</f>
        <v>Display</v>
      </c>
      <c r="P2470" t="str">
        <f>TRIM(PROPER(Tabla_auditoría[[#This Row],[País]]))</f>
        <v>España</v>
      </c>
      <c r="Q2470" t="str">
        <f>TRIM(PROPER(Tabla_auditoría[[#This Row],[Dispositivo]]))</f>
        <v>Mobile</v>
      </c>
      <c r="R2470" t="str">
        <f>TRIM(PROPER(Tabla_auditoría[[#This Row],[Tipo_Campaña]]))</f>
        <v>Retención</v>
      </c>
      <c r="S2470" t="str">
        <f>TRIM(PROPER(Tabla_auditoría[[#This Row],[Responsable]]))</f>
        <v>Luis Martín</v>
      </c>
    </row>
    <row r="2471" spans="1:19" x14ac:dyDescent="0.3">
      <c r="A2471" s="1">
        <v>45780</v>
      </c>
      <c r="B2471" s="2" t="s">
        <v>2538</v>
      </c>
      <c r="C2471" s="2" t="s">
        <v>2541</v>
      </c>
      <c r="D2471" s="2" t="s">
        <v>2516</v>
      </c>
      <c r="E2471" s="2" t="s">
        <v>2529</v>
      </c>
      <c r="F2471" s="3">
        <v>58941</v>
      </c>
      <c r="G2471" s="3">
        <v>1271</v>
      </c>
      <c r="H2471" s="3">
        <v>63</v>
      </c>
      <c r="I2471" s="4">
        <v>1703.72</v>
      </c>
      <c r="J2471" s="4">
        <v>10931.68</v>
      </c>
      <c r="K2471" s="3">
        <v>43</v>
      </c>
      <c r="L2471" s="2" t="s">
        <v>2523</v>
      </c>
      <c r="M2471" s="2" t="s">
        <v>2519</v>
      </c>
      <c r="N2471" t="str">
        <f>TRIM(PROPER(Tabla_auditoría[[#This Row],[ID_Campaña]]))</f>
        <v>Cmp-004</v>
      </c>
      <c r="O2471" t="str">
        <f>TRIM(PROPER(Tabla_auditoría[[#This Row],[Canal]]))</f>
        <v>Display</v>
      </c>
      <c r="P2471" t="str">
        <f>TRIM(PROPER(Tabla_auditoría[[#This Row],[País]]))</f>
        <v>México</v>
      </c>
      <c r="Q2471" t="str">
        <f>TRIM(PROPER(Tabla_auditoría[[#This Row],[Dispositivo]]))</f>
        <v>Mobile</v>
      </c>
      <c r="R2471" t="str">
        <f>TRIM(PROPER(Tabla_auditoría[[#This Row],[Tipo_Campaña]]))</f>
        <v>Retención</v>
      </c>
      <c r="S2471" t="str">
        <f>TRIM(PROPER(Tabla_auditoría[[#This Row],[Responsable]]))</f>
        <v>Carlos Ruiz</v>
      </c>
    </row>
    <row r="2472" spans="1:19" x14ac:dyDescent="0.3">
      <c r="A2472" s="1">
        <v>45925</v>
      </c>
      <c r="B2472" s="2" t="s">
        <v>2574</v>
      </c>
      <c r="C2472" s="2" t="s">
        <v>2541</v>
      </c>
      <c r="D2472" s="2" t="s">
        <v>2528</v>
      </c>
      <c r="E2472" s="2" t="s">
        <v>2517</v>
      </c>
      <c r="F2472" s="3">
        <v>83493</v>
      </c>
      <c r="G2472" s="3">
        <v>4386</v>
      </c>
      <c r="H2472" s="3">
        <v>161</v>
      </c>
      <c r="I2472" s="4">
        <v>978.91</v>
      </c>
      <c r="J2472" s="4">
        <v>27505.75</v>
      </c>
      <c r="K2472" s="3">
        <v>101</v>
      </c>
      <c r="L2472" s="2" t="s">
        <v>2523</v>
      </c>
      <c r="M2472" s="2" t="s">
        <v>2519</v>
      </c>
      <c r="N2472" t="str">
        <f>TRIM(PROPER(Tabla_auditoría[[#This Row],[ID_Campaña]]))</f>
        <v>Cmp-003</v>
      </c>
      <c r="O2472" t="str">
        <f>TRIM(PROPER(Tabla_auditoría[[#This Row],[Canal]]))</f>
        <v>Display</v>
      </c>
      <c r="P2472" t="str">
        <f>TRIM(PROPER(Tabla_auditoría[[#This Row],[País]]))</f>
        <v>España</v>
      </c>
      <c r="Q2472" t="str">
        <f>TRIM(PROPER(Tabla_auditoría[[#This Row],[Dispositivo]]))</f>
        <v>Desktop</v>
      </c>
      <c r="R2472" t="str">
        <f>TRIM(PROPER(Tabla_auditoría[[#This Row],[Tipo_Campaña]]))</f>
        <v>Retención</v>
      </c>
      <c r="S2472" t="str">
        <f>TRIM(PROPER(Tabla_auditoría[[#This Row],[Responsable]]))</f>
        <v>Carlos Ruiz</v>
      </c>
    </row>
    <row r="2473" spans="1:19" x14ac:dyDescent="0.3">
      <c r="A2473" s="1">
        <v>45880</v>
      </c>
      <c r="B2473" s="2" t="s">
        <v>2571</v>
      </c>
      <c r="C2473" s="2" t="s">
        <v>2541</v>
      </c>
      <c r="D2473" s="2" t="s">
        <v>2528</v>
      </c>
      <c r="E2473" s="2" t="s">
        <v>2517</v>
      </c>
      <c r="F2473" s="3">
        <v>68958</v>
      </c>
      <c r="G2473" s="3">
        <v>2991</v>
      </c>
      <c r="H2473" s="3">
        <v>232</v>
      </c>
      <c r="I2473" s="4">
        <v>813.89</v>
      </c>
      <c r="J2473" s="4">
        <v>32807.15</v>
      </c>
      <c r="K2473" s="3">
        <v>185</v>
      </c>
      <c r="L2473" s="2" t="s">
        <v>2536</v>
      </c>
      <c r="M2473" s="2" t="s">
        <v>2546</v>
      </c>
      <c r="N2473" t="str">
        <f>TRIM(PROPER(Tabla_auditoría[[#This Row],[ID_Campaña]]))</f>
        <v>Cmp-029</v>
      </c>
      <c r="O2473" t="str">
        <f>TRIM(PROPER(Tabla_auditoría[[#This Row],[Canal]]))</f>
        <v>Display</v>
      </c>
      <c r="P2473" t="str">
        <f>TRIM(PROPER(Tabla_auditoría[[#This Row],[País]]))</f>
        <v>España</v>
      </c>
      <c r="Q2473" t="str">
        <f>TRIM(PROPER(Tabla_auditoría[[#This Row],[Dispositivo]]))</f>
        <v>Desktop</v>
      </c>
      <c r="R2473" t="str">
        <f>TRIM(PROPER(Tabla_auditoría[[#This Row],[Tipo_Campaña]]))</f>
        <v>Reconocimiento</v>
      </c>
      <c r="S2473" t="str">
        <f>TRIM(PROPER(Tabla_auditoría[[#This Row],[Responsable]]))</f>
        <v>Ana García</v>
      </c>
    </row>
    <row r="2474" spans="1:19" x14ac:dyDescent="0.3">
      <c r="A2474" s="1">
        <v>45984</v>
      </c>
      <c r="B2474" s="2" t="s">
        <v>2566</v>
      </c>
      <c r="C2474" s="2" t="s">
        <v>2527</v>
      </c>
      <c r="D2474" s="2" t="s">
        <v>2525</v>
      </c>
      <c r="E2474" s="2" t="s">
        <v>2529</v>
      </c>
      <c r="F2474" s="3">
        <v>4392</v>
      </c>
      <c r="G2474" s="3">
        <v>213</v>
      </c>
      <c r="H2474" s="3">
        <v>29</v>
      </c>
      <c r="I2474" s="4">
        <v>209.14</v>
      </c>
      <c r="J2474" s="4">
        <v>3945.3</v>
      </c>
      <c r="K2474" s="3">
        <v>16</v>
      </c>
      <c r="L2474" s="2" t="s">
        <v>2518</v>
      </c>
      <c r="M2474" s="2" t="s">
        <v>2519</v>
      </c>
      <c r="N2474" t="str">
        <f>TRIM(PROPER(Tabla_auditoría[[#This Row],[ID_Campaña]]))</f>
        <v>Cmp-001</v>
      </c>
      <c r="O2474" t="str">
        <f>TRIM(PROPER(Tabla_auditoría[[#This Row],[Canal]]))</f>
        <v>Affiliate</v>
      </c>
      <c r="P2474" t="str">
        <f>TRIM(PROPER(Tabla_auditoría[[#This Row],[País]]))</f>
        <v>Francia</v>
      </c>
      <c r="Q2474" t="str">
        <f>TRIM(PROPER(Tabla_auditoría[[#This Row],[Dispositivo]]))</f>
        <v>Mobile</v>
      </c>
      <c r="R2474" t="str">
        <f>TRIM(PROPER(Tabla_auditoría[[#This Row],[Tipo_Campaña]]))</f>
        <v>Adquisición</v>
      </c>
      <c r="S2474" t="str">
        <f>TRIM(PROPER(Tabla_auditoría[[#This Row],[Responsable]]))</f>
        <v>Carlos Ruiz</v>
      </c>
    </row>
    <row r="2475" spans="1:19" x14ac:dyDescent="0.3">
      <c r="A2475" s="1">
        <v>45673</v>
      </c>
      <c r="B2475" s="2" t="s">
        <v>2535</v>
      </c>
      <c r="C2475" s="2" t="s">
        <v>2541</v>
      </c>
      <c r="D2475" s="2" t="s">
        <v>2522</v>
      </c>
      <c r="E2475" s="2" t="s">
        <v>2517</v>
      </c>
      <c r="F2475" s="3">
        <v>49769</v>
      </c>
      <c r="G2475" s="3">
        <v>2369</v>
      </c>
      <c r="H2475" s="3">
        <v>162</v>
      </c>
      <c r="I2475" s="4">
        <v>2922.4</v>
      </c>
      <c r="J2475" s="4">
        <v>8937.06</v>
      </c>
      <c r="K2475" s="3">
        <v>127</v>
      </c>
      <c r="L2475" s="2" t="s">
        <v>2539</v>
      </c>
      <c r="M2475" s="2" t="s">
        <v>2524</v>
      </c>
      <c r="N2475" t="str">
        <f>TRIM(PROPER(Tabla_auditoría[[#This Row],[ID_Campaña]]))</f>
        <v>Cmp-015</v>
      </c>
      <c r="O2475" t="str">
        <f>TRIM(PROPER(Tabla_auditoría[[#This Row],[Canal]]))</f>
        <v>Display</v>
      </c>
      <c r="P2475" t="str">
        <f>TRIM(PROPER(Tabla_auditoría[[#This Row],[País]]))</f>
        <v>Italia</v>
      </c>
      <c r="Q2475" t="str">
        <f>TRIM(PROPER(Tabla_auditoría[[#This Row],[Dispositivo]]))</f>
        <v>Desktop</v>
      </c>
      <c r="R2475" t="str">
        <f>TRIM(PROPER(Tabla_auditoría[[#This Row],[Tipo_Campaña]]))</f>
        <v>Conversión</v>
      </c>
      <c r="S2475" t="str">
        <f>TRIM(PROPER(Tabla_auditoría[[#This Row],[Responsable]]))</f>
        <v>Luis Martín</v>
      </c>
    </row>
    <row r="2476" spans="1:19" x14ac:dyDescent="0.3">
      <c r="A2476" s="1">
        <v>45866</v>
      </c>
      <c r="B2476" s="2" t="s">
        <v>2549</v>
      </c>
      <c r="C2476" s="2" t="s">
        <v>2515</v>
      </c>
      <c r="D2476" s="2" t="s">
        <v>2528</v>
      </c>
      <c r="E2476" s="2" t="s">
        <v>2529</v>
      </c>
      <c r="F2476" s="3">
        <v>100329</v>
      </c>
      <c r="G2476" s="3">
        <v>7091</v>
      </c>
      <c r="H2476" s="3">
        <v>508</v>
      </c>
      <c r="I2476" s="4">
        <v>7836.66</v>
      </c>
      <c r="J2476" s="4">
        <v>35450.83</v>
      </c>
      <c r="K2476" s="3">
        <v>232</v>
      </c>
      <c r="L2476" s="2" t="s">
        <v>2523</v>
      </c>
      <c r="M2476" s="2" t="s">
        <v>2519</v>
      </c>
      <c r="N2476" t="str">
        <f>TRIM(PROPER(Tabla_auditoría[[#This Row],[ID_Campaña]]))</f>
        <v>Cmp-007</v>
      </c>
      <c r="O2476" t="str">
        <f>TRIM(PROPER(Tabla_auditoría[[#This Row],[Canal]]))</f>
        <v>Email</v>
      </c>
      <c r="P2476" t="str">
        <f>TRIM(PROPER(Tabla_auditoría[[#This Row],[País]]))</f>
        <v>España</v>
      </c>
      <c r="Q2476" t="str">
        <f>TRIM(PROPER(Tabla_auditoría[[#This Row],[Dispositivo]]))</f>
        <v>Mobile</v>
      </c>
      <c r="R2476" t="str">
        <f>TRIM(PROPER(Tabla_auditoría[[#This Row],[Tipo_Campaña]]))</f>
        <v>Retención</v>
      </c>
      <c r="S2476" t="str">
        <f>TRIM(PROPER(Tabla_auditoría[[#This Row],[Responsable]]))</f>
        <v>Carlos Ruiz</v>
      </c>
    </row>
    <row r="2477" spans="1:19" x14ac:dyDescent="0.3">
      <c r="A2477" s="1">
        <v>45992</v>
      </c>
      <c r="B2477" s="2" t="s">
        <v>2566</v>
      </c>
      <c r="C2477" s="2" t="s">
        <v>2515</v>
      </c>
      <c r="D2477" s="2" t="s">
        <v>2528</v>
      </c>
      <c r="E2477" s="2" t="s">
        <v>2517</v>
      </c>
      <c r="F2477" s="3">
        <v>44506</v>
      </c>
      <c r="G2477" s="3">
        <v>3547</v>
      </c>
      <c r="H2477" s="3">
        <v>221</v>
      </c>
      <c r="I2477" s="4">
        <v>1582.81</v>
      </c>
      <c r="J2477" s="4">
        <v>28638.77</v>
      </c>
      <c r="K2477" s="3">
        <v>190</v>
      </c>
      <c r="L2477" s="2" t="s">
        <v>2536</v>
      </c>
      <c r="M2477" s="2" t="s">
        <v>2524</v>
      </c>
      <c r="N2477" t="str">
        <f>TRIM(PROPER(Tabla_auditoría[[#This Row],[ID_Campaña]]))</f>
        <v>Cmp-001</v>
      </c>
      <c r="O2477" t="str">
        <f>TRIM(PROPER(Tabla_auditoría[[#This Row],[Canal]]))</f>
        <v>Email</v>
      </c>
      <c r="P2477" t="str">
        <f>TRIM(PROPER(Tabla_auditoría[[#This Row],[País]]))</f>
        <v>España</v>
      </c>
      <c r="Q2477" t="str">
        <f>TRIM(PROPER(Tabla_auditoría[[#This Row],[Dispositivo]]))</f>
        <v>Desktop</v>
      </c>
      <c r="R2477" t="str">
        <f>TRIM(PROPER(Tabla_auditoría[[#This Row],[Tipo_Campaña]]))</f>
        <v>Reconocimiento</v>
      </c>
      <c r="S2477" t="str">
        <f>TRIM(PROPER(Tabla_auditoría[[#This Row],[Responsable]]))</f>
        <v>Luis Martín</v>
      </c>
    </row>
    <row r="2478" spans="1:19" x14ac:dyDescent="0.3">
      <c r="A2478" s="1">
        <v>46014</v>
      </c>
      <c r="B2478" s="2" t="s">
        <v>2567</v>
      </c>
      <c r="C2478" s="2" t="s">
        <v>2533</v>
      </c>
      <c r="D2478" s="2" t="s">
        <v>2522</v>
      </c>
      <c r="E2478" s="2" t="s">
        <v>2529</v>
      </c>
      <c r="F2478" s="3">
        <v>10276</v>
      </c>
      <c r="G2478" s="3">
        <v>792</v>
      </c>
      <c r="H2478" s="3">
        <v>65</v>
      </c>
      <c r="I2478" s="4">
        <v>133.61000000000001</v>
      </c>
      <c r="J2478" s="4">
        <v>8534.5</v>
      </c>
      <c r="K2478" s="3">
        <v>33</v>
      </c>
      <c r="L2478" s="2" t="s">
        <v>2518</v>
      </c>
      <c r="M2478" s="2" t="s">
        <v>2524</v>
      </c>
      <c r="N2478" t="str">
        <f>TRIM(PROPER(Tabla_auditoría[[#This Row],[ID_Campaña]]))</f>
        <v>Cmp-021</v>
      </c>
      <c r="O2478" t="str">
        <f>TRIM(PROPER(Tabla_auditoría[[#This Row],[Canal]]))</f>
        <v>Paid Social</v>
      </c>
      <c r="P2478" t="str">
        <f>TRIM(PROPER(Tabla_auditoría[[#This Row],[País]]))</f>
        <v>Italia</v>
      </c>
      <c r="Q2478" t="str">
        <f>TRIM(PROPER(Tabla_auditoría[[#This Row],[Dispositivo]]))</f>
        <v>Mobile</v>
      </c>
      <c r="R2478" t="str">
        <f>TRIM(PROPER(Tabla_auditoría[[#This Row],[Tipo_Campaña]]))</f>
        <v>Adquisición</v>
      </c>
      <c r="S2478" t="str">
        <f>TRIM(PROPER(Tabla_auditoría[[#This Row],[Responsable]]))</f>
        <v>Luis Martín</v>
      </c>
    </row>
    <row r="2479" spans="1:19" x14ac:dyDescent="0.3">
      <c r="A2479" s="1">
        <v>45856</v>
      </c>
      <c r="B2479" s="2" t="s">
        <v>2530</v>
      </c>
      <c r="C2479" s="2" t="s">
        <v>2521</v>
      </c>
      <c r="D2479" s="2" t="s">
        <v>2528</v>
      </c>
      <c r="E2479" s="2" t="s">
        <v>2529</v>
      </c>
      <c r="F2479" s="3">
        <v>129491</v>
      </c>
      <c r="G2479" s="3">
        <v>3490</v>
      </c>
      <c r="H2479" s="3">
        <v>424</v>
      </c>
      <c r="I2479" s="4">
        <v>6430.09</v>
      </c>
      <c r="J2479" s="4">
        <v>38355.269999999997</v>
      </c>
      <c r="K2479" s="3">
        <v>352</v>
      </c>
      <c r="L2479" s="2" t="s">
        <v>2518</v>
      </c>
      <c r="M2479" s="2" t="s">
        <v>2537</v>
      </c>
      <c r="N2479" t="str">
        <f>TRIM(PROPER(Tabla_auditoría[[#This Row],[ID_Campaña]]))</f>
        <v>Cmp-026</v>
      </c>
      <c r="O2479" t="str">
        <f>TRIM(PROPER(Tabla_auditoría[[#This Row],[Canal]]))</f>
        <v>Paid Search</v>
      </c>
      <c r="P2479" t="str">
        <f>TRIM(PROPER(Tabla_auditoría[[#This Row],[País]]))</f>
        <v>España</v>
      </c>
      <c r="Q2479" t="str">
        <f>TRIM(PROPER(Tabla_auditoría[[#This Row],[Dispositivo]]))</f>
        <v>Mobile</v>
      </c>
      <c r="R2479" t="str">
        <f>TRIM(PROPER(Tabla_auditoría[[#This Row],[Tipo_Campaña]]))</f>
        <v>Adquisición</v>
      </c>
      <c r="S2479" t="str">
        <f>TRIM(PROPER(Tabla_auditoría[[#This Row],[Responsable]]))</f>
        <v>Marta López</v>
      </c>
    </row>
    <row r="2480" spans="1:19" x14ac:dyDescent="0.3">
      <c r="A2480" s="1">
        <v>45833</v>
      </c>
      <c r="B2480" s="2" t="s">
        <v>2554</v>
      </c>
      <c r="C2480" s="2" t="s">
        <v>2527</v>
      </c>
      <c r="D2480" s="2" t="s">
        <v>2531</v>
      </c>
      <c r="E2480" s="2" t="s">
        <v>2529</v>
      </c>
      <c r="F2480" s="3">
        <v>23352</v>
      </c>
      <c r="G2480" s="3">
        <v>256</v>
      </c>
      <c r="H2480" s="3">
        <v>26</v>
      </c>
      <c r="I2480" s="4">
        <v>65.61</v>
      </c>
      <c r="J2480" s="4">
        <v>2951.16</v>
      </c>
      <c r="K2480" s="3">
        <v>17</v>
      </c>
      <c r="L2480" s="2" t="s">
        <v>2536</v>
      </c>
      <c r="M2480" s="2" t="s">
        <v>2519</v>
      </c>
      <c r="N2480" t="str">
        <f>TRIM(PROPER(Tabla_auditoría[[#This Row],[ID_Campaña]]))</f>
        <v>Cmp-019</v>
      </c>
      <c r="O2480" t="str">
        <f>TRIM(PROPER(Tabla_auditoría[[#This Row],[Canal]]))</f>
        <v>Affiliate</v>
      </c>
      <c r="P2480" t="str">
        <f>TRIM(PROPER(Tabla_auditoría[[#This Row],[País]]))</f>
        <v>Portugal</v>
      </c>
      <c r="Q2480" t="str">
        <f>TRIM(PROPER(Tabla_auditoría[[#This Row],[Dispositivo]]))</f>
        <v>Mobile</v>
      </c>
      <c r="R2480" t="str">
        <f>TRIM(PROPER(Tabla_auditoría[[#This Row],[Tipo_Campaña]]))</f>
        <v>Reconocimiento</v>
      </c>
      <c r="S2480" t="str">
        <f>TRIM(PROPER(Tabla_auditoría[[#This Row],[Responsable]]))</f>
        <v>Carlos Ruiz</v>
      </c>
    </row>
    <row r="2481" spans="1:19" x14ac:dyDescent="0.3">
      <c r="A2481" s="1">
        <v>45989</v>
      </c>
      <c r="B2481" s="2" t="s">
        <v>2556</v>
      </c>
      <c r="C2481" s="2" t="s">
        <v>2543</v>
      </c>
      <c r="D2481" s="2" t="s">
        <v>2573</v>
      </c>
      <c r="E2481" s="2" t="s">
        <v>2517</v>
      </c>
      <c r="F2481" s="3">
        <v>167159</v>
      </c>
      <c r="G2481" s="3">
        <v>3738</v>
      </c>
      <c r="H2481" s="3">
        <v>352</v>
      </c>
      <c r="I2481" s="4">
        <v>2308.5</v>
      </c>
      <c r="J2481" s="4">
        <v>21911.59</v>
      </c>
      <c r="K2481" s="3">
        <v>248</v>
      </c>
      <c r="L2481" s="2" t="s">
        <v>2536</v>
      </c>
      <c r="M2481" s="2" t="s">
        <v>2526</v>
      </c>
      <c r="N2481" t="str">
        <f>TRIM(PROPER(Tabla_auditoría[[#This Row],[ID_Campaña]]))</f>
        <v>Cmp-014</v>
      </c>
      <c r="O2481" t="str">
        <f>TRIM(PROPER(Tabla_auditoría[[#This Row],[Canal]]))</f>
        <v>Organic Social</v>
      </c>
      <c r="P2481" t="str">
        <f>TRIM(PROPER(Tabla_auditoría[[#This Row],[País]]))</f>
        <v>España</v>
      </c>
      <c r="Q2481" t="str">
        <f>TRIM(PROPER(Tabla_auditoría[[#This Row],[Dispositivo]]))</f>
        <v>Desktop</v>
      </c>
      <c r="R2481" t="str">
        <f>TRIM(PROPER(Tabla_auditoría[[#This Row],[Tipo_Campaña]]))</f>
        <v>Reconocimiento</v>
      </c>
      <c r="S2481" t="str">
        <f>TRIM(PROPER(Tabla_auditoría[[#This Row],[Responsable]]))</f>
        <v>Laura Pérez</v>
      </c>
    </row>
    <row r="2482" spans="1:19" x14ac:dyDescent="0.3">
      <c r="A2482" s="1">
        <v>45861</v>
      </c>
      <c r="B2482" s="2" t="s">
        <v>2560</v>
      </c>
      <c r="C2482" s="2" t="s">
        <v>2533</v>
      </c>
      <c r="D2482" s="2" t="s">
        <v>2522</v>
      </c>
      <c r="E2482" s="2" t="s">
        <v>2534</v>
      </c>
      <c r="F2482" s="3">
        <v>32706</v>
      </c>
      <c r="G2482" s="3">
        <v>1193</v>
      </c>
      <c r="H2482" s="3">
        <v>144</v>
      </c>
      <c r="I2482" s="4">
        <v>388.52</v>
      </c>
      <c r="J2482" s="4">
        <v>30124.36</v>
      </c>
      <c r="K2482" s="3">
        <v>91</v>
      </c>
      <c r="L2482" s="2" t="s">
        <v>2523</v>
      </c>
      <c r="M2482" s="2" t="s">
        <v>2526</v>
      </c>
      <c r="N2482" t="str">
        <f>TRIM(PROPER(Tabla_auditoría[[#This Row],[ID_Campaña]]))</f>
        <v>Cmp-027</v>
      </c>
      <c r="O2482" t="str">
        <f>TRIM(PROPER(Tabla_auditoría[[#This Row],[Canal]]))</f>
        <v>Paid Social</v>
      </c>
      <c r="P2482" t="str">
        <f>TRIM(PROPER(Tabla_auditoría[[#This Row],[País]]))</f>
        <v>Italia</v>
      </c>
      <c r="Q2482" t="str">
        <f>TRIM(PROPER(Tabla_auditoría[[#This Row],[Dispositivo]]))</f>
        <v>Tablet</v>
      </c>
      <c r="R2482" t="str">
        <f>TRIM(PROPER(Tabla_auditoría[[#This Row],[Tipo_Campaña]]))</f>
        <v>Retención</v>
      </c>
      <c r="S2482" t="str">
        <f>TRIM(PROPER(Tabla_auditoría[[#This Row],[Responsable]]))</f>
        <v>Laura Pérez</v>
      </c>
    </row>
    <row r="2483" spans="1:19" x14ac:dyDescent="0.3">
      <c r="A2483" s="1">
        <v>45685</v>
      </c>
      <c r="B2483" s="2" t="s">
        <v>2540</v>
      </c>
      <c r="C2483" s="2" t="s">
        <v>2533</v>
      </c>
      <c r="D2483" s="2" t="s">
        <v>2525</v>
      </c>
      <c r="E2483" s="2" t="s">
        <v>2529</v>
      </c>
      <c r="F2483" s="3">
        <v>66449</v>
      </c>
      <c r="G2483" s="3">
        <v>3950</v>
      </c>
      <c r="H2483" s="3">
        <v>157</v>
      </c>
      <c r="I2483" s="4">
        <v>6535.58</v>
      </c>
      <c r="J2483" s="4">
        <v>6902.17</v>
      </c>
      <c r="K2483" s="3">
        <v>104</v>
      </c>
      <c r="L2483" s="2" t="s">
        <v>2539</v>
      </c>
      <c r="M2483" s="2" t="s">
        <v>2524</v>
      </c>
      <c r="N2483" t="str">
        <f>TRIM(PROPER(Tabla_auditoría[[#This Row],[ID_Campaña]]))</f>
        <v>Cmp-017</v>
      </c>
      <c r="O2483" t="str">
        <f>TRIM(PROPER(Tabla_auditoría[[#This Row],[Canal]]))</f>
        <v>Paid Social</v>
      </c>
      <c r="P2483" t="str">
        <f>TRIM(PROPER(Tabla_auditoría[[#This Row],[País]]))</f>
        <v>Francia</v>
      </c>
      <c r="Q2483" t="str">
        <f>TRIM(PROPER(Tabla_auditoría[[#This Row],[Dispositivo]]))</f>
        <v>Mobile</v>
      </c>
      <c r="R2483" t="str">
        <f>TRIM(PROPER(Tabla_auditoría[[#This Row],[Tipo_Campaña]]))</f>
        <v>Conversión</v>
      </c>
      <c r="S2483" t="str">
        <f>TRIM(PROPER(Tabla_auditoría[[#This Row],[Responsable]]))</f>
        <v>Luis Martín</v>
      </c>
    </row>
    <row r="2484" spans="1:19" x14ac:dyDescent="0.3">
      <c r="A2484" s="1">
        <v>45870</v>
      </c>
      <c r="B2484" s="2" t="s">
        <v>2547</v>
      </c>
      <c r="C2484" s="2" t="s">
        <v>2541</v>
      </c>
      <c r="D2484" s="2" t="s">
        <v>2522</v>
      </c>
      <c r="E2484" s="2" t="s">
        <v>2517</v>
      </c>
      <c r="F2484" s="3">
        <v>125182</v>
      </c>
      <c r="G2484" s="3">
        <v>8444</v>
      </c>
      <c r="H2484" s="3">
        <v>846</v>
      </c>
      <c r="I2484" s="4">
        <v>9852.7199999999993</v>
      </c>
      <c r="J2484" s="4">
        <v>88178.6</v>
      </c>
      <c r="K2484" s="3">
        <v>733</v>
      </c>
      <c r="L2484" s="2" t="s">
        <v>2536</v>
      </c>
      <c r="M2484" s="2" t="s">
        <v>2546</v>
      </c>
      <c r="N2484" t="str">
        <f>TRIM(PROPER(Tabla_auditoría[[#This Row],[ID_Campaña]]))</f>
        <v>Cmp-018</v>
      </c>
      <c r="O2484" t="str">
        <f>TRIM(PROPER(Tabla_auditoría[[#This Row],[Canal]]))</f>
        <v>Display</v>
      </c>
      <c r="P2484" t="str">
        <f>TRIM(PROPER(Tabla_auditoría[[#This Row],[País]]))</f>
        <v>Italia</v>
      </c>
      <c r="Q2484" t="str">
        <f>TRIM(PROPER(Tabla_auditoría[[#This Row],[Dispositivo]]))</f>
        <v>Desktop</v>
      </c>
      <c r="R2484" t="str">
        <f>TRIM(PROPER(Tabla_auditoría[[#This Row],[Tipo_Campaña]]))</f>
        <v>Reconocimiento</v>
      </c>
      <c r="S2484" t="str">
        <f>TRIM(PROPER(Tabla_auditoría[[#This Row],[Responsable]]))</f>
        <v>Ana García</v>
      </c>
    </row>
    <row r="2485" spans="1:19" x14ac:dyDescent="0.3">
      <c r="A2485" s="1">
        <v>45916</v>
      </c>
      <c r="B2485" s="2" t="s">
        <v>2551</v>
      </c>
      <c r="C2485" s="2" t="s">
        <v>2515</v>
      </c>
      <c r="D2485" s="2" t="s">
        <v>2528</v>
      </c>
      <c r="E2485" s="2" t="s">
        <v>2517</v>
      </c>
      <c r="F2485" s="3">
        <v>163603</v>
      </c>
      <c r="G2485" s="3">
        <v>5107</v>
      </c>
      <c r="H2485" s="3">
        <v>597</v>
      </c>
      <c r="I2485" s="4">
        <v>9379.19</v>
      </c>
      <c r="J2485" s="4">
        <v>92404.53</v>
      </c>
      <c r="K2485" s="3">
        <v>279</v>
      </c>
      <c r="L2485" s="2" t="s">
        <v>2536</v>
      </c>
      <c r="M2485" s="2" t="s">
        <v>2524</v>
      </c>
      <c r="N2485" t="str">
        <f>TRIM(PROPER(Tabla_auditoría[[#This Row],[ID_Campaña]]))</f>
        <v>Cmp-028</v>
      </c>
      <c r="O2485" t="str">
        <f>TRIM(PROPER(Tabla_auditoría[[#This Row],[Canal]]))</f>
        <v>Email</v>
      </c>
      <c r="P2485" t="str">
        <f>TRIM(PROPER(Tabla_auditoría[[#This Row],[País]]))</f>
        <v>España</v>
      </c>
      <c r="Q2485" t="str">
        <f>TRIM(PROPER(Tabla_auditoría[[#This Row],[Dispositivo]]))</f>
        <v>Desktop</v>
      </c>
      <c r="R2485" t="str">
        <f>TRIM(PROPER(Tabla_auditoría[[#This Row],[Tipo_Campaña]]))</f>
        <v>Reconocimiento</v>
      </c>
      <c r="S2485" t="str">
        <f>TRIM(PROPER(Tabla_auditoría[[#This Row],[Responsable]]))</f>
        <v>Luis Martín</v>
      </c>
    </row>
    <row r="2486" spans="1:19" x14ac:dyDescent="0.3">
      <c r="A2486" s="1">
        <v>45844</v>
      </c>
      <c r="B2486" s="2" t="s">
        <v>2535</v>
      </c>
      <c r="C2486" s="2" t="s">
        <v>2543</v>
      </c>
      <c r="D2486" s="2" t="s">
        <v>2525</v>
      </c>
      <c r="E2486" s="2" t="s">
        <v>2529</v>
      </c>
      <c r="F2486" s="3">
        <v>161676</v>
      </c>
      <c r="G2486" s="3">
        <v>4319</v>
      </c>
      <c r="H2486" s="3">
        <v>522</v>
      </c>
      <c r="I2486" s="4">
        <v>3456.57</v>
      </c>
      <c r="J2486" s="4">
        <v>69730.7</v>
      </c>
      <c r="K2486" s="3">
        <v>338</v>
      </c>
      <c r="L2486" s="2" t="s">
        <v>2536</v>
      </c>
      <c r="M2486" s="2" t="s">
        <v>2519</v>
      </c>
      <c r="N2486" t="str">
        <f>TRIM(PROPER(Tabla_auditoría[[#This Row],[ID_Campaña]]))</f>
        <v>Cmp-015</v>
      </c>
      <c r="O2486" t="str">
        <f>TRIM(PROPER(Tabla_auditoría[[#This Row],[Canal]]))</f>
        <v>Organic Social</v>
      </c>
      <c r="P2486" t="str">
        <f>TRIM(PROPER(Tabla_auditoría[[#This Row],[País]]))</f>
        <v>Francia</v>
      </c>
      <c r="Q2486" t="str">
        <f>TRIM(PROPER(Tabla_auditoría[[#This Row],[Dispositivo]]))</f>
        <v>Mobile</v>
      </c>
      <c r="R2486" t="str">
        <f>TRIM(PROPER(Tabla_auditoría[[#This Row],[Tipo_Campaña]]))</f>
        <v>Reconocimiento</v>
      </c>
      <c r="S2486" t="str">
        <f>TRIM(PROPER(Tabla_auditoría[[#This Row],[Responsable]]))</f>
        <v>Carlos Ruiz</v>
      </c>
    </row>
    <row r="2487" spans="1:19" x14ac:dyDescent="0.3">
      <c r="A2487" s="1">
        <v>45763</v>
      </c>
      <c r="B2487" s="2" t="s">
        <v>2547</v>
      </c>
      <c r="C2487" s="2" t="s">
        <v>2533</v>
      </c>
      <c r="D2487" s="2" t="s">
        <v>2528</v>
      </c>
      <c r="E2487" s="2" t="s">
        <v>2517</v>
      </c>
      <c r="F2487" s="3">
        <v>69620</v>
      </c>
      <c r="G2487" s="3">
        <v>1607</v>
      </c>
      <c r="H2487" s="3">
        <v>47</v>
      </c>
      <c r="I2487" s="4">
        <v>1492.06</v>
      </c>
      <c r="J2487" s="4">
        <v>4179.17</v>
      </c>
      <c r="K2487" s="3">
        <v>33</v>
      </c>
      <c r="L2487" s="2" t="s">
        <v>2536</v>
      </c>
      <c r="M2487" s="2" t="s">
        <v>2524</v>
      </c>
      <c r="N2487" t="str">
        <f>TRIM(PROPER(Tabla_auditoría[[#This Row],[ID_Campaña]]))</f>
        <v>Cmp-018</v>
      </c>
      <c r="O2487" t="str">
        <f>TRIM(PROPER(Tabla_auditoría[[#This Row],[Canal]]))</f>
        <v>Paid Social</v>
      </c>
      <c r="P2487" t="str">
        <f>TRIM(PROPER(Tabla_auditoría[[#This Row],[País]]))</f>
        <v>España</v>
      </c>
      <c r="Q2487" t="str">
        <f>TRIM(PROPER(Tabla_auditoría[[#This Row],[Dispositivo]]))</f>
        <v>Desktop</v>
      </c>
      <c r="R2487" t="str">
        <f>TRIM(PROPER(Tabla_auditoría[[#This Row],[Tipo_Campaña]]))</f>
        <v>Reconocimiento</v>
      </c>
      <c r="S2487" t="str">
        <f>TRIM(PROPER(Tabla_auditoría[[#This Row],[Responsable]]))</f>
        <v>Luis Martín</v>
      </c>
    </row>
    <row r="2488" spans="1:19" x14ac:dyDescent="0.3">
      <c r="A2488" s="1">
        <v>45676</v>
      </c>
      <c r="B2488" s="2" t="s">
        <v>2568</v>
      </c>
      <c r="C2488" s="2" t="s">
        <v>2527</v>
      </c>
      <c r="D2488" s="2" t="s">
        <v>2522</v>
      </c>
      <c r="E2488" s="2" t="s">
        <v>2529</v>
      </c>
      <c r="F2488" s="3">
        <v>81597</v>
      </c>
      <c r="G2488" s="3">
        <v>3942</v>
      </c>
      <c r="H2488" s="3">
        <v>411</v>
      </c>
      <c r="I2488" s="4">
        <v>2691.83</v>
      </c>
      <c r="J2488" s="4">
        <v>71212.160000000003</v>
      </c>
      <c r="K2488" s="3">
        <v>234</v>
      </c>
      <c r="L2488" s="2" t="s">
        <v>2536</v>
      </c>
      <c r="M2488" s="2" t="s">
        <v>2524</v>
      </c>
      <c r="N2488" t="str">
        <f>TRIM(PROPER(Tabla_auditoría[[#This Row],[ID_Campaña]]))</f>
        <v>Cmp-020</v>
      </c>
      <c r="O2488" t="str">
        <f>TRIM(PROPER(Tabla_auditoría[[#This Row],[Canal]]))</f>
        <v>Affiliate</v>
      </c>
      <c r="P2488" t="str">
        <f>TRIM(PROPER(Tabla_auditoría[[#This Row],[País]]))</f>
        <v>Italia</v>
      </c>
      <c r="Q2488" t="str">
        <f>TRIM(PROPER(Tabla_auditoría[[#This Row],[Dispositivo]]))</f>
        <v>Mobile</v>
      </c>
      <c r="R2488" t="str">
        <f>TRIM(PROPER(Tabla_auditoría[[#This Row],[Tipo_Campaña]]))</f>
        <v>Reconocimiento</v>
      </c>
      <c r="S2488" t="str">
        <f>TRIM(PROPER(Tabla_auditoría[[#This Row],[Responsable]]))</f>
        <v>Luis Martín</v>
      </c>
    </row>
    <row r="2489" spans="1:19" x14ac:dyDescent="0.3">
      <c r="A2489" s="1">
        <v>45900</v>
      </c>
      <c r="B2489" s="2" t="s">
        <v>2552</v>
      </c>
      <c r="C2489" s="2" t="s">
        <v>2527</v>
      </c>
      <c r="D2489" s="2" t="s">
        <v>2528</v>
      </c>
      <c r="E2489" s="2" t="s">
        <v>2517</v>
      </c>
      <c r="F2489" s="3">
        <v>136673</v>
      </c>
      <c r="G2489" s="3">
        <v>4341</v>
      </c>
      <c r="H2489" s="3">
        <v>256</v>
      </c>
      <c r="I2489" s="4">
        <v>1117.29</v>
      </c>
      <c r="J2489" s="4">
        <v>9812.85</v>
      </c>
      <c r="K2489" s="3">
        <v>163</v>
      </c>
      <c r="L2489" s="2" t="s">
        <v>2536</v>
      </c>
      <c r="M2489" s="2" t="s">
        <v>2546</v>
      </c>
      <c r="N2489" t="str">
        <f>TRIM(PROPER(Tabla_auditoría[[#This Row],[ID_Campaña]]))</f>
        <v>Cmp-012</v>
      </c>
      <c r="O2489" t="str">
        <f>TRIM(PROPER(Tabla_auditoría[[#This Row],[Canal]]))</f>
        <v>Affiliate</v>
      </c>
      <c r="P2489" t="str">
        <f>TRIM(PROPER(Tabla_auditoría[[#This Row],[País]]))</f>
        <v>España</v>
      </c>
      <c r="Q2489" t="str">
        <f>TRIM(PROPER(Tabla_auditoría[[#This Row],[Dispositivo]]))</f>
        <v>Desktop</v>
      </c>
      <c r="R2489" t="str">
        <f>TRIM(PROPER(Tabla_auditoría[[#This Row],[Tipo_Campaña]]))</f>
        <v>Reconocimiento</v>
      </c>
      <c r="S2489" t="str">
        <f>TRIM(PROPER(Tabla_auditoría[[#This Row],[Responsable]]))</f>
        <v>Ana García</v>
      </c>
    </row>
    <row r="2490" spans="1:19" x14ac:dyDescent="0.3">
      <c r="A2490" s="1">
        <v>45864</v>
      </c>
      <c r="B2490" s="2" t="s">
        <v>2530</v>
      </c>
      <c r="C2490" s="2" t="s">
        <v>2541</v>
      </c>
      <c r="D2490" s="2" t="s">
        <v>2522</v>
      </c>
      <c r="E2490" s="2" t="s">
        <v>2517</v>
      </c>
      <c r="F2490" s="3">
        <v>87836</v>
      </c>
      <c r="G2490" s="3">
        <v>1663</v>
      </c>
      <c r="H2490" s="3">
        <v>170</v>
      </c>
      <c r="I2490" s="4">
        <v>1956.54</v>
      </c>
      <c r="J2490" s="4">
        <v>14853.58</v>
      </c>
      <c r="K2490" s="3">
        <v>91</v>
      </c>
      <c r="L2490" s="2" t="s">
        <v>2536</v>
      </c>
      <c r="M2490" s="2" t="s">
        <v>2524</v>
      </c>
      <c r="N2490" t="str">
        <f>TRIM(PROPER(Tabla_auditoría[[#This Row],[ID_Campaña]]))</f>
        <v>Cmp-026</v>
      </c>
      <c r="O2490" t="str">
        <f>TRIM(PROPER(Tabla_auditoría[[#This Row],[Canal]]))</f>
        <v>Display</v>
      </c>
      <c r="P2490" t="str">
        <f>TRIM(PROPER(Tabla_auditoría[[#This Row],[País]]))</f>
        <v>Italia</v>
      </c>
      <c r="Q2490" t="str">
        <f>TRIM(PROPER(Tabla_auditoría[[#This Row],[Dispositivo]]))</f>
        <v>Desktop</v>
      </c>
      <c r="R2490" t="str">
        <f>TRIM(PROPER(Tabla_auditoría[[#This Row],[Tipo_Campaña]]))</f>
        <v>Reconocimiento</v>
      </c>
      <c r="S2490" t="str">
        <f>TRIM(PROPER(Tabla_auditoría[[#This Row],[Responsable]]))</f>
        <v>Luis Martín</v>
      </c>
    </row>
    <row r="2491" spans="1:19" x14ac:dyDescent="0.3">
      <c r="A2491" s="1">
        <v>45916</v>
      </c>
      <c r="B2491" s="2" t="s">
        <v>2514</v>
      </c>
      <c r="C2491" s="2" t="s">
        <v>2521</v>
      </c>
      <c r="D2491" s="2" t="s">
        <v>2528</v>
      </c>
      <c r="E2491" s="2" t="s">
        <v>2529</v>
      </c>
      <c r="F2491" s="3">
        <v>163694</v>
      </c>
      <c r="G2491" s="3">
        <v>6089</v>
      </c>
      <c r="H2491" s="3">
        <v>661</v>
      </c>
      <c r="I2491" s="4">
        <v>8045.69</v>
      </c>
      <c r="J2491" s="4">
        <v>124199.31</v>
      </c>
      <c r="K2491" s="3">
        <v>405</v>
      </c>
      <c r="L2491" s="2" t="s">
        <v>2523</v>
      </c>
      <c r="M2491" s="2" t="s">
        <v>2526</v>
      </c>
      <c r="N2491" t="str">
        <f>TRIM(PROPER(Tabla_auditoría[[#This Row],[ID_Campaña]]))</f>
        <v>Cmp-002</v>
      </c>
      <c r="O2491" t="str">
        <f>TRIM(PROPER(Tabla_auditoría[[#This Row],[Canal]]))</f>
        <v>Paid Search</v>
      </c>
      <c r="P2491" t="str">
        <f>TRIM(PROPER(Tabla_auditoría[[#This Row],[País]]))</f>
        <v>España</v>
      </c>
      <c r="Q2491" t="str">
        <f>TRIM(PROPER(Tabla_auditoría[[#This Row],[Dispositivo]]))</f>
        <v>Mobile</v>
      </c>
      <c r="R2491" t="str">
        <f>TRIM(PROPER(Tabla_auditoría[[#This Row],[Tipo_Campaña]]))</f>
        <v>Retención</v>
      </c>
      <c r="S2491" t="str">
        <f>TRIM(PROPER(Tabla_auditoría[[#This Row],[Responsable]]))</f>
        <v>Laura Pérez</v>
      </c>
    </row>
    <row r="2492" spans="1:19" x14ac:dyDescent="0.3">
      <c r="A2492" s="1">
        <v>46018</v>
      </c>
      <c r="B2492" s="2" t="s">
        <v>2542</v>
      </c>
      <c r="C2492" s="2" t="s">
        <v>2533</v>
      </c>
      <c r="D2492" s="2" t="s">
        <v>2522</v>
      </c>
      <c r="E2492" s="2" t="s">
        <v>2517</v>
      </c>
      <c r="F2492" s="3">
        <v>27326</v>
      </c>
      <c r="G2492" s="3">
        <v>1841</v>
      </c>
      <c r="H2492" s="3">
        <v>174</v>
      </c>
      <c r="I2492" s="4">
        <v>3309.03</v>
      </c>
      <c r="J2492" s="4">
        <v>14847.17</v>
      </c>
      <c r="K2492" s="3">
        <v>89</v>
      </c>
      <c r="L2492" s="2" t="s">
        <v>2539</v>
      </c>
      <c r="M2492" s="2" t="s">
        <v>2519</v>
      </c>
      <c r="N2492" t="str">
        <f>TRIM(PROPER(Tabla_auditoría[[#This Row],[ID_Campaña]]))</f>
        <v>Cmp-025</v>
      </c>
      <c r="O2492" t="str">
        <f>TRIM(PROPER(Tabla_auditoría[[#This Row],[Canal]]))</f>
        <v>Paid Social</v>
      </c>
      <c r="P2492" t="str">
        <f>TRIM(PROPER(Tabla_auditoría[[#This Row],[País]]))</f>
        <v>Italia</v>
      </c>
      <c r="Q2492" t="str">
        <f>TRIM(PROPER(Tabla_auditoría[[#This Row],[Dispositivo]]))</f>
        <v>Desktop</v>
      </c>
      <c r="R2492" t="str">
        <f>TRIM(PROPER(Tabla_auditoría[[#This Row],[Tipo_Campaña]]))</f>
        <v>Conversión</v>
      </c>
      <c r="S2492" t="str">
        <f>TRIM(PROPER(Tabla_auditoría[[#This Row],[Responsable]]))</f>
        <v>Carlos Ruiz</v>
      </c>
    </row>
    <row r="2493" spans="1:19" x14ac:dyDescent="0.3">
      <c r="A2493" s="1">
        <v>46012</v>
      </c>
      <c r="B2493" s="2" t="s">
        <v>2547</v>
      </c>
      <c r="C2493" s="2" t="s">
        <v>2515</v>
      </c>
      <c r="D2493" s="2" t="s">
        <v>2522</v>
      </c>
      <c r="E2493" s="2" t="s">
        <v>2534</v>
      </c>
      <c r="F2493" s="3">
        <v>150246</v>
      </c>
      <c r="G2493" s="3">
        <v>2834</v>
      </c>
      <c r="H2493" s="3">
        <v>391</v>
      </c>
      <c r="I2493" s="4">
        <v>622.6</v>
      </c>
      <c r="J2493" s="4">
        <v>83373.570000000007</v>
      </c>
      <c r="K2493" s="3">
        <v>231</v>
      </c>
      <c r="L2493" s="2" t="s">
        <v>2523</v>
      </c>
      <c r="M2493" s="2" t="s">
        <v>2519</v>
      </c>
      <c r="N2493" t="str">
        <f>TRIM(PROPER(Tabla_auditoría[[#This Row],[ID_Campaña]]))</f>
        <v>Cmp-018</v>
      </c>
      <c r="O2493" t="str">
        <f>TRIM(PROPER(Tabla_auditoría[[#This Row],[Canal]]))</f>
        <v>Email</v>
      </c>
      <c r="P2493" t="str">
        <f>TRIM(PROPER(Tabla_auditoría[[#This Row],[País]]))</f>
        <v>Italia</v>
      </c>
      <c r="Q2493" t="str">
        <f>TRIM(PROPER(Tabla_auditoría[[#This Row],[Dispositivo]]))</f>
        <v>Tablet</v>
      </c>
      <c r="R2493" t="str">
        <f>TRIM(PROPER(Tabla_auditoría[[#This Row],[Tipo_Campaña]]))</f>
        <v>Retención</v>
      </c>
      <c r="S2493" t="str">
        <f>TRIM(PROPER(Tabla_auditoría[[#This Row],[Responsable]]))</f>
        <v>Carlos Ruiz</v>
      </c>
    </row>
    <row r="2494" spans="1:19" x14ac:dyDescent="0.3">
      <c r="A2494" s="1">
        <v>45661</v>
      </c>
      <c r="B2494" s="2" t="s">
        <v>2547</v>
      </c>
      <c r="C2494" s="2" t="s">
        <v>2543</v>
      </c>
      <c r="D2494" s="2" t="s">
        <v>2531</v>
      </c>
      <c r="E2494" s="2" t="s">
        <v>2529</v>
      </c>
      <c r="F2494" s="3">
        <v>139698</v>
      </c>
      <c r="G2494" s="3">
        <v>11790</v>
      </c>
      <c r="H2494" s="3">
        <v>739</v>
      </c>
      <c r="I2494" s="4">
        <v>3155.14</v>
      </c>
      <c r="J2494" s="4">
        <v>98880.18</v>
      </c>
      <c r="K2494" s="3">
        <v>476</v>
      </c>
      <c r="L2494" s="2" t="s">
        <v>2539</v>
      </c>
      <c r="M2494" s="2" t="s">
        <v>2537</v>
      </c>
      <c r="N2494" t="str">
        <f>TRIM(PROPER(Tabla_auditoría[[#This Row],[ID_Campaña]]))</f>
        <v>Cmp-018</v>
      </c>
      <c r="O2494" t="str">
        <f>TRIM(PROPER(Tabla_auditoría[[#This Row],[Canal]]))</f>
        <v>Organic Social</v>
      </c>
      <c r="P2494" t="str">
        <f>TRIM(PROPER(Tabla_auditoría[[#This Row],[País]]))</f>
        <v>Portugal</v>
      </c>
      <c r="Q2494" t="str">
        <f>TRIM(PROPER(Tabla_auditoría[[#This Row],[Dispositivo]]))</f>
        <v>Mobile</v>
      </c>
      <c r="R2494" t="str">
        <f>TRIM(PROPER(Tabla_auditoría[[#This Row],[Tipo_Campaña]]))</f>
        <v>Conversión</v>
      </c>
      <c r="S2494" t="str">
        <f>TRIM(PROPER(Tabla_auditoría[[#This Row],[Responsable]]))</f>
        <v>Marta López</v>
      </c>
    </row>
    <row r="2495" spans="1:19" x14ac:dyDescent="0.3">
      <c r="A2495" s="1">
        <v>45758</v>
      </c>
      <c r="B2495" s="2" t="s">
        <v>2569</v>
      </c>
      <c r="C2495" s="2" t="s">
        <v>2521</v>
      </c>
      <c r="D2495" s="2" t="s">
        <v>2525</v>
      </c>
      <c r="E2495" s="2" t="s">
        <v>2529</v>
      </c>
      <c r="F2495" s="3">
        <v>69394</v>
      </c>
      <c r="G2495" s="3">
        <v>2360</v>
      </c>
      <c r="H2495" s="3">
        <v>2388</v>
      </c>
      <c r="I2495" s="4">
        <v>321.44</v>
      </c>
      <c r="J2495" s="4">
        <v>7749.8</v>
      </c>
      <c r="K2495" s="3">
        <v>50</v>
      </c>
      <c r="L2495" s="2" t="s">
        <v>2518</v>
      </c>
      <c r="M2495" s="2" t="s">
        <v>2537</v>
      </c>
      <c r="N2495" t="str">
        <f>TRIM(PROPER(Tabla_auditoría[[#This Row],[ID_Campaña]]))</f>
        <v>Cmp-013</v>
      </c>
      <c r="O2495" t="str">
        <f>TRIM(PROPER(Tabla_auditoría[[#This Row],[Canal]]))</f>
        <v>Paid Search</v>
      </c>
      <c r="P2495" t="str">
        <f>TRIM(PROPER(Tabla_auditoría[[#This Row],[País]]))</f>
        <v>Francia</v>
      </c>
      <c r="Q2495" t="str">
        <f>TRIM(PROPER(Tabla_auditoría[[#This Row],[Dispositivo]]))</f>
        <v>Mobile</v>
      </c>
      <c r="R2495" t="str">
        <f>TRIM(PROPER(Tabla_auditoría[[#This Row],[Tipo_Campaña]]))</f>
        <v>Adquisición</v>
      </c>
      <c r="S2495" t="str">
        <f>TRIM(PROPER(Tabla_auditoría[[#This Row],[Responsable]]))</f>
        <v>Marta López</v>
      </c>
    </row>
    <row r="2496" spans="1:19" x14ac:dyDescent="0.3">
      <c r="A2496" s="1">
        <v>45786</v>
      </c>
      <c r="B2496" s="2" t="s">
        <v>2554</v>
      </c>
      <c r="C2496" s="2" t="s">
        <v>2541</v>
      </c>
      <c r="D2496" s="2" t="s">
        <v>2522</v>
      </c>
      <c r="E2496" s="2" t="s">
        <v>2529</v>
      </c>
      <c r="F2496" s="3">
        <v>137747</v>
      </c>
      <c r="G2496" s="3">
        <v>8419</v>
      </c>
      <c r="H2496" s="3">
        <v>627</v>
      </c>
      <c r="I2496" s="4">
        <v>12724.72</v>
      </c>
      <c r="J2496" s="4">
        <v>99492.88</v>
      </c>
      <c r="K2496" s="3">
        <v>392</v>
      </c>
      <c r="L2496" s="2" t="s">
        <v>2536</v>
      </c>
      <c r="M2496" s="2" t="s">
        <v>2526</v>
      </c>
      <c r="N2496" t="str">
        <f>TRIM(PROPER(Tabla_auditoría[[#This Row],[ID_Campaña]]))</f>
        <v>Cmp-019</v>
      </c>
      <c r="O2496" t="str">
        <f>TRIM(PROPER(Tabla_auditoría[[#This Row],[Canal]]))</f>
        <v>Display</v>
      </c>
      <c r="P2496" t="str">
        <f>TRIM(PROPER(Tabla_auditoría[[#This Row],[País]]))</f>
        <v>Italia</v>
      </c>
      <c r="Q2496" t="str">
        <f>TRIM(PROPER(Tabla_auditoría[[#This Row],[Dispositivo]]))</f>
        <v>Mobile</v>
      </c>
      <c r="R2496" t="str">
        <f>TRIM(PROPER(Tabla_auditoría[[#This Row],[Tipo_Campaña]]))</f>
        <v>Reconocimiento</v>
      </c>
      <c r="S2496" t="str">
        <f>TRIM(PROPER(Tabla_auditoría[[#This Row],[Responsable]]))</f>
        <v>Laura Pérez</v>
      </c>
    </row>
    <row r="2497" spans="1:19" x14ac:dyDescent="0.3">
      <c r="A2497" s="1">
        <v>45923</v>
      </c>
      <c r="B2497" s="2" t="s">
        <v>2542</v>
      </c>
      <c r="C2497" s="2" t="s">
        <v>2527</v>
      </c>
      <c r="D2497" s="2" t="s">
        <v>2528</v>
      </c>
      <c r="E2497" s="2" t="s">
        <v>2534</v>
      </c>
      <c r="F2497" s="3">
        <v>148063</v>
      </c>
      <c r="G2497" s="3">
        <v>5360</v>
      </c>
      <c r="H2497" s="3">
        <v>451</v>
      </c>
      <c r="I2497" s="4">
        <v>2029.66</v>
      </c>
      <c r="J2497" s="4">
        <v>86717.51</v>
      </c>
      <c r="K2497" s="3">
        <v>373</v>
      </c>
      <c r="L2497" s="2" t="s">
        <v>2536</v>
      </c>
      <c r="M2497" s="2" t="s">
        <v>2519</v>
      </c>
      <c r="N2497" t="str">
        <f>TRIM(PROPER(Tabla_auditoría[[#This Row],[ID_Campaña]]))</f>
        <v>Cmp-025</v>
      </c>
      <c r="O2497" t="str">
        <f>TRIM(PROPER(Tabla_auditoría[[#This Row],[Canal]]))</f>
        <v>Affiliate</v>
      </c>
      <c r="P2497" t="str">
        <f>TRIM(PROPER(Tabla_auditoría[[#This Row],[País]]))</f>
        <v>España</v>
      </c>
      <c r="Q2497" t="str">
        <f>TRIM(PROPER(Tabla_auditoría[[#This Row],[Dispositivo]]))</f>
        <v>Tablet</v>
      </c>
      <c r="R2497" t="str">
        <f>TRIM(PROPER(Tabla_auditoría[[#This Row],[Tipo_Campaña]]))</f>
        <v>Reconocimiento</v>
      </c>
      <c r="S2497" t="str">
        <f>TRIM(PROPER(Tabla_auditoría[[#This Row],[Responsable]]))</f>
        <v>Carlos Ruiz</v>
      </c>
    </row>
    <row r="2498" spans="1:19" x14ac:dyDescent="0.3">
      <c r="A2498" s="1">
        <v>45821</v>
      </c>
      <c r="B2498" s="2" t="s">
        <v>2564</v>
      </c>
      <c r="C2498" s="2" t="s">
        <v>2558</v>
      </c>
      <c r="D2498" s="2" t="s">
        <v>2528</v>
      </c>
      <c r="E2498" s="2" t="s">
        <v>2529</v>
      </c>
      <c r="F2498" s="3">
        <v>30710</v>
      </c>
      <c r="G2498" s="3">
        <v>1122</v>
      </c>
      <c r="H2498" s="3">
        <v>54</v>
      </c>
      <c r="I2498" s="4">
        <v>1536.49</v>
      </c>
      <c r="J2498" s="4">
        <v>6413.24</v>
      </c>
      <c r="K2498" s="3">
        <v>42</v>
      </c>
      <c r="L2498" s="2" t="s">
        <v>2523</v>
      </c>
      <c r="M2498" s="2" t="s">
        <v>2546</v>
      </c>
      <c r="N2498" t="str">
        <f>TRIM(PROPER(Tabla_auditoría[[#This Row],[ID_Campaña]]))</f>
        <v>Cmp-024</v>
      </c>
      <c r="O2498" t="str">
        <f>TRIM(PROPER(Tabla_auditoría[[#This Row],[Canal]]))</f>
        <v>Paid Social</v>
      </c>
      <c r="P2498" t="str">
        <f>TRIM(PROPER(Tabla_auditoría[[#This Row],[País]]))</f>
        <v>España</v>
      </c>
      <c r="Q2498" t="str">
        <f>TRIM(PROPER(Tabla_auditoría[[#This Row],[Dispositivo]]))</f>
        <v>Mobile</v>
      </c>
      <c r="R2498" t="str">
        <f>TRIM(PROPER(Tabla_auditoría[[#This Row],[Tipo_Campaña]]))</f>
        <v>Retención</v>
      </c>
      <c r="S2498" t="str">
        <f>TRIM(PROPER(Tabla_auditoría[[#This Row],[Responsable]]))</f>
        <v>Ana García</v>
      </c>
    </row>
    <row r="2499" spans="1:19" x14ac:dyDescent="0.3">
      <c r="A2499" s="1">
        <v>45707</v>
      </c>
      <c r="B2499" s="2" t="s">
        <v>2566</v>
      </c>
      <c r="C2499" s="2" t="s">
        <v>2515</v>
      </c>
      <c r="D2499" s="2" t="s">
        <v>2516</v>
      </c>
      <c r="E2499" s="2" t="s">
        <v>2517</v>
      </c>
      <c r="F2499" s="3">
        <v>34053</v>
      </c>
      <c r="G2499" s="3">
        <v>1137</v>
      </c>
      <c r="H2499" s="3">
        <v>92</v>
      </c>
      <c r="I2499" s="4">
        <v>417.55</v>
      </c>
      <c r="J2499" s="4">
        <v>11977.12</v>
      </c>
      <c r="K2499" s="3">
        <v>56</v>
      </c>
      <c r="L2499" s="2" t="s">
        <v>2523</v>
      </c>
      <c r="M2499" s="2" t="s">
        <v>2537</v>
      </c>
      <c r="N2499" t="str">
        <f>TRIM(PROPER(Tabla_auditoría[[#This Row],[ID_Campaña]]))</f>
        <v>Cmp-001</v>
      </c>
      <c r="O2499" t="str">
        <f>TRIM(PROPER(Tabla_auditoría[[#This Row],[Canal]]))</f>
        <v>Email</v>
      </c>
      <c r="P2499" t="str">
        <f>TRIM(PROPER(Tabla_auditoría[[#This Row],[País]]))</f>
        <v>México</v>
      </c>
      <c r="Q2499" t="str">
        <f>TRIM(PROPER(Tabla_auditoría[[#This Row],[Dispositivo]]))</f>
        <v>Desktop</v>
      </c>
      <c r="R2499" t="str">
        <f>TRIM(PROPER(Tabla_auditoría[[#This Row],[Tipo_Campaña]]))</f>
        <v>Retención</v>
      </c>
      <c r="S2499" t="str">
        <f>TRIM(PROPER(Tabla_auditoría[[#This Row],[Responsable]]))</f>
        <v>Marta López</v>
      </c>
    </row>
    <row r="2500" spans="1:19" x14ac:dyDescent="0.3">
      <c r="A2500" s="1">
        <v>45973</v>
      </c>
      <c r="B2500" s="2" t="s">
        <v>2542</v>
      </c>
      <c r="C2500" s="2" t="s">
        <v>2543</v>
      </c>
      <c r="D2500" s="2" t="s">
        <v>2528</v>
      </c>
      <c r="E2500" s="2" t="s">
        <v>2517</v>
      </c>
      <c r="F2500" s="3">
        <v>29424</v>
      </c>
      <c r="G2500" s="3">
        <v>2594</v>
      </c>
      <c r="H2500" s="3">
        <v>108</v>
      </c>
      <c r="I2500" s="4">
        <v>2502.42</v>
      </c>
      <c r="J2500" s="4">
        <v>2167.4699999999998</v>
      </c>
      <c r="K2500" s="3">
        <v>71</v>
      </c>
      <c r="L2500" s="2" t="s">
        <v>2518</v>
      </c>
      <c r="M2500" s="2" t="s">
        <v>2524</v>
      </c>
      <c r="N2500" t="str">
        <f>TRIM(PROPER(Tabla_auditoría[[#This Row],[ID_Campaña]]))</f>
        <v>Cmp-025</v>
      </c>
      <c r="O2500" t="str">
        <f>TRIM(PROPER(Tabla_auditoría[[#This Row],[Canal]]))</f>
        <v>Organic Social</v>
      </c>
      <c r="P2500" t="str">
        <f>TRIM(PROPER(Tabla_auditoría[[#This Row],[País]]))</f>
        <v>España</v>
      </c>
      <c r="Q2500" t="str">
        <f>TRIM(PROPER(Tabla_auditoría[[#This Row],[Dispositivo]]))</f>
        <v>Desktop</v>
      </c>
      <c r="R2500" t="str">
        <f>TRIM(PROPER(Tabla_auditoría[[#This Row],[Tipo_Campaña]]))</f>
        <v>Adquisición</v>
      </c>
      <c r="S2500" t="str">
        <f>TRIM(PROPER(Tabla_auditoría[[#This Row],[Responsable]]))</f>
        <v>Luis Martín</v>
      </c>
    </row>
    <row r="2501" spans="1:19" x14ac:dyDescent="0.3">
      <c r="A2501" s="1">
        <v>45674</v>
      </c>
      <c r="B2501" s="2" t="s">
        <v>2566</v>
      </c>
      <c r="C2501" s="2" t="s">
        <v>2515</v>
      </c>
      <c r="D2501" s="2" t="s">
        <v>2528</v>
      </c>
      <c r="E2501" s="2" t="s">
        <v>2517</v>
      </c>
      <c r="F2501" s="3">
        <v>52692</v>
      </c>
      <c r="G2501" s="3">
        <v>4330</v>
      </c>
      <c r="H2501" s="3">
        <v>473</v>
      </c>
      <c r="I2501" s="4">
        <v>7339.28</v>
      </c>
      <c r="J2501" s="4">
        <v>67861.490000000005</v>
      </c>
      <c r="K2501" s="3">
        <v>344</v>
      </c>
      <c r="L2501" s="2" t="s">
        <v>2518</v>
      </c>
      <c r="M2501" s="2" t="s">
        <v>2524</v>
      </c>
      <c r="N2501" t="str">
        <f>TRIM(PROPER(Tabla_auditoría[[#This Row],[ID_Campaña]]))</f>
        <v>Cmp-001</v>
      </c>
      <c r="O2501" t="str">
        <f>TRIM(PROPER(Tabla_auditoría[[#This Row],[Canal]]))</f>
        <v>Email</v>
      </c>
      <c r="P2501" t="str">
        <f>TRIM(PROPER(Tabla_auditoría[[#This Row],[País]]))</f>
        <v>España</v>
      </c>
      <c r="Q2501" t="str">
        <f>TRIM(PROPER(Tabla_auditoría[[#This Row],[Dispositivo]]))</f>
        <v>Desktop</v>
      </c>
      <c r="R2501" t="str">
        <f>TRIM(PROPER(Tabla_auditoría[[#This Row],[Tipo_Campaña]]))</f>
        <v>Adquisición</v>
      </c>
      <c r="S2501" t="str">
        <f>TRIM(PROPER(Tabla_auditoría[[#This Row],[Responsable]]))</f>
        <v>Luis Martín</v>
      </c>
    </row>
    <row r="2502" spans="1:19" x14ac:dyDescent="0.3">
      <c r="A2502" s="1">
        <v>45812</v>
      </c>
      <c r="B2502" s="2" t="s">
        <v>2535</v>
      </c>
      <c r="C2502" s="2" t="s">
        <v>2533</v>
      </c>
      <c r="D2502" s="2" t="s">
        <v>2525</v>
      </c>
      <c r="E2502" s="2" t="s">
        <v>2517</v>
      </c>
      <c r="F2502" s="3">
        <v>134173</v>
      </c>
      <c r="G2502" s="3">
        <v>1030</v>
      </c>
      <c r="H2502" s="3">
        <v>70</v>
      </c>
      <c r="I2502" s="4">
        <v>874.43</v>
      </c>
      <c r="J2502" s="4">
        <v>8441.31</v>
      </c>
      <c r="K2502" s="3">
        <v>57</v>
      </c>
      <c r="L2502" s="2" t="s">
        <v>2518</v>
      </c>
      <c r="M2502" s="2" t="s">
        <v>2546</v>
      </c>
      <c r="N2502" t="str">
        <f>TRIM(PROPER(Tabla_auditoría[[#This Row],[ID_Campaña]]))</f>
        <v>Cmp-015</v>
      </c>
      <c r="O2502" t="str">
        <f>TRIM(PROPER(Tabla_auditoría[[#This Row],[Canal]]))</f>
        <v>Paid Social</v>
      </c>
      <c r="P2502" t="str">
        <f>TRIM(PROPER(Tabla_auditoría[[#This Row],[País]]))</f>
        <v>Francia</v>
      </c>
      <c r="Q2502" t="str">
        <f>TRIM(PROPER(Tabla_auditoría[[#This Row],[Dispositivo]]))</f>
        <v>Desktop</v>
      </c>
      <c r="R2502" t="str">
        <f>TRIM(PROPER(Tabla_auditoría[[#This Row],[Tipo_Campaña]]))</f>
        <v>Adquisición</v>
      </c>
      <c r="S2502" t="str">
        <f>TRIM(PROPER(Tabla_auditoría[[#This Row],[Responsable]]))</f>
        <v>Ana García</v>
      </c>
    </row>
    <row r="2503" spans="1:19" x14ac:dyDescent="0.3">
      <c r="A2503" s="1">
        <v>45927</v>
      </c>
      <c r="B2503" s="2" t="s">
        <v>2552</v>
      </c>
      <c r="C2503" s="2" t="s">
        <v>2541</v>
      </c>
      <c r="D2503" s="2" t="s">
        <v>2525</v>
      </c>
      <c r="E2503" s="2" t="s">
        <v>2529</v>
      </c>
      <c r="F2503" s="3">
        <v>55134</v>
      </c>
      <c r="G2503" s="3">
        <v>1070</v>
      </c>
      <c r="H2503" s="3">
        <v>102</v>
      </c>
      <c r="I2503" s="4">
        <v>307.12</v>
      </c>
      <c r="J2503" s="4">
        <v>10397.1</v>
      </c>
      <c r="K2503" s="3">
        <v>63</v>
      </c>
      <c r="L2503" s="2" t="s">
        <v>2518</v>
      </c>
      <c r="M2503" s="2" t="s">
        <v>2524</v>
      </c>
      <c r="N2503" t="str">
        <f>TRIM(PROPER(Tabla_auditoría[[#This Row],[ID_Campaña]]))</f>
        <v>Cmp-012</v>
      </c>
      <c r="O2503" t="str">
        <f>TRIM(PROPER(Tabla_auditoría[[#This Row],[Canal]]))</f>
        <v>Display</v>
      </c>
      <c r="P2503" t="str">
        <f>TRIM(PROPER(Tabla_auditoría[[#This Row],[País]]))</f>
        <v>Francia</v>
      </c>
      <c r="Q2503" t="str">
        <f>TRIM(PROPER(Tabla_auditoría[[#This Row],[Dispositivo]]))</f>
        <v>Mobile</v>
      </c>
      <c r="R2503" t="str">
        <f>TRIM(PROPER(Tabla_auditoría[[#This Row],[Tipo_Campaña]]))</f>
        <v>Adquisición</v>
      </c>
      <c r="S2503" t="str">
        <f>TRIM(PROPER(Tabla_auditoría[[#This Row],[Responsable]]))</f>
        <v>Luis Martín</v>
      </c>
    </row>
    <row r="2504" spans="1:19" x14ac:dyDescent="0.3">
      <c r="A2504" s="1">
        <v>45943</v>
      </c>
      <c r="B2504" s="2" t="s">
        <v>2567</v>
      </c>
      <c r="C2504" s="2" t="s">
        <v>2521</v>
      </c>
      <c r="D2504" s="2" t="s">
        <v>2525</v>
      </c>
      <c r="E2504" s="2" t="s">
        <v>2517</v>
      </c>
      <c r="F2504" s="3">
        <v>18622</v>
      </c>
      <c r="G2504" s="3">
        <v>1383</v>
      </c>
      <c r="H2504" s="3">
        <v>190</v>
      </c>
      <c r="I2504" s="4">
        <v>1561.52</v>
      </c>
      <c r="J2504" s="4">
        <v>13186.9</v>
      </c>
      <c r="K2504" s="3">
        <v>134</v>
      </c>
      <c r="L2504" s="2" t="s">
        <v>2518</v>
      </c>
      <c r="M2504" s="2" t="s">
        <v>2546</v>
      </c>
      <c r="N2504" t="str">
        <f>TRIM(PROPER(Tabla_auditoría[[#This Row],[ID_Campaña]]))</f>
        <v>Cmp-021</v>
      </c>
      <c r="O2504" t="str">
        <f>TRIM(PROPER(Tabla_auditoría[[#This Row],[Canal]]))</f>
        <v>Paid Search</v>
      </c>
      <c r="P2504" t="str">
        <f>TRIM(PROPER(Tabla_auditoría[[#This Row],[País]]))</f>
        <v>Francia</v>
      </c>
      <c r="Q2504" t="str">
        <f>TRIM(PROPER(Tabla_auditoría[[#This Row],[Dispositivo]]))</f>
        <v>Desktop</v>
      </c>
      <c r="R2504" t="str">
        <f>TRIM(PROPER(Tabla_auditoría[[#This Row],[Tipo_Campaña]]))</f>
        <v>Adquisición</v>
      </c>
      <c r="S2504" t="str">
        <f>TRIM(PROPER(Tabla_auditoría[[#This Row],[Responsable]]))</f>
        <v>Ana García</v>
      </c>
    </row>
    <row r="2505" spans="1:19" x14ac:dyDescent="0.3">
      <c r="A2505" s="1">
        <v>45799</v>
      </c>
      <c r="B2505" s="2" t="s">
        <v>2604</v>
      </c>
      <c r="C2505" s="2" t="s">
        <v>2527</v>
      </c>
      <c r="D2505" s="2" t="s">
        <v>2516</v>
      </c>
      <c r="E2505" s="2" t="s">
        <v>2529</v>
      </c>
      <c r="F2505" s="3">
        <v>20768</v>
      </c>
      <c r="G2505" s="3">
        <v>1198</v>
      </c>
      <c r="H2505" s="3">
        <v>96</v>
      </c>
      <c r="I2505" s="4">
        <v>733.98</v>
      </c>
      <c r="J2505" s="4">
        <v>4665.5600000000004</v>
      </c>
      <c r="K2505" s="3">
        <v>72</v>
      </c>
      <c r="L2505" s="2" t="s">
        <v>2536</v>
      </c>
      <c r="M2505" s="2" t="s">
        <v>2524</v>
      </c>
      <c r="N2505" t="str">
        <f>TRIM(PROPER(Tabla_auditoría[[#This Row],[ID_Campaña]]))</f>
        <v>Cmp-026</v>
      </c>
      <c r="O2505" t="str">
        <f>TRIM(PROPER(Tabla_auditoría[[#This Row],[Canal]]))</f>
        <v>Affiliate</v>
      </c>
      <c r="P2505" t="str">
        <f>TRIM(PROPER(Tabla_auditoría[[#This Row],[País]]))</f>
        <v>México</v>
      </c>
      <c r="Q2505" t="str">
        <f>TRIM(PROPER(Tabla_auditoría[[#This Row],[Dispositivo]]))</f>
        <v>Mobile</v>
      </c>
      <c r="R2505" t="str">
        <f>TRIM(PROPER(Tabla_auditoría[[#This Row],[Tipo_Campaña]]))</f>
        <v>Reconocimiento</v>
      </c>
      <c r="S2505" t="str">
        <f>TRIM(PROPER(Tabla_auditoría[[#This Row],[Responsable]]))</f>
        <v>Luis Martín</v>
      </c>
    </row>
    <row r="2506" spans="1:19" x14ac:dyDescent="0.3">
      <c r="A2506" s="1">
        <v>45871</v>
      </c>
      <c r="B2506" s="2" t="s">
        <v>2570</v>
      </c>
      <c r="C2506" s="2" t="s">
        <v>2533</v>
      </c>
      <c r="D2506" s="2" t="s">
        <v>2528</v>
      </c>
      <c r="E2506" s="2" t="s">
        <v>2529</v>
      </c>
      <c r="F2506" s="3">
        <v>43334</v>
      </c>
      <c r="G2506" s="3">
        <v>3699</v>
      </c>
      <c r="H2506" s="3">
        <v>167</v>
      </c>
      <c r="I2506" s="4">
        <v>6005.73</v>
      </c>
      <c r="J2506" s="4">
        <v>14322.33</v>
      </c>
      <c r="K2506" s="3">
        <v>83</v>
      </c>
      <c r="L2506" s="2" t="s">
        <v>2539</v>
      </c>
      <c r="M2506" s="2" t="s">
        <v>2537</v>
      </c>
      <c r="N2506" t="str">
        <f>TRIM(PROPER(Tabla_auditoría[[#This Row],[ID_Campaña]]))</f>
        <v>Cmp-016</v>
      </c>
      <c r="O2506" t="str">
        <f>TRIM(PROPER(Tabla_auditoría[[#This Row],[Canal]]))</f>
        <v>Paid Social</v>
      </c>
      <c r="P2506" t="str">
        <f>TRIM(PROPER(Tabla_auditoría[[#This Row],[País]]))</f>
        <v>España</v>
      </c>
      <c r="Q2506" t="str">
        <f>TRIM(PROPER(Tabla_auditoría[[#This Row],[Dispositivo]]))</f>
        <v>Mobile</v>
      </c>
      <c r="R2506" t="str">
        <f>TRIM(PROPER(Tabla_auditoría[[#This Row],[Tipo_Campaña]]))</f>
        <v>Conversión</v>
      </c>
      <c r="S2506" t="str">
        <f>TRIM(PROPER(Tabla_auditoría[[#This Row],[Responsable]]))</f>
        <v>Marta López</v>
      </c>
    </row>
    <row r="2507" spans="1:19" x14ac:dyDescent="0.3">
      <c r="A2507" s="1">
        <v>45730</v>
      </c>
      <c r="B2507" s="2" t="s">
        <v>2567</v>
      </c>
      <c r="C2507" s="2" t="s">
        <v>2521</v>
      </c>
      <c r="D2507" s="2" t="s">
        <v>2528</v>
      </c>
      <c r="E2507" s="2" t="s">
        <v>2517</v>
      </c>
      <c r="F2507" s="3">
        <v>128199</v>
      </c>
      <c r="G2507" s="3">
        <v>4291</v>
      </c>
      <c r="H2507" s="3">
        <v>197</v>
      </c>
      <c r="I2507" s="4">
        <v>3924.31</v>
      </c>
      <c r="J2507" s="4">
        <v>39113.800000000003</v>
      </c>
      <c r="K2507" s="3">
        <v>169</v>
      </c>
      <c r="L2507" s="2" t="s">
        <v>2539</v>
      </c>
      <c r="M2507" s="2" t="s">
        <v>2526</v>
      </c>
      <c r="N2507" t="str">
        <f>TRIM(PROPER(Tabla_auditoría[[#This Row],[ID_Campaña]]))</f>
        <v>Cmp-021</v>
      </c>
      <c r="O2507" t="str">
        <f>TRIM(PROPER(Tabla_auditoría[[#This Row],[Canal]]))</f>
        <v>Paid Search</v>
      </c>
      <c r="P2507" t="str">
        <f>TRIM(PROPER(Tabla_auditoría[[#This Row],[País]]))</f>
        <v>España</v>
      </c>
      <c r="Q2507" t="str">
        <f>TRIM(PROPER(Tabla_auditoría[[#This Row],[Dispositivo]]))</f>
        <v>Desktop</v>
      </c>
      <c r="R2507" t="str">
        <f>TRIM(PROPER(Tabla_auditoría[[#This Row],[Tipo_Campaña]]))</f>
        <v>Conversión</v>
      </c>
      <c r="S2507" t="str">
        <f>TRIM(PROPER(Tabla_auditoría[[#This Row],[Responsable]]))</f>
        <v>Laura Pérez</v>
      </c>
    </row>
    <row r="2508" spans="1:19" x14ac:dyDescent="0.3">
      <c r="A2508" s="1">
        <v>45941</v>
      </c>
      <c r="B2508" s="2" t="s">
        <v>2530</v>
      </c>
      <c r="C2508" s="2" t="s">
        <v>2541</v>
      </c>
      <c r="D2508" s="2" t="s">
        <v>2528</v>
      </c>
      <c r="E2508" s="2" t="s">
        <v>2517</v>
      </c>
      <c r="F2508" s="3">
        <v>44999</v>
      </c>
      <c r="G2508" s="3">
        <v>641</v>
      </c>
      <c r="H2508" s="3">
        <v>4</v>
      </c>
      <c r="I2508" s="4">
        <v>384.52</v>
      </c>
      <c r="J2508" s="4">
        <v>852.55</v>
      </c>
      <c r="K2508" s="3">
        <v>2</v>
      </c>
      <c r="L2508" s="2" t="s">
        <v>2518</v>
      </c>
      <c r="M2508" s="2" t="s">
        <v>2519</v>
      </c>
      <c r="N2508" t="str">
        <f>TRIM(PROPER(Tabla_auditoría[[#This Row],[ID_Campaña]]))</f>
        <v>Cmp-026</v>
      </c>
      <c r="O2508" t="str">
        <f>TRIM(PROPER(Tabla_auditoría[[#This Row],[Canal]]))</f>
        <v>Display</v>
      </c>
      <c r="P2508" t="str">
        <f>TRIM(PROPER(Tabla_auditoría[[#This Row],[País]]))</f>
        <v>España</v>
      </c>
      <c r="Q2508" t="str">
        <f>TRIM(PROPER(Tabla_auditoría[[#This Row],[Dispositivo]]))</f>
        <v>Desktop</v>
      </c>
      <c r="R2508" t="str">
        <f>TRIM(PROPER(Tabla_auditoría[[#This Row],[Tipo_Campaña]]))</f>
        <v>Adquisición</v>
      </c>
      <c r="S2508" t="str">
        <f>TRIM(PROPER(Tabla_auditoría[[#This Row],[Responsable]]))</f>
        <v>Carlos Ruiz</v>
      </c>
    </row>
    <row r="2509" spans="1:19" x14ac:dyDescent="0.3">
      <c r="A2509" s="1">
        <v>45997</v>
      </c>
      <c r="B2509" s="2" t="s">
        <v>2514</v>
      </c>
      <c r="C2509" s="2" t="s">
        <v>2533</v>
      </c>
      <c r="D2509" s="2" t="s">
        <v>2584</v>
      </c>
      <c r="E2509" s="2" t="s">
        <v>2517</v>
      </c>
      <c r="F2509" s="3">
        <v>27560</v>
      </c>
      <c r="G2509" s="3">
        <v>1980</v>
      </c>
      <c r="H2509" s="3">
        <v>70</v>
      </c>
      <c r="I2509" s="4">
        <v>1018.45</v>
      </c>
      <c r="J2509" s="4">
        <v>6060.11</v>
      </c>
      <c r="K2509" s="3">
        <v>57</v>
      </c>
      <c r="L2509" s="2" t="s">
        <v>2523</v>
      </c>
      <c r="M2509" s="2" t="s">
        <v>2519</v>
      </c>
      <c r="N2509" t="str">
        <f>TRIM(PROPER(Tabla_auditoría[[#This Row],[ID_Campaña]]))</f>
        <v>Cmp-002</v>
      </c>
      <c r="O2509" t="str">
        <f>TRIM(PROPER(Tabla_auditoría[[#This Row],[Canal]]))</f>
        <v>Paid Social</v>
      </c>
      <c r="P2509" t="str">
        <f>TRIM(PROPER(Tabla_auditoría[[#This Row],[País]]))</f>
        <v>Portugal</v>
      </c>
      <c r="Q2509" t="str">
        <f>TRIM(PROPER(Tabla_auditoría[[#This Row],[Dispositivo]]))</f>
        <v>Desktop</v>
      </c>
      <c r="R2509" t="str">
        <f>TRIM(PROPER(Tabla_auditoría[[#This Row],[Tipo_Campaña]]))</f>
        <v>Retención</v>
      </c>
      <c r="S2509" t="str">
        <f>TRIM(PROPER(Tabla_auditoría[[#This Row],[Responsable]]))</f>
        <v>Carlos Ruiz</v>
      </c>
    </row>
    <row r="2510" spans="1:19" x14ac:dyDescent="0.3">
      <c r="A2510" s="1">
        <v>45665</v>
      </c>
      <c r="B2510" s="2" t="s">
        <v>2564</v>
      </c>
      <c r="C2510" s="2" t="s">
        <v>2541</v>
      </c>
      <c r="D2510" s="2" t="s">
        <v>2516</v>
      </c>
      <c r="E2510" s="2" t="s">
        <v>2529</v>
      </c>
      <c r="F2510" s="3">
        <v>121614</v>
      </c>
      <c r="G2510" s="3">
        <v>4655</v>
      </c>
      <c r="H2510" s="3">
        <v>474</v>
      </c>
      <c r="I2510" s="4">
        <v>2463.4</v>
      </c>
      <c r="J2510" s="4">
        <v>52288.23</v>
      </c>
      <c r="K2510" s="3">
        <v>245</v>
      </c>
      <c r="L2510" s="2" t="s">
        <v>2518</v>
      </c>
      <c r="M2510" s="2" t="s">
        <v>2546</v>
      </c>
      <c r="N2510" t="str">
        <f>TRIM(PROPER(Tabla_auditoría[[#This Row],[ID_Campaña]]))</f>
        <v>Cmp-024</v>
      </c>
      <c r="O2510" t="str">
        <f>TRIM(PROPER(Tabla_auditoría[[#This Row],[Canal]]))</f>
        <v>Display</v>
      </c>
      <c r="P2510" t="str">
        <f>TRIM(PROPER(Tabla_auditoría[[#This Row],[País]]))</f>
        <v>México</v>
      </c>
      <c r="Q2510" t="str">
        <f>TRIM(PROPER(Tabla_auditoría[[#This Row],[Dispositivo]]))</f>
        <v>Mobile</v>
      </c>
      <c r="R2510" t="str">
        <f>TRIM(PROPER(Tabla_auditoría[[#This Row],[Tipo_Campaña]]))</f>
        <v>Adquisición</v>
      </c>
      <c r="S2510" t="str">
        <f>TRIM(PROPER(Tabla_auditoría[[#This Row],[Responsable]]))</f>
        <v>Ana García</v>
      </c>
    </row>
    <row r="2511" spans="1:19" x14ac:dyDescent="0.3">
      <c r="A2511" s="1">
        <v>45979</v>
      </c>
      <c r="B2511" s="2" t="s">
        <v>2569</v>
      </c>
      <c r="C2511" s="2" t="s">
        <v>2515</v>
      </c>
      <c r="D2511" s="2" t="s">
        <v>2528</v>
      </c>
      <c r="E2511" s="2" t="s">
        <v>2529</v>
      </c>
      <c r="F2511" s="3">
        <v>11152</v>
      </c>
      <c r="G2511" s="3">
        <v>60</v>
      </c>
      <c r="H2511" s="3">
        <v>5</v>
      </c>
      <c r="I2511" s="4">
        <v>28.8</v>
      </c>
      <c r="J2511" s="4">
        <v>992.32</v>
      </c>
      <c r="K2511" s="3">
        <v>2</v>
      </c>
      <c r="L2511" s="2" t="s">
        <v>2536</v>
      </c>
      <c r="M2511" s="2" t="s">
        <v>2546</v>
      </c>
      <c r="N2511" t="str">
        <f>TRIM(PROPER(Tabla_auditoría[[#This Row],[ID_Campaña]]))</f>
        <v>Cmp-013</v>
      </c>
      <c r="O2511" t="str">
        <f>TRIM(PROPER(Tabla_auditoría[[#This Row],[Canal]]))</f>
        <v>Email</v>
      </c>
      <c r="P2511" t="str">
        <f>TRIM(PROPER(Tabla_auditoría[[#This Row],[País]]))</f>
        <v>España</v>
      </c>
      <c r="Q2511" t="str">
        <f>TRIM(PROPER(Tabla_auditoría[[#This Row],[Dispositivo]]))</f>
        <v>Mobile</v>
      </c>
      <c r="R2511" t="str">
        <f>TRIM(PROPER(Tabla_auditoría[[#This Row],[Tipo_Campaña]]))</f>
        <v>Reconocimiento</v>
      </c>
      <c r="S2511" t="str">
        <f>TRIM(PROPER(Tabla_auditoría[[#This Row],[Responsable]]))</f>
        <v>Ana García</v>
      </c>
    </row>
    <row r="2512" spans="1:19" x14ac:dyDescent="0.3">
      <c r="A2512" s="1">
        <v>45738</v>
      </c>
      <c r="B2512" s="2" t="s">
        <v>2574</v>
      </c>
      <c r="C2512" s="2" t="s">
        <v>2541</v>
      </c>
      <c r="D2512" s="2" t="s">
        <v>2528</v>
      </c>
      <c r="E2512" s="2" t="s">
        <v>2517</v>
      </c>
      <c r="F2512" s="3">
        <v>42456</v>
      </c>
      <c r="G2512" s="3">
        <v>977</v>
      </c>
      <c r="H2512" s="3">
        <v>5</v>
      </c>
      <c r="I2512" s="4">
        <v>1877.93</v>
      </c>
      <c r="J2512" s="4">
        <v>509.17</v>
      </c>
      <c r="K2512" s="3">
        <v>3</v>
      </c>
      <c r="L2512" s="2" t="s">
        <v>2518</v>
      </c>
      <c r="M2512" s="2" t="s">
        <v>2526</v>
      </c>
      <c r="N2512" t="str">
        <f>TRIM(PROPER(Tabla_auditoría[[#This Row],[ID_Campaña]]))</f>
        <v>Cmp-003</v>
      </c>
      <c r="O2512" t="str">
        <f>TRIM(PROPER(Tabla_auditoría[[#This Row],[Canal]]))</f>
        <v>Display</v>
      </c>
      <c r="P2512" t="str">
        <f>TRIM(PROPER(Tabla_auditoría[[#This Row],[País]]))</f>
        <v>España</v>
      </c>
      <c r="Q2512" t="str">
        <f>TRIM(PROPER(Tabla_auditoría[[#This Row],[Dispositivo]]))</f>
        <v>Desktop</v>
      </c>
      <c r="R2512" t="str">
        <f>TRIM(PROPER(Tabla_auditoría[[#This Row],[Tipo_Campaña]]))</f>
        <v>Adquisición</v>
      </c>
      <c r="S2512" t="str">
        <f>TRIM(PROPER(Tabla_auditoría[[#This Row],[Responsable]]))</f>
        <v>Laura Pérez</v>
      </c>
    </row>
    <row r="2513" spans="1:19" x14ac:dyDescent="0.3">
      <c r="A2513" s="1">
        <v>45960</v>
      </c>
      <c r="B2513" s="2" t="s">
        <v>2530</v>
      </c>
      <c r="C2513" s="2" t="s">
        <v>2533</v>
      </c>
      <c r="D2513" s="2" t="s">
        <v>2516</v>
      </c>
      <c r="E2513" s="2" t="s">
        <v>2517</v>
      </c>
      <c r="F2513" s="3">
        <v>16372</v>
      </c>
      <c r="G2513" s="3">
        <v>305</v>
      </c>
      <c r="H2513" s="3">
        <v>3</v>
      </c>
      <c r="I2513" s="4">
        <v>61.41</v>
      </c>
      <c r="J2513" s="4">
        <v>151.56</v>
      </c>
      <c r="K2513" s="3">
        <v>2</v>
      </c>
      <c r="L2513" s="2" t="s">
        <v>2523</v>
      </c>
      <c r="M2513" s="2" t="s">
        <v>2546</v>
      </c>
      <c r="N2513" t="str">
        <f>TRIM(PROPER(Tabla_auditoría[[#This Row],[ID_Campaña]]))</f>
        <v>Cmp-026</v>
      </c>
      <c r="O2513" t="str">
        <f>TRIM(PROPER(Tabla_auditoría[[#This Row],[Canal]]))</f>
        <v>Paid Social</v>
      </c>
      <c r="P2513" t="str">
        <f>TRIM(PROPER(Tabla_auditoría[[#This Row],[País]]))</f>
        <v>México</v>
      </c>
      <c r="Q2513" t="str">
        <f>TRIM(PROPER(Tabla_auditoría[[#This Row],[Dispositivo]]))</f>
        <v>Desktop</v>
      </c>
      <c r="R2513" t="str">
        <f>TRIM(PROPER(Tabla_auditoría[[#This Row],[Tipo_Campaña]]))</f>
        <v>Retención</v>
      </c>
      <c r="S2513" t="str">
        <f>TRIM(PROPER(Tabla_auditoría[[#This Row],[Responsable]]))</f>
        <v>Ana García</v>
      </c>
    </row>
    <row r="2514" spans="1:19" x14ac:dyDescent="0.3">
      <c r="A2514" s="1">
        <v>45870</v>
      </c>
      <c r="B2514" s="2" t="s">
        <v>2556</v>
      </c>
      <c r="C2514" s="2" t="s">
        <v>2521</v>
      </c>
      <c r="D2514" s="2" t="s">
        <v>2516</v>
      </c>
      <c r="E2514" s="2" t="s">
        <v>2529</v>
      </c>
      <c r="F2514" s="3">
        <v>117559</v>
      </c>
      <c r="G2514" s="3">
        <v>2732</v>
      </c>
      <c r="H2514" s="3">
        <v>83</v>
      </c>
      <c r="I2514" s="4">
        <v>4818.75</v>
      </c>
      <c r="J2514" s="4">
        <v>9651.4</v>
      </c>
      <c r="K2514" s="3">
        <v>55</v>
      </c>
      <c r="L2514" s="2" t="s">
        <v>2536</v>
      </c>
      <c r="M2514" s="2" t="s">
        <v>2526</v>
      </c>
      <c r="N2514" t="str">
        <f>TRIM(PROPER(Tabla_auditoría[[#This Row],[ID_Campaña]]))</f>
        <v>Cmp-014</v>
      </c>
      <c r="O2514" t="str">
        <f>TRIM(PROPER(Tabla_auditoría[[#This Row],[Canal]]))</f>
        <v>Paid Search</v>
      </c>
      <c r="P2514" t="str">
        <f>TRIM(PROPER(Tabla_auditoría[[#This Row],[País]]))</f>
        <v>México</v>
      </c>
      <c r="Q2514" t="str">
        <f>TRIM(PROPER(Tabla_auditoría[[#This Row],[Dispositivo]]))</f>
        <v>Mobile</v>
      </c>
      <c r="R2514" t="str">
        <f>TRIM(PROPER(Tabla_auditoría[[#This Row],[Tipo_Campaña]]))</f>
        <v>Reconocimiento</v>
      </c>
      <c r="S2514" t="str">
        <f>TRIM(PROPER(Tabla_auditoría[[#This Row],[Responsable]]))</f>
        <v>Laura Pérez</v>
      </c>
    </row>
    <row r="2515" spans="1:19" x14ac:dyDescent="0.3">
      <c r="A2515" s="1">
        <v>45942</v>
      </c>
      <c r="B2515" s="2" t="s">
        <v>2567</v>
      </c>
      <c r="C2515" s="2" t="s">
        <v>2527</v>
      </c>
      <c r="D2515" s="2" t="s">
        <v>2525</v>
      </c>
      <c r="E2515" s="2" t="s">
        <v>2534</v>
      </c>
      <c r="F2515" s="3">
        <v>22612</v>
      </c>
      <c r="G2515" s="3">
        <v>556</v>
      </c>
      <c r="H2515" s="3">
        <v>69</v>
      </c>
      <c r="I2515" s="4">
        <v>309.48</v>
      </c>
      <c r="J2515" s="4">
        <v>8846.8700000000008</v>
      </c>
      <c r="K2515" s="3">
        <v>35</v>
      </c>
      <c r="L2515" s="2" t="s">
        <v>2539</v>
      </c>
      <c r="M2515" s="2" t="s">
        <v>2546</v>
      </c>
      <c r="N2515" t="str">
        <f>TRIM(PROPER(Tabla_auditoría[[#This Row],[ID_Campaña]]))</f>
        <v>Cmp-021</v>
      </c>
      <c r="O2515" t="str">
        <f>TRIM(PROPER(Tabla_auditoría[[#This Row],[Canal]]))</f>
        <v>Affiliate</v>
      </c>
      <c r="P2515" t="str">
        <f>TRIM(PROPER(Tabla_auditoría[[#This Row],[País]]))</f>
        <v>Francia</v>
      </c>
      <c r="Q2515" t="str">
        <f>TRIM(PROPER(Tabla_auditoría[[#This Row],[Dispositivo]]))</f>
        <v>Tablet</v>
      </c>
      <c r="R2515" t="str">
        <f>TRIM(PROPER(Tabla_auditoría[[#This Row],[Tipo_Campaña]]))</f>
        <v>Conversión</v>
      </c>
      <c r="S2515" t="str">
        <f>TRIM(PROPER(Tabla_auditoría[[#This Row],[Responsable]]))</f>
        <v>Ana García</v>
      </c>
    </row>
    <row r="2516" spans="1:19" x14ac:dyDescent="0.3">
      <c r="A2516" s="1">
        <v>45877</v>
      </c>
      <c r="B2516" s="2" t="s">
        <v>2569</v>
      </c>
      <c r="C2516" s="2" t="s">
        <v>2543</v>
      </c>
      <c r="D2516" s="2" t="s">
        <v>2531</v>
      </c>
      <c r="E2516" s="2" t="s">
        <v>2529</v>
      </c>
      <c r="F2516" s="3">
        <v>23085</v>
      </c>
      <c r="G2516" s="3">
        <v>620</v>
      </c>
      <c r="H2516" s="3">
        <v>65</v>
      </c>
      <c r="I2516" s="4">
        <v>394.01</v>
      </c>
      <c r="J2516" s="4">
        <v>7554.21</v>
      </c>
      <c r="K2516" s="3">
        <v>51</v>
      </c>
      <c r="L2516" s="2" t="s">
        <v>2536</v>
      </c>
      <c r="M2516" s="2" t="s">
        <v>2526</v>
      </c>
      <c r="N2516" t="str">
        <f>TRIM(PROPER(Tabla_auditoría[[#This Row],[ID_Campaña]]))</f>
        <v>Cmp-013</v>
      </c>
      <c r="O2516" t="str">
        <f>TRIM(PROPER(Tabla_auditoría[[#This Row],[Canal]]))</f>
        <v>Organic Social</v>
      </c>
      <c r="P2516" t="str">
        <f>TRIM(PROPER(Tabla_auditoría[[#This Row],[País]]))</f>
        <v>Portugal</v>
      </c>
      <c r="Q2516" t="str">
        <f>TRIM(PROPER(Tabla_auditoría[[#This Row],[Dispositivo]]))</f>
        <v>Mobile</v>
      </c>
      <c r="R2516" t="str">
        <f>TRIM(PROPER(Tabla_auditoría[[#This Row],[Tipo_Campaña]]))</f>
        <v>Reconocimiento</v>
      </c>
      <c r="S2516" t="str">
        <f>TRIM(PROPER(Tabla_auditoría[[#This Row],[Responsable]]))</f>
        <v>Laura Pérez</v>
      </c>
    </row>
    <row r="2517" spans="1:19" x14ac:dyDescent="0.3">
      <c r="A2517" s="1">
        <v>45824</v>
      </c>
      <c r="B2517" s="2" t="s">
        <v>2532</v>
      </c>
      <c r="C2517" s="2" t="s">
        <v>2527</v>
      </c>
      <c r="D2517" s="2" t="s">
        <v>2528</v>
      </c>
      <c r="E2517" s="2" t="s">
        <v>2534</v>
      </c>
      <c r="F2517" s="3">
        <v>130725</v>
      </c>
      <c r="G2517" s="3">
        <v>8984</v>
      </c>
      <c r="H2517" s="3">
        <v>845</v>
      </c>
      <c r="I2517" s="4">
        <v>6429.68</v>
      </c>
      <c r="J2517" s="4">
        <v>23900.85</v>
      </c>
      <c r="K2517" s="3">
        <v>526</v>
      </c>
      <c r="L2517" s="2" t="s">
        <v>2536</v>
      </c>
      <c r="M2517" s="2" t="s">
        <v>2537</v>
      </c>
      <c r="N2517" t="str">
        <f>TRIM(PROPER(Tabla_auditoría[[#This Row],[ID_Campaña]]))</f>
        <v>Cmp-022</v>
      </c>
      <c r="O2517" t="str">
        <f>TRIM(PROPER(Tabla_auditoría[[#This Row],[Canal]]))</f>
        <v>Affiliate</v>
      </c>
      <c r="P2517" t="str">
        <f>TRIM(PROPER(Tabla_auditoría[[#This Row],[País]]))</f>
        <v>España</v>
      </c>
      <c r="Q2517" t="str">
        <f>TRIM(PROPER(Tabla_auditoría[[#This Row],[Dispositivo]]))</f>
        <v>Tablet</v>
      </c>
      <c r="R2517" t="str">
        <f>TRIM(PROPER(Tabla_auditoría[[#This Row],[Tipo_Campaña]]))</f>
        <v>Reconocimiento</v>
      </c>
      <c r="S2517" t="str">
        <f>TRIM(PROPER(Tabla_auditoría[[#This Row],[Responsable]]))</f>
        <v>Marta López</v>
      </c>
    </row>
    <row r="2518" spans="1:19" x14ac:dyDescent="0.3">
      <c r="A2518" s="1">
        <v>45877</v>
      </c>
      <c r="B2518" s="2" t="s">
        <v>2554</v>
      </c>
      <c r="C2518" s="2" t="s">
        <v>2543</v>
      </c>
      <c r="D2518" s="2" t="s">
        <v>2522</v>
      </c>
      <c r="E2518" s="2" t="s">
        <v>2517</v>
      </c>
      <c r="F2518" s="3">
        <v>48007</v>
      </c>
      <c r="G2518" s="3">
        <v>460</v>
      </c>
      <c r="H2518" s="3">
        <v>17</v>
      </c>
      <c r="I2518" s="4">
        <v>198.7</v>
      </c>
      <c r="J2518" s="4">
        <v>2338.36</v>
      </c>
      <c r="K2518" s="3">
        <v>10</v>
      </c>
      <c r="L2518" s="2" t="s">
        <v>2539</v>
      </c>
      <c r="M2518" s="2" t="s">
        <v>2537</v>
      </c>
      <c r="N2518" t="str">
        <f>TRIM(PROPER(Tabla_auditoría[[#This Row],[ID_Campaña]]))</f>
        <v>Cmp-019</v>
      </c>
      <c r="O2518" t="str">
        <f>TRIM(PROPER(Tabla_auditoría[[#This Row],[Canal]]))</f>
        <v>Organic Social</v>
      </c>
      <c r="P2518" t="str">
        <f>TRIM(PROPER(Tabla_auditoría[[#This Row],[País]]))</f>
        <v>Italia</v>
      </c>
      <c r="Q2518" t="str">
        <f>TRIM(PROPER(Tabla_auditoría[[#This Row],[Dispositivo]]))</f>
        <v>Desktop</v>
      </c>
      <c r="R2518" t="str">
        <f>TRIM(PROPER(Tabla_auditoría[[#This Row],[Tipo_Campaña]]))</f>
        <v>Conversión</v>
      </c>
      <c r="S2518" t="str">
        <f>TRIM(PROPER(Tabla_auditoría[[#This Row],[Responsable]]))</f>
        <v>Marta López</v>
      </c>
    </row>
    <row r="2519" spans="1:19" x14ac:dyDescent="0.3">
      <c r="A2519" s="1">
        <v>45726</v>
      </c>
      <c r="B2519" s="2" t="s">
        <v>2532</v>
      </c>
      <c r="C2519" s="2" t="s">
        <v>2575</v>
      </c>
      <c r="D2519" s="2" t="s">
        <v>2531</v>
      </c>
      <c r="E2519" s="2" t="s">
        <v>2529</v>
      </c>
      <c r="F2519" s="3">
        <v>47850</v>
      </c>
      <c r="G2519" s="3">
        <v>2712</v>
      </c>
      <c r="H2519" s="3">
        <v>173</v>
      </c>
      <c r="I2519" s="4">
        <v>906.58</v>
      </c>
      <c r="J2519" s="4">
        <v>28561.94</v>
      </c>
      <c r="K2519" s="3">
        <v>134</v>
      </c>
      <c r="L2519" s="2" t="s">
        <v>2536</v>
      </c>
      <c r="M2519" s="2" t="s">
        <v>2546</v>
      </c>
      <c r="N2519" t="str">
        <f>TRIM(PROPER(Tabla_auditoría[[#This Row],[ID_Campaña]]))</f>
        <v>Cmp-022</v>
      </c>
      <c r="O2519" t="str">
        <f>TRIM(PROPER(Tabla_auditoría[[#This Row],[Canal]]))</f>
        <v>Paid Search</v>
      </c>
      <c r="P2519" t="str">
        <f>TRIM(PROPER(Tabla_auditoría[[#This Row],[País]]))</f>
        <v>Portugal</v>
      </c>
      <c r="Q2519" t="str">
        <f>TRIM(PROPER(Tabla_auditoría[[#This Row],[Dispositivo]]))</f>
        <v>Mobile</v>
      </c>
      <c r="R2519" t="str">
        <f>TRIM(PROPER(Tabla_auditoría[[#This Row],[Tipo_Campaña]]))</f>
        <v>Reconocimiento</v>
      </c>
      <c r="S2519" t="str">
        <f>TRIM(PROPER(Tabla_auditoría[[#This Row],[Responsable]]))</f>
        <v>Ana García</v>
      </c>
    </row>
    <row r="2520" spans="1:19" x14ac:dyDescent="0.3">
      <c r="A2520" s="1">
        <v>45816</v>
      </c>
      <c r="B2520" s="2" t="s">
        <v>2550</v>
      </c>
      <c r="C2520" s="2" t="s">
        <v>2527</v>
      </c>
      <c r="D2520" s="2" t="s">
        <v>2531</v>
      </c>
      <c r="E2520" s="2" t="s">
        <v>2517</v>
      </c>
      <c r="F2520" s="3">
        <v>7238</v>
      </c>
      <c r="G2520" s="3">
        <v>222</v>
      </c>
      <c r="H2520" s="3">
        <v>7</v>
      </c>
      <c r="I2520" s="4">
        <v>191.93</v>
      </c>
      <c r="J2520" s="4">
        <v>513.34</v>
      </c>
      <c r="K2520" s="3">
        <v>4</v>
      </c>
      <c r="L2520" s="2" t="s">
        <v>2518</v>
      </c>
      <c r="M2520" s="2" t="s">
        <v>2546</v>
      </c>
      <c r="N2520" t="str">
        <f>TRIM(PROPER(Tabla_auditoría[[#This Row],[ID_Campaña]]))</f>
        <v>Cmp-008</v>
      </c>
      <c r="O2520" t="str">
        <f>TRIM(PROPER(Tabla_auditoría[[#This Row],[Canal]]))</f>
        <v>Affiliate</v>
      </c>
      <c r="P2520" t="str">
        <f>TRIM(PROPER(Tabla_auditoría[[#This Row],[País]]))</f>
        <v>Portugal</v>
      </c>
      <c r="Q2520" t="str">
        <f>TRIM(PROPER(Tabla_auditoría[[#This Row],[Dispositivo]]))</f>
        <v>Desktop</v>
      </c>
      <c r="R2520" t="str">
        <f>TRIM(PROPER(Tabla_auditoría[[#This Row],[Tipo_Campaña]]))</f>
        <v>Adquisición</v>
      </c>
      <c r="S2520" t="str">
        <f>TRIM(PROPER(Tabla_auditoría[[#This Row],[Responsable]]))</f>
        <v>Ana García</v>
      </c>
    </row>
    <row r="2521" spans="1:19" x14ac:dyDescent="0.3">
      <c r="A2521" s="1">
        <v>46012</v>
      </c>
      <c r="B2521" s="2" t="s">
        <v>2540</v>
      </c>
      <c r="D2521" s="2" t="s">
        <v>2528</v>
      </c>
      <c r="E2521" s="2" t="s">
        <v>2534</v>
      </c>
      <c r="F2521" s="3">
        <v>78232</v>
      </c>
      <c r="G2521" s="3">
        <v>2412</v>
      </c>
      <c r="H2521" s="3">
        <v>78</v>
      </c>
      <c r="I2521" s="4">
        <v>2979.21</v>
      </c>
      <c r="J2521" s="4">
        <v>16485.61</v>
      </c>
      <c r="K2521" s="3">
        <v>35</v>
      </c>
      <c r="L2521" s="2" t="s">
        <v>2518</v>
      </c>
      <c r="M2521" s="2" t="s">
        <v>2526</v>
      </c>
      <c r="N2521" t="str">
        <f>TRIM(PROPER(Tabla_auditoría[[#This Row],[ID_Campaña]]))</f>
        <v>Cmp-017</v>
      </c>
      <c r="O2521" t="str">
        <f>TRIM(PROPER(Tabla_auditoría[[#This Row],[Canal]]))</f>
        <v/>
      </c>
      <c r="P2521" t="str">
        <f>TRIM(PROPER(Tabla_auditoría[[#This Row],[País]]))</f>
        <v>España</v>
      </c>
      <c r="Q2521" t="str">
        <f>TRIM(PROPER(Tabla_auditoría[[#This Row],[Dispositivo]]))</f>
        <v>Tablet</v>
      </c>
      <c r="R2521" t="str">
        <f>TRIM(PROPER(Tabla_auditoría[[#This Row],[Tipo_Campaña]]))</f>
        <v>Adquisición</v>
      </c>
      <c r="S2521" t="str">
        <f>TRIM(PROPER(Tabla_auditoría[[#This Row],[Responsable]]))</f>
        <v>Laura Pérez</v>
      </c>
    </row>
    <row r="2522" spans="1:19" x14ac:dyDescent="0.3">
      <c r="A2522" s="1">
        <v>45718</v>
      </c>
      <c r="B2522" s="2" t="s">
        <v>2569</v>
      </c>
      <c r="C2522" s="2" t="s">
        <v>2521</v>
      </c>
      <c r="D2522" s="2" t="s">
        <v>2522</v>
      </c>
      <c r="E2522" s="2" t="s">
        <v>2517</v>
      </c>
      <c r="F2522" s="3">
        <v>32213</v>
      </c>
      <c r="G2522" s="3">
        <v>2076</v>
      </c>
      <c r="H2522" s="3">
        <v>275</v>
      </c>
      <c r="I2522" s="4">
        <v>3699.24</v>
      </c>
      <c r="J2522" s="4">
        <v>42238.89</v>
      </c>
      <c r="K2522" s="3">
        <v>192</v>
      </c>
      <c r="L2522" s="2" t="s">
        <v>2518</v>
      </c>
      <c r="M2522" s="2" t="s">
        <v>2546</v>
      </c>
      <c r="N2522" t="str">
        <f>TRIM(PROPER(Tabla_auditoría[[#This Row],[ID_Campaña]]))</f>
        <v>Cmp-013</v>
      </c>
      <c r="O2522" t="str">
        <f>TRIM(PROPER(Tabla_auditoría[[#This Row],[Canal]]))</f>
        <v>Paid Search</v>
      </c>
      <c r="P2522" t="str">
        <f>TRIM(PROPER(Tabla_auditoría[[#This Row],[País]]))</f>
        <v>Italia</v>
      </c>
      <c r="Q2522" t="str">
        <f>TRIM(PROPER(Tabla_auditoría[[#This Row],[Dispositivo]]))</f>
        <v>Desktop</v>
      </c>
      <c r="R2522" t="str">
        <f>TRIM(PROPER(Tabla_auditoría[[#This Row],[Tipo_Campaña]]))</f>
        <v>Adquisición</v>
      </c>
      <c r="S2522" t="str">
        <f>TRIM(PROPER(Tabla_auditoría[[#This Row],[Responsable]]))</f>
        <v>Ana García</v>
      </c>
    </row>
    <row r="2523" spans="1:19" x14ac:dyDescent="0.3">
      <c r="A2523" s="1">
        <v>45852</v>
      </c>
      <c r="B2523" s="2" t="s">
        <v>2520</v>
      </c>
      <c r="C2523" s="2" t="s">
        <v>2521</v>
      </c>
      <c r="D2523" s="2" t="s">
        <v>2522</v>
      </c>
      <c r="E2523" s="2" t="s">
        <v>2517</v>
      </c>
      <c r="F2523" s="3">
        <v>149006</v>
      </c>
      <c r="G2523" s="3">
        <v>3937</v>
      </c>
      <c r="H2523" s="3">
        <v>528</v>
      </c>
      <c r="I2523" s="4">
        <v>4470.6099999999997</v>
      </c>
      <c r="J2523" s="4">
        <v>26721.05</v>
      </c>
      <c r="K2523" s="3">
        <v>429</v>
      </c>
      <c r="L2523" s="2" t="s">
        <v>2523</v>
      </c>
      <c r="M2523" s="2" t="s">
        <v>2537</v>
      </c>
      <c r="N2523" t="str">
        <f>TRIM(PROPER(Tabla_auditoría[[#This Row],[ID_Campaña]]))</f>
        <v>Cmp-009</v>
      </c>
      <c r="O2523" t="str">
        <f>TRIM(PROPER(Tabla_auditoría[[#This Row],[Canal]]))</f>
        <v>Paid Search</v>
      </c>
      <c r="P2523" t="str">
        <f>TRIM(PROPER(Tabla_auditoría[[#This Row],[País]]))</f>
        <v>Italia</v>
      </c>
      <c r="Q2523" t="str">
        <f>TRIM(PROPER(Tabla_auditoría[[#This Row],[Dispositivo]]))</f>
        <v>Desktop</v>
      </c>
      <c r="R2523" t="str">
        <f>TRIM(PROPER(Tabla_auditoría[[#This Row],[Tipo_Campaña]]))</f>
        <v>Retención</v>
      </c>
      <c r="S2523" t="str">
        <f>TRIM(PROPER(Tabla_auditoría[[#This Row],[Responsable]]))</f>
        <v>Marta López</v>
      </c>
    </row>
    <row r="2524" spans="1:19" x14ac:dyDescent="0.3">
      <c r="A2524" s="1">
        <v>45713</v>
      </c>
      <c r="B2524" s="2" t="s">
        <v>2514</v>
      </c>
      <c r="C2524" s="2" t="s">
        <v>2541</v>
      </c>
      <c r="D2524" s="2" t="s">
        <v>2516</v>
      </c>
      <c r="E2524" s="2" t="s">
        <v>2529</v>
      </c>
      <c r="F2524" s="3">
        <v>123155</v>
      </c>
      <c r="G2524" s="3">
        <v>3529</v>
      </c>
      <c r="H2524" s="3">
        <v>413</v>
      </c>
      <c r="I2524" s="4">
        <v>7192.56</v>
      </c>
      <c r="J2524" s="4">
        <v>7697.17</v>
      </c>
      <c r="K2524" s="3">
        <v>250</v>
      </c>
      <c r="L2524" s="2" t="s">
        <v>2518</v>
      </c>
      <c r="M2524" s="2" t="s">
        <v>2526</v>
      </c>
      <c r="N2524" t="str">
        <f>TRIM(PROPER(Tabla_auditoría[[#This Row],[ID_Campaña]]))</f>
        <v>Cmp-002</v>
      </c>
      <c r="O2524" t="str">
        <f>TRIM(PROPER(Tabla_auditoría[[#This Row],[Canal]]))</f>
        <v>Display</v>
      </c>
      <c r="P2524" t="str">
        <f>TRIM(PROPER(Tabla_auditoría[[#This Row],[País]]))</f>
        <v>México</v>
      </c>
      <c r="Q2524" t="str">
        <f>TRIM(PROPER(Tabla_auditoría[[#This Row],[Dispositivo]]))</f>
        <v>Mobile</v>
      </c>
      <c r="R2524" t="str">
        <f>TRIM(PROPER(Tabla_auditoría[[#This Row],[Tipo_Campaña]]))</f>
        <v>Adquisición</v>
      </c>
      <c r="S2524" t="str">
        <f>TRIM(PROPER(Tabla_auditoría[[#This Row],[Responsable]]))</f>
        <v>Laura Pérez</v>
      </c>
    </row>
    <row r="2525" spans="1:19" x14ac:dyDescent="0.3">
      <c r="A2525" s="1">
        <v>45942</v>
      </c>
      <c r="B2525" s="2" t="s">
        <v>2540</v>
      </c>
      <c r="C2525" s="2" t="s">
        <v>2541</v>
      </c>
      <c r="D2525" s="2" t="s">
        <v>2522</v>
      </c>
      <c r="E2525" s="2" t="s">
        <v>2517</v>
      </c>
      <c r="F2525" s="3">
        <v>115563</v>
      </c>
      <c r="G2525" s="3">
        <v>2064</v>
      </c>
      <c r="H2525" s="3">
        <v>67</v>
      </c>
      <c r="I2525" s="4">
        <v>1210.3599999999999</v>
      </c>
      <c r="J2525" s="4">
        <v>1247.69</v>
      </c>
      <c r="K2525" s="3">
        <v>41</v>
      </c>
      <c r="L2525" s="2" t="s">
        <v>2518</v>
      </c>
      <c r="M2525" s="2" t="s">
        <v>2537</v>
      </c>
      <c r="N2525" t="str">
        <f>TRIM(PROPER(Tabla_auditoría[[#This Row],[ID_Campaña]]))</f>
        <v>Cmp-017</v>
      </c>
      <c r="O2525" t="str">
        <f>TRIM(PROPER(Tabla_auditoría[[#This Row],[Canal]]))</f>
        <v>Display</v>
      </c>
      <c r="P2525" t="str">
        <f>TRIM(PROPER(Tabla_auditoría[[#This Row],[País]]))</f>
        <v>Italia</v>
      </c>
      <c r="Q2525" t="str">
        <f>TRIM(PROPER(Tabla_auditoría[[#This Row],[Dispositivo]]))</f>
        <v>Desktop</v>
      </c>
      <c r="R2525" t="str">
        <f>TRIM(PROPER(Tabla_auditoría[[#This Row],[Tipo_Campaña]]))</f>
        <v>Adquisición</v>
      </c>
      <c r="S2525" t="str">
        <f>TRIM(PROPER(Tabla_auditoría[[#This Row],[Responsable]]))</f>
        <v>Marta López</v>
      </c>
    </row>
    <row r="2526" spans="1:19" x14ac:dyDescent="0.3">
      <c r="A2526" s="1">
        <v>45978</v>
      </c>
      <c r="B2526" s="2" t="s">
        <v>2532</v>
      </c>
      <c r="C2526" s="2" t="s">
        <v>2527</v>
      </c>
      <c r="D2526" s="2" t="s">
        <v>2528</v>
      </c>
      <c r="E2526" s="2" t="s">
        <v>2517</v>
      </c>
      <c r="F2526" s="3">
        <v>106405</v>
      </c>
      <c r="G2526" s="3">
        <v>8369</v>
      </c>
      <c r="H2526" s="3">
        <v>72</v>
      </c>
      <c r="I2526" s="4">
        <v>6594.17</v>
      </c>
      <c r="J2526" s="4">
        <v>4302.41</v>
      </c>
      <c r="K2526" s="3">
        <v>34</v>
      </c>
      <c r="L2526" s="2" t="s">
        <v>2539</v>
      </c>
      <c r="M2526" s="2" t="s">
        <v>2546</v>
      </c>
      <c r="N2526" t="str">
        <f>TRIM(PROPER(Tabla_auditoría[[#This Row],[ID_Campaña]]))</f>
        <v>Cmp-022</v>
      </c>
      <c r="O2526" t="str">
        <f>TRIM(PROPER(Tabla_auditoría[[#This Row],[Canal]]))</f>
        <v>Affiliate</v>
      </c>
      <c r="P2526" t="str">
        <f>TRIM(PROPER(Tabla_auditoría[[#This Row],[País]]))</f>
        <v>España</v>
      </c>
      <c r="Q2526" t="str">
        <f>TRIM(PROPER(Tabla_auditoría[[#This Row],[Dispositivo]]))</f>
        <v>Desktop</v>
      </c>
      <c r="R2526" t="str">
        <f>TRIM(PROPER(Tabla_auditoría[[#This Row],[Tipo_Campaña]]))</f>
        <v>Conversión</v>
      </c>
      <c r="S2526" t="str">
        <f>TRIM(PROPER(Tabla_auditoría[[#This Row],[Responsable]]))</f>
        <v>Ana García</v>
      </c>
    </row>
    <row r="2527" spans="1:19" x14ac:dyDescent="0.3">
      <c r="A2527" s="1">
        <v>45750</v>
      </c>
      <c r="B2527" s="2" t="s">
        <v>2544</v>
      </c>
      <c r="C2527" s="2" t="s">
        <v>2543</v>
      </c>
      <c r="D2527" s="2" t="s">
        <v>2528</v>
      </c>
      <c r="E2527" s="2" t="s">
        <v>2534</v>
      </c>
      <c r="F2527" s="3">
        <v>1167</v>
      </c>
      <c r="G2527" s="3">
        <v>32</v>
      </c>
      <c r="H2527" s="3">
        <v>3</v>
      </c>
      <c r="I2527" s="4">
        <v>61.24</v>
      </c>
      <c r="J2527" s="4">
        <v>513.97</v>
      </c>
      <c r="K2527" s="3">
        <v>2</v>
      </c>
      <c r="L2527" s="2" t="s">
        <v>2539</v>
      </c>
      <c r="M2527" s="2" t="s">
        <v>2546</v>
      </c>
      <c r="N2527" t="str">
        <f>TRIM(PROPER(Tabla_auditoría[[#This Row],[ID_Campaña]]))</f>
        <v>Cmp-006</v>
      </c>
      <c r="O2527" t="str">
        <f>TRIM(PROPER(Tabla_auditoría[[#This Row],[Canal]]))</f>
        <v>Organic Social</v>
      </c>
      <c r="P2527" t="str">
        <f>TRIM(PROPER(Tabla_auditoría[[#This Row],[País]]))</f>
        <v>España</v>
      </c>
      <c r="Q2527" t="str">
        <f>TRIM(PROPER(Tabla_auditoría[[#This Row],[Dispositivo]]))</f>
        <v>Tablet</v>
      </c>
      <c r="R2527" t="str">
        <f>TRIM(PROPER(Tabla_auditoría[[#This Row],[Tipo_Campaña]]))</f>
        <v>Conversión</v>
      </c>
      <c r="S2527" t="str">
        <f>TRIM(PROPER(Tabla_auditoría[[#This Row],[Responsable]]))</f>
        <v>Ana García</v>
      </c>
    </row>
    <row r="2528" spans="1:19" x14ac:dyDescent="0.3">
      <c r="A2528" s="1">
        <v>45947</v>
      </c>
      <c r="B2528" s="2" t="s">
        <v>2556</v>
      </c>
      <c r="C2528" s="2" t="s">
        <v>2533</v>
      </c>
      <c r="D2528" s="2" t="s">
        <v>2522</v>
      </c>
      <c r="E2528" s="2" t="s">
        <v>2517</v>
      </c>
      <c r="F2528" s="3">
        <v>41277</v>
      </c>
      <c r="G2528" s="3">
        <v>2138</v>
      </c>
      <c r="H2528" s="3">
        <v>116</v>
      </c>
      <c r="I2528" s="4">
        <v>2479.83</v>
      </c>
      <c r="J2528" s="4">
        <v>11289.34</v>
      </c>
      <c r="K2528" s="3">
        <v>97</v>
      </c>
      <c r="L2528" s="2" t="s">
        <v>2536</v>
      </c>
      <c r="M2528" s="2" t="s">
        <v>2546</v>
      </c>
      <c r="N2528" t="str">
        <f>TRIM(PROPER(Tabla_auditoría[[#This Row],[ID_Campaña]]))</f>
        <v>Cmp-014</v>
      </c>
      <c r="O2528" t="str">
        <f>TRIM(PROPER(Tabla_auditoría[[#This Row],[Canal]]))</f>
        <v>Paid Social</v>
      </c>
      <c r="P2528" t="str">
        <f>TRIM(PROPER(Tabla_auditoría[[#This Row],[País]]))</f>
        <v>Italia</v>
      </c>
      <c r="Q2528" t="str">
        <f>TRIM(PROPER(Tabla_auditoría[[#This Row],[Dispositivo]]))</f>
        <v>Desktop</v>
      </c>
      <c r="R2528" t="str">
        <f>TRIM(PROPER(Tabla_auditoría[[#This Row],[Tipo_Campaña]]))</f>
        <v>Reconocimiento</v>
      </c>
      <c r="S2528" t="str">
        <f>TRIM(PROPER(Tabla_auditoría[[#This Row],[Responsable]]))</f>
        <v>Ana García</v>
      </c>
    </row>
    <row r="2529" spans="1:19" x14ac:dyDescent="0.3">
      <c r="A2529" s="1">
        <v>45784</v>
      </c>
      <c r="B2529" s="2" t="s">
        <v>2542</v>
      </c>
      <c r="C2529" s="2" t="s">
        <v>2533</v>
      </c>
      <c r="D2529" s="2" t="s">
        <v>2531</v>
      </c>
      <c r="E2529" s="2" t="s">
        <v>2517</v>
      </c>
      <c r="F2529" s="3">
        <v>18037</v>
      </c>
      <c r="G2529" s="3">
        <v>1119</v>
      </c>
      <c r="H2529" s="3">
        <v>84</v>
      </c>
      <c r="I2529" s="4">
        <v>2288.3000000000002</v>
      </c>
      <c r="J2529" s="4">
        <v>4991.54</v>
      </c>
      <c r="K2529" s="3">
        <v>64</v>
      </c>
      <c r="L2529" s="2" t="s">
        <v>2539</v>
      </c>
      <c r="M2529" s="2" t="s">
        <v>2526</v>
      </c>
      <c r="N2529" t="str">
        <f>TRIM(PROPER(Tabla_auditoría[[#This Row],[ID_Campaña]]))</f>
        <v>Cmp-025</v>
      </c>
      <c r="O2529" t="str">
        <f>TRIM(PROPER(Tabla_auditoría[[#This Row],[Canal]]))</f>
        <v>Paid Social</v>
      </c>
      <c r="P2529" t="str">
        <f>TRIM(PROPER(Tabla_auditoría[[#This Row],[País]]))</f>
        <v>Portugal</v>
      </c>
      <c r="Q2529" t="str">
        <f>TRIM(PROPER(Tabla_auditoría[[#This Row],[Dispositivo]]))</f>
        <v>Desktop</v>
      </c>
      <c r="R2529" t="str">
        <f>TRIM(PROPER(Tabla_auditoría[[#This Row],[Tipo_Campaña]]))</f>
        <v>Conversión</v>
      </c>
      <c r="S2529" t="str">
        <f>TRIM(PROPER(Tabla_auditoría[[#This Row],[Responsable]]))</f>
        <v>Laura Pérez</v>
      </c>
    </row>
    <row r="2530" spans="1:19" x14ac:dyDescent="0.3">
      <c r="A2530" s="1">
        <v>45945</v>
      </c>
      <c r="B2530" s="2" t="s">
        <v>2571</v>
      </c>
      <c r="C2530" s="2" t="s">
        <v>2521</v>
      </c>
      <c r="D2530" s="2" t="s">
        <v>2528</v>
      </c>
      <c r="E2530" s="2" t="s">
        <v>2517</v>
      </c>
      <c r="F2530" s="3">
        <v>95850</v>
      </c>
      <c r="G2530" s="3">
        <v>672</v>
      </c>
      <c r="H2530" s="3">
        <v>70</v>
      </c>
      <c r="I2530" s="4">
        <v>1199.28</v>
      </c>
      <c r="J2530" s="4">
        <v>11956.39</v>
      </c>
      <c r="K2530" s="3">
        <v>46</v>
      </c>
      <c r="L2530" s="2" t="s">
        <v>2536</v>
      </c>
      <c r="M2530" s="2" t="s">
        <v>2537</v>
      </c>
      <c r="N2530" t="str">
        <f>TRIM(PROPER(Tabla_auditoría[[#This Row],[ID_Campaña]]))</f>
        <v>Cmp-029</v>
      </c>
      <c r="O2530" t="str">
        <f>TRIM(PROPER(Tabla_auditoría[[#This Row],[Canal]]))</f>
        <v>Paid Search</v>
      </c>
      <c r="P2530" t="str">
        <f>TRIM(PROPER(Tabla_auditoría[[#This Row],[País]]))</f>
        <v>España</v>
      </c>
      <c r="Q2530" t="str">
        <f>TRIM(PROPER(Tabla_auditoría[[#This Row],[Dispositivo]]))</f>
        <v>Desktop</v>
      </c>
      <c r="R2530" t="str">
        <f>TRIM(PROPER(Tabla_auditoría[[#This Row],[Tipo_Campaña]]))</f>
        <v>Reconocimiento</v>
      </c>
      <c r="S2530" t="str">
        <f>TRIM(PROPER(Tabla_auditoría[[#This Row],[Responsable]]))</f>
        <v>Marta López</v>
      </c>
    </row>
    <row r="2531" spans="1:19" x14ac:dyDescent="0.3">
      <c r="A2531" s="1">
        <v>45664</v>
      </c>
      <c r="B2531" s="2" t="s">
        <v>2564</v>
      </c>
      <c r="C2531" s="2" t="s">
        <v>2527</v>
      </c>
      <c r="D2531" s="2" t="s">
        <v>2516</v>
      </c>
      <c r="E2531" s="2" t="s">
        <v>2517</v>
      </c>
      <c r="F2531" s="3">
        <v>63519</v>
      </c>
      <c r="G2531" s="3">
        <v>3811</v>
      </c>
      <c r="H2531" s="3">
        <v>415</v>
      </c>
      <c r="I2531" s="4">
        <v>5741.06</v>
      </c>
      <c r="J2531" s="4">
        <v>38183.360000000001</v>
      </c>
      <c r="K2531" s="3">
        <v>328</v>
      </c>
      <c r="L2531" s="2" t="s">
        <v>2536</v>
      </c>
      <c r="M2531" s="2" t="s">
        <v>2519</v>
      </c>
      <c r="N2531" t="str">
        <f>TRIM(PROPER(Tabla_auditoría[[#This Row],[ID_Campaña]]))</f>
        <v>Cmp-024</v>
      </c>
      <c r="O2531" t="str">
        <f>TRIM(PROPER(Tabla_auditoría[[#This Row],[Canal]]))</f>
        <v>Affiliate</v>
      </c>
      <c r="P2531" t="str">
        <f>TRIM(PROPER(Tabla_auditoría[[#This Row],[País]]))</f>
        <v>México</v>
      </c>
      <c r="Q2531" t="str">
        <f>TRIM(PROPER(Tabla_auditoría[[#This Row],[Dispositivo]]))</f>
        <v>Desktop</v>
      </c>
      <c r="R2531" t="str">
        <f>TRIM(PROPER(Tabla_auditoría[[#This Row],[Tipo_Campaña]]))</f>
        <v>Reconocimiento</v>
      </c>
      <c r="S2531" t="str">
        <f>TRIM(PROPER(Tabla_auditoría[[#This Row],[Responsable]]))</f>
        <v>Carlos Ruiz</v>
      </c>
    </row>
    <row r="2532" spans="1:19" x14ac:dyDescent="0.3">
      <c r="A2532" s="1">
        <v>45675</v>
      </c>
      <c r="B2532" s="2" t="s">
        <v>2555</v>
      </c>
      <c r="C2532" s="2" t="s">
        <v>2521</v>
      </c>
      <c r="D2532" s="2" t="s">
        <v>2531</v>
      </c>
      <c r="E2532" s="2" t="s">
        <v>2517</v>
      </c>
      <c r="F2532" s="3">
        <v>141247</v>
      </c>
      <c r="G2532" s="3">
        <v>10050</v>
      </c>
      <c r="H2532" s="3">
        <v>89</v>
      </c>
      <c r="I2532" s="4">
        <v>9195.42</v>
      </c>
      <c r="J2532" s="4">
        <v>2930.77</v>
      </c>
      <c r="K2532" s="3">
        <v>78</v>
      </c>
      <c r="L2532" s="2" t="s">
        <v>2523</v>
      </c>
      <c r="M2532" s="2" t="s">
        <v>2546</v>
      </c>
      <c r="N2532" t="str">
        <f>TRIM(PROPER(Tabla_auditoría[[#This Row],[ID_Campaña]]))</f>
        <v>Cmp-010</v>
      </c>
      <c r="O2532" t="str">
        <f>TRIM(PROPER(Tabla_auditoría[[#This Row],[Canal]]))</f>
        <v>Paid Search</v>
      </c>
      <c r="P2532" t="str">
        <f>TRIM(PROPER(Tabla_auditoría[[#This Row],[País]]))</f>
        <v>Portugal</v>
      </c>
      <c r="Q2532" t="str">
        <f>TRIM(PROPER(Tabla_auditoría[[#This Row],[Dispositivo]]))</f>
        <v>Desktop</v>
      </c>
      <c r="R2532" t="str">
        <f>TRIM(PROPER(Tabla_auditoría[[#This Row],[Tipo_Campaña]]))</f>
        <v>Retención</v>
      </c>
      <c r="S2532" t="str">
        <f>TRIM(PROPER(Tabla_auditoría[[#This Row],[Responsable]]))</f>
        <v>Ana García</v>
      </c>
    </row>
    <row r="2533" spans="1:19" x14ac:dyDescent="0.3">
      <c r="A2533" s="1">
        <v>45853</v>
      </c>
      <c r="B2533" s="2" t="s">
        <v>2556</v>
      </c>
      <c r="C2533" s="2" t="s">
        <v>2527</v>
      </c>
      <c r="D2533" s="2" t="s">
        <v>2525</v>
      </c>
      <c r="E2533" s="2" t="s">
        <v>2529</v>
      </c>
      <c r="F2533" s="3">
        <v>43257</v>
      </c>
      <c r="G2533" s="3">
        <v>200</v>
      </c>
      <c r="H2533" s="3">
        <v>3</v>
      </c>
      <c r="I2533" s="4">
        <v>248.41</v>
      </c>
      <c r="J2533" s="4">
        <v>253.61</v>
      </c>
      <c r="K2533" s="3">
        <v>2</v>
      </c>
      <c r="L2533" s="2" t="s">
        <v>2536</v>
      </c>
      <c r="M2533" s="2" t="s">
        <v>2524</v>
      </c>
      <c r="N2533" t="str">
        <f>TRIM(PROPER(Tabla_auditoría[[#This Row],[ID_Campaña]]))</f>
        <v>Cmp-014</v>
      </c>
      <c r="O2533" t="str">
        <f>TRIM(PROPER(Tabla_auditoría[[#This Row],[Canal]]))</f>
        <v>Affiliate</v>
      </c>
      <c r="P2533" t="str">
        <f>TRIM(PROPER(Tabla_auditoría[[#This Row],[País]]))</f>
        <v>Francia</v>
      </c>
      <c r="Q2533" t="str">
        <f>TRIM(PROPER(Tabla_auditoría[[#This Row],[Dispositivo]]))</f>
        <v>Mobile</v>
      </c>
      <c r="R2533" t="str">
        <f>TRIM(PROPER(Tabla_auditoría[[#This Row],[Tipo_Campaña]]))</f>
        <v>Reconocimiento</v>
      </c>
      <c r="S2533" t="str">
        <f>TRIM(PROPER(Tabla_auditoría[[#This Row],[Responsable]]))</f>
        <v>Luis Martín</v>
      </c>
    </row>
    <row r="2534" spans="1:19" x14ac:dyDescent="0.3">
      <c r="A2534" s="1">
        <v>45797</v>
      </c>
      <c r="B2534" s="2" t="s">
        <v>2535</v>
      </c>
      <c r="C2534" s="2" t="s">
        <v>2541</v>
      </c>
      <c r="D2534" s="2" t="s">
        <v>2525</v>
      </c>
      <c r="E2534" s="2" t="s">
        <v>2517</v>
      </c>
      <c r="F2534" s="3">
        <v>91559</v>
      </c>
      <c r="G2534" s="3">
        <v>1844</v>
      </c>
      <c r="H2534" s="3">
        <v>115</v>
      </c>
      <c r="I2534" s="4">
        <v>2847.34</v>
      </c>
      <c r="J2534" s="4">
        <v>8008.23</v>
      </c>
      <c r="K2534" s="3">
        <v>84</v>
      </c>
      <c r="L2534" s="2" t="s">
        <v>2523</v>
      </c>
      <c r="M2534" s="2" t="s">
        <v>2519</v>
      </c>
      <c r="N2534" t="str">
        <f>TRIM(PROPER(Tabla_auditoría[[#This Row],[ID_Campaña]]))</f>
        <v>Cmp-015</v>
      </c>
      <c r="O2534" t="str">
        <f>TRIM(PROPER(Tabla_auditoría[[#This Row],[Canal]]))</f>
        <v>Display</v>
      </c>
      <c r="P2534" t="str">
        <f>TRIM(PROPER(Tabla_auditoría[[#This Row],[País]]))</f>
        <v>Francia</v>
      </c>
      <c r="Q2534" t="str">
        <f>TRIM(PROPER(Tabla_auditoría[[#This Row],[Dispositivo]]))</f>
        <v>Desktop</v>
      </c>
      <c r="R2534" t="str">
        <f>TRIM(PROPER(Tabla_auditoría[[#This Row],[Tipo_Campaña]]))</f>
        <v>Retención</v>
      </c>
      <c r="S2534" t="str">
        <f>TRIM(PROPER(Tabla_auditoría[[#This Row],[Responsable]]))</f>
        <v>Carlos Ruiz</v>
      </c>
    </row>
    <row r="2535" spans="1:19" x14ac:dyDescent="0.3">
      <c r="A2535" s="1">
        <v>45777</v>
      </c>
      <c r="B2535" s="2" t="s">
        <v>2568</v>
      </c>
      <c r="C2535" s="2" t="s">
        <v>2543</v>
      </c>
      <c r="D2535" s="2" t="s">
        <v>2522</v>
      </c>
      <c r="E2535" s="2" t="s">
        <v>2534</v>
      </c>
      <c r="F2535" s="3">
        <v>165506</v>
      </c>
      <c r="G2535" s="3">
        <v>1188</v>
      </c>
      <c r="H2535" s="3">
        <v>92</v>
      </c>
      <c r="I2535" s="4">
        <v>148.47999999999999</v>
      </c>
      <c r="J2535" s="4">
        <v>5724.74</v>
      </c>
      <c r="K2535" s="3">
        <v>58</v>
      </c>
      <c r="L2535" s="2" t="s">
        <v>2518</v>
      </c>
      <c r="M2535" s="2" t="s">
        <v>2519</v>
      </c>
      <c r="N2535" t="str">
        <f>TRIM(PROPER(Tabla_auditoría[[#This Row],[ID_Campaña]]))</f>
        <v>Cmp-020</v>
      </c>
      <c r="O2535" t="str">
        <f>TRIM(PROPER(Tabla_auditoría[[#This Row],[Canal]]))</f>
        <v>Organic Social</v>
      </c>
      <c r="P2535" t="str">
        <f>TRIM(PROPER(Tabla_auditoría[[#This Row],[País]]))</f>
        <v>Italia</v>
      </c>
      <c r="Q2535" t="str">
        <f>TRIM(PROPER(Tabla_auditoría[[#This Row],[Dispositivo]]))</f>
        <v>Tablet</v>
      </c>
      <c r="R2535" t="str">
        <f>TRIM(PROPER(Tabla_auditoría[[#This Row],[Tipo_Campaña]]))</f>
        <v>Adquisición</v>
      </c>
      <c r="S2535" t="str">
        <f>TRIM(PROPER(Tabla_auditoría[[#This Row],[Responsable]]))</f>
        <v>Carlos Ruiz</v>
      </c>
    </row>
    <row r="2536" spans="1:19" x14ac:dyDescent="0.3">
      <c r="A2536" s="1">
        <v>45793</v>
      </c>
      <c r="B2536" s="2" t="s">
        <v>2552</v>
      </c>
      <c r="C2536" s="2" t="s">
        <v>2515</v>
      </c>
      <c r="D2536" s="2" t="s">
        <v>2531</v>
      </c>
      <c r="E2536" s="2" t="s">
        <v>2529</v>
      </c>
      <c r="F2536" s="3">
        <v>3038</v>
      </c>
      <c r="G2536" s="3">
        <v>193</v>
      </c>
      <c r="H2536" s="3">
        <v>24</v>
      </c>
      <c r="I2536" s="4">
        <v>303.76</v>
      </c>
      <c r="J2536" s="4">
        <v>4454.33</v>
      </c>
      <c r="K2536" s="3">
        <v>18</v>
      </c>
      <c r="L2536" s="2" t="s">
        <v>2518</v>
      </c>
      <c r="M2536" s="2" t="s">
        <v>2524</v>
      </c>
      <c r="N2536" t="str">
        <f>TRIM(PROPER(Tabla_auditoría[[#This Row],[ID_Campaña]]))</f>
        <v>Cmp-012</v>
      </c>
      <c r="O2536" t="str">
        <f>TRIM(PROPER(Tabla_auditoría[[#This Row],[Canal]]))</f>
        <v>Email</v>
      </c>
      <c r="P2536" t="str">
        <f>TRIM(PROPER(Tabla_auditoría[[#This Row],[País]]))</f>
        <v>Portugal</v>
      </c>
      <c r="Q2536" t="str">
        <f>TRIM(PROPER(Tabla_auditoría[[#This Row],[Dispositivo]]))</f>
        <v>Mobile</v>
      </c>
      <c r="R2536" t="str">
        <f>TRIM(PROPER(Tabla_auditoría[[#This Row],[Tipo_Campaña]]))</f>
        <v>Adquisición</v>
      </c>
      <c r="S2536" t="str">
        <f>TRIM(PROPER(Tabla_auditoría[[#This Row],[Responsable]]))</f>
        <v>Luis Martín</v>
      </c>
    </row>
  </sheetData>
  <mergeCells count="1">
    <mergeCell ref="U6:V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7747-D422-47A3-8A4B-1B878924716B}">
  <dimension ref="A1:V2536"/>
  <sheetViews>
    <sheetView topLeftCell="J1" workbookViewId="0">
      <selection activeCell="S2" sqref="S2"/>
    </sheetView>
  </sheetViews>
  <sheetFormatPr baseColWidth="10" defaultRowHeight="12" x14ac:dyDescent="0.3"/>
  <cols>
    <col min="1" max="1" width="11.5546875" style="1"/>
    <col min="2" max="2" width="13.77734375" style="2" customWidth="1"/>
    <col min="3" max="4" width="11.5546875" style="2"/>
    <col min="5" max="5" width="12.5546875" style="2" customWidth="1"/>
    <col min="6" max="6" width="13.5546875" style="3" customWidth="1"/>
    <col min="7" max="7" width="11.5546875" style="3"/>
    <col min="8" max="8" width="14.33203125" style="3" customWidth="1"/>
    <col min="9" max="9" width="12.21875" style="4" customWidth="1"/>
    <col min="10" max="10" width="14.21875" style="4" customWidth="1"/>
    <col min="11" max="11" width="17" style="3" customWidth="1"/>
    <col min="12" max="12" width="15.5546875" style="2" customWidth="1"/>
    <col min="13" max="13" width="13.88671875" style="2" customWidth="1"/>
    <col min="14" max="14" width="17.33203125" style="6" bestFit="1" customWidth="1"/>
    <col min="16" max="16" width="12.33203125" customWidth="1"/>
    <col min="17" max="17" width="21.44140625" bestFit="1" customWidth="1"/>
    <col min="20" max="20" width="9" customWidth="1"/>
    <col min="21" max="21" width="20.5546875" bestFit="1" customWidth="1"/>
  </cols>
  <sheetData>
    <row r="1" spans="1:22" x14ac:dyDescent="0.3">
      <c r="A1" s="1" t="s">
        <v>2501</v>
      </c>
      <c r="B1" s="2" t="s">
        <v>2502</v>
      </c>
      <c r="C1" s="2" t="s">
        <v>2503</v>
      </c>
      <c r="D1" s="2" t="s">
        <v>2504</v>
      </c>
      <c r="E1" s="2" t="s">
        <v>2505</v>
      </c>
      <c r="F1" s="3" t="s">
        <v>2506</v>
      </c>
      <c r="G1" s="3" t="s">
        <v>2507</v>
      </c>
      <c r="H1" s="3" t="s">
        <v>2508</v>
      </c>
      <c r="I1" s="4" t="s">
        <v>2509</v>
      </c>
      <c r="J1" s="4" t="s">
        <v>2510</v>
      </c>
      <c r="K1" s="3" t="s">
        <v>2511</v>
      </c>
      <c r="L1" s="2" t="s">
        <v>2512</v>
      </c>
      <c r="M1" s="2" t="s">
        <v>2513</v>
      </c>
      <c r="N1" s="6" t="s">
        <v>2647</v>
      </c>
      <c r="O1" t="s">
        <v>2648</v>
      </c>
      <c r="P1" t="s">
        <v>2646</v>
      </c>
      <c r="Q1" t="s">
        <v>2649</v>
      </c>
      <c r="R1" t="s">
        <v>2650</v>
      </c>
    </row>
    <row r="2" spans="1:22" x14ac:dyDescent="0.3">
      <c r="A2" s="1">
        <v>45868</v>
      </c>
      <c r="B2" s="2" t="s">
        <v>2615</v>
      </c>
      <c r="C2" s="2" t="s">
        <v>2515</v>
      </c>
      <c r="D2" s="2" t="s">
        <v>2516</v>
      </c>
      <c r="E2" s="2" t="s">
        <v>2517</v>
      </c>
      <c r="F2" s="3">
        <v>129041</v>
      </c>
      <c r="G2" s="3">
        <v>9255</v>
      </c>
      <c r="H2" s="3">
        <v>1081</v>
      </c>
      <c r="I2" s="4">
        <v>4728.1400000000003</v>
      </c>
      <c r="J2" s="4">
        <v>195401.22</v>
      </c>
      <c r="K2" s="3">
        <v>926</v>
      </c>
      <c r="L2" s="2" t="s">
        <v>2518</v>
      </c>
      <c r="M2" s="2" t="s">
        <v>2519</v>
      </c>
      <c r="N2" s="6">
        <f t="shared" ref="N2:N65" si="0">COUNTIFS($A$2:$A$2536,A2,$B$2:$B$2536,B2,$C$2:$C$2536,C2,$D$2:$D$2536,D2,$E$2:$E$2536,E2,$F$2:$F$2536,F2,$G$2:$G$2536,G2,$H$2:$H$2536,H2,$I$2:$I$2536,I2,$J$2:$J$2536,J2,$K$2:$K$2536,K2,$L$2:$L$2536,L2,$M$2:$M$2536,M2)</f>
        <v>1</v>
      </c>
      <c r="O2" t="str">
        <f>IF(Tabla_control[[#This Row],[Control_duplicados]]&gt;1,"Duplicado","Unico")</f>
        <v>Unico</v>
      </c>
      <c r="P2" t="str">
        <f t="shared" ref="P2:P65" si="1">IF(OR(I2="",I2&lt;0),"ERROR","OK")</f>
        <v>OK</v>
      </c>
      <c r="Q2" t="str">
        <f t="shared" ref="Q2:Q65" si="2">IF(H2&gt;F2,"ERROR","OK")</f>
        <v>OK</v>
      </c>
      <c r="R2" t="str">
        <f t="shared" ref="R2:R65" si="3">IF(K2&gt;H2,"ERROR","OK")</f>
        <v>OK</v>
      </c>
    </row>
    <row r="3" spans="1:22" x14ac:dyDescent="0.3">
      <c r="A3" s="1">
        <v>45779</v>
      </c>
      <c r="B3" s="2" t="s">
        <v>2616</v>
      </c>
      <c r="C3" s="2" t="s">
        <v>2521</v>
      </c>
      <c r="D3" s="2" t="s">
        <v>2522</v>
      </c>
      <c r="E3" s="2" t="s">
        <v>2517</v>
      </c>
      <c r="F3" s="3">
        <v>50677</v>
      </c>
      <c r="G3" s="3">
        <v>4047</v>
      </c>
      <c r="H3" s="3">
        <v>409</v>
      </c>
      <c r="I3" s="4">
        <v>6481.73</v>
      </c>
      <c r="J3" s="4">
        <v>65100.85</v>
      </c>
      <c r="K3" s="3">
        <v>249</v>
      </c>
      <c r="L3" s="2" t="s">
        <v>2523</v>
      </c>
      <c r="M3" s="2" t="s">
        <v>2524</v>
      </c>
      <c r="N3" s="6">
        <f t="shared" si="0"/>
        <v>2</v>
      </c>
      <c r="O3" t="str">
        <f>IF(Tabla_control[[#This Row],[Control_duplicados]]&gt;1,"Duplicado","Unico")</f>
        <v>Duplicado</v>
      </c>
      <c r="P3" t="str">
        <f t="shared" si="1"/>
        <v>OK</v>
      </c>
      <c r="Q3" t="str">
        <f t="shared" si="2"/>
        <v>OK</v>
      </c>
      <c r="R3" t="str">
        <f t="shared" si="3"/>
        <v>OK</v>
      </c>
      <c r="U3" s="13" t="s">
        <v>2651</v>
      </c>
      <c r="V3" s="13"/>
    </row>
    <row r="4" spans="1:22" x14ac:dyDescent="0.3">
      <c r="A4" s="1">
        <v>45662</v>
      </c>
      <c r="B4" s="2" t="s">
        <v>2616</v>
      </c>
      <c r="C4" s="2" t="s">
        <v>2515</v>
      </c>
      <c r="D4" s="2" t="s">
        <v>2525</v>
      </c>
      <c r="E4" s="2" t="s">
        <v>2517</v>
      </c>
      <c r="F4" s="3">
        <v>12070</v>
      </c>
      <c r="G4" s="3">
        <v>959</v>
      </c>
      <c r="H4" s="3">
        <v>57</v>
      </c>
      <c r="I4" s="4">
        <v>1465.19</v>
      </c>
      <c r="J4" s="4">
        <v>7772.79</v>
      </c>
      <c r="K4" s="3">
        <v>31</v>
      </c>
      <c r="L4" s="2" t="s">
        <v>2523</v>
      </c>
      <c r="M4" s="2" t="s">
        <v>2526</v>
      </c>
      <c r="N4" s="6">
        <f t="shared" si="0"/>
        <v>1</v>
      </c>
      <c r="O4" t="str">
        <f>IF(Tabla_control[[#This Row],[Control_duplicados]]&gt;1,"Duplicado","Unico")</f>
        <v>Unico</v>
      </c>
      <c r="P4" t="str">
        <f t="shared" si="1"/>
        <v>OK</v>
      </c>
      <c r="Q4" t="str">
        <f t="shared" si="2"/>
        <v>OK</v>
      </c>
      <c r="R4" t="str">
        <f t="shared" si="3"/>
        <v>OK</v>
      </c>
    </row>
    <row r="5" spans="1:22" x14ac:dyDescent="0.3">
      <c r="A5" s="1">
        <v>45815</v>
      </c>
      <c r="B5" s="2" t="s">
        <v>2615</v>
      </c>
      <c r="C5" s="2" t="s">
        <v>2527</v>
      </c>
      <c r="D5" s="2" t="s">
        <v>2528</v>
      </c>
      <c r="E5" s="2" t="s">
        <v>2529</v>
      </c>
      <c r="F5" s="3">
        <v>114121</v>
      </c>
      <c r="G5" s="3">
        <v>890</v>
      </c>
      <c r="H5" s="3">
        <v>114</v>
      </c>
      <c r="I5" s="4">
        <v>1196.8</v>
      </c>
      <c r="J5" s="4">
        <v>24221.439999999999</v>
      </c>
      <c r="K5" s="3">
        <v>52</v>
      </c>
      <c r="L5" s="2" t="s">
        <v>2518</v>
      </c>
      <c r="M5" s="2" t="s">
        <v>2524</v>
      </c>
      <c r="N5" s="6">
        <f t="shared" si="0"/>
        <v>1</v>
      </c>
      <c r="O5" t="str">
        <f>IF(Tabla_control[[#This Row],[Control_duplicados]]&gt;1,"Duplicado","Unico")</f>
        <v>Unico</v>
      </c>
      <c r="P5" t="str">
        <f t="shared" si="1"/>
        <v>OK</v>
      </c>
      <c r="Q5" t="str">
        <f t="shared" si="2"/>
        <v>OK</v>
      </c>
      <c r="R5" t="str">
        <f t="shared" si="3"/>
        <v>OK</v>
      </c>
      <c r="T5">
        <f>COUNTIFS(Tabla_control[Duplicados],"Duplicado")</f>
        <v>70</v>
      </c>
      <c r="U5" t="s">
        <v>2648</v>
      </c>
      <c r="V5">
        <f>T5/2</f>
        <v>35</v>
      </c>
    </row>
    <row r="6" spans="1:22" x14ac:dyDescent="0.3">
      <c r="A6" s="1">
        <v>45916</v>
      </c>
      <c r="B6" s="2" t="s">
        <v>2617</v>
      </c>
      <c r="C6" s="2" t="s">
        <v>2521</v>
      </c>
      <c r="D6" s="2" t="s">
        <v>2531</v>
      </c>
      <c r="E6" s="2" t="s">
        <v>2517</v>
      </c>
      <c r="F6" s="3">
        <v>123994</v>
      </c>
      <c r="G6" s="3">
        <v>5563</v>
      </c>
      <c r="H6" s="3">
        <v>308</v>
      </c>
      <c r="I6" s="4">
        <v>1315.48</v>
      </c>
      <c r="J6" s="4">
        <v>47341.08</v>
      </c>
      <c r="K6" s="3">
        <v>254</v>
      </c>
      <c r="L6" s="2" t="s">
        <v>2518</v>
      </c>
      <c r="M6" s="2" t="s">
        <v>2524</v>
      </c>
      <c r="N6" s="6">
        <f t="shared" si="0"/>
        <v>1</v>
      </c>
      <c r="O6" t="str">
        <f>IF(Tabla_control[[#This Row],[Control_duplicados]]&gt;1,"Duplicado","Unico")</f>
        <v>Unico</v>
      </c>
      <c r="P6" t="str">
        <f t="shared" si="1"/>
        <v>OK</v>
      </c>
      <c r="Q6" t="str">
        <f t="shared" si="2"/>
        <v>OK</v>
      </c>
      <c r="R6" t="str">
        <f t="shared" si="3"/>
        <v>OK</v>
      </c>
      <c r="U6" t="s">
        <v>2646</v>
      </c>
      <c r="V6">
        <f>COUNTIF(Tabla_control[Control_gasto],"ERROR")</f>
        <v>16</v>
      </c>
    </row>
    <row r="7" spans="1:22" x14ac:dyDescent="0.3">
      <c r="A7" s="1">
        <v>45934</v>
      </c>
      <c r="B7" s="2" t="s">
        <v>2618</v>
      </c>
      <c r="C7" s="2" t="s">
        <v>2533</v>
      </c>
      <c r="D7" s="2" t="s">
        <v>2531</v>
      </c>
      <c r="E7" s="2" t="s">
        <v>2534</v>
      </c>
      <c r="F7" s="3">
        <v>170534</v>
      </c>
      <c r="G7" s="3">
        <v>7543</v>
      </c>
      <c r="H7" s="3">
        <v>96</v>
      </c>
      <c r="I7" s="4">
        <v>10662.79</v>
      </c>
      <c r="J7" s="4">
        <v>15691.35</v>
      </c>
      <c r="K7" s="3">
        <v>51</v>
      </c>
      <c r="L7" s="2" t="s">
        <v>2518</v>
      </c>
      <c r="M7" s="2" t="s">
        <v>2519</v>
      </c>
      <c r="N7" s="6">
        <f t="shared" si="0"/>
        <v>1</v>
      </c>
      <c r="O7" t="str">
        <f>IF(Tabla_control[[#This Row],[Control_duplicados]]&gt;1,"Duplicado","Unico")</f>
        <v>Unico</v>
      </c>
      <c r="P7" t="str">
        <f t="shared" si="1"/>
        <v>OK</v>
      </c>
      <c r="Q7" t="str">
        <f t="shared" si="2"/>
        <v>OK</v>
      </c>
      <c r="R7" t="str">
        <f t="shared" si="3"/>
        <v>OK</v>
      </c>
      <c r="U7" t="s">
        <v>2649</v>
      </c>
      <c r="V7">
        <f>COUNTIF(Tabla_control[Control_conversiones],"ERROR")</f>
        <v>0</v>
      </c>
    </row>
    <row r="8" spans="1:22" x14ac:dyDescent="0.3">
      <c r="A8" s="1">
        <v>45828</v>
      </c>
      <c r="B8" s="2" t="s">
        <v>2619</v>
      </c>
      <c r="C8" s="2" t="s">
        <v>2515</v>
      </c>
      <c r="D8" s="2" t="s">
        <v>2525</v>
      </c>
      <c r="E8" s="2" t="s">
        <v>2534</v>
      </c>
      <c r="F8" s="3">
        <v>84579</v>
      </c>
      <c r="G8" s="3">
        <v>3855</v>
      </c>
      <c r="H8" s="3">
        <v>121</v>
      </c>
      <c r="I8" s="4">
        <v>7967.14</v>
      </c>
      <c r="J8" s="4">
        <v>12733.03</v>
      </c>
      <c r="K8" s="3">
        <v>58</v>
      </c>
      <c r="L8" s="2" t="s">
        <v>2536</v>
      </c>
      <c r="M8" s="2" t="s">
        <v>2537</v>
      </c>
      <c r="N8" s="6">
        <f t="shared" si="0"/>
        <v>1</v>
      </c>
      <c r="O8" t="str">
        <f>IF(Tabla_control[[#This Row],[Control_duplicados]]&gt;1,"Duplicado","Unico")</f>
        <v>Unico</v>
      </c>
      <c r="P8" t="str">
        <f t="shared" si="1"/>
        <v>OK</v>
      </c>
      <c r="Q8" t="str">
        <f t="shared" si="2"/>
        <v>OK</v>
      </c>
      <c r="R8" t="str">
        <f t="shared" si="3"/>
        <v>OK</v>
      </c>
      <c r="U8" t="s">
        <v>2650</v>
      </c>
      <c r="V8">
        <f>COUNTIF(Tabla_control[Control_nuevos_clientes],"ERROR")</f>
        <v>0</v>
      </c>
    </row>
    <row r="9" spans="1:22" x14ac:dyDescent="0.3">
      <c r="A9" s="1">
        <v>45941</v>
      </c>
      <c r="B9" s="2" t="s">
        <v>2620</v>
      </c>
      <c r="C9" s="2" t="s">
        <v>2527</v>
      </c>
      <c r="D9" s="2" t="s">
        <v>2531</v>
      </c>
      <c r="E9" s="2" t="s">
        <v>2529</v>
      </c>
      <c r="F9" s="3">
        <v>125454</v>
      </c>
      <c r="G9" s="3">
        <v>7459</v>
      </c>
      <c r="H9" s="3">
        <v>507</v>
      </c>
      <c r="I9" s="4">
        <v>14866.14</v>
      </c>
      <c r="J9" s="4">
        <v>74384.02</v>
      </c>
      <c r="K9" s="3">
        <v>356</v>
      </c>
      <c r="L9" s="2" t="s">
        <v>2539</v>
      </c>
      <c r="M9" s="2" t="s">
        <v>2526</v>
      </c>
      <c r="N9" s="6">
        <f t="shared" si="0"/>
        <v>1</v>
      </c>
      <c r="O9" t="str">
        <f>IF(Tabla_control[[#This Row],[Control_duplicados]]&gt;1,"Duplicado","Unico")</f>
        <v>Unico</v>
      </c>
      <c r="P9" t="str">
        <f t="shared" si="1"/>
        <v>OK</v>
      </c>
      <c r="Q9" t="str">
        <f t="shared" si="2"/>
        <v>OK</v>
      </c>
      <c r="R9" t="str">
        <f t="shared" si="3"/>
        <v>OK</v>
      </c>
      <c r="U9" s="5" t="s">
        <v>2652</v>
      </c>
      <c r="V9">
        <f>SUM(V5:V8)</f>
        <v>51</v>
      </c>
    </row>
    <row r="10" spans="1:22" x14ac:dyDescent="0.3">
      <c r="A10" s="1">
        <v>45908</v>
      </c>
      <c r="B10" s="2" t="s">
        <v>2621</v>
      </c>
      <c r="C10" s="2" t="s">
        <v>2521</v>
      </c>
      <c r="D10" s="2" t="s">
        <v>2531</v>
      </c>
      <c r="E10" s="2" t="s">
        <v>2517</v>
      </c>
      <c r="F10" s="3">
        <v>147026</v>
      </c>
      <c r="G10" s="3">
        <v>2076</v>
      </c>
      <c r="H10" s="3">
        <v>174</v>
      </c>
      <c r="I10" s="4">
        <v>574.54999999999995</v>
      </c>
      <c r="J10" s="4">
        <v>13381.79</v>
      </c>
      <c r="K10" s="3">
        <v>125</v>
      </c>
      <c r="L10" s="2" t="s">
        <v>2539</v>
      </c>
      <c r="M10" s="2" t="s">
        <v>2524</v>
      </c>
      <c r="N10" s="6">
        <f t="shared" si="0"/>
        <v>1</v>
      </c>
      <c r="O10" t="str">
        <f>IF(Tabla_control[[#This Row],[Control_duplicados]]&gt;1,"Duplicado","Unico")</f>
        <v>Unico</v>
      </c>
      <c r="P10" t="str">
        <f t="shared" si="1"/>
        <v>OK</v>
      </c>
      <c r="Q10" t="str">
        <f t="shared" si="2"/>
        <v>OK</v>
      </c>
      <c r="R10" t="str">
        <f t="shared" si="3"/>
        <v>OK</v>
      </c>
    </row>
    <row r="11" spans="1:22" x14ac:dyDescent="0.3">
      <c r="A11" s="1">
        <v>45974</v>
      </c>
      <c r="B11" s="2" t="s">
        <v>2615</v>
      </c>
      <c r="C11" s="2" t="s">
        <v>2541</v>
      </c>
      <c r="D11" s="2" t="s">
        <v>2525</v>
      </c>
      <c r="E11" s="2" t="s">
        <v>2529</v>
      </c>
      <c r="F11" s="3">
        <v>8375</v>
      </c>
      <c r="G11" s="3">
        <v>469</v>
      </c>
      <c r="H11" s="3">
        <v>33</v>
      </c>
      <c r="I11" s="4">
        <v>672.99</v>
      </c>
      <c r="J11" s="4">
        <v>5104.2299999999996</v>
      </c>
      <c r="K11" s="3">
        <v>18</v>
      </c>
      <c r="L11" s="2" t="s">
        <v>2539</v>
      </c>
      <c r="M11" s="2" t="s">
        <v>2537</v>
      </c>
      <c r="N11" s="6">
        <f t="shared" si="0"/>
        <v>1</v>
      </c>
      <c r="O11" t="str">
        <f>IF(Tabla_control[[#This Row],[Control_duplicados]]&gt;1,"Duplicado","Unico")</f>
        <v>Unico</v>
      </c>
      <c r="P11" t="str">
        <f t="shared" si="1"/>
        <v>OK</v>
      </c>
      <c r="Q11" t="str">
        <f t="shared" si="2"/>
        <v>OK</v>
      </c>
      <c r="R11" t="str">
        <f t="shared" si="3"/>
        <v>OK</v>
      </c>
    </row>
    <row r="12" spans="1:22" x14ac:dyDescent="0.3">
      <c r="A12" s="1">
        <v>45838</v>
      </c>
      <c r="B12" s="2" t="s">
        <v>2622</v>
      </c>
      <c r="C12" s="2" t="s">
        <v>2543</v>
      </c>
      <c r="D12" s="2" t="s">
        <v>2528</v>
      </c>
      <c r="E12" s="2" t="s">
        <v>2517</v>
      </c>
      <c r="F12" s="3">
        <v>169640</v>
      </c>
      <c r="G12" s="3">
        <v>13188</v>
      </c>
      <c r="H12" s="3">
        <v>1573</v>
      </c>
      <c r="I12" s="4">
        <v>3188.1</v>
      </c>
      <c r="J12" s="4">
        <v>158029.53</v>
      </c>
      <c r="K12" s="3">
        <v>1309</v>
      </c>
      <c r="L12" s="2" t="s">
        <v>2523</v>
      </c>
      <c r="M12" s="2" t="s">
        <v>2524</v>
      </c>
      <c r="N12" s="6">
        <f t="shared" si="0"/>
        <v>1</v>
      </c>
      <c r="O12" t="str">
        <f>IF(Tabla_control[[#This Row],[Control_duplicados]]&gt;1,"Duplicado","Unico")</f>
        <v>Unico</v>
      </c>
      <c r="P12" t="str">
        <f t="shared" si="1"/>
        <v>OK</v>
      </c>
      <c r="Q12" t="str">
        <f t="shared" si="2"/>
        <v>OK</v>
      </c>
      <c r="R12" t="str">
        <f t="shared" si="3"/>
        <v>OK</v>
      </c>
      <c r="U12" t="s">
        <v>2605</v>
      </c>
      <c r="V12">
        <f>COUNTA(Tabla_control[Fecha])</f>
        <v>2535</v>
      </c>
    </row>
    <row r="13" spans="1:22" x14ac:dyDescent="0.3">
      <c r="A13" s="1">
        <v>45697</v>
      </c>
      <c r="B13" s="2" t="s">
        <v>2623</v>
      </c>
      <c r="C13" s="2" t="s">
        <v>2515</v>
      </c>
      <c r="D13" s="2" t="s">
        <v>2528</v>
      </c>
      <c r="E13" s="2" t="s">
        <v>2517</v>
      </c>
      <c r="F13" s="3">
        <v>1815</v>
      </c>
      <c r="G13" s="3">
        <v>46</v>
      </c>
      <c r="H13" s="3">
        <v>1</v>
      </c>
      <c r="I13" s="4">
        <v>54.04</v>
      </c>
      <c r="J13" s="4">
        <v>192.07</v>
      </c>
      <c r="K13" s="3">
        <v>0</v>
      </c>
      <c r="L13" s="2" t="s">
        <v>2539</v>
      </c>
      <c r="M13" s="2" t="s">
        <v>2537</v>
      </c>
      <c r="N13" s="6">
        <f t="shared" si="0"/>
        <v>1</v>
      </c>
      <c r="O13" t="str">
        <f>IF(Tabla_control[[#This Row],[Control_duplicados]]&gt;1,"Duplicado","Unico")</f>
        <v>Unico</v>
      </c>
      <c r="P13" t="str">
        <f t="shared" si="1"/>
        <v>OK</v>
      </c>
      <c r="Q13" t="str">
        <f t="shared" si="2"/>
        <v>OK</v>
      </c>
      <c r="R13" t="str">
        <f t="shared" si="3"/>
        <v>OK</v>
      </c>
      <c r="U13" t="s">
        <v>2653</v>
      </c>
      <c r="V13">
        <f>V9</f>
        <v>51</v>
      </c>
    </row>
    <row r="14" spans="1:22" x14ac:dyDescent="0.3">
      <c r="A14" s="1">
        <v>45992</v>
      </c>
      <c r="B14" s="2" t="s">
        <v>2624</v>
      </c>
      <c r="C14" s="2" t="s">
        <v>2533</v>
      </c>
      <c r="D14" s="2" t="s">
        <v>2528</v>
      </c>
      <c r="E14" s="2" t="s">
        <v>2529</v>
      </c>
      <c r="F14" s="3">
        <v>58400</v>
      </c>
      <c r="G14" s="3">
        <v>2796</v>
      </c>
      <c r="H14" s="3">
        <v>80</v>
      </c>
      <c r="I14" s="4">
        <v>361.39</v>
      </c>
      <c r="J14" s="4">
        <v>8867.74</v>
      </c>
      <c r="K14" s="3">
        <v>71</v>
      </c>
      <c r="L14" s="2" t="s">
        <v>2536</v>
      </c>
      <c r="M14" s="2" t="s">
        <v>2546</v>
      </c>
      <c r="N14" s="6">
        <f t="shared" si="0"/>
        <v>1</v>
      </c>
      <c r="O14" t="str">
        <f>IF(Tabla_control[[#This Row],[Control_duplicados]]&gt;1,"Duplicado","Unico")</f>
        <v>Unico</v>
      </c>
      <c r="P14" t="str">
        <f t="shared" si="1"/>
        <v>OK</v>
      </c>
      <c r="Q14" t="str">
        <f t="shared" si="2"/>
        <v>OK</v>
      </c>
      <c r="R14" t="str">
        <f t="shared" si="3"/>
        <v>OK</v>
      </c>
    </row>
    <row r="15" spans="1:22" x14ac:dyDescent="0.3">
      <c r="A15" s="1">
        <v>45688</v>
      </c>
      <c r="B15" s="2" t="s">
        <v>2625</v>
      </c>
      <c r="C15" s="2" t="s">
        <v>2541</v>
      </c>
      <c r="D15" s="2" t="s">
        <v>2516</v>
      </c>
      <c r="E15" s="2" t="s">
        <v>2517</v>
      </c>
      <c r="F15" s="3">
        <v>95164</v>
      </c>
      <c r="G15" s="3">
        <v>467</v>
      </c>
      <c r="H15" s="3">
        <v>54</v>
      </c>
      <c r="I15" s="4">
        <v>899.8</v>
      </c>
      <c r="J15" s="4">
        <v>8314.82</v>
      </c>
      <c r="K15" s="3">
        <v>33</v>
      </c>
      <c r="L15" s="2" t="s">
        <v>2523</v>
      </c>
      <c r="M15" s="2" t="s">
        <v>2519</v>
      </c>
      <c r="N15" s="6">
        <f t="shared" si="0"/>
        <v>1</v>
      </c>
      <c r="O15" t="str">
        <f>IF(Tabla_control[[#This Row],[Control_duplicados]]&gt;1,"Duplicado","Unico")</f>
        <v>Unico</v>
      </c>
      <c r="P15" t="str">
        <f t="shared" si="1"/>
        <v>OK</v>
      </c>
      <c r="Q15" t="str">
        <f t="shared" si="2"/>
        <v>OK</v>
      </c>
      <c r="R15" t="str">
        <f t="shared" si="3"/>
        <v>OK</v>
      </c>
      <c r="U15" t="s">
        <v>2776</v>
      </c>
      <c r="V15" s="8">
        <f>V13/V12</f>
        <v>2.0118343195266272E-2</v>
      </c>
    </row>
    <row r="16" spans="1:22" x14ac:dyDescent="0.3">
      <c r="A16" s="1">
        <v>45938</v>
      </c>
      <c r="B16" s="2" t="s">
        <v>2620</v>
      </c>
      <c r="C16" s="2" t="s">
        <v>2515</v>
      </c>
      <c r="D16" s="2" t="s">
        <v>2528</v>
      </c>
      <c r="E16" s="2" t="s">
        <v>2517</v>
      </c>
      <c r="F16" s="3">
        <v>163224</v>
      </c>
      <c r="G16" s="3">
        <v>892</v>
      </c>
      <c r="H16" s="3">
        <v>116</v>
      </c>
      <c r="I16" s="4">
        <v>645.97</v>
      </c>
      <c r="J16" s="4">
        <v>13245.61</v>
      </c>
      <c r="K16" s="3">
        <v>70</v>
      </c>
      <c r="L16" s="2" t="s">
        <v>2536</v>
      </c>
      <c r="M16" s="2" t="s">
        <v>2546</v>
      </c>
      <c r="N16" s="6">
        <f t="shared" si="0"/>
        <v>1</v>
      </c>
      <c r="O16" t="str">
        <f>IF(Tabla_control[[#This Row],[Control_duplicados]]&gt;1,"Duplicado","Unico")</f>
        <v>Unico</v>
      </c>
      <c r="P16" t="str">
        <f t="shared" si="1"/>
        <v>OK</v>
      </c>
      <c r="Q16" t="str">
        <f t="shared" si="2"/>
        <v>OK</v>
      </c>
      <c r="R16" t="str">
        <f t="shared" si="3"/>
        <v>OK</v>
      </c>
    </row>
    <row r="17" spans="1:18" x14ac:dyDescent="0.3">
      <c r="A17" s="1">
        <v>45780</v>
      </c>
      <c r="B17" s="2" t="s">
        <v>2626</v>
      </c>
      <c r="C17" s="2" t="s">
        <v>2527</v>
      </c>
      <c r="D17" s="2" t="s">
        <v>2525</v>
      </c>
      <c r="E17" s="2" t="s">
        <v>2534</v>
      </c>
      <c r="F17" s="3">
        <v>44509</v>
      </c>
      <c r="G17" s="3">
        <v>1756</v>
      </c>
      <c r="H17" s="3">
        <v>45</v>
      </c>
      <c r="I17" s="4">
        <v>2433.77</v>
      </c>
      <c r="J17" s="4">
        <v>1487.74</v>
      </c>
      <c r="K17" s="3">
        <v>24</v>
      </c>
      <c r="L17" s="2" t="s">
        <v>2539</v>
      </c>
      <c r="M17" s="2" t="s">
        <v>2546</v>
      </c>
      <c r="N17" s="6">
        <f t="shared" si="0"/>
        <v>1</v>
      </c>
      <c r="O17" t="str">
        <f>IF(Tabla_control[[#This Row],[Control_duplicados]]&gt;1,"Duplicado","Unico")</f>
        <v>Unico</v>
      </c>
      <c r="P17" t="str">
        <f t="shared" si="1"/>
        <v>OK</v>
      </c>
      <c r="Q17" t="str">
        <f t="shared" si="2"/>
        <v>OK</v>
      </c>
      <c r="R17" t="str">
        <f t="shared" si="3"/>
        <v>OK</v>
      </c>
    </row>
    <row r="18" spans="1:18" x14ac:dyDescent="0.3">
      <c r="A18" s="1">
        <v>45799</v>
      </c>
      <c r="B18" s="2" t="s">
        <v>2625</v>
      </c>
      <c r="C18" s="2" t="s">
        <v>2515</v>
      </c>
      <c r="D18" s="2" t="s">
        <v>2528</v>
      </c>
      <c r="E18" s="2" t="s">
        <v>2534</v>
      </c>
      <c r="F18" s="3">
        <v>49699</v>
      </c>
      <c r="G18" s="3">
        <v>549</v>
      </c>
      <c r="H18" s="3">
        <v>14</v>
      </c>
      <c r="I18" s="4">
        <v>407.19</v>
      </c>
      <c r="J18" s="4">
        <v>2598.86</v>
      </c>
      <c r="K18" s="3">
        <v>12</v>
      </c>
      <c r="L18" s="2" t="s">
        <v>2539</v>
      </c>
      <c r="M18" s="2" t="s">
        <v>2537</v>
      </c>
      <c r="N18" s="6">
        <f t="shared" si="0"/>
        <v>1</v>
      </c>
      <c r="O18" t="str">
        <f>IF(Tabla_control[[#This Row],[Control_duplicados]]&gt;1,"Duplicado","Unico")</f>
        <v>Unico</v>
      </c>
      <c r="P18" t="str">
        <f t="shared" si="1"/>
        <v>OK</v>
      </c>
      <c r="Q18" t="str">
        <f t="shared" si="2"/>
        <v>OK</v>
      </c>
      <c r="R18" t="str">
        <f t="shared" si="3"/>
        <v>OK</v>
      </c>
    </row>
    <row r="19" spans="1:18" x14ac:dyDescent="0.3">
      <c r="A19" s="1">
        <v>45738</v>
      </c>
      <c r="B19" s="2" t="s">
        <v>2624</v>
      </c>
      <c r="C19" s="2" t="s">
        <v>2527</v>
      </c>
      <c r="D19" s="2" t="s">
        <v>2528</v>
      </c>
      <c r="E19" s="2" t="s">
        <v>2529</v>
      </c>
      <c r="F19" s="3">
        <v>79946</v>
      </c>
      <c r="G19" s="3">
        <v>6644</v>
      </c>
      <c r="H19" s="3">
        <v>165</v>
      </c>
      <c r="I19" s="4">
        <v>12172.18</v>
      </c>
      <c r="J19" s="4">
        <v>3700.53</v>
      </c>
      <c r="K19" s="3">
        <v>97</v>
      </c>
      <c r="L19" s="2" t="s">
        <v>2523</v>
      </c>
      <c r="M19" s="2" t="s">
        <v>2524</v>
      </c>
      <c r="N19" s="6">
        <f t="shared" si="0"/>
        <v>1</v>
      </c>
      <c r="O19" t="str">
        <f>IF(Tabla_control[[#This Row],[Control_duplicados]]&gt;1,"Duplicado","Unico")</f>
        <v>Unico</v>
      </c>
      <c r="P19" t="str">
        <f t="shared" si="1"/>
        <v>OK</v>
      </c>
      <c r="Q19" t="str">
        <f t="shared" si="2"/>
        <v>OK</v>
      </c>
      <c r="R19" t="str">
        <f t="shared" si="3"/>
        <v>OK</v>
      </c>
    </row>
    <row r="20" spans="1:18" x14ac:dyDescent="0.3">
      <c r="A20" s="1">
        <v>45765</v>
      </c>
      <c r="B20" s="2" t="s">
        <v>2618</v>
      </c>
      <c r="C20" s="2" t="s">
        <v>2541</v>
      </c>
      <c r="D20" s="2" t="s">
        <v>2516</v>
      </c>
      <c r="E20" s="2" t="s">
        <v>2529</v>
      </c>
      <c r="F20" s="3">
        <v>90643</v>
      </c>
      <c r="G20" s="3">
        <v>6251</v>
      </c>
      <c r="H20" s="3">
        <v>607</v>
      </c>
      <c r="I20" s="4">
        <v>1069.28</v>
      </c>
      <c r="J20" s="4">
        <v>85223.12</v>
      </c>
      <c r="K20" s="3">
        <v>473</v>
      </c>
      <c r="L20" s="2" t="s">
        <v>2518</v>
      </c>
      <c r="M20" s="2" t="s">
        <v>2546</v>
      </c>
      <c r="N20" s="6">
        <f t="shared" si="0"/>
        <v>1</v>
      </c>
      <c r="O20" t="str">
        <f>IF(Tabla_control[[#This Row],[Control_duplicados]]&gt;1,"Duplicado","Unico")</f>
        <v>Unico</v>
      </c>
      <c r="P20" t="str">
        <f t="shared" si="1"/>
        <v>OK</v>
      </c>
      <c r="Q20" t="str">
        <f t="shared" si="2"/>
        <v>OK</v>
      </c>
      <c r="R20" t="str">
        <f t="shared" si="3"/>
        <v>OK</v>
      </c>
    </row>
    <row r="21" spans="1:18" x14ac:dyDescent="0.3">
      <c r="A21" s="1">
        <v>45973</v>
      </c>
      <c r="B21" s="2" t="s">
        <v>2627</v>
      </c>
      <c r="C21" s="2" t="s">
        <v>2541</v>
      </c>
      <c r="D21" s="2" t="s">
        <v>2528</v>
      </c>
      <c r="E21" s="2" t="s">
        <v>2529</v>
      </c>
      <c r="F21" s="3">
        <v>78294</v>
      </c>
      <c r="G21" s="3">
        <v>5439</v>
      </c>
      <c r="H21" s="3">
        <v>617</v>
      </c>
      <c r="I21" s="4">
        <v>1504.93</v>
      </c>
      <c r="J21" s="4">
        <v>130219.67</v>
      </c>
      <c r="K21" s="3">
        <v>538</v>
      </c>
      <c r="L21" s="2" t="s">
        <v>2539</v>
      </c>
      <c r="M21" s="2" t="s">
        <v>2526</v>
      </c>
      <c r="N21" s="6">
        <f t="shared" si="0"/>
        <v>1</v>
      </c>
      <c r="O21" t="str">
        <f>IF(Tabla_control[[#This Row],[Control_duplicados]]&gt;1,"Duplicado","Unico")</f>
        <v>Unico</v>
      </c>
      <c r="P21" t="str">
        <f t="shared" si="1"/>
        <v>OK</v>
      </c>
      <c r="Q21" t="str">
        <f t="shared" si="2"/>
        <v>OK</v>
      </c>
      <c r="R21" t="str">
        <f t="shared" si="3"/>
        <v>OK</v>
      </c>
    </row>
    <row r="22" spans="1:18" x14ac:dyDescent="0.3">
      <c r="A22" s="1">
        <v>46009</v>
      </c>
      <c r="B22" s="2" t="s">
        <v>2628</v>
      </c>
      <c r="C22" s="2" t="s">
        <v>2521</v>
      </c>
      <c r="D22" s="2" t="s">
        <v>2525</v>
      </c>
      <c r="E22" s="2" t="s">
        <v>2517</v>
      </c>
      <c r="F22" s="3">
        <v>4759</v>
      </c>
      <c r="G22" s="3">
        <v>234</v>
      </c>
      <c r="H22" s="3">
        <v>22</v>
      </c>
      <c r="I22" s="4">
        <v>333.25</v>
      </c>
      <c r="J22" s="4">
        <v>2425.61</v>
      </c>
      <c r="K22" s="3">
        <v>13</v>
      </c>
      <c r="L22" s="2" t="s">
        <v>2523</v>
      </c>
      <c r="M22" s="2" t="s">
        <v>2546</v>
      </c>
      <c r="N22" s="6">
        <f t="shared" si="0"/>
        <v>2</v>
      </c>
      <c r="O22" t="str">
        <f>IF(Tabla_control[[#This Row],[Control_duplicados]]&gt;1,"Duplicado","Unico")</f>
        <v>Duplicado</v>
      </c>
      <c r="P22" t="str">
        <f t="shared" si="1"/>
        <v>OK</v>
      </c>
      <c r="Q22" t="str">
        <f t="shared" si="2"/>
        <v>OK</v>
      </c>
      <c r="R22" t="str">
        <f t="shared" si="3"/>
        <v>OK</v>
      </c>
    </row>
    <row r="23" spans="1:18" x14ac:dyDescent="0.3">
      <c r="A23" s="1">
        <v>45791</v>
      </c>
      <c r="B23" s="2" t="s">
        <v>2629</v>
      </c>
      <c r="C23" s="2" t="s">
        <v>2543</v>
      </c>
      <c r="D23" s="2" t="s">
        <v>2525</v>
      </c>
      <c r="E23" s="2" t="s">
        <v>2529</v>
      </c>
      <c r="F23" s="3">
        <v>7310</v>
      </c>
      <c r="G23" s="3">
        <v>569</v>
      </c>
      <c r="H23" s="3">
        <v>77</v>
      </c>
      <c r="I23" s="4">
        <v>65.92</v>
      </c>
      <c r="J23" s="4">
        <v>3364.24</v>
      </c>
      <c r="K23" s="3">
        <v>59</v>
      </c>
      <c r="L23" s="2" t="s">
        <v>2536</v>
      </c>
      <c r="M23" s="2" t="s">
        <v>2524</v>
      </c>
      <c r="N23" s="6">
        <f t="shared" si="0"/>
        <v>1</v>
      </c>
      <c r="O23" t="str">
        <f>IF(Tabla_control[[#This Row],[Control_duplicados]]&gt;1,"Duplicado","Unico")</f>
        <v>Unico</v>
      </c>
      <c r="P23" t="str">
        <f t="shared" si="1"/>
        <v>OK</v>
      </c>
      <c r="Q23" t="str">
        <f t="shared" si="2"/>
        <v>OK</v>
      </c>
      <c r="R23" t="str">
        <f t="shared" si="3"/>
        <v>OK</v>
      </c>
    </row>
    <row r="24" spans="1:18" x14ac:dyDescent="0.3">
      <c r="A24" s="1">
        <v>45989</v>
      </c>
      <c r="B24" s="2" t="s">
        <v>2622</v>
      </c>
      <c r="C24" s="2" t="s">
        <v>2515</v>
      </c>
      <c r="D24" s="2" t="s">
        <v>2531</v>
      </c>
      <c r="E24" s="2" t="s">
        <v>2529</v>
      </c>
      <c r="F24" s="3">
        <v>42237</v>
      </c>
      <c r="G24" s="3">
        <v>591</v>
      </c>
      <c r="H24" s="3">
        <v>35</v>
      </c>
      <c r="I24" s="4">
        <v>506.92</v>
      </c>
      <c r="J24" s="4">
        <v>7159.42</v>
      </c>
      <c r="K24" s="3">
        <v>17</v>
      </c>
      <c r="L24" s="2" t="s">
        <v>2536</v>
      </c>
      <c r="M24" s="2" t="s">
        <v>2546</v>
      </c>
      <c r="N24" s="6">
        <f t="shared" si="0"/>
        <v>1</v>
      </c>
      <c r="O24" t="str">
        <f>IF(Tabla_control[[#This Row],[Control_duplicados]]&gt;1,"Duplicado","Unico")</f>
        <v>Unico</v>
      </c>
      <c r="P24" t="str">
        <f t="shared" si="1"/>
        <v>OK</v>
      </c>
      <c r="Q24" t="str">
        <f t="shared" si="2"/>
        <v>OK</v>
      </c>
      <c r="R24" t="str">
        <f t="shared" si="3"/>
        <v>OK</v>
      </c>
    </row>
    <row r="25" spans="1:18" x14ac:dyDescent="0.3">
      <c r="A25" s="1">
        <v>45829</v>
      </c>
      <c r="B25" s="2" t="s">
        <v>2615</v>
      </c>
      <c r="C25" s="2" t="s">
        <v>2541</v>
      </c>
      <c r="D25" s="2" t="s">
        <v>2531</v>
      </c>
      <c r="E25" s="2" t="s">
        <v>2529</v>
      </c>
      <c r="F25" s="3">
        <v>7568</v>
      </c>
      <c r="G25" s="3">
        <v>600</v>
      </c>
      <c r="H25" s="3">
        <v>21</v>
      </c>
      <c r="I25" s="4">
        <v>703.66</v>
      </c>
      <c r="J25" s="4">
        <v>3621.93</v>
      </c>
      <c r="K25" s="3">
        <v>15</v>
      </c>
      <c r="L25" s="2" t="s">
        <v>2518</v>
      </c>
      <c r="M25" s="2" t="s">
        <v>2546</v>
      </c>
      <c r="N25" s="6">
        <f t="shared" si="0"/>
        <v>1</v>
      </c>
      <c r="O25" t="str">
        <f>IF(Tabla_control[[#This Row],[Control_duplicados]]&gt;1,"Duplicado","Unico")</f>
        <v>Unico</v>
      </c>
      <c r="P25" t="str">
        <f t="shared" si="1"/>
        <v>OK</v>
      </c>
      <c r="Q25" t="str">
        <f t="shared" si="2"/>
        <v>OK</v>
      </c>
      <c r="R25" t="str">
        <f t="shared" si="3"/>
        <v>OK</v>
      </c>
    </row>
    <row r="26" spans="1:18" x14ac:dyDescent="0.3">
      <c r="A26" s="1">
        <v>45860</v>
      </c>
      <c r="B26" s="2" t="s">
        <v>2628</v>
      </c>
      <c r="C26" s="2" t="s">
        <v>2541</v>
      </c>
      <c r="D26" s="2" t="s">
        <v>2528</v>
      </c>
      <c r="E26" s="2" t="s">
        <v>2529</v>
      </c>
      <c r="F26" s="3">
        <v>105858</v>
      </c>
      <c r="G26" s="3">
        <v>9130</v>
      </c>
      <c r="H26" s="3">
        <v>579</v>
      </c>
      <c r="I26" s="4">
        <v>8905.2099999999991</v>
      </c>
      <c r="J26" s="4">
        <v>70771.17</v>
      </c>
      <c r="K26" s="3">
        <v>511</v>
      </c>
      <c r="L26" s="2" t="s">
        <v>2518</v>
      </c>
      <c r="M26" s="2" t="s">
        <v>2519</v>
      </c>
      <c r="N26" s="6">
        <f t="shared" si="0"/>
        <v>1</v>
      </c>
      <c r="O26" t="str">
        <f>IF(Tabla_control[[#This Row],[Control_duplicados]]&gt;1,"Duplicado","Unico")</f>
        <v>Unico</v>
      </c>
      <c r="P26" t="str">
        <f t="shared" si="1"/>
        <v>OK</v>
      </c>
      <c r="Q26" t="str">
        <f t="shared" si="2"/>
        <v>OK</v>
      </c>
      <c r="R26" t="str">
        <f t="shared" si="3"/>
        <v>OK</v>
      </c>
    </row>
    <row r="27" spans="1:18" x14ac:dyDescent="0.3">
      <c r="A27" s="1">
        <v>45844</v>
      </c>
      <c r="B27" s="2" t="s">
        <v>2630</v>
      </c>
      <c r="C27" s="2" t="s">
        <v>2541</v>
      </c>
      <c r="D27" s="2" t="s">
        <v>2528</v>
      </c>
      <c r="E27" s="2" t="s">
        <v>2529</v>
      </c>
      <c r="F27" s="3">
        <v>103769</v>
      </c>
      <c r="G27" s="3">
        <v>4146</v>
      </c>
      <c r="H27" s="3">
        <v>299</v>
      </c>
      <c r="I27" s="4">
        <v>1850.07</v>
      </c>
      <c r="J27" s="4">
        <v>12653.93</v>
      </c>
      <c r="K27" s="3">
        <v>235</v>
      </c>
      <c r="L27" s="2" t="s">
        <v>2523</v>
      </c>
      <c r="M27" s="2" t="s">
        <v>2524</v>
      </c>
      <c r="N27" s="6">
        <f t="shared" si="0"/>
        <v>1</v>
      </c>
      <c r="O27" t="str">
        <f>IF(Tabla_control[[#This Row],[Control_duplicados]]&gt;1,"Duplicado","Unico")</f>
        <v>Unico</v>
      </c>
      <c r="P27" t="str">
        <f t="shared" si="1"/>
        <v>OK</v>
      </c>
      <c r="Q27" t="str">
        <f t="shared" si="2"/>
        <v>OK</v>
      </c>
      <c r="R27" t="str">
        <f t="shared" si="3"/>
        <v>OK</v>
      </c>
    </row>
    <row r="28" spans="1:18" x14ac:dyDescent="0.3">
      <c r="A28" s="1">
        <v>45862</v>
      </c>
      <c r="B28" s="2" t="s">
        <v>2631</v>
      </c>
      <c r="C28" s="2" t="s">
        <v>2541</v>
      </c>
      <c r="D28" s="2" t="s">
        <v>2528</v>
      </c>
      <c r="E28" s="2" t="s">
        <v>2534</v>
      </c>
      <c r="F28" s="3">
        <v>82374</v>
      </c>
      <c r="G28" s="3">
        <v>1820</v>
      </c>
      <c r="H28" s="3">
        <v>101</v>
      </c>
      <c r="I28" s="4">
        <v>1012.99</v>
      </c>
      <c r="J28" s="4">
        <v>3526.15</v>
      </c>
      <c r="K28" s="3">
        <v>88</v>
      </c>
      <c r="L28" s="2" t="s">
        <v>2539</v>
      </c>
      <c r="M28" s="2" t="s">
        <v>2537</v>
      </c>
      <c r="N28" s="6">
        <f t="shared" si="0"/>
        <v>1</v>
      </c>
      <c r="O28" t="str">
        <f>IF(Tabla_control[[#This Row],[Control_duplicados]]&gt;1,"Duplicado","Unico")</f>
        <v>Unico</v>
      </c>
      <c r="P28" t="str">
        <f t="shared" si="1"/>
        <v>OK</v>
      </c>
      <c r="Q28" t="str">
        <f t="shared" si="2"/>
        <v>OK</v>
      </c>
      <c r="R28" t="str">
        <f t="shared" si="3"/>
        <v>OK</v>
      </c>
    </row>
    <row r="29" spans="1:18" x14ac:dyDescent="0.3">
      <c r="A29" s="1">
        <v>45878</v>
      </c>
      <c r="B29" s="2" t="s">
        <v>2628</v>
      </c>
      <c r="C29" s="2" t="s">
        <v>2515</v>
      </c>
      <c r="D29" s="2" t="s">
        <v>2531</v>
      </c>
      <c r="E29" s="2" t="s">
        <v>2529</v>
      </c>
      <c r="F29" s="3">
        <v>176221</v>
      </c>
      <c r="G29" s="3">
        <v>5694</v>
      </c>
      <c r="H29" s="3">
        <v>645</v>
      </c>
      <c r="I29" s="4">
        <v>9157.59</v>
      </c>
      <c r="J29" s="4">
        <v>126731.53</v>
      </c>
      <c r="K29" s="3">
        <v>313</v>
      </c>
      <c r="L29" s="2" t="s">
        <v>2518</v>
      </c>
      <c r="M29" s="2" t="s">
        <v>2526</v>
      </c>
      <c r="N29" s="6">
        <f t="shared" si="0"/>
        <v>1</v>
      </c>
      <c r="O29" t="str">
        <f>IF(Tabla_control[[#This Row],[Control_duplicados]]&gt;1,"Duplicado","Unico")</f>
        <v>Unico</v>
      </c>
      <c r="P29" t="str">
        <f t="shared" si="1"/>
        <v>OK</v>
      </c>
      <c r="Q29" t="str">
        <f t="shared" si="2"/>
        <v>OK</v>
      </c>
      <c r="R29" t="str">
        <f t="shared" si="3"/>
        <v>OK</v>
      </c>
    </row>
    <row r="30" spans="1:18" x14ac:dyDescent="0.3">
      <c r="A30" s="1">
        <v>45892</v>
      </c>
      <c r="B30" s="2" t="s">
        <v>2621</v>
      </c>
      <c r="C30" s="2" t="s">
        <v>2527</v>
      </c>
      <c r="D30" s="2" t="s">
        <v>2522</v>
      </c>
      <c r="E30" s="2" t="s">
        <v>2529</v>
      </c>
      <c r="F30" s="3">
        <v>69153</v>
      </c>
      <c r="G30" s="3">
        <v>3943</v>
      </c>
      <c r="H30" s="3">
        <v>89</v>
      </c>
      <c r="I30" s="4">
        <v>7263.43</v>
      </c>
      <c r="J30" s="4">
        <v>12869.36</v>
      </c>
      <c r="K30" s="3">
        <v>53</v>
      </c>
      <c r="L30" s="2" t="s">
        <v>2536</v>
      </c>
      <c r="M30" s="2" t="s">
        <v>2519</v>
      </c>
      <c r="N30" s="6">
        <f t="shared" si="0"/>
        <v>1</v>
      </c>
      <c r="O30" t="str">
        <f>IF(Tabla_control[[#This Row],[Control_duplicados]]&gt;1,"Duplicado","Unico")</f>
        <v>Unico</v>
      </c>
      <c r="P30" t="str">
        <f t="shared" si="1"/>
        <v>OK</v>
      </c>
      <c r="Q30" t="str">
        <f t="shared" si="2"/>
        <v>OK</v>
      </c>
      <c r="R30" t="str">
        <f t="shared" si="3"/>
        <v>OK</v>
      </c>
    </row>
    <row r="31" spans="1:18" x14ac:dyDescent="0.3">
      <c r="A31" s="1">
        <v>45660</v>
      </c>
      <c r="B31" s="2" t="s">
        <v>2632</v>
      </c>
      <c r="C31" s="2" t="s">
        <v>2533</v>
      </c>
      <c r="D31" s="2" t="s">
        <v>2525</v>
      </c>
      <c r="E31" s="2" t="s">
        <v>2529</v>
      </c>
      <c r="F31" s="3">
        <v>78114</v>
      </c>
      <c r="G31" s="3">
        <v>1158</v>
      </c>
      <c r="H31" s="3">
        <v>156</v>
      </c>
      <c r="I31" s="4">
        <v>738.9</v>
      </c>
      <c r="J31" s="4">
        <v>18166.68</v>
      </c>
      <c r="K31" s="3">
        <v>94</v>
      </c>
      <c r="L31" s="2" t="s">
        <v>2518</v>
      </c>
      <c r="M31" s="2" t="s">
        <v>2526</v>
      </c>
      <c r="N31" s="6">
        <f t="shared" si="0"/>
        <v>1</v>
      </c>
      <c r="O31" t="str">
        <f>IF(Tabla_control[[#This Row],[Control_duplicados]]&gt;1,"Duplicado","Unico")</f>
        <v>Unico</v>
      </c>
      <c r="P31" t="str">
        <f t="shared" si="1"/>
        <v>OK</v>
      </c>
      <c r="Q31" t="str">
        <f t="shared" si="2"/>
        <v>OK</v>
      </c>
      <c r="R31" t="str">
        <f t="shared" si="3"/>
        <v>OK</v>
      </c>
    </row>
    <row r="32" spans="1:18" x14ac:dyDescent="0.3">
      <c r="A32" s="1">
        <v>46006</v>
      </c>
      <c r="B32" s="2" t="s">
        <v>2617</v>
      </c>
      <c r="C32" s="2" t="s">
        <v>2541</v>
      </c>
      <c r="D32" s="2" t="s">
        <v>2528</v>
      </c>
      <c r="E32" s="2" t="s">
        <v>2517</v>
      </c>
      <c r="F32" s="3">
        <v>33428</v>
      </c>
      <c r="G32" s="3">
        <v>180</v>
      </c>
      <c r="H32" s="3">
        <v>5</v>
      </c>
      <c r="I32" s="4">
        <v>320.20999999999998</v>
      </c>
      <c r="J32" s="4">
        <v>175.56</v>
      </c>
      <c r="K32" s="3">
        <v>4</v>
      </c>
      <c r="L32" s="2" t="s">
        <v>2539</v>
      </c>
      <c r="M32" s="2" t="s">
        <v>2524</v>
      </c>
      <c r="N32" s="6">
        <f t="shared" si="0"/>
        <v>1</v>
      </c>
      <c r="O32" t="str">
        <f>IF(Tabla_control[[#This Row],[Control_duplicados]]&gt;1,"Duplicado","Unico")</f>
        <v>Unico</v>
      </c>
      <c r="P32" t="str">
        <f t="shared" si="1"/>
        <v>OK</v>
      </c>
      <c r="Q32" t="str">
        <f t="shared" si="2"/>
        <v>OK</v>
      </c>
      <c r="R32" t="str">
        <f t="shared" si="3"/>
        <v>OK</v>
      </c>
    </row>
    <row r="33" spans="1:18" x14ac:dyDescent="0.3">
      <c r="A33" s="1">
        <v>45917</v>
      </c>
      <c r="B33" s="2" t="s">
        <v>2633</v>
      </c>
      <c r="C33" s="2" t="s">
        <v>2527</v>
      </c>
      <c r="D33" s="2" t="s">
        <v>2528</v>
      </c>
      <c r="E33" s="2" t="s">
        <v>2517</v>
      </c>
      <c r="F33" s="3">
        <v>4187</v>
      </c>
      <c r="G33" s="3">
        <v>41</v>
      </c>
      <c r="H33" s="3">
        <v>0</v>
      </c>
      <c r="I33" s="4">
        <v>38.14</v>
      </c>
      <c r="J33" s="4">
        <v>0</v>
      </c>
      <c r="K33" s="3">
        <v>0</v>
      </c>
      <c r="L33" s="2" t="s">
        <v>2539</v>
      </c>
      <c r="M33" s="2" t="s">
        <v>2546</v>
      </c>
      <c r="N33" s="6">
        <f t="shared" si="0"/>
        <v>1</v>
      </c>
      <c r="O33" t="str">
        <f>IF(Tabla_control[[#This Row],[Control_duplicados]]&gt;1,"Duplicado","Unico")</f>
        <v>Unico</v>
      </c>
      <c r="P33" t="str">
        <f t="shared" si="1"/>
        <v>OK</v>
      </c>
      <c r="Q33" t="str">
        <f t="shared" si="2"/>
        <v>OK</v>
      </c>
      <c r="R33" t="str">
        <f t="shared" si="3"/>
        <v>OK</v>
      </c>
    </row>
    <row r="34" spans="1:18" x14ac:dyDescent="0.3">
      <c r="A34" s="1">
        <v>45751</v>
      </c>
      <c r="B34" s="2" t="s">
        <v>2619</v>
      </c>
      <c r="C34" s="2" t="s">
        <v>2543</v>
      </c>
      <c r="D34" s="2" t="s">
        <v>2528</v>
      </c>
      <c r="E34" s="2" t="s">
        <v>2534</v>
      </c>
      <c r="F34" s="3">
        <v>156964</v>
      </c>
      <c r="G34" s="3">
        <v>9714</v>
      </c>
      <c r="H34" s="3">
        <v>820</v>
      </c>
      <c r="I34" s="4">
        <v>16423.11</v>
      </c>
      <c r="J34" s="4">
        <v>39511.26</v>
      </c>
      <c r="K34" s="3">
        <v>557</v>
      </c>
      <c r="L34" s="2" t="s">
        <v>2518</v>
      </c>
      <c r="M34" s="2" t="s">
        <v>2546</v>
      </c>
      <c r="N34" s="6">
        <f t="shared" si="0"/>
        <v>1</v>
      </c>
      <c r="O34" t="str">
        <f>IF(Tabla_control[[#This Row],[Control_duplicados]]&gt;1,"Duplicado","Unico")</f>
        <v>Unico</v>
      </c>
      <c r="P34" t="str">
        <f t="shared" si="1"/>
        <v>OK</v>
      </c>
      <c r="Q34" t="str">
        <f t="shared" si="2"/>
        <v>OK</v>
      </c>
      <c r="R34" t="str">
        <f t="shared" si="3"/>
        <v>OK</v>
      </c>
    </row>
    <row r="35" spans="1:18" x14ac:dyDescent="0.3">
      <c r="A35" s="1">
        <v>45921</v>
      </c>
      <c r="B35" s="2" t="s">
        <v>2631</v>
      </c>
      <c r="C35" s="2" t="s">
        <v>2533</v>
      </c>
      <c r="D35" s="2" t="s">
        <v>2525</v>
      </c>
      <c r="E35" s="2" t="s">
        <v>2529</v>
      </c>
      <c r="F35" s="3">
        <v>78190</v>
      </c>
      <c r="G35" s="3">
        <v>387</v>
      </c>
      <c r="H35" s="3">
        <v>31</v>
      </c>
      <c r="I35" s="4">
        <v>203.63</v>
      </c>
      <c r="J35" s="4">
        <v>6507.47</v>
      </c>
      <c r="K35" s="3">
        <v>16</v>
      </c>
      <c r="L35" s="2" t="s">
        <v>2523</v>
      </c>
      <c r="M35" s="2" t="s">
        <v>2537</v>
      </c>
      <c r="N35" s="6">
        <f t="shared" si="0"/>
        <v>1</v>
      </c>
      <c r="O35" t="str">
        <f>IF(Tabla_control[[#This Row],[Control_duplicados]]&gt;1,"Duplicado","Unico")</f>
        <v>Unico</v>
      </c>
      <c r="P35" t="str">
        <f t="shared" si="1"/>
        <v>OK</v>
      </c>
      <c r="Q35" t="str">
        <f t="shared" si="2"/>
        <v>OK</v>
      </c>
      <c r="R35" t="str">
        <f t="shared" si="3"/>
        <v>OK</v>
      </c>
    </row>
    <row r="36" spans="1:18" x14ac:dyDescent="0.3">
      <c r="A36" s="1">
        <v>45755</v>
      </c>
      <c r="B36" s="2" t="s">
        <v>2631</v>
      </c>
      <c r="C36" s="2" t="s">
        <v>2645</v>
      </c>
      <c r="D36" s="2" t="s">
        <v>2516</v>
      </c>
      <c r="E36" s="2" t="s">
        <v>2517</v>
      </c>
      <c r="F36" s="3">
        <v>63702</v>
      </c>
      <c r="G36" s="3">
        <v>5675</v>
      </c>
      <c r="H36" s="3">
        <v>708</v>
      </c>
      <c r="I36" s="4">
        <v>4115.09</v>
      </c>
      <c r="J36" s="4">
        <v>107477.07</v>
      </c>
      <c r="K36" s="3">
        <v>459</v>
      </c>
      <c r="L36" s="2" t="s">
        <v>2536</v>
      </c>
      <c r="M36" s="2" t="s">
        <v>2546</v>
      </c>
      <c r="N36" s="6">
        <f t="shared" si="0"/>
        <v>1</v>
      </c>
      <c r="O36" t="str">
        <f>IF(Tabla_control[[#This Row],[Control_duplicados]]&gt;1,"Duplicado","Unico")</f>
        <v>Unico</v>
      </c>
      <c r="P36" t="str">
        <f t="shared" si="1"/>
        <v>OK</v>
      </c>
      <c r="Q36" t="str">
        <f t="shared" si="2"/>
        <v>OK</v>
      </c>
      <c r="R36" t="str">
        <f t="shared" si="3"/>
        <v>OK</v>
      </c>
    </row>
    <row r="37" spans="1:18" x14ac:dyDescent="0.3">
      <c r="A37" s="1">
        <v>45781</v>
      </c>
      <c r="B37" s="2" t="s">
        <v>2634</v>
      </c>
      <c r="C37" s="2" t="s">
        <v>2541</v>
      </c>
      <c r="D37" s="2" t="s">
        <v>2525</v>
      </c>
      <c r="E37" s="2" t="s">
        <v>2529</v>
      </c>
      <c r="F37" s="3">
        <v>62593</v>
      </c>
      <c r="G37" s="3">
        <v>3168</v>
      </c>
      <c r="H37" s="3">
        <v>202</v>
      </c>
      <c r="I37" s="4">
        <v>1472.4</v>
      </c>
      <c r="J37" s="4">
        <v>11607.45</v>
      </c>
      <c r="K37" s="3">
        <v>102</v>
      </c>
      <c r="L37" s="2" t="s">
        <v>2518</v>
      </c>
      <c r="M37" s="2" t="s">
        <v>2519</v>
      </c>
      <c r="N37" s="6">
        <f t="shared" si="0"/>
        <v>1</v>
      </c>
      <c r="O37" t="str">
        <f>IF(Tabla_control[[#This Row],[Control_duplicados]]&gt;1,"Duplicado","Unico")</f>
        <v>Unico</v>
      </c>
      <c r="P37" t="str">
        <f t="shared" si="1"/>
        <v>OK</v>
      </c>
      <c r="Q37" t="str">
        <f t="shared" si="2"/>
        <v>OK</v>
      </c>
      <c r="R37" t="str">
        <f t="shared" si="3"/>
        <v>OK</v>
      </c>
    </row>
    <row r="38" spans="1:18" x14ac:dyDescent="0.3">
      <c r="A38" s="1">
        <v>45680</v>
      </c>
      <c r="B38" s="2" t="s">
        <v>2615</v>
      </c>
      <c r="C38" s="2" t="s">
        <v>2515</v>
      </c>
      <c r="D38" s="2" t="s">
        <v>2516</v>
      </c>
      <c r="E38" s="2" t="s">
        <v>2517</v>
      </c>
      <c r="F38" s="3">
        <v>91161</v>
      </c>
      <c r="G38" s="3">
        <v>4430</v>
      </c>
      <c r="H38" s="3">
        <v>265</v>
      </c>
      <c r="I38" s="4">
        <v>5935.04</v>
      </c>
      <c r="J38" s="4">
        <v>35663.11</v>
      </c>
      <c r="K38" s="3">
        <v>186</v>
      </c>
      <c r="L38" s="2" t="s">
        <v>2539</v>
      </c>
      <c r="M38" s="2" t="s">
        <v>2519</v>
      </c>
      <c r="N38" s="6">
        <f t="shared" si="0"/>
        <v>1</v>
      </c>
      <c r="O38" t="str">
        <f>IF(Tabla_control[[#This Row],[Control_duplicados]]&gt;1,"Duplicado","Unico")</f>
        <v>Unico</v>
      </c>
      <c r="P38" t="str">
        <f t="shared" si="1"/>
        <v>OK</v>
      </c>
      <c r="Q38" t="str">
        <f t="shared" si="2"/>
        <v>OK</v>
      </c>
      <c r="R38" t="str">
        <f t="shared" si="3"/>
        <v>OK</v>
      </c>
    </row>
    <row r="39" spans="1:18" x14ac:dyDescent="0.3">
      <c r="A39" s="1">
        <v>45720</v>
      </c>
      <c r="B39" s="2" t="s">
        <v>2629</v>
      </c>
      <c r="C39" s="2" t="s">
        <v>2541</v>
      </c>
      <c r="D39" s="2" t="s">
        <v>2528</v>
      </c>
      <c r="E39" s="2" t="s">
        <v>2529</v>
      </c>
      <c r="F39" s="3">
        <v>16564</v>
      </c>
      <c r="G39" s="3">
        <v>169</v>
      </c>
      <c r="H39" s="3">
        <v>4</v>
      </c>
      <c r="I39" s="4">
        <v>152.83000000000001</v>
      </c>
      <c r="J39" s="4">
        <v>769.28</v>
      </c>
      <c r="K39" s="3">
        <v>2</v>
      </c>
      <c r="L39" s="2" t="s">
        <v>2539</v>
      </c>
      <c r="M39" s="2" t="s">
        <v>2546</v>
      </c>
      <c r="N39" s="6">
        <f t="shared" si="0"/>
        <v>1</v>
      </c>
      <c r="O39" t="str">
        <f>IF(Tabla_control[[#This Row],[Control_duplicados]]&gt;1,"Duplicado","Unico")</f>
        <v>Unico</v>
      </c>
      <c r="P39" t="str">
        <f t="shared" si="1"/>
        <v>OK</v>
      </c>
      <c r="Q39" t="str">
        <f t="shared" si="2"/>
        <v>OK</v>
      </c>
      <c r="R39" t="str">
        <f t="shared" si="3"/>
        <v>OK</v>
      </c>
    </row>
    <row r="40" spans="1:18" x14ac:dyDescent="0.3">
      <c r="A40" s="1">
        <v>45722</v>
      </c>
      <c r="B40" s="2" t="s">
        <v>2630</v>
      </c>
      <c r="C40" s="2" t="s">
        <v>2521</v>
      </c>
      <c r="D40" s="2" t="s">
        <v>2525</v>
      </c>
      <c r="E40" s="2" t="s">
        <v>2517</v>
      </c>
      <c r="F40" s="3">
        <v>65604</v>
      </c>
      <c r="G40" s="3">
        <v>2826</v>
      </c>
      <c r="H40" s="3">
        <v>147</v>
      </c>
      <c r="I40" s="4">
        <v>370.78</v>
      </c>
      <c r="J40" s="4">
        <v>8547.51</v>
      </c>
      <c r="K40" s="3">
        <v>112</v>
      </c>
      <c r="L40" s="2" t="s">
        <v>2523</v>
      </c>
      <c r="M40" s="2" t="s">
        <v>2546</v>
      </c>
      <c r="N40" s="6">
        <f t="shared" si="0"/>
        <v>1</v>
      </c>
      <c r="O40" t="str">
        <f>IF(Tabla_control[[#This Row],[Control_duplicados]]&gt;1,"Duplicado","Unico")</f>
        <v>Unico</v>
      </c>
      <c r="P40" t="str">
        <f t="shared" si="1"/>
        <v>OK</v>
      </c>
      <c r="Q40" t="str">
        <f t="shared" si="2"/>
        <v>OK</v>
      </c>
      <c r="R40" t="str">
        <f t="shared" si="3"/>
        <v>OK</v>
      </c>
    </row>
    <row r="41" spans="1:18" x14ac:dyDescent="0.3">
      <c r="A41" s="1">
        <v>45775</v>
      </c>
      <c r="B41" s="2" t="s">
        <v>2615</v>
      </c>
      <c r="C41" s="2" t="s">
        <v>2527</v>
      </c>
      <c r="D41" s="2" t="s">
        <v>2522</v>
      </c>
      <c r="E41" s="2" t="s">
        <v>2529</v>
      </c>
      <c r="F41" s="3">
        <v>84707</v>
      </c>
      <c r="G41" s="3">
        <v>512</v>
      </c>
      <c r="H41" s="3">
        <v>33</v>
      </c>
      <c r="I41" s="4">
        <v>940.78</v>
      </c>
      <c r="J41" s="4">
        <v>6912.23</v>
      </c>
      <c r="K41" s="3">
        <v>17</v>
      </c>
      <c r="L41" s="2" t="s">
        <v>2523</v>
      </c>
      <c r="M41" s="2" t="s">
        <v>2524</v>
      </c>
      <c r="N41" s="6">
        <f t="shared" si="0"/>
        <v>1</v>
      </c>
      <c r="O41" t="str">
        <f>IF(Tabla_control[[#This Row],[Control_duplicados]]&gt;1,"Duplicado","Unico")</f>
        <v>Unico</v>
      </c>
      <c r="P41" t="str">
        <f t="shared" si="1"/>
        <v>OK</v>
      </c>
      <c r="Q41" t="str">
        <f t="shared" si="2"/>
        <v>OK</v>
      </c>
      <c r="R41" t="str">
        <f t="shared" si="3"/>
        <v>OK</v>
      </c>
    </row>
    <row r="42" spans="1:18" x14ac:dyDescent="0.3">
      <c r="A42" s="1">
        <v>45748</v>
      </c>
      <c r="B42" s="2" t="s">
        <v>2627</v>
      </c>
      <c r="C42" s="2" t="s">
        <v>2543</v>
      </c>
      <c r="D42" s="2" t="s">
        <v>2516</v>
      </c>
      <c r="E42" s="2" t="s">
        <v>2517</v>
      </c>
      <c r="F42" s="3">
        <v>125379</v>
      </c>
      <c r="G42" s="3">
        <v>2816</v>
      </c>
      <c r="H42" s="3">
        <v>211</v>
      </c>
      <c r="I42" s="4">
        <v>2108.8000000000002</v>
      </c>
      <c r="J42" s="4">
        <v>14718.61</v>
      </c>
      <c r="K42" s="3">
        <v>168</v>
      </c>
      <c r="L42" s="2" t="s">
        <v>2539</v>
      </c>
      <c r="M42" s="2" t="s">
        <v>2519</v>
      </c>
      <c r="N42" s="6">
        <f t="shared" si="0"/>
        <v>1</v>
      </c>
      <c r="O42" t="str">
        <f>IF(Tabla_control[[#This Row],[Control_duplicados]]&gt;1,"Duplicado","Unico")</f>
        <v>Unico</v>
      </c>
      <c r="P42" t="str">
        <f t="shared" si="1"/>
        <v>OK</v>
      </c>
      <c r="Q42" t="str">
        <f t="shared" si="2"/>
        <v>OK</v>
      </c>
      <c r="R42" t="str">
        <f t="shared" si="3"/>
        <v>OK</v>
      </c>
    </row>
    <row r="43" spans="1:18" x14ac:dyDescent="0.3">
      <c r="A43" s="1">
        <v>45788</v>
      </c>
      <c r="B43" s="2" t="s">
        <v>2633</v>
      </c>
      <c r="C43" s="2" t="s">
        <v>2527</v>
      </c>
      <c r="D43" s="2" t="s">
        <v>2522</v>
      </c>
      <c r="E43" s="2" t="s">
        <v>2529</v>
      </c>
      <c r="F43" s="3">
        <v>75503</v>
      </c>
      <c r="G43" s="3">
        <v>3617</v>
      </c>
      <c r="H43" s="3">
        <v>24</v>
      </c>
      <c r="I43" s="4">
        <v>3324.61</v>
      </c>
      <c r="J43" s="4">
        <v>462.18</v>
      </c>
      <c r="K43" s="3">
        <v>13</v>
      </c>
      <c r="L43" s="2" t="s">
        <v>2539</v>
      </c>
      <c r="M43" s="2" t="s">
        <v>2546</v>
      </c>
      <c r="N43" s="6">
        <f t="shared" si="0"/>
        <v>1</v>
      </c>
      <c r="O43" t="str">
        <f>IF(Tabla_control[[#This Row],[Control_duplicados]]&gt;1,"Duplicado","Unico")</f>
        <v>Unico</v>
      </c>
      <c r="P43" t="str">
        <f t="shared" si="1"/>
        <v>OK</v>
      </c>
      <c r="Q43" t="str">
        <f t="shared" si="2"/>
        <v>OK</v>
      </c>
      <c r="R43" t="str">
        <f t="shared" si="3"/>
        <v>OK</v>
      </c>
    </row>
    <row r="44" spans="1:18" x14ac:dyDescent="0.3">
      <c r="A44" s="1">
        <v>45911</v>
      </c>
      <c r="B44" s="2" t="s">
        <v>2632</v>
      </c>
      <c r="C44" s="2" t="s">
        <v>2521</v>
      </c>
      <c r="D44" s="2" t="s">
        <v>2525</v>
      </c>
      <c r="E44" s="2" t="s">
        <v>2517</v>
      </c>
      <c r="F44" s="3">
        <v>177363</v>
      </c>
      <c r="G44" s="3">
        <v>7732</v>
      </c>
      <c r="H44" s="3">
        <v>999</v>
      </c>
      <c r="I44" s="4">
        <v>9531.17</v>
      </c>
      <c r="J44" s="4">
        <v>71611.149999999994</v>
      </c>
      <c r="K44" s="3">
        <v>470</v>
      </c>
      <c r="L44" s="2" t="s">
        <v>2539</v>
      </c>
      <c r="M44" s="2" t="s">
        <v>2537</v>
      </c>
      <c r="N44" s="6">
        <f t="shared" si="0"/>
        <v>1</v>
      </c>
      <c r="O44" t="str">
        <f>IF(Tabla_control[[#This Row],[Control_duplicados]]&gt;1,"Duplicado","Unico")</f>
        <v>Unico</v>
      </c>
      <c r="P44" t="str">
        <f t="shared" si="1"/>
        <v>OK</v>
      </c>
      <c r="Q44" t="str">
        <f t="shared" si="2"/>
        <v>OK</v>
      </c>
      <c r="R44" t="str">
        <f t="shared" si="3"/>
        <v>OK</v>
      </c>
    </row>
    <row r="45" spans="1:18" x14ac:dyDescent="0.3">
      <c r="A45" s="1">
        <v>45784</v>
      </c>
      <c r="B45" s="2" t="s">
        <v>2617</v>
      </c>
      <c r="C45" s="2" t="s">
        <v>2515</v>
      </c>
      <c r="D45" s="2" t="s">
        <v>2528</v>
      </c>
      <c r="E45" s="2" t="s">
        <v>2529</v>
      </c>
      <c r="F45" s="3">
        <v>160559</v>
      </c>
      <c r="G45" s="3">
        <v>8096</v>
      </c>
      <c r="H45" s="3">
        <v>866</v>
      </c>
      <c r="I45" s="4">
        <v>14024.15</v>
      </c>
      <c r="J45" s="4">
        <v>165614.97</v>
      </c>
      <c r="K45" s="3">
        <v>406</v>
      </c>
      <c r="L45" s="2" t="s">
        <v>2523</v>
      </c>
      <c r="M45" s="2" t="s">
        <v>2524</v>
      </c>
      <c r="N45" s="6">
        <f t="shared" si="0"/>
        <v>1</v>
      </c>
      <c r="O45" t="str">
        <f>IF(Tabla_control[[#This Row],[Control_duplicados]]&gt;1,"Duplicado","Unico")</f>
        <v>Unico</v>
      </c>
      <c r="P45" t="str">
        <f t="shared" si="1"/>
        <v>OK</v>
      </c>
      <c r="Q45" t="str">
        <f t="shared" si="2"/>
        <v>OK</v>
      </c>
      <c r="R45" t="str">
        <f t="shared" si="3"/>
        <v>OK</v>
      </c>
    </row>
    <row r="46" spans="1:18" x14ac:dyDescent="0.3">
      <c r="A46" s="1">
        <v>46010</v>
      </c>
      <c r="B46" s="2" t="s">
        <v>2624</v>
      </c>
      <c r="C46" s="2" t="s">
        <v>2543</v>
      </c>
      <c r="D46" s="2" t="s">
        <v>2522</v>
      </c>
      <c r="E46" s="2" t="s">
        <v>2534</v>
      </c>
      <c r="F46" s="3">
        <v>134062</v>
      </c>
      <c r="G46" s="3">
        <v>11816</v>
      </c>
      <c r="H46" s="3">
        <v>1010</v>
      </c>
      <c r="I46" s="4">
        <v>23456.15</v>
      </c>
      <c r="J46" s="4">
        <v>139056.15</v>
      </c>
      <c r="K46" s="3">
        <v>867</v>
      </c>
      <c r="L46" s="2" t="s">
        <v>2523</v>
      </c>
      <c r="M46" s="2" t="s">
        <v>2519</v>
      </c>
      <c r="N46" s="6">
        <f t="shared" si="0"/>
        <v>1</v>
      </c>
      <c r="O46" t="str">
        <f>IF(Tabla_control[[#This Row],[Control_duplicados]]&gt;1,"Duplicado","Unico")</f>
        <v>Unico</v>
      </c>
      <c r="P46" t="str">
        <f t="shared" si="1"/>
        <v>OK</v>
      </c>
      <c r="Q46" t="str">
        <f t="shared" si="2"/>
        <v>OK</v>
      </c>
      <c r="R46" t="str">
        <f t="shared" si="3"/>
        <v>OK</v>
      </c>
    </row>
    <row r="47" spans="1:18" x14ac:dyDescent="0.3">
      <c r="A47" s="1">
        <v>45662</v>
      </c>
      <c r="B47" s="2" t="s">
        <v>2632</v>
      </c>
      <c r="C47" s="2" t="s">
        <v>2533</v>
      </c>
      <c r="D47" s="2" t="s">
        <v>2531</v>
      </c>
      <c r="E47" s="2" t="s">
        <v>2529</v>
      </c>
      <c r="F47" s="3">
        <v>80985</v>
      </c>
      <c r="G47" s="3">
        <v>3516</v>
      </c>
      <c r="H47" s="3">
        <v>69</v>
      </c>
      <c r="I47" s="4">
        <v>1147.83</v>
      </c>
      <c r="J47" s="4">
        <v>7612.07</v>
      </c>
      <c r="K47" s="3">
        <v>57</v>
      </c>
      <c r="L47" s="2" t="s">
        <v>2536</v>
      </c>
      <c r="M47" s="2" t="s">
        <v>2519</v>
      </c>
      <c r="N47" s="6">
        <f t="shared" si="0"/>
        <v>1</v>
      </c>
      <c r="O47" t="str">
        <f>IF(Tabla_control[[#This Row],[Control_duplicados]]&gt;1,"Duplicado","Unico")</f>
        <v>Unico</v>
      </c>
      <c r="P47" t="str">
        <f t="shared" si="1"/>
        <v>OK</v>
      </c>
      <c r="Q47" t="str">
        <f t="shared" si="2"/>
        <v>OK</v>
      </c>
      <c r="R47" t="str">
        <f t="shared" si="3"/>
        <v>OK</v>
      </c>
    </row>
    <row r="48" spans="1:18" x14ac:dyDescent="0.3">
      <c r="A48" s="1">
        <v>45860</v>
      </c>
      <c r="B48" s="2" t="s">
        <v>2635</v>
      </c>
      <c r="C48" s="2" t="s">
        <v>2521</v>
      </c>
      <c r="D48" s="2" t="s">
        <v>2516</v>
      </c>
      <c r="E48" s="2" t="s">
        <v>2534</v>
      </c>
      <c r="F48" s="3">
        <v>172110</v>
      </c>
      <c r="G48" s="3">
        <v>4863</v>
      </c>
      <c r="H48" s="3">
        <v>151</v>
      </c>
      <c r="I48" s="4">
        <v>4544.82</v>
      </c>
      <c r="J48" s="4">
        <v>12852.56</v>
      </c>
      <c r="K48" s="3">
        <v>78</v>
      </c>
      <c r="L48" s="2" t="s">
        <v>2539</v>
      </c>
      <c r="M48" s="2" t="s">
        <v>2537</v>
      </c>
      <c r="N48" s="6">
        <f t="shared" si="0"/>
        <v>1</v>
      </c>
      <c r="O48" t="str">
        <f>IF(Tabla_control[[#This Row],[Control_duplicados]]&gt;1,"Duplicado","Unico")</f>
        <v>Unico</v>
      </c>
      <c r="P48" t="str">
        <f t="shared" si="1"/>
        <v>OK</v>
      </c>
      <c r="Q48" t="str">
        <f t="shared" si="2"/>
        <v>OK</v>
      </c>
      <c r="R48" t="str">
        <f t="shared" si="3"/>
        <v>OK</v>
      </c>
    </row>
    <row r="49" spans="1:18" x14ac:dyDescent="0.3">
      <c r="A49" s="1">
        <v>45840</v>
      </c>
      <c r="B49" s="2" t="s">
        <v>2632</v>
      </c>
      <c r="C49" s="2" t="s">
        <v>2533</v>
      </c>
      <c r="D49" s="2" t="s">
        <v>2528</v>
      </c>
      <c r="E49" s="2" t="s">
        <v>2517</v>
      </c>
      <c r="F49" s="3">
        <v>52772</v>
      </c>
      <c r="G49" s="3">
        <v>2897</v>
      </c>
      <c r="H49" s="3">
        <v>134</v>
      </c>
      <c r="I49" s="4">
        <v>5137.29</v>
      </c>
      <c r="J49" s="4">
        <v>11255.29</v>
      </c>
      <c r="K49" s="3">
        <v>68</v>
      </c>
      <c r="L49" s="2" t="s">
        <v>2523</v>
      </c>
      <c r="M49" s="2" t="s">
        <v>2519</v>
      </c>
      <c r="N49" s="6">
        <f t="shared" si="0"/>
        <v>1</v>
      </c>
      <c r="O49" t="str">
        <f>IF(Tabla_control[[#This Row],[Control_duplicados]]&gt;1,"Duplicado","Unico")</f>
        <v>Unico</v>
      </c>
      <c r="P49" t="str">
        <f t="shared" si="1"/>
        <v>OK</v>
      </c>
      <c r="Q49" t="str">
        <f t="shared" si="2"/>
        <v>OK</v>
      </c>
      <c r="R49" t="str">
        <f t="shared" si="3"/>
        <v>OK</v>
      </c>
    </row>
    <row r="50" spans="1:18" x14ac:dyDescent="0.3">
      <c r="A50" s="1">
        <v>45919</v>
      </c>
      <c r="B50" s="2" t="s">
        <v>2636</v>
      </c>
      <c r="C50" s="2" t="s">
        <v>2515</v>
      </c>
      <c r="D50" s="2" t="s">
        <v>2528</v>
      </c>
      <c r="E50" s="2" t="s">
        <v>2517</v>
      </c>
      <c r="F50" s="3">
        <v>96520</v>
      </c>
      <c r="G50" s="3">
        <v>6563</v>
      </c>
      <c r="H50" s="3">
        <v>575</v>
      </c>
      <c r="I50" s="4">
        <v>2726.57</v>
      </c>
      <c r="J50" s="4">
        <v>11899.29</v>
      </c>
      <c r="K50" s="3">
        <v>387</v>
      </c>
      <c r="L50" s="2" t="s">
        <v>2536</v>
      </c>
      <c r="M50" s="2" t="s">
        <v>2519</v>
      </c>
      <c r="N50" s="6">
        <f t="shared" si="0"/>
        <v>1</v>
      </c>
      <c r="O50" t="str">
        <f>IF(Tabla_control[[#This Row],[Control_duplicados]]&gt;1,"Duplicado","Unico")</f>
        <v>Unico</v>
      </c>
      <c r="P50" t="str">
        <f t="shared" si="1"/>
        <v>OK</v>
      </c>
      <c r="Q50" t="str">
        <f t="shared" si="2"/>
        <v>OK</v>
      </c>
      <c r="R50" t="str">
        <f t="shared" si="3"/>
        <v>OK</v>
      </c>
    </row>
    <row r="51" spans="1:18" x14ac:dyDescent="0.3">
      <c r="A51" s="1">
        <v>45906</v>
      </c>
      <c r="B51" s="2" t="s">
        <v>2623</v>
      </c>
      <c r="C51" s="2" t="s">
        <v>2521</v>
      </c>
      <c r="D51" s="2" t="s">
        <v>2525</v>
      </c>
      <c r="E51" s="2" t="s">
        <v>2529</v>
      </c>
      <c r="F51" s="3">
        <v>12544</v>
      </c>
      <c r="G51" s="3">
        <v>523</v>
      </c>
      <c r="H51" s="3">
        <v>43</v>
      </c>
      <c r="I51" s="4">
        <v>424.74</v>
      </c>
      <c r="J51" s="4">
        <v>763.12</v>
      </c>
      <c r="K51" s="3">
        <v>20</v>
      </c>
      <c r="L51" s="2" t="s">
        <v>2539</v>
      </c>
      <c r="M51" s="2" t="s">
        <v>2519</v>
      </c>
      <c r="N51" s="6">
        <f t="shared" si="0"/>
        <v>1</v>
      </c>
      <c r="O51" t="str">
        <f>IF(Tabla_control[[#This Row],[Control_duplicados]]&gt;1,"Duplicado","Unico")</f>
        <v>Unico</v>
      </c>
      <c r="P51" t="str">
        <f t="shared" si="1"/>
        <v>OK</v>
      </c>
      <c r="Q51" t="str">
        <f t="shared" si="2"/>
        <v>OK</v>
      </c>
      <c r="R51" t="str">
        <f t="shared" si="3"/>
        <v>OK</v>
      </c>
    </row>
    <row r="52" spans="1:18" x14ac:dyDescent="0.3">
      <c r="A52" s="1">
        <v>45941</v>
      </c>
      <c r="B52" s="2" t="s">
        <v>2632</v>
      </c>
      <c r="C52" s="2" t="s">
        <v>2533</v>
      </c>
      <c r="D52" s="2" t="s">
        <v>2516</v>
      </c>
      <c r="E52" s="2" t="s">
        <v>2517</v>
      </c>
      <c r="F52" s="3">
        <v>47739</v>
      </c>
      <c r="G52" s="3">
        <v>1011</v>
      </c>
      <c r="H52" s="3">
        <v>134</v>
      </c>
      <c r="I52" s="4">
        <v>1917.9</v>
      </c>
      <c r="J52" s="4">
        <v>24435.95</v>
      </c>
      <c r="K52" s="3">
        <v>73</v>
      </c>
      <c r="L52" s="2" t="s">
        <v>2539</v>
      </c>
      <c r="M52" s="2" t="s">
        <v>2537</v>
      </c>
      <c r="N52" s="6">
        <f t="shared" si="0"/>
        <v>1</v>
      </c>
      <c r="O52" t="str">
        <f>IF(Tabla_control[[#This Row],[Control_duplicados]]&gt;1,"Duplicado","Unico")</f>
        <v>Unico</v>
      </c>
      <c r="P52" t="str">
        <f t="shared" si="1"/>
        <v>OK</v>
      </c>
      <c r="Q52" t="str">
        <f t="shared" si="2"/>
        <v>OK</v>
      </c>
      <c r="R52" t="str">
        <f t="shared" si="3"/>
        <v>OK</v>
      </c>
    </row>
    <row r="53" spans="1:18" x14ac:dyDescent="0.3">
      <c r="A53" s="1">
        <v>45800</v>
      </c>
      <c r="B53" s="2" t="s">
        <v>2622</v>
      </c>
      <c r="C53" s="2" t="s">
        <v>2543</v>
      </c>
      <c r="D53" s="2" t="s">
        <v>2528</v>
      </c>
      <c r="E53" s="2" t="s">
        <v>2534</v>
      </c>
      <c r="F53" s="3">
        <v>163458</v>
      </c>
      <c r="G53" s="3">
        <v>4544</v>
      </c>
      <c r="H53" s="3">
        <v>304</v>
      </c>
      <c r="I53" s="4">
        <v>4643.72</v>
      </c>
      <c r="J53" s="4">
        <v>48587.57</v>
      </c>
      <c r="K53" s="3">
        <v>203</v>
      </c>
      <c r="L53" s="2" t="s">
        <v>2523</v>
      </c>
      <c r="M53" s="2" t="s">
        <v>2519</v>
      </c>
      <c r="N53" s="6">
        <f t="shared" si="0"/>
        <v>1</v>
      </c>
      <c r="O53" t="str">
        <f>IF(Tabla_control[[#This Row],[Control_duplicados]]&gt;1,"Duplicado","Unico")</f>
        <v>Unico</v>
      </c>
      <c r="P53" t="str">
        <f t="shared" si="1"/>
        <v>OK</v>
      </c>
      <c r="Q53" t="str">
        <f t="shared" si="2"/>
        <v>OK</v>
      </c>
      <c r="R53" t="str">
        <f t="shared" si="3"/>
        <v>OK</v>
      </c>
    </row>
    <row r="54" spans="1:18" x14ac:dyDescent="0.3">
      <c r="A54" s="1">
        <v>45741</v>
      </c>
      <c r="B54" s="2" t="s">
        <v>2637</v>
      </c>
      <c r="C54" s="2" t="s">
        <v>2541</v>
      </c>
      <c r="D54" s="2" t="s">
        <v>2516</v>
      </c>
      <c r="E54" s="2" t="s">
        <v>2517</v>
      </c>
      <c r="F54" s="3">
        <v>87998</v>
      </c>
      <c r="G54" s="3">
        <v>400</v>
      </c>
      <c r="H54" s="3">
        <v>16</v>
      </c>
      <c r="I54" s="4">
        <v>369.77</v>
      </c>
      <c r="J54" s="4">
        <v>2155.19</v>
      </c>
      <c r="K54" s="3">
        <v>11</v>
      </c>
      <c r="L54" s="2" t="s">
        <v>2536</v>
      </c>
      <c r="M54" s="2" t="s">
        <v>2526</v>
      </c>
      <c r="N54" s="6">
        <f t="shared" si="0"/>
        <v>1</v>
      </c>
      <c r="O54" t="str">
        <f>IF(Tabla_control[[#This Row],[Control_duplicados]]&gt;1,"Duplicado","Unico")</f>
        <v>Unico</v>
      </c>
      <c r="P54" t="str">
        <f t="shared" si="1"/>
        <v>OK</v>
      </c>
      <c r="Q54" t="str">
        <f t="shared" si="2"/>
        <v>OK</v>
      </c>
      <c r="R54" t="str">
        <f t="shared" si="3"/>
        <v>OK</v>
      </c>
    </row>
    <row r="55" spans="1:18" x14ac:dyDescent="0.3">
      <c r="A55" s="1">
        <v>45850</v>
      </c>
      <c r="B55" s="2" t="s">
        <v>2638</v>
      </c>
      <c r="C55" s="2" t="s">
        <v>2521</v>
      </c>
      <c r="D55" s="2" t="s">
        <v>2516</v>
      </c>
      <c r="E55" s="2" t="s">
        <v>2517</v>
      </c>
      <c r="F55" s="3">
        <v>22982</v>
      </c>
      <c r="G55" s="3">
        <v>488</v>
      </c>
      <c r="H55" s="3">
        <v>52</v>
      </c>
      <c r="I55" s="4">
        <v>723.46</v>
      </c>
      <c r="J55" s="4">
        <v>10282.51</v>
      </c>
      <c r="K55" s="3">
        <v>32</v>
      </c>
      <c r="L55" s="2" t="s">
        <v>2539</v>
      </c>
      <c r="M55" s="2" t="s">
        <v>2526</v>
      </c>
      <c r="N55" s="6">
        <f t="shared" si="0"/>
        <v>1</v>
      </c>
      <c r="O55" t="str">
        <f>IF(Tabla_control[[#This Row],[Control_duplicados]]&gt;1,"Duplicado","Unico")</f>
        <v>Unico</v>
      </c>
      <c r="P55" t="str">
        <f t="shared" si="1"/>
        <v>OK</v>
      </c>
      <c r="Q55" t="str">
        <f t="shared" si="2"/>
        <v>OK</v>
      </c>
      <c r="R55" t="str">
        <f t="shared" si="3"/>
        <v>OK</v>
      </c>
    </row>
    <row r="56" spans="1:18" x14ac:dyDescent="0.3">
      <c r="A56" s="1">
        <v>45941</v>
      </c>
      <c r="B56" s="2" t="s">
        <v>2639</v>
      </c>
      <c r="C56" s="2" t="s">
        <v>2527</v>
      </c>
      <c r="D56" s="2" t="s">
        <v>2528</v>
      </c>
      <c r="E56" s="2" t="s">
        <v>2529</v>
      </c>
      <c r="F56" s="3">
        <v>36400</v>
      </c>
      <c r="G56" s="3">
        <v>698</v>
      </c>
      <c r="H56" s="3">
        <v>13</v>
      </c>
      <c r="I56" s="4">
        <v>619.54</v>
      </c>
      <c r="J56" s="4">
        <v>1889.23</v>
      </c>
      <c r="K56" s="3">
        <v>6</v>
      </c>
      <c r="L56" s="2" t="s">
        <v>2539</v>
      </c>
      <c r="M56" s="2" t="s">
        <v>2519</v>
      </c>
      <c r="N56" s="6">
        <f t="shared" si="0"/>
        <v>1</v>
      </c>
      <c r="O56" t="str">
        <f>IF(Tabla_control[[#This Row],[Control_duplicados]]&gt;1,"Duplicado","Unico")</f>
        <v>Unico</v>
      </c>
      <c r="P56" t="str">
        <f t="shared" si="1"/>
        <v>OK</v>
      </c>
      <c r="Q56" t="str">
        <f t="shared" si="2"/>
        <v>OK</v>
      </c>
      <c r="R56" t="str">
        <f t="shared" si="3"/>
        <v>OK</v>
      </c>
    </row>
    <row r="57" spans="1:18" x14ac:dyDescent="0.3">
      <c r="A57" s="1">
        <v>45707</v>
      </c>
      <c r="B57" s="2" t="s">
        <v>2640</v>
      </c>
      <c r="C57" s="2" t="s">
        <v>2533</v>
      </c>
      <c r="D57" s="2" t="s">
        <v>2525</v>
      </c>
      <c r="E57" s="2" t="s">
        <v>2517</v>
      </c>
      <c r="F57" s="3">
        <v>39432</v>
      </c>
      <c r="G57" s="3">
        <v>195</v>
      </c>
      <c r="H57" s="3">
        <v>2</v>
      </c>
      <c r="I57" s="4">
        <v>359.51</v>
      </c>
      <c r="J57" s="4">
        <v>360.95</v>
      </c>
      <c r="K57" s="3">
        <v>1</v>
      </c>
      <c r="L57" s="2" t="s">
        <v>2523</v>
      </c>
      <c r="M57" s="2" t="s">
        <v>2519</v>
      </c>
      <c r="N57" s="6">
        <f t="shared" si="0"/>
        <v>1</v>
      </c>
      <c r="O57" t="str">
        <f>IF(Tabla_control[[#This Row],[Control_duplicados]]&gt;1,"Duplicado","Unico")</f>
        <v>Unico</v>
      </c>
      <c r="P57" t="str">
        <f t="shared" si="1"/>
        <v>OK</v>
      </c>
      <c r="Q57" t="str">
        <f t="shared" si="2"/>
        <v>OK</v>
      </c>
      <c r="R57" t="str">
        <f t="shared" si="3"/>
        <v>OK</v>
      </c>
    </row>
    <row r="58" spans="1:18" x14ac:dyDescent="0.3">
      <c r="A58" s="1">
        <v>45914</v>
      </c>
      <c r="B58" s="2" t="s">
        <v>2640</v>
      </c>
      <c r="C58" s="2" t="s">
        <v>2533</v>
      </c>
      <c r="D58" s="2" t="s">
        <v>2528</v>
      </c>
      <c r="E58" s="2" t="s">
        <v>2517</v>
      </c>
      <c r="F58" s="3">
        <v>142452</v>
      </c>
      <c r="G58" s="3">
        <v>8914</v>
      </c>
      <c r="H58" s="3">
        <v>761</v>
      </c>
      <c r="I58" s="4">
        <v>17944.189999999999</v>
      </c>
      <c r="J58" s="4">
        <v>61323.71</v>
      </c>
      <c r="K58" s="3">
        <v>450</v>
      </c>
      <c r="L58" s="2" t="s">
        <v>2536</v>
      </c>
      <c r="M58" s="2" t="s">
        <v>2519</v>
      </c>
      <c r="N58" s="6">
        <f t="shared" si="0"/>
        <v>1</v>
      </c>
      <c r="O58" t="str">
        <f>IF(Tabla_control[[#This Row],[Control_duplicados]]&gt;1,"Duplicado","Unico")</f>
        <v>Unico</v>
      </c>
      <c r="P58" t="str">
        <f t="shared" si="1"/>
        <v>OK</v>
      </c>
      <c r="Q58" t="str">
        <f t="shared" si="2"/>
        <v>OK</v>
      </c>
      <c r="R58" t="str">
        <f t="shared" si="3"/>
        <v>OK</v>
      </c>
    </row>
    <row r="59" spans="1:18" x14ac:dyDescent="0.3">
      <c r="A59" s="1">
        <v>45976</v>
      </c>
      <c r="B59" s="2" t="s">
        <v>2632</v>
      </c>
      <c r="C59" s="2" t="s">
        <v>2527</v>
      </c>
      <c r="D59" s="2" t="s">
        <v>2528</v>
      </c>
      <c r="E59" s="2" t="s">
        <v>2529</v>
      </c>
      <c r="F59" s="3">
        <v>102729</v>
      </c>
      <c r="G59" s="3">
        <v>8680</v>
      </c>
      <c r="H59" s="3">
        <v>476</v>
      </c>
      <c r="I59" s="4">
        <v>13309.01</v>
      </c>
      <c r="J59" s="4">
        <v>89911.75</v>
      </c>
      <c r="K59" s="3">
        <v>357</v>
      </c>
      <c r="L59" s="2" t="s">
        <v>2523</v>
      </c>
      <c r="M59" s="2" t="s">
        <v>2546</v>
      </c>
      <c r="N59" s="6">
        <f t="shared" si="0"/>
        <v>1</v>
      </c>
      <c r="O59" t="str">
        <f>IF(Tabla_control[[#This Row],[Control_duplicados]]&gt;1,"Duplicado","Unico")</f>
        <v>Unico</v>
      </c>
      <c r="P59" t="str">
        <f t="shared" si="1"/>
        <v>OK</v>
      </c>
      <c r="Q59" t="str">
        <f t="shared" si="2"/>
        <v>OK</v>
      </c>
      <c r="R59" t="str">
        <f t="shared" si="3"/>
        <v>OK</v>
      </c>
    </row>
    <row r="60" spans="1:18" x14ac:dyDescent="0.3">
      <c r="A60" s="1">
        <v>46018</v>
      </c>
      <c r="B60" s="2" t="s">
        <v>2641</v>
      </c>
      <c r="C60" s="2" t="s">
        <v>2533</v>
      </c>
      <c r="D60" s="2" t="s">
        <v>2522</v>
      </c>
      <c r="E60" s="2" t="s">
        <v>2529</v>
      </c>
      <c r="F60" s="3">
        <v>7852</v>
      </c>
      <c r="G60" s="3">
        <v>278</v>
      </c>
      <c r="H60" s="3">
        <v>36</v>
      </c>
      <c r="I60" s="4">
        <v>151.88999999999999</v>
      </c>
      <c r="J60" s="4">
        <v>5039.9799999999996</v>
      </c>
      <c r="K60" s="3">
        <v>20</v>
      </c>
      <c r="L60" s="2" t="s">
        <v>2539</v>
      </c>
      <c r="M60" s="2" t="s">
        <v>2524</v>
      </c>
      <c r="N60" s="6">
        <f t="shared" si="0"/>
        <v>1</v>
      </c>
      <c r="O60" t="str">
        <f>IF(Tabla_control[[#This Row],[Control_duplicados]]&gt;1,"Duplicado","Unico")</f>
        <v>Unico</v>
      </c>
      <c r="P60" t="str">
        <f t="shared" si="1"/>
        <v>OK</v>
      </c>
      <c r="Q60" t="str">
        <f t="shared" si="2"/>
        <v>OK</v>
      </c>
      <c r="R60" t="str">
        <f t="shared" si="3"/>
        <v>OK</v>
      </c>
    </row>
    <row r="61" spans="1:18" x14ac:dyDescent="0.3">
      <c r="A61" s="1">
        <v>45809</v>
      </c>
      <c r="B61" s="2" t="s">
        <v>2629</v>
      </c>
      <c r="C61" s="2" t="s">
        <v>2515</v>
      </c>
      <c r="D61" s="2" t="s">
        <v>2531</v>
      </c>
      <c r="E61" s="2" t="s">
        <v>2517</v>
      </c>
      <c r="F61" s="3">
        <v>143687</v>
      </c>
      <c r="G61" s="3">
        <v>8758</v>
      </c>
      <c r="H61" s="3">
        <v>590</v>
      </c>
      <c r="I61" s="4">
        <v>3260.05</v>
      </c>
      <c r="J61" s="4">
        <v>78308.19</v>
      </c>
      <c r="K61" s="3">
        <v>323</v>
      </c>
      <c r="L61" s="2" t="s">
        <v>2539</v>
      </c>
      <c r="M61" s="2" t="s">
        <v>2537</v>
      </c>
      <c r="N61" s="6">
        <f t="shared" si="0"/>
        <v>1</v>
      </c>
      <c r="O61" t="str">
        <f>IF(Tabla_control[[#This Row],[Control_duplicados]]&gt;1,"Duplicado","Unico")</f>
        <v>Unico</v>
      </c>
      <c r="P61" t="str">
        <f t="shared" si="1"/>
        <v>OK</v>
      </c>
      <c r="Q61" t="str">
        <f t="shared" si="2"/>
        <v>OK</v>
      </c>
      <c r="R61" t="str">
        <f t="shared" si="3"/>
        <v>OK</v>
      </c>
    </row>
    <row r="62" spans="1:18" x14ac:dyDescent="0.3">
      <c r="A62" s="1">
        <v>45882</v>
      </c>
      <c r="B62" s="2" t="s">
        <v>2642</v>
      </c>
      <c r="C62" s="2" t="s">
        <v>2541</v>
      </c>
      <c r="D62" s="2" t="s">
        <v>2528</v>
      </c>
      <c r="E62" s="2" t="s">
        <v>2517</v>
      </c>
      <c r="F62" s="3">
        <v>78011</v>
      </c>
      <c r="G62" s="3">
        <v>3428</v>
      </c>
      <c r="H62" s="3">
        <v>452</v>
      </c>
      <c r="I62" s="4">
        <v>7029.6</v>
      </c>
      <c r="J62" s="4">
        <v>14793.01</v>
      </c>
      <c r="K62" s="3">
        <v>343</v>
      </c>
      <c r="L62" s="2" t="s">
        <v>2523</v>
      </c>
      <c r="M62" s="2" t="s">
        <v>2526</v>
      </c>
      <c r="N62" s="6">
        <f t="shared" si="0"/>
        <v>1</v>
      </c>
      <c r="O62" t="str">
        <f>IF(Tabla_control[[#This Row],[Control_duplicados]]&gt;1,"Duplicado","Unico")</f>
        <v>Unico</v>
      </c>
      <c r="P62" t="str">
        <f t="shared" si="1"/>
        <v>OK</v>
      </c>
      <c r="Q62" t="str">
        <f t="shared" si="2"/>
        <v>OK</v>
      </c>
      <c r="R62" t="str">
        <f t="shared" si="3"/>
        <v>OK</v>
      </c>
    </row>
    <row r="63" spans="1:18" x14ac:dyDescent="0.3">
      <c r="A63" s="1">
        <v>45702</v>
      </c>
      <c r="B63" s="2" t="s">
        <v>2637</v>
      </c>
      <c r="C63" s="2" t="s">
        <v>2543</v>
      </c>
      <c r="D63" s="2" t="s">
        <v>2525</v>
      </c>
      <c r="E63" s="2" t="s">
        <v>2529</v>
      </c>
      <c r="F63" s="3">
        <v>101430</v>
      </c>
      <c r="G63" s="3">
        <v>3059</v>
      </c>
      <c r="H63" s="3">
        <v>396</v>
      </c>
      <c r="I63" s="4">
        <v>6195.71</v>
      </c>
      <c r="J63" s="4">
        <v>57060.46</v>
      </c>
      <c r="K63" s="3">
        <v>334</v>
      </c>
      <c r="L63" s="2" t="s">
        <v>2539</v>
      </c>
      <c r="M63" s="2" t="s">
        <v>2537</v>
      </c>
      <c r="N63" s="6">
        <f t="shared" si="0"/>
        <v>1</v>
      </c>
      <c r="O63" t="str">
        <f>IF(Tabla_control[[#This Row],[Control_duplicados]]&gt;1,"Duplicado","Unico")</f>
        <v>Unico</v>
      </c>
      <c r="P63" t="str">
        <f t="shared" si="1"/>
        <v>OK</v>
      </c>
      <c r="Q63" t="str">
        <f t="shared" si="2"/>
        <v>OK</v>
      </c>
      <c r="R63" t="str">
        <f t="shared" si="3"/>
        <v>OK</v>
      </c>
    </row>
    <row r="64" spans="1:18" x14ac:dyDescent="0.3">
      <c r="A64" s="1">
        <v>45869</v>
      </c>
      <c r="B64" s="2" t="s">
        <v>2615</v>
      </c>
      <c r="C64" s="2" t="s">
        <v>2541</v>
      </c>
      <c r="D64" s="2" t="s">
        <v>2525</v>
      </c>
      <c r="E64" s="2" t="s">
        <v>2529</v>
      </c>
      <c r="F64" s="3">
        <v>131405</v>
      </c>
      <c r="G64" s="3">
        <v>8184</v>
      </c>
      <c r="H64" s="3">
        <v>574</v>
      </c>
      <c r="I64" s="4">
        <v>10376.290000000001</v>
      </c>
      <c r="J64" s="4">
        <v>58970.85</v>
      </c>
      <c r="K64" s="3">
        <v>338</v>
      </c>
      <c r="L64" s="2" t="s">
        <v>2523</v>
      </c>
      <c r="M64" s="2" t="s">
        <v>2537</v>
      </c>
      <c r="N64" s="6">
        <f t="shared" si="0"/>
        <v>1</v>
      </c>
      <c r="O64" t="str">
        <f>IF(Tabla_control[[#This Row],[Control_duplicados]]&gt;1,"Duplicado","Unico")</f>
        <v>Unico</v>
      </c>
      <c r="P64" t="str">
        <f t="shared" si="1"/>
        <v>OK</v>
      </c>
      <c r="Q64" t="str">
        <f t="shared" si="2"/>
        <v>OK</v>
      </c>
      <c r="R64" t="str">
        <f t="shared" si="3"/>
        <v>OK</v>
      </c>
    </row>
    <row r="65" spans="1:18" x14ac:dyDescent="0.3">
      <c r="A65" s="1">
        <v>45884</v>
      </c>
      <c r="B65" s="2" t="s">
        <v>2641</v>
      </c>
      <c r="C65" s="2" t="s">
        <v>2521</v>
      </c>
      <c r="D65" s="2" t="s">
        <v>2528</v>
      </c>
      <c r="E65" s="2" t="s">
        <v>2529</v>
      </c>
      <c r="F65" s="3">
        <v>130442</v>
      </c>
      <c r="G65" s="3">
        <v>8546</v>
      </c>
      <c r="H65" s="3">
        <v>578</v>
      </c>
      <c r="I65" s="4">
        <v>13234.62</v>
      </c>
      <c r="J65" s="4">
        <v>74181.06</v>
      </c>
      <c r="K65" s="3">
        <v>477</v>
      </c>
      <c r="L65" s="2" t="s">
        <v>2536</v>
      </c>
      <c r="M65" s="2" t="s">
        <v>2526</v>
      </c>
      <c r="N65" s="6">
        <f t="shared" si="0"/>
        <v>1</v>
      </c>
      <c r="O65" t="str">
        <f>IF(Tabla_control[[#This Row],[Control_duplicados]]&gt;1,"Duplicado","Unico")</f>
        <v>Unico</v>
      </c>
      <c r="P65" t="str">
        <f t="shared" si="1"/>
        <v>OK</v>
      </c>
      <c r="Q65" t="str">
        <f t="shared" si="2"/>
        <v>OK</v>
      </c>
      <c r="R65" t="str">
        <f t="shared" si="3"/>
        <v>OK</v>
      </c>
    </row>
    <row r="66" spans="1:18" x14ac:dyDescent="0.3">
      <c r="A66" s="1">
        <v>45798</v>
      </c>
      <c r="B66" s="2" t="s">
        <v>2640</v>
      </c>
      <c r="C66" s="2" t="s">
        <v>2533</v>
      </c>
      <c r="D66" s="2" t="s">
        <v>2528</v>
      </c>
      <c r="E66" s="2" t="s">
        <v>2517</v>
      </c>
      <c r="F66" s="3">
        <v>106661</v>
      </c>
      <c r="G66" s="3">
        <v>2841</v>
      </c>
      <c r="H66" s="3">
        <v>357</v>
      </c>
      <c r="I66" s="4">
        <v>1574.27</v>
      </c>
      <c r="J66" s="4">
        <v>69957.06</v>
      </c>
      <c r="K66" s="3">
        <v>212</v>
      </c>
      <c r="L66" s="2" t="s">
        <v>2539</v>
      </c>
      <c r="M66" s="2" t="s">
        <v>2519</v>
      </c>
      <c r="N66" s="6">
        <f t="shared" ref="N66:N129" si="4">COUNTIFS($A$2:$A$2536,A66,$B$2:$B$2536,B66,$C$2:$C$2536,C66,$D$2:$D$2536,D66,$E$2:$E$2536,E66,$F$2:$F$2536,F66,$G$2:$G$2536,G66,$H$2:$H$2536,H66,$I$2:$I$2536,I66,$J$2:$J$2536,J66,$K$2:$K$2536,K66,$L$2:$L$2536,L66,$M$2:$M$2536,M66)</f>
        <v>1</v>
      </c>
      <c r="O66" t="str">
        <f>IF(Tabla_control[[#This Row],[Control_duplicados]]&gt;1,"Duplicado","Unico")</f>
        <v>Unico</v>
      </c>
      <c r="P66" t="str">
        <f t="shared" ref="P66:P129" si="5">IF(OR(I66="",I66&lt;0),"ERROR","OK")</f>
        <v>OK</v>
      </c>
      <c r="Q66" t="str">
        <f t="shared" ref="Q66:Q129" si="6">IF(H66&gt;F66,"ERROR","OK")</f>
        <v>OK</v>
      </c>
      <c r="R66" t="str">
        <f t="shared" ref="R66:R129" si="7">IF(K66&gt;H66,"ERROR","OK")</f>
        <v>OK</v>
      </c>
    </row>
    <row r="67" spans="1:18" x14ac:dyDescent="0.3">
      <c r="A67" s="1">
        <v>45678</v>
      </c>
      <c r="B67" s="2" t="s">
        <v>2642</v>
      </c>
      <c r="C67" s="2" t="s">
        <v>2527</v>
      </c>
      <c r="D67" s="2" t="s">
        <v>2528</v>
      </c>
      <c r="E67" s="2" t="s">
        <v>2529</v>
      </c>
      <c r="F67" s="3">
        <v>97055</v>
      </c>
      <c r="G67" s="3">
        <v>1101</v>
      </c>
      <c r="H67" s="3">
        <v>105</v>
      </c>
      <c r="I67" s="4">
        <v>1653.64</v>
      </c>
      <c r="J67" s="4">
        <v>9527.19</v>
      </c>
      <c r="K67" s="3">
        <v>72</v>
      </c>
      <c r="L67" s="2" t="s">
        <v>2518</v>
      </c>
      <c r="M67" s="2" t="s">
        <v>2526</v>
      </c>
      <c r="N67" s="6">
        <f t="shared" si="4"/>
        <v>1</v>
      </c>
      <c r="O67" t="str">
        <f>IF(Tabla_control[[#This Row],[Control_duplicados]]&gt;1,"Duplicado","Unico")</f>
        <v>Unico</v>
      </c>
      <c r="P67" t="str">
        <f t="shared" si="5"/>
        <v>OK</v>
      </c>
      <c r="Q67" t="str">
        <f t="shared" si="6"/>
        <v>OK</v>
      </c>
      <c r="R67" t="str">
        <f t="shared" si="7"/>
        <v>OK</v>
      </c>
    </row>
    <row r="68" spans="1:18" x14ac:dyDescent="0.3">
      <c r="A68" s="1">
        <v>45886</v>
      </c>
      <c r="B68" s="2" t="s">
        <v>2629</v>
      </c>
      <c r="C68" s="2" t="s">
        <v>2543</v>
      </c>
      <c r="D68" s="2" t="s">
        <v>2516</v>
      </c>
      <c r="E68" s="2" t="s">
        <v>2529</v>
      </c>
      <c r="F68" s="3">
        <v>143820</v>
      </c>
      <c r="G68" s="3">
        <v>12456</v>
      </c>
      <c r="H68" s="3">
        <v>1679</v>
      </c>
      <c r="I68" s="4">
        <v>13393.63</v>
      </c>
      <c r="J68" s="4">
        <v>46663.92</v>
      </c>
      <c r="K68" s="3">
        <v>1062</v>
      </c>
      <c r="L68" s="2" t="s">
        <v>2523</v>
      </c>
      <c r="M68" s="2" t="s">
        <v>2519</v>
      </c>
      <c r="N68" s="6">
        <f t="shared" si="4"/>
        <v>1</v>
      </c>
      <c r="O68" t="str">
        <f>IF(Tabla_control[[#This Row],[Control_duplicados]]&gt;1,"Duplicado","Unico")</f>
        <v>Unico</v>
      </c>
      <c r="P68" t="str">
        <f t="shared" si="5"/>
        <v>OK</v>
      </c>
      <c r="Q68" t="str">
        <f t="shared" si="6"/>
        <v>OK</v>
      </c>
      <c r="R68" t="str">
        <f t="shared" si="7"/>
        <v>OK</v>
      </c>
    </row>
    <row r="69" spans="1:18" x14ac:dyDescent="0.3">
      <c r="A69" s="1">
        <v>45948</v>
      </c>
      <c r="B69" s="2" t="s">
        <v>2619</v>
      </c>
      <c r="C69" s="2" t="s">
        <v>2541</v>
      </c>
      <c r="D69" s="2" t="s">
        <v>2522</v>
      </c>
      <c r="E69" s="2" t="s">
        <v>2517</v>
      </c>
      <c r="F69" s="3">
        <v>156599</v>
      </c>
      <c r="G69" s="3">
        <v>4886</v>
      </c>
      <c r="H69" s="3">
        <v>403</v>
      </c>
      <c r="I69" s="4">
        <v>5879.31</v>
      </c>
      <c r="J69" s="4">
        <v>53974.45</v>
      </c>
      <c r="K69" s="3">
        <v>261</v>
      </c>
      <c r="L69" s="2" t="s">
        <v>2536</v>
      </c>
      <c r="M69" s="2" t="s">
        <v>2526</v>
      </c>
      <c r="N69" s="6">
        <f t="shared" si="4"/>
        <v>2</v>
      </c>
      <c r="O69" t="str">
        <f>IF(Tabla_control[[#This Row],[Control_duplicados]]&gt;1,"Duplicado","Unico")</f>
        <v>Duplicado</v>
      </c>
      <c r="P69" t="str">
        <f t="shared" si="5"/>
        <v>OK</v>
      </c>
      <c r="Q69" t="str">
        <f t="shared" si="6"/>
        <v>OK</v>
      </c>
      <c r="R69" t="str">
        <f t="shared" si="7"/>
        <v>OK</v>
      </c>
    </row>
    <row r="70" spans="1:18" x14ac:dyDescent="0.3">
      <c r="A70" s="1">
        <v>45771</v>
      </c>
      <c r="B70" s="2" t="s">
        <v>2631</v>
      </c>
      <c r="C70" s="2" t="s">
        <v>2543</v>
      </c>
      <c r="D70" s="2" t="s">
        <v>2525</v>
      </c>
      <c r="E70" s="2" t="s">
        <v>2517</v>
      </c>
      <c r="F70" s="3">
        <v>146138</v>
      </c>
      <c r="G70" s="3">
        <v>7737</v>
      </c>
      <c r="H70" s="3">
        <v>949</v>
      </c>
      <c r="I70" s="4">
        <v>6548.8</v>
      </c>
      <c r="J70" s="4">
        <v>123026.44</v>
      </c>
      <c r="K70" s="3">
        <v>625</v>
      </c>
      <c r="L70" s="2" t="s">
        <v>2523</v>
      </c>
      <c r="M70" s="2" t="s">
        <v>2546</v>
      </c>
      <c r="N70" s="6">
        <f t="shared" si="4"/>
        <v>1</v>
      </c>
      <c r="O70" t="str">
        <f>IF(Tabla_control[[#This Row],[Control_duplicados]]&gt;1,"Duplicado","Unico")</f>
        <v>Unico</v>
      </c>
      <c r="P70" t="str">
        <f t="shared" si="5"/>
        <v>OK</v>
      </c>
      <c r="Q70" t="str">
        <f t="shared" si="6"/>
        <v>OK</v>
      </c>
      <c r="R70" t="str">
        <f t="shared" si="7"/>
        <v>OK</v>
      </c>
    </row>
    <row r="71" spans="1:18" x14ac:dyDescent="0.3">
      <c r="A71" s="1">
        <v>45998</v>
      </c>
      <c r="B71" s="2" t="s">
        <v>2643</v>
      </c>
      <c r="C71" s="2" t="s">
        <v>2543</v>
      </c>
      <c r="D71" s="2" t="s">
        <v>2528</v>
      </c>
      <c r="E71" s="2" t="s">
        <v>2529</v>
      </c>
      <c r="F71" s="3">
        <v>95481</v>
      </c>
      <c r="G71" s="3">
        <v>1518</v>
      </c>
      <c r="H71" s="3">
        <v>95</v>
      </c>
      <c r="I71" s="4">
        <v>1000.65</v>
      </c>
      <c r="J71" s="4">
        <v>2508.0500000000002</v>
      </c>
      <c r="K71" s="3">
        <v>48</v>
      </c>
      <c r="L71" s="2" t="s">
        <v>2518</v>
      </c>
      <c r="M71" s="2" t="s">
        <v>2537</v>
      </c>
      <c r="N71" s="6">
        <f t="shared" si="4"/>
        <v>1</v>
      </c>
      <c r="O71" t="str">
        <f>IF(Tabla_control[[#This Row],[Control_duplicados]]&gt;1,"Duplicado","Unico")</f>
        <v>Unico</v>
      </c>
      <c r="P71" t="str">
        <f t="shared" si="5"/>
        <v>OK</v>
      </c>
      <c r="Q71" t="str">
        <f t="shared" si="6"/>
        <v>OK</v>
      </c>
      <c r="R71" t="str">
        <f t="shared" si="7"/>
        <v>OK</v>
      </c>
    </row>
    <row r="72" spans="1:18" x14ac:dyDescent="0.3">
      <c r="A72" s="1">
        <v>45934</v>
      </c>
      <c r="B72" s="2" t="s">
        <v>2635</v>
      </c>
      <c r="C72" s="2" t="s">
        <v>2527</v>
      </c>
      <c r="D72" s="2" t="s">
        <v>2528</v>
      </c>
      <c r="E72" s="2" t="s">
        <v>2517</v>
      </c>
      <c r="F72" s="3">
        <v>83550</v>
      </c>
      <c r="G72" s="3">
        <v>7172</v>
      </c>
      <c r="H72" s="3">
        <v>217</v>
      </c>
      <c r="I72" s="4">
        <v>3758.29</v>
      </c>
      <c r="J72" s="4">
        <v>34404</v>
      </c>
      <c r="K72" s="3">
        <v>121</v>
      </c>
      <c r="L72" s="2" t="s">
        <v>2539</v>
      </c>
      <c r="M72" s="2" t="s">
        <v>2526</v>
      </c>
      <c r="N72" s="6">
        <f t="shared" si="4"/>
        <v>1</v>
      </c>
      <c r="O72" t="str">
        <f>IF(Tabla_control[[#This Row],[Control_duplicados]]&gt;1,"Duplicado","Unico")</f>
        <v>Unico</v>
      </c>
      <c r="P72" t="str">
        <f t="shared" si="5"/>
        <v>OK</v>
      </c>
      <c r="Q72" t="str">
        <f t="shared" si="6"/>
        <v>OK</v>
      </c>
      <c r="R72" t="str">
        <f t="shared" si="7"/>
        <v>OK</v>
      </c>
    </row>
    <row r="73" spans="1:18" x14ac:dyDescent="0.3">
      <c r="A73" s="1">
        <v>45829</v>
      </c>
      <c r="B73" s="2" t="s">
        <v>2627</v>
      </c>
      <c r="C73" s="2" t="s">
        <v>2515</v>
      </c>
      <c r="D73" s="2" t="s">
        <v>2522</v>
      </c>
      <c r="E73" s="2" t="s">
        <v>2534</v>
      </c>
      <c r="F73" s="3">
        <v>137916</v>
      </c>
      <c r="G73" s="3">
        <v>6514</v>
      </c>
      <c r="H73" s="3">
        <v>592</v>
      </c>
      <c r="I73" s="4">
        <v>4804.74</v>
      </c>
      <c r="J73" s="4">
        <v>20376.89</v>
      </c>
      <c r="K73" s="3">
        <v>450</v>
      </c>
      <c r="L73" s="2" t="s">
        <v>2518</v>
      </c>
      <c r="M73" s="2" t="s">
        <v>2524</v>
      </c>
      <c r="N73" s="6">
        <f t="shared" si="4"/>
        <v>1</v>
      </c>
      <c r="O73" t="str">
        <f>IF(Tabla_control[[#This Row],[Control_duplicados]]&gt;1,"Duplicado","Unico")</f>
        <v>Unico</v>
      </c>
      <c r="P73" t="str">
        <f t="shared" si="5"/>
        <v>OK</v>
      </c>
      <c r="Q73" t="str">
        <f t="shared" si="6"/>
        <v>OK</v>
      </c>
      <c r="R73" t="str">
        <f t="shared" si="7"/>
        <v>OK</v>
      </c>
    </row>
    <row r="74" spans="1:18" x14ac:dyDescent="0.3">
      <c r="A74" s="1">
        <v>45949</v>
      </c>
      <c r="B74" s="2" t="s">
        <v>2618</v>
      </c>
      <c r="C74" s="2" t="s">
        <v>2515</v>
      </c>
      <c r="D74" s="2" t="s">
        <v>2525</v>
      </c>
      <c r="E74" s="2" t="s">
        <v>2529</v>
      </c>
      <c r="F74" s="3">
        <v>164370</v>
      </c>
      <c r="G74" s="3">
        <v>9643</v>
      </c>
      <c r="H74" s="3">
        <v>1013</v>
      </c>
      <c r="I74" s="4">
        <v>7211.11</v>
      </c>
      <c r="J74" s="4">
        <v>123210.79</v>
      </c>
      <c r="K74" s="3">
        <v>702</v>
      </c>
      <c r="L74" s="2" t="s">
        <v>2523</v>
      </c>
      <c r="M74" s="2" t="s">
        <v>2524</v>
      </c>
      <c r="N74" s="6">
        <f t="shared" si="4"/>
        <v>1</v>
      </c>
      <c r="O74" t="str">
        <f>IF(Tabla_control[[#This Row],[Control_duplicados]]&gt;1,"Duplicado","Unico")</f>
        <v>Unico</v>
      </c>
      <c r="P74" t="str">
        <f t="shared" si="5"/>
        <v>OK</v>
      </c>
      <c r="Q74" t="str">
        <f t="shared" si="6"/>
        <v>OK</v>
      </c>
      <c r="R74" t="str">
        <f t="shared" si="7"/>
        <v>OK</v>
      </c>
    </row>
    <row r="75" spans="1:18" x14ac:dyDescent="0.3">
      <c r="A75" s="1">
        <v>45855</v>
      </c>
      <c r="B75" s="2" t="s">
        <v>2635</v>
      </c>
      <c r="C75" s="2" t="s">
        <v>2533</v>
      </c>
      <c r="D75" s="2" t="s">
        <v>2528</v>
      </c>
      <c r="E75" s="2" t="s">
        <v>2517</v>
      </c>
      <c r="F75" s="3">
        <v>17033</v>
      </c>
      <c r="G75" s="3">
        <v>407</v>
      </c>
      <c r="H75" s="3">
        <v>36</v>
      </c>
      <c r="I75" s="4">
        <v>423.88</v>
      </c>
      <c r="J75" s="4">
        <v>1569.98</v>
      </c>
      <c r="K75" s="3">
        <v>19</v>
      </c>
      <c r="L75" s="2" t="s">
        <v>2536</v>
      </c>
      <c r="M75" s="2" t="s">
        <v>2537</v>
      </c>
      <c r="N75" s="6">
        <f t="shared" si="4"/>
        <v>1</v>
      </c>
      <c r="O75" t="str">
        <f>IF(Tabla_control[[#This Row],[Control_duplicados]]&gt;1,"Duplicado","Unico")</f>
        <v>Unico</v>
      </c>
      <c r="P75" t="str">
        <f t="shared" si="5"/>
        <v>OK</v>
      </c>
      <c r="Q75" t="str">
        <f t="shared" si="6"/>
        <v>OK</v>
      </c>
      <c r="R75" t="str">
        <f t="shared" si="7"/>
        <v>OK</v>
      </c>
    </row>
    <row r="76" spans="1:18" x14ac:dyDescent="0.3">
      <c r="A76" s="1">
        <v>45808</v>
      </c>
      <c r="B76" s="2" t="s">
        <v>2628</v>
      </c>
      <c r="C76" s="2" t="s">
        <v>2541</v>
      </c>
      <c r="D76" s="2" t="s">
        <v>2528</v>
      </c>
      <c r="E76" s="2" t="s">
        <v>2529</v>
      </c>
      <c r="F76" s="3">
        <v>165163</v>
      </c>
      <c r="G76" s="3">
        <v>6066</v>
      </c>
      <c r="H76" s="3">
        <v>257</v>
      </c>
      <c r="I76" s="4">
        <v>1640.69</v>
      </c>
      <c r="J76" s="4">
        <v>7248.36</v>
      </c>
      <c r="K76" s="3">
        <v>132</v>
      </c>
      <c r="L76" s="2" t="s">
        <v>2523</v>
      </c>
      <c r="M76" s="2" t="s">
        <v>2526</v>
      </c>
      <c r="N76" s="6">
        <f t="shared" si="4"/>
        <v>1</v>
      </c>
      <c r="O76" t="str">
        <f>IF(Tabla_control[[#This Row],[Control_duplicados]]&gt;1,"Duplicado","Unico")</f>
        <v>Unico</v>
      </c>
      <c r="P76" t="str">
        <f t="shared" si="5"/>
        <v>OK</v>
      </c>
      <c r="Q76" t="str">
        <f t="shared" si="6"/>
        <v>OK</v>
      </c>
      <c r="R76" t="str">
        <f t="shared" si="7"/>
        <v>OK</v>
      </c>
    </row>
    <row r="77" spans="1:18" x14ac:dyDescent="0.3">
      <c r="A77" s="1">
        <v>45956</v>
      </c>
      <c r="B77" s="2" t="s">
        <v>2617</v>
      </c>
      <c r="C77" s="2" t="s">
        <v>2533</v>
      </c>
      <c r="D77" s="2" t="s">
        <v>2528</v>
      </c>
      <c r="E77" s="2" t="s">
        <v>2529</v>
      </c>
      <c r="F77" s="3">
        <v>164400</v>
      </c>
      <c r="G77" s="3">
        <v>8064</v>
      </c>
      <c r="H77" s="3">
        <v>247</v>
      </c>
      <c r="I77" s="4">
        <v>13717.53</v>
      </c>
      <c r="J77" s="4">
        <v>49833.79</v>
      </c>
      <c r="K77" s="3">
        <v>124</v>
      </c>
      <c r="L77" s="2" t="s">
        <v>2536</v>
      </c>
      <c r="M77" s="2" t="s">
        <v>2537</v>
      </c>
      <c r="N77" s="6">
        <f t="shared" si="4"/>
        <v>1</v>
      </c>
      <c r="O77" t="str">
        <f>IF(Tabla_control[[#This Row],[Control_duplicados]]&gt;1,"Duplicado","Unico")</f>
        <v>Unico</v>
      </c>
      <c r="P77" t="str">
        <f t="shared" si="5"/>
        <v>OK</v>
      </c>
      <c r="Q77" t="str">
        <f t="shared" si="6"/>
        <v>OK</v>
      </c>
      <c r="R77" t="str">
        <f t="shared" si="7"/>
        <v>OK</v>
      </c>
    </row>
    <row r="78" spans="1:18" x14ac:dyDescent="0.3">
      <c r="A78" s="1">
        <v>46005</v>
      </c>
      <c r="B78" s="2" t="s">
        <v>2642</v>
      </c>
      <c r="C78" s="2" t="s">
        <v>2527</v>
      </c>
      <c r="D78" s="2" t="s">
        <v>2525</v>
      </c>
      <c r="E78" s="2" t="s">
        <v>2517</v>
      </c>
      <c r="F78" s="3">
        <v>5929</v>
      </c>
      <c r="G78" s="3">
        <v>440</v>
      </c>
      <c r="H78" s="3">
        <v>31</v>
      </c>
      <c r="I78" s="4">
        <v>184.05</v>
      </c>
      <c r="J78" s="4">
        <v>5250.9</v>
      </c>
      <c r="K78" s="3">
        <v>26</v>
      </c>
      <c r="L78" s="2" t="s">
        <v>2539</v>
      </c>
      <c r="M78" s="2" t="s">
        <v>2537</v>
      </c>
      <c r="N78" s="6">
        <f t="shared" si="4"/>
        <v>1</v>
      </c>
      <c r="O78" t="str">
        <f>IF(Tabla_control[[#This Row],[Control_duplicados]]&gt;1,"Duplicado","Unico")</f>
        <v>Unico</v>
      </c>
      <c r="P78" t="str">
        <f t="shared" si="5"/>
        <v>OK</v>
      </c>
      <c r="Q78" t="str">
        <f t="shared" si="6"/>
        <v>OK</v>
      </c>
      <c r="R78" t="str">
        <f t="shared" si="7"/>
        <v>OK</v>
      </c>
    </row>
    <row r="79" spans="1:18" x14ac:dyDescent="0.3">
      <c r="A79" s="1">
        <v>45659</v>
      </c>
      <c r="B79" s="2" t="s">
        <v>2616</v>
      </c>
      <c r="C79" s="2" t="s">
        <v>2521</v>
      </c>
      <c r="D79" s="2" t="s">
        <v>2516</v>
      </c>
      <c r="E79" s="2" t="s">
        <v>2529</v>
      </c>
      <c r="F79" s="3">
        <v>120263</v>
      </c>
      <c r="G79" s="3">
        <v>727</v>
      </c>
      <c r="H79" s="3">
        <v>68</v>
      </c>
      <c r="I79" s="4">
        <v>600.79</v>
      </c>
      <c r="J79" s="4">
        <v>8622.59</v>
      </c>
      <c r="K79" s="3">
        <v>46</v>
      </c>
      <c r="L79" s="2" t="s">
        <v>2539</v>
      </c>
      <c r="M79" s="2" t="s">
        <v>2546</v>
      </c>
      <c r="N79" s="6">
        <f t="shared" si="4"/>
        <v>1</v>
      </c>
      <c r="O79" t="str">
        <f>IF(Tabla_control[[#This Row],[Control_duplicados]]&gt;1,"Duplicado","Unico")</f>
        <v>Unico</v>
      </c>
      <c r="P79" t="str">
        <f t="shared" si="5"/>
        <v>OK</v>
      </c>
      <c r="Q79" t="str">
        <f t="shared" si="6"/>
        <v>OK</v>
      </c>
      <c r="R79" t="str">
        <f t="shared" si="7"/>
        <v>OK</v>
      </c>
    </row>
    <row r="80" spans="1:18" x14ac:dyDescent="0.3">
      <c r="A80" s="1">
        <v>45690</v>
      </c>
      <c r="B80" s="2" t="s">
        <v>2623</v>
      </c>
      <c r="C80" s="2" t="s">
        <v>2541</v>
      </c>
      <c r="D80" s="2" t="s">
        <v>2516</v>
      </c>
      <c r="E80" s="2" t="s">
        <v>2517</v>
      </c>
      <c r="F80" s="3">
        <v>14379</v>
      </c>
      <c r="G80" s="3">
        <v>1204</v>
      </c>
      <c r="H80" s="3">
        <v>117</v>
      </c>
      <c r="I80" s="4">
        <v>2429.36</v>
      </c>
      <c r="J80" s="4">
        <v>6917.04</v>
      </c>
      <c r="K80" s="3">
        <v>54</v>
      </c>
      <c r="L80" s="2" t="s">
        <v>2536</v>
      </c>
      <c r="M80" s="2" t="s">
        <v>2524</v>
      </c>
      <c r="N80" s="6">
        <f t="shared" si="4"/>
        <v>1</v>
      </c>
      <c r="O80" t="str">
        <f>IF(Tabla_control[[#This Row],[Control_duplicados]]&gt;1,"Duplicado","Unico")</f>
        <v>Unico</v>
      </c>
      <c r="P80" t="str">
        <f t="shared" si="5"/>
        <v>OK</v>
      </c>
      <c r="Q80" t="str">
        <f t="shared" si="6"/>
        <v>OK</v>
      </c>
      <c r="R80" t="str">
        <f t="shared" si="7"/>
        <v>OK</v>
      </c>
    </row>
    <row r="81" spans="1:18" x14ac:dyDescent="0.3">
      <c r="A81" s="1">
        <v>45838</v>
      </c>
      <c r="B81" s="2" t="s">
        <v>2616</v>
      </c>
      <c r="C81" s="2" t="s">
        <v>2515</v>
      </c>
      <c r="D81" s="2" t="s">
        <v>2528</v>
      </c>
      <c r="E81" s="2" t="s">
        <v>2529</v>
      </c>
      <c r="F81" s="3">
        <v>139435</v>
      </c>
      <c r="G81" s="3">
        <v>7423</v>
      </c>
      <c r="H81" s="3">
        <v>294</v>
      </c>
      <c r="I81" s="4">
        <v>2712.89</v>
      </c>
      <c r="J81" s="4">
        <v>49981.84</v>
      </c>
      <c r="K81" s="3">
        <v>183</v>
      </c>
      <c r="L81" s="2" t="s">
        <v>2539</v>
      </c>
      <c r="M81" s="2" t="s">
        <v>2519</v>
      </c>
      <c r="N81" s="6">
        <f t="shared" si="4"/>
        <v>1</v>
      </c>
      <c r="O81" t="str">
        <f>IF(Tabla_control[[#This Row],[Control_duplicados]]&gt;1,"Duplicado","Unico")</f>
        <v>Unico</v>
      </c>
      <c r="P81" t="str">
        <f t="shared" si="5"/>
        <v>OK</v>
      </c>
      <c r="Q81" t="str">
        <f t="shared" si="6"/>
        <v>OK</v>
      </c>
      <c r="R81" t="str">
        <f t="shared" si="7"/>
        <v>OK</v>
      </c>
    </row>
    <row r="82" spans="1:18" x14ac:dyDescent="0.3">
      <c r="A82" s="1">
        <v>45941</v>
      </c>
      <c r="B82" s="2" t="s">
        <v>2621</v>
      </c>
      <c r="C82" s="2" t="s">
        <v>2515</v>
      </c>
      <c r="D82" s="2" t="s">
        <v>2528</v>
      </c>
      <c r="E82" s="2" t="s">
        <v>2517</v>
      </c>
      <c r="F82" s="3">
        <v>82478</v>
      </c>
      <c r="G82" s="3">
        <v>5286</v>
      </c>
      <c r="H82" s="3">
        <v>368</v>
      </c>
      <c r="I82" s="4">
        <v>1588.16</v>
      </c>
      <c r="J82" s="4">
        <v>33465.74</v>
      </c>
      <c r="K82" s="3">
        <v>267</v>
      </c>
      <c r="L82" s="2" t="s">
        <v>2523</v>
      </c>
      <c r="M82" s="2" t="s">
        <v>2524</v>
      </c>
      <c r="N82" s="6">
        <f t="shared" si="4"/>
        <v>1</v>
      </c>
      <c r="O82" t="str">
        <f>IF(Tabla_control[[#This Row],[Control_duplicados]]&gt;1,"Duplicado","Unico")</f>
        <v>Unico</v>
      </c>
      <c r="P82" t="str">
        <f t="shared" si="5"/>
        <v>OK</v>
      </c>
      <c r="Q82" t="str">
        <f t="shared" si="6"/>
        <v>OK</v>
      </c>
      <c r="R82" t="str">
        <f t="shared" si="7"/>
        <v>OK</v>
      </c>
    </row>
    <row r="83" spans="1:18" x14ac:dyDescent="0.3">
      <c r="A83" s="1">
        <v>45988</v>
      </c>
      <c r="B83" s="2" t="s">
        <v>2633</v>
      </c>
      <c r="C83" s="2" t="s">
        <v>2541</v>
      </c>
      <c r="D83" s="2" t="s">
        <v>2522</v>
      </c>
      <c r="E83" s="2" t="s">
        <v>2529</v>
      </c>
      <c r="F83" s="3">
        <v>7947</v>
      </c>
      <c r="G83" s="3">
        <v>546</v>
      </c>
      <c r="H83" s="3">
        <v>11</v>
      </c>
      <c r="I83" s="4">
        <v>681.04</v>
      </c>
      <c r="J83" s="4">
        <v>1400.69</v>
      </c>
      <c r="K83" s="3">
        <v>5</v>
      </c>
      <c r="L83" s="2" t="s">
        <v>2518</v>
      </c>
      <c r="M83" s="2" t="s">
        <v>2519</v>
      </c>
      <c r="N83" s="6">
        <f t="shared" si="4"/>
        <v>1</v>
      </c>
      <c r="O83" t="str">
        <f>IF(Tabla_control[[#This Row],[Control_duplicados]]&gt;1,"Duplicado","Unico")</f>
        <v>Unico</v>
      </c>
      <c r="P83" t="str">
        <f t="shared" si="5"/>
        <v>OK</v>
      </c>
      <c r="Q83" t="str">
        <f t="shared" si="6"/>
        <v>OK</v>
      </c>
      <c r="R83" t="str">
        <f t="shared" si="7"/>
        <v>OK</v>
      </c>
    </row>
    <row r="84" spans="1:18" x14ac:dyDescent="0.3">
      <c r="A84" s="1">
        <v>45678</v>
      </c>
      <c r="B84" s="2" t="s">
        <v>2616</v>
      </c>
      <c r="C84" s="2" t="s">
        <v>2543</v>
      </c>
      <c r="D84" s="2" t="s">
        <v>2525</v>
      </c>
      <c r="E84" s="2" t="s">
        <v>2529</v>
      </c>
      <c r="F84" s="3">
        <v>40689</v>
      </c>
      <c r="G84" s="3">
        <v>834</v>
      </c>
      <c r="H84" s="3">
        <v>91</v>
      </c>
      <c r="I84" s="4">
        <v>594.19000000000005</v>
      </c>
      <c r="J84" s="4">
        <v>8098.42</v>
      </c>
      <c r="K84" s="3">
        <v>48</v>
      </c>
      <c r="L84" s="2" t="s">
        <v>2518</v>
      </c>
      <c r="M84" s="2" t="s">
        <v>2524</v>
      </c>
      <c r="N84" s="6">
        <f t="shared" si="4"/>
        <v>1</v>
      </c>
      <c r="O84" t="str">
        <f>IF(Tabla_control[[#This Row],[Control_duplicados]]&gt;1,"Duplicado","Unico")</f>
        <v>Unico</v>
      </c>
      <c r="P84" t="str">
        <f t="shared" si="5"/>
        <v>OK</v>
      </c>
      <c r="Q84" t="str">
        <f t="shared" si="6"/>
        <v>OK</v>
      </c>
      <c r="R84" t="str">
        <f t="shared" si="7"/>
        <v>OK</v>
      </c>
    </row>
    <row r="85" spans="1:18" x14ac:dyDescent="0.3">
      <c r="A85" s="1">
        <v>45728</v>
      </c>
      <c r="B85" s="2" t="s">
        <v>2624</v>
      </c>
      <c r="C85" s="2" t="s">
        <v>2541</v>
      </c>
      <c r="D85" s="2" t="s">
        <v>2531</v>
      </c>
      <c r="E85" s="2" t="s">
        <v>2529</v>
      </c>
      <c r="F85" s="3">
        <v>19998</v>
      </c>
      <c r="G85" s="3">
        <v>92</v>
      </c>
      <c r="H85" s="3">
        <v>5</v>
      </c>
      <c r="I85" s="4">
        <v>190.04</v>
      </c>
      <c r="J85" s="4">
        <v>861.71</v>
      </c>
      <c r="K85" s="3">
        <v>2</v>
      </c>
      <c r="L85" s="2" t="s">
        <v>2523</v>
      </c>
      <c r="M85" s="2" t="s">
        <v>2537</v>
      </c>
      <c r="N85" s="6">
        <f t="shared" si="4"/>
        <v>1</v>
      </c>
      <c r="O85" t="str">
        <f>IF(Tabla_control[[#This Row],[Control_duplicados]]&gt;1,"Duplicado","Unico")</f>
        <v>Unico</v>
      </c>
      <c r="P85" t="str">
        <f t="shared" si="5"/>
        <v>OK</v>
      </c>
      <c r="Q85" t="str">
        <f t="shared" si="6"/>
        <v>OK</v>
      </c>
      <c r="R85" t="str">
        <f t="shared" si="7"/>
        <v>OK</v>
      </c>
    </row>
    <row r="86" spans="1:18" x14ac:dyDescent="0.3">
      <c r="A86" s="1">
        <v>46019</v>
      </c>
      <c r="B86" s="2" t="s">
        <v>2625</v>
      </c>
      <c r="C86" s="2" t="s">
        <v>2541</v>
      </c>
      <c r="D86" s="2" t="s">
        <v>2522</v>
      </c>
      <c r="E86" s="2" t="s">
        <v>2534</v>
      </c>
      <c r="F86" s="3">
        <v>41090</v>
      </c>
      <c r="G86" s="3">
        <v>886</v>
      </c>
      <c r="H86" s="3">
        <v>74</v>
      </c>
      <c r="I86" s="4">
        <v>378.97</v>
      </c>
      <c r="J86" s="4">
        <v>3753.55</v>
      </c>
      <c r="K86" s="3">
        <v>64</v>
      </c>
      <c r="L86" s="2" t="s">
        <v>2523</v>
      </c>
      <c r="M86" s="2" t="s">
        <v>2519</v>
      </c>
      <c r="N86" s="6">
        <f t="shared" si="4"/>
        <v>1</v>
      </c>
      <c r="O86" t="str">
        <f>IF(Tabla_control[[#This Row],[Control_duplicados]]&gt;1,"Duplicado","Unico")</f>
        <v>Unico</v>
      </c>
      <c r="P86" t="str">
        <f t="shared" si="5"/>
        <v>OK</v>
      </c>
      <c r="Q86" t="str">
        <f t="shared" si="6"/>
        <v>OK</v>
      </c>
      <c r="R86" t="str">
        <f t="shared" si="7"/>
        <v>OK</v>
      </c>
    </row>
    <row r="87" spans="1:18" x14ac:dyDescent="0.3">
      <c r="A87" s="1">
        <v>45685</v>
      </c>
      <c r="B87" s="2" t="s">
        <v>2636</v>
      </c>
      <c r="C87" s="2" t="s">
        <v>2515</v>
      </c>
      <c r="D87" s="2" t="s">
        <v>2525</v>
      </c>
      <c r="E87" s="2" t="s">
        <v>2534</v>
      </c>
      <c r="F87" s="3">
        <v>93340</v>
      </c>
      <c r="G87" s="3">
        <v>3758</v>
      </c>
      <c r="H87" s="3">
        <v>325</v>
      </c>
      <c r="I87" s="4">
        <v>7207.83</v>
      </c>
      <c r="J87" s="4">
        <v>50159.42</v>
      </c>
      <c r="K87" s="3">
        <v>205</v>
      </c>
      <c r="L87" s="2" t="s">
        <v>2523</v>
      </c>
      <c r="M87" s="2" t="s">
        <v>2526</v>
      </c>
      <c r="N87" s="6">
        <f t="shared" si="4"/>
        <v>1</v>
      </c>
      <c r="O87" t="str">
        <f>IF(Tabla_control[[#This Row],[Control_duplicados]]&gt;1,"Duplicado","Unico")</f>
        <v>Unico</v>
      </c>
      <c r="P87" t="str">
        <f t="shared" si="5"/>
        <v>OK</v>
      </c>
      <c r="Q87" t="str">
        <f t="shared" si="6"/>
        <v>OK</v>
      </c>
      <c r="R87" t="str">
        <f t="shared" si="7"/>
        <v>OK</v>
      </c>
    </row>
    <row r="88" spans="1:18" x14ac:dyDescent="0.3">
      <c r="A88" s="1">
        <v>45970</v>
      </c>
      <c r="B88" s="2" t="s">
        <v>2638</v>
      </c>
      <c r="C88" s="2" t="s">
        <v>2515</v>
      </c>
      <c r="D88" s="2" t="s">
        <v>2522</v>
      </c>
      <c r="E88" s="2" t="s">
        <v>2529</v>
      </c>
      <c r="F88" s="3">
        <v>168209</v>
      </c>
      <c r="G88" s="3">
        <v>4760</v>
      </c>
      <c r="H88" s="3">
        <v>445</v>
      </c>
      <c r="I88" s="4">
        <v>9212.81</v>
      </c>
      <c r="J88" s="4">
        <v>49516.92</v>
      </c>
      <c r="K88" s="3">
        <v>299</v>
      </c>
      <c r="L88" s="2" t="s">
        <v>2518</v>
      </c>
      <c r="M88" s="2" t="s">
        <v>2519</v>
      </c>
      <c r="N88" s="6">
        <f t="shared" si="4"/>
        <v>1</v>
      </c>
      <c r="O88" t="str">
        <f>IF(Tabla_control[[#This Row],[Control_duplicados]]&gt;1,"Duplicado","Unico")</f>
        <v>Unico</v>
      </c>
      <c r="P88" t="str">
        <f t="shared" si="5"/>
        <v>OK</v>
      </c>
      <c r="Q88" t="str">
        <f t="shared" si="6"/>
        <v>OK</v>
      </c>
      <c r="R88" t="str">
        <f t="shared" si="7"/>
        <v>OK</v>
      </c>
    </row>
    <row r="89" spans="1:18" x14ac:dyDescent="0.3">
      <c r="A89" s="1">
        <v>45952</v>
      </c>
      <c r="B89" s="2" t="s">
        <v>2642</v>
      </c>
      <c r="C89" s="2" t="s">
        <v>2515</v>
      </c>
      <c r="D89" s="2" t="s">
        <v>2528</v>
      </c>
      <c r="E89" s="2" t="s">
        <v>2529</v>
      </c>
      <c r="F89" s="3">
        <v>167113</v>
      </c>
      <c r="G89" s="3">
        <v>6183</v>
      </c>
      <c r="H89" s="3">
        <v>317</v>
      </c>
      <c r="I89" s="4">
        <v>8053.02</v>
      </c>
      <c r="J89" s="4">
        <v>17412.28</v>
      </c>
      <c r="K89" s="3">
        <v>239</v>
      </c>
      <c r="L89" s="2" t="s">
        <v>2536</v>
      </c>
      <c r="M89" s="2" t="s">
        <v>2526</v>
      </c>
      <c r="N89" s="6">
        <f t="shared" si="4"/>
        <v>1</v>
      </c>
      <c r="O89" t="str">
        <f>IF(Tabla_control[[#This Row],[Control_duplicados]]&gt;1,"Duplicado","Unico")</f>
        <v>Unico</v>
      </c>
      <c r="P89" t="str">
        <f t="shared" si="5"/>
        <v>OK</v>
      </c>
      <c r="Q89" t="str">
        <f t="shared" si="6"/>
        <v>OK</v>
      </c>
      <c r="R89" t="str">
        <f t="shared" si="7"/>
        <v>OK</v>
      </c>
    </row>
    <row r="90" spans="1:18" x14ac:dyDescent="0.3">
      <c r="A90" s="1">
        <v>45662</v>
      </c>
      <c r="B90" s="2" t="s">
        <v>2626</v>
      </c>
      <c r="C90" s="2" t="s">
        <v>2527</v>
      </c>
      <c r="D90" s="2" t="s">
        <v>2528</v>
      </c>
      <c r="E90" s="2" t="s">
        <v>2529</v>
      </c>
      <c r="F90" s="3">
        <v>97811</v>
      </c>
      <c r="G90" s="3">
        <v>501</v>
      </c>
      <c r="H90" s="3">
        <v>33</v>
      </c>
      <c r="I90" s="4">
        <v>968.45</v>
      </c>
      <c r="J90" s="4">
        <v>3617.76</v>
      </c>
      <c r="K90" s="3">
        <v>26</v>
      </c>
      <c r="L90" s="2" t="s">
        <v>2539</v>
      </c>
      <c r="M90" s="2" t="s">
        <v>2524</v>
      </c>
      <c r="N90" s="6">
        <f t="shared" si="4"/>
        <v>1</v>
      </c>
      <c r="O90" t="str">
        <f>IF(Tabla_control[[#This Row],[Control_duplicados]]&gt;1,"Duplicado","Unico")</f>
        <v>Unico</v>
      </c>
      <c r="P90" t="str">
        <f t="shared" si="5"/>
        <v>OK</v>
      </c>
      <c r="Q90" t="str">
        <f t="shared" si="6"/>
        <v>OK</v>
      </c>
      <c r="R90" t="str">
        <f t="shared" si="7"/>
        <v>OK</v>
      </c>
    </row>
    <row r="91" spans="1:18" x14ac:dyDescent="0.3">
      <c r="A91" s="1">
        <v>45745</v>
      </c>
      <c r="B91" s="2" t="s">
        <v>2642</v>
      </c>
      <c r="C91" s="2" t="s">
        <v>2527</v>
      </c>
      <c r="D91" s="2" t="s">
        <v>2528</v>
      </c>
      <c r="E91" s="2" t="s">
        <v>2517</v>
      </c>
      <c r="F91" s="3">
        <v>56013</v>
      </c>
      <c r="G91" s="3">
        <v>824</v>
      </c>
      <c r="H91" s="3">
        <v>113</v>
      </c>
      <c r="I91" s="4">
        <v>864.84</v>
      </c>
      <c r="J91" s="4">
        <v>8343.14</v>
      </c>
      <c r="K91" s="3">
        <v>65</v>
      </c>
      <c r="L91" s="2" t="s">
        <v>2523</v>
      </c>
      <c r="M91" s="2" t="s">
        <v>2546</v>
      </c>
      <c r="N91" s="6">
        <f t="shared" si="4"/>
        <v>1</v>
      </c>
      <c r="O91" t="str">
        <f>IF(Tabla_control[[#This Row],[Control_duplicados]]&gt;1,"Duplicado","Unico")</f>
        <v>Unico</v>
      </c>
      <c r="P91" t="str">
        <f t="shared" si="5"/>
        <v>OK</v>
      </c>
      <c r="Q91" t="str">
        <f t="shared" si="6"/>
        <v>OK</v>
      </c>
      <c r="R91" t="str">
        <f t="shared" si="7"/>
        <v>OK</v>
      </c>
    </row>
    <row r="92" spans="1:18" x14ac:dyDescent="0.3">
      <c r="A92" s="1">
        <v>45834</v>
      </c>
      <c r="B92" s="2" t="s">
        <v>2640</v>
      </c>
      <c r="C92" s="2" t="s">
        <v>2533</v>
      </c>
      <c r="D92" s="2" t="s">
        <v>2522</v>
      </c>
      <c r="E92" s="2" t="s">
        <v>2529</v>
      </c>
      <c r="F92" s="3">
        <v>168186</v>
      </c>
      <c r="G92" s="3">
        <v>12846</v>
      </c>
      <c r="H92" s="3">
        <v>248</v>
      </c>
      <c r="I92" s="4">
        <v>11843.19</v>
      </c>
      <c r="J92" s="4">
        <v>16511.03</v>
      </c>
      <c r="K92" s="3">
        <v>193</v>
      </c>
      <c r="L92" s="2" t="s">
        <v>2539</v>
      </c>
      <c r="M92" s="2" t="s">
        <v>2526</v>
      </c>
      <c r="N92" s="6">
        <f t="shared" si="4"/>
        <v>1</v>
      </c>
      <c r="O92" t="str">
        <f>IF(Tabla_control[[#This Row],[Control_duplicados]]&gt;1,"Duplicado","Unico")</f>
        <v>Unico</v>
      </c>
      <c r="P92" t="str">
        <f t="shared" si="5"/>
        <v>OK</v>
      </c>
      <c r="Q92" t="str">
        <f t="shared" si="6"/>
        <v>OK</v>
      </c>
      <c r="R92" t="str">
        <f t="shared" si="7"/>
        <v>OK</v>
      </c>
    </row>
    <row r="93" spans="1:18" x14ac:dyDescent="0.3">
      <c r="A93" s="1">
        <v>45719</v>
      </c>
      <c r="B93" s="2" t="s">
        <v>2636</v>
      </c>
      <c r="C93" s="2" t="s">
        <v>2543</v>
      </c>
      <c r="D93" s="2" t="s">
        <v>2525</v>
      </c>
      <c r="E93" s="2" t="s">
        <v>2517</v>
      </c>
      <c r="F93" s="3">
        <v>125337</v>
      </c>
      <c r="G93" s="3">
        <v>4913</v>
      </c>
      <c r="H93" s="3">
        <v>247</v>
      </c>
      <c r="J93" s="4">
        <v>19111.59</v>
      </c>
      <c r="K93" s="3">
        <v>173</v>
      </c>
      <c r="L93" s="2" t="s">
        <v>2523</v>
      </c>
      <c r="M93" s="2" t="s">
        <v>2546</v>
      </c>
      <c r="N93" s="6">
        <f t="shared" si="4"/>
        <v>0</v>
      </c>
      <c r="O93" t="str">
        <f>IF(Tabla_control[[#This Row],[Control_duplicados]]&gt;1,"Duplicado","Unico")</f>
        <v>Unico</v>
      </c>
      <c r="P93" t="str">
        <f t="shared" si="5"/>
        <v>ERROR</v>
      </c>
      <c r="Q93" t="str">
        <f t="shared" si="6"/>
        <v>OK</v>
      </c>
      <c r="R93" t="str">
        <f t="shared" si="7"/>
        <v>OK</v>
      </c>
    </row>
    <row r="94" spans="1:18" x14ac:dyDescent="0.3">
      <c r="A94" s="1">
        <v>45770</v>
      </c>
      <c r="B94" s="2" t="s">
        <v>2627</v>
      </c>
      <c r="C94" s="2" t="s">
        <v>2527</v>
      </c>
      <c r="D94" s="2" t="s">
        <v>2531</v>
      </c>
      <c r="E94" s="2" t="s">
        <v>2529</v>
      </c>
      <c r="F94" s="3">
        <v>156107</v>
      </c>
      <c r="G94" s="3">
        <v>10929</v>
      </c>
      <c r="H94" s="3">
        <v>151</v>
      </c>
      <c r="I94" s="4">
        <v>14137.01</v>
      </c>
      <c r="J94" s="4">
        <v>25165.32</v>
      </c>
      <c r="K94" s="3">
        <v>106</v>
      </c>
      <c r="L94" s="2" t="s">
        <v>2523</v>
      </c>
      <c r="M94" s="2" t="s">
        <v>2519</v>
      </c>
      <c r="N94" s="6">
        <f t="shared" si="4"/>
        <v>1</v>
      </c>
      <c r="O94" t="str">
        <f>IF(Tabla_control[[#This Row],[Control_duplicados]]&gt;1,"Duplicado","Unico")</f>
        <v>Unico</v>
      </c>
      <c r="P94" t="str">
        <f t="shared" si="5"/>
        <v>OK</v>
      </c>
      <c r="Q94" t="str">
        <f t="shared" si="6"/>
        <v>OK</v>
      </c>
      <c r="R94" t="str">
        <f t="shared" si="7"/>
        <v>OK</v>
      </c>
    </row>
    <row r="95" spans="1:18" x14ac:dyDescent="0.3">
      <c r="A95" s="1">
        <v>45963</v>
      </c>
      <c r="B95" s="2" t="s">
        <v>2617</v>
      </c>
      <c r="C95" s="2" t="s">
        <v>2533</v>
      </c>
      <c r="D95" s="2" t="s">
        <v>2525</v>
      </c>
      <c r="E95" s="2" t="s">
        <v>2529</v>
      </c>
      <c r="F95" s="3">
        <v>107920</v>
      </c>
      <c r="G95" s="3">
        <v>2646</v>
      </c>
      <c r="H95" s="3">
        <v>80</v>
      </c>
      <c r="I95" s="4">
        <v>313.33999999999997</v>
      </c>
      <c r="J95" s="4">
        <v>16240.95</v>
      </c>
      <c r="K95" s="3">
        <v>70</v>
      </c>
      <c r="L95" s="2" t="s">
        <v>2536</v>
      </c>
      <c r="M95" s="2" t="s">
        <v>2526</v>
      </c>
      <c r="N95" s="6">
        <f t="shared" si="4"/>
        <v>2</v>
      </c>
      <c r="O95" t="str">
        <f>IF(Tabla_control[[#This Row],[Control_duplicados]]&gt;1,"Duplicado","Unico")</f>
        <v>Duplicado</v>
      </c>
      <c r="P95" t="str">
        <f t="shared" si="5"/>
        <v>OK</v>
      </c>
      <c r="Q95" t="str">
        <f t="shared" si="6"/>
        <v>OK</v>
      </c>
      <c r="R95" t="str">
        <f t="shared" si="7"/>
        <v>OK</v>
      </c>
    </row>
    <row r="96" spans="1:18" x14ac:dyDescent="0.3">
      <c r="A96" s="1">
        <v>45830</v>
      </c>
      <c r="B96" s="2" t="s">
        <v>2630</v>
      </c>
      <c r="C96" s="2" t="s">
        <v>2521</v>
      </c>
      <c r="D96" s="2" t="s">
        <v>2528</v>
      </c>
      <c r="E96" s="2" t="s">
        <v>2534</v>
      </c>
      <c r="F96" s="3">
        <v>149923</v>
      </c>
      <c r="G96" s="3">
        <v>13315</v>
      </c>
      <c r="H96" s="3">
        <v>1463</v>
      </c>
      <c r="I96" s="4">
        <v>10768.8</v>
      </c>
      <c r="J96" s="4">
        <v>89544.3</v>
      </c>
      <c r="K96" s="3">
        <v>1298</v>
      </c>
      <c r="L96" s="2" t="s">
        <v>2539</v>
      </c>
      <c r="M96" s="2" t="s">
        <v>2524</v>
      </c>
      <c r="N96" s="6">
        <f t="shared" si="4"/>
        <v>1</v>
      </c>
      <c r="O96" t="str">
        <f>IF(Tabla_control[[#This Row],[Control_duplicados]]&gt;1,"Duplicado","Unico")</f>
        <v>Unico</v>
      </c>
      <c r="P96" t="str">
        <f t="shared" si="5"/>
        <v>OK</v>
      </c>
      <c r="Q96" t="str">
        <f t="shared" si="6"/>
        <v>OK</v>
      </c>
      <c r="R96" t="str">
        <f t="shared" si="7"/>
        <v>OK</v>
      </c>
    </row>
    <row r="97" spans="1:18" x14ac:dyDescent="0.3">
      <c r="A97" s="1">
        <v>45888</v>
      </c>
      <c r="B97" s="2" t="s">
        <v>2618</v>
      </c>
      <c r="C97" s="2" t="s">
        <v>2521</v>
      </c>
      <c r="D97" s="2" t="s">
        <v>2531</v>
      </c>
      <c r="E97" s="2" t="s">
        <v>2517</v>
      </c>
      <c r="F97" s="3">
        <v>153656</v>
      </c>
      <c r="G97" s="3">
        <v>6271</v>
      </c>
      <c r="H97" s="3">
        <v>500</v>
      </c>
      <c r="I97" s="4">
        <v>12777.65</v>
      </c>
      <c r="J97" s="4">
        <v>13674.92</v>
      </c>
      <c r="K97" s="3">
        <v>260</v>
      </c>
      <c r="L97" s="2" t="s">
        <v>2536</v>
      </c>
      <c r="M97" s="2" t="s">
        <v>2526</v>
      </c>
      <c r="N97" s="6">
        <f t="shared" si="4"/>
        <v>1</v>
      </c>
      <c r="O97" t="str">
        <f>IF(Tabla_control[[#This Row],[Control_duplicados]]&gt;1,"Duplicado","Unico")</f>
        <v>Unico</v>
      </c>
      <c r="P97" t="str">
        <f t="shared" si="5"/>
        <v>OK</v>
      </c>
      <c r="Q97" t="str">
        <f t="shared" si="6"/>
        <v>OK</v>
      </c>
      <c r="R97" t="str">
        <f t="shared" si="7"/>
        <v>OK</v>
      </c>
    </row>
    <row r="98" spans="1:18" x14ac:dyDescent="0.3">
      <c r="A98" s="1">
        <v>45826</v>
      </c>
      <c r="B98" s="2" t="s">
        <v>2626</v>
      </c>
      <c r="C98" s="2" t="s">
        <v>2527</v>
      </c>
      <c r="D98" s="2" t="s">
        <v>2528</v>
      </c>
      <c r="E98" s="2" t="s">
        <v>2517</v>
      </c>
      <c r="F98" s="3">
        <v>50750</v>
      </c>
      <c r="G98" s="3">
        <v>742</v>
      </c>
      <c r="H98" s="3">
        <v>33</v>
      </c>
      <c r="I98" s="4">
        <v>121.99</v>
      </c>
      <c r="J98" s="4">
        <v>1482.78</v>
      </c>
      <c r="K98" s="3">
        <v>22</v>
      </c>
      <c r="L98" s="2" t="s">
        <v>2539</v>
      </c>
      <c r="M98" s="2" t="s">
        <v>2546</v>
      </c>
      <c r="N98" s="6">
        <f t="shared" si="4"/>
        <v>1</v>
      </c>
      <c r="O98" t="str">
        <f>IF(Tabla_control[[#This Row],[Control_duplicados]]&gt;1,"Duplicado","Unico")</f>
        <v>Unico</v>
      </c>
      <c r="P98" t="str">
        <f t="shared" si="5"/>
        <v>OK</v>
      </c>
      <c r="Q98" t="str">
        <f t="shared" si="6"/>
        <v>OK</v>
      </c>
      <c r="R98" t="str">
        <f t="shared" si="7"/>
        <v>OK</v>
      </c>
    </row>
    <row r="99" spans="1:18" x14ac:dyDescent="0.3">
      <c r="A99" s="1">
        <v>45854</v>
      </c>
      <c r="B99" s="2" t="s">
        <v>2618</v>
      </c>
      <c r="C99" s="2" t="s">
        <v>2521</v>
      </c>
      <c r="D99" s="2" t="s">
        <v>2531</v>
      </c>
      <c r="E99" s="2" t="s">
        <v>2529</v>
      </c>
      <c r="F99" s="3">
        <v>14125</v>
      </c>
      <c r="G99" s="3">
        <v>603</v>
      </c>
      <c r="H99" s="3">
        <v>7</v>
      </c>
      <c r="I99" s="4">
        <v>544.15</v>
      </c>
      <c r="J99" s="4">
        <v>785.17</v>
      </c>
      <c r="K99" s="3">
        <v>5</v>
      </c>
      <c r="L99" s="2" t="s">
        <v>2518</v>
      </c>
      <c r="M99" s="2" t="s">
        <v>2526</v>
      </c>
      <c r="N99" s="6">
        <f t="shared" si="4"/>
        <v>1</v>
      </c>
      <c r="O99" t="str">
        <f>IF(Tabla_control[[#This Row],[Control_duplicados]]&gt;1,"Duplicado","Unico")</f>
        <v>Unico</v>
      </c>
      <c r="P99" t="str">
        <f t="shared" si="5"/>
        <v>OK</v>
      </c>
      <c r="Q99" t="str">
        <f t="shared" si="6"/>
        <v>OK</v>
      </c>
      <c r="R99" t="str">
        <f t="shared" si="7"/>
        <v>OK</v>
      </c>
    </row>
    <row r="100" spans="1:18" x14ac:dyDescent="0.3">
      <c r="A100" s="1">
        <v>45930</v>
      </c>
      <c r="B100" s="2" t="s">
        <v>2625</v>
      </c>
      <c r="C100" s="2" t="s">
        <v>2533</v>
      </c>
      <c r="D100" s="2" t="s">
        <v>2528</v>
      </c>
      <c r="E100" s="2" t="s">
        <v>2517</v>
      </c>
      <c r="F100" s="3">
        <v>4605</v>
      </c>
      <c r="G100" s="3">
        <v>133</v>
      </c>
      <c r="H100" s="3">
        <v>16</v>
      </c>
      <c r="I100" s="4">
        <v>71.819999999999993</v>
      </c>
      <c r="J100" s="4">
        <v>2255.3200000000002</v>
      </c>
      <c r="K100" s="3">
        <v>10</v>
      </c>
      <c r="L100" s="2" t="s">
        <v>2539</v>
      </c>
      <c r="M100" s="2" t="s">
        <v>2524</v>
      </c>
      <c r="N100" s="6">
        <f t="shared" si="4"/>
        <v>1</v>
      </c>
      <c r="O100" t="str">
        <f>IF(Tabla_control[[#This Row],[Control_duplicados]]&gt;1,"Duplicado","Unico")</f>
        <v>Unico</v>
      </c>
      <c r="P100" t="str">
        <f t="shared" si="5"/>
        <v>OK</v>
      </c>
      <c r="Q100" t="str">
        <f t="shared" si="6"/>
        <v>OK</v>
      </c>
      <c r="R100" t="str">
        <f t="shared" si="7"/>
        <v>OK</v>
      </c>
    </row>
    <row r="101" spans="1:18" x14ac:dyDescent="0.3">
      <c r="A101" s="1">
        <v>45922</v>
      </c>
      <c r="B101" s="2" t="s">
        <v>2641</v>
      </c>
      <c r="C101" s="2" t="s">
        <v>2527</v>
      </c>
      <c r="D101" s="2" t="s">
        <v>2528</v>
      </c>
      <c r="E101" s="2" t="s">
        <v>2529</v>
      </c>
      <c r="F101" s="3">
        <v>110457</v>
      </c>
      <c r="G101" s="3">
        <v>2756</v>
      </c>
      <c r="H101" s="3">
        <v>71</v>
      </c>
      <c r="I101" s="4">
        <v>3572.7</v>
      </c>
      <c r="J101" s="4">
        <v>10415.200000000001</v>
      </c>
      <c r="K101" s="3">
        <v>38</v>
      </c>
      <c r="L101" s="2" t="s">
        <v>2536</v>
      </c>
      <c r="M101" s="2" t="s">
        <v>2537</v>
      </c>
      <c r="N101" s="6">
        <f t="shared" si="4"/>
        <v>1</v>
      </c>
      <c r="O101" t="str">
        <f>IF(Tabla_control[[#This Row],[Control_duplicados]]&gt;1,"Duplicado","Unico")</f>
        <v>Unico</v>
      </c>
      <c r="P101" t="str">
        <f t="shared" si="5"/>
        <v>OK</v>
      </c>
      <c r="Q101" t="str">
        <f t="shared" si="6"/>
        <v>OK</v>
      </c>
      <c r="R101" t="str">
        <f t="shared" si="7"/>
        <v>OK</v>
      </c>
    </row>
    <row r="102" spans="1:18" x14ac:dyDescent="0.3">
      <c r="A102" s="1">
        <v>46012</v>
      </c>
      <c r="B102" s="2" t="s">
        <v>2616</v>
      </c>
      <c r="C102" s="2" t="s">
        <v>2515</v>
      </c>
      <c r="D102" s="2" t="s">
        <v>2522</v>
      </c>
      <c r="E102" s="2" t="s">
        <v>2517</v>
      </c>
      <c r="F102" s="3">
        <v>9726</v>
      </c>
      <c r="G102" s="3">
        <v>296</v>
      </c>
      <c r="H102" s="3">
        <v>26</v>
      </c>
      <c r="I102" s="4">
        <v>102.51</v>
      </c>
      <c r="J102" s="4">
        <v>2620.52</v>
      </c>
      <c r="K102" s="3">
        <v>22</v>
      </c>
      <c r="L102" s="2" t="s">
        <v>2536</v>
      </c>
      <c r="M102" s="2" t="s">
        <v>2526</v>
      </c>
      <c r="N102" s="6">
        <f t="shared" si="4"/>
        <v>1</v>
      </c>
      <c r="O102" t="str">
        <f>IF(Tabla_control[[#This Row],[Control_duplicados]]&gt;1,"Duplicado","Unico")</f>
        <v>Unico</v>
      </c>
      <c r="P102" t="str">
        <f t="shared" si="5"/>
        <v>OK</v>
      </c>
      <c r="Q102" t="str">
        <f t="shared" si="6"/>
        <v>OK</v>
      </c>
      <c r="R102" t="str">
        <f t="shared" si="7"/>
        <v>OK</v>
      </c>
    </row>
    <row r="103" spans="1:18" x14ac:dyDescent="0.3">
      <c r="A103" s="1">
        <v>45672</v>
      </c>
      <c r="B103" s="2" t="s">
        <v>2634</v>
      </c>
      <c r="C103" s="2" t="s">
        <v>2541</v>
      </c>
      <c r="D103" s="2" t="s">
        <v>2528</v>
      </c>
      <c r="E103" s="2" t="s">
        <v>2517</v>
      </c>
      <c r="F103" s="3">
        <v>164689</v>
      </c>
      <c r="G103" s="3">
        <v>8202</v>
      </c>
      <c r="H103" s="3">
        <v>215</v>
      </c>
      <c r="I103" s="4">
        <v>17165.28</v>
      </c>
      <c r="J103" s="4">
        <v>9987.1</v>
      </c>
      <c r="K103" s="3">
        <v>156</v>
      </c>
      <c r="L103" s="2" t="s">
        <v>2539</v>
      </c>
      <c r="M103" s="2" t="s">
        <v>2524</v>
      </c>
      <c r="N103" s="6">
        <f t="shared" si="4"/>
        <v>1</v>
      </c>
      <c r="O103" t="str">
        <f>IF(Tabla_control[[#This Row],[Control_duplicados]]&gt;1,"Duplicado","Unico")</f>
        <v>Unico</v>
      </c>
      <c r="P103" t="str">
        <f t="shared" si="5"/>
        <v>OK</v>
      </c>
      <c r="Q103" t="str">
        <f t="shared" si="6"/>
        <v>OK</v>
      </c>
      <c r="R103" t="str">
        <f t="shared" si="7"/>
        <v>OK</v>
      </c>
    </row>
    <row r="104" spans="1:18" x14ac:dyDescent="0.3">
      <c r="A104" s="1">
        <v>45969</v>
      </c>
      <c r="B104" s="2" t="s">
        <v>2624</v>
      </c>
      <c r="C104" s="2" t="s">
        <v>2515</v>
      </c>
      <c r="D104" s="2" t="s">
        <v>2525</v>
      </c>
      <c r="E104" s="2" t="s">
        <v>2517</v>
      </c>
      <c r="F104" s="3">
        <v>24391</v>
      </c>
      <c r="G104" s="3">
        <v>1360</v>
      </c>
      <c r="H104" s="3">
        <v>179</v>
      </c>
      <c r="I104" s="4">
        <v>2162.02</v>
      </c>
      <c r="J104" s="4">
        <v>9403.73</v>
      </c>
      <c r="K104" s="3">
        <v>102</v>
      </c>
      <c r="L104" s="2" t="s">
        <v>2539</v>
      </c>
      <c r="M104" s="2" t="s">
        <v>2519</v>
      </c>
      <c r="N104" s="6">
        <f t="shared" si="4"/>
        <v>1</v>
      </c>
      <c r="O104" t="str">
        <f>IF(Tabla_control[[#This Row],[Control_duplicados]]&gt;1,"Duplicado","Unico")</f>
        <v>Unico</v>
      </c>
      <c r="P104" t="str">
        <f t="shared" si="5"/>
        <v>OK</v>
      </c>
      <c r="Q104" t="str">
        <f t="shared" si="6"/>
        <v>OK</v>
      </c>
      <c r="R104" t="str">
        <f t="shared" si="7"/>
        <v>OK</v>
      </c>
    </row>
    <row r="105" spans="1:18" x14ac:dyDescent="0.3">
      <c r="A105" s="1">
        <v>46008</v>
      </c>
      <c r="B105" s="2" t="s">
        <v>2616</v>
      </c>
      <c r="C105" s="2" t="s">
        <v>2527</v>
      </c>
      <c r="D105" s="2" t="s">
        <v>2516</v>
      </c>
      <c r="E105" s="2" t="s">
        <v>2517</v>
      </c>
      <c r="F105" s="3">
        <v>150402</v>
      </c>
      <c r="G105" s="3">
        <v>7857</v>
      </c>
      <c r="H105" s="3">
        <v>646</v>
      </c>
      <c r="I105" s="4">
        <v>8959.44</v>
      </c>
      <c r="J105" s="4">
        <v>13290.32</v>
      </c>
      <c r="K105" s="3">
        <v>314</v>
      </c>
      <c r="L105" s="2" t="s">
        <v>2523</v>
      </c>
      <c r="M105" s="2" t="s">
        <v>2524</v>
      </c>
      <c r="N105" s="6">
        <f t="shared" si="4"/>
        <v>1</v>
      </c>
      <c r="O105" t="str">
        <f>IF(Tabla_control[[#This Row],[Control_duplicados]]&gt;1,"Duplicado","Unico")</f>
        <v>Unico</v>
      </c>
      <c r="P105" t="str">
        <f t="shared" si="5"/>
        <v>OK</v>
      </c>
      <c r="Q105" t="str">
        <f t="shared" si="6"/>
        <v>OK</v>
      </c>
      <c r="R105" t="str">
        <f t="shared" si="7"/>
        <v>OK</v>
      </c>
    </row>
    <row r="106" spans="1:18" x14ac:dyDescent="0.3">
      <c r="A106" s="1">
        <v>45801</v>
      </c>
      <c r="B106" s="2" t="s">
        <v>2642</v>
      </c>
      <c r="C106" s="2" t="s">
        <v>2527</v>
      </c>
      <c r="D106" s="2" t="s">
        <v>2528</v>
      </c>
      <c r="E106" s="2" t="s">
        <v>2517</v>
      </c>
      <c r="F106" s="3">
        <v>58465</v>
      </c>
      <c r="G106" s="3">
        <v>354</v>
      </c>
      <c r="H106" s="3">
        <v>14</v>
      </c>
      <c r="I106" s="4">
        <v>204.68</v>
      </c>
      <c r="J106" s="4">
        <v>2616.19</v>
      </c>
      <c r="K106" s="3">
        <v>8</v>
      </c>
      <c r="L106" s="2" t="s">
        <v>2539</v>
      </c>
      <c r="M106" s="2" t="s">
        <v>2519</v>
      </c>
      <c r="N106" s="6">
        <f t="shared" si="4"/>
        <v>1</v>
      </c>
      <c r="O106" t="str">
        <f>IF(Tabla_control[[#This Row],[Control_duplicados]]&gt;1,"Duplicado","Unico")</f>
        <v>Unico</v>
      </c>
      <c r="P106" t="str">
        <f t="shared" si="5"/>
        <v>OK</v>
      </c>
      <c r="Q106" t="str">
        <f t="shared" si="6"/>
        <v>OK</v>
      </c>
      <c r="R106" t="str">
        <f t="shared" si="7"/>
        <v>OK</v>
      </c>
    </row>
    <row r="107" spans="1:18" x14ac:dyDescent="0.3">
      <c r="A107" s="1">
        <v>45705</v>
      </c>
      <c r="B107" s="2" t="s">
        <v>2618</v>
      </c>
      <c r="C107" s="2" t="s">
        <v>2533</v>
      </c>
      <c r="D107" s="2" t="s">
        <v>2525</v>
      </c>
      <c r="E107" s="2" t="s">
        <v>2534</v>
      </c>
      <c r="F107" s="3">
        <v>71713</v>
      </c>
      <c r="G107" s="3">
        <v>1171</v>
      </c>
      <c r="H107" s="3">
        <v>163</v>
      </c>
      <c r="I107" s="4">
        <v>946.06</v>
      </c>
      <c r="J107" s="4">
        <v>24678.32</v>
      </c>
      <c r="K107" s="3">
        <v>138</v>
      </c>
      <c r="L107" s="2" t="s">
        <v>2539</v>
      </c>
      <c r="M107" s="2" t="s">
        <v>2546</v>
      </c>
      <c r="N107" s="6">
        <f t="shared" si="4"/>
        <v>1</v>
      </c>
      <c r="O107" t="str">
        <f>IF(Tabla_control[[#This Row],[Control_duplicados]]&gt;1,"Duplicado","Unico")</f>
        <v>Unico</v>
      </c>
      <c r="P107" t="str">
        <f t="shared" si="5"/>
        <v>OK</v>
      </c>
      <c r="Q107" t="str">
        <f t="shared" si="6"/>
        <v>OK</v>
      </c>
      <c r="R107" t="str">
        <f t="shared" si="7"/>
        <v>OK</v>
      </c>
    </row>
    <row r="108" spans="1:18" x14ac:dyDescent="0.3">
      <c r="A108" s="1">
        <v>45823</v>
      </c>
      <c r="B108" s="2" t="s">
        <v>2615</v>
      </c>
      <c r="C108" s="2" t="s">
        <v>2543</v>
      </c>
      <c r="D108" s="2" t="s">
        <v>2522</v>
      </c>
      <c r="E108" s="2" t="s">
        <v>2534</v>
      </c>
      <c r="F108" s="3">
        <v>163297</v>
      </c>
      <c r="G108" s="3">
        <v>9413</v>
      </c>
      <c r="H108" s="3">
        <v>744</v>
      </c>
      <c r="I108" s="4">
        <v>8149.36</v>
      </c>
      <c r="J108" s="4">
        <v>37371.14</v>
      </c>
      <c r="K108" s="3">
        <v>559</v>
      </c>
      <c r="L108" s="2" t="s">
        <v>2523</v>
      </c>
      <c r="M108" s="2" t="s">
        <v>2524</v>
      </c>
      <c r="N108" s="6">
        <f t="shared" si="4"/>
        <v>1</v>
      </c>
      <c r="O108" t="str">
        <f>IF(Tabla_control[[#This Row],[Control_duplicados]]&gt;1,"Duplicado","Unico")</f>
        <v>Unico</v>
      </c>
      <c r="P108" t="str">
        <f t="shared" si="5"/>
        <v>OK</v>
      </c>
      <c r="Q108" t="str">
        <f t="shared" si="6"/>
        <v>OK</v>
      </c>
      <c r="R108" t="str">
        <f t="shared" si="7"/>
        <v>OK</v>
      </c>
    </row>
    <row r="109" spans="1:18" x14ac:dyDescent="0.3">
      <c r="A109" s="1">
        <v>45916</v>
      </c>
      <c r="B109" s="2" t="s">
        <v>2617</v>
      </c>
      <c r="C109" s="2" t="s">
        <v>2521</v>
      </c>
      <c r="D109" s="2" t="s">
        <v>2516</v>
      </c>
      <c r="E109" s="2" t="s">
        <v>2529</v>
      </c>
      <c r="F109" s="3">
        <v>126504</v>
      </c>
      <c r="G109" s="3">
        <v>7015</v>
      </c>
      <c r="H109" s="3">
        <v>797</v>
      </c>
      <c r="I109" s="4">
        <v>8333.2900000000009</v>
      </c>
      <c r="J109" s="4">
        <v>17445.59</v>
      </c>
      <c r="K109" s="3">
        <v>397</v>
      </c>
      <c r="L109" s="2" t="s">
        <v>2539</v>
      </c>
      <c r="M109" s="2" t="s">
        <v>2537</v>
      </c>
      <c r="N109" s="6">
        <f t="shared" si="4"/>
        <v>1</v>
      </c>
      <c r="O109" t="str">
        <f>IF(Tabla_control[[#This Row],[Control_duplicados]]&gt;1,"Duplicado","Unico")</f>
        <v>Unico</v>
      </c>
      <c r="P109" t="str">
        <f t="shared" si="5"/>
        <v>OK</v>
      </c>
      <c r="Q109" t="str">
        <f t="shared" si="6"/>
        <v>OK</v>
      </c>
      <c r="R109" t="str">
        <f t="shared" si="7"/>
        <v>OK</v>
      </c>
    </row>
    <row r="110" spans="1:18" x14ac:dyDescent="0.3">
      <c r="A110" s="1">
        <v>45940</v>
      </c>
      <c r="B110" s="2" t="s">
        <v>2631</v>
      </c>
      <c r="C110" s="2" t="s">
        <v>2533</v>
      </c>
      <c r="D110" s="2" t="s">
        <v>2516</v>
      </c>
      <c r="E110" s="2" t="s">
        <v>2517</v>
      </c>
      <c r="F110" s="3">
        <v>31074</v>
      </c>
      <c r="G110" s="3">
        <v>2691</v>
      </c>
      <c r="H110" s="3">
        <v>22</v>
      </c>
      <c r="I110" s="4">
        <v>598.20000000000005</v>
      </c>
      <c r="J110" s="4">
        <v>2082.5</v>
      </c>
      <c r="K110" s="3">
        <v>11</v>
      </c>
      <c r="L110" s="2" t="s">
        <v>2523</v>
      </c>
      <c r="M110" s="2" t="s">
        <v>2546</v>
      </c>
      <c r="N110" s="6">
        <f t="shared" si="4"/>
        <v>1</v>
      </c>
      <c r="O110" t="str">
        <f>IF(Tabla_control[[#This Row],[Control_duplicados]]&gt;1,"Duplicado","Unico")</f>
        <v>Unico</v>
      </c>
      <c r="P110" t="str">
        <f t="shared" si="5"/>
        <v>OK</v>
      </c>
      <c r="Q110" t="str">
        <f t="shared" si="6"/>
        <v>OK</v>
      </c>
      <c r="R110" t="str">
        <f t="shared" si="7"/>
        <v>OK</v>
      </c>
    </row>
    <row r="111" spans="1:18" x14ac:dyDescent="0.3">
      <c r="A111" s="1">
        <v>45769</v>
      </c>
      <c r="B111" s="2" t="s">
        <v>2622</v>
      </c>
      <c r="C111" s="2" t="s">
        <v>2515</v>
      </c>
      <c r="D111" s="2" t="s">
        <v>2528</v>
      </c>
      <c r="E111" s="2" t="s">
        <v>2534</v>
      </c>
      <c r="F111" s="3">
        <v>5691</v>
      </c>
      <c r="G111" s="3">
        <v>424</v>
      </c>
      <c r="H111" s="3">
        <v>56</v>
      </c>
      <c r="I111" s="4">
        <v>640.21</v>
      </c>
      <c r="J111" s="4">
        <v>9464.19</v>
      </c>
      <c r="K111" s="3">
        <v>30</v>
      </c>
      <c r="L111" s="2" t="s">
        <v>2523</v>
      </c>
      <c r="M111" s="2" t="s">
        <v>2537</v>
      </c>
      <c r="N111" s="6">
        <f t="shared" si="4"/>
        <v>1</v>
      </c>
      <c r="O111" t="str">
        <f>IF(Tabla_control[[#This Row],[Control_duplicados]]&gt;1,"Duplicado","Unico")</f>
        <v>Unico</v>
      </c>
      <c r="P111" t="str">
        <f t="shared" si="5"/>
        <v>OK</v>
      </c>
      <c r="Q111" t="str">
        <f t="shared" si="6"/>
        <v>OK</v>
      </c>
      <c r="R111" t="str">
        <f t="shared" si="7"/>
        <v>OK</v>
      </c>
    </row>
    <row r="112" spans="1:18" x14ac:dyDescent="0.3">
      <c r="A112" s="1">
        <v>45956</v>
      </c>
      <c r="B112" s="2" t="s">
        <v>2622</v>
      </c>
      <c r="C112" s="2" t="s">
        <v>2543</v>
      </c>
      <c r="D112" s="2" t="s">
        <v>2531</v>
      </c>
      <c r="E112" s="2" t="s">
        <v>2517</v>
      </c>
      <c r="F112" s="3">
        <v>102137</v>
      </c>
      <c r="G112" s="3">
        <v>5209</v>
      </c>
      <c r="H112" s="3">
        <v>416</v>
      </c>
      <c r="I112" s="4">
        <v>3330.71</v>
      </c>
      <c r="J112" s="4">
        <v>80667.89</v>
      </c>
      <c r="K112" s="3">
        <v>320</v>
      </c>
      <c r="L112" s="2" t="s">
        <v>2518</v>
      </c>
      <c r="M112" s="2" t="s">
        <v>2546</v>
      </c>
      <c r="N112" s="6">
        <f t="shared" si="4"/>
        <v>1</v>
      </c>
      <c r="O112" t="str">
        <f>IF(Tabla_control[[#This Row],[Control_duplicados]]&gt;1,"Duplicado","Unico")</f>
        <v>Unico</v>
      </c>
      <c r="P112" t="str">
        <f t="shared" si="5"/>
        <v>OK</v>
      </c>
      <c r="Q112" t="str">
        <f t="shared" si="6"/>
        <v>OK</v>
      </c>
      <c r="R112" t="str">
        <f t="shared" si="7"/>
        <v>OK</v>
      </c>
    </row>
    <row r="113" spans="1:18" x14ac:dyDescent="0.3">
      <c r="A113" s="1">
        <v>45998</v>
      </c>
      <c r="B113" s="2" t="s">
        <v>2622</v>
      </c>
      <c r="C113" s="2" t="s">
        <v>2515</v>
      </c>
      <c r="D113" s="2" t="s">
        <v>2522</v>
      </c>
      <c r="E113" s="2" t="s">
        <v>2529</v>
      </c>
      <c r="F113" s="3">
        <v>132147</v>
      </c>
      <c r="G113" s="3">
        <v>3443</v>
      </c>
      <c r="H113" s="3">
        <v>468</v>
      </c>
      <c r="I113" s="4">
        <v>3993.42</v>
      </c>
      <c r="J113" s="4">
        <v>84664.15</v>
      </c>
      <c r="K113" s="3">
        <v>312</v>
      </c>
      <c r="L113" s="2" t="s">
        <v>2536</v>
      </c>
      <c r="M113" s="2" t="s">
        <v>2537</v>
      </c>
      <c r="N113" s="6">
        <f t="shared" si="4"/>
        <v>1</v>
      </c>
      <c r="O113" t="str">
        <f>IF(Tabla_control[[#This Row],[Control_duplicados]]&gt;1,"Duplicado","Unico")</f>
        <v>Unico</v>
      </c>
      <c r="P113" t="str">
        <f t="shared" si="5"/>
        <v>OK</v>
      </c>
      <c r="Q113" t="str">
        <f t="shared" si="6"/>
        <v>OK</v>
      </c>
      <c r="R113" t="str">
        <f t="shared" si="7"/>
        <v>OK</v>
      </c>
    </row>
    <row r="114" spans="1:18" x14ac:dyDescent="0.3">
      <c r="A114" s="1">
        <v>45861</v>
      </c>
      <c r="B114" s="2" t="s">
        <v>2624</v>
      </c>
      <c r="C114" s="2" t="s">
        <v>2521</v>
      </c>
      <c r="D114" s="2" t="s">
        <v>2528</v>
      </c>
      <c r="E114" s="2" t="s">
        <v>2529</v>
      </c>
      <c r="F114" s="3">
        <v>133955</v>
      </c>
      <c r="G114" s="3">
        <v>3696</v>
      </c>
      <c r="H114" s="3">
        <v>153</v>
      </c>
      <c r="I114" s="4">
        <v>3680.78</v>
      </c>
      <c r="J114" s="4">
        <v>3128.82</v>
      </c>
      <c r="K114" s="3">
        <v>79</v>
      </c>
      <c r="L114" s="2" t="s">
        <v>2536</v>
      </c>
      <c r="M114" s="2" t="s">
        <v>2524</v>
      </c>
      <c r="N114" s="6">
        <f t="shared" si="4"/>
        <v>1</v>
      </c>
      <c r="O114" t="str">
        <f>IF(Tabla_control[[#This Row],[Control_duplicados]]&gt;1,"Duplicado","Unico")</f>
        <v>Unico</v>
      </c>
      <c r="P114" t="str">
        <f t="shared" si="5"/>
        <v>OK</v>
      </c>
      <c r="Q114" t="str">
        <f t="shared" si="6"/>
        <v>OK</v>
      </c>
      <c r="R114" t="str">
        <f t="shared" si="7"/>
        <v>OK</v>
      </c>
    </row>
    <row r="115" spans="1:18" x14ac:dyDescent="0.3">
      <c r="A115" s="1">
        <v>46018</v>
      </c>
      <c r="B115" s="2" t="s">
        <v>2616</v>
      </c>
      <c r="C115" s="2" t="s">
        <v>2533</v>
      </c>
      <c r="D115" s="2" t="s">
        <v>2528</v>
      </c>
      <c r="E115" s="2" t="s">
        <v>2517</v>
      </c>
      <c r="F115" s="3">
        <v>64939</v>
      </c>
      <c r="G115" s="3">
        <v>1976</v>
      </c>
      <c r="H115" s="3">
        <v>196</v>
      </c>
      <c r="I115" s="4">
        <v>3152.73</v>
      </c>
      <c r="J115" s="4">
        <v>26300.52</v>
      </c>
      <c r="K115" s="3">
        <v>151</v>
      </c>
      <c r="L115" s="2" t="s">
        <v>2518</v>
      </c>
      <c r="M115" s="2" t="s">
        <v>2524</v>
      </c>
      <c r="N115" s="6">
        <f t="shared" si="4"/>
        <v>1</v>
      </c>
      <c r="O115" t="str">
        <f>IF(Tabla_control[[#This Row],[Control_duplicados]]&gt;1,"Duplicado","Unico")</f>
        <v>Unico</v>
      </c>
      <c r="P115" t="str">
        <f t="shared" si="5"/>
        <v>OK</v>
      </c>
      <c r="Q115" t="str">
        <f t="shared" si="6"/>
        <v>OK</v>
      </c>
      <c r="R115" t="str">
        <f t="shared" si="7"/>
        <v>OK</v>
      </c>
    </row>
    <row r="116" spans="1:18" x14ac:dyDescent="0.3">
      <c r="A116" s="1">
        <v>45864</v>
      </c>
      <c r="B116" s="2" t="s">
        <v>2644</v>
      </c>
      <c r="C116" s="2" t="s">
        <v>2543</v>
      </c>
      <c r="D116" s="2" t="s">
        <v>2516</v>
      </c>
      <c r="E116" s="2" t="s">
        <v>2529</v>
      </c>
      <c r="F116" s="3">
        <v>114954</v>
      </c>
      <c r="G116" s="3">
        <v>5234</v>
      </c>
      <c r="H116" s="3">
        <v>528</v>
      </c>
      <c r="I116" s="4">
        <v>10691.29</v>
      </c>
      <c r="J116" s="4">
        <v>19430.849999999999</v>
      </c>
      <c r="K116" s="3">
        <v>406</v>
      </c>
      <c r="L116" s="2" t="s">
        <v>2536</v>
      </c>
      <c r="M116" s="2" t="s">
        <v>2546</v>
      </c>
      <c r="N116" s="6">
        <f t="shared" si="4"/>
        <v>1</v>
      </c>
      <c r="O116" t="str">
        <f>IF(Tabla_control[[#This Row],[Control_duplicados]]&gt;1,"Duplicado","Unico")</f>
        <v>Unico</v>
      </c>
      <c r="P116" t="str">
        <f t="shared" si="5"/>
        <v>OK</v>
      </c>
      <c r="Q116" t="str">
        <f t="shared" si="6"/>
        <v>OK</v>
      </c>
      <c r="R116" t="str">
        <f t="shared" si="7"/>
        <v>OK</v>
      </c>
    </row>
    <row r="117" spans="1:18" x14ac:dyDescent="0.3">
      <c r="A117" s="1">
        <v>45857</v>
      </c>
      <c r="B117" s="2" t="s">
        <v>2635</v>
      </c>
      <c r="C117" s="2" t="s">
        <v>2521</v>
      </c>
      <c r="D117" s="2" t="s">
        <v>2528</v>
      </c>
      <c r="E117" s="2" t="s">
        <v>2529</v>
      </c>
      <c r="F117" s="3">
        <v>87216</v>
      </c>
      <c r="G117" s="3">
        <v>2108</v>
      </c>
      <c r="H117" s="3">
        <v>210</v>
      </c>
      <c r="I117" s="4">
        <v>2454.09</v>
      </c>
      <c r="J117" s="4">
        <v>45379.1</v>
      </c>
      <c r="K117" s="3">
        <v>115</v>
      </c>
      <c r="L117" s="2" t="s">
        <v>2536</v>
      </c>
      <c r="M117" s="2" t="s">
        <v>2526</v>
      </c>
      <c r="N117" s="6">
        <f t="shared" si="4"/>
        <v>1</v>
      </c>
      <c r="O117" t="str">
        <f>IF(Tabla_control[[#This Row],[Control_duplicados]]&gt;1,"Duplicado","Unico")</f>
        <v>Unico</v>
      </c>
      <c r="P117" t="str">
        <f t="shared" si="5"/>
        <v>OK</v>
      </c>
      <c r="Q117" t="str">
        <f t="shared" si="6"/>
        <v>OK</v>
      </c>
      <c r="R117" t="str">
        <f t="shared" si="7"/>
        <v>OK</v>
      </c>
    </row>
    <row r="118" spans="1:18" x14ac:dyDescent="0.3">
      <c r="A118" s="1">
        <v>45960</v>
      </c>
      <c r="B118" s="2" t="s">
        <v>2632</v>
      </c>
      <c r="C118" s="2" t="s">
        <v>2515</v>
      </c>
      <c r="D118" s="2" t="s">
        <v>2528</v>
      </c>
      <c r="E118" s="2" t="s">
        <v>2517</v>
      </c>
      <c r="F118" s="3">
        <v>110960</v>
      </c>
      <c r="G118" s="3">
        <v>5601</v>
      </c>
      <c r="H118" s="3">
        <v>36</v>
      </c>
      <c r="I118" s="4">
        <v>1946.95</v>
      </c>
      <c r="J118" s="4">
        <v>1679.45</v>
      </c>
      <c r="K118" s="3">
        <v>21</v>
      </c>
      <c r="L118" s="2" t="s">
        <v>2539</v>
      </c>
      <c r="M118" s="2" t="s">
        <v>2546</v>
      </c>
      <c r="N118" s="6">
        <f t="shared" si="4"/>
        <v>1</v>
      </c>
      <c r="O118" t="str">
        <f>IF(Tabla_control[[#This Row],[Control_duplicados]]&gt;1,"Duplicado","Unico")</f>
        <v>Unico</v>
      </c>
      <c r="P118" t="str">
        <f t="shared" si="5"/>
        <v>OK</v>
      </c>
      <c r="Q118" t="str">
        <f t="shared" si="6"/>
        <v>OK</v>
      </c>
      <c r="R118" t="str">
        <f t="shared" si="7"/>
        <v>OK</v>
      </c>
    </row>
    <row r="119" spans="1:18" x14ac:dyDescent="0.3">
      <c r="A119" s="1">
        <v>45959</v>
      </c>
      <c r="B119" s="2" t="s">
        <v>2631</v>
      </c>
      <c r="C119" s="2" t="s">
        <v>2541</v>
      </c>
      <c r="D119" s="2" t="s">
        <v>2531</v>
      </c>
      <c r="E119" s="2" t="s">
        <v>2517</v>
      </c>
      <c r="F119" s="3">
        <v>116461</v>
      </c>
      <c r="G119" s="3">
        <v>2968</v>
      </c>
      <c r="H119" s="3">
        <v>241</v>
      </c>
      <c r="I119" s="4">
        <v>4277.7700000000004</v>
      </c>
      <c r="J119" s="4">
        <v>39297.040000000001</v>
      </c>
      <c r="K119" s="3">
        <v>188</v>
      </c>
      <c r="L119" s="2" t="s">
        <v>2518</v>
      </c>
      <c r="M119" s="2" t="s">
        <v>2519</v>
      </c>
      <c r="N119" s="6">
        <f t="shared" si="4"/>
        <v>1</v>
      </c>
      <c r="O119" t="str">
        <f>IF(Tabla_control[[#This Row],[Control_duplicados]]&gt;1,"Duplicado","Unico")</f>
        <v>Unico</v>
      </c>
      <c r="P119" t="str">
        <f t="shared" si="5"/>
        <v>OK</v>
      </c>
      <c r="Q119" t="str">
        <f t="shared" si="6"/>
        <v>OK</v>
      </c>
      <c r="R119" t="str">
        <f t="shared" si="7"/>
        <v>OK</v>
      </c>
    </row>
    <row r="120" spans="1:18" x14ac:dyDescent="0.3">
      <c r="A120" s="1">
        <v>45868</v>
      </c>
      <c r="B120" s="2" t="s">
        <v>2638</v>
      </c>
      <c r="C120" s="2" t="s">
        <v>2515</v>
      </c>
      <c r="D120" s="2" t="s">
        <v>2531</v>
      </c>
      <c r="E120" s="2" t="s">
        <v>2517</v>
      </c>
      <c r="F120" s="3">
        <v>135208</v>
      </c>
      <c r="G120" s="3">
        <v>1566</v>
      </c>
      <c r="H120" s="3">
        <v>197</v>
      </c>
      <c r="I120" s="4">
        <v>488.54</v>
      </c>
      <c r="J120" s="4">
        <v>28752.400000000001</v>
      </c>
      <c r="K120" s="3">
        <v>136</v>
      </c>
      <c r="L120" s="2" t="s">
        <v>2536</v>
      </c>
      <c r="M120" s="2" t="s">
        <v>2519</v>
      </c>
      <c r="N120" s="6">
        <f t="shared" si="4"/>
        <v>1</v>
      </c>
      <c r="O120" t="str">
        <f>IF(Tabla_control[[#This Row],[Control_duplicados]]&gt;1,"Duplicado","Unico")</f>
        <v>Unico</v>
      </c>
      <c r="P120" t="str">
        <f t="shared" si="5"/>
        <v>OK</v>
      </c>
      <c r="Q120" t="str">
        <f t="shared" si="6"/>
        <v>OK</v>
      </c>
      <c r="R120" t="str">
        <f t="shared" si="7"/>
        <v>OK</v>
      </c>
    </row>
    <row r="121" spans="1:18" x14ac:dyDescent="0.3">
      <c r="A121" s="1">
        <v>45982</v>
      </c>
      <c r="B121" s="2" t="s">
        <v>2631</v>
      </c>
      <c r="C121" s="2" t="s">
        <v>2533</v>
      </c>
      <c r="D121" s="2" t="s">
        <v>2528</v>
      </c>
      <c r="E121" s="2" t="s">
        <v>2529</v>
      </c>
      <c r="F121" s="3">
        <v>73777</v>
      </c>
      <c r="G121" s="3">
        <v>4368</v>
      </c>
      <c r="H121" s="3">
        <v>392</v>
      </c>
      <c r="I121" s="4">
        <v>2832.11</v>
      </c>
      <c r="J121" s="4">
        <v>44982.77</v>
      </c>
      <c r="K121" s="3">
        <v>352</v>
      </c>
      <c r="L121" s="2" t="s">
        <v>2523</v>
      </c>
      <c r="M121" s="2" t="s">
        <v>2546</v>
      </c>
      <c r="N121" s="6">
        <f t="shared" si="4"/>
        <v>1</v>
      </c>
      <c r="O121" t="str">
        <f>IF(Tabla_control[[#This Row],[Control_duplicados]]&gt;1,"Duplicado","Unico")</f>
        <v>Unico</v>
      </c>
      <c r="P121" t="str">
        <f t="shared" si="5"/>
        <v>OK</v>
      </c>
      <c r="Q121" t="str">
        <f t="shared" si="6"/>
        <v>OK</v>
      </c>
      <c r="R121" t="str">
        <f t="shared" si="7"/>
        <v>OK</v>
      </c>
    </row>
    <row r="122" spans="1:18" x14ac:dyDescent="0.3">
      <c r="A122" s="1">
        <v>45783</v>
      </c>
      <c r="B122" s="2" t="s">
        <v>2642</v>
      </c>
      <c r="C122" s="2" t="s">
        <v>2521</v>
      </c>
      <c r="D122" s="2" t="s">
        <v>2528</v>
      </c>
      <c r="E122" s="2" t="s">
        <v>2529</v>
      </c>
      <c r="F122" s="3">
        <v>4291</v>
      </c>
      <c r="G122" s="3">
        <v>45</v>
      </c>
      <c r="H122" s="3">
        <v>62</v>
      </c>
      <c r="I122" s="4">
        <v>24.22</v>
      </c>
      <c r="J122" s="4">
        <v>345.27</v>
      </c>
      <c r="K122" s="3">
        <v>3</v>
      </c>
      <c r="L122" s="2" t="s">
        <v>2536</v>
      </c>
      <c r="M122" s="2" t="s">
        <v>2537</v>
      </c>
      <c r="N122" s="6">
        <f t="shared" si="4"/>
        <v>1</v>
      </c>
      <c r="O122" t="str">
        <f>IF(Tabla_control[[#This Row],[Control_duplicados]]&gt;1,"Duplicado","Unico")</f>
        <v>Unico</v>
      </c>
      <c r="P122" t="str">
        <f t="shared" si="5"/>
        <v>OK</v>
      </c>
      <c r="Q122" t="str">
        <f t="shared" si="6"/>
        <v>OK</v>
      </c>
      <c r="R122" t="str">
        <f t="shared" si="7"/>
        <v>OK</v>
      </c>
    </row>
    <row r="123" spans="1:18" x14ac:dyDescent="0.3">
      <c r="A123" s="1">
        <v>45806</v>
      </c>
      <c r="B123" s="2" t="s">
        <v>2622</v>
      </c>
      <c r="C123" s="2" t="s">
        <v>2541</v>
      </c>
      <c r="D123" s="2" t="s">
        <v>2531</v>
      </c>
      <c r="E123" s="2" t="s">
        <v>2529</v>
      </c>
      <c r="F123" s="3">
        <v>113389</v>
      </c>
      <c r="G123" s="3">
        <v>8082</v>
      </c>
      <c r="H123" s="3">
        <v>55</v>
      </c>
      <c r="I123" s="4">
        <v>8745.5499999999993</v>
      </c>
      <c r="J123" s="4">
        <v>6590.93</v>
      </c>
      <c r="K123" s="3">
        <v>32</v>
      </c>
      <c r="L123" s="2" t="s">
        <v>2523</v>
      </c>
      <c r="M123" s="2" t="s">
        <v>2546</v>
      </c>
      <c r="N123" s="6">
        <f t="shared" si="4"/>
        <v>1</v>
      </c>
      <c r="O123" t="str">
        <f>IF(Tabla_control[[#This Row],[Control_duplicados]]&gt;1,"Duplicado","Unico")</f>
        <v>Unico</v>
      </c>
      <c r="P123" t="str">
        <f t="shared" si="5"/>
        <v>OK</v>
      </c>
      <c r="Q123" t="str">
        <f t="shared" si="6"/>
        <v>OK</v>
      </c>
      <c r="R123" t="str">
        <f t="shared" si="7"/>
        <v>OK</v>
      </c>
    </row>
    <row r="124" spans="1:18" x14ac:dyDescent="0.3">
      <c r="A124" s="1">
        <v>45781</v>
      </c>
      <c r="B124" s="2" t="s">
        <v>2644</v>
      </c>
      <c r="C124" s="2" t="s">
        <v>2543</v>
      </c>
      <c r="D124" s="2" t="s">
        <v>2522</v>
      </c>
      <c r="E124" s="2" t="s">
        <v>2529</v>
      </c>
      <c r="F124" s="3">
        <v>111620</v>
      </c>
      <c r="G124" s="3">
        <v>690</v>
      </c>
      <c r="H124" s="3">
        <v>41</v>
      </c>
      <c r="I124" s="4">
        <v>603.36</v>
      </c>
      <c r="J124" s="4">
        <v>6363.86</v>
      </c>
      <c r="K124" s="3">
        <v>23</v>
      </c>
      <c r="L124" s="2" t="s">
        <v>2536</v>
      </c>
      <c r="M124" s="2" t="s">
        <v>2524</v>
      </c>
      <c r="N124" s="6">
        <f t="shared" si="4"/>
        <v>1</v>
      </c>
      <c r="O124" t="str">
        <f>IF(Tabla_control[[#This Row],[Control_duplicados]]&gt;1,"Duplicado","Unico")</f>
        <v>Unico</v>
      </c>
      <c r="P124" t="str">
        <f t="shared" si="5"/>
        <v>OK</v>
      </c>
      <c r="Q124" t="str">
        <f t="shared" si="6"/>
        <v>OK</v>
      </c>
      <c r="R124" t="str">
        <f t="shared" si="7"/>
        <v>OK</v>
      </c>
    </row>
    <row r="125" spans="1:18" x14ac:dyDescent="0.3">
      <c r="A125" s="1">
        <v>45775</v>
      </c>
      <c r="B125" s="2" t="s">
        <v>2624</v>
      </c>
      <c r="C125" s="2" t="s">
        <v>2515</v>
      </c>
      <c r="D125" s="2" t="s">
        <v>2531</v>
      </c>
      <c r="E125" s="2" t="s">
        <v>2529</v>
      </c>
      <c r="F125" s="3">
        <v>152550</v>
      </c>
      <c r="G125" s="3">
        <v>9882</v>
      </c>
      <c r="H125" s="3">
        <v>276</v>
      </c>
      <c r="I125" s="4">
        <v>1384.37</v>
      </c>
      <c r="J125" s="4">
        <v>21403.25</v>
      </c>
      <c r="K125" s="3">
        <v>242</v>
      </c>
      <c r="L125" s="2" t="s">
        <v>2518</v>
      </c>
      <c r="M125" s="2" t="s">
        <v>2537</v>
      </c>
      <c r="N125" s="6">
        <f t="shared" si="4"/>
        <v>1</v>
      </c>
      <c r="O125" t="str">
        <f>IF(Tabla_control[[#This Row],[Control_duplicados]]&gt;1,"Duplicado","Unico")</f>
        <v>Unico</v>
      </c>
      <c r="P125" t="str">
        <f t="shared" si="5"/>
        <v>OK</v>
      </c>
      <c r="Q125" t="str">
        <f t="shared" si="6"/>
        <v>OK</v>
      </c>
      <c r="R125" t="str">
        <f t="shared" si="7"/>
        <v>OK</v>
      </c>
    </row>
    <row r="126" spans="1:18" x14ac:dyDescent="0.3">
      <c r="A126" s="1">
        <v>45698</v>
      </c>
      <c r="B126" s="2" t="s">
        <v>2619</v>
      </c>
      <c r="C126" s="2" t="s">
        <v>2515</v>
      </c>
      <c r="D126" s="2" t="s">
        <v>2525</v>
      </c>
      <c r="E126" s="2" t="s">
        <v>2534</v>
      </c>
      <c r="F126" s="3">
        <v>112119</v>
      </c>
      <c r="G126" s="3">
        <v>6380</v>
      </c>
      <c r="H126" s="3">
        <v>601</v>
      </c>
      <c r="I126" s="4">
        <v>1706.79</v>
      </c>
      <c r="J126" s="4">
        <v>54102.23</v>
      </c>
      <c r="K126" s="3">
        <v>475</v>
      </c>
      <c r="L126" s="2" t="s">
        <v>2518</v>
      </c>
      <c r="M126" s="2" t="s">
        <v>2526</v>
      </c>
      <c r="N126" s="6">
        <f t="shared" si="4"/>
        <v>1</v>
      </c>
      <c r="O126" t="str">
        <f>IF(Tabla_control[[#This Row],[Control_duplicados]]&gt;1,"Duplicado","Unico")</f>
        <v>Unico</v>
      </c>
      <c r="P126" t="str">
        <f t="shared" si="5"/>
        <v>OK</v>
      </c>
      <c r="Q126" t="str">
        <f t="shared" si="6"/>
        <v>OK</v>
      </c>
      <c r="R126" t="str">
        <f t="shared" si="7"/>
        <v>OK</v>
      </c>
    </row>
    <row r="127" spans="1:18" x14ac:dyDescent="0.3">
      <c r="A127" s="1">
        <v>45803</v>
      </c>
      <c r="B127" s="2" t="s">
        <v>2625</v>
      </c>
      <c r="C127" s="2" t="s">
        <v>2543</v>
      </c>
      <c r="D127" s="2" t="s">
        <v>2528</v>
      </c>
      <c r="E127" s="2" t="s">
        <v>2517</v>
      </c>
      <c r="F127" s="3">
        <v>63469</v>
      </c>
      <c r="G127" s="3">
        <v>4281</v>
      </c>
      <c r="H127" s="3">
        <v>215</v>
      </c>
      <c r="I127" s="4">
        <v>5713.43</v>
      </c>
      <c r="J127" s="4">
        <v>27455.77</v>
      </c>
      <c r="K127" s="3">
        <v>160</v>
      </c>
      <c r="L127" s="2" t="s">
        <v>2539</v>
      </c>
      <c r="M127" s="2" t="s">
        <v>2519</v>
      </c>
      <c r="N127" s="6">
        <f t="shared" si="4"/>
        <v>1</v>
      </c>
      <c r="O127" t="str">
        <f>IF(Tabla_control[[#This Row],[Control_duplicados]]&gt;1,"Duplicado","Unico")</f>
        <v>Unico</v>
      </c>
      <c r="P127" t="str">
        <f t="shared" si="5"/>
        <v>OK</v>
      </c>
      <c r="Q127" t="str">
        <f t="shared" si="6"/>
        <v>OK</v>
      </c>
      <c r="R127" t="str">
        <f t="shared" si="7"/>
        <v>OK</v>
      </c>
    </row>
    <row r="128" spans="1:18" x14ac:dyDescent="0.3">
      <c r="A128" s="1">
        <v>45710</v>
      </c>
      <c r="B128" s="2" t="s">
        <v>2640</v>
      </c>
      <c r="C128" s="2" t="s">
        <v>2521</v>
      </c>
      <c r="D128" s="2" t="s">
        <v>2528</v>
      </c>
      <c r="E128" s="2" t="s">
        <v>2517</v>
      </c>
      <c r="F128" s="3">
        <v>147884</v>
      </c>
      <c r="G128" s="3">
        <v>3787</v>
      </c>
      <c r="H128" s="3">
        <v>390</v>
      </c>
      <c r="I128" s="4">
        <v>6465.2</v>
      </c>
      <c r="J128" s="4">
        <v>66488.03</v>
      </c>
      <c r="K128" s="3">
        <v>176</v>
      </c>
      <c r="L128" s="2" t="s">
        <v>2518</v>
      </c>
      <c r="M128" s="2" t="s">
        <v>2524</v>
      </c>
      <c r="N128" s="6">
        <f t="shared" si="4"/>
        <v>1</v>
      </c>
      <c r="O128" t="str">
        <f>IF(Tabla_control[[#This Row],[Control_duplicados]]&gt;1,"Duplicado","Unico")</f>
        <v>Unico</v>
      </c>
      <c r="P128" t="str">
        <f t="shared" si="5"/>
        <v>OK</v>
      </c>
      <c r="Q128" t="str">
        <f t="shared" si="6"/>
        <v>OK</v>
      </c>
      <c r="R128" t="str">
        <f t="shared" si="7"/>
        <v>OK</v>
      </c>
    </row>
    <row r="129" spans="1:18" x14ac:dyDescent="0.3">
      <c r="A129" s="1">
        <v>46008</v>
      </c>
      <c r="B129" s="2" t="s">
        <v>2621</v>
      </c>
      <c r="C129" s="2" t="s">
        <v>2527</v>
      </c>
      <c r="D129" s="2" t="s">
        <v>2522</v>
      </c>
      <c r="E129" s="2" t="s">
        <v>2517</v>
      </c>
      <c r="F129" s="3">
        <v>133022</v>
      </c>
      <c r="G129" s="3">
        <v>10526</v>
      </c>
      <c r="H129" s="3">
        <v>1091</v>
      </c>
      <c r="I129" s="4">
        <v>1592.72</v>
      </c>
      <c r="J129" s="4">
        <v>21694.43</v>
      </c>
      <c r="K129" s="3">
        <v>846</v>
      </c>
      <c r="L129" s="2" t="s">
        <v>2539</v>
      </c>
      <c r="M129" s="2" t="s">
        <v>2546</v>
      </c>
      <c r="N129" s="6">
        <f t="shared" si="4"/>
        <v>1</v>
      </c>
      <c r="O129" t="str">
        <f>IF(Tabla_control[[#This Row],[Control_duplicados]]&gt;1,"Duplicado","Unico")</f>
        <v>Unico</v>
      </c>
      <c r="P129" t="str">
        <f t="shared" si="5"/>
        <v>OK</v>
      </c>
      <c r="Q129" t="str">
        <f t="shared" si="6"/>
        <v>OK</v>
      </c>
      <c r="R129" t="str">
        <f t="shared" si="7"/>
        <v>OK</v>
      </c>
    </row>
    <row r="130" spans="1:18" x14ac:dyDescent="0.3">
      <c r="A130" s="1">
        <v>46019</v>
      </c>
      <c r="B130" s="2" t="s">
        <v>2625</v>
      </c>
      <c r="C130" s="2" t="s">
        <v>2533</v>
      </c>
      <c r="D130" s="2" t="s">
        <v>2516</v>
      </c>
      <c r="E130" s="2" t="s">
        <v>2517</v>
      </c>
      <c r="F130" s="3">
        <v>100094</v>
      </c>
      <c r="G130" s="3">
        <v>1969</v>
      </c>
      <c r="H130" s="3">
        <v>134</v>
      </c>
      <c r="I130" s="4">
        <v>2790.29</v>
      </c>
      <c r="J130" s="4">
        <v>23430.25</v>
      </c>
      <c r="K130" s="3">
        <v>106</v>
      </c>
      <c r="L130" s="2" t="s">
        <v>2518</v>
      </c>
      <c r="M130" s="2" t="s">
        <v>2524</v>
      </c>
      <c r="N130" s="6">
        <f t="shared" ref="N130:N193" si="8">COUNTIFS($A$2:$A$2536,A130,$B$2:$B$2536,B130,$C$2:$C$2536,C130,$D$2:$D$2536,D130,$E$2:$E$2536,E130,$F$2:$F$2536,F130,$G$2:$G$2536,G130,$H$2:$H$2536,H130,$I$2:$I$2536,I130,$J$2:$J$2536,J130,$K$2:$K$2536,K130,$L$2:$L$2536,L130,$M$2:$M$2536,M130)</f>
        <v>2</v>
      </c>
      <c r="O130" t="str">
        <f>IF(Tabla_control[[#This Row],[Control_duplicados]]&gt;1,"Duplicado","Unico")</f>
        <v>Duplicado</v>
      </c>
      <c r="P130" t="str">
        <f t="shared" ref="P130:P193" si="9">IF(OR(I130="",I130&lt;0),"ERROR","OK")</f>
        <v>OK</v>
      </c>
      <c r="Q130" t="str">
        <f t="shared" ref="Q130:Q193" si="10">IF(H130&gt;F130,"ERROR","OK")</f>
        <v>OK</v>
      </c>
      <c r="R130" t="str">
        <f t="shared" ref="R130:R193" si="11">IF(K130&gt;H130,"ERROR","OK")</f>
        <v>OK</v>
      </c>
    </row>
    <row r="131" spans="1:18" x14ac:dyDescent="0.3">
      <c r="A131" s="1">
        <v>45935</v>
      </c>
      <c r="B131" s="2" t="s">
        <v>2628</v>
      </c>
      <c r="C131" s="2" t="s">
        <v>2645</v>
      </c>
      <c r="D131" s="2" t="s">
        <v>2522</v>
      </c>
      <c r="E131" s="2" t="s">
        <v>2529</v>
      </c>
      <c r="F131" s="3">
        <v>103365</v>
      </c>
      <c r="G131" s="3">
        <v>6169</v>
      </c>
      <c r="H131" s="3">
        <v>521</v>
      </c>
      <c r="I131" s="4">
        <v>12257.09</v>
      </c>
      <c r="J131" s="4">
        <v>70918.399999999994</v>
      </c>
      <c r="K131" s="3">
        <v>364</v>
      </c>
      <c r="L131" s="2" t="s">
        <v>2536</v>
      </c>
      <c r="M131" s="2" t="s">
        <v>2526</v>
      </c>
      <c r="N131" s="6">
        <f t="shared" si="8"/>
        <v>1</v>
      </c>
      <c r="O131" t="str">
        <f>IF(Tabla_control[[#This Row],[Control_duplicados]]&gt;1,"Duplicado","Unico")</f>
        <v>Unico</v>
      </c>
      <c r="P131" t="str">
        <f t="shared" si="9"/>
        <v>OK</v>
      </c>
      <c r="Q131" t="str">
        <f t="shared" si="10"/>
        <v>OK</v>
      </c>
      <c r="R131" t="str">
        <f t="shared" si="11"/>
        <v>OK</v>
      </c>
    </row>
    <row r="132" spans="1:18" x14ac:dyDescent="0.3">
      <c r="A132" s="1">
        <v>45766</v>
      </c>
      <c r="B132" s="2" t="s">
        <v>2638</v>
      </c>
      <c r="C132" s="2" t="s">
        <v>2533</v>
      </c>
      <c r="D132" s="2" t="s">
        <v>2522</v>
      </c>
      <c r="E132" s="2" t="s">
        <v>2534</v>
      </c>
      <c r="F132" s="3">
        <v>31914</v>
      </c>
      <c r="G132" s="3">
        <v>856</v>
      </c>
      <c r="H132" s="3">
        <v>66</v>
      </c>
      <c r="I132" s="4">
        <v>892.79</v>
      </c>
      <c r="J132" s="4">
        <v>4847.6400000000003</v>
      </c>
      <c r="K132" s="3">
        <v>36</v>
      </c>
      <c r="L132" s="2" t="s">
        <v>2523</v>
      </c>
      <c r="M132" s="2" t="s">
        <v>2537</v>
      </c>
      <c r="N132" s="6">
        <f t="shared" si="8"/>
        <v>1</v>
      </c>
      <c r="O132" t="str">
        <f>IF(Tabla_control[[#This Row],[Control_duplicados]]&gt;1,"Duplicado","Unico")</f>
        <v>Unico</v>
      </c>
      <c r="P132" t="str">
        <f t="shared" si="9"/>
        <v>OK</v>
      </c>
      <c r="Q132" t="str">
        <f t="shared" si="10"/>
        <v>OK</v>
      </c>
      <c r="R132" t="str">
        <f t="shared" si="11"/>
        <v>OK</v>
      </c>
    </row>
    <row r="133" spans="1:18" x14ac:dyDescent="0.3">
      <c r="A133" s="1">
        <v>45665</v>
      </c>
      <c r="B133" s="2" t="s">
        <v>2621</v>
      </c>
      <c r="C133" s="2" t="s">
        <v>2533</v>
      </c>
      <c r="D133" s="2" t="s">
        <v>2525</v>
      </c>
      <c r="E133" s="2" t="s">
        <v>2529</v>
      </c>
      <c r="F133" s="3">
        <v>138819</v>
      </c>
      <c r="G133" s="3">
        <v>2950</v>
      </c>
      <c r="H133" s="3">
        <v>187</v>
      </c>
      <c r="I133" s="4">
        <v>4263.57</v>
      </c>
      <c r="J133" s="4">
        <v>24624.94</v>
      </c>
      <c r="K133" s="3">
        <v>89</v>
      </c>
      <c r="L133" s="2" t="s">
        <v>2539</v>
      </c>
      <c r="M133" s="2" t="s">
        <v>2524</v>
      </c>
      <c r="N133" s="6">
        <f t="shared" si="8"/>
        <v>1</v>
      </c>
      <c r="O133" t="str">
        <f>IF(Tabla_control[[#This Row],[Control_duplicados]]&gt;1,"Duplicado","Unico")</f>
        <v>Unico</v>
      </c>
      <c r="P133" t="str">
        <f t="shared" si="9"/>
        <v>OK</v>
      </c>
      <c r="Q133" t="str">
        <f t="shared" si="10"/>
        <v>OK</v>
      </c>
      <c r="R133" t="str">
        <f t="shared" si="11"/>
        <v>OK</v>
      </c>
    </row>
    <row r="134" spans="1:18" x14ac:dyDescent="0.3">
      <c r="A134" s="1">
        <v>45916</v>
      </c>
      <c r="B134" s="2" t="s">
        <v>2615</v>
      </c>
      <c r="C134" s="2" t="s">
        <v>2533</v>
      </c>
      <c r="D134" s="2" t="s">
        <v>2531</v>
      </c>
      <c r="E134" s="2" t="s">
        <v>2529</v>
      </c>
      <c r="F134" s="3">
        <v>36595</v>
      </c>
      <c r="G134" s="3">
        <v>1891</v>
      </c>
      <c r="H134" s="3">
        <v>109</v>
      </c>
      <c r="I134" s="4">
        <v>2139.31</v>
      </c>
      <c r="J134" s="4">
        <v>19247.150000000001</v>
      </c>
      <c r="K134" s="3">
        <v>79</v>
      </c>
      <c r="L134" s="2" t="s">
        <v>2536</v>
      </c>
      <c r="M134" s="2" t="s">
        <v>2546</v>
      </c>
      <c r="N134" s="6">
        <f t="shared" si="8"/>
        <v>1</v>
      </c>
      <c r="O134" t="str">
        <f>IF(Tabla_control[[#This Row],[Control_duplicados]]&gt;1,"Duplicado","Unico")</f>
        <v>Unico</v>
      </c>
      <c r="P134" t="str">
        <f t="shared" si="9"/>
        <v>OK</v>
      </c>
      <c r="Q134" t="str">
        <f t="shared" si="10"/>
        <v>OK</v>
      </c>
      <c r="R134" t="str">
        <f t="shared" si="11"/>
        <v>OK</v>
      </c>
    </row>
    <row r="135" spans="1:18" x14ac:dyDescent="0.3">
      <c r="A135" s="1">
        <v>45836</v>
      </c>
      <c r="B135" s="2" t="s">
        <v>2619</v>
      </c>
      <c r="C135" s="2" t="s">
        <v>2543</v>
      </c>
      <c r="D135" s="2" t="s">
        <v>2528</v>
      </c>
      <c r="E135" s="2" t="s">
        <v>2517</v>
      </c>
      <c r="F135" s="3">
        <v>164535</v>
      </c>
      <c r="G135" s="3">
        <v>3912</v>
      </c>
      <c r="H135" s="3">
        <v>539</v>
      </c>
      <c r="I135" s="4">
        <v>4300.55</v>
      </c>
      <c r="J135" s="4">
        <v>58327.65</v>
      </c>
      <c r="K135" s="3">
        <v>249</v>
      </c>
      <c r="L135" s="2" t="s">
        <v>2536</v>
      </c>
      <c r="M135" s="2" t="s">
        <v>2546</v>
      </c>
      <c r="N135" s="6">
        <f t="shared" si="8"/>
        <v>1</v>
      </c>
      <c r="O135" t="str">
        <f>IF(Tabla_control[[#This Row],[Control_duplicados]]&gt;1,"Duplicado","Unico")</f>
        <v>Unico</v>
      </c>
      <c r="P135" t="str">
        <f t="shared" si="9"/>
        <v>OK</v>
      </c>
      <c r="Q135" t="str">
        <f t="shared" si="10"/>
        <v>OK</v>
      </c>
      <c r="R135" t="str">
        <f t="shared" si="11"/>
        <v>OK</v>
      </c>
    </row>
    <row r="136" spans="1:18" x14ac:dyDescent="0.3">
      <c r="A136" s="1">
        <v>45870</v>
      </c>
      <c r="B136" s="2" t="s">
        <v>2636</v>
      </c>
      <c r="C136" s="2" t="s">
        <v>2521</v>
      </c>
      <c r="D136" s="2" t="s">
        <v>2528</v>
      </c>
      <c r="E136" s="2" t="s">
        <v>2517</v>
      </c>
      <c r="F136" s="3">
        <v>27241</v>
      </c>
      <c r="G136" s="3">
        <v>1316</v>
      </c>
      <c r="H136" s="3">
        <v>88</v>
      </c>
      <c r="I136" s="4">
        <v>664.57</v>
      </c>
      <c r="J136" s="4">
        <v>4930.3900000000003</v>
      </c>
      <c r="K136" s="3">
        <v>46</v>
      </c>
      <c r="L136" s="2" t="s">
        <v>2518</v>
      </c>
      <c r="M136" s="2" t="s">
        <v>2526</v>
      </c>
      <c r="N136" s="6">
        <f t="shared" si="8"/>
        <v>1</v>
      </c>
      <c r="O136" t="str">
        <f>IF(Tabla_control[[#This Row],[Control_duplicados]]&gt;1,"Duplicado","Unico")</f>
        <v>Unico</v>
      </c>
      <c r="P136" t="str">
        <f t="shared" si="9"/>
        <v>OK</v>
      </c>
      <c r="Q136" t="str">
        <f t="shared" si="10"/>
        <v>OK</v>
      </c>
      <c r="R136" t="str">
        <f t="shared" si="11"/>
        <v>OK</v>
      </c>
    </row>
    <row r="137" spans="1:18" x14ac:dyDescent="0.3">
      <c r="A137" s="1">
        <v>45805</v>
      </c>
      <c r="B137" s="2" t="s">
        <v>2638</v>
      </c>
      <c r="C137" s="2" t="s">
        <v>2521</v>
      </c>
      <c r="D137" s="2" t="s">
        <v>2528</v>
      </c>
      <c r="E137" s="2" t="s">
        <v>2517</v>
      </c>
      <c r="F137" s="3">
        <v>68241</v>
      </c>
      <c r="G137" s="3">
        <v>5400</v>
      </c>
      <c r="H137" s="3">
        <v>76</v>
      </c>
      <c r="I137" s="4">
        <v>5656.65</v>
      </c>
      <c r="J137" s="4">
        <v>7573.44</v>
      </c>
      <c r="K137" s="3">
        <v>55</v>
      </c>
      <c r="L137" s="2" t="s">
        <v>2523</v>
      </c>
      <c r="M137" s="2" t="s">
        <v>2537</v>
      </c>
      <c r="N137" s="6">
        <f t="shared" si="8"/>
        <v>1</v>
      </c>
      <c r="O137" t="str">
        <f>IF(Tabla_control[[#This Row],[Control_duplicados]]&gt;1,"Duplicado","Unico")</f>
        <v>Unico</v>
      </c>
      <c r="P137" t="str">
        <f t="shared" si="9"/>
        <v>OK</v>
      </c>
      <c r="Q137" t="str">
        <f t="shared" si="10"/>
        <v>OK</v>
      </c>
      <c r="R137" t="str">
        <f t="shared" si="11"/>
        <v>OK</v>
      </c>
    </row>
    <row r="138" spans="1:18" x14ac:dyDescent="0.3">
      <c r="A138" s="1">
        <v>45728</v>
      </c>
      <c r="B138" s="2" t="s">
        <v>2639</v>
      </c>
      <c r="C138" s="2" t="s">
        <v>2543</v>
      </c>
      <c r="D138" s="2" t="s">
        <v>2531</v>
      </c>
      <c r="E138" s="2" t="s">
        <v>2517</v>
      </c>
      <c r="F138" s="3">
        <v>116273</v>
      </c>
      <c r="G138" s="3">
        <v>7385</v>
      </c>
      <c r="H138" s="3">
        <v>510</v>
      </c>
      <c r="I138" s="4">
        <v>13188.13</v>
      </c>
      <c r="J138" s="4">
        <v>90766.58</v>
      </c>
      <c r="K138" s="3">
        <v>315</v>
      </c>
      <c r="L138" s="2" t="s">
        <v>2536</v>
      </c>
      <c r="M138" s="2" t="s">
        <v>2519</v>
      </c>
      <c r="N138" s="6">
        <f t="shared" si="8"/>
        <v>1</v>
      </c>
      <c r="O138" t="str">
        <f>IF(Tabla_control[[#This Row],[Control_duplicados]]&gt;1,"Duplicado","Unico")</f>
        <v>Unico</v>
      </c>
      <c r="P138" t="str">
        <f t="shared" si="9"/>
        <v>OK</v>
      </c>
      <c r="Q138" t="str">
        <f t="shared" si="10"/>
        <v>OK</v>
      </c>
      <c r="R138" t="str">
        <f t="shared" si="11"/>
        <v>OK</v>
      </c>
    </row>
    <row r="139" spans="1:18" x14ac:dyDescent="0.3">
      <c r="A139" s="1">
        <v>46005</v>
      </c>
      <c r="B139" s="2" t="s">
        <v>2635</v>
      </c>
      <c r="C139" s="2" t="s">
        <v>2527</v>
      </c>
      <c r="D139" s="2" t="s">
        <v>2516</v>
      </c>
      <c r="E139" s="2" t="s">
        <v>2517</v>
      </c>
      <c r="F139" s="3">
        <v>50511</v>
      </c>
      <c r="G139" s="3">
        <v>290</v>
      </c>
      <c r="H139" s="3">
        <v>34</v>
      </c>
      <c r="I139" s="4">
        <v>552.38</v>
      </c>
      <c r="J139" s="4">
        <v>3612.1</v>
      </c>
      <c r="K139" s="3">
        <v>30</v>
      </c>
      <c r="L139" s="2" t="s">
        <v>2523</v>
      </c>
      <c r="M139" s="2" t="s">
        <v>2537</v>
      </c>
      <c r="N139" s="6">
        <f t="shared" si="8"/>
        <v>1</v>
      </c>
      <c r="O139" t="str">
        <f>IF(Tabla_control[[#This Row],[Control_duplicados]]&gt;1,"Duplicado","Unico")</f>
        <v>Unico</v>
      </c>
      <c r="P139" t="str">
        <f t="shared" si="9"/>
        <v>OK</v>
      </c>
      <c r="Q139" t="str">
        <f t="shared" si="10"/>
        <v>OK</v>
      </c>
      <c r="R139" t="str">
        <f t="shared" si="11"/>
        <v>OK</v>
      </c>
    </row>
    <row r="140" spans="1:18" x14ac:dyDescent="0.3">
      <c r="A140" s="1">
        <v>45917</v>
      </c>
      <c r="B140" s="2" t="s">
        <v>2634</v>
      </c>
      <c r="C140" s="2" t="s">
        <v>2515</v>
      </c>
      <c r="D140" s="2" t="s">
        <v>2531</v>
      </c>
      <c r="E140" s="2" t="s">
        <v>2517</v>
      </c>
      <c r="F140" s="3">
        <v>82692</v>
      </c>
      <c r="G140" s="3">
        <v>6137</v>
      </c>
      <c r="H140" s="3">
        <v>337</v>
      </c>
      <c r="I140" s="4">
        <v>2284.7199999999998</v>
      </c>
      <c r="J140" s="4">
        <v>73323.360000000001</v>
      </c>
      <c r="K140" s="3">
        <v>266</v>
      </c>
      <c r="L140" s="2" t="s">
        <v>2518</v>
      </c>
      <c r="M140" s="2" t="s">
        <v>2526</v>
      </c>
      <c r="N140" s="6">
        <f t="shared" si="8"/>
        <v>1</v>
      </c>
      <c r="O140" t="str">
        <f>IF(Tabla_control[[#This Row],[Control_duplicados]]&gt;1,"Duplicado","Unico")</f>
        <v>Unico</v>
      </c>
      <c r="P140" t="str">
        <f t="shared" si="9"/>
        <v>OK</v>
      </c>
      <c r="Q140" t="str">
        <f t="shared" si="10"/>
        <v>OK</v>
      </c>
      <c r="R140" t="str">
        <f t="shared" si="11"/>
        <v>OK</v>
      </c>
    </row>
    <row r="141" spans="1:18" x14ac:dyDescent="0.3">
      <c r="A141" s="1">
        <v>45729</v>
      </c>
      <c r="B141" s="2" t="s">
        <v>2643</v>
      </c>
      <c r="C141" s="2" t="s">
        <v>2515</v>
      </c>
      <c r="D141" s="2" t="s">
        <v>2528</v>
      </c>
      <c r="E141" s="2" t="s">
        <v>2517</v>
      </c>
      <c r="F141" s="3">
        <v>24708</v>
      </c>
      <c r="G141" s="3">
        <v>1803</v>
      </c>
      <c r="H141" s="3">
        <v>151</v>
      </c>
      <c r="I141" s="4">
        <v>947.2</v>
      </c>
      <c r="J141" s="4">
        <v>30738.35</v>
      </c>
      <c r="K141" s="3">
        <v>127</v>
      </c>
      <c r="L141" s="2" t="s">
        <v>2523</v>
      </c>
      <c r="M141" s="2" t="s">
        <v>2526</v>
      </c>
      <c r="N141" s="6">
        <f t="shared" si="8"/>
        <v>1</v>
      </c>
      <c r="O141" t="str">
        <f>IF(Tabla_control[[#This Row],[Control_duplicados]]&gt;1,"Duplicado","Unico")</f>
        <v>Unico</v>
      </c>
      <c r="P141" t="str">
        <f t="shared" si="9"/>
        <v>OK</v>
      </c>
      <c r="Q141" t="str">
        <f t="shared" si="10"/>
        <v>OK</v>
      </c>
      <c r="R141" t="str">
        <f t="shared" si="11"/>
        <v>OK</v>
      </c>
    </row>
    <row r="142" spans="1:18" x14ac:dyDescent="0.3">
      <c r="A142" s="1">
        <v>45701</v>
      </c>
      <c r="B142" s="2" t="s">
        <v>2633</v>
      </c>
      <c r="C142" s="2" t="s">
        <v>2515</v>
      </c>
      <c r="D142" s="2" t="s">
        <v>2528</v>
      </c>
      <c r="E142" s="2" t="s">
        <v>2529</v>
      </c>
      <c r="F142" s="3">
        <v>109330</v>
      </c>
      <c r="G142" s="3">
        <v>9561</v>
      </c>
      <c r="H142" s="3">
        <v>959</v>
      </c>
      <c r="I142" s="4">
        <v>11031.29</v>
      </c>
      <c r="J142" s="4">
        <v>171417.69</v>
      </c>
      <c r="K142" s="3">
        <v>634</v>
      </c>
      <c r="L142" s="2" t="s">
        <v>2536</v>
      </c>
      <c r="M142" s="2" t="s">
        <v>2537</v>
      </c>
      <c r="N142" s="6">
        <f t="shared" si="8"/>
        <v>1</v>
      </c>
      <c r="O142" t="str">
        <f>IF(Tabla_control[[#This Row],[Control_duplicados]]&gt;1,"Duplicado","Unico")</f>
        <v>Unico</v>
      </c>
      <c r="P142" t="str">
        <f t="shared" si="9"/>
        <v>OK</v>
      </c>
      <c r="Q142" t="str">
        <f t="shared" si="10"/>
        <v>OK</v>
      </c>
      <c r="R142" t="str">
        <f t="shared" si="11"/>
        <v>OK</v>
      </c>
    </row>
    <row r="143" spans="1:18" x14ac:dyDescent="0.3">
      <c r="A143" s="1">
        <v>45664</v>
      </c>
      <c r="B143" s="2" t="s">
        <v>2625</v>
      </c>
      <c r="C143" s="2" t="s">
        <v>2543</v>
      </c>
      <c r="D143" s="2" t="s">
        <v>2528</v>
      </c>
      <c r="E143" s="2" t="s">
        <v>2529</v>
      </c>
      <c r="F143" s="3">
        <v>127287</v>
      </c>
      <c r="G143" s="3">
        <v>2984</v>
      </c>
      <c r="H143" s="3">
        <v>355</v>
      </c>
      <c r="I143" s="4">
        <v>5481.3</v>
      </c>
      <c r="J143" s="4">
        <v>36120.639999999999</v>
      </c>
      <c r="K143" s="3">
        <v>300</v>
      </c>
      <c r="L143" s="2" t="s">
        <v>2518</v>
      </c>
      <c r="M143" s="2" t="s">
        <v>2526</v>
      </c>
      <c r="N143" s="6">
        <f t="shared" si="8"/>
        <v>1</v>
      </c>
      <c r="O143" t="str">
        <f>IF(Tabla_control[[#This Row],[Control_duplicados]]&gt;1,"Duplicado","Unico")</f>
        <v>Unico</v>
      </c>
      <c r="P143" t="str">
        <f t="shared" si="9"/>
        <v>OK</v>
      </c>
      <c r="Q143" t="str">
        <f t="shared" si="10"/>
        <v>OK</v>
      </c>
      <c r="R143" t="str">
        <f t="shared" si="11"/>
        <v>OK</v>
      </c>
    </row>
    <row r="144" spans="1:18" x14ac:dyDescent="0.3">
      <c r="A144" s="1">
        <v>45727</v>
      </c>
      <c r="B144" s="2" t="s">
        <v>2634</v>
      </c>
      <c r="C144" s="2" t="s">
        <v>2533</v>
      </c>
      <c r="D144" s="2" t="s">
        <v>2528</v>
      </c>
      <c r="E144" s="2" t="s">
        <v>2517</v>
      </c>
      <c r="F144" s="3">
        <v>3205</v>
      </c>
      <c r="G144" s="3">
        <v>93</v>
      </c>
      <c r="H144" s="3">
        <v>5</v>
      </c>
      <c r="I144" s="4">
        <v>104.64</v>
      </c>
      <c r="J144" s="4">
        <v>308.27</v>
      </c>
      <c r="K144" s="3">
        <v>3</v>
      </c>
      <c r="L144" s="2" t="s">
        <v>2523</v>
      </c>
      <c r="M144" s="2" t="s">
        <v>2645</v>
      </c>
      <c r="N144" s="6">
        <f t="shared" si="8"/>
        <v>1</v>
      </c>
      <c r="O144" t="str">
        <f>IF(Tabla_control[[#This Row],[Control_duplicados]]&gt;1,"Duplicado","Unico")</f>
        <v>Unico</v>
      </c>
      <c r="P144" t="str">
        <f t="shared" si="9"/>
        <v>OK</v>
      </c>
      <c r="Q144" t="str">
        <f t="shared" si="10"/>
        <v>OK</v>
      </c>
      <c r="R144" t="str">
        <f t="shared" si="11"/>
        <v>OK</v>
      </c>
    </row>
    <row r="145" spans="1:18" x14ac:dyDescent="0.3">
      <c r="A145" s="1">
        <v>45747</v>
      </c>
      <c r="B145" s="2" t="s">
        <v>2618</v>
      </c>
      <c r="C145" s="2" t="s">
        <v>2541</v>
      </c>
      <c r="D145" s="2" t="s">
        <v>2516</v>
      </c>
      <c r="E145" s="2" t="s">
        <v>2529</v>
      </c>
      <c r="F145" s="3">
        <v>143186</v>
      </c>
      <c r="G145" s="3">
        <v>4151</v>
      </c>
      <c r="H145" s="3">
        <v>383</v>
      </c>
      <c r="I145" s="4">
        <v>5318.8</v>
      </c>
      <c r="J145" s="4">
        <v>26849.63</v>
      </c>
      <c r="K145" s="3">
        <v>300</v>
      </c>
      <c r="L145" s="2" t="s">
        <v>2536</v>
      </c>
      <c r="M145" s="2" t="s">
        <v>2537</v>
      </c>
      <c r="N145" s="6">
        <f t="shared" si="8"/>
        <v>1</v>
      </c>
      <c r="O145" t="str">
        <f>IF(Tabla_control[[#This Row],[Control_duplicados]]&gt;1,"Duplicado","Unico")</f>
        <v>Unico</v>
      </c>
      <c r="P145" t="str">
        <f t="shared" si="9"/>
        <v>OK</v>
      </c>
      <c r="Q145" t="str">
        <f t="shared" si="10"/>
        <v>OK</v>
      </c>
      <c r="R145" t="str">
        <f t="shared" si="11"/>
        <v>OK</v>
      </c>
    </row>
    <row r="146" spans="1:18" x14ac:dyDescent="0.3">
      <c r="A146" s="1">
        <v>45939</v>
      </c>
      <c r="B146" s="2" t="s">
        <v>2628</v>
      </c>
      <c r="C146" s="2" t="s">
        <v>2541</v>
      </c>
      <c r="D146" s="2" t="s">
        <v>2528</v>
      </c>
      <c r="E146" s="2" t="s">
        <v>2517</v>
      </c>
      <c r="F146" s="3">
        <v>159308</v>
      </c>
      <c r="G146" s="3">
        <v>10535</v>
      </c>
      <c r="H146" s="3">
        <v>140</v>
      </c>
      <c r="I146" s="4">
        <v>8913.76</v>
      </c>
      <c r="J146" s="4">
        <v>18838.45</v>
      </c>
      <c r="K146" s="3">
        <v>96</v>
      </c>
      <c r="L146" s="2" t="s">
        <v>2539</v>
      </c>
      <c r="M146" s="2" t="s">
        <v>2519</v>
      </c>
      <c r="N146" s="6">
        <f t="shared" si="8"/>
        <v>1</v>
      </c>
      <c r="O146" t="str">
        <f>IF(Tabla_control[[#This Row],[Control_duplicados]]&gt;1,"Duplicado","Unico")</f>
        <v>Unico</v>
      </c>
      <c r="P146" t="str">
        <f t="shared" si="9"/>
        <v>OK</v>
      </c>
      <c r="Q146" t="str">
        <f t="shared" si="10"/>
        <v>OK</v>
      </c>
      <c r="R146" t="str">
        <f t="shared" si="11"/>
        <v>OK</v>
      </c>
    </row>
    <row r="147" spans="1:18" x14ac:dyDescent="0.3">
      <c r="A147" s="1">
        <v>45725</v>
      </c>
      <c r="B147" s="2" t="s">
        <v>2626</v>
      </c>
      <c r="C147" s="2" t="s">
        <v>2527</v>
      </c>
      <c r="D147" s="2" t="s">
        <v>2525</v>
      </c>
      <c r="E147" s="2" t="s">
        <v>2529</v>
      </c>
      <c r="F147" s="3">
        <v>171401</v>
      </c>
      <c r="G147" s="3">
        <v>8378</v>
      </c>
      <c r="H147" s="3">
        <v>241</v>
      </c>
      <c r="I147" s="4">
        <v>17294.599999999999</v>
      </c>
      <c r="J147" s="4">
        <v>30380.080000000002</v>
      </c>
      <c r="K147" s="3">
        <v>180</v>
      </c>
      <c r="L147" s="2" t="s">
        <v>2539</v>
      </c>
      <c r="M147" s="2" t="s">
        <v>2526</v>
      </c>
      <c r="N147" s="6">
        <f t="shared" si="8"/>
        <v>1</v>
      </c>
      <c r="O147" t="str">
        <f>IF(Tabla_control[[#This Row],[Control_duplicados]]&gt;1,"Duplicado","Unico")</f>
        <v>Unico</v>
      </c>
      <c r="P147" t="str">
        <f t="shared" si="9"/>
        <v>OK</v>
      </c>
      <c r="Q147" t="str">
        <f t="shared" si="10"/>
        <v>OK</v>
      </c>
      <c r="R147" t="str">
        <f t="shared" si="11"/>
        <v>OK</v>
      </c>
    </row>
    <row r="148" spans="1:18" x14ac:dyDescent="0.3">
      <c r="A148" s="1">
        <v>45988</v>
      </c>
      <c r="B148" s="2" t="s">
        <v>2637</v>
      </c>
      <c r="C148" s="2" t="s">
        <v>2645</v>
      </c>
      <c r="D148" s="2" t="s">
        <v>2528</v>
      </c>
      <c r="E148" s="2" t="s">
        <v>2529</v>
      </c>
      <c r="F148" s="3">
        <v>56296</v>
      </c>
      <c r="G148" s="3">
        <v>2915</v>
      </c>
      <c r="H148" s="3">
        <v>404</v>
      </c>
      <c r="I148" s="4">
        <v>5926.51</v>
      </c>
      <c r="J148" s="4">
        <v>75911.75</v>
      </c>
      <c r="K148" s="3">
        <v>296</v>
      </c>
      <c r="L148" s="2" t="s">
        <v>2518</v>
      </c>
      <c r="M148" s="2" t="s">
        <v>2546</v>
      </c>
      <c r="N148" s="6">
        <f t="shared" si="8"/>
        <v>1</v>
      </c>
      <c r="O148" t="str">
        <f>IF(Tabla_control[[#This Row],[Control_duplicados]]&gt;1,"Duplicado","Unico")</f>
        <v>Unico</v>
      </c>
      <c r="P148" t="str">
        <f t="shared" si="9"/>
        <v>OK</v>
      </c>
      <c r="Q148" t="str">
        <f t="shared" si="10"/>
        <v>OK</v>
      </c>
      <c r="R148" t="str">
        <f t="shared" si="11"/>
        <v>OK</v>
      </c>
    </row>
    <row r="149" spans="1:18" x14ac:dyDescent="0.3">
      <c r="A149" s="1">
        <v>45832</v>
      </c>
      <c r="B149" s="2" t="s">
        <v>2642</v>
      </c>
      <c r="C149" s="2" t="s">
        <v>2515</v>
      </c>
      <c r="D149" s="2" t="s">
        <v>2528</v>
      </c>
      <c r="E149" s="2" t="s">
        <v>2517</v>
      </c>
      <c r="F149" s="3">
        <v>65635</v>
      </c>
      <c r="G149" s="3">
        <v>1596</v>
      </c>
      <c r="H149" s="3">
        <v>219</v>
      </c>
      <c r="I149" s="4">
        <v>1057.81</v>
      </c>
      <c r="J149" s="4">
        <v>17550.599999999999</v>
      </c>
      <c r="K149" s="3">
        <v>136</v>
      </c>
      <c r="L149" s="2" t="s">
        <v>2539</v>
      </c>
      <c r="M149" s="2" t="s">
        <v>2524</v>
      </c>
      <c r="N149" s="6">
        <f t="shared" si="8"/>
        <v>1</v>
      </c>
      <c r="O149" t="str">
        <f>IF(Tabla_control[[#This Row],[Control_duplicados]]&gt;1,"Duplicado","Unico")</f>
        <v>Unico</v>
      </c>
      <c r="P149" t="str">
        <f t="shared" si="9"/>
        <v>OK</v>
      </c>
      <c r="Q149" t="str">
        <f t="shared" si="10"/>
        <v>OK</v>
      </c>
      <c r="R149" t="str">
        <f t="shared" si="11"/>
        <v>OK</v>
      </c>
    </row>
    <row r="150" spans="1:18" x14ac:dyDescent="0.3">
      <c r="A150" s="1">
        <v>45812</v>
      </c>
      <c r="B150" s="2" t="s">
        <v>2618</v>
      </c>
      <c r="C150" s="2" t="s">
        <v>2541</v>
      </c>
      <c r="D150" s="2" t="s">
        <v>2516</v>
      </c>
      <c r="E150" s="2" t="s">
        <v>2529</v>
      </c>
      <c r="F150" s="3">
        <v>126856</v>
      </c>
      <c r="G150" s="3">
        <v>551</v>
      </c>
      <c r="H150" s="3">
        <v>48</v>
      </c>
      <c r="I150" s="4">
        <v>226.62</v>
      </c>
      <c r="J150" s="4">
        <v>1452.3</v>
      </c>
      <c r="K150" s="3">
        <v>28</v>
      </c>
      <c r="L150" s="2" t="s">
        <v>2523</v>
      </c>
      <c r="M150" s="2" t="s">
        <v>2526</v>
      </c>
      <c r="N150" s="6">
        <f t="shared" si="8"/>
        <v>1</v>
      </c>
      <c r="O150" t="str">
        <f>IF(Tabla_control[[#This Row],[Control_duplicados]]&gt;1,"Duplicado","Unico")</f>
        <v>Unico</v>
      </c>
      <c r="P150" t="str">
        <f t="shared" si="9"/>
        <v>OK</v>
      </c>
      <c r="Q150" t="str">
        <f t="shared" si="10"/>
        <v>OK</v>
      </c>
      <c r="R150" t="str">
        <f t="shared" si="11"/>
        <v>OK</v>
      </c>
    </row>
    <row r="151" spans="1:18" x14ac:dyDescent="0.3">
      <c r="A151" s="1">
        <v>45901</v>
      </c>
      <c r="B151" s="2" t="s">
        <v>2622</v>
      </c>
      <c r="C151" s="2" t="s">
        <v>2541</v>
      </c>
      <c r="D151" s="2" t="s">
        <v>2528</v>
      </c>
      <c r="E151" s="2" t="s">
        <v>2517</v>
      </c>
      <c r="F151" s="3">
        <v>151546</v>
      </c>
      <c r="G151" s="3">
        <v>706</v>
      </c>
      <c r="H151" s="3">
        <v>14</v>
      </c>
      <c r="I151" s="4">
        <v>852.88</v>
      </c>
      <c r="J151" s="4">
        <v>1939.33</v>
      </c>
      <c r="K151" s="3">
        <v>7</v>
      </c>
      <c r="L151" s="2" t="s">
        <v>2523</v>
      </c>
      <c r="M151" s="2" t="s">
        <v>2524</v>
      </c>
      <c r="N151" s="6">
        <f t="shared" si="8"/>
        <v>1</v>
      </c>
      <c r="O151" t="str">
        <f>IF(Tabla_control[[#This Row],[Control_duplicados]]&gt;1,"Duplicado","Unico")</f>
        <v>Unico</v>
      </c>
      <c r="P151" t="str">
        <f t="shared" si="9"/>
        <v>OK</v>
      </c>
      <c r="Q151" t="str">
        <f t="shared" si="10"/>
        <v>OK</v>
      </c>
      <c r="R151" t="str">
        <f t="shared" si="11"/>
        <v>OK</v>
      </c>
    </row>
    <row r="152" spans="1:18" x14ac:dyDescent="0.3">
      <c r="A152" s="1">
        <v>45880</v>
      </c>
      <c r="B152" s="2" t="s">
        <v>2633</v>
      </c>
      <c r="C152" s="2" t="s">
        <v>2533</v>
      </c>
      <c r="D152" s="2" t="s">
        <v>2528</v>
      </c>
      <c r="E152" s="2" t="s">
        <v>2529</v>
      </c>
      <c r="F152" s="3">
        <v>150117</v>
      </c>
      <c r="G152" s="3">
        <v>8309</v>
      </c>
      <c r="H152" s="3">
        <v>450</v>
      </c>
      <c r="I152" s="4">
        <v>7578.69</v>
      </c>
      <c r="J152" s="4">
        <v>81946.09</v>
      </c>
      <c r="K152" s="3">
        <v>226</v>
      </c>
      <c r="L152" s="2" t="s">
        <v>2539</v>
      </c>
      <c r="M152" s="2" t="s">
        <v>2519</v>
      </c>
      <c r="N152" s="6">
        <f t="shared" si="8"/>
        <v>2</v>
      </c>
      <c r="O152" t="str">
        <f>IF(Tabla_control[[#This Row],[Control_duplicados]]&gt;1,"Duplicado","Unico")</f>
        <v>Duplicado</v>
      </c>
      <c r="P152" t="str">
        <f t="shared" si="9"/>
        <v>OK</v>
      </c>
      <c r="Q152" t="str">
        <f t="shared" si="10"/>
        <v>OK</v>
      </c>
      <c r="R152" t="str">
        <f t="shared" si="11"/>
        <v>OK</v>
      </c>
    </row>
    <row r="153" spans="1:18" x14ac:dyDescent="0.3">
      <c r="A153" s="1">
        <v>45666</v>
      </c>
      <c r="B153" s="2" t="s">
        <v>2623</v>
      </c>
      <c r="C153" s="2" t="s">
        <v>2543</v>
      </c>
      <c r="D153" s="2" t="s">
        <v>2522</v>
      </c>
      <c r="E153" s="2" t="s">
        <v>2529</v>
      </c>
      <c r="F153" s="3">
        <v>78280</v>
      </c>
      <c r="G153" s="3">
        <v>3635</v>
      </c>
      <c r="H153" s="3">
        <v>303</v>
      </c>
      <c r="I153" s="4">
        <v>7526.87</v>
      </c>
      <c r="J153" s="4">
        <v>66167.11</v>
      </c>
      <c r="K153" s="3">
        <v>228</v>
      </c>
      <c r="L153" s="2" t="s">
        <v>2536</v>
      </c>
      <c r="M153" s="2" t="s">
        <v>2519</v>
      </c>
      <c r="N153" s="6">
        <f t="shared" si="8"/>
        <v>1</v>
      </c>
      <c r="O153" t="str">
        <f>IF(Tabla_control[[#This Row],[Control_duplicados]]&gt;1,"Duplicado","Unico")</f>
        <v>Unico</v>
      </c>
      <c r="P153" t="str">
        <f t="shared" si="9"/>
        <v>OK</v>
      </c>
      <c r="Q153" t="str">
        <f t="shared" si="10"/>
        <v>OK</v>
      </c>
      <c r="R153" t="str">
        <f t="shared" si="11"/>
        <v>OK</v>
      </c>
    </row>
    <row r="154" spans="1:18" x14ac:dyDescent="0.3">
      <c r="A154" s="1">
        <v>45939</v>
      </c>
      <c r="B154" s="2" t="s">
        <v>2620</v>
      </c>
      <c r="C154" s="2" t="s">
        <v>2527</v>
      </c>
      <c r="D154" s="2" t="s">
        <v>2516</v>
      </c>
      <c r="E154" s="2" t="s">
        <v>2517</v>
      </c>
      <c r="F154" s="3">
        <v>62151</v>
      </c>
      <c r="G154" s="3">
        <v>3252</v>
      </c>
      <c r="H154" s="3">
        <v>101</v>
      </c>
      <c r="I154" s="4">
        <v>5983.42</v>
      </c>
      <c r="J154" s="4">
        <v>20425.59</v>
      </c>
      <c r="K154" s="3">
        <v>81</v>
      </c>
      <c r="L154" s="2" t="s">
        <v>2523</v>
      </c>
      <c r="M154" s="2" t="s">
        <v>2537</v>
      </c>
      <c r="N154" s="6">
        <f t="shared" si="8"/>
        <v>1</v>
      </c>
      <c r="O154" t="str">
        <f>IF(Tabla_control[[#This Row],[Control_duplicados]]&gt;1,"Duplicado","Unico")</f>
        <v>Unico</v>
      </c>
      <c r="P154" t="str">
        <f t="shared" si="9"/>
        <v>OK</v>
      </c>
      <c r="Q154" t="str">
        <f t="shared" si="10"/>
        <v>OK</v>
      </c>
      <c r="R154" t="str">
        <f t="shared" si="11"/>
        <v>OK</v>
      </c>
    </row>
    <row r="155" spans="1:18" x14ac:dyDescent="0.3">
      <c r="A155" s="1">
        <v>45984</v>
      </c>
      <c r="B155" s="2" t="s">
        <v>2631</v>
      </c>
      <c r="C155" s="2" t="s">
        <v>2515</v>
      </c>
      <c r="D155" s="2" t="s">
        <v>2528</v>
      </c>
      <c r="E155" s="2" t="s">
        <v>2517</v>
      </c>
      <c r="F155" s="3">
        <v>84202</v>
      </c>
      <c r="G155" s="3">
        <v>5175</v>
      </c>
      <c r="H155" s="3">
        <v>523</v>
      </c>
      <c r="I155" s="4">
        <v>8691.2900000000009</v>
      </c>
      <c r="J155" s="4">
        <v>70646.539999999994</v>
      </c>
      <c r="K155" s="3">
        <v>315</v>
      </c>
      <c r="L155" s="2" t="s">
        <v>2523</v>
      </c>
      <c r="M155" s="2" t="s">
        <v>2526</v>
      </c>
      <c r="N155" s="6">
        <f t="shared" si="8"/>
        <v>1</v>
      </c>
      <c r="O155" t="str">
        <f>IF(Tabla_control[[#This Row],[Control_duplicados]]&gt;1,"Duplicado","Unico")</f>
        <v>Unico</v>
      </c>
      <c r="P155" t="str">
        <f t="shared" si="9"/>
        <v>OK</v>
      </c>
      <c r="Q155" t="str">
        <f t="shared" si="10"/>
        <v>OK</v>
      </c>
      <c r="R155" t="str">
        <f t="shared" si="11"/>
        <v>OK</v>
      </c>
    </row>
    <row r="156" spans="1:18" x14ac:dyDescent="0.3">
      <c r="A156" s="1">
        <v>45873</v>
      </c>
      <c r="B156" s="2" t="s">
        <v>2619</v>
      </c>
      <c r="C156" s="2" t="s">
        <v>2527</v>
      </c>
      <c r="D156" s="2" t="s">
        <v>2645</v>
      </c>
      <c r="E156" s="2" t="s">
        <v>2529</v>
      </c>
      <c r="F156" s="3">
        <v>70993</v>
      </c>
      <c r="G156" s="3">
        <v>5324</v>
      </c>
      <c r="H156" s="3">
        <v>363</v>
      </c>
      <c r="I156" s="4">
        <v>6370.38</v>
      </c>
      <c r="J156" s="4">
        <v>10725.48</v>
      </c>
      <c r="K156" s="3">
        <v>322</v>
      </c>
      <c r="L156" s="2" t="s">
        <v>2523</v>
      </c>
      <c r="M156" s="2" t="s">
        <v>2524</v>
      </c>
      <c r="N156" s="6">
        <f t="shared" si="8"/>
        <v>1</v>
      </c>
      <c r="O156" t="str">
        <f>IF(Tabla_control[[#This Row],[Control_duplicados]]&gt;1,"Duplicado","Unico")</f>
        <v>Unico</v>
      </c>
      <c r="P156" t="str">
        <f t="shared" si="9"/>
        <v>OK</v>
      </c>
      <c r="Q156" t="str">
        <f t="shared" si="10"/>
        <v>OK</v>
      </c>
      <c r="R156" t="str">
        <f t="shared" si="11"/>
        <v>OK</v>
      </c>
    </row>
    <row r="157" spans="1:18" x14ac:dyDescent="0.3">
      <c r="A157" s="1">
        <v>45943</v>
      </c>
      <c r="B157" s="2" t="s">
        <v>2643</v>
      </c>
      <c r="C157" s="2" t="s">
        <v>2543</v>
      </c>
      <c r="D157" s="2" t="s">
        <v>2525</v>
      </c>
      <c r="E157" s="2" t="s">
        <v>2529</v>
      </c>
      <c r="F157" s="3">
        <v>5365</v>
      </c>
      <c r="G157" s="3">
        <v>283</v>
      </c>
      <c r="H157" s="3">
        <v>20</v>
      </c>
      <c r="I157" s="4">
        <v>429.12</v>
      </c>
      <c r="J157" s="4">
        <v>1588.92</v>
      </c>
      <c r="K157" s="3">
        <v>9</v>
      </c>
      <c r="L157" s="2" t="s">
        <v>2518</v>
      </c>
      <c r="M157" s="2" t="s">
        <v>2524</v>
      </c>
      <c r="N157" s="6">
        <f t="shared" si="8"/>
        <v>1</v>
      </c>
      <c r="O157" t="str">
        <f>IF(Tabla_control[[#This Row],[Control_duplicados]]&gt;1,"Duplicado","Unico")</f>
        <v>Unico</v>
      </c>
      <c r="P157" t="str">
        <f t="shared" si="9"/>
        <v>OK</v>
      </c>
      <c r="Q157" t="str">
        <f t="shared" si="10"/>
        <v>OK</v>
      </c>
      <c r="R157" t="str">
        <f t="shared" si="11"/>
        <v>OK</v>
      </c>
    </row>
    <row r="158" spans="1:18" x14ac:dyDescent="0.3">
      <c r="A158" s="1">
        <v>45766</v>
      </c>
      <c r="B158" s="2" t="s">
        <v>2634</v>
      </c>
      <c r="C158" s="2" t="s">
        <v>2515</v>
      </c>
      <c r="D158" s="2" t="s">
        <v>2528</v>
      </c>
      <c r="E158" s="2" t="s">
        <v>2529</v>
      </c>
      <c r="F158" s="3">
        <v>76473</v>
      </c>
      <c r="G158" s="3">
        <v>1429</v>
      </c>
      <c r="H158" s="3">
        <v>67</v>
      </c>
      <c r="I158" s="4">
        <v>837.55</v>
      </c>
      <c r="J158" s="4">
        <v>10003.66</v>
      </c>
      <c r="K158" s="3">
        <v>37</v>
      </c>
      <c r="L158" s="2" t="s">
        <v>2539</v>
      </c>
      <c r="M158" s="2" t="s">
        <v>2519</v>
      </c>
      <c r="N158" s="6">
        <f t="shared" si="8"/>
        <v>1</v>
      </c>
      <c r="O158" t="str">
        <f>IF(Tabla_control[[#This Row],[Control_duplicados]]&gt;1,"Duplicado","Unico")</f>
        <v>Unico</v>
      </c>
      <c r="P158" t="str">
        <f t="shared" si="9"/>
        <v>OK</v>
      </c>
      <c r="Q158" t="str">
        <f t="shared" si="10"/>
        <v>OK</v>
      </c>
      <c r="R158" t="str">
        <f t="shared" si="11"/>
        <v>OK</v>
      </c>
    </row>
    <row r="159" spans="1:18" x14ac:dyDescent="0.3">
      <c r="A159" s="1">
        <v>45682</v>
      </c>
      <c r="B159" s="2" t="s">
        <v>2629</v>
      </c>
      <c r="C159" s="2" t="s">
        <v>2515</v>
      </c>
      <c r="D159" s="2" t="s">
        <v>2525</v>
      </c>
      <c r="E159" s="2" t="s">
        <v>2529</v>
      </c>
      <c r="F159" s="3">
        <v>89336</v>
      </c>
      <c r="G159" s="3">
        <v>2284</v>
      </c>
      <c r="H159" s="3">
        <v>258</v>
      </c>
      <c r="I159" s="4">
        <v>1750.33</v>
      </c>
      <c r="J159" s="4">
        <v>51761.79</v>
      </c>
      <c r="K159" s="3">
        <v>131</v>
      </c>
      <c r="L159" s="2" t="s">
        <v>2518</v>
      </c>
      <c r="M159" s="2" t="s">
        <v>2546</v>
      </c>
      <c r="N159" s="6">
        <f t="shared" si="8"/>
        <v>1</v>
      </c>
      <c r="O159" t="str">
        <f>IF(Tabla_control[[#This Row],[Control_duplicados]]&gt;1,"Duplicado","Unico")</f>
        <v>Unico</v>
      </c>
      <c r="P159" t="str">
        <f t="shared" si="9"/>
        <v>OK</v>
      </c>
      <c r="Q159" t="str">
        <f t="shared" si="10"/>
        <v>OK</v>
      </c>
      <c r="R159" t="str">
        <f t="shared" si="11"/>
        <v>OK</v>
      </c>
    </row>
    <row r="160" spans="1:18" x14ac:dyDescent="0.3">
      <c r="A160" s="1">
        <v>45672</v>
      </c>
      <c r="B160" s="2" t="s">
        <v>2628</v>
      </c>
      <c r="C160" s="2" t="s">
        <v>2541</v>
      </c>
      <c r="D160" s="2" t="s">
        <v>2528</v>
      </c>
      <c r="E160" s="2" t="s">
        <v>2517</v>
      </c>
      <c r="F160" s="3">
        <v>45075</v>
      </c>
      <c r="G160" s="3">
        <v>3575</v>
      </c>
      <c r="H160" s="3">
        <v>175</v>
      </c>
      <c r="I160" s="4">
        <v>5975.28</v>
      </c>
      <c r="J160" s="4">
        <v>36336.83</v>
      </c>
      <c r="K160" s="3">
        <v>128</v>
      </c>
      <c r="L160" s="2" t="s">
        <v>2523</v>
      </c>
      <c r="M160" s="2" t="s">
        <v>2526</v>
      </c>
      <c r="N160" s="6">
        <f t="shared" si="8"/>
        <v>1</v>
      </c>
      <c r="O160" t="str">
        <f>IF(Tabla_control[[#This Row],[Control_duplicados]]&gt;1,"Duplicado","Unico")</f>
        <v>Unico</v>
      </c>
      <c r="P160" t="str">
        <f t="shared" si="9"/>
        <v>OK</v>
      </c>
      <c r="Q160" t="str">
        <f t="shared" si="10"/>
        <v>OK</v>
      </c>
      <c r="R160" t="str">
        <f t="shared" si="11"/>
        <v>OK</v>
      </c>
    </row>
    <row r="161" spans="1:18" x14ac:dyDescent="0.3">
      <c r="A161" s="1">
        <v>46017</v>
      </c>
      <c r="B161" s="2" t="s">
        <v>2644</v>
      </c>
      <c r="C161" s="2" t="s">
        <v>2533</v>
      </c>
      <c r="D161" s="2" t="s">
        <v>2525</v>
      </c>
      <c r="E161" s="2" t="s">
        <v>2517</v>
      </c>
      <c r="F161" s="3">
        <v>10749</v>
      </c>
      <c r="G161" s="3">
        <v>592</v>
      </c>
      <c r="H161" s="3">
        <v>55</v>
      </c>
      <c r="I161" s="4">
        <v>794.7</v>
      </c>
      <c r="J161" s="4">
        <v>5606.04</v>
      </c>
      <c r="K161" s="3">
        <v>48</v>
      </c>
      <c r="L161" s="2" t="s">
        <v>2523</v>
      </c>
      <c r="M161" s="2" t="s">
        <v>2519</v>
      </c>
      <c r="N161" s="6">
        <f t="shared" si="8"/>
        <v>1</v>
      </c>
      <c r="O161" t="str">
        <f>IF(Tabla_control[[#This Row],[Control_duplicados]]&gt;1,"Duplicado","Unico")</f>
        <v>Unico</v>
      </c>
      <c r="P161" t="str">
        <f t="shared" si="9"/>
        <v>OK</v>
      </c>
      <c r="Q161" t="str">
        <f t="shared" si="10"/>
        <v>OK</v>
      </c>
      <c r="R161" t="str">
        <f t="shared" si="11"/>
        <v>OK</v>
      </c>
    </row>
    <row r="162" spans="1:18" x14ac:dyDescent="0.3">
      <c r="A162" s="1">
        <v>45915</v>
      </c>
      <c r="B162" s="2" t="s">
        <v>2631</v>
      </c>
      <c r="C162" s="2" t="s">
        <v>2527</v>
      </c>
      <c r="D162" s="2" t="s">
        <v>2516</v>
      </c>
      <c r="E162" s="2" t="s">
        <v>2517</v>
      </c>
      <c r="F162" s="3">
        <v>174829</v>
      </c>
      <c r="G162" s="3">
        <v>11184</v>
      </c>
      <c r="H162" s="3">
        <v>699</v>
      </c>
      <c r="I162" s="4">
        <v>23368.09</v>
      </c>
      <c r="J162" s="4">
        <v>152960.56</v>
      </c>
      <c r="K162" s="3">
        <v>468</v>
      </c>
      <c r="L162" s="2" t="s">
        <v>2518</v>
      </c>
      <c r="M162" s="2" t="s">
        <v>2537</v>
      </c>
      <c r="N162" s="6">
        <f t="shared" si="8"/>
        <v>1</v>
      </c>
      <c r="O162" t="str">
        <f>IF(Tabla_control[[#This Row],[Control_duplicados]]&gt;1,"Duplicado","Unico")</f>
        <v>Unico</v>
      </c>
      <c r="P162" t="str">
        <f t="shared" si="9"/>
        <v>OK</v>
      </c>
      <c r="Q162" t="str">
        <f t="shared" si="10"/>
        <v>OK</v>
      </c>
      <c r="R162" t="str">
        <f t="shared" si="11"/>
        <v>OK</v>
      </c>
    </row>
    <row r="163" spans="1:18" x14ac:dyDescent="0.3">
      <c r="A163" s="1">
        <v>45723</v>
      </c>
      <c r="B163" s="2" t="s">
        <v>2624</v>
      </c>
      <c r="C163" s="2" t="s">
        <v>2515</v>
      </c>
      <c r="D163" s="2" t="s">
        <v>2522</v>
      </c>
      <c r="E163" s="2" t="s">
        <v>2529</v>
      </c>
      <c r="F163" s="3">
        <v>150839</v>
      </c>
      <c r="G163" s="3">
        <v>2552</v>
      </c>
      <c r="H163" s="3">
        <v>228</v>
      </c>
      <c r="I163" s="4">
        <v>2408.91</v>
      </c>
      <c r="J163" s="4">
        <v>48203.95</v>
      </c>
      <c r="K163" s="3">
        <v>117</v>
      </c>
      <c r="L163" s="2" t="s">
        <v>2523</v>
      </c>
      <c r="M163" s="2" t="s">
        <v>2524</v>
      </c>
      <c r="N163" s="6">
        <f t="shared" si="8"/>
        <v>1</v>
      </c>
      <c r="O163" t="str">
        <f>IF(Tabla_control[[#This Row],[Control_duplicados]]&gt;1,"Duplicado","Unico")</f>
        <v>Unico</v>
      </c>
      <c r="P163" t="str">
        <f t="shared" si="9"/>
        <v>OK</v>
      </c>
      <c r="Q163" t="str">
        <f t="shared" si="10"/>
        <v>OK</v>
      </c>
      <c r="R163" t="str">
        <f t="shared" si="11"/>
        <v>OK</v>
      </c>
    </row>
    <row r="164" spans="1:18" x14ac:dyDescent="0.3">
      <c r="A164" s="1">
        <v>45939</v>
      </c>
      <c r="B164" s="2" t="s">
        <v>2620</v>
      </c>
      <c r="C164" s="2" t="s">
        <v>2515</v>
      </c>
      <c r="D164" s="2" t="s">
        <v>2528</v>
      </c>
      <c r="E164" s="2" t="s">
        <v>2529</v>
      </c>
      <c r="F164" s="3">
        <v>31736</v>
      </c>
      <c r="G164" s="3">
        <v>664</v>
      </c>
      <c r="H164" s="3">
        <v>53</v>
      </c>
      <c r="I164" s="4">
        <v>135.88999999999999</v>
      </c>
      <c r="J164" s="4">
        <v>5370.7</v>
      </c>
      <c r="K164" s="3">
        <v>46</v>
      </c>
      <c r="L164" s="2" t="s">
        <v>2539</v>
      </c>
      <c r="M164" s="2" t="s">
        <v>2526</v>
      </c>
      <c r="N164" s="6">
        <f t="shared" si="8"/>
        <v>1</v>
      </c>
      <c r="O164" t="str">
        <f>IF(Tabla_control[[#This Row],[Control_duplicados]]&gt;1,"Duplicado","Unico")</f>
        <v>Unico</v>
      </c>
      <c r="P164" t="str">
        <f t="shared" si="9"/>
        <v>OK</v>
      </c>
      <c r="Q164" t="str">
        <f t="shared" si="10"/>
        <v>OK</v>
      </c>
      <c r="R164" t="str">
        <f t="shared" si="11"/>
        <v>OK</v>
      </c>
    </row>
    <row r="165" spans="1:18" x14ac:dyDescent="0.3">
      <c r="A165" s="1">
        <v>45962</v>
      </c>
      <c r="B165" s="2" t="s">
        <v>2616</v>
      </c>
      <c r="C165" s="2" t="s">
        <v>2521</v>
      </c>
      <c r="D165" s="2" t="s">
        <v>2516</v>
      </c>
      <c r="E165" s="2" t="s">
        <v>2517</v>
      </c>
      <c r="F165" s="3">
        <v>72086</v>
      </c>
      <c r="G165" s="3">
        <v>3771</v>
      </c>
      <c r="H165" s="3">
        <v>308</v>
      </c>
      <c r="I165" s="4">
        <v>4287.62</v>
      </c>
      <c r="J165" s="4">
        <v>18299.27</v>
      </c>
      <c r="K165" s="3">
        <v>147</v>
      </c>
      <c r="L165" s="2" t="s">
        <v>2518</v>
      </c>
      <c r="M165" s="2" t="s">
        <v>2546</v>
      </c>
      <c r="N165" s="6">
        <f t="shared" si="8"/>
        <v>1</v>
      </c>
      <c r="O165" t="str">
        <f>IF(Tabla_control[[#This Row],[Control_duplicados]]&gt;1,"Duplicado","Unico")</f>
        <v>Unico</v>
      </c>
      <c r="P165" t="str">
        <f t="shared" si="9"/>
        <v>OK</v>
      </c>
      <c r="Q165" t="str">
        <f t="shared" si="10"/>
        <v>OK</v>
      </c>
      <c r="R165" t="str">
        <f t="shared" si="11"/>
        <v>OK</v>
      </c>
    </row>
    <row r="166" spans="1:18" x14ac:dyDescent="0.3">
      <c r="A166" s="1">
        <v>45883</v>
      </c>
      <c r="B166" s="2" t="s">
        <v>2623</v>
      </c>
      <c r="C166" s="2" t="s">
        <v>2543</v>
      </c>
      <c r="D166" s="2" t="s">
        <v>2528</v>
      </c>
      <c r="E166" s="2" t="s">
        <v>2529</v>
      </c>
      <c r="F166" s="3">
        <v>171399</v>
      </c>
      <c r="G166" s="3">
        <v>13578</v>
      </c>
      <c r="H166" s="3">
        <v>577</v>
      </c>
      <c r="I166" s="4">
        <v>18535.46</v>
      </c>
      <c r="J166" s="4">
        <v>103508.43</v>
      </c>
      <c r="K166" s="3">
        <v>334</v>
      </c>
      <c r="L166" s="2" t="s">
        <v>2523</v>
      </c>
      <c r="M166" s="2" t="s">
        <v>2526</v>
      </c>
      <c r="N166" s="6">
        <f t="shared" si="8"/>
        <v>1</v>
      </c>
      <c r="O166" t="str">
        <f>IF(Tabla_control[[#This Row],[Control_duplicados]]&gt;1,"Duplicado","Unico")</f>
        <v>Unico</v>
      </c>
      <c r="P166" t="str">
        <f t="shared" si="9"/>
        <v>OK</v>
      </c>
      <c r="Q166" t="str">
        <f t="shared" si="10"/>
        <v>OK</v>
      </c>
      <c r="R166" t="str">
        <f t="shared" si="11"/>
        <v>OK</v>
      </c>
    </row>
    <row r="167" spans="1:18" x14ac:dyDescent="0.3">
      <c r="A167" s="1">
        <v>45895</v>
      </c>
      <c r="B167" s="2" t="s">
        <v>2644</v>
      </c>
      <c r="C167" s="2" t="s">
        <v>2543</v>
      </c>
      <c r="D167" s="2" t="s">
        <v>2528</v>
      </c>
      <c r="E167" s="2" t="s">
        <v>2529</v>
      </c>
      <c r="F167" s="3">
        <v>117579</v>
      </c>
      <c r="G167" s="3">
        <v>7543</v>
      </c>
      <c r="H167" s="3">
        <v>562</v>
      </c>
      <c r="I167" s="4">
        <v>5372.17</v>
      </c>
      <c r="J167" s="4">
        <v>49258.16</v>
      </c>
      <c r="K167" s="3">
        <v>446</v>
      </c>
      <c r="L167" s="2" t="s">
        <v>2523</v>
      </c>
      <c r="M167" s="2" t="s">
        <v>2546</v>
      </c>
      <c r="N167" s="6">
        <f t="shared" si="8"/>
        <v>1</v>
      </c>
      <c r="O167" t="str">
        <f>IF(Tabla_control[[#This Row],[Control_duplicados]]&gt;1,"Duplicado","Unico")</f>
        <v>Unico</v>
      </c>
      <c r="P167" t="str">
        <f t="shared" si="9"/>
        <v>OK</v>
      </c>
      <c r="Q167" t="str">
        <f t="shared" si="10"/>
        <v>OK</v>
      </c>
      <c r="R167" t="str">
        <f t="shared" si="11"/>
        <v>OK</v>
      </c>
    </row>
    <row r="168" spans="1:18" x14ac:dyDescent="0.3">
      <c r="A168" s="1">
        <v>45870</v>
      </c>
      <c r="B168" s="2" t="s">
        <v>2627</v>
      </c>
      <c r="C168" s="2" t="s">
        <v>2515</v>
      </c>
      <c r="D168" s="2" t="s">
        <v>2522</v>
      </c>
      <c r="E168" s="2" t="s">
        <v>2529</v>
      </c>
      <c r="F168" s="3">
        <v>88446</v>
      </c>
      <c r="G168" s="3">
        <v>4732</v>
      </c>
      <c r="H168" s="3">
        <v>194</v>
      </c>
      <c r="I168" s="4">
        <v>1292.18</v>
      </c>
      <c r="J168" s="4">
        <v>9438.83</v>
      </c>
      <c r="K168" s="3">
        <v>166</v>
      </c>
      <c r="L168" s="2" t="s">
        <v>2518</v>
      </c>
      <c r="M168" s="2" t="s">
        <v>2546</v>
      </c>
      <c r="N168" s="6">
        <f t="shared" si="8"/>
        <v>1</v>
      </c>
      <c r="O168" t="str">
        <f>IF(Tabla_control[[#This Row],[Control_duplicados]]&gt;1,"Duplicado","Unico")</f>
        <v>Unico</v>
      </c>
      <c r="P168" t="str">
        <f t="shared" si="9"/>
        <v>OK</v>
      </c>
      <c r="Q168" t="str">
        <f t="shared" si="10"/>
        <v>OK</v>
      </c>
      <c r="R168" t="str">
        <f t="shared" si="11"/>
        <v>OK</v>
      </c>
    </row>
    <row r="169" spans="1:18" x14ac:dyDescent="0.3">
      <c r="A169" s="1">
        <v>45770</v>
      </c>
      <c r="B169" s="2" t="s">
        <v>2625</v>
      </c>
      <c r="C169" s="2" t="s">
        <v>2543</v>
      </c>
      <c r="D169" s="2" t="s">
        <v>2528</v>
      </c>
      <c r="E169" s="2" t="s">
        <v>2534</v>
      </c>
      <c r="F169" s="3">
        <v>179028</v>
      </c>
      <c r="G169" s="3">
        <v>1943</v>
      </c>
      <c r="H169" s="3">
        <v>40</v>
      </c>
      <c r="I169" s="4">
        <v>1129.0899999999999</v>
      </c>
      <c r="J169" s="4">
        <v>4721.6000000000004</v>
      </c>
      <c r="K169" s="3">
        <v>35</v>
      </c>
      <c r="L169" s="2" t="s">
        <v>2523</v>
      </c>
      <c r="M169" s="2" t="s">
        <v>2524</v>
      </c>
      <c r="N169" s="6">
        <f t="shared" si="8"/>
        <v>1</v>
      </c>
      <c r="O169" t="str">
        <f>IF(Tabla_control[[#This Row],[Control_duplicados]]&gt;1,"Duplicado","Unico")</f>
        <v>Unico</v>
      </c>
      <c r="P169" t="str">
        <f t="shared" si="9"/>
        <v>OK</v>
      </c>
      <c r="Q169" t="str">
        <f t="shared" si="10"/>
        <v>OK</v>
      </c>
      <c r="R169" t="str">
        <f t="shared" si="11"/>
        <v>OK</v>
      </c>
    </row>
    <row r="170" spans="1:18" x14ac:dyDescent="0.3">
      <c r="A170" s="1">
        <v>45923</v>
      </c>
      <c r="B170" s="2" t="s">
        <v>2630</v>
      </c>
      <c r="C170" s="2" t="s">
        <v>2541</v>
      </c>
      <c r="D170" s="2" t="s">
        <v>2528</v>
      </c>
      <c r="E170" s="2" t="s">
        <v>2529</v>
      </c>
      <c r="F170" s="3">
        <v>70005</v>
      </c>
      <c r="G170" s="3">
        <v>6221</v>
      </c>
      <c r="H170" s="3">
        <v>224</v>
      </c>
      <c r="I170" s="4">
        <v>2607.3200000000002</v>
      </c>
      <c r="J170" s="4">
        <v>23165.439999999999</v>
      </c>
      <c r="K170" s="3">
        <v>111</v>
      </c>
      <c r="L170" s="2" t="s">
        <v>2536</v>
      </c>
      <c r="M170" s="2" t="s">
        <v>2519</v>
      </c>
      <c r="N170" s="6">
        <f t="shared" si="8"/>
        <v>2</v>
      </c>
      <c r="O170" t="str">
        <f>IF(Tabla_control[[#This Row],[Control_duplicados]]&gt;1,"Duplicado","Unico")</f>
        <v>Duplicado</v>
      </c>
      <c r="P170" t="str">
        <f t="shared" si="9"/>
        <v>OK</v>
      </c>
      <c r="Q170" t="str">
        <f t="shared" si="10"/>
        <v>OK</v>
      </c>
      <c r="R170" t="str">
        <f t="shared" si="11"/>
        <v>OK</v>
      </c>
    </row>
    <row r="171" spans="1:18" x14ac:dyDescent="0.3">
      <c r="A171" s="1">
        <v>45957</v>
      </c>
      <c r="B171" s="2" t="s">
        <v>2643</v>
      </c>
      <c r="C171" s="2" t="s">
        <v>2533</v>
      </c>
      <c r="D171" s="2" t="s">
        <v>2528</v>
      </c>
      <c r="E171" s="2" t="s">
        <v>2517</v>
      </c>
      <c r="F171" s="3">
        <v>10697</v>
      </c>
      <c r="G171" s="3">
        <v>849</v>
      </c>
      <c r="H171" s="3">
        <v>95</v>
      </c>
      <c r="I171" s="4">
        <v>1430.54</v>
      </c>
      <c r="J171" s="4">
        <v>20479.18</v>
      </c>
      <c r="K171" s="3">
        <v>60</v>
      </c>
      <c r="L171" s="2" t="s">
        <v>2536</v>
      </c>
      <c r="M171" s="2" t="s">
        <v>2519</v>
      </c>
      <c r="N171" s="6">
        <f t="shared" si="8"/>
        <v>1</v>
      </c>
      <c r="O171" t="str">
        <f>IF(Tabla_control[[#This Row],[Control_duplicados]]&gt;1,"Duplicado","Unico")</f>
        <v>Unico</v>
      </c>
      <c r="P171" t="str">
        <f t="shared" si="9"/>
        <v>OK</v>
      </c>
      <c r="Q171" t="str">
        <f t="shared" si="10"/>
        <v>OK</v>
      </c>
      <c r="R171" t="str">
        <f t="shared" si="11"/>
        <v>OK</v>
      </c>
    </row>
    <row r="172" spans="1:18" x14ac:dyDescent="0.3">
      <c r="A172" s="1">
        <v>45957</v>
      </c>
      <c r="B172" s="2" t="s">
        <v>2622</v>
      </c>
      <c r="C172" s="2" t="s">
        <v>2527</v>
      </c>
      <c r="D172" s="2" t="s">
        <v>2531</v>
      </c>
      <c r="E172" s="2" t="s">
        <v>2529</v>
      </c>
      <c r="F172" s="3">
        <v>35777</v>
      </c>
      <c r="G172" s="3">
        <v>2832</v>
      </c>
      <c r="H172" s="3">
        <v>350</v>
      </c>
      <c r="I172" s="4">
        <v>5404.25</v>
      </c>
      <c r="J172" s="4">
        <v>74096.95</v>
      </c>
      <c r="K172" s="3">
        <v>256</v>
      </c>
      <c r="L172" s="2" t="s">
        <v>2523</v>
      </c>
      <c r="M172" s="2" t="s">
        <v>2526</v>
      </c>
      <c r="N172" s="6">
        <f t="shared" si="8"/>
        <v>1</v>
      </c>
      <c r="O172" t="str">
        <f>IF(Tabla_control[[#This Row],[Control_duplicados]]&gt;1,"Duplicado","Unico")</f>
        <v>Unico</v>
      </c>
      <c r="P172" t="str">
        <f t="shared" si="9"/>
        <v>OK</v>
      </c>
      <c r="Q172" t="str">
        <f t="shared" si="10"/>
        <v>OK</v>
      </c>
      <c r="R172" t="str">
        <f t="shared" si="11"/>
        <v>OK</v>
      </c>
    </row>
    <row r="173" spans="1:18" x14ac:dyDescent="0.3">
      <c r="A173" s="1">
        <v>46001</v>
      </c>
      <c r="B173" s="2" t="s">
        <v>2636</v>
      </c>
      <c r="C173" s="2" t="s">
        <v>2533</v>
      </c>
      <c r="D173" s="2" t="s">
        <v>2528</v>
      </c>
      <c r="E173" s="2" t="s">
        <v>2529</v>
      </c>
      <c r="F173" s="3">
        <v>51515</v>
      </c>
      <c r="G173" s="3">
        <v>4161</v>
      </c>
      <c r="H173" s="3">
        <v>480</v>
      </c>
      <c r="I173" s="4">
        <v>3643.84</v>
      </c>
      <c r="J173" s="4">
        <v>88068.72</v>
      </c>
      <c r="K173" s="3">
        <v>338</v>
      </c>
      <c r="L173" s="2" t="s">
        <v>2523</v>
      </c>
      <c r="M173" s="2" t="s">
        <v>2526</v>
      </c>
      <c r="N173" s="6">
        <f t="shared" si="8"/>
        <v>1</v>
      </c>
      <c r="O173" t="str">
        <f>IF(Tabla_control[[#This Row],[Control_duplicados]]&gt;1,"Duplicado","Unico")</f>
        <v>Unico</v>
      </c>
      <c r="P173" t="str">
        <f t="shared" si="9"/>
        <v>OK</v>
      </c>
      <c r="Q173" t="str">
        <f t="shared" si="10"/>
        <v>OK</v>
      </c>
      <c r="R173" t="str">
        <f t="shared" si="11"/>
        <v>OK</v>
      </c>
    </row>
    <row r="174" spans="1:18" x14ac:dyDescent="0.3">
      <c r="A174" s="1">
        <v>45864</v>
      </c>
      <c r="B174" s="2" t="s">
        <v>2634</v>
      </c>
      <c r="C174" s="2" t="s">
        <v>2515</v>
      </c>
      <c r="D174" s="2" t="s">
        <v>2528</v>
      </c>
      <c r="E174" s="2" t="s">
        <v>2517</v>
      </c>
      <c r="F174" s="3">
        <v>83878</v>
      </c>
      <c r="G174" s="3">
        <v>5628</v>
      </c>
      <c r="H174" s="3">
        <v>435</v>
      </c>
      <c r="I174" s="4">
        <v>9012.74</v>
      </c>
      <c r="J174" s="4">
        <v>76121.440000000002</v>
      </c>
      <c r="K174" s="3">
        <v>200</v>
      </c>
      <c r="L174" s="2" t="s">
        <v>2523</v>
      </c>
      <c r="M174" s="2" t="s">
        <v>2546</v>
      </c>
      <c r="N174" s="6">
        <f t="shared" si="8"/>
        <v>1</v>
      </c>
      <c r="O174" t="str">
        <f>IF(Tabla_control[[#This Row],[Control_duplicados]]&gt;1,"Duplicado","Unico")</f>
        <v>Unico</v>
      </c>
      <c r="P174" t="str">
        <f t="shared" si="9"/>
        <v>OK</v>
      </c>
      <c r="Q174" t="str">
        <f t="shared" si="10"/>
        <v>OK</v>
      </c>
      <c r="R174" t="str">
        <f t="shared" si="11"/>
        <v>OK</v>
      </c>
    </row>
    <row r="175" spans="1:18" x14ac:dyDescent="0.3">
      <c r="A175" s="1">
        <v>45815</v>
      </c>
      <c r="B175" s="2" t="s">
        <v>2644</v>
      </c>
      <c r="C175" s="2" t="s">
        <v>2541</v>
      </c>
      <c r="D175" s="2" t="s">
        <v>2525</v>
      </c>
      <c r="E175" s="2" t="s">
        <v>2529</v>
      </c>
      <c r="F175" s="3">
        <v>37780</v>
      </c>
      <c r="G175" s="3">
        <v>2981</v>
      </c>
      <c r="H175" s="3">
        <v>208</v>
      </c>
      <c r="I175" s="4">
        <v>5424.77</v>
      </c>
      <c r="J175" s="4">
        <v>10400.280000000001</v>
      </c>
      <c r="K175" s="3">
        <v>108</v>
      </c>
      <c r="L175" s="2" t="s">
        <v>2539</v>
      </c>
      <c r="M175" s="2" t="s">
        <v>2537</v>
      </c>
      <c r="N175" s="6">
        <f t="shared" si="8"/>
        <v>1</v>
      </c>
      <c r="O175" t="str">
        <f>IF(Tabla_control[[#This Row],[Control_duplicados]]&gt;1,"Duplicado","Unico")</f>
        <v>Unico</v>
      </c>
      <c r="P175" t="str">
        <f t="shared" si="9"/>
        <v>OK</v>
      </c>
      <c r="Q175" t="str">
        <f t="shared" si="10"/>
        <v>OK</v>
      </c>
      <c r="R175" t="str">
        <f t="shared" si="11"/>
        <v>OK</v>
      </c>
    </row>
    <row r="176" spans="1:18" x14ac:dyDescent="0.3">
      <c r="A176" s="1">
        <v>45959</v>
      </c>
      <c r="B176" s="2" t="s">
        <v>2632</v>
      </c>
      <c r="C176" s="2" t="s">
        <v>2543</v>
      </c>
      <c r="D176" s="2" t="s">
        <v>2531</v>
      </c>
      <c r="E176" s="2" t="s">
        <v>2517</v>
      </c>
      <c r="F176" s="3">
        <v>140142</v>
      </c>
      <c r="G176" s="3">
        <v>720</v>
      </c>
      <c r="H176" s="3">
        <v>86</v>
      </c>
      <c r="I176" s="4">
        <v>654.98</v>
      </c>
      <c r="J176" s="4">
        <v>7203.58</v>
      </c>
      <c r="K176" s="3">
        <v>63</v>
      </c>
      <c r="L176" s="2" t="s">
        <v>2518</v>
      </c>
      <c r="M176" s="2" t="s">
        <v>2524</v>
      </c>
      <c r="N176" s="6">
        <f t="shared" si="8"/>
        <v>2</v>
      </c>
      <c r="O176" t="str">
        <f>IF(Tabla_control[[#This Row],[Control_duplicados]]&gt;1,"Duplicado","Unico")</f>
        <v>Duplicado</v>
      </c>
      <c r="P176" t="str">
        <f t="shared" si="9"/>
        <v>OK</v>
      </c>
      <c r="Q176" t="str">
        <f t="shared" si="10"/>
        <v>OK</v>
      </c>
      <c r="R176" t="str">
        <f t="shared" si="11"/>
        <v>OK</v>
      </c>
    </row>
    <row r="177" spans="1:18" x14ac:dyDescent="0.3">
      <c r="A177" s="1">
        <v>46012</v>
      </c>
      <c r="B177" s="2" t="s">
        <v>2615</v>
      </c>
      <c r="C177" s="2" t="s">
        <v>2521</v>
      </c>
      <c r="D177" s="2" t="s">
        <v>2522</v>
      </c>
      <c r="E177" s="2" t="s">
        <v>2529</v>
      </c>
      <c r="F177" s="3">
        <v>76778</v>
      </c>
      <c r="G177" s="3">
        <v>1269</v>
      </c>
      <c r="H177" s="3">
        <v>61</v>
      </c>
      <c r="I177" s="4">
        <v>1272.3599999999999</v>
      </c>
      <c r="J177" s="4">
        <v>3268.91</v>
      </c>
      <c r="K177" s="3">
        <v>41</v>
      </c>
      <c r="L177" s="2" t="s">
        <v>2523</v>
      </c>
      <c r="M177" s="2" t="s">
        <v>2524</v>
      </c>
      <c r="N177" s="6">
        <f t="shared" si="8"/>
        <v>1</v>
      </c>
      <c r="O177" t="str">
        <f>IF(Tabla_control[[#This Row],[Control_duplicados]]&gt;1,"Duplicado","Unico")</f>
        <v>Unico</v>
      </c>
      <c r="P177" t="str">
        <f t="shared" si="9"/>
        <v>OK</v>
      </c>
      <c r="Q177" t="str">
        <f t="shared" si="10"/>
        <v>OK</v>
      </c>
      <c r="R177" t="str">
        <f t="shared" si="11"/>
        <v>OK</v>
      </c>
    </row>
    <row r="178" spans="1:18" x14ac:dyDescent="0.3">
      <c r="A178" s="1">
        <v>45792</v>
      </c>
      <c r="B178" s="2" t="s">
        <v>2629</v>
      </c>
      <c r="C178" s="2" t="s">
        <v>2543</v>
      </c>
      <c r="D178" s="2" t="s">
        <v>2528</v>
      </c>
      <c r="E178" s="2" t="s">
        <v>2517</v>
      </c>
      <c r="F178" s="3">
        <v>118268</v>
      </c>
      <c r="G178" s="3">
        <v>1755</v>
      </c>
      <c r="H178" s="3">
        <v>147</v>
      </c>
      <c r="I178" s="4">
        <v>2369.2199999999998</v>
      </c>
      <c r="J178" s="4">
        <v>27133.4</v>
      </c>
      <c r="K178" s="3">
        <v>94</v>
      </c>
      <c r="L178" s="2" t="s">
        <v>2518</v>
      </c>
      <c r="M178" s="2" t="s">
        <v>2524</v>
      </c>
      <c r="N178" s="6">
        <f t="shared" si="8"/>
        <v>1</v>
      </c>
      <c r="O178" t="str">
        <f>IF(Tabla_control[[#This Row],[Control_duplicados]]&gt;1,"Duplicado","Unico")</f>
        <v>Unico</v>
      </c>
      <c r="P178" t="str">
        <f t="shared" si="9"/>
        <v>OK</v>
      </c>
      <c r="Q178" t="str">
        <f t="shared" si="10"/>
        <v>OK</v>
      </c>
      <c r="R178" t="str">
        <f t="shared" si="11"/>
        <v>OK</v>
      </c>
    </row>
    <row r="179" spans="1:18" x14ac:dyDescent="0.3">
      <c r="A179" s="1">
        <v>45749</v>
      </c>
      <c r="B179" s="2" t="s">
        <v>2637</v>
      </c>
      <c r="C179" s="2" t="s">
        <v>2541</v>
      </c>
      <c r="D179" s="2" t="s">
        <v>2531</v>
      </c>
      <c r="E179" s="2" t="s">
        <v>2529</v>
      </c>
      <c r="F179" s="3">
        <v>84649</v>
      </c>
      <c r="G179" s="3">
        <v>4760</v>
      </c>
      <c r="H179" s="3">
        <v>341</v>
      </c>
      <c r="I179" s="4">
        <v>4437.7299999999996</v>
      </c>
      <c r="J179" s="4">
        <v>12820.09</v>
      </c>
      <c r="K179" s="3">
        <v>243</v>
      </c>
      <c r="L179" s="2" t="s">
        <v>2518</v>
      </c>
      <c r="M179" s="2" t="s">
        <v>2524</v>
      </c>
      <c r="N179" s="6">
        <f t="shared" si="8"/>
        <v>1</v>
      </c>
      <c r="O179" t="str">
        <f>IF(Tabla_control[[#This Row],[Control_duplicados]]&gt;1,"Duplicado","Unico")</f>
        <v>Unico</v>
      </c>
      <c r="P179" t="str">
        <f t="shared" si="9"/>
        <v>OK</v>
      </c>
      <c r="Q179" t="str">
        <f t="shared" si="10"/>
        <v>OK</v>
      </c>
      <c r="R179" t="str">
        <f t="shared" si="11"/>
        <v>OK</v>
      </c>
    </row>
    <row r="180" spans="1:18" x14ac:dyDescent="0.3">
      <c r="A180" s="1">
        <v>45879</v>
      </c>
      <c r="B180" s="2" t="s">
        <v>2641</v>
      </c>
      <c r="C180" s="2" t="s">
        <v>2645</v>
      </c>
      <c r="D180" s="2" t="s">
        <v>2528</v>
      </c>
      <c r="E180" s="2" t="s">
        <v>2517</v>
      </c>
      <c r="F180" s="3">
        <v>149611</v>
      </c>
      <c r="G180" s="3">
        <v>8402</v>
      </c>
      <c r="H180" s="3">
        <v>717</v>
      </c>
      <c r="I180" s="4">
        <v>3182.49</v>
      </c>
      <c r="J180" s="4">
        <v>130126.07</v>
      </c>
      <c r="K180" s="3">
        <v>519</v>
      </c>
      <c r="L180" s="2" t="s">
        <v>2518</v>
      </c>
      <c r="M180" s="2" t="s">
        <v>2546</v>
      </c>
      <c r="N180" s="6">
        <f t="shared" si="8"/>
        <v>1</v>
      </c>
      <c r="O180" t="str">
        <f>IF(Tabla_control[[#This Row],[Control_duplicados]]&gt;1,"Duplicado","Unico")</f>
        <v>Unico</v>
      </c>
      <c r="P180" t="str">
        <f t="shared" si="9"/>
        <v>OK</v>
      </c>
      <c r="Q180" t="str">
        <f t="shared" si="10"/>
        <v>OK</v>
      </c>
      <c r="R180" t="str">
        <f t="shared" si="11"/>
        <v>OK</v>
      </c>
    </row>
    <row r="181" spans="1:18" x14ac:dyDescent="0.3">
      <c r="A181" s="1">
        <v>45888</v>
      </c>
      <c r="B181" s="2" t="s">
        <v>2621</v>
      </c>
      <c r="C181" s="2" t="s">
        <v>2527</v>
      </c>
      <c r="D181" s="2" t="s">
        <v>2531</v>
      </c>
      <c r="E181" s="2" t="s">
        <v>2517</v>
      </c>
      <c r="F181" s="3">
        <v>102417</v>
      </c>
      <c r="G181" s="3">
        <v>7999</v>
      </c>
      <c r="H181" s="3">
        <v>1066</v>
      </c>
      <c r="I181" s="4">
        <v>10019.24</v>
      </c>
      <c r="J181" s="4">
        <v>171998.5</v>
      </c>
      <c r="K181" s="3">
        <v>772</v>
      </c>
      <c r="L181" s="2" t="s">
        <v>2539</v>
      </c>
      <c r="M181" s="2" t="s">
        <v>2546</v>
      </c>
      <c r="N181" s="6">
        <f t="shared" si="8"/>
        <v>1</v>
      </c>
      <c r="O181" t="str">
        <f>IF(Tabla_control[[#This Row],[Control_duplicados]]&gt;1,"Duplicado","Unico")</f>
        <v>Unico</v>
      </c>
      <c r="P181" t="str">
        <f t="shared" si="9"/>
        <v>OK</v>
      </c>
      <c r="Q181" t="str">
        <f t="shared" si="10"/>
        <v>OK</v>
      </c>
      <c r="R181" t="str">
        <f t="shared" si="11"/>
        <v>OK</v>
      </c>
    </row>
    <row r="182" spans="1:18" x14ac:dyDescent="0.3">
      <c r="A182" s="1">
        <v>45978</v>
      </c>
      <c r="B182" s="2" t="s">
        <v>2627</v>
      </c>
      <c r="C182" s="2" t="s">
        <v>2527</v>
      </c>
      <c r="D182" s="2" t="s">
        <v>2528</v>
      </c>
      <c r="E182" s="2" t="s">
        <v>2517</v>
      </c>
      <c r="F182" s="3">
        <v>63443</v>
      </c>
      <c r="G182" s="3">
        <v>2659</v>
      </c>
      <c r="H182" s="3">
        <v>27</v>
      </c>
      <c r="I182" s="4">
        <v>1559.63</v>
      </c>
      <c r="J182" s="4">
        <v>4827.67</v>
      </c>
      <c r="K182" s="3">
        <v>19</v>
      </c>
      <c r="L182" s="2" t="s">
        <v>2518</v>
      </c>
      <c r="M182" s="2" t="s">
        <v>2524</v>
      </c>
      <c r="N182" s="6">
        <f t="shared" si="8"/>
        <v>1</v>
      </c>
      <c r="O182" t="str">
        <f>IF(Tabla_control[[#This Row],[Control_duplicados]]&gt;1,"Duplicado","Unico")</f>
        <v>Unico</v>
      </c>
      <c r="P182" t="str">
        <f t="shared" si="9"/>
        <v>OK</v>
      </c>
      <c r="Q182" t="str">
        <f t="shared" si="10"/>
        <v>OK</v>
      </c>
      <c r="R182" t="str">
        <f t="shared" si="11"/>
        <v>OK</v>
      </c>
    </row>
    <row r="183" spans="1:18" x14ac:dyDescent="0.3">
      <c r="A183" s="1">
        <v>45731</v>
      </c>
      <c r="B183" s="2" t="s">
        <v>2642</v>
      </c>
      <c r="C183" s="2" t="s">
        <v>2543</v>
      </c>
      <c r="D183" s="2" t="s">
        <v>2531</v>
      </c>
      <c r="E183" s="2" t="s">
        <v>2534</v>
      </c>
      <c r="F183" s="3">
        <v>54129</v>
      </c>
      <c r="G183" s="3">
        <v>1124</v>
      </c>
      <c r="H183" s="3">
        <v>67</v>
      </c>
      <c r="I183" s="4">
        <v>1833.71</v>
      </c>
      <c r="J183" s="4">
        <v>10818.44</v>
      </c>
      <c r="K183" s="3">
        <v>30</v>
      </c>
      <c r="L183" s="2" t="s">
        <v>2518</v>
      </c>
      <c r="M183" s="2" t="s">
        <v>2537</v>
      </c>
      <c r="N183" s="6">
        <f t="shared" si="8"/>
        <v>1</v>
      </c>
      <c r="O183" t="str">
        <f>IF(Tabla_control[[#This Row],[Control_duplicados]]&gt;1,"Duplicado","Unico")</f>
        <v>Unico</v>
      </c>
      <c r="P183" t="str">
        <f t="shared" si="9"/>
        <v>OK</v>
      </c>
      <c r="Q183" t="str">
        <f t="shared" si="10"/>
        <v>OK</v>
      </c>
      <c r="R183" t="str">
        <f t="shared" si="11"/>
        <v>OK</v>
      </c>
    </row>
    <row r="184" spans="1:18" x14ac:dyDescent="0.3">
      <c r="A184" s="1">
        <v>45885</v>
      </c>
      <c r="B184" s="2" t="s">
        <v>2619</v>
      </c>
      <c r="C184" s="2" t="s">
        <v>2521</v>
      </c>
      <c r="D184" s="2" t="s">
        <v>2516</v>
      </c>
      <c r="E184" s="2" t="s">
        <v>2529</v>
      </c>
      <c r="F184" s="3">
        <v>34490</v>
      </c>
      <c r="G184" s="3">
        <v>3056</v>
      </c>
      <c r="H184" s="3">
        <v>414</v>
      </c>
      <c r="I184" s="4">
        <v>3242.33</v>
      </c>
      <c r="J184" s="4">
        <v>41365.42</v>
      </c>
      <c r="K184" s="3">
        <v>227</v>
      </c>
      <c r="L184" s="2" t="s">
        <v>2539</v>
      </c>
      <c r="M184" s="2" t="s">
        <v>2519</v>
      </c>
      <c r="N184" s="6">
        <f t="shared" si="8"/>
        <v>1</v>
      </c>
      <c r="O184" t="str">
        <f>IF(Tabla_control[[#This Row],[Control_duplicados]]&gt;1,"Duplicado","Unico")</f>
        <v>Unico</v>
      </c>
      <c r="P184" t="str">
        <f t="shared" si="9"/>
        <v>OK</v>
      </c>
      <c r="Q184" t="str">
        <f t="shared" si="10"/>
        <v>OK</v>
      </c>
      <c r="R184" t="str">
        <f t="shared" si="11"/>
        <v>OK</v>
      </c>
    </row>
    <row r="185" spans="1:18" x14ac:dyDescent="0.3">
      <c r="A185" s="1">
        <v>45689</v>
      </c>
      <c r="B185" s="2" t="s">
        <v>2639</v>
      </c>
      <c r="C185" s="2" t="s">
        <v>2521</v>
      </c>
      <c r="D185" s="2" t="s">
        <v>2528</v>
      </c>
      <c r="E185" s="2" t="s">
        <v>2529</v>
      </c>
      <c r="F185" s="3">
        <v>1442</v>
      </c>
      <c r="G185" s="3">
        <v>113</v>
      </c>
      <c r="H185" s="3">
        <v>13</v>
      </c>
      <c r="I185" s="4">
        <v>147.84</v>
      </c>
      <c r="J185" s="4">
        <v>2250.66</v>
      </c>
      <c r="K185" s="3">
        <v>6</v>
      </c>
      <c r="L185" s="2" t="s">
        <v>2523</v>
      </c>
      <c r="M185" s="2" t="s">
        <v>2524</v>
      </c>
      <c r="N185" s="6">
        <f t="shared" si="8"/>
        <v>1</v>
      </c>
      <c r="O185" t="str">
        <f>IF(Tabla_control[[#This Row],[Control_duplicados]]&gt;1,"Duplicado","Unico")</f>
        <v>Unico</v>
      </c>
      <c r="P185" t="str">
        <f t="shared" si="9"/>
        <v>OK</v>
      </c>
      <c r="Q185" t="str">
        <f t="shared" si="10"/>
        <v>OK</v>
      </c>
      <c r="R185" t="str">
        <f t="shared" si="11"/>
        <v>OK</v>
      </c>
    </row>
    <row r="186" spans="1:18" x14ac:dyDescent="0.3">
      <c r="A186" s="1">
        <v>45865</v>
      </c>
      <c r="B186" s="2" t="s">
        <v>2635</v>
      </c>
      <c r="C186" s="2" t="s">
        <v>2515</v>
      </c>
      <c r="D186" s="2" t="s">
        <v>2531</v>
      </c>
      <c r="E186" s="2" t="s">
        <v>2529</v>
      </c>
      <c r="F186" s="3">
        <v>175538</v>
      </c>
      <c r="G186" s="3">
        <v>9664</v>
      </c>
      <c r="H186" s="3">
        <v>942</v>
      </c>
      <c r="I186" s="4">
        <v>10330.530000000001</v>
      </c>
      <c r="J186" s="4">
        <v>27823.85</v>
      </c>
      <c r="K186" s="3">
        <v>443</v>
      </c>
      <c r="L186" s="2" t="s">
        <v>2536</v>
      </c>
      <c r="M186" s="2" t="s">
        <v>2524</v>
      </c>
      <c r="N186" s="6">
        <f t="shared" si="8"/>
        <v>1</v>
      </c>
      <c r="O186" t="str">
        <f>IF(Tabla_control[[#This Row],[Control_duplicados]]&gt;1,"Duplicado","Unico")</f>
        <v>Unico</v>
      </c>
      <c r="P186" t="str">
        <f t="shared" si="9"/>
        <v>OK</v>
      </c>
      <c r="Q186" t="str">
        <f t="shared" si="10"/>
        <v>OK</v>
      </c>
      <c r="R186" t="str">
        <f t="shared" si="11"/>
        <v>OK</v>
      </c>
    </row>
    <row r="187" spans="1:18" x14ac:dyDescent="0.3">
      <c r="A187" s="1">
        <v>45920</v>
      </c>
      <c r="B187" s="2" t="s">
        <v>2633</v>
      </c>
      <c r="C187" s="2" t="s">
        <v>2541</v>
      </c>
      <c r="D187" s="2" t="s">
        <v>2516</v>
      </c>
      <c r="E187" s="2" t="s">
        <v>2529</v>
      </c>
      <c r="F187" s="3">
        <v>106994</v>
      </c>
      <c r="G187" s="3">
        <v>2689</v>
      </c>
      <c r="H187" s="3">
        <v>356</v>
      </c>
      <c r="I187" s="4">
        <v>2763.42</v>
      </c>
      <c r="J187" s="4">
        <v>30823.62</v>
      </c>
      <c r="K187" s="3">
        <v>265</v>
      </c>
      <c r="L187" s="2" t="s">
        <v>2523</v>
      </c>
      <c r="M187" s="2" t="s">
        <v>2546</v>
      </c>
      <c r="N187" s="6">
        <f t="shared" si="8"/>
        <v>1</v>
      </c>
      <c r="O187" t="str">
        <f>IF(Tabla_control[[#This Row],[Control_duplicados]]&gt;1,"Duplicado","Unico")</f>
        <v>Unico</v>
      </c>
      <c r="P187" t="str">
        <f t="shared" si="9"/>
        <v>OK</v>
      </c>
      <c r="Q187" t="str">
        <f t="shared" si="10"/>
        <v>OK</v>
      </c>
      <c r="R187" t="str">
        <f t="shared" si="11"/>
        <v>OK</v>
      </c>
    </row>
    <row r="188" spans="1:18" x14ac:dyDescent="0.3">
      <c r="A188" s="1">
        <v>46014</v>
      </c>
      <c r="B188" s="2" t="s">
        <v>2639</v>
      </c>
      <c r="C188" s="2" t="s">
        <v>2527</v>
      </c>
      <c r="D188" s="2" t="s">
        <v>2528</v>
      </c>
      <c r="E188" s="2" t="s">
        <v>2529</v>
      </c>
      <c r="F188" s="3">
        <v>30052</v>
      </c>
      <c r="G188" s="3">
        <v>1317</v>
      </c>
      <c r="H188" s="3">
        <v>166</v>
      </c>
      <c r="I188" s="4">
        <v>2716.37</v>
      </c>
      <c r="J188" s="4">
        <v>31158.799999999999</v>
      </c>
      <c r="K188" s="3">
        <v>124</v>
      </c>
      <c r="L188" s="2" t="s">
        <v>2523</v>
      </c>
      <c r="M188" s="2" t="s">
        <v>2537</v>
      </c>
      <c r="N188" s="6">
        <f t="shared" si="8"/>
        <v>1</v>
      </c>
      <c r="O188" t="str">
        <f>IF(Tabla_control[[#This Row],[Control_duplicados]]&gt;1,"Duplicado","Unico")</f>
        <v>Unico</v>
      </c>
      <c r="P188" t="str">
        <f t="shared" si="9"/>
        <v>OK</v>
      </c>
      <c r="Q188" t="str">
        <f t="shared" si="10"/>
        <v>OK</v>
      </c>
      <c r="R188" t="str">
        <f t="shared" si="11"/>
        <v>OK</v>
      </c>
    </row>
    <row r="189" spans="1:18" x14ac:dyDescent="0.3">
      <c r="A189" s="1">
        <v>45936</v>
      </c>
      <c r="B189" s="2" t="s">
        <v>2630</v>
      </c>
      <c r="C189" s="2" t="s">
        <v>2543</v>
      </c>
      <c r="D189" s="2" t="s">
        <v>2525</v>
      </c>
      <c r="E189" s="2" t="s">
        <v>2517</v>
      </c>
      <c r="F189" s="3">
        <v>83548</v>
      </c>
      <c r="G189" s="3">
        <v>638</v>
      </c>
      <c r="H189" s="3">
        <v>21</v>
      </c>
      <c r="I189" s="4">
        <v>1269.7</v>
      </c>
      <c r="J189" s="4">
        <v>1766.04</v>
      </c>
      <c r="K189" s="3">
        <v>12</v>
      </c>
      <c r="L189" s="2" t="s">
        <v>2523</v>
      </c>
      <c r="M189" s="2" t="s">
        <v>2537</v>
      </c>
      <c r="N189" s="6">
        <f t="shared" si="8"/>
        <v>1</v>
      </c>
      <c r="O189" t="str">
        <f>IF(Tabla_control[[#This Row],[Control_duplicados]]&gt;1,"Duplicado","Unico")</f>
        <v>Unico</v>
      </c>
      <c r="P189" t="str">
        <f t="shared" si="9"/>
        <v>OK</v>
      </c>
      <c r="Q189" t="str">
        <f t="shared" si="10"/>
        <v>OK</v>
      </c>
      <c r="R189" t="str">
        <f t="shared" si="11"/>
        <v>OK</v>
      </c>
    </row>
    <row r="190" spans="1:18" x14ac:dyDescent="0.3">
      <c r="A190" s="1">
        <v>45859</v>
      </c>
      <c r="B190" s="2" t="s">
        <v>2640</v>
      </c>
      <c r="C190" s="2" t="s">
        <v>2533</v>
      </c>
      <c r="D190" s="2" t="s">
        <v>2522</v>
      </c>
      <c r="E190" s="2" t="s">
        <v>2517</v>
      </c>
      <c r="F190" s="3">
        <v>58384</v>
      </c>
      <c r="G190" s="3">
        <v>5247</v>
      </c>
      <c r="H190" s="3">
        <v>264</v>
      </c>
      <c r="I190" s="4">
        <v>2724.49</v>
      </c>
      <c r="J190" s="4">
        <v>45380.79</v>
      </c>
      <c r="K190" s="3">
        <v>147</v>
      </c>
      <c r="L190" s="2" t="s">
        <v>2523</v>
      </c>
      <c r="M190" s="2" t="s">
        <v>2519</v>
      </c>
      <c r="N190" s="6">
        <f t="shared" si="8"/>
        <v>1</v>
      </c>
      <c r="O190" t="str">
        <f>IF(Tabla_control[[#This Row],[Control_duplicados]]&gt;1,"Duplicado","Unico")</f>
        <v>Unico</v>
      </c>
      <c r="P190" t="str">
        <f t="shared" si="9"/>
        <v>OK</v>
      </c>
      <c r="Q190" t="str">
        <f t="shared" si="10"/>
        <v>OK</v>
      </c>
      <c r="R190" t="str">
        <f t="shared" si="11"/>
        <v>OK</v>
      </c>
    </row>
    <row r="191" spans="1:18" x14ac:dyDescent="0.3">
      <c r="A191" s="1">
        <v>45956</v>
      </c>
      <c r="B191" s="2" t="s">
        <v>2628</v>
      </c>
      <c r="C191" s="2" t="s">
        <v>2541</v>
      </c>
      <c r="D191" s="2" t="s">
        <v>2531</v>
      </c>
      <c r="E191" s="2" t="s">
        <v>2517</v>
      </c>
      <c r="F191" s="3">
        <v>67410</v>
      </c>
      <c r="G191" s="3">
        <v>5920</v>
      </c>
      <c r="H191" s="3">
        <v>597</v>
      </c>
      <c r="I191" s="4">
        <v>4375.7700000000004</v>
      </c>
      <c r="J191" s="4">
        <v>115873.52</v>
      </c>
      <c r="K191" s="3">
        <v>470</v>
      </c>
      <c r="L191" s="2" t="s">
        <v>2536</v>
      </c>
      <c r="M191" s="2" t="s">
        <v>2546</v>
      </c>
      <c r="N191" s="6">
        <f t="shared" si="8"/>
        <v>1</v>
      </c>
      <c r="O191" t="str">
        <f>IF(Tabla_control[[#This Row],[Control_duplicados]]&gt;1,"Duplicado","Unico")</f>
        <v>Unico</v>
      </c>
      <c r="P191" t="str">
        <f t="shared" si="9"/>
        <v>OK</v>
      </c>
      <c r="Q191" t="str">
        <f t="shared" si="10"/>
        <v>OK</v>
      </c>
      <c r="R191" t="str">
        <f t="shared" si="11"/>
        <v>OK</v>
      </c>
    </row>
    <row r="192" spans="1:18" x14ac:dyDescent="0.3">
      <c r="A192" s="1">
        <v>45918</v>
      </c>
      <c r="B192" s="2" t="s">
        <v>2634</v>
      </c>
      <c r="C192" s="2" t="s">
        <v>2533</v>
      </c>
      <c r="D192" s="2" t="s">
        <v>2528</v>
      </c>
      <c r="E192" s="2" t="s">
        <v>2517</v>
      </c>
      <c r="F192" s="3">
        <v>143658</v>
      </c>
      <c r="G192" s="3">
        <v>3330</v>
      </c>
      <c r="H192" s="3">
        <v>139</v>
      </c>
      <c r="I192" s="4">
        <v>5711.52</v>
      </c>
      <c r="J192" s="4">
        <v>19409.71</v>
      </c>
      <c r="K192" s="3">
        <v>97</v>
      </c>
      <c r="L192" s="2" t="s">
        <v>2539</v>
      </c>
      <c r="M192" s="2" t="s">
        <v>2524</v>
      </c>
      <c r="N192" s="6">
        <f t="shared" si="8"/>
        <v>1</v>
      </c>
      <c r="O192" t="str">
        <f>IF(Tabla_control[[#This Row],[Control_duplicados]]&gt;1,"Duplicado","Unico")</f>
        <v>Unico</v>
      </c>
      <c r="P192" t="str">
        <f t="shared" si="9"/>
        <v>OK</v>
      </c>
      <c r="Q192" t="str">
        <f t="shared" si="10"/>
        <v>OK</v>
      </c>
      <c r="R192" t="str">
        <f t="shared" si="11"/>
        <v>OK</v>
      </c>
    </row>
    <row r="193" spans="1:18" x14ac:dyDescent="0.3">
      <c r="A193" s="1">
        <v>45920</v>
      </c>
      <c r="B193" s="2" t="s">
        <v>2641</v>
      </c>
      <c r="C193" s="2" t="s">
        <v>2543</v>
      </c>
      <c r="D193" s="2" t="s">
        <v>2516</v>
      </c>
      <c r="E193" s="2" t="s">
        <v>2529</v>
      </c>
      <c r="F193" s="3">
        <v>37343</v>
      </c>
      <c r="G193" s="3">
        <v>575</v>
      </c>
      <c r="H193" s="3">
        <v>32</v>
      </c>
      <c r="I193" s="4">
        <v>394.15</v>
      </c>
      <c r="J193" s="4">
        <v>3013.09</v>
      </c>
      <c r="K193" s="3">
        <v>21</v>
      </c>
      <c r="L193" s="2" t="s">
        <v>2518</v>
      </c>
      <c r="M193" s="2" t="s">
        <v>2537</v>
      </c>
      <c r="N193" s="6">
        <f t="shared" si="8"/>
        <v>1</v>
      </c>
      <c r="O193" t="str">
        <f>IF(Tabla_control[[#This Row],[Control_duplicados]]&gt;1,"Duplicado","Unico")</f>
        <v>Unico</v>
      </c>
      <c r="P193" t="str">
        <f t="shared" si="9"/>
        <v>OK</v>
      </c>
      <c r="Q193" t="str">
        <f t="shared" si="10"/>
        <v>OK</v>
      </c>
      <c r="R193" t="str">
        <f t="shared" si="11"/>
        <v>OK</v>
      </c>
    </row>
    <row r="194" spans="1:18" x14ac:dyDescent="0.3">
      <c r="A194" s="1">
        <v>45883</v>
      </c>
      <c r="B194" s="2" t="s">
        <v>2617</v>
      </c>
      <c r="C194" s="2" t="s">
        <v>2541</v>
      </c>
      <c r="D194" s="2" t="s">
        <v>2528</v>
      </c>
      <c r="E194" s="2" t="s">
        <v>2529</v>
      </c>
      <c r="F194" s="3">
        <v>99860</v>
      </c>
      <c r="G194" s="3">
        <v>4250</v>
      </c>
      <c r="H194" s="3">
        <v>534</v>
      </c>
      <c r="I194" s="4">
        <v>7379.33</v>
      </c>
      <c r="J194" s="4">
        <v>73696.14</v>
      </c>
      <c r="K194" s="3">
        <v>344</v>
      </c>
      <c r="L194" s="2" t="s">
        <v>2539</v>
      </c>
      <c r="M194" s="2" t="s">
        <v>2537</v>
      </c>
      <c r="N194" s="6">
        <f t="shared" ref="N194:N257" si="12">COUNTIFS($A$2:$A$2536,A194,$B$2:$B$2536,B194,$C$2:$C$2536,C194,$D$2:$D$2536,D194,$E$2:$E$2536,E194,$F$2:$F$2536,F194,$G$2:$G$2536,G194,$H$2:$H$2536,H194,$I$2:$I$2536,I194,$J$2:$J$2536,J194,$K$2:$K$2536,K194,$L$2:$L$2536,L194,$M$2:$M$2536,M194)</f>
        <v>1</v>
      </c>
      <c r="O194" t="str">
        <f>IF(Tabla_control[[#This Row],[Control_duplicados]]&gt;1,"Duplicado","Unico")</f>
        <v>Unico</v>
      </c>
      <c r="P194" t="str">
        <f t="shared" ref="P194:P257" si="13">IF(OR(I194="",I194&lt;0),"ERROR","OK")</f>
        <v>OK</v>
      </c>
      <c r="Q194" t="str">
        <f t="shared" ref="Q194:Q257" si="14">IF(H194&gt;F194,"ERROR","OK")</f>
        <v>OK</v>
      </c>
      <c r="R194" t="str">
        <f t="shared" ref="R194:R257" si="15">IF(K194&gt;H194,"ERROR","OK")</f>
        <v>OK</v>
      </c>
    </row>
    <row r="195" spans="1:18" x14ac:dyDescent="0.3">
      <c r="A195" s="1">
        <v>45751</v>
      </c>
      <c r="B195" s="2" t="s">
        <v>2625</v>
      </c>
      <c r="C195" s="2" t="s">
        <v>2533</v>
      </c>
      <c r="D195" s="2" t="s">
        <v>2528</v>
      </c>
      <c r="E195" s="2" t="s">
        <v>2529</v>
      </c>
      <c r="F195" s="3">
        <v>68867</v>
      </c>
      <c r="G195" s="3">
        <v>1547</v>
      </c>
      <c r="H195" s="3">
        <v>131</v>
      </c>
      <c r="I195" s="4">
        <v>1695.16</v>
      </c>
      <c r="J195" s="4">
        <v>21946.34</v>
      </c>
      <c r="K195" s="3">
        <v>94</v>
      </c>
      <c r="L195" s="2" t="s">
        <v>2523</v>
      </c>
      <c r="M195" s="2" t="s">
        <v>2519</v>
      </c>
      <c r="N195" s="6">
        <f t="shared" si="12"/>
        <v>1</v>
      </c>
      <c r="O195" t="str">
        <f>IF(Tabla_control[[#This Row],[Control_duplicados]]&gt;1,"Duplicado","Unico")</f>
        <v>Unico</v>
      </c>
      <c r="P195" t="str">
        <f t="shared" si="13"/>
        <v>OK</v>
      </c>
      <c r="Q195" t="str">
        <f t="shared" si="14"/>
        <v>OK</v>
      </c>
      <c r="R195" t="str">
        <f t="shared" si="15"/>
        <v>OK</v>
      </c>
    </row>
    <row r="196" spans="1:18" x14ac:dyDescent="0.3">
      <c r="A196" s="1">
        <v>45882</v>
      </c>
      <c r="B196" s="2" t="s">
        <v>2622</v>
      </c>
      <c r="C196" s="2" t="s">
        <v>2527</v>
      </c>
      <c r="D196" s="2" t="s">
        <v>2525</v>
      </c>
      <c r="E196" s="2" t="s">
        <v>2534</v>
      </c>
      <c r="F196" s="3">
        <v>66906</v>
      </c>
      <c r="G196" s="3">
        <v>4300</v>
      </c>
      <c r="H196" s="3">
        <v>84</v>
      </c>
      <c r="I196" s="4">
        <v>6004.22</v>
      </c>
      <c r="J196" s="4">
        <v>8643.41</v>
      </c>
      <c r="K196" s="3">
        <v>75</v>
      </c>
      <c r="L196" s="2" t="s">
        <v>2539</v>
      </c>
      <c r="M196" s="2" t="s">
        <v>2519</v>
      </c>
      <c r="N196" s="6">
        <f t="shared" si="12"/>
        <v>1</v>
      </c>
      <c r="O196" t="str">
        <f>IF(Tabla_control[[#This Row],[Control_duplicados]]&gt;1,"Duplicado","Unico")</f>
        <v>Unico</v>
      </c>
      <c r="P196" t="str">
        <f t="shared" si="13"/>
        <v>OK</v>
      </c>
      <c r="Q196" t="str">
        <f t="shared" si="14"/>
        <v>OK</v>
      </c>
      <c r="R196" t="str">
        <f t="shared" si="15"/>
        <v>OK</v>
      </c>
    </row>
    <row r="197" spans="1:18" x14ac:dyDescent="0.3">
      <c r="A197" s="1">
        <v>45781</v>
      </c>
      <c r="B197" s="2" t="s">
        <v>2625</v>
      </c>
      <c r="C197" s="2" t="s">
        <v>2527</v>
      </c>
      <c r="D197" s="2" t="s">
        <v>2528</v>
      </c>
      <c r="E197" s="2" t="s">
        <v>2529</v>
      </c>
      <c r="F197" s="3">
        <v>168910</v>
      </c>
      <c r="G197" s="3">
        <v>3675</v>
      </c>
      <c r="H197" s="3">
        <v>120</v>
      </c>
      <c r="I197" s="4">
        <v>7407.12</v>
      </c>
      <c r="J197" s="4">
        <v>14522.13</v>
      </c>
      <c r="K197" s="3">
        <v>54</v>
      </c>
      <c r="L197" s="2" t="s">
        <v>2518</v>
      </c>
      <c r="M197" s="2" t="s">
        <v>2519</v>
      </c>
      <c r="N197" s="6">
        <f t="shared" si="12"/>
        <v>1</v>
      </c>
      <c r="O197" t="str">
        <f>IF(Tabla_control[[#This Row],[Control_duplicados]]&gt;1,"Duplicado","Unico")</f>
        <v>Unico</v>
      </c>
      <c r="P197" t="str">
        <f t="shared" si="13"/>
        <v>OK</v>
      </c>
      <c r="Q197" t="str">
        <f t="shared" si="14"/>
        <v>OK</v>
      </c>
      <c r="R197" t="str">
        <f t="shared" si="15"/>
        <v>OK</v>
      </c>
    </row>
    <row r="198" spans="1:18" x14ac:dyDescent="0.3">
      <c r="A198" s="1">
        <v>45713</v>
      </c>
      <c r="B198" s="2" t="s">
        <v>2635</v>
      </c>
      <c r="C198" s="2" t="s">
        <v>2533</v>
      </c>
      <c r="D198" s="2" t="s">
        <v>2645</v>
      </c>
      <c r="E198" s="2" t="s">
        <v>2529</v>
      </c>
      <c r="F198" s="3">
        <v>30501</v>
      </c>
      <c r="G198" s="3">
        <v>330</v>
      </c>
      <c r="H198" s="3">
        <v>18</v>
      </c>
      <c r="I198" s="4">
        <v>68.59</v>
      </c>
      <c r="J198" s="4">
        <v>1006.33</v>
      </c>
      <c r="K198" s="3">
        <v>11</v>
      </c>
      <c r="L198" s="2" t="s">
        <v>2523</v>
      </c>
      <c r="M198" s="2" t="s">
        <v>2524</v>
      </c>
      <c r="N198" s="6">
        <f t="shared" si="12"/>
        <v>1</v>
      </c>
      <c r="O198" t="str">
        <f>IF(Tabla_control[[#This Row],[Control_duplicados]]&gt;1,"Duplicado","Unico")</f>
        <v>Unico</v>
      </c>
      <c r="P198" t="str">
        <f t="shared" si="13"/>
        <v>OK</v>
      </c>
      <c r="Q198" t="str">
        <f t="shared" si="14"/>
        <v>OK</v>
      </c>
      <c r="R198" t="str">
        <f t="shared" si="15"/>
        <v>OK</v>
      </c>
    </row>
    <row r="199" spans="1:18" x14ac:dyDescent="0.3">
      <c r="A199" s="1">
        <v>45667</v>
      </c>
      <c r="B199" s="2" t="s">
        <v>2637</v>
      </c>
      <c r="C199" s="2" t="s">
        <v>2533</v>
      </c>
      <c r="D199" s="2" t="s">
        <v>2516</v>
      </c>
      <c r="E199" s="2" t="s">
        <v>2529</v>
      </c>
      <c r="F199" s="3">
        <v>26787</v>
      </c>
      <c r="G199" s="3">
        <v>192</v>
      </c>
      <c r="H199" s="3">
        <v>25</v>
      </c>
      <c r="I199" s="4">
        <v>164</v>
      </c>
      <c r="J199" s="4">
        <v>5048.43</v>
      </c>
      <c r="K199" s="3">
        <v>15</v>
      </c>
      <c r="L199" s="2" t="s">
        <v>2523</v>
      </c>
      <c r="M199" s="2" t="s">
        <v>2526</v>
      </c>
      <c r="N199" s="6">
        <f t="shared" si="12"/>
        <v>1</v>
      </c>
      <c r="O199" t="str">
        <f>IF(Tabla_control[[#This Row],[Control_duplicados]]&gt;1,"Duplicado","Unico")</f>
        <v>Unico</v>
      </c>
      <c r="P199" t="str">
        <f t="shared" si="13"/>
        <v>OK</v>
      </c>
      <c r="Q199" t="str">
        <f t="shared" si="14"/>
        <v>OK</v>
      </c>
      <c r="R199" t="str">
        <f t="shared" si="15"/>
        <v>OK</v>
      </c>
    </row>
    <row r="200" spans="1:18" x14ac:dyDescent="0.3">
      <c r="A200" s="1">
        <v>45708</v>
      </c>
      <c r="B200" s="2" t="s">
        <v>2619</v>
      </c>
      <c r="C200" s="2" t="s">
        <v>2541</v>
      </c>
      <c r="D200" s="2" t="s">
        <v>2522</v>
      </c>
      <c r="E200" s="2" t="s">
        <v>2534</v>
      </c>
      <c r="F200" s="3">
        <v>102524</v>
      </c>
      <c r="G200" s="3">
        <v>5804</v>
      </c>
      <c r="H200" s="3">
        <v>515</v>
      </c>
      <c r="I200" s="4">
        <v>11138.51</v>
      </c>
      <c r="J200" s="4">
        <v>104492.16</v>
      </c>
      <c r="K200" s="3">
        <v>339</v>
      </c>
      <c r="L200" s="2" t="s">
        <v>2539</v>
      </c>
      <c r="M200" s="2" t="s">
        <v>2546</v>
      </c>
      <c r="N200" s="6">
        <f t="shared" si="12"/>
        <v>1</v>
      </c>
      <c r="O200" t="str">
        <f>IF(Tabla_control[[#This Row],[Control_duplicados]]&gt;1,"Duplicado","Unico")</f>
        <v>Unico</v>
      </c>
      <c r="P200" t="str">
        <f t="shared" si="13"/>
        <v>OK</v>
      </c>
      <c r="Q200" t="str">
        <f t="shared" si="14"/>
        <v>OK</v>
      </c>
      <c r="R200" t="str">
        <f t="shared" si="15"/>
        <v>OK</v>
      </c>
    </row>
    <row r="201" spans="1:18" x14ac:dyDescent="0.3">
      <c r="A201" s="1">
        <v>45668</v>
      </c>
      <c r="B201" s="2" t="s">
        <v>2634</v>
      </c>
      <c r="C201" s="2" t="s">
        <v>2527</v>
      </c>
      <c r="D201" s="2" t="s">
        <v>2522</v>
      </c>
      <c r="E201" s="2" t="s">
        <v>2517</v>
      </c>
      <c r="F201" s="3">
        <v>162716</v>
      </c>
      <c r="G201" s="3">
        <v>6461</v>
      </c>
      <c r="H201" s="3">
        <v>529</v>
      </c>
      <c r="I201" s="4">
        <v>9589.81</v>
      </c>
      <c r="J201" s="4">
        <v>94859.64</v>
      </c>
      <c r="K201" s="3">
        <v>265</v>
      </c>
      <c r="L201" s="2" t="s">
        <v>2518</v>
      </c>
      <c r="M201" s="2" t="s">
        <v>2537</v>
      </c>
      <c r="N201" s="6">
        <f t="shared" si="12"/>
        <v>1</v>
      </c>
      <c r="O201" t="str">
        <f>IF(Tabla_control[[#This Row],[Control_duplicados]]&gt;1,"Duplicado","Unico")</f>
        <v>Unico</v>
      </c>
      <c r="P201" t="str">
        <f t="shared" si="13"/>
        <v>OK</v>
      </c>
      <c r="Q201" t="str">
        <f t="shared" si="14"/>
        <v>OK</v>
      </c>
      <c r="R201" t="str">
        <f t="shared" si="15"/>
        <v>OK</v>
      </c>
    </row>
    <row r="202" spans="1:18" x14ac:dyDescent="0.3">
      <c r="A202" s="1">
        <v>45760</v>
      </c>
      <c r="B202" s="2" t="s">
        <v>2626</v>
      </c>
      <c r="C202" s="2" t="s">
        <v>2541</v>
      </c>
      <c r="D202" s="2" t="s">
        <v>2528</v>
      </c>
      <c r="E202" s="2" t="s">
        <v>2529</v>
      </c>
      <c r="F202" s="3">
        <v>123237</v>
      </c>
      <c r="G202" s="3">
        <v>2084</v>
      </c>
      <c r="H202" s="3">
        <v>136</v>
      </c>
      <c r="I202" s="4">
        <v>3356.46</v>
      </c>
      <c r="J202" s="4">
        <v>26452.87</v>
      </c>
      <c r="K202" s="3">
        <v>95</v>
      </c>
      <c r="L202" s="2" t="s">
        <v>2523</v>
      </c>
      <c r="M202" s="2" t="s">
        <v>2645</v>
      </c>
      <c r="N202" s="6">
        <f t="shared" si="12"/>
        <v>1</v>
      </c>
      <c r="O202" t="str">
        <f>IF(Tabla_control[[#This Row],[Control_duplicados]]&gt;1,"Duplicado","Unico")</f>
        <v>Unico</v>
      </c>
      <c r="P202" t="str">
        <f t="shared" si="13"/>
        <v>OK</v>
      </c>
      <c r="Q202" t="str">
        <f t="shared" si="14"/>
        <v>OK</v>
      </c>
      <c r="R202" t="str">
        <f t="shared" si="15"/>
        <v>OK</v>
      </c>
    </row>
    <row r="203" spans="1:18" x14ac:dyDescent="0.3">
      <c r="A203" s="1">
        <v>45789</v>
      </c>
      <c r="B203" s="2" t="s">
        <v>2620</v>
      </c>
      <c r="C203" s="2" t="s">
        <v>2527</v>
      </c>
      <c r="D203" s="2" t="s">
        <v>2528</v>
      </c>
      <c r="E203" s="2" t="s">
        <v>2529</v>
      </c>
      <c r="F203" s="3">
        <v>56944</v>
      </c>
      <c r="G203" s="3">
        <v>1611</v>
      </c>
      <c r="H203" s="3">
        <v>125</v>
      </c>
      <c r="I203" s="4">
        <v>1852.91</v>
      </c>
      <c r="J203" s="4">
        <v>25417.85</v>
      </c>
      <c r="K203" s="3">
        <v>66</v>
      </c>
      <c r="L203" s="2" t="s">
        <v>2536</v>
      </c>
      <c r="M203" s="2" t="s">
        <v>2526</v>
      </c>
      <c r="N203" s="6">
        <f t="shared" si="12"/>
        <v>1</v>
      </c>
      <c r="O203" t="str">
        <f>IF(Tabla_control[[#This Row],[Control_duplicados]]&gt;1,"Duplicado","Unico")</f>
        <v>Unico</v>
      </c>
      <c r="P203" t="str">
        <f t="shared" si="13"/>
        <v>OK</v>
      </c>
      <c r="Q203" t="str">
        <f t="shared" si="14"/>
        <v>OK</v>
      </c>
      <c r="R203" t="str">
        <f t="shared" si="15"/>
        <v>OK</v>
      </c>
    </row>
    <row r="204" spans="1:18" x14ac:dyDescent="0.3">
      <c r="A204" s="1">
        <v>45705</v>
      </c>
      <c r="B204" s="2" t="s">
        <v>2617</v>
      </c>
      <c r="C204" s="2" t="s">
        <v>2543</v>
      </c>
      <c r="D204" s="2" t="s">
        <v>2522</v>
      </c>
      <c r="E204" s="2" t="s">
        <v>2529</v>
      </c>
      <c r="F204" s="3">
        <v>116462</v>
      </c>
      <c r="G204" s="3">
        <v>3489</v>
      </c>
      <c r="H204" s="3">
        <v>365</v>
      </c>
      <c r="I204" s="4">
        <v>2433.89</v>
      </c>
      <c r="J204" s="4">
        <v>58568.78</v>
      </c>
      <c r="K204" s="3">
        <v>236</v>
      </c>
      <c r="L204" s="2" t="s">
        <v>2539</v>
      </c>
      <c r="M204" s="2" t="s">
        <v>2526</v>
      </c>
      <c r="N204" s="6">
        <f t="shared" si="12"/>
        <v>1</v>
      </c>
      <c r="O204" t="str">
        <f>IF(Tabla_control[[#This Row],[Control_duplicados]]&gt;1,"Duplicado","Unico")</f>
        <v>Unico</v>
      </c>
      <c r="P204" t="str">
        <f t="shared" si="13"/>
        <v>OK</v>
      </c>
      <c r="Q204" t="str">
        <f t="shared" si="14"/>
        <v>OK</v>
      </c>
      <c r="R204" t="str">
        <f t="shared" si="15"/>
        <v>OK</v>
      </c>
    </row>
    <row r="205" spans="1:18" x14ac:dyDescent="0.3">
      <c r="A205" s="1">
        <v>45781</v>
      </c>
      <c r="B205" s="2" t="s">
        <v>2642</v>
      </c>
      <c r="C205" s="2" t="s">
        <v>2543</v>
      </c>
      <c r="D205" s="2" t="s">
        <v>2528</v>
      </c>
      <c r="E205" s="2" t="s">
        <v>2529</v>
      </c>
      <c r="F205" s="3">
        <v>173404</v>
      </c>
      <c r="G205" s="3">
        <v>2979</v>
      </c>
      <c r="H205" s="3">
        <v>385</v>
      </c>
      <c r="I205" s="4">
        <v>6171.73</v>
      </c>
      <c r="J205" s="4">
        <v>52827.09</v>
      </c>
      <c r="K205" s="3">
        <v>229</v>
      </c>
      <c r="L205" s="2" t="s">
        <v>2536</v>
      </c>
      <c r="M205" s="2" t="s">
        <v>2537</v>
      </c>
      <c r="N205" s="6">
        <f t="shared" si="12"/>
        <v>1</v>
      </c>
      <c r="O205" t="str">
        <f>IF(Tabla_control[[#This Row],[Control_duplicados]]&gt;1,"Duplicado","Unico")</f>
        <v>Unico</v>
      </c>
      <c r="P205" t="str">
        <f t="shared" si="13"/>
        <v>OK</v>
      </c>
      <c r="Q205" t="str">
        <f t="shared" si="14"/>
        <v>OK</v>
      </c>
      <c r="R205" t="str">
        <f t="shared" si="15"/>
        <v>OK</v>
      </c>
    </row>
    <row r="206" spans="1:18" x14ac:dyDescent="0.3">
      <c r="A206" s="1">
        <v>45991</v>
      </c>
      <c r="B206" s="2" t="s">
        <v>2618</v>
      </c>
      <c r="C206" s="2" t="s">
        <v>2527</v>
      </c>
      <c r="D206" s="2" t="s">
        <v>2531</v>
      </c>
      <c r="E206" s="2" t="s">
        <v>2529</v>
      </c>
      <c r="F206" s="3">
        <v>47889</v>
      </c>
      <c r="G206" s="3">
        <v>2842</v>
      </c>
      <c r="H206" s="3">
        <v>171</v>
      </c>
      <c r="I206" s="4">
        <v>765.45</v>
      </c>
      <c r="J206" s="4">
        <v>37602.879999999997</v>
      </c>
      <c r="K206" s="3">
        <v>89</v>
      </c>
      <c r="L206" s="2" t="s">
        <v>2523</v>
      </c>
      <c r="M206" s="2" t="s">
        <v>2519</v>
      </c>
      <c r="N206" s="6">
        <f t="shared" si="12"/>
        <v>1</v>
      </c>
      <c r="O206" t="str">
        <f>IF(Tabla_control[[#This Row],[Control_duplicados]]&gt;1,"Duplicado","Unico")</f>
        <v>Unico</v>
      </c>
      <c r="P206" t="str">
        <f t="shared" si="13"/>
        <v>OK</v>
      </c>
      <c r="Q206" t="str">
        <f t="shared" si="14"/>
        <v>OK</v>
      </c>
      <c r="R206" t="str">
        <f t="shared" si="15"/>
        <v>OK</v>
      </c>
    </row>
    <row r="207" spans="1:18" x14ac:dyDescent="0.3">
      <c r="A207" s="1">
        <v>46012</v>
      </c>
      <c r="B207" s="2" t="s">
        <v>2622</v>
      </c>
      <c r="C207" s="2" t="s">
        <v>2533</v>
      </c>
      <c r="D207" s="2" t="s">
        <v>2525</v>
      </c>
      <c r="E207" s="2" t="s">
        <v>2529</v>
      </c>
      <c r="F207" s="3">
        <v>82416</v>
      </c>
      <c r="G207" s="3">
        <v>1753</v>
      </c>
      <c r="H207" s="3">
        <v>88</v>
      </c>
      <c r="I207" s="4">
        <v>2333.33</v>
      </c>
      <c r="J207" s="4">
        <v>1550.34</v>
      </c>
      <c r="K207" s="3">
        <v>46</v>
      </c>
      <c r="L207" s="2" t="s">
        <v>2523</v>
      </c>
      <c r="M207" s="2" t="s">
        <v>2537</v>
      </c>
      <c r="N207" s="6">
        <f t="shared" si="12"/>
        <v>1</v>
      </c>
      <c r="O207" t="str">
        <f>IF(Tabla_control[[#This Row],[Control_duplicados]]&gt;1,"Duplicado","Unico")</f>
        <v>Unico</v>
      </c>
      <c r="P207" t="str">
        <f t="shared" si="13"/>
        <v>OK</v>
      </c>
      <c r="Q207" t="str">
        <f t="shared" si="14"/>
        <v>OK</v>
      </c>
      <c r="R207" t="str">
        <f t="shared" si="15"/>
        <v>OK</v>
      </c>
    </row>
    <row r="208" spans="1:18" x14ac:dyDescent="0.3">
      <c r="A208" s="1">
        <v>45992</v>
      </c>
      <c r="B208" s="2" t="s">
        <v>2629</v>
      </c>
      <c r="C208" s="2" t="s">
        <v>2543</v>
      </c>
      <c r="D208" s="2" t="s">
        <v>2516</v>
      </c>
      <c r="E208" s="2" t="s">
        <v>2529</v>
      </c>
      <c r="F208" s="3">
        <v>37983</v>
      </c>
      <c r="G208" s="3">
        <v>383</v>
      </c>
      <c r="H208" s="3">
        <v>22</v>
      </c>
      <c r="I208" s="4">
        <v>536.04</v>
      </c>
      <c r="J208" s="4">
        <v>1977.36</v>
      </c>
      <c r="K208" s="3">
        <v>13</v>
      </c>
      <c r="L208" s="2" t="s">
        <v>2539</v>
      </c>
      <c r="M208" s="2" t="s">
        <v>2526</v>
      </c>
      <c r="N208" s="6">
        <f t="shared" si="12"/>
        <v>1</v>
      </c>
      <c r="O208" t="str">
        <f>IF(Tabla_control[[#This Row],[Control_duplicados]]&gt;1,"Duplicado","Unico")</f>
        <v>Unico</v>
      </c>
      <c r="P208" t="str">
        <f t="shared" si="13"/>
        <v>OK</v>
      </c>
      <c r="Q208" t="str">
        <f t="shared" si="14"/>
        <v>OK</v>
      </c>
      <c r="R208" t="str">
        <f t="shared" si="15"/>
        <v>OK</v>
      </c>
    </row>
    <row r="209" spans="1:18" x14ac:dyDescent="0.3">
      <c r="A209" s="1">
        <v>45902</v>
      </c>
      <c r="B209" s="2" t="s">
        <v>2634</v>
      </c>
      <c r="C209" s="2" t="s">
        <v>2521</v>
      </c>
      <c r="D209" s="2" t="s">
        <v>2528</v>
      </c>
      <c r="E209" s="2" t="s">
        <v>2517</v>
      </c>
      <c r="F209" s="3">
        <v>144326</v>
      </c>
      <c r="G209" s="3">
        <v>995</v>
      </c>
      <c r="H209" s="3">
        <v>80</v>
      </c>
      <c r="I209" s="4">
        <v>182.06</v>
      </c>
      <c r="J209" s="4">
        <v>7814.33</v>
      </c>
      <c r="K209" s="3">
        <v>65</v>
      </c>
      <c r="L209" s="2" t="s">
        <v>2523</v>
      </c>
      <c r="M209" s="2" t="s">
        <v>2519</v>
      </c>
      <c r="N209" s="6">
        <f t="shared" si="12"/>
        <v>1</v>
      </c>
      <c r="O209" t="str">
        <f>IF(Tabla_control[[#This Row],[Control_duplicados]]&gt;1,"Duplicado","Unico")</f>
        <v>Unico</v>
      </c>
      <c r="P209" t="str">
        <f t="shared" si="13"/>
        <v>OK</v>
      </c>
      <c r="Q209" t="str">
        <f t="shared" si="14"/>
        <v>OK</v>
      </c>
      <c r="R209" t="str">
        <f t="shared" si="15"/>
        <v>OK</v>
      </c>
    </row>
    <row r="210" spans="1:18" x14ac:dyDescent="0.3">
      <c r="A210" s="1">
        <v>45869</v>
      </c>
      <c r="B210" s="2" t="s">
        <v>2628</v>
      </c>
      <c r="C210" s="2" t="s">
        <v>2521</v>
      </c>
      <c r="D210" s="2" t="s">
        <v>2528</v>
      </c>
      <c r="E210" s="2" t="s">
        <v>2517</v>
      </c>
      <c r="F210" s="3">
        <v>31320</v>
      </c>
      <c r="G210" s="3">
        <v>2400</v>
      </c>
      <c r="H210" s="3">
        <v>307</v>
      </c>
      <c r="I210" s="4">
        <v>1348.17</v>
      </c>
      <c r="J210" s="4">
        <v>41922.46</v>
      </c>
      <c r="K210" s="3">
        <v>239</v>
      </c>
      <c r="L210" s="2" t="s">
        <v>2518</v>
      </c>
      <c r="M210" s="2" t="s">
        <v>2524</v>
      </c>
      <c r="N210" s="6">
        <f t="shared" si="12"/>
        <v>1</v>
      </c>
      <c r="O210" t="str">
        <f>IF(Tabla_control[[#This Row],[Control_duplicados]]&gt;1,"Duplicado","Unico")</f>
        <v>Unico</v>
      </c>
      <c r="P210" t="str">
        <f t="shared" si="13"/>
        <v>OK</v>
      </c>
      <c r="Q210" t="str">
        <f t="shared" si="14"/>
        <v>OK</v>
      </c>
      <c r="R210" t="str">
        <f t="shared" si="15"/>
        <v>OK</v>
      </c>
    </row>
    <row r="211" spans="1:18" x14ac:dyDescent="0.3">
      <c r="A211" s="1">
        <v>45888</v>
      </c>
      <c r="B211" s="2" t="s">
        <v>2631</v>
      </c>
      <c r="C211" s="2" t="s">
        <v>2527</v>
      </c>
      <c r="D211" s="2" t="s">
        <v>2516</v>
      </c>
      <c r="E211" s="2" t="s">
        <v>2529</v>
      </c>
      <c r="F211" s="3">
        <v>12248</v>
      </c>
      <c r="G211" s="3">
        <v>627</v>
      </c>
      <c r="H211" s="3">
        <v>5</v>
      </c>
      <c r="I211" s="4">
        <v>989.53</v>
      </c>
      <c r="J211" s="4">
        <v>737.79</v>
      </c>
      <c r="K211" s="3">
        <v>3</v>
      </c>
      <c r="L211" s="2" t="s">
        <v>2536</v>
      </c>
      <c r="M211" s="2" t="s">
        <v>2519</v>
      </c>
      <c r="N211" s="6">
        <f t="shared" si="12"/>
        <v>1</v>
      </c>
      <c r="O211" t="str">
        <f>IF(Tabla_control[[#This Row],[Control_duplicados]]&gt;1,"Duplicado","Unico")</f>
        <v>Unico</v>
      </c>
      <c r="P211" t="str">
        <f t="shared" si="13"/>
        <v>OK</v>
      </c>
      <c r="Q211" t="str">
        <f t="shared" si="14"/>
        <v>OK</v>
      </c>
      <c r="R211" t="str">
        <f t="shared" si="15"/>
        <v>OK</v>
      </c>
    </row>
    <row r="212" spans="1:18" x14ac:dyDescent="0.3">
      <c r="A212" s="1">
        <v>45749</v>
      </c>
      <c r="B212" s="2" t="s">
        <v>2635</v>
      </c>
      <c r="C212" s="2" t="s">
        <v>2543</v>
      </c>
      <c r="D212" s="2" t="s">
        <v>2525</v>
      </c>
      <c r="E212" s="2" t="s">
        <v>2517</v>
      </c>
      <c r="F212" s="3">
        <v>80445</v>
      </c>
      <c r="G212" s="3">
        <v>2334</v>
      </c>
      <c r="H212" s="3">
        <v>60</v>
      </c>
      <c r="I212" s="4">
        <v>679.7</v>
      </c>
      <c r="J212" s="4">
        <v>7450.56</v>
      </c>
      <c r="K212" s="3">
        <v>27</v>
      </c>
      <c r="L212" s="2" t="s">
        <v>2536</v>
      </c>
      <c r="M212" s="2" t="s">
        <v>2526</v>
      </c>
      <c r="N212" s="6">
        <f t="shared" si="12"/>
        <v>1</v>
      </c>
      <c r="O212" t="str">
        <f>IF(Tabla_control[[#This Row],[Control_duplicados]]&gt;1,"Duplicado","Unico")</f>
        <v>Unico</v>
      </c>
      <c r="P212" t="str">
        <f t="shared" si="13"/>
        <v>OK</v>
      </c>
      <c r="Q212" t="str">
        <f t="shared" si="14"/>
        <v>OK</v>
      </c>
      <c r="R212" t="str">
        <f t="shared" si="15"/>
        <v>OK</v>
      </c>
    </row>
    <row r="213" spans="1:18" x14ac:dyDescent="0.3">
      <c r="A213" s="1">
        <v>45833</v>
      </c>
      <c r="B213" s="2" t="s">
        <v>2634</v>
      </c>
      <c r="C213" s="2" t="s">
        <v>2521</v>
      </c>
      <c r="D213" s="2" t="s">
        <v>2528</v>
      </c>
      <c r="E213" s="2" t="s">
        <v>2529</v>
      </c>
      <c r="F213" s="3">
        <v>135678</v>
      </c>
      <c r="G213" s="3">
        <v>5225</v>
      </c>
      <c r="H213" s="3">
        <v>280</v>
      </c>
      <c r="I213" s="4">
        <v>2721.65</v>
      </c>
      <c r="J213" s="4">
        <v>56654.18</v>
      </c>
      <c r="K213" s="3">
        <v>133</v>
      </c>
      <c r="L213" s="2" t="s">
        <v>2523</v>
      </c>
      <c r="M213" s="2" t="s">
        <v>2524</v>
      </c>
      <c r="N213" s="6">
        <f t="shared" si="12"/>
        <v>1</v>
      </c>
      <c r="O213" t="str">
        <f>IF(Tabla_control[[#This Row],[Control_duplicados]]&gt;1,"Duplicado","Unico")</f>
        <v>Unico</v>
      </c>
      <c r="P213" t="str">
        <f t="shared" si="13"/>
        <v>OK</v>
      </c>
      <c r="Q213" t="str">
        <f t="shared" si="14"/>
        <v>OK</v>
      </c>
      <c r="R213" t="str">
        <f t="shared" si="15"/>
        <v>OK</v>
      </c>
    </row>
    <row r="214" spans="1:18" x14ac:dyDescent="0.3">
      <c r="A214" s="1">
        <v>45769</v>
      </c>
      <c r="B214" s="2" t="s">
        <v>2621</v>
      </c>
      <c r="C214" s="2" t="s">
        <v>2533</v>
      </c>
      <c r="D214" s="2" t="s">
        <v>2516</v>
      </c>
      <c r="E214" s="2" t="s">
        <v>2529</v>
      </c>
      <c r="F214" s="3">
        <v>90317</v>
      </c>
      <c r="G214" s="3">
        <v>1013</v>
      </c>
      <c r="H214" s="3">
        <v>121</v>
      </c>
      <c r="I214" s="4">
        <v>1931.04</v>
      </c>
      <c r="J214" s="4">
        <v>17672.45</v>
      </c>
      <c r="K214" s="3">
        <v>102</v>
      </c>
      <c r="L214" s="2" t="s">
        <v>2518</v>
      </c>
      <c r="M214" s="2" t="s">
        <v>2526</v>
      </c>
      <c r="N214" s="6">
        <f t="shared" si="12"/>
        <v>1</v>
      </c>
      <c r="O214" t="str">
        <f>IF(Tabla_control[[#This Row],[Control_duplicados]]&gt;1,"Duplicado","Unico")</f>
        <v>Unico</v>
      </c>
      <c r="P214" t="str">
        <f t="shared" si="13"/>
        <v>OK</v>
      </c>
      <c r="Q214" t="str">
        <f t="shared" si="14"/>
        <v>OK</v>
      </c>
      <c r="R214" t="str">
        <f t="shared" si="15"/>
        <v>OK</v>
      </c>
    </row>
    <row r="215" spans="1:18" x14ac:dyDescent="0.3">
      <c r="A215" s="1">
        <v>45714</v>
      </c>
      <c r="B215" s="2" t="s">
        <v>2629</v>
      </c>
      <c r="C215" s="2" t="s">
        <v>2543</v>
      </c>
      <c r="D215" s="2" t="s">
        <v>2528</v>
      </c>
      <c r="E215" s="2" t="s">
        <v>2529</v>
      </c>
      <c r="F215" s="3">
        <v>178817</v>
      </c>
      <c r="G215" s="3">
        <v>1545</v>
      </c>
      <c r="H215" s="3">
        <v>206</v>
      </c>
      <c r="I215" s="4">
        <v>167.94</v>
      </c>
      <c r="J215" s="4">
        <v>22360.62</v>
      </c>
      <c r="K215" s="3">
        <v>157</v>
      </c>
      <c r="L215" s="2" t="s">
        <v>2536</v>
      </c>
      <c r="M215" s="2" t="s">
        <v>2519</v>
      </c>
      <c r="N215" s="6">
        <f t="shared" si="12"/>
        <v>1</v>
      </c>
      <c r="O215" t="str">
        <f>IF(Tabla_control[[#This Row],[Control_duplicados]]&gt;1,"Duplicado","Unico")</f>
        <v>Unico</v>
      </c>
      <c r="P215" t="str">
        <f t="shared" si="13"/>
        <v>OK</v>
      </c>
      <c r="Q215" t="str">
        <f t="shared" si="14"/>
        <v>OK</v>
      </c>
      <c r="R215" t="str">
        <f t="shared" si="15"/>
        <v>OK</v>
      </c>
    </row>
    <row r="216" spans="1:18" x14ac:dyDescent="0.3">
      <c r="A216" s="1">
        <v>45776</v>
      </c>
      <c r="B216" s="2" t="s">
        <v>2620</v>
      </c>
      <c r="C216" s="2" t="s">
        <v>2541</v>
      </c>
      <c r="D216" s="2" t="s">
        <v>2525</v>
      </c>
      <c r="E216" s="2" t="s">
        <v>2534</v>
      </c>
      <c r="F216" s="3">
        <v>164988</v>
      </c>
      <c r="G216" s="3">
        <v>6517</v>
      </c>
      <c r="H216" s="3">
        <v>757</v>
      </c>
      <c r="I216" s="4">
        <v>4155.5600000000004</v>
      </c>
      <c r="J216" s="4">
        <v>158050.64000000001</v>
      </c>
      <c r="K216" s="3">
        <v>540</v>
      </c>
      <c r="L216" s="2" t="s">
        <v>2536</v>
      </c>
      <c r="M216" s="2" t="s">
        <v>2537</v>
      </c>
      <c r="N216" s="6">
        <f t="shared" si="12"/>
        <v>1</v>
      </c>
      <c r="O216" t="str">
        <f>IF(Tabla_control[[#This Row],[Control_duplicados]]&gt;1,"Duplicado","Unico")</f>
        <v>Unico</v>
      </c>
      <c r="P216" t="str">
        <f t="shared" si="13"/>
        <v>OK</v>
      </c>
      <c r="Q216" t="str">
        <f t="shared" si="14"/>
        <v>OK</v>
      </c>
      <c r="R216" t="str">
        <f t="shared" si="15"/>
        <v>OK</v>
      </c>
    </row>
    <row r="217" spans="1:18" x14ac:dyDescent="0.3">
      <c r="A217" s="1">
        <v>45973</v>
      </c>
      <c r="B217" s="2" t="s">
        <v>2623</v>
      </c>
      <c r="C217" s="2" t="s">
        <v>2543</v>
      </c>
      <c r="D217" s="2" t="s">
        <v>2531</v>
      </c>
      <c r="E217" s="2" t="s">
        <v>2517</v>
      </c>
      <c r="F217" s="3">
        <v>149825</v>
      </c>
      <c r="G217" s="3">
        <v>10305</v>
      </c>
      <c r="H217" s="3">
        <v>129</v>
      </c>
      <c r="I217" s="4">
        <v>8002.67</v>
      </c>
      <c r="J217" s="4">
        <v>26250.15</v>
      </c>
      <c r="K217" s="3">
        <v>81</v>
      </c>
      <c r="L217" s="2" t="s">
        <v>2523</v>
      </c>
      <c r="M217" s="2" t="s">
        <v>2519</v>
      </c>
      <c r="N217" s="6">
        <f t="shared" si="12"/>
        <v>1</v>
      </c>
      <c r="O217" t="str">
        <f>IF(Tabla_control[[#This Row],[Control_duplicados]]&gt;1,"Duplicado","Unico")</f>
        <v>Unico</v>
      </c>
      <c r="P217" t="str">
        <f t="shared" si="13"/>
        <v>OK</v>
      </c>
      <c r="Q217" t="str">
        <f t="shared" si="14"/>
        <v>OK</v>
      </c>
      <c r="R217" t="str">
        <f t="shared" si="15"/>
        <v>OK</v>
      </c>
    </row>
    <row r="218" spans="1:18" x14ac:dyDescent="0.3">
      <c r="A218" s="1">
        <v>45675</v>
      </c>
      <c r="B218" s="2" t="s">
        <v>2629</v>
      </c>
      <c r="C218" s="2" t="s">
        <v>2541</v>
      </c>
      <c r="D218" s="2" t="s">
        <v>2525</v>
      </c>
      <c r="E218" s="2" t="s">
        <v>2529</v>
      </c>
      <c r="F218" s="3">
        <v>173964</v>
      </c>
      <c r="G218" s="3">
        <v>1011</v>
      </c>
      <c r="H218" s="3">
        <v>27</v>
      </c>
      <c r="I218" s="4">
        <v>488.79</v>
      </c>
      <c r="J218" s="4">
        <v>1056.6300000000001</v>
      </c>
      <c r="K218" s="3">
        <v>18</v>
      </c>
      <c r="L218" s="2" t="s">
        <v>2518</v>
      </c>
      <c r="M218" s="2" t="s">
        <v>2526</v>
      </c>
      <c r="N218" s="6">
        <f t="shared" si="12"/>
        <v>1</v>
      </c>
      <c r="O218" t="str">
        <f>IF(Tabla_control[[#This Row],[Control_duplicados]]&gt;1,"Duplicado","Unico")</f>
        <v>Unico</v>
      </c>
      <c r="P218" t="str">
        <f t="shared" si="13"/>
        <v>OK</v>
      </c>
      <c r="Q218" t="str">
        <f t="shared" si="14"/>
        <v>OK</v>
      </c>
      <c r="R218" t="str">
        <f t="shared" si="15"/>
        <v>OK</v>
      </c>
    </row>
    <row r="219" spans="1:18" x14ac:dyDescent="0.3">
      <c r="A219" s="1">
        <v>45837</v>
      </c>
      <c r="B219" s="2" t="s">
        <v>2643</v>
      </c>
      <c r="C219" s="2" t="s">
        <v>2521</v>
      </c>
      <c r="D219" s="2" t="s">
        <v>2516</v>
      </c>
      <c r="E219" s="2" t="s">
        <v>2517</v>
      </c>
      <c r="F219" s="3">
        <v>65653</v>
      </c>
      <c r="G219" s="3">
        <v>1899</v>
      </c>
      <c r="H219" s="3">
        <v>84</v>
      </c>
      <c r="I219" s="4">
        <v>3409.3</v>
      </c>
      <c r="J219" s="4">
        <v>9517.7199999999993</v>
      </c>
      <c r="K219" s="3">
        <v>62</v>
      </c>
      <c r="L219" s="2" t="s">
        <v>2518</v>
      </c>
      <c r="M219" s="2" t="s">
        <v>2519</v>
      </c>
      <c r="N219" s="6">
        <f t="shared" si="12"/>
        <v>1</v>
      </c>
      <c r="O219" t="str">
        <f>IF(Tabla_control[[#This Row],[Control_duplicados]]&gt;1,"Duplicado","Unico")</f>
        <v>Unico</v>
      </c>
      <c r="P219" t="str">
        <f t="shared" si="13"/>
        <v>OK</v>
      </c>
      <c r="Q219" t="str">
        <f t="shared" si="14"/>
        <v>OK</v>
      </c>
      <c r="R219" t="str">
        <f t="shared" si="15"/>
        <v>OK</v>
      </c>
    </row>
    <row r="220" spans="1:18" x14ac:dyDescent="0.3">
      <c r="A220" s="1">
        <v>45696</v>
      </c>
      <c r="B220" s="2" t="s">
        <v>2637</v>
      </c>
      <c r="C220" s="2" t="s">
        <v>2515</v>
      </c>
      <c r="D220" s="2" t="s">
        <v>2528</v>
      </c>
      <c r="E220" s="2" t="s">
        <v>2529</v>
      </c>
      <c r="F220" s="3">
        <v>142845</v>
      </c>
      <c r="G220" s="3">
        <v>973</v>
      </c>
      <c r="H220" s="3">
        <v>105</v>
      </c>
      <c r="I220" s="4">
        <v>294.36</v>
      </c>
      <c r="J220" s="4">
        <v>12444.54</v>
      </c>
      <c r="K220" s="3">
        <v>72</v>
      </c>
      <c r="L220" s="2" t="s">
        <v>2536</v>
      </c>
      <c r="M220" s="2" t="s">
        <v>2524</v>
      </c>
      <c r="N220" s="6">
        <f t="shared" si="12"/>
        <v>1</v>
      </c>
      <c r="O220" t="str">
        <f>IF(Tabla_control[[#This Row],[Control_duplicados]]&gt;1,"Duplicado","Unico")</f>
        <v>Unico</v>
      </c>
      <c r="P220" t="str">
        <f t="shared" si="13"/>
        <v>OK</v>
      </c>
      <c r="Q220" t="str">
        <f t="shared" si="14"/>
        <v>OK</v>
      </c>
      <c r="R220" t="str">
        <f t="shared" si="15"/>
        <v>OK</v>
      </c>
    </row>
    <row r="221" spans="1:18" x14ac:dyDescent="0.3">
      <c r="A221" s="1">
        <v>45908</v>
      </c>
      <c r="B221" s="2" t="s">
        <v>2620</v>
      </c>
      <c r="C221" s="2" t="s">
        <v>2527</v>
      </c>
      <c r="D221" s="2" t="s">
        <v>2528</v>
      </c>
      <c r="E221" s="2" t="s">
        <v>2529</v>
      </c>
      <c r="F221" s="3">
        <v>56509</v>
      </c>
      <c r="G221" s="3">
        <v>2680</v>
      </c>
      <c r="H221" s="3">
        <v>36</v>
      </c>
      <c r="I221" s="4">
        <v>365.91</v>
      </c>
      <c r="J221" s="4">
        <v>6581.37</v>
      </c>
      <c r="K221" s="3">
        <v>18</v>
      </c>
      <c r="L221" s="2" t="s">
        <v>2518</v>
      </c>
      <c r="M221" s="2" t="s">
        <v>2524</v>
      </c>
      <c r="N221" s="6">
        <f t="shared" si="12"/>
        <v>1</v>
      </c>
      <c r="O221" t="str">
        <f>IF(Tabla_control[[#This Row],[Control_duplicados]]&gt;1,"Duplicado","Unico")</f>
        <v>Unico</v>
      </c>
      <c r="P221" t="str">
        <f t="shared" si="13"/>
        <v>OK</v>
      </c>
      <c r="Q221" t="str">
        <f t="shared" si="14"/>
        <v>OK</v>
      </c>
      <c r="R221" t="str">
        <f t="shared" si="15"/>
        <v>OK</v>
      </c>
    </row>
    <row r="222" spans="1:18" x14ac:dyDescent="0.3">
      <c r="A222" s="1">
        <v>45767</v>
      </c>
      <c r="B222" s="2" t="s">
        <v>2640</v>
      </c>
      <c r="C222" s="2" t="s">
        <v>2527</v>
      </c>
      <c r="D222" s="2" t="s">
        <v>2522</v>
      </c>
      <c r="E222" s="2" t="s">
        <v>2529</v>
      </c>
      <c r="F222" s="3">
        <v>123953</v>
      </c>
      <c r="G222" s="3">
        <v>5037</v>
      </c>
      <c r="H222" s="3">
        <v>123</v>
      </c>
      <c r="I222" s="4">
        <v>3732.75</v>
      </c>
      <c r="J222" s="4">
        <v>9020.39</v>
      </c>
      <c r="K222" s="3">
        <v>86</v>
      </c>
      <c r="L222" s="2" t="s">
        <v>2523</v>
      </c>
      <c r="M222" s="2" t="s">
        <v>2537</v>
      </c>
      <c r="N222" s="6">
        <f t="shared" si="12"/>
        <v>1</v>
      </c>
      <c r="O222" t="str">
        <f>IF(Tabla_control[[#This Row],[Control_duplicados]]&gt;1,"Duplicado","Unico")</f>
        <v>Unico</v>
      </c>
      <c r="P222" t="str">
        <f t="shared" si="13"/>
        <v>OK</v>
      </c>
      <c r="Q222" t="str">
        <f t="shared" si="14"/>
        <v>OK</v>
      </c>
      <c r="R222" t="str">
        <f t="shared" si="15"/>
        <v>OK</v>
      </c>
    </row>
    <row r="223" spans="1:18" x14ac:dyDescent="0.3">
      <c r="A223" s="1">
        <v>45820</v>
      </c>
      <c r="B223" s="2" t="s">
        <v>2639</v>
      </c>
      <c r="C223" s="2" t="s">
        <v>2515</v>
      </c>
      <c r="D223" s="2" t="s">
        <v>2528</v>
      </c>
      <c r="E223" s="2" t="s">
        <v>2529</v>
      </c>
      <c r="F223" s="3">
        <v>57863</v>
      </c>
      <c r="G223" s="3">
        <v>3291</v>
      </c>
      <c r="H223" s="3">
        <v>204</v>
      </c>
      <c r="I223" s="4">
        <v>1506.27</v>
      </c>
      <c r="J223" s="4">
        <v>4955.18</v>
      </c>
      <c r="K223" s="3">
        <v>166</v>
      </c>
      <c r="L223" s="2" t="s">
        <v>2539</v>
      </c>
      <c r="M223" s="2" t="s">
        <v>2537</v>
      </c>
      <c r="N223" s="6">
        <f t="shared" si="12"/>
        <v>1</v>
      </c>
      <c r="O223" t="str">
        <f>IF(Tabla_control[[#This Row],[Control_duplicados]]&gt;1,"Duplicado","Unico")</f>
        <v>Unico</v>
      </c>
      <c r="P223" t="str">
        <f t="shared" si="13"/>
        <v>OK</v>
      </c>
      <c r="Q223" t="str">
        <f t="shared" si="14"/>
        <v>OK</v>
      </c>
      <c r="R223" t="str">
        <f t="shared" si="15"/>
        <v>OK</v>
      </c>
    </row>
    <row r="224" spans="1:18" x14ac:dyDescent="0.3">
      <c r="A224" s="1">
        <v>45939</v>
      </c>
      <c r="B224" s="2" t="s">
        <v>2628</v>
      </c>
      <c r="C224" s="2" t="s">
        <v>2543</v>
      </c>
      <c r="D224" s="2" t="s">
        <v>2528</v>
      </c>
      <c r="E224" s="2" t="s">
        <v>2529</v>
      </c>
      <c r="F224" s="3">
        <v>29715</v>
      </c>
      <c r="G224" s="3">
        <v>2249</v>
      </c>
      <c r="H224" s="3">
        <v>89</v>
      </c>
      <c r="I224" s="4">
        <v>1855.71</v>
      </c>
      <c r="J224" s="4">
        <v>14720.55</v>
      </c>
      <c r="K224" s="3">
        <v>79</v>
      </c>
      <c r="L224" s="2" t="s">
        <v>2518</v>
      </c>
      <c r="M224" s="2" t="s">
        <v>2526</v>
      </c>
      <c r="N224" s="6">
        <f t="shared" si="12"/>
        <v>1</v>
      </c>
      <c r="O224" t="str">
        <f>IF(Tabla_control[[#This Row],[Control_duplicados]]&gt;1,"Duplicado","Unico")</f>
        <v>Unico</v>
      </c>
      <c r="P224" t="str">
        <f t="shared" si="13"/>
        <v>OK</v>
      </c>
      <c r="Q224" t="str">
        <f t="shared" si="14"/>
        <v>OK</v>
      </c>
      <c r="R224" t="str">
        <f t="shared" si="15"/>
        <v>OK</v>
      </c>
    </row>
    <row r="225" spans="1:18" x14ac:dyDescent="0.3">
      <c r="A225" s="1">
        <v>45953</v>
      </c>
      <c r="B225" s="2" t="s">
        <v>2624</v>
      </c>
      <c r="C225" s="2" t="s">
        <v>2521</v>
      </c>
      <c r="D225" s="2" t="s">
        <v>2531</v>
      </c>
      <c r="E225" s="2" t="s">
        <v>2529</v>
      </c>
      <c r="F225" s="3">
        <v>36403</v>
      </c>
      <c r="G225" s="3">
        <v>350</v>
      </c>
      <c r="H225" s="3">
        <v>43</v>
      </c>
      <c r="I225" s="4">
        <v>570.22</v>
      </c>
      <c r="J225" s="4">
        <v>5881.42</v>
      </c>
      <c r="K225" s="3">
        <v>33</v>
      </c>
      <c r="L225" s="2" t="s">
        <v>2539</v>
      </c>
      <c r="M225" s="2" t="s">
        <v>2537</v>
      </c>
      <c r="N225" s="6">
        <f t="shared" si="12"/>
        <v>1</v>
      </c>
      <c r="O225" t="str">
        <f>IF(Tabla_control[[#This Row],[Control_duplicados]]&gt;1,"Duplicado","Unico")</f>
        <v>Unico</v>
      </c>
      <c r="P225" t="str">
        <f t="shared" si="13"/>
        <v>OK</v>
      </c>
      <c r="Q225" t="str">
        <f t="shared" si="14"/>
        <v>OK</v>
      </c>
      <c r="R225" t="str">
        <f t="shared" si="15"/>
        <v>OK</v>
      </c>
    </row>
    <row r="226" spans="1:18" x14ac:dyDescent="0.3">
      <c r="A226" s="1">
        <v>45882</v>
      </c>
      <c r="B226" s="2" t="s">
        <v>2624</v>
      </c>
      <c r="C226" s="2" t="s">
        <v>2515</v>
      </c>
      <c r="D226" s="2" t="s">
        <v>2528</v>
      </c>
      <c r="E226" s="2" t="s">
        <v>2517</v>
      </c>
      <c r="F226" s="3">
        <v>119718</v>
      </c>
      <c r="G226" s="3">
        <v>9551</v>
      </c>
      <c r="H226" s="3">
        <v>804</v>
      </c>
      <c r="I226" s="4">
        <v>9584.7800000000007</v>
      </c>
      <c r="J226" s="4">
        <v>90520.69</v>
      </c>
      <c r="K226" s="3">
        <v>548</v>
      </c>
      <c r="L226" s="2" t="s">
        <v>2523</v>
      </c>
      <c r="M226" s="2" t="s">
        <v>2519</v>
      </c>
      <c r="N226" s="6">
        <f t="shared" si="12"/>
        <v>1</v>
      </c>
      <c r="O226" t="str">
        <f>IF(Tabla_control[[#This Row],[Control_duplicados]]&gt;1,"Duplicado","Unico")</f>
        <v>Unico</v>
      </c>
      <c r="P226" t="str">
        <f t="shared" si="13"/>
        <v>OK</v>
      </c>
      <c r="Q226" t="str">
        <f t="shared" si="14"/>
        <v>OK</v>
      </c>
      <c r="R226" t="str">
        <f t="shared" si="15"/>
        <v>OK</v>
      </c>
    </row>
    <row r="227" spans="1:18" x14ac:dyDescent="0.3">
      <c r="A227" s="1">
        <v>45738</v>
      </c>
      <c r="B227" s="2" t="s">
        <v>2641</v>
      </c>
      <c r="C227" s="2" t="s">
        <v>2515</v>
      </c>
      <c r="D227" s="2" t="s">
        <v>2522</v>
      </c>
      <c r="E227" s="2" t="s">
        <v>2529</v>
      </c>
      <c r="F227" s="3">
        <v>48427</v>
      </c>
      <c r="G227" s="3">
        <v>1976</v>
      </c>
      <c r="H227" s="3">
        <v>110</v>
      </c>
      <c r="I227" s="4">
        <v>2829.49</v>
      </c>
      <c r="J227" s="4">
        <v>21159.55</v>
      </c>
      <c r="K227" s="3">
        <v>62</v>
      </c>
      <c r="L227" s="2" t="s">
        <v>2523</v>
      </c>
      <c r="M227" s="2" t="s">
        <v>2524</v>
      </c>
      <c r="N227" s="6">
        <f t="shared" si="12"/>
        <v>1</v>
      </c>
      <c r="O227" t="str">
        <f>IF(Tabla_control[[#This Row],[Control_duplicados]]&gt;1,"Duplicado","Unico")</f>
        <v>Unico</v>
      </c>
      <c r="P227" t="str">
        <f t="shared" si="13"/>
        <v>OK</v>
      </c>
      <c r="Q227" t="str">
        <f t="shared" si="14"/>
        <v>OK</v>
      </c>
      <c r="R227" t="str">
        <f t="shared" si="15"/>
        <v>OK</v>
      </c>
    </row>
    <row r="228" spans="1:18" x14ac:dyDescent="0.3">
      <c r="A228" s="1">
        <v>45997</v>
      </c>
      <c r="B228" s="2" t="s">
        <v>2635</v>
      </c>
      <c r="C228" s="2" t="s">
        <v>2527</v>
      </c>
      <c r="D228" s="2" t="s">
        <v>2528</v>
      </c>
      <c r="E228" s="2" t="s">
        <v>2529</v>
      </c>
      <c r="F228" s="3">
        <v>171020</v>
      </c>
      <c r="G228" s="3">
        <v>8884</v>
      </c>
      <c r="H228" s="3">
        <v>662</v>
      </c>
      <c r="I228" s="4">
        <v>17801.39</v>
      </c>
      <c r="J228" s="4">
        <v>80424.039999999994</v>
      </c>
      <c r="K228" s="3">
        <v>303</v>
      </c>
      <c r="L228" s="2" t="s">
        <v>2536</v>
      </c>
      <c r="M228" s="2" t="s">
        <v>2645</v>
      </c>
      <c r="N228" s="6">
        <f t="shared" si="12"/>
        <v>1</v>
      </c>
      <c r="O228" t="str">
        <f>IF(Tabla_control[[#This Row],[Control_duplicados]]&gt;1,"Duplicado","Unico")</f>
        <v>Unico</v>
      </c>
      <c r="P228" t="str">
        <f t="shared" si="13"/>
        <v>OK</v>
      </c>
      <c r="Q228" t="str">
        <f t="shared" si="14"/>
        <v>OK</v>
      </c>
      <c r="R228" t="str">
        <f t="shared" si="15"/>
        <v>OK</v>
      </c>
    </row>
    <row r="229" spans="1:18" x14ac:dyDescent="0.3">
      <c r="A229" s="1">
        <v>46003</v>
      </c>
      <c r="B229" s="2" t="s">
        <v>2631</v>
      </c>
      <c r="C229" s="2" t="s">
        <v>2521</v>
      </c>
      <c r="D229" s="2" t="s">
        <v>2522</v>
      </c>
      <c r="E229" s="2" t="s">
        <v>2517</v>
      </c>
      <c r="F229" s="3">
        <v>57275</v>
      </c>
      <c r="G229" s="3">
        <v>258</v>
      </c>
      <c r="H229" s="3">
        <v>31</v>
      </c>
      <c r="I229" s="4">
        <v>203.76</v>
      </c>
      <c r="J229" s="4">
        <v>6572.26</v>
      </c>
      <c r="K229" s="3">
        <v>17</v>
      </c>
      <c r="L229" s="2" t="s">
        <v>2523</v>
      </c>
      <c r="M229" s="2" t="s">
        <v>2519</v>
      </c>
      <c r="N229" s="6">
        <f t="shared" si="12"/>
        <v>1</v>
      </c>
      <c r="O229" t="str">
        <f>IF(Tabla_control[[#This Row],[Control_duplicados]]&gt;1,"Duplicado","Unico")</f>
        <v>Unico</v>
      </c>
      <c r="P229" t="str">
        <f t="shared" si="13"/>
        <v>OK</v>
      </c>
      <c r="Q229" t="str">
        <f t="shared" si="14"/>
        <v>OK</v>
      </c>
      <c r="R229" t="str">
        <f t="shared" si="15"/>
        <v>OK</v>
      </c>
    </row>
    <row r="230" spans="1:18" x14ac:dyDescent="0.3">
      <c r="A230" s="1">
        <v>45769</v>
      </c>
      <c r="B230" s="2" t="s">
        <v>2618</v>
      </c>
      <c r="C230" s="2" t="s">
        <v>2541</v>
      </c>
      <c r="D230" s="2" t="s">
        <v>2525</v>
      </c>
      <c r="E230" s="2" t="s">
        <v>2534</v>
      </c>
      <c r="F230" s="3">
        <v>179090</v>
      </c>
      <c r="G230" s="3">
        <v>3073</v>
      </c>
      <c r="H230" s="3">
        <v>427</v>
      </c>
      <c r="I230" s="4">
        <v>6449.94</v>
      </c>
      <c r="J230" s="4">
        <v>27932.82</v>
      </c>
      <c r="K230" s="3">
        <v>363</v>
      </c>
      <c r="L230" s="2" t="s">
        <v>2518</v>
      </c>
      <c r="M230" s="2" t="s">
        <v>2546</v>
      </c>
      <c r="N230" s="6">
        <f t="shared" si="12"/>
        <v>1</v>
      </c>
      <c r="O230" t="str">
        <f>IF(Tabla_control[[#This Row],[Control_duplicados]]&gt;1,"Duplicado","Unico")</f>
        <v>Unico</v>
      </c>
      <c r="P230" t="str">
        <f t="shared" si="13"/>
        <v>OK</v>
      </c>
      <c r="Q230" t="str">
        <f t="shared" si="14"/>
        <v>OK</v>
      </c>
      <c r="R230" t="str">
        <f t="shared" si="15"/>
        <v>OK</v>
      </c>
    </row>
    <row r="231" spans="1:18" x14ac:dyDescent="0.3">
      <c r="A231" s="1">
        <v>45988</v>
      </c>
      <c r="B231" s="2" t="s">
        <v>2630</v>
      </c>
      <c r="C231" s="2" t="s">
        <v>2515</v>
      </c>
      <c r="D231" s="2" t="s">
        <v>2525</v>
      </c>
      <c r="E231" s="2" t="s">
        <v>2517</v>
      </c>
      <c r="F231" s="3">
        <v>158182</v>
      </c>
      <c r="G231" s="3">
        <v>14182</v>
      </c>
      <c r="H231" s="3">
        <v>1715</v>
      </c>
      <c r="I231" s="4">
        <v>15077.58</v>
      </c>
      <c r="J231" s="4">
        <v>315910.33</v>
      </c>
      <c r="K231" s="3">
        <v>1019</v>
      </c>
      <c r="L231" s="2" t="s">
        <v>2518</v>
      </c>
      <c r="M231" s="2" t="s">
        <v>2546</v>
      </c>
      <c r="N231" s="6">
        <f t="shared" si="12"/>
        <v>1</v>
      </c>
      <c r="O231" t="str">
        <f>IF(Tabla_control[[#This Row],[Control_duplicados]]&gt;1,"Duplicado","Unico")</f>
        <v>Unico</v>
      </c>
      <c r="P231" t="str">
        <f t="shared" si="13"/>
        <v>OK</v>
      </c>
      <c r="Q231" t="str">
        <f t="shared" si="14"/>
        <v>OK</v>
      </c>
      <c r="R231" t="str">
        <f t="shared" si="15"/>
        <v>OK</v>
      </c>
    </row>
    <row r="232" spans="1:18" x14ac:dyDescent="0.3">
      <c r="A232" s="1">
        <v>45727</v>
      </c>
      <c r="B232" s="2" t="s">
        <v>2618</v>
      </c>
      <c r="C232" s="2" t="s">
        <v>2533</v>
      </c>
      <c r="D232" s="2" t="s">
        <v>2522</v>
      </c>
      <c r="E232" s="2" t="s">
        <v>2529</v>
      </c>
      <c r="F232" s="3">
        <v>141359</v>
      </c>
      <c r="G232" s="3">
        <v>4614</v>
      </c>
      <c r="H232" s="3">
        <v>46</v>
      </c>
      <c r="I232" s="4">
        <v>6446.03</v>
      </c>
      <c r="J232" s="4">
        <v>3828.59</v>
      </c>
      <c r="K232" s="3">
        <v>25</v>
      </c>
      <c r="L232" s="2" t="s">
        <v>2539</v>
      </c>
      <c r="M232" s="2" t="s">
        <v>2537</v>
      </c>
      <c r="N232" s="6">
        <f t="shared" si="12"/>
        <v>1</v>
      </c>
      <c r="O232" t="str">
        <f>IF(Tabla_control[[#This Row],[Control_duplicados]]&gt;1,"Duplicado","Unico")</f>
        <v>Unico</v>
      </c>
      <c r="P232" t="str">
        <f t="shared" si="13"/>
        <v>OK</v>
      </c>
      <c r="Q232" t="str">
        <f t="shared" si="14"/>
        <v>OK</v>
      </c>
      <c r="R232" t="str">
        <f t="shared" si="15"/>
        <v>OK</v>
      </c>
    </row>
    <row r="233" spans="1:18" x14ac:dyDescent="0.3">
      <c r="A233" s="1">
        <v>45772</v>
      </c>
      <c r="B233" s="2" t="s">
        <v>2629</v>
      </c>
      <c r="C233" s="2" t="s">
        <v>2527</v>
      </c>
      <c r="D233" s="2" t="s">
        <v>2531</v>
      </c>
      <c r="E233" s="2" t="s">
        <v>2529</v>
      </c>
      <c r="F233" s="3">
        <v>43152</v>
      </c>
      <c r="G233" s="3">
        <v>1650</v>
      </c>
      <c r="H233" s="3">
        <v>56</v>
      </c>
      <c r="I233" s="4">
        <v>2605.81</v>
      </c>
      <c r="J233" s="4">
        <v>10686.11</v>
      </c>
      <c r="K233" s="3">
        <v>27</v>
      </c>
      <c r="L233" s="2" t="s">
        <v>2536</v>
      </c>
      <c r="M233" s="2" t="s">
        <v>2519</v>
      </c>
      <c r="N233" s="6">
        <f t="shared" si="12"/>
        <v>1</v>
      </c>
      <c r="O233" t="str">
        <f>IF(Tabla_control[[#This Row],[Control_duplicados]]&gt;1,"Duplicado","Unico")</f>
        <v>Unico</v>
      </c>
      <c r="P233" t="str">
        <f t="shared" si="13"/>
        <v>OK</v>
      </c>
      <c r="Q233" t="str">
        <f t="shared" si="14"/>
        <v>OK</v>
      </c>
      <c r="R233" t="str">
        <f t="shared" si="15"/>
        <v>OK</v>
      </c>
    </row>
    <row r="234" spans="1:18" x14ac:dyDescent="0.3">
      <c r="A234" s="1">
        <v>45937</v>
      </c>
      <c r="B234" s="2" t="s">
        <v>2628</v>
      </c>
      <c r="C234" s="2" t="s">
        <v>2527</v>
      </c>
      <c r="D234" s="2" t="s">
        <v>2528</v>
      </c>
      <c r="E234" s="2" t="s">
        <v>2534</v>
      </c>
      <c r="F234" s="3">
        <v>169243</v>
      </c>
      <c r="G234" s="3">
        <v>14397</v>
      </c>
      <c r="H234" s="3">
        <v>230</v>
      </c>
      <c r="I234" s="4">
        <v>13347.12</v>
      </c>
      <c r="J234" s="4">
        <v>36945.81</v>
      </c>
      <c r="K234" s="3">
        <v>124</v>
      </c>
      <c r="L234" s="2" t="s">
        <v>2539</v>
      </c>
      <c r="M234" s="2" t="s">
        <v>2526</v>
      </c>
      <c r="N234" s="6">
        <f t="shared" si="12"/>
        <v>1</v>
      </c>
      <c r="O234" t="str">
        <f>IF(Tabla_control[[#This Row],[Control_duplicados]]&gt;1,"Duplicado","Unico")</f>
        <v>Unico</v>
      </c>
      <c r="P234" t="str">
        <f t="shared" si="13"/>
        <v>OK</v>
      </c>
      <c r="Q234" t="str">
        <f t="shared" si="14"/>
        <v>OK</v>
      </c>
      <c r="R234" t="str">
        <f t="shared" si="15"/>
        <v>OK</v>
      </c>
    </row>
    <row r="235" spans="1:18" x14ac:dyDescent="0.3">
      <c r="A235" s="1">
        <v>45969</v>
      </c>
      <c r="B235" s="2" t="s">
        <v>2628</v>
      </c>
      <c r="C235" s="2" t="s">
        <v>2533</v>
      </c>
      <c r="D235" s="2" t="s">
        <v>2528</v>
      </c>
      <c r="E235" s="2" t="s">
        <v>2517</v>
      </c>
      <c r="F235" s="3">
        <v>100766</v>
      </c>
      <c r="G235" s="3">
        <v>8268</v>
      </c>
      <c r="H235" s="3">
        <v>1128</v>
      </c>
      <c r="I235" s="4">
        <v>-6794.31</v>
      </c>
      <c r="J235" s="4">
        <v>181965.54</v>
      </c>
      <c r="K235" s="3">
        <v>562</v>
      </c>
      <c r="L235" s="2" t="s">
        <v>2536</v>
      </c>
      <c r="M235" s="2" t="s">
        <v>2524</v>
      </c>
      <c r="N235" s="6">
        <f t="shared" si="12"/>
        <v>1</v>
      </c>
      <c r="O235" t="str">
        <f>IF(Tabla_control[[#This Row],[Control_duplicados]]&gt;1,"Duplicado","Unico")</f>
        <v>Unico</v>
      </c>
      <c r="P235" t="str">
        <f t="shared" si="13"/>
        <v>ERROR</v>
      </c>
      <c r="Q235" t="str">
        <f t="shared" si="14"/>
        <v>OK</v>
      </c>
      <c r="R235" t="str">
        <f t="shared" si="15"/>
        <v>OK</v>
      </c>
    </row>
    <row r="236" spans="1:18" x14ac:dyDescent="0.3">
      <c r="A236" s="1">
        <v>45815</v>
      </c>
      <c r="B236" s="2" t="s">
        <v>2616</v>
      </c>
      <c r="C236" s="2" t="s">
        <v>2515</v>
      </c>
      <c r="D236" s="2" t="s">
        <v>2528</v>
      </c>
      <c r="E236" s="2" t="s">
        <v>2529</v>
      </c>
      <c r="F236" s="3">
        <v>144883</v>
      </c>
      <c r="G236" s="3">
        <v>1547</v>
      </c>
      <c r="H236" s="3">
        <v>181</v>
      </c>
      <c r="I236" s="4">
        <v>1961.74</v>
      </c>
      <c r="J236" s="4">
        <v>4464.3999999999996</v>
      </c>
      <c r="K236" s="3">
        <v>154</v>
      </c>
      <c r="L236" s="2" t="s">
        <v>2518</v>
      </c>
      <c r="M236" s="2" t="s">
        <v>2537</v>
      </c>
      <c r="N236" s="6">
        <f t="shared" si="12"/>
        <v>1</v>
      </c>
      <c r="O236" t="str">
        <f>IF(Tabla_control[[#This Row],[Control_duplicados]]&gt;1,"Duplicado","Unico")</f>
        <v>Unico</v>
      </c>
      <c r="P236" t="str">
        <f t="shared" si="13"/>
        <v>OK</v>
      </c>
      <c r="Q236" t="str">
        <f t="shared" si="14"/>
        <v>OK</v>
      </c>
      <c r="R236" t="str">
        <f t="shared" si="15"/>
        <v>OK</v>
      </c>
    </row>
    <row r="237" spans="1:18" x14ac:dyDescent="0.3">
      <c r="A237" s="1">
        <v>45948</v>
      </c>
      <c r="B237" s="2" t="s">
        <v>2634</v>
      </c>
      <c r="C237" s="2" t="s">
        <v>2541</v>
      </c>
      <c r="D237" s="2" t="s">
        <v>2531</v>
      </c>
      <c r="E237" s="2" t="s">
        <v>2529</v>
      </c>
      <c r="F237" s="3">
        <v>25762</v>
      </c>
      <c r="G237" s="3">
        <v>254</v>
      </c>
      <c r="H237" s="3">
        <v>32</v>
      </c>
      <c r="I237" s="4">
        <v>113.98</v>
      </c>
      <c r="J237" s="4">
        <v>6748.92</v>
      </c>
      <c r="K237" s="3">
        <v>21</v>
      </c>
      <c r="L237" s="2" t="s">
        <v>2539</v>
      </c>
      <c r="M237" s="2" t="s">
        <v>2546</v>
      </c>
      <c r="N237" s="6">
        <f t="shared" si="12"/>
        <v>1</v>
      </c>
      <c r="O237" t="str">
        <f>IF(Tabla_control[[#This Row],[Control_duplicados]]&gt;1,"Duplicado","Unico")</f>
        <v>Unico</v>
      </c>
      <c r="P237" t="str">
        <f t="shared" si="13"/>
        <v>OK</v>
      </c>
      <c r="Q237" t="str">
        <f t="shared" si="14"/>
        <v>OK</v>
      </c>
      <c r="R237" t="str">
        <f t="shared" si="15"/>
        <v>OK</v>
      </c>
    </row>
    <row r="238" spans="1:18" x14ac:dyDescent="0.3">
      <c r="A238" s="1">
        <v>45716</v>
      </c>
      <c r="B238" s="2" t="s">
        <v>2627</v>
      </c>
      <c r="C238" s="2" t="s">
        <v>2515</v>
      </c>
      <c r="D238" s="2" t="s">
        <v>2528</v>
      </c>
      <c r="E238" s="2" t="s">
        <v>2529</v>
      </c>
      <c r="F238" s="3">
        <v>162056</v>
      </c>
      <c r="G238" s="3">
        <v>4802</v>
      </c>
      <c r="H238" s="3">
        <v>403</v>
      </c>
      <c r="I238" s="4">
        <v>1479.31</v>
      </c>
      <c r="J238" s="4">
        <v>10907.97</v>
      </c>
      <c r="K238" s="3">
        <v>331</v>
      </c>
      <c r="L238" s="2" t="s">
        <v>2536</v>
      </c>
      <c r="M238" s="2" t="s">
        <v>2524</v>
      </c>
      <c r="N238" s="6">
        <f t="shared" si="12"/>
        <v>1</v>
      </c>
      <c r="O238" t="str">
        <f>IF(Tabla_control[[#This Row],[Control_duplicados]]&gt;1,"Duplicado","Unico")</f>
        <v>Unico</v>
      </c>
      <c r="P238" t="str">
        <f t="shared" si="13"/>
        <v>OK</v>
      </c>
      <c r="Q238" t="str">
        <f t="shared" si="14"/>
        <v>OK</v>
      </c>
      <c r="R238" t="str">
        <f t="shared" si="15"/>
        <v>OK</v>
      </c>
    </row>
    <row r="239" spans="1:18" x14ac:dyDescent="0.3">
      <c r="A239" s="1">
        <v>45872</v>
      </c>
      <c r="B239" s="2" t="s">
        <v>2625</v>
      </c>
      <c r="C239" s="2" t="s">
        <v>2515</v>
      </c>
      <c r="D239" s="2" t="s">
        <v>2525</v>
      </c>
      <c r="E239" s="2" t="s">
        <v>2529</v>
      </c>
      <c r="F239" s="3">
        <v>82909</v>
      </c>
      <c r="G239" s="3">
        <v>3126</v>
      </c>
      <c r="H239" s="3">
        <v>241</v>
      </c>
      <c r="I239" s="4">
        <v>5614.73</v>
      </c>
      <c r="J239" s="4">
        <v>47297.66</v>
      </c>
      <c r="K239" s="3">
        <v>122</v>
      </c>
      <c r="L239" s="2" t="s">
        <v>2539</v>
      </c>
      <c r="M239" s="2" t="s">
        <v>2519</v>
      </c>
      <c r="N239" s="6">
        <f t="shared" si="12"/>
        <v>1</v>
      </c>
      <c r="O239" t="str">
        <f>IF(Tabla_control[[#This Row],[Control_duplicados]]&gt;1,"Duplicado","Unico")</f>
        <v>Unico</v>
      </c>
      <c r="P239" t="str">
        <f t="shared" si="13"/>
        <v>OK</v>
      </c>
      <c r="Q239" t="str">
        <f t="shared" si="14"/>
        <v>OK</v>
      </c>
      <c r="R239" t="str">
        <f t="shared" si="15"/>
        <v>OK</v>
      </c>
    </row>
    <row r="240" spans="1:18" x14ac:dyDescent="0.3">
      <c r="A240" s="1">
        <v>45672</v>
      </c>
      <c r="B240" s="2" t="s">
        <v>2636</v>
      </c>
      <c r="C240" s="2" t="s">
        <v>2521</v>
      </c>
      <c r="D240" s="2" t="s">
        <v>2528</v>
      </c>
      <c r="E240" s="2" t="s">
        <v>2534</v>
      </c>
      <c r="F240" s="3">
        <v>4521</v>
      </c>
      <c r="G240" s="3">
        <v>190</v>
      </c>
      <c r="H240" s="3">
        <v>8</v>
      </c>
      <c r="I240" s="4">
        <v>24.97</v>
      </c>
      <c r="J240" s="4">
        <v>726.07</v>
      </c>
      <c r="K240" s="3">
        <v>4</v>
      </c>
      <c r="L240" s="2" t="s">
        <v>2518</v>
      </c>
      <c r="M240" s="2" t="s">
        <v>2526</v>
      </c>
      <c r="N240" s="6">
        <f t="shared" si="12"/>
        <v>1</v>
      </c>
      <c r="O240" t="str">
        <f>IF(Tabla_control[[#This Row],[Control_duplicados]]&gt;1,"Duplicado","Unico")</f>
        <v>Unico</v>
      </c>
      <c r="P240" t="str">
        <f t="shared" si="13"/>
        <v>OK</v>
      </c>
      <c r="Q240" t="str">
        <f t="shared" si="14"/>
        <v>OK</v>
      </c>
      <c r="R240" t="str">
        <f t="shared" si="15"/>
        <v>OK</v>
      </c>
    </row>
    <row r="241" spans="1:18" x14ac:dyDescent="0.3">
      <c r="A241" s="1">
        <v>45970</v>
      </c>
      <c r="B241" s="2" t="s">
        <v>2640</v>
      </c>
      <c r="C241" s="2" t="s">
        <v>2515</v>
      </c>
      <c r="D241" s="2" t="s">
        <v>2528</v>
      </c>
      <c r="E241" s="2" t="s">
        <v>2517</v>
      </c>
      <c r="F241" s="3">
        <v>73351</v>
      </c>
      <c r="G241" s="3">
        <v>2461</v>
      </c>
      <c r="H241" s="3">
        <v>341</v>
      </c>
      <c r="I241" s="4">
        <v>563.62</v>
      </c>
      <c r="J241" s="4">
        <v>41037.68</v>
      </c>
      <c r="K241" s="3">
        <v>187</v>
      </c>
      <c r="L241" s="2" t="s">
        <v>2539</v>
      </c>
      <c r="M241" s="2" t="s">
        <v>2524</v>
      </c>
      <c r="N241" s="6">
        <f t="shared" si="12"/>
        <v>1</v>
      </c>
      <c r="O241" t="str">
        <f>IF(Tabla_control[[#This Row],[Control_duplicados]]&gt;1,"Duplicado","Unico")</f>
        <v>Unico</v>
      </c>
      <c r="P241" t="str">
        <f t="shared" si="13"/>
        <v>OK</v>
      </c>
      <c r="Q241" t="str">
        <f t="shared" si="14"/>
        <v>OK</v>
      </c>
      <c r="R241" t="str">
        <f t="shared" si="15"/>
        <v>OK</v>
      </c>
    </row>
    <row r="242" spans="1:18" x14ac:dyDescent="0.3">
      <c r="A242" s="1">
        <v>45695</v>
      </c>
      <c r="B242" s="2" t="s">
        <v>2640</v>
      </c>
      <c r="C242" s="2" t="s">
        <v>2527</v>
      </c>
      <c r="D242" s="2" t="s">
        <v>2531</v>
      </c>
      <c r="E242" s="2" t="s">
        <v>2529</v>
      </c>
      <c r="F242" s="3">
        <v>88432</v>
      </c>
      <c r="G242" s="3">
        <v>1168</v>
      </c>
      <c r="H242" s="3">
        <v>132</v>
      </c>
      <c r="I242" s="4">
        <v>1704.43</v>
      </c>
      <c r="J242" s="4">
        <v>8742.64</v>
      </c>
      <c r="K242" s="3">
        <v>102</v>
      </c>
      <c r="L242" s="2" t="s">
        <v>2523</v>
      </c>
      <c r="M242" s="2" t="s">
        <v>2546</v>
      </c>
      <c r="N242" s="6">
        <f t="shared" si="12"/>
        <v>1</v>
      </c>
      <c r="O242" t="str">
        <f>IF(Tabla_control[[#This Row],[Control_duplicados]]&gt;1,"Duplicado","Unico")</f>
        <v>Unico</v>
      </c>
      <c r="P242" t="str">
        <f t="shared" si="13"/>
        <v>OK</v>
      </c>
      <c r="Q242" t="str">
        <f t="shared" si="14"/>
        <v>OK</v>
      </c>
      <c r="R242" t="str">
        <f t="shared" si="15"/>
        <v>OK</v>
      </c>
    </row>
    <row r="243" spans="1:18" x14ac:dyDescent="0.3">
      <c r="A243" s="1">
        <v>45666</v>
      </c>
      <c r="B243" s="2" t="s">
        <v>2635</v>
      </c>
      <c r="C243" s="2" t="s">
        <v>2543</v>
      </c>
      <c r="D243" s="2" t="s">
        <v>2528</v>
      </c>
      <c r="E243" s="2" t="s">
        <v>2529</v>
      </c>
      <c r="F243" s="3">
        <v>32995</v>
      </c>
      <c r="G243" s="3">
        <v>1206</v>
      </c>
      <c r="H243" s="3">
        <v>33</v>
      </c>
      <c r="I243" s="4">
        <v>466.06</v>
      </c>
      <c r="J243" s="4">
        <v>3024.19</v>
      </c>
      <c r="K243" s="3">
        <v>18</v>
      </c>
      <c r="L243" s="2" t="s">
        <v>2539</v>
      </c>
      <c r="M243" s="2" t="s">
        <v>2546</v>
      </c>
      <c r="N243" s="6">
        <f t="shared" si="12"/>
        <v>1</v>
      </c>
      <c r="O243" t="str">
        <f>IF(Tabla_control[[#This Row],[Control_duplicados]]&gt;1,"Duplicado","Unico")</f>
        <v>Unico</v>
      </c>
      <c r="P243" t="str">
        <f t="shared" si="13"/>
        <v>OK</v>
      </c>
      <c r="Q243" t="str">
        <f t="shared" si="14"/>
        <v>OK</v>
      </c>
      <c r="R243" t="str">
        <f t="shared" si="15"/>
        <v>OK</v>
      </c>
    </row>
    <row r="244" spans="1:18" x14ac:dyDescent="0.3">
      <c r="A244" s="1">
        <v>45829</v>
      </c>
      <c r="B244" s="2" t="s">
        <v>2628</v>
      </c>
      <c r="C244" s="2" t="s">
        <v>2527</v>
      </c>
      <c r="D244" s="2" t="s">
        <v>2528</v>
      </c>
      <c r="E244" s="2" t="s">
        <v>2529</v>
      </c>
      <c r="F244" s="3">
        <v>126344</v>
      </c>
      <c r="G244" s="3">
        <v>1283</v>
      </c>
      <c r="H244" s="3">
        <v>94</v>
      </c>
      <c r="I244" s="4">
        <v>815.77</v>
      </c>
      <c r="J244" s="4">
        <v>15005.56</v>
      </c>
      <c r="K244" s="3">
        <v>56</v>
      </c>
      <c r="L244" s="2" t="s">
        <v>2523</v>
      </c>
      <c r="M244" s="2" t="s">
        <v>2537</v>
      </c>
      <c r="N244" s="6">
        <f t="shared" si="12"/>
        <v>1</v>
      </c>
      <c r="O244" t="str">
        <f>IF(Tabla_control[[#This Row],[Control_duplicados]]&gt;1,"Duplicado","Unico")</f>
        <v>Unico</v>
      </c>
      <c r="P244" t="str">
        <f t="shared" si="13"/>
        <v>OK</v>
      </c>
      <c r="Q244" t="str">
        <f t="shared" si="14"/>
        <v>OK</v>
      </c>
      <c r="R244" t="str">
        <f t="shared" si="15"/>
        <v>OK</v>
      </c>
    </row>
    <row r="245" spans="1:18" x14ac:dyDescent="0.3">
      <c r="A245" s="1">
        <v>45892</v>
      </c>
      <c r="B245" s="2" t="s">
        <v>2638</v>
      </c>
      <c r="C245" s="2" t="s">
        <v>2541</v>
      </c>
      <c r="D245" s="2" t="s">
        <v>2516</v>
      </c>
      <c r="E245" s="2" t="s">
        <v>2529</v>
      </c>
      <c r="F245" s="3">
        <v>87265</v>
      </c>
      <c r="G245" s="3">
        <v>2441</v>
      </c>
      <c r="H245" s="3">
        <v>40</v>
      </c>
      <c r="I245" s="4">
        <v>3749.31</v>
      </c>
      <c r="J245" s="4">
        <v>2624.65</v>
      </c>
      <c r="K245" s="3">
        <v>27</v>
      </c>
      <c r="L245" s="2" t="s">
        <v>2523</v>
      </c>
      <c r="M245" s="2" t="s">
        <v>2537</v>
      </c>
      <c r="N245" s="6">
        <f t="shared" si="12"/>
        <v>1</v>
      </c>
      <c r="O245" t="str">
        <f>IF(Tabla_control[[#This Row],[Control_duplicados]]&gt;1,"Duplicado","Unico")</f>
        <v>Unico</v>
      </c>
      <c r="P245" t="str">
        <f t="shared" si="13"/>
        <v>OK</v>
      </c>
      <c r="Q245" t="str">
        <f t="shared" si="14"/>
        <v>OK</v>
      </c>
      <c r="R245" t="str">
        <f t="shared" si="15"/>
        <v>OK</v>
      </c>
    </row>
    <row r="246" spans="1:18" x14ac:dyDescent="0.3">
      <c r="A246" s="1">
        <v>45979</v>
      </c>
      <c r="B246" s="2" t="s">
        <v>2641</v>
      </c>
      <c r="C246" s="2" t="s">
        <v>2533</v>
      </c>
      <c r="D246" s="2" t="s">
        <v>2525</v>
      </c>
      <c r="E246" s="2" t="s">
        <v>2517</v>
      </c>
      <c r="F246" s="3">
        <v>96295</v>
      </c>
      <c r="G246" s="3">
        <v>1424</v>
      </c>
      <c r="H246" s="3">
        <v>81</v>
      </c>
      <c r="I246" s="4">
        <v>323.29000000000002</v>
      </c>
      <c r="J246" s="4">
        <v>16529.73</v>
      </c>
      <c r="K246" s="3">
        <v>39</v>
      </c>
      <c r="L246" s="2" t="s">
        <v>2518</v>
      </c>
      <c r="M246" s="2" t="s">
        <v>2546</v>
      </c>
      <c r="N246" s="6">
        <f t="shared" si="12"/>
        <v>1</v>
      </c>
      <c r="O246" t="str">
        <f>IF(Tabla_control[[#This Row],[Control_duplicados]]&gt;1,"Duplicado","Unico")</f>
        <v>Unico</v>
      </c>
      <c r="P246" t="str">
        <f t="shared" si="13"/>
        <v>OK</v>
      </c>
      <c r="Q246" t="str">
        <f t="shared" si="14"/>
        <v>OK</v>
      </c>
      <c r="R246" t="str">
        <f t="shared" si="15"/>
        <v>OK</v>
      </c>
    </row>
    <row r="247" spans="1:18" x14ac:dyDescent="0.3">
      <c r="A247" s="1">
        <v>45721</v>
      </c>
      <c r="B247" s="2" t="s">
        <v>2616</v>
      </c>
      <c r="C247" s="2" t="s">
        <v>2527</v>
      </c>
      <c r="D247" s="2" t="s">
        <v>2528</v>
      </c>
      <c r="E247" s="2" t="s">
        <v>2517</v>
      </c>
      <c r="F247" s="3">
        <v>43556</v>
      </c>
      <c r="G247" s="3">
        <v>2837</v>
      </c>
      <c r="H247" s="3">
        <v>206</v>
      </c>
      <c r="I247" s="4">
        <v>4174.68</v>
      </c>
      <c r="J247" s="4">
        <v>23271.79</v>
      </c>
      <c r="K247" s="3">
        <v>174</v>
      </c>
      <c r="L247" s="2" t="s">
        <v>2539</v>
      </c>
      <c r="M247" s="2" t="s">
        <v>2546</v>
      </c>
      <c r="N247" s="6">
        <f t="shared" si="12"/>
        <v>1</v>
      </c>
      <c r="O247" t="str">
        <f>IF(Tabla_control[[#This Row],[Control_duplicados]]&gt;1,"Duplicado","Unico")</f>
        <v>Unico</v>
      </c>
      <c r="P247" t="str">
        <f t="shared" si="13"/>
        <v>OK</v>
      </c>
      <c r="Q247" t="str">
        <f t="shared" si="14"/>
        <v>OK</v>
      </c>
      <c r="R247" t="str">
        <f t="shared" si="15"/>
        <v>OK</v>
      </c>
    </row>
    <row r="248" spans="1:18" x14ac:dyDescent="0.3">
      <c r="A248" s="1">
        <v>45875</v>
      </c>
      <c r="B248" s="2" t="s">
        <v>2642</v>
      </c>
      <c r="C248" s="2" t="s">
        <v>2527</v>
      </c>
      <c r="D248" s="2" t="s">
        <v>2528</v>
      </c>
      <c r="E248" s="2" t="s">
        <v>2517</v>
      </c>
      <c r="F248" s="3">
        <v>42915</v>
      </c>
      <c r="G248" s="3">
        <v>2250</v>
      </c>
      <c r="H248" s="3">
        <v>58</v>
      </c>
      <c r="I248" s="4">
        <v>386.61</v>
      </c>
      <c r="J248" s="4">
        <v>12032.29</v>
      </c>
      <c r="K248" s="3">
        <v>44</v>
      </c>
      <c r="L248" s="2" t="s">
        <v>2536</v>
      </c>
      <c r="M248" s="2" t="s">
        <v>2537</v>
      </c>
      <c r="N248" s="6">
        <f t="shared" si="12"/>
        <v>1</v>
      </c>
      <c r="O248" t="str">
        <f>IF(Tabla_control[[#This Row],[Control_duplicados]]&gt;1,"Duplicado","Unico")</f>
        <v>Unico</v>
      </c>
      <c r="P248" t="str">
        <f t="shared" si="13"/>
        <v>OK</v>
      </c>
      <c r="Q248" t="str">
        <f t="shared" si="14"/>
        <v>OK</v>
      </c>
      <c r="R248" t="str">
        <f t="shared" si="15"/>
        <v>OK</v>
      </c>
    </row>
    <row r="249" spans="1:18" x14ac:dyDescent="0.3">
      <c r="A249" s="1">
        <v>45965</v>
      </c>
      <c r="B249" s="2" t="s">
        <v>2626</v>
      </c>
      <c r="C249" s="2" t="s">
        <v>2533</v>
      </c>
      <c r="D249" s="2" t="s">
        <v>2531</v>
      </c>
      <c r="E249" s="2" t="s">
        <v>2529</v>
      </c>
      <c r="F249" s="3">
        <v>175749</v>
      </c>
      <c r="G249" s="3">
        <v>1470</v>
      </c>
      <c r="H249" s="3">
        <v>166</v>
      </c>
      <c r="I249" s="4">
        <v>1907.79</v>
      </c>
      <c r="J249" s="4">
        <v>12739.89</v>
      </c>
      <c r="K249" s="3">
        <v>77</v>
      </c>
      <c r="L249" s="2" t="s">
        <v>2536</v>
      </c>
      <c r="M249" s="2" t="s">
        <v>2546</v>
      </c>
      <c r="N249" s="6">
        <f t="shared" si="12"/>
        <v>1</v>
      </c>
      <c r="O249" t="str">
        <f>IF(Tabla_control[[#This Row],[Control_duplicados]]&gt;1,"Duplicado","Unico")</f>
        <v>Unico</v>
      </c>
      <c r="P249" t="str">
        <f t="shared" si="13"/>
        <v>OK</v>
      </c>
      <c r="Q249" t="str">
        <f t="shared" si="14"/>
        <v>OK</v>
      </c>
      <c r="R249" t="str">
        <f t="shared" si="15"/>
        <v>OK</v>
      </c>
    </row>
    <row r="250" spans="1:18" x14ac:dyDescent="0.3">
      <c r="A250" s="1">
        <v>45804</v>
      </c>
      <c r="B250" s="2" t="s">
        <v>2638</v>
      </c>
      <c r="C250" s="2" t="s">
        <v>2533</v>
      </c>
      <c r="D250" s="2" t="s">
        <v>2528</v>
      </c>
      <c r="E250" s="2" t="s">
        <v>2529</v>
      </c>
      <c r="F250" s="3">
        <v>141863</v>
      </c>
      <c r="G250" s="3">
        <v>11654</v>
      </c>
      <c r="H250" s="3">
        <v>142</v>
      </c>
      <c r="I250" s="4">
        <v>7848.74</v>
      </c>
      <c r="J250" s="4">
        <v>19458.05</v>
      </c>
      <c r="K250" s="3">
        <v>98</v>
      </c>
      <c r="L250" s="2" t="s">
        <v>2539</v>
      </c>
      <c r="M250" s="2" t="s">
        <v>2519</v>
      </c>
      <c r="N250" s="6">
        <f t="shared" si="12"/>
        <v>1</v>
      </c>
      <c r="O250" t="str">
        <f>IF(Tabla_control[[#This Row],[Control_duplicados]]&gt;1,"Duplicado","Unico")</f>
        <v>Unico</v>
      </c>
      <c r="P250" t="str">
        <f t="shared" si="13"/>
        <v>OK</v>
      </c>
      <c r="Q250" t="str">
        <f t="shared" si="14"/>
        <v>OK</v>
      </c>
      <c r="R250" t="str">
        <f t="shared" si="15"/>
        <v>OK</v>
      </c>
    </row>
    <row r="251" spans="1:18" x14ac:dyDescent="0.3">
      <c r="A251" s="1">
        <v>45758</v>
      </c>
      <c r="B251" s="2" t="s">
        <v>2639</v>
      </c>
      <c r="C251" s="2" t="s">
        <v>2541</v>
      </c>
      <c r="D251" s="2" t="s">
        <v>2525</v>
      </c>
      <c r="E251" s="2" t="s">
        <v>2534</v>
      </c>
      <c r="F251" s="3">
        <v>119882</v>
      </c>
      <c r="G251" s="3">
        <v>4931</v>
      </c>
      <c r="H251" s="3">
        <v>486</v>
      </c>
      <c r="I251" s="4">
        <v>9281.2900000000009</v>
      </c>
      <c r="J251" s="4">
        <v>71734.789999999994</v>
      </c>
      <c r="K251" s="3">
        <v>429</v>
      </c>
      <c r="L251" s="2" t="s">
        <v>2536</v>
      </c>
      <c r="M251" s="2" t="s">
        <v>2519</v>
      </c>
      <c r="N251" s="6">
        <f t="shared" si="12"/>
        <v>1</v>
      </c>
      <c r="O251" t="str">
        <f>IF(Tabla_control[[#This Row],[Control_duplicados]]&gt;1,"Duplicado","Unico")</f>
        <v>Unico</v>
      </c>
      <c r="P251" t="str">
        <f t="shared" si="13"/>
        <v>OK</v>
      </c>
      <c r="Q251" t="str">
        <f t="shared" si="14"/>
        <v>OK</v>
      </c>
      <c r="R251" t="str">
        <f t="shared" si="15"/>
        <v>OK</v>
      </c>
    </row>
    <row r="252" spans="1:18" x14ac:dyDescent="0.3">
      <c r="A252" s="1">
        <v>45973</v>
      </c>
      <c r="B252" s="2" t="s">
        <v>2641</v>
      </c>
      <c r="C252" s="2" t="s">
        <v>2541</v>
      </c>
      <c r="D252" s="2" t="s">
        <v>2528</v>
      </c>
      <c r="E252" s="2" t="s">
        <v>2529</v>
      </c>
      <c r="F252" s="3">
        <v>145941</v>
      </c>
      <c r="G252" s="3">
        <v>9341</v>
      </c>
      <c r="H252" s="3">
        <v>580</v>
      </c>
      <c r="I252" s="4">
        <v>9501.42</v>
      </c>
      <c r="J252" s="4">
        <v>101929.86</v>
      </c>
      <c r="K252" s="3">
        <v>447</v>
      </c>
      <c r="L252" s="2" t="s">
        <v>2523</v>
      </c>
      <c r="M252" s="2" t="s">
        <v>2645</v>
      </c>
      <c r="N252" s="6">
        <f t="shared" si="12"/>
        <v>1</v>
      </c>
      <c r="O252" t="str">
        <f>IF(Tabla_control[[#This Row],[Control_duplicados]]&gt;1,"Duplicado","Unico")</f>
        <v>Unico</v>
      </c>
      <c r="P252" t="str">
        <f t="shared" si="13"/>
        <v>OK</v>
      </c>
      <c r="Q252" t="str">
        <f t="shared" si="14"/>
        <v>OK</v>
      </c>
      <c r="R252" t="str">
        <f t="shared" si="15"/>
        <v>OK</v>
      </c>
    </row>
    <row r="253" spans="1:18" x14ac:dyDescent="0.3">
      <c r="A253" s="1">
        <v>45941</v>
      </c>
      <c r="B253" s="2" t="s">
        <v>2631</v>
      </c>
      <c r="C253" s="2" t="s">
        <v>2527</v>
      </c>
      <c r="D253" s="2" t="s">
        <v>2528</v>
      </c>
      <c r="E253" s="2" t="s">
        <v>2529</v>
      </c>
      <c r="F253" s="3">
        <v>105170</v>
      </c>
      <c r="G253" s="3">
        <v>9344</v>
      </c>
      <c r="H253" s="3">
        <v>1266</v>
      </c>
      <c r="I253" s="4">
        <v>19197.38</v>
      </c>
      <c r="J253" s="4">
        <v>90011.98</v>
      </c>
      <c r="K253" s="3">
        <v>682</v>
      </c>
      <c r="L253" s="2" t="s">
        <v>2536</v>
      </c>
      <c r="M253" s="2" t="s">
        <v>2524</v>
      </c>
      <c r="N253" s="6">
        <f t="shared" si="12"/>
        <v>1</v>
      </c>
      <c r="O253" t="str">
        <f>IF(Tabla_control[[#This Row],[Control_duplicados]]&gt;1,"Duplicado","Unico")</f>
        <v>Unico</v>
      </c>
      <c r="P253" t="str">
        <f t="shared" si="13"/>
        <v>OK</v>
      </c>
      <c r="Q253" t="str">
        <f t="shared" si="14"/>
        <v>OK</v>
      </c>
      <c r="R253" t="str">
        <f t="shared" si="15"/>
        <v>OK</v>
      </c>
    </row>
    <row r="254" spans="1:18" x14ac:dyDescent="0.3">
      <c r="A254" s="1">
        <v>45972</v>
      </c>
      <c r="B254" s="2" t="s">
        <v>2622</v>
      </c>
      <c r="C254" s="2" t="s">
        <v>2543</v>
      </c>
      <c r="D254" s="2" t="s">
        <v>2531</v>
      </c>
      <c r="E254" s="2" t="s">
        <v>2529</v>
      </c>
      <c r="F254" s="3">
        <v>162076</v>
      </c>
      <c r="G254" s="3">
        <v>13171</v>
      </c>
      <c r="H254" s="3">
        <v>1842</v>
      </c>
      <c r="I254" s="4">
        <v>22835.83</v>
      </c>
      <c r="J254" s="4">
        <v>158650.9</v>
      </c>
      <c r="K254" s="3">
        <v>1459</v>
      </c>
      <c r="L254" s="2" t="s">
        <v>2523</v>
      </c>
      <c r="M254" s="2" t="s">
        <v>2537</v>
      </c>
      <c r="N254" s="6">
        <f t="shared" si="12"/>
        <v>1</v>
      </c>
      <c r="O254" t="str">
        <f>IF(Tabla_control[[#This Row],[Control_duplicados]]&gt;1,"Duplicado","Unico")</f>
        <v>Unico</v>
      </c>
      <c r="P254" t="str">
        <f t="shared" si="13"/>
        <v>OK</v>
      </c>
      <c r="Q254" t="str">
        <f t="shared" si="14"/>
        <v>OK</v>
      </c>
      <c r="R254" t="str">
        <f t="shared" si="15"/>
        <v>OK</v>
      </c>
    </row>
    <row r="255" spans="1:18" x14ac:dyDescent="0.3">
      <c r="A255" s="1">
        <v>45866</v>
      </c>
      <c r="B255" s="2" t="s">
        <v>2618</v>
      </c>
      <c r="C255" s="2" t="s">
        <v>2533</v>
      </c>
      <c r="D255" s="2" t="s">
        <v>2525</v>
      </c>
      <c r="E255" s="2" t="s">
        <v>2517</v>
      </c>
      <c r="F255" s="3">
        <v>134055</v>
      </c>
      <c r="G255" s="3">
        <v>4008</v>
      </c>
      <c r="H255" s="3">
        <v>396</v>
      </c>
      <c r="I255" s="4">
        <v>4745.12</v>
      </c>
      <c r="J255" s="4">
        <v>20132.45</v>
      </c>
      <c r="K255" s="3">
        <v>335</v>
      </c>
      <c r="L255" s="2" t="s">
        <v>2536</v>
      </c>
      <c r="M255" s="2" t="s">
        <v>2526</v>
      </c>
      <c r="N255" s="6">
        <f t="shared" si="12"/>
        <v>1</v>
      </c>
      <c r="O255" t="str">
        <f>IF(Tabla_control[[#This Row],[Control_duplicados]]&gt;1,"Duplicado","Unico")</f>
        <v>Unico</v>
      </c>
      <c r="P255" t="str">
        <f t="shared" si="13"/>
        <v>OK</v>
      </c>
      <c r="Q255" t="str">
        <f t="shared" si="14"/>
        <v>OK</v>
      </c>
      <c r="R255" t="str">
        <f t="shared" si="15"/>
        <v>OK</v>
      </c>
    </row>
    <row r="256" spans="1:18" x14ac:dyDescent="0.3">
      <c r="A256" s="1">
        <v>46008</v>
      </c>
      <c r="B256" s="2" t="s">
        <v>2627</v>
      </c>
      <c r="C256" s="2" t="s">
        <v>2515</v>
      </c>
      <c r="D256" s="2" t="s">
        <v>2528</v>
      </c>
      <c r="E256" s="2" t="s">
        <v>2517</v>
      </c>
      <c r="F256" s="3">
        <v>68066</v>
      </c>
      <c r="G256" s="3">
        <v>5586</v>
      </c>
      <c r="H256" s="3">
        <v>127</v>
      </c>
      <c r="I256" s="4">
        <v>809.41</v>
      </c>
      <c r="J256" s="4">
        <v>17865.96</v>
      </c>
      <c r="K256" s="3">
        <v>104</v>
      </c>
      <c r="L256" s="2" t="s">
        <v>2536</v>
      </c>
      <c r="M256" s="2" t="s">
        <v>2524</v>
      </c>
      <c r="N256" s="6">
        <f t="shared" si="12"/>
        <v>1</v>
      </c>
      <c r="O256" t="str">
        <f>IF(Tabla_control[[#This Row],[Control_duplicados]]&gt;1,"Duplicado","Unico")</f>
        <v>Unico</v>
      </c>
      <c r="P256" t="str">
        <f t="shared" si="13"/>
        <v>OK</v>
      </c>
      <c r="Q256" t="str">
        <f t="shared" si="14"/>
        <v>OK</v>
      </c>
      <c r="R256" t="str">
        <f t="shared" si="15"/>
        <v>OK</v>
      </c>
    </row>
    <row r="257" spans="1:18" x14ac:dyDescent="0.3">
      <c r="A257" s="1">
        <v>45872</v>
      </c>
      <c r="B257" s="2" t="s">
        <v>2642</v>
      </c>
      <c r="C257" s="2" t="s">
        <v>2521</v>
      </c>
      <c r="D257" s="2" t="s">
        <v>2528</v>
      </c>
      <c r="E257" s="2" t="s">
        <v>2529</v>
      </c>
      <c r="F257" s="3">
        <v>152106</v>
      </c>
      <c r="G257" s="3">
        <v>9448</v>
      </c>
      <c r="H257" s="3">
        <v>723</v>
      </c>
      <c r="I257" s="4">
        <v>14822.38</v>
      </c>
      <c r="J257" s="4">
        <v>97549.7</v>
      </c>
      <c r="K257" s="3">
        <v>604</v>
      </c>
      <c r="L257" s="2" t="s">
        <v>2539</v>
      </c>
      <c r="M257" s="2" t="s">
        <v>2546</v>
      </c>
      <c r="N257" s="6">
        <f t="shared" si="12"/>
        <v>1</v>
      </c>
      <c r="O257" t="str">
        <f>IF(Tabla_control[[#This Row],[Control_duplicados]]&gt;1,"Duplicado","Unico")</f>
        <v>Unico</v>
      </c>
      <c r="P257" t="str">
        <f t="shared" si="13"/>
        <v>OK</v>
      </c>
      <c r="Q257" t="str">
        <f t="shared" si="14"/>
        <v>OK</v>
      </c>
      <c r="R257" t="str">
        <f t="shared" si="15"/>
        <v>OK</v>
      </c>
    </row>
    <row r="258" spans="1:18" x14ac:dyDescent="0.3">
      <c r="A258" s="1">
        <v>45817</v>
      </c>
      <c r="B258" s="2" t="s">
        <v>2635</v>
      </c>
      <c r="C258" s="2" t="s">
        <v>2541</v>
      </c>
      <c r="D258" s="2" t="s">
        <v>2528</v>
      </c>
      <c r="E258" s="2" t="s">
        <v>2517</v>
      </c>
      <c r="F258" s="3">
        <v>117875</v>
      </c>
      <c r="G258" s="3">
        <v>7713</v>
      </c>
      <c r="H258" s="3">
        <v>567</v>
      </c>
      <c r="I258" s="4">
        <v>11000.89</v>
      </c>
      <c r="J258" s="4">
        <v>52777.88</v>
      </c>
      <c r="K258" s="3">
        <v>450</v>
      </c>
      <c r="L258" s="2" t="s">
        <v>2518</v>
      </c>
      <c r="M258" s="2" t="s">
        <v>2524</v>
      </c>
      <c r="N258" s="6">
        <f t="shared" ref="N258:N321" si="16">COUNTIFS($A$2:$A$2536,A258,$B$2:$B$2536,B258,$C$2:$C$2536,C258,$D$2:$D$2536,D258,$E$2:$E$2536,E258,$F$2:$F$2536,F258,$G$2:$G$2536,G258,$H$2:$H$2536,H258,$I$2:$I$2536,I258,$J$2:$J$2536,J258,$K$2:$K$2536,K258,$L$2:$L$2536,L258,$M$2:$M$2536,M258)</f>
        <v>1</v>
      </c>
      <c r="O258" t="str">
        <f>IF(Tabla_control[[#This Row],[Control_duplicados]]&gt;1,"Duplicado","Unico")</f>
        <v>Unico</v>
      </c>
      <c r="P258" t="str">
        <f t="shared" ref="P258:P321" si="17">IF(OR(I258="",I258&lt;0),"ERROR","OK")</f>
        <v>OK</v>
      </c>
      <c r="Q258" t="str">
        <f t="shared" ref="Q258:Q321" si="18">IF(H258&gt;F258,"ERROR","OK")</f>
        <v>OK</v>
      </c>
      <c r="R258" t="str">
        <f t="shared" ref="R258:R321" si="19">IF(K258&gt;H258,"ERROR","OK")</f>
        <v>OK</v>
      </c>
    </row>
    <row r="259" spans="1:18" x14ac:dyDescent="0.3">
      <c r="A259" s="1">
        <v>45688</v>
      </c>
      <c r="B259" s="2" t="s">
        <v>2631</v>
      </c>
      <c r="C259" s="2" t="s">
        <v>2515</v>
      </c>
      <c r="D259" s="2" t="s">
        <v>2528</v>
      </c>
      <c r="E259" s="2" t="s">
        <v>2529</v>
      </c>
      <c r="F259" s="3">
        <v>90544</v>
      </c>
      <c r="G259" s="3">
        <v>2948</v>
      </c>
      <c r="H259" s="3">
        <v>219</v>
      </c>
      <c r="I259" s="4">
        <v>4556.2700000000004</v>
      </c>
      <c r="J259" s="4">
        <v>10935.12</v>
      </c>
      <c r="K259" s="3">
        <v>125</v>
      </c>
      <c r="L259" s="2" t="s">
        <v>2539</v>
      </c>
      <c r="M259" s="2" t="s">
        <v>2537</v>
      </c>
      <c r="N259" s="6">
        <f t="shared" si="16"/>
        <v>1</v>
      </c>
      <c r="O259" t="str">
        <f>IF(Tabla_control[[#This Row],[Control_duplicados]]&gt;1,"Duplicado","Unico")</f>
        <v>Unico</v>
      </c>
      <c r="P259" t="str">
        <f t="shared" si="17"/>
        <v>OK</v>
      </c>
      <c r="Q259" t="str">
        <f t="shared" si="18"/>
        <v>OK</v>
      </c>
      <c r="R259" t="str">
        <f t="shared" si="19"/>
        <v>OK</v>
      </c>
    </row>
    <row r="260" spans="1:18" x14ac:dyDescent="0.3">
      <c r="A260" s="1">
        <v>45704</v>
      </c>
      <c r="B260" s="2" t="s">
        <v>2637</v>
      </c>
      <c r="C260" s="2" t="s">
        <v>2515</v>
      </c>
      <c r="D260" s="2" t="s">
        <v>2528</v>
      </c>
      <c r="E260" s="2" t="s">
        <v>2517</v>
      </c>
      <c r="F260" s="3">
        <v>120504</v>
      </c>
      <c r="G260" s="3">
        <v>8297</v>
      </c>
      <c r="H260" s="3">
        <v>403</v>
      </c>
      <c r="I260" s="4">
        <v>12221.54</v>
      </c>
      <c r="J260" s="4">
        <v>84257.06</v>
      </c>
      <c r="K260" s="3">
        <v>335</v>
      </c>
      <c r="L260" s="2" t="s">
        <v>2536</v>
      </c>
      <c r="M260" s="2" t="s">
        <v>2546</v>
      </c>
      <c r="N260" s="6">
        <f t="shared" si="16"/>
        <v>1</v>
      </c>
      <c r="O260" t="str">
        <f>IF(Tabla_control[[#This Row],[Control_duplicados]]&gt;1,"Duplicado","Unico")</f>
        <v>Unico</v>
      </c>
      <c r="P260" t="str">
        <f t="shared" si="17"/>
        <v>OK</v>
      </c>
      <c r="Q260" t="str">
        <f t="shared" si="18"/>
        <v>OK</v>
      </c>
      <c r="R260" t="str">
        <f t="shared" si="19"/>
        <v>OK</v>
      </c>
    </row>
    <row r="261" spans="1:18" x14ac:dyDescent="0.3">
      <c r="A261" s="1">
        <v>45659</v>
      </c>
      <c r="B261" s="2" t="s">
        <v>2642</v>
      </c>
      <c r="C261" s="2" t="s">
        <v>2515</v>
      </c>
      <c r="D261" s="2" t="s">
        <v>2528</v>
      </c>
      <c r="E261" s="2" t="s">
        <v>2517</v>
      </c>
      <c r="F261" s="3">
        <v>157816</v>
      </c>
      <c r="G261" s="3">
        <v>11236</v>
      </c>
      <c r="H261" s="3">
        <v>1114</v>
      </c>
      <c r="I261" s="4">
        <v>16322.36</v>
      </c>
      <c r="J261" s="4">
        <v>32644.32</v>
      </c>
      <c r="K261" s="3">
        <v>718</v>
      </c>
      <c r="L261" s="2" t="s">
        <v>2539</v>
      </c>
      <c r="M261" s="2" t="s">
        <v>2524</v>
      </c>
      <c r="N261" s="6">
        <f t="shared" si="16"/>
        <v>1</v>
      </c>
      <c r="O261" t="str">
        <f>IF(Tabla_control[[#This Row],[Control_duplicados]]&gt;1,"Duplicado","Unico")</f>
        <v>Unico</v>
      </c>
      <c r="P261" t="str">
        <f t="shared" si="17"/>
        <v>OK</v>
      </c>
      <c r="Q261" t="str">
        <f t="shared" si="18"/>
        <v>OK</v>
      </c>
      <c r="R261" t="str">
        <f t="shared" si="19"/>
        <v>OK</v>
      </c>
    </row>
    <row r="262" spans="1:18" x14ac:dyDescent="0.3">
      <c r="A262" s="1">
        <v>45952</v>
      </c>
      <c r="B262" s="2" t="s">
        <v>2630</v>
      </c>
      <c r="C262" s="2" t="s">
        <v>2515</v>
      </c>
      <c r="D262" s="2" t="s">
        <v>2528</v>
      </c>
      <c r="E262" s="2" t="s">
        <v>2529</v>
      </c>
      <c r="F262" s="3">
        <v>38138</v>
      </c>
      <c r="G262" s="3">
        <v>3238</v>
      </c>
      <c r="H262" s="3">
        <v>289</v>
      </c>
      <c r="I262" s="4">
        <v>1553.98</v>
      </c>
      <c r="J262" s="4">
        <v>54085.79</v>
      </c>
      <c r="K262" s="3">
        <v>197</v>
      </c>
      <c r="L262" s="2" t="s">
        <v>2518</v>
      </c>
      <c r="M262" s="2" t="s">
        <v>2526</v>
      </c>
      <c r="N262" s="6">
        <f t="shared" si="16"/>
        <v>1</v>
      </c>
      <c r="O262" t="str">
        <f>IF(Tabla_control[[#This Row],[Control_duplicados]]&gt;1,"Duplicado","Unico")</f>
        <v>Unico</v>
      </c>
      <c r="P262" t="str">
        <f t="shared" si="17"/>
        <v>OK</v>
      </c>
      <c r="Q262" t="str">
        <f t="shared" si="18"/>
        <v>OK</v>
      </c>
      <c r="R262" t="str">
        <f t="shared" si="19"/>
        <v>OK</v>
      </c>
    </row>
    <row r="263" spans="1:18" x14ac:dyDescent="0.3">
      <c r="A263" s="1">
        <v>45805</v>
      </c>
      <c r="B263" s="2" t="s">
        <v>2636</v>
      </c>
      <c r="C263" s="2" t="s">
        <v>2521</v>
      </c>
      <c r="D263" s="2" t="s">
        <v>2528</v>
      </c>
      <c r="E263" s="2" t="s">
        <v>2517</v>
      </c>
      <c r="F263" s="3">
        <v>113419</v>
      </c>
      <c r="G263" s="3">
        <v>6605</v>
      </c>
      <c r="H263" s="3">
        <v>625</v>
      </c>
      <c r="I263" s="4">
        <v>11755.57</v>
      </c>
      <c r="J263" s="4">
        <v>120178.4</v>
      </c>
      <c r="K263" s="3">
        <v>310</v>
      </c>
      <c r="L263" s="2" t="s">
        <v>2539</v>
      </c>
      <c r="M263" s="2" t="s">
        <v>2537</v>
      </c>
      <c r="N263" s="6">
        <f t="shared" si="16"/>
        <v>1</v>
      </c>
      <c r="O263" t="str">
        <f>IF(Tabla_control[[#This Row],[Control_duplicados]]&gt;1,"Duplicado","Unico")</f>
        <v>Unico</v>
      </c>
      <c r="P263" t="str">
        <f t="shared" si="17"/>
        <v>OK</v>
      </c>
      <c r="Q263" t="str">
        <f t="shared" si="18"/>
        <v>OK</v>
      </c>
      <c r="R263" t="str">
        <f t="shared" si="19"/>
        <v>OK</v>
      </c>
    </row>
    <row r="264" spans="1:18" x14ac:dyDescent="0.3">
      <c r="A264" s="1">
        <v>45837</v>
      </c>
      <c r="B264" s="2" t="s">
        <v>2642</v>
      </c>
      <c r="C264" s="2" t="s">
        <v>2533</v>
      </c>
      <c r="D264" s="2" t="s">
        <v>2528</v>
      </c>
      <c r="E264" s="2" t="s">
        <v>2529</v>
      </c>
      <c r="F264" s="3">
        <v>115514</v>
      </c>
      <c r="G264" s="3">
        <v>6124</v>
      </c>
      <c r="H264" s="3">
        <v>76</v>
      </c>
      <c r="I264" s="4">
        <v>3124.21</v>
      </c>
      <c r="J264" s="4">
        <v>1815.51</v>
      </c>
      <c r="K264" s="3">
        <v>34</v>
      </c>
      <c r="L264" s="2" t="s">
        <v>2539</v>
      </c>
      <c r="M264" s="2" t="s">
        <v>2526</v>
      </c>
      <c r="N264" s="6">
        <f t="shared" si="16"/>
        <v>1</v>
      </c>
      <c r="O264" t="str">
        <f>IF(Tabla_control[[#This Row],[Control_duplicados]]&gt;1,"Duplicado","Unico")</f>
        <v>Unico</v>
      </c>
      <c r="P264" t="str">
        <f t="shared" si="17"/>
        <v>OK</v>
      </c>
      <c r="Q264" t="str">
        <f t="shared" si="18"/>
        <v>OK</v>
      </c>
      <c r="R264" t="str">
        <f t="shared" si="19"/>
        <v>OK</v>
      </c>
    </row>
    <row r="265" spans="1:18" x14ac:dyDescent="0.3">
      <c r="A265" s="1">
        <v>45799</v>
      </c>
      <c r="B265" s="2" t="s">
        <v>2631</v>
      </c>
      <c r="C265" s="2" t="s">
        <v>2515</v>
      </c>
      <c r="D265" s="2" t="s">
        <v>2525</v>
      </c>
      <c r="E265" s="2" t="s">
        <v>2517</v>
      </c>
      <c r="F265" s="3">
        <v>11582</v>
      </c>
      <c r="G265" s="3">
        <v>270</v>
      </c>
      <c r="H265" s="3">
        <v>37</v>
      </c>
      <c r="I265" s="4">
        <v>411.11</v>
      </c>
      <c r="J265" s="4">
        <v>6287.11</v>
      </c>
      <c r="K265" s="3">
        <v>20</v>
      </c>
      <c r="L265" s="2" t="s">
        <v>2539</v>
      </c>
      <c r="M265" s="2" t="s">
        <v>2537</v>
      </c>
      <c r="N265" s="6">
        <f t="shared" si="16"/>
        <v>1</v>
      </c>
      <c r="O265" t="str">
        <f>IF(Tabla_control[[#This Row],[Control_duplicados]]&gt;1,"Duplicado","Unico")</f>
        <v>Unico</v>
      </c>
      <c r="P265" t="str">
        <f t="shared" si="17"/>
        <v>OK</v>
      </c>
      <c r="Q265" t="str">
        <f t="shared" si="18"/>
        <v>OK</v>
      </c>
      <c r="R265" t="str">
        <f t="shared" si="19"/>
        <v>OK</v>
      </c>
    </row>
    <row r="266" spans="1:18" x14ac:dyDescent="0.3">
      <c r="A266" s="1">
        <v>45915</v>
      </c>
      <c r="B266" s="2" t="s">
        <v>2628</v>
      </c>
      <c r="C266" s="2" t="s">
        <v>2543</v>
      </c>
      <c r="D266" s="2" t="s">
        <v>2528</v>
      </c>
      <c r="E266" s="2" t="s">
        <v>2529</v>
      </c>
      <c r="F266" s="3">
        <v>88592</v>
      </c>
      <c r="G266" s="3">
        <v>537</v>
      </c>
      <c r="H266" s="3">
        <v>27</v>
      </c>
      <c r="I266" s="4">
        <v>881.92</v>
      </c>
      <c r="J266" s="4">
        <v>1497.89</v>
      </c>
      <c r="K266" s="3">
        <v>13</v>
      </c>
      <c r="L266" s="2" t="s">
        <v>2523</v>
      </c>
      <c r="M266" s="2" t="s">
        <v>2524</v>
      </c>
      <c r="N266" s="6">
        <f t="shared" si="16"/>
        <v>1</v>
      </c>
      <c r="O266" t="str">
        <f>IF(Tabla_control[[#This Row],[Control_duplicados]]&gt;1,"Duplicado","Unico")</f>
        <v>Unico</v>
      </c>
      <c r="P266" t="str">
        <f t="shared" si="17"/>
        <v>OK</v>
      </c>
      <c r="Q266" t="str">
        <f t="shared" si="18"/>
        <v>OK</v>
      </c>
      <c r="R266" t="str">
        <f t="shared" si="19"/>
        <v>OK</v>
      </c>
    </row>
    <row r="267" spans="1:18" x14ac:dyDescent="0.3">
      <c r="A267" s="1">
        <v>45911</v>
      </c>
      <c r="B267" s="2" t="s">
        <v>2620</v>
      </c>
      <c r="C267" s="2" t="s">
        <v>2533</v>
      </c>
      <c r="D267" s="2" t="s">
        <v>2525</v>
      </c>
      <c r="E267" s="2" t="s">
        <v>2529</v>
      </c>
      <c r="F267" s="3">
        <v>33650</v>
      </c>
      <c r="G267" s="3">
        <v>1872</v>
      </c>
      <c r="H267" s="3">
        <v>256</v>
      </c>
      <c r="I267" s="4">
        <v>805.37</v>
      </c>
      <c r="J267" s="4">
        <v>23017.61</v>
      </c>
      <c r="K267" s="3">
        <v>185</v>
      </c>
      <c r="L267" s="2" t="s">
        <v>2539</v>
      </c>
      <c r="M267" s="2" t="s">
        <v>2537</v>
      </c>
      <c r="N267" s="6">
        <f t="shared" si="16"/>
        <v>1</v>
      </c>
      <c r="O267" t="str">
        <f>IF(Tabla_control[[#This Row],[Control_duplicados]]&gt;1,"Duplicado","Unico")</f>
        <v>Unico</v>
      </c>
      <c r="P267" t="str">
        <f t="shared" si="17"/>
        <v>OK</v>
      </c>
      <c r="Q267" t="str">
        <f t="shared" si="18"/>
        <v>OK</v>
      </c>
      <c r="R267" t="str">
        <f t="shared" si="19"/>
        <v>OK</v>
      </c>
    </row>
    <row r="268" spans="1:18" x14ac:dyDescent="0.3">
      <c r="A268" s="1">
        <v>45779</v>
      </c>
      <c r="B268" s="2" t="s">
        <v>2636</v>
      </c>
      <c r="C268" s="2" t="s">
        <v>2541</v>
      </c>
      <c r="D268" s="2" t="s">
        <v>2531</v>
      </c>
      <c r="E268" s="2" t="s">
        <v>2529</v>
      </c>
      <c r="F268" s="3">
        <v>68140</v>
      </c>
      <c r="G268" s="3">
        <v>514</v>
      </c>
      <c r="H268" s="3">
        <v>4</v>
      </c>
      <c r="I268" s="4">
        <v>812.36</v>
      </c>
      <c r="J268" s="4">
        <v>547.03</v>
      </c>
      <c r="K268" s="3">
        <v>3</v>
      </c>
      <c r="L268" s="2" t="s">
        <v>2518</v>
      </c>
      <c r="M268" s="2" t="s">
        <v>2524</v>
      </c>
      <c r="N268" s="6">
        <f t="shared" si="16"/>
        <v>1</v>
      </c>
      <c r="O268" t="str">
        <f>IF(Tabla_control[[#This Row],[Control_duplicados]]&gt;1,"Duplicado","Unico")</f>
        <v>Unico</v>
      </c>
      <c r="P268" t="str">
        <f t="shared" si="17"/>
        <v>OK</v>
      </c>
      <c r="Q268" t="str">
        <f t="shared" si="18"/>
        <v>OK</v>
      </c>
      <c r="R268" t="str">
        <f t="shared" si="19"/>
        <v>OK</v>
      </c>
    </row>
    <row r="269" spans="1:18" x14ac:dyDescent="0.3">
      <c r="A269" s="1">
        <v>45714</v>
      </c>
      <c r="B269" s="2" t="s">
        <v>2639</v>
      </c>
      <c r="C269" s="2" t="s">
        <v>2533</v>
      </c>
      <c r="D269" s="2" t="s">
        <v>2528</v>
      </c>
      <c r="E269" s="2" t="s">
        <v>2517</v>
      </c>
      <c r="F269" s="3">
        <v>85605</v>
      </c>
      <c r="G269" s="3">
        <v>3356</v>
      </c>
      <c r="H269" s="3">
        <v>141</v>
      </c>
      <c r="I269" s="4">
        <v>2682.58</v>
      </c>
      <c r="J269" s="4">
        <v>17704.64</v>
      </c>
      <c r="K269" s="3">
        <v>75</v>
      </c>
      <c r="L269" s="2" t="s">
        <v>2523</v>
      </c>
      <c r="M269" s="2" t="s">
        <v>2546</v>
      </c>
      <c r="N269" s="6">
        <f t="shared" si="16"/>
        <v>1</v>
      </c>
      <c r="O269" t="str">
        <f>IF(Tabla_control[[#This Row],[Control_duplicados]]&gt;1,"Duplicado","Unico")</f>
        <v>Unico</v>
      </c>
      <c r="P269" t="str">
        <f t="shared" si="17"/>
        <v>OK</v>
      </c>
      <c r="Q269" t="str">
        <f t="shared" si="18"/>
        <v>OK</v>
      </c>
      <c r="R269" t="str">
        <f t="shared" si="19"/>
        <v>OK</v>
      </c>
    </row>
    <row r="270" spans="1:18" x14ac:dyDescent="0.3">
      <c r="A270" s="1">
        <v>45664</v>
      </c>
      <c r="B270" s="2" t="s">
        <v>2617</v>
      </c>
      <c r="C270" s="2" t="s">
        <v>2541</v>
      </c>
      <c r="D270" s="2" t="s">
        <v>2516</v>
      </c>
      <c r="E270" s="2" t="s">
        <v>2517</v>
      </c>
      <c r="F270" s="3">
        <v>47238</v>
      </c>
      <c r="G270" s="3">
        <v>577</v>
      </c>
      <c r="H270" s="3">
        <v>20</v>
      </c>
      <c r="I270" s="4">
        <v>864.87</v>
      </c>
      <c r="J270" s="4">
        <v>3835.5</v>
      </c>
      <c r="K270" s="3">
        <v>14</v>
      </c>
      <c r="L270" s="2" t="s">
        <v>2518</v>
      </c>
      <c r="M270" s="2" t="s">
        <v>2524</v>
      </c>
      <c r="N270" s="6">
        <f t="shared" si="16"/>
        <v>1</v>
      </c>
      <c r="O270" t="str">
        <f>IF(Tabla_control[[#This Row],[Control_duplicados]]&gt;1,"Duplicado","Unico")</f>
        <v>Unico</v>
      </c>
      <c r="P270" t="str">
        <f t="shared" si="17"/>
        <v>OK</v>
      </c>
      <c r="Q270" t="str">
        <f t="shared" si="18"/>
        <v>OK</v>
      </c>
      <c r="R270" t="str">
        <f t="shared" si="19"/>
        <v>OK</v>
      </c>
    </row>
    <row r="271" spans="1:18" x14ac:dyDescent="0.3">
      <c r="A271" s="1">
        <v>45945</v>
      </c>
      <c r="B271" s="2" t="s">
        <v>2627</v>
      </c>
      <c r="C271" s="2" t="s">
        <v>2541</v>
      </c>
      <c r="D271" s="2" t="s">
        <v>2528</v>
      </c>
      <c r="E271" s="2" t="s">
        <v>2517</v>
      </c>
      <c r="F271" s="3">
        <v>109089</v>
      </c>
      <c r="G271" s="3">
        <v>2184</v>
      </c>
      <c r="H271" s="3">
        <v>232</v>
      </c>
      <c r="I271" s="4">
        <v>3148.64</v>
      </c>
      <c r="J271" s="4">
        <v>27846.04</v>
      </c>
      <c r="K271" s="3">
        <v>208</v>
      </c>
      <c r="L271" s="2" t="s">
        <v>2518</v>
      </c>
      <c r="M271" s="2" t="s">
        <v>2519</v>
      </c>
      <c r="N271" s="6">
        <f t="shared" si="16"/>
        <v>1</v>
      </c>
      <c r="O271" t="str">
        <f>IF(Tabla_control[[#This Row],[Control_duplicados]]&gt;1,"Duplicado","Unico")</f>
        <v>Unico</v>
      </c>
      <c r="P271" t="str">
        <f t="shared" si="17"/>
        <v>OK</v>
      </c>
      <c r="Q271" t="str">
        <f t="shared" si="18"/>
        <v>OK</v>
      </c>
      <c r="R271" t="str">
        <f t="shared" si="19"/>
        <v>OK</v>
      </c>
    </row>
    <row r="272" spans="1:18" x14ac:dyDescent="0.3">
      <c r="A272" s="1">
        <v>45729</v>
      </c>
      <c r="B272" s="2" t="s">
        <v>2628</v>
      </c>
      <c r="C272" s="2" t="s">
        <v>2533</v>
      </c>
      <c r="D272" s="2" t="s">
        <v>2528</v>
      </c>
      <c r="E272" s="2" t="s">
        <v>2517</v>
      </c>
      <c r="F272" s="3">
        <v>75419</v>
      </c>
      <c r="G272" s="3">
        <v>6401</v>
      </c>
      <c r="H272" s="3">
        <v>322</v>
      </c>
      <c r="I272" s="4">
        <v>2650.59</v>
      </c>
      <c r="J272" s="4">
        <v>24284.18</v>
      </c>
      <c r="K272" s="3">
        <v>192</v>
      </c>
      <c r="L272" s="2" t="s">
        <v>2536</v>
      </c>
      <c r="M272" s="2" t="s">
        <v>2537</v>
      </c>
      <c r="N272" s="6">
        <f t="shared" si="16"/>
        <v>1</v>
      </c>
      <c r="O272" t="str">
        <f>IF(Tabla_control[[#This Row],[Control_duplicados]]&gt;1,"Duplicado","Unico")</f>
        <v>Unico</v>
      </c>
      <c r="P272" t="str">
        <f t="shared" si="17"/>
        <v>OK</v>
      </c>
      <c r="Q272" t="str">
        <f t="shared" si="18"/>
        <v>OK</v>
      </c>
      <c r="R272" t="str">
        <f t="shared" si="19"/>
        <v>OK</v>
      </c>
    </row>
    <row r="273" spans="1:18" x14ac:dyDescent="0.3">
      <c r="A273" s="1">
        <v>45872</v>
      </c>
      <c r="B273" s="2" t="s">
        <v>2634</v>
      </c>
      <c r="C273" s="2" t="s">
        <v>2543</v>
      </c>
      <c r="D273" s="2" t="s">
        <v>2525</v>
      </c>
      <c r="E273" s="2" t="s">
        <v>2517</v>
      </c>
      <c r="F273" s="3">
        <v>126828</v>
      </c>
      <c r="G273" s="3">
        <v>2773</v>
      </c>
      <c r="H273" s="3">
        <v>15</v>
      </c>
      <c r="I273" s="4">
        <v>1620.45</v>
      </c>
      <c r="J273" s="4">
        <v>1306.3900000000001</v>
      </c>
      <c r="K273" s="3">
        <v>8</v>
      </c>
      <c r="L273" s="2" t="s">
        <v>2536</v>
      </c>
      <c r="M273" s="2" t="s">
        <v>2524</v>
      </c>
      <c r="N273" s="6">
        <f t="shared" si="16"/>
        <v>1</v>
      </c>
      <c r="O273" t="str">
        <f>IF(Tabla_control[[#This Row],[Control_duplicados]]&gt;1,"Duplicado","Unico")</f>
        <v>Unico</v>
      </c>
      <c r="P273" t="str">
        <f t="shared" si="17"/>
        <v>OK</v>
      </c>
      <c r="Q273" t="str">
        <f t="shared" si="18"/>
        <v>OK</v>
      </c>
      <c r="R273" t="str">
        <f t="shared" si="19"/>
        <v>OK</v>
      </c>
    </row>
    <row r="274" spans="1:18" x14ac:dyDescent="0.3">
      <c r="A274" s="1">
        <v>46019</v>
      </c>
      <c r="B274" s="2" t="s">
        <v>2625</v>
      </c>
      <c r="C274" s="2" t="s">
        <v>2533</v>
      </c>
      <c r="D274" s="2" t="s">
        <v>2516</v>
      </c>
      <c r="E274" s="2" t="s">
        <v>2517</v>
      </c>
      <c r="F274" s="3">
        <v>100094</v>
      </c>
      <c r="G274" s="3">
        <v>1969</v>
      </c>
      <c r="H274" s="3">
        <v>134</v>
      </c>
      <c r="I274" s="4">
        <v>2790.29</v>
      </c>
      <c r="J274" s="4">
        <v>23430.25</v>
      </c>
      <c r="K274" s="3">
        <v>106</v>
      </c>
      <c r="L274" s="2" t="s">
        <v>2518</v>
      </c>
      <c r="M274" s="2" t="s">
        <v>2524</v>
      </c>
      <c r="N274" s="6">
        <f t="shared" si="16"/>
        <v>2</v>
      </c>
      <c r="O274" t="str">
        <f>IF(Tabla_control[[#This Row],[Control_duplicados]]&gt;1,"Duplicado","Unico")</f>
        <v>Duplicado</v>
      </c>
      <c r="P274" t="str">
        <f t="shared" si="17"/>
        <v>OK</v>
      </c>
      <c r="Q274" t="str">
        <f t="shared" si="18"/>
        <v>OK</v>
      </c>
      <c r="R274" t="str">
        <f t="shared" si="19"/>
        <v>OK</v>
      </c>
    </row>
    <row r="275" spans="1:18" x14ac:dyDescent="0.3">
      <c r="A275" s="1">
        <v>45958</v>
      </c>
      <c r="B275" s="2" t="s">
        <v>2639</v>
      </c>
      <c r="C275" s="2" t="s">
        <v>2527</v>
      </c>
      <c r="D275" s="2" t="s">
        <v>2528</v>
      </c>
      <c r="E275" s="2" t="s">
        <v>2529</v>
      </c>
      <c r="F275" s="3">
        <v>115787</v>
      </c>
      <c r="G275" s="3">
        <v>8330</v>
      </c>
      <c r="H275" s="3">
        <v>347</v>
      </c>
      <c r="I275" s="4">
        <v>1050.1099999999999</v>
      </c>
      <c r="J275" s="4">
        <v>74920.490000000005</v>
      </c>
      <c r="K275" s="3">
        <v>249</v>
      </c>
      <c r="L275" s="2" t="s">
        <v>2518</v>
      </c>
      <c r="M275" s="2" t="s">
        <v>2645</v>
      </c>
      <c r="N275" s="6">
        <f t="shared" si="16"/>
        <v>1</v>
      </c>
      <c r="O275" t="str">
        <f>IF(Tabla_control[[#This Row],[Control_duplicados]]&gt;1,"Duplicado","Unico")</f>
        <v>Unico</v>
      </c>
      <c r="P275" t="str">
        <f t="shared" si="17"/>
        <v>OK</v>
      </c>
      <c r="Q275" t="str">
        <f t="shared" si="18"/>
        <v>OK</v>
      </c>
      <c r="R275" t="str">
        <f t="shared" si="19"/>
        <v>OK</v>
      </c>
    </row>
    <row r="276" spans="1:18" x14ac:dyDescent="0.3">
      <c r="A276" s="1">
        <v>45810</v>
      </c>
      <c r="B276" s="2" t="s">
        <v>2640</v>
      </c>
      <c r="C276" s="2" t="s">
        <v>2543</v>
      </c>
      <c r="D276" s="2" t="s">
        <v>2528</v>
      </c>
      <c r="E276" s="2" t="s">
        <v>2529</v>
      </c>
      <c r="F276" s="3">
        <v>153589</v>
      </c>
      <c r="G276" s="3">
        <v>12225</v>
      </c>
      <c r="H276" s="3">
        <v>1308</v>
      </c>
      <c r="I276" s="4">
        <v>3881</v>
      </c>
      <c r="J276" s="4">
        <v>224367.15</v>
      </c>
      <c r="K276" s="3">
        <v>911</v>
      </c>
      <c r="L276" s="2" t="s">
        <v>2523</v>
      </c>
      <c r="M276" s="2" t="s">
        <v>2519</v>
      </c>
      <c r="N276" s="6">
        <f t="shared" si="16"/>
        <v>1</v>
      </c>
      <c r="O276" t="str">
        <f>IF(Tabla_control[[#This Row],[Control_duplicados]]&gt;1,"Duplicado","Unico")</f>
        <v>Unico</v>
      </c>
      <c r="P276" t="str">
        <f t="shared" si="17"/>
        <v>OK</v>
      </c>
      <c r="Q276" t="str">
        <f t="shared" si="18"/>
        <v>OK</v>
      </c>
      <c r="R276" t="str">
        <f t="shared" si="19"/>
        <v>OK</v>
      </c>
    </row>
    <row r="277" spans="1:18" x14ac:dyDescent="0.3">
      <c r="A277" s="1">
        <v>45851</v>
      </c>
      <c r="B277" s="2" t="s">
        <v>2622</v>
      </c>
      <c r="C277" s="2" t="s">
        <v>2521</v>
      </c>
      <c r="D277" s="2" t="s">
        <v>2528</v>
      </c>
      <c r="E277" s="2" t="s">
        <v>2529</v>
      </c>
      <c r="F277" s="3">
        <v>54410</v>
      </c>
      <c r="G277" s="3">
        <v>4726</v>
      </c>
      <c r="H277" s="3">
        <v>133</v>
      </c>
      <c r="I277" s="4">
        <v>723.27</v>
      </c>
      <c r="J277" s="4">
        <v>12588.91</v>
      </c>
      <c r="K277" s="3">
        <v>104</v>
      </c>
      <c r="L277" s="2" t="s">
        <v>2523</v>
      </c>
      <c r="M277" s="2" t="s">
        <v>2526</v>
      </c>
      <c r="N277" s="6">
        <f t="shared" si="16"/>
        <v>1</v>
      </c>
      <c r="O277" t="str">
        <f>IF(Tabla_control[[#This Row],[Control_duplicados]]&gt;1,"Duplicado","Unico")</f>
        <v>Unico</v>
      </c>
      <c r="P277" t="str">
        <f t="shared" si="17"/>
        <v>OK</v>
      </c>
      <c r="Q277" t="str">
        <f t="shared" si="18"/>
        <v>OK</v>
      </c>
      <c r="R277" t="str">
        <f t="shared" si="19"/>
        <v>OK</v>
      </c>
    </row>
    <row r="278" spans="1:18" x14ac:dyDescent="0.3">
      <c r="A278" s="1">
        <v>45738</v>
      </c>
      <c r="B278" s="2" t="s">
        <v>2637</v>
      </c>
      <c r="C278" s="2" t="s">
        <v>2541</v>
      </c>
      <c r="D278" s="2" t="s">
        <v>2528</v>
      </c>
      <c r="E278" s="2" t="s">
        <v>2529</v>
      </c>
      <c r="F278" s="3">
        <v>178156</v>
      </c>
      <c r="G278" s="3">
        <v>9113</v>
      </c>
      <c r="H278" s="3">
        <v>297</v>
      </c>
      <c r="I278" s="4">
        <v>15507.44</v>
      </c>
      <c r="J278" s="4">
        <v>38586.19</v>
      </c>
      <c r="K278" s="3">
        <v>136</v>
      </c>
      <c r="L278" s="2" t="s">
        <v>2523</v>
      </c>
      <c r="M278" s="2" t="s">
        <v>2524</v>
      </c>
      <c r="N278" s="6">
        <f t="shared" si="16"/>
        <v>1</v>
      </c>
      <c r="O278" t="str">
        <f>IF(Tabla_control[[#This Row],[Control_duplicados]]&gt;1,"Duplicado","Unico")</f>
        <v>Unico</v>
      </c>
      <c r="P278" t="str">
        <f t="shared" si="17"/>
        <v>OK</v>
      </c>
      <c r="Q278" t="str">
        <f t="shared" si="18"/>
        <v>OK</v>
      </c>
      <c r="R278" t="str">
        <f t="shared" si="19"/>
        <v>OK</v>
      </c>
    </row>
    <row r="279" spans="1:18" x14ac:dyDescent="0.3">
      <c r="A279" s="1">
        <v>45998</v>
      </c>
      <c r="B279" s="2" t="s">
        <v>2636</v>
      </c>
      <c r="C279" s="2" t="s">
        <v>2541</v>
      </c>
      <c r="D279" s="2" t="s">
        <v>2528</v>
      </c>
      <c r="E279" s="2" t="s">
        <v>2529</v>
      </c>
      <c r="F279" s="3">
        <v>8328</v>
      </c>
      <c r="G279" s="3">
        <v>485</v>
      </c>
      <c r="H279" s="3">
        <v>9</v>
      </c>
      <c r="I279" s="4">
        <v>315.87</v>
      </c>
      <c r="J279" s="4">
        <v>1758.62</v>
      </c>
      <c r="K279" s="3">
        <v>7</v>
      </c>
      <c r="L279" s="2" t="s">
        <v>2518</v>
      </c>
      <c r="M279" s="2" t="s">
        <v>2526</v>
      </c>
      <c r="N279" s="6">
        <f t="shared" si="16"/>
        <v>1</v>
      </c>
      <c r="O279" t="str">
        <f>IF(Tabla_control[[#This Row],[Control_duplicados]]&gt;1,"Duplicado","Unico")</f>
        <v>Unico</v>
      </c>
      <c r="P279" t="str">
        <f t="shared" si="17"/>
        <v>OK</v>
      </c>
      <c r="Q279" t="str">
        <f t="shared" si="18"/>
        <v>OK</v>
      </c>
      <c r="R279" t="str">
        <f t="shared" si="19"/>
        <v>OK</v>
      </c>
    </row>
    <row r="280" spans="1:18" x14ac:dyDescent="0.3">
      <c r="A280" s="1">
        <v>45835</v>
      </c>
      <c r="B280" s="2" t="s">
        <v>2644</v>
      </c>
      <c r="C280" s="2" t="s">
        <v>2533</v>
      </c>
      <c r="D280" s="2" t="s">
        <v>2516</v>
      </c>
      <c r="E280" s="2" t="s">
        <v>2517</v>
      </c>
      <c r="F280" s="3">
        <v>160927</v>
      </c>
      <c r="G280" s="3">
        <v>9302</v>
      </c>
      <c r="H280" s="3">
        <v>850</v>
      </c>
      <c r="I280" s="4">
        <v>9590.2199999999993</v>
      </c>
      <c r="J280" s="4">
        <v>105028.08</v>
      </c>
      <c r="K280" s="3">
        <v>691</v>
      </c>
      <c r="L280" s="2" t="s">
        <v>2539</v>
      </c>
      <c r="M280" s="2" t="s">
        <v>2537</v>
      </c>
      <c r="N280" s="6">
        <f t="shared" si="16"/>
        <v>1</v>
      </c>
      <c r="O280" t="str">
        <f>IF(Tabla_control[[#This Row],[Control_duplicados]]&gt;1,"Duplicado","Unico")</f>
        <v>Unico</v>
      </c>
      <c r="P280" t="str">
        <f t="shared" si="17"/>
        <v>OK</v>
      </c>
      <c r="Q280" t="str">
        <f t="shared" si="18"/>
        <v>OK</v>
      </c>
      <c r="R280" t="str">
        <f t="shared" si="19"/>
        <v>OK</v>
      </c>
    </row>
    <row r="281" spans="1:18" x14ac:dyDescent="0.3">
      <c r="A281" s="1">
        <v>45811</v>
      </c>
      <c r="B281" s="2" t="s">
        <v>2641</v>
      </c>
      <c r="C281" s="2" t="s">
        <v>2543</v>
      </c>
      <c r="D281" s="2" t="s">
        <v>2528</v>
      </c>
      <c r="E281" s="2" t="s">
        <v>2517</v>
      </c>
      <c r="F281" s="3">
        <v>159515</v>
      </c>
      <c r="G281" s="3">
        <v>9905</v>
      </c>
      <c r="H281" s="3">
        <v>261</v>
      </c>
      <c r="I281" s="4">
        <v>2894.6</v>
      </c>
      <c r="J281" s="4">
        <v>48300.06</v>
      </c>
      <c r="K281" s="3">
        <v>192</v>
      </c>
      <c r="L281" s="2" t="s">
        <v>2536</v>
      </c>
      <c r="M281" s="2" t="s">
        <v>2519</v>
      </c>
      <c r="N281" s="6">
        <f t="shared" si="16"/>
        <v>1</v>
      </c>
      <c r="O281" t="str">
        <f>IF(Tabla_control[[#This Row],[Control_duplicados]]&gt;1,"Duplicado","Unico")</f>
        <v>Unico</v>
      </c>
      <c r="P281" t="str">
        <f t="shared" si="17"/>
        <v>OK</v>
      </c>
      <c r="Q281" t="str">
        <f t="shared" si="18"/>
        <v>OK</v>
      </c>
      <c r="R281" t="str">
        <f t="shared" si="19"/>
        <v>OK</v>
      </c>
    </row>
    <row r="282" spans="1:18" x14ac:dyDescent="0.3">
      <c r="A282" s="1">
        <v>45843</v>
      </c>
      <c r="B282" s="2" t="s">
        <v>2627</v>
      </c>
      <c r="C282" s="2" t="s">
        <v>2521</v>
      </c>
      <c r="D282" s="2" t="s">
        <v>2525</v>
      </c>
      <c r="E282" s="2" t="s">
        <v>2534</v>
      </c>
      <c r="F282" s="3">
        <v>143309</v>
      </c>
      <c r="G282" s="3">
        <v>10612</v>
      </c>
      <c r="H282" s="3">
        <v>1154</v>
      </c>
      <c r="I282" s="4">
        <v>17117.12</v>
      </c>
      <c r="J282" s="4">
        <v>226014</v>
      </c>
      <c r="K282" s="3">
        <v>840</v>
      </c>
      <c r="L282" s="2" t="s">
        <v>2536</v>
      </c>
      <c r="M282" s="2" t="s">
        <v>2519</v>
      </c>
      <c r="N282" s="6">
        <f t="shared" si="16"/>
        <v>1</v>
      </c>
      <c r="O282" t="str">
        <f>IF(Tabla_control[[#This Row],[Control_duplicados]]&gt;1,"Duplicado","Unico")</f>
        <v>Unico</v>
      </c>
      <c r="P282" t="str">
        <f t="shared" si="17"/>
        <v>OK</v>
      </c>
      <c r="Q282" t="str">
        <f t="shared" si="18"/>
        <v>OK</v>
      </c>
      <c r="R282" t="str">
        <f t="shared" si="19"/>
        <v>OK</v>
      </c>
    </row>
    <row r="283" spans="1:18" x14ac:dyDescent="0.3">
      <c r="A283" s="1">
        <v>45681</v>
      </c>
      <c r="B283" s="2" t="s">
        <v>2615</v>
      </c>
      <c r="C283" s="2" t="s">
        <v>2521</v>
      </c>
      <c r="D283" s="2" t="s">
        <v>2528</v>
      </c>
      <c r="E283" s="2" t="s">
        <v>2517</v>
      </c>
      <c r="F283" s="3">
        <v>175738</v>
      </c>
      <c r="G283" s="3">
        <v>6196</v>
      </c>
      <c r="H283" s="3">
        <v>682</v>
      </c>
      <c r="I283" s="4">
        <v>4348.78</v>
      </c>
      <c r="J283" s="4">
        <v>108463.67</v>
      </c>
      <c r="K283" s="3">
        <v>391</v>
      </c>
      <c r="L283" s="2" t="s">
        <v>2523</v>
      </c>
      <c r="M283" s="2" t="s">
        <v>2524</v>
      </c>
      <c r="N283" s="6">
        <f t="shared" si="16"/>
        <v>1</v>
      </c>
      <c r="O283" t="str">
        <f>IF(Tabla_control[[#This Row],[Control_duplicados]]&gt;1,"Duplicado","Unico")</f>
        <v>Unico</v>
      </c>
      <c r="P283" t="str">
        <f t="shared" si="17"/>
        <v>OK</v>
      </c>
      <c r="Q283" t="str">
        <f t="shared" si="18"/>
        <v>OK</v>
      </c>
      <c r="R283" t="str">
        <f t="shared" si="19"/>
        <v>OK</v>
      </c>
    </row>
    <row r="284" spans="1:18" x14ac:dyDescent="0.3">
      <c r="A284" s="1">
        <v>45926</v>
      </c>
      <c r="B284" s="2" t="s">
        <v>2637</v>
      </c>
      <c r="C284" s="2" t="s">
        <v>2521</v>
      </c>
      <c r="D284" s="2" t="s">
        <v>2522</v>
      </c>
      <c r="E284" s="2" t="s">
        <v>2529</v>
      </c>
      <c r="F284" s="3">
        <v>108199</v>
      </c>
      <c r="G284" s="3">
        <v>962</v>
      </c>
      <c r="H284" s="3">
        <v>62</v>
      </c>
      <c r="I284" s="4">
        <v>1061.45</v>
      </c>
      <c r="J284" s="4">
        <v>11040.25</v>
      </c>
      <c r="K284" s="3">
        <v>52</v>
      </c>
      <c r="L284" s="2" t="s">
        <v>2523</v>
      </c>
      <c r="M284" s="2" t="s">
        <v>2546</v>
      </c>
      <c r="N284" s="6">
        <f t="shared" si="16"/>
        <v>1</v>
      </c>
      <c r="O284" t="str">
        <f>IF(Tabla_control[[#This Row],[Control_duplicados]]&gt;1,"Duplicado","Unico")</f>
        <v>Unico</v>
      </c>
      <c r="P284" t="str">
        <f t="shared" si="17"/>
        <v>OK</v>
      </c>
      <c r="Q284" t="str">
        <f t="shared" si="18"/>
        <v>OK</v>
      </c>
      <c r="R284" t="str">
        <f t="shared" si="19"/>
        <v>OK</v>
      </c>
    </row>
    <row r="285" spans="1:18" x14ac:dyDescent="0.3">
      <c r="A285" s="1">
        <v>45738</v>
      </c>
      <c r="B285" s="2" t="s">
        <v>2619</v>
      </c>
      <c r="C285" s="2" t="s">
        <v>2515</v>
      </c>
      <c r="D285" s="2" t="s">
        <v>2516</v>
      </c>
      <c r="E285" s="2" t="s">
        <v>2517</v>
      </c>
      <c r="F285" s="3">
        <v>167371</v>
      </c>
      <c r="G285" s="3">
        <v>6770</v>
      </c>
      <c r="H285" s="3">
        <v>121</v>
      </c>
      <c r="I285" s="4">
        <v>1108.2</v>
      </c>
      <c r="J285" s="4">
        <v>20362.82</v>
      </c>
      <c r="K285" s="3">
        <v>57</v>
      </c>
      <c r="L285" s="2" t="s">
        <v>2523</v>
      </c>
      <c r="M285" s="2" t="s">
        <v>2537</v>
      </c>
      <c r="N285" s="6">
        <f t="shared" si="16"/>
        <v>1</v>
      </c>
      <c r="O285" t="str">
        <f>IF(Tabla_control[[#This Row],[Control_duplicados]]&gt;1,"Duplicado","Unico")</f>
        <v>Unico</v>
      </c>
      <c r="P285" t="str">
        <f t="shared" si="17"/>
        <v>OK</v>
      </c>
      <c r="Q285" t="str">
        <f t="shared" si="18"/>
        <v>OK</v>
      </c>
      <c r="R285" t="str">
        <f t="shared" si="19"/>
        <v>OK</v>
      </c>
    </row>
    <row r="286" spans="1:18" x14ac:dyDescent="0.3">
      <c r="A286" s="1">
        <v>45763</v>
      </c>
      <c r="B286" s="2" t="s">
        <v>2628</v>
      </c>
      <c r="C286" s="2" t="s">
        <v>2533</v>
      </c>
      <c r="D286" s="2" t="s">
        <v>2528</v>
      </c>
      <c r="E286" s="2" t="s">
        <v>2529</v>
      </c>
      <c r="F286" s="3">
        <v>163224</v>
      </c>
      <c r="G286" s="3">
        <v>163753</v>
      </c>
      <c r="H286" s="3">
        <v>303</v>
      </c>
      <c r="I286" s="4">
        <v>6163.53</v>
      </c>
      <c r="J286" s="4">
        <v>26899.45</v>
      </c>
      <c r="K286" s="3">
        <v>143</v>
      </c>
      <c r="L286" s="2" t="s">
        <v>2523</v>
      </c>
      <c r="M286" s="2" t="s">
        <v>2537</v>
      </c>
      <c r="N286" s="6">
        <f t="shared" si="16"/>
        <v>1</v>
      </c>
      <c r="O286" t="str">
        <f>IF(Tabla_control[[#This Row],[Control_duplicados]]&gt;1,"Duplicado","Unico")</f>
        <v>Unico</v>
      </c>
      <c r="P286" t="str">
        <f t="shared" si="17"/>
        <v>OK</v>
      </c>
      <c r="Q286" t="str">
        <f t="shared" si="18"/>
        <v>OK</v>
      </c>
      <c r="R286" t="str">
        <f t="shared" si="19"/>
        <v>OK</v>
      </c>
    </row>
    <row r="287" spans="1:18" x14ac:dyDescent="0.3">
      <c r="A287" s="1">
        <v>46011</v>
      </c>
      <c r="B287" s="2" t="s">
        <v>2634</v>
      </c>
      <c r="C287" s="2" t="s">
        <v>2533</v>
      </c>
      <c r="D287" s="2" t="s">
        <v>2528</v>
      </c>
      <c r="E287" s="2" t="s">
        <v>2529</v>
      </c>
      <c r="F287" s="3">
        <v>141588</v>
      </c>
      <c r="G287" s="3">
        <v>9887</v>
      </c>
      <c r="H287" s="3">
        <v>1154</v>
      </c>
      <c r="I287" s="4">
        <v>15717.65</v>
      </c>
      <c r="J287" s="4">
        <v>26965.62</v>
      </c>
      <c r="K287" s="3">
        <v>567</v>
      </c>
      <c r="L287" s="2" t="s">
        <v>2536</v>
      </c>
      <c r="M287" s="2" t="s">
        <v>2524</v>
      </c>
      <c r="N287" s="6">
        <f t="shared" si="16"/>
        <v>1</v>
      </c>
      <c r="O287" t="str">
        <f>IF(Tabla_control[[#This Row],[Control_duplicados]]&gt;1,"Duplicado","Unico")</f>
        <v>Unico</v>
      </c>
      <c r="P287" t="str">
        <f t="shared" si="17"/>
        <v>OK</v>
      </c>
      <c r="Q287" t="str">
        <f t="shared" si="18"/>
        <v>OK</v>
      </c>
      <c r="R287" t="str">
        <f t="shared" si="19"/>
        <v>OK</v>
      </c>
    </row>
    <row r="288" spans="1:18" x14ac:dyDescent="0.3">
      <c r="A288" s="1">
        <v>45879</v>
      </c>
      <c r="B288" s="2" t="s">
        <v>2626</v>
      </c>
      <c r="C288" s="2" t="s">
        <v>2543</v>
      </c>
      <c r="D288" s="2" t="s">
        <v>2528</v>
      </c>
      <c r="E288" s="2" t="s">
        <v>2529</v>
      </c>
      <c r="F288" s="3">
        <v>157193</v>
      </c>
      <c r="G288" s="3">
        <v>11883</v>
      </c>
      <c r="H288" s="3">
        <v>322</v>
      </c>
      <c r="I288" s="4">
        <v>21030.240000000002</v>
      </c>
      <c r="J288" s="4">
        <v>60087.95</v>
      </c>
      <c r="K288" s="3">
        <v>173</v>
      </c>
      <c r="L288" s="2" t="s">
        <v>2536</v>
      </c>
      <c r="M288" s="2" t="s">
        <v>2546</v>
      </c>
      <c r="N288" s="6">
        <f t="shared" si="16"/>
        <v>1</v>
      </c>
      <c r="O288" t="str">
        <f>IF(Tabla_control[[#This Row],[Control_duplicados]]&gt;1,"Duplicado","Unico")</f>
        <v>Unico</v>
      </c>
      <c r="P288" t="str">
        <f t="shared" si="17"/>
        <v>OK</v>
      </c>
      <c r="Q288" t="str">
        <f t="shared" si="18"/>
        <v>OK</v>
      </c>
      <c r="R288" t="str">
        <f t="shared" si="19"/>
        <v>OK</v>
      </c>
    </row>
    <row r="289" spans="1:18" x14ac:dyDescent="0.3">
      <c r="A289" s="1">
        <v>45771</v>
      </c>
      <c r="B289" s="2" t="s">
        <v>2622</v>
      </c>
      <c r="C289" s="2" t="s">
        <v>2527</v>
      </c>
      <c r="D289" s="2" t="s">
        <v>2528</v>
      </c>
      <c r="E289" s="2" t="s">
        <v>2529</v>
      </c>
      <c r="F289" s="3">
        <v>41286</v>
      </c>
      <c r="G289" s="3">
        <v>3027</v>
      </c>
      <c r="H289" s="3">
        <v>308</v>
      </c>
      <c r="I289" s="4">
        <v>5009.13</v>
      </c>
      <c r="J289" s="4">
        <v>19980.95</v>
      </c>
      <c r="K289" s="3">
        <v>263</v>
      </c>
      <c r="L289" s="2" t="s">
        <v>2523</v>
      </c>
      <c r="M289" s="2" t="s">
        <v>2519</v>
      </c>
      <c r="N289" s="6">
        <f t="shared" si="16"/>
        <v>1</v>
      </c>
      <c r="O289" t="str">
        <f>IF(Tabla_control[[#This Row],[Control_duplicados]]&gt;1,"Duplicado","Unico")</f>
        <v>Unico</v>
      </c>
      <c r="P289" t="str">
        <f t="shared" si="17"/>
        <v>OK</v>
      </c>
      <c r="Q289" t="str">
        <f t="shared" si="18"/>
        <v>OK</v>
      </c>
      <c r="R289" t="str">
        <f t="shared" si="19"/>
        <v>OK</v>
      </c>
    </row>
    <row r="290" spans="1:18" x14ac:dyDescent="0.3">
      <c r="A290" s="1">
        <v>45957</v>
      </c>
      <c r="B290" s="2" t="s">
        <v>2617</v>
      </c>
      <c r="C290" s="2" t="s">
        <v>2541</v>
      </c>
      <c r="D290" s="2" t="s">
        <v>2528</v>
      </c>
      <c r="E290" s="2" t="s">
        <v>2529</v>
      </c>
      <c r="F290" s="3">
        <v>51906</v>
      </c>
      <c r="G290" s="3">
        <v>1079</v>
      </c>
      <c r="H290" s="3">
        <v>86</v>
      </c>
      <c r="I290" s="4">
        <v>905.95</v>
      </c>
      <c r="J290" s="4">
        <v>10312.540000000001</v>
      </c>
      <c r="K290" s="3">
        <v>53</v>
      </c>
      <c r="L290" s="2" t="s">
        <v>2518</v>
      </c>
      <c r="M290" s="2" t="s">
        <v>2526</v>
      </c>
      <c r="N290" s="6">
        <f t="shared" si="16"/>
        <v>1</v>
      </c>
      <c r="O290" t="str">
        <f>IF(Tabla_control[[#This Row],[Control_duplicados]]&gt;1,"Duplicado","Unico")</f>
        <v>Unico</v>
      </c>
      <c r="P290" t="str">
        <f t="shared" si="17"/>
        <v>OK</v>
      </c>
      <c r="Q290" t="str">
        <f t="shared" si="18"/>
        <v>OK</v>
      </c>
      <c r="R290" t="str">
        <f t="shared" si="19"/>
        <v>OK</v>
      </c>
    </row>
    <row r="291" spans="1:18" x14ac:dyDescent="0.3">
      <c r="A291" s="1">
        <v>45839</v>
      </c>
      <c r="B291" s="2" t="s">
        <v>2628</v>
      </c>
      <c r="C291" s="2" t="s">
        <v>2527</v>
      </c>
      <c r="D291" s="2" t="s">
        <v>2528</v>
      </c>
      <c r="E291" s="2" t="s">
        <v>2529</v>
      </c>
      <c r="F291" s="3">
        <v>74448</v>
      </c>
      <c r="G291" s="3">
        <v>4364</v>
      </c>
      <c r="H291" s="3">
        <v>87</v>
      </c>
      <c r="I291" s="4">
        <v>5578.37</v>
      </c>
      <c r="J291" s="4">
        <v>17493.57</v>
      </c>
      <c r="K291" s="3">
        <v>46</v>
      </c>
      <c r="L291" s="2" t="s">
        <v>2539</v>
      </c>
      <c r="M291" s="2" t="s">
        <v>2524</v>
      </c>
      <c r="N291" s="6">
        <f t="shared" si="16"/>
        <v>1</v>
      </c>
      <c r="O291" t="str">
        <f>IF(Tabla_control[[#This Row],[Control_duplicados]]&gt;1,"Duplicado","Unico")</f>
        <v>Unico</v>
      </c>
      <c r="P291" t="str">
        <f t="shared" si="17"/>
        <v>OK</v>
      </c>
      <c r="Q291" t="str">
        <f t="shared" si="18"/>
        <v>OK</v>
      </c>
      <c r="R291" t="str">
        <f t="shared" si="19"/>
        <v>OK</v>
      </c>
    </row>
    <row r="292" spans="1:18" x14ac:dyDescent="0.3">
      <c r="A292" s="1">
        <v>45866</v>
      </c>
      <c r="B292" s="2" t="s">
        <v>2619</v>
      </c>
      <c r="C292" s="2" t="s">
        <v>2645</v>
      </c>
      <c r="D292" s="2" t="s">
        <v>2528</v>
      </c>
      <c r="E292" s="2" t="s">
        <v>2529</v>
      </c>
      <c r="F292" s="3">
        <v>10297</v>
      </c>
      <c r="G292" s="3">
        <v>548</v>
      </c>
      <c r="H292" s="3">
        <v>4</v>
      </c>
      <c r="I292" s="4">
        <v>590.85</v>
      </c>
      <c r="J292" s="4">
        <v>710.3</v>
      </c>
      <c r="K292" s="3">
        <v>2</v>
      </c>
      <c r="L292" s="2" t="s">
        <v>2518</v>
      </c>
      <c r="M292" s="2" t="s">
        <v>2519</v>
      </c>
      <c r="N292" s="6">
        <f t="shared" si="16"/>
        <v>1</v>
      </c>
      <c r="O292" t="str">
        <f>IF(Tabla_control[[#This Row],[Control_duplicados]]&gt;1,"Duplicado","Unico")</f>
        <v>Unico</v>
      </c>
      <c r="P292" t="str">
        <f t="shared" si="17"/>
        <v>OK</v>
      </c>
      <c r="Q292" t="str">
        <f t="shared" si="18"/>
        <v>OK</v>
      </c>
      <c r="R292" t="str">
        <f t="shared" si="19"/>
        <v>OK</v>
      </c>
    </row>
    <row r="293" spans="1:18" x14ac:dyDescent="0.3">
      <c r="A293" s="1">
        <v>45725</v>
      </c>
      <c r="B293" s="2" t="s">
        <v>2619</v>
      </c>
      <c r="C293" s="2" t="s">
        <v>2527</v>
      </c>
      <c r="D293" s="2" t="s">
        <v>2528</v>
      </c>
      <c r="E293" s="2" t="s">
        <v>2517</v>
      </c>
      <c r="F293" s="3">
        <v>23297</v>
      </c>
      <c r="G293" s="3">
        <v>1091</v>
      </c>
      <c r="H293" s="3">
        <v>58</v>
      </c>
      <c r="I293" s="4">
        <v>1702.07</v>
      </c>
      <c r="J293" s="4">
        <v>3133.53</v>
      </c>
      <c r="K293" s="3">
        <v>31</v>
      </c>
      <c r="L293" s="2" t="s">
        <v>2536</v>
      </c>
      <c r="M293" s="2" t="s">
        <v>2526</v>
      </c>
      <c r="N293" s="6">
        <f t="shared" si="16"/>
        <v>1</v>
      </c>
      <c r="O293" t="str">
        <f>IF(Tabla_control[[#This Row],[Control_duplicados]]&gt;1,"Duplicado","Unico")</f>
        <v>Unico</v>
      </c>
      <c r="P293" t="str">
        <f t="shared" si="17"/>
        <v>OK</v>
      </c>
      <c r="Q293" t="str">
        <f t="shared" si="18"/>
        <v>OK</v>
      </c>
      <c r="R293" t="str">
        <f t="shared" si="19"/>
        <v>OK</v>
      </c>
    </row>
    <row r="294" spans="1:18" x14ac:dyDescent="0.3">
      <c r="A294" s="1">
        <v>46020</v>
      </c>
      <c r="B294" s="2" t="s">
        <v>2617</v>
      </c>
      <c r="C294" s="2" t="s">
        <v>2533</v>
      </c>
      <c r="D294" s="2" t="s">
        <v>2525</v>
      </c>
      <c r="E294" s="2" t="s">
        <v>2517</v>
      </c>
      <c r="F294" s="3">
        <v>28312</v>
      </c>
      <c r="G294" s="3">
        <v>1297</v>
      </c>
      <c r="H294" s="3">
        <v>161</v>
      </c>
      <c r="I294" s="4">
        <v>1403.33</v>
      </c>
      <c r="J294" s="4">
        <v>16821.11</v>
      </c>
      <c r="K294" s="3">
        <v>132</v>
      </c>
      <c r="L294" s="2" t="s">
        <v>2539</v>
      </c>
      <c r="M294" s="2" t="s">
        <v>2537</v>
      </c>
      <c r="N294" s="6">
        <f t="shared" si="16"/>
        <v>1</v>
      </c>
      <c r="O294" t="str">
        <f>IF(Tabla_control[[#This Row],[Control_duplicados]]&gt;1,"Duplicado","Unico")</f>
        <v>Unico</v>
      </c>
      <c r="P294" t="str">
        <f t="shared" si="17"/>
        <v>OK</v>
      </c>
      <c r="Q294" t="str">
        <f t="shared" si="18"/>
        <v>OK</v>
      </c>
      <c r="R294" t="str">
        <f t="shared" si="19"/>
        <v>OK</v>
      </c>
    </row>
    <row r="295" spans="1:18" x14ac:dyDescent="0.3">
      <c r="A295" s="1">
        <v>45994</v>
      </c>
      <c r="B295" s="2" t="s">
        <v>2641</v>
      </c>
      <c r="C295" s="2" t="s">
        <v>2515</v>
      </c>
      <c r="D295" s="2" t="s">
        <v>2528</v>
      </c>
      <c r="E295" s="2" t="s">
        <v>2517</v>
      </c>
      <c r="F295" s="3">
        <v>44740</v>
      </c>
      <c r="G295" s="3">
        <v>2017</v>
      </c>
      <c r="H295" s="3">
        <v>35</v>
      </c>
      <c r="I295" s="4">
        <v>1810.86</v>
      </c>
      <c r="J295" s="4">
        <v>5613.76</v>
      </c>
      <c r="K295" s="3">
        <v>26</v>
      </c>
      <c r="L295" s="2" t="s">
        <v>2523</v>
      </c>
      <c r="M295" s="2" t="s">
        <v>2546</v>
      </c>
      <c r="N295" s="6">
        <f t="shared" si="16"/>
        <v>1</v>
      </c>
      <c r="O295" t="str">
        <f>IF(Tabla_control[[#This Row],[Control_duplicados]]&gt;1,"Duplicado","Unico")</f>
        <v>Unico</v>
      </c>
      <c r="P295" t="str">
        <f t="shared" si="17"/>
        <v>OK</v>
      </c>
      <c r="Q295" t="str">
        <f t="shared" si="18"/>
        <v>OK</v>
      </c>
      <c r="R295" t="str">
        <f t="shared" si="19"/>
        <v>OK</v>
      </c>
    </row>
    <row r="296" spans="1:18" x14ac:dyDescent="0.3">
      <c r="A296" s="1">
        <v>45678</v>
      </c>
      <c r="B296" s="2" t="s">
        <v>2635</v>
      </c>
      <c r="C296" s="2" t="s">
        <v>2527</v>
      </c>
      <c r="D296" s="2" t="s">
        <v>2516</v>
      </c>
      <c r="E296" s="2" t="s">
        <v>2517</v>
      </c>
      <c r="F296" s="3">
        <v>16741</v>
      </c>
      <c r="G296" s="3">
        <v>700</v>
      </c>
      <c r="H296" s="3">
        <v>29</v>
      </c>
      <c r="I296" s="4">
        <v>448.9</v>
      </c>
      <c r="J296" s="4">
        <v>5960.88</v>
      </c>
      <c r="K296" s="3">
        <v>25</v>
      </c>
      <c r="L296" s="2" t="s">
        <v>2523</v>
      </c>
      <c r="M296" s="2" t="s">
        <v>2537</v>
      </c>
      <c r="N296" s="6">
        <f t="shared" si="16"/>
        <v>1</v>
      </c>
      <c r="O296" t="str">
        <f>IF(Tabla_control[[#This Row],[Control_duplicados]]&gt;1,"Duplicado","Unico")</f>
        <v>Unico</v>
      </c>
      <c r="P296" t="str">
        <f t="shared" si="17"/>
        <v>OK</v>
      </c>
      <c r="Q296" t="str">
        <f t="shared" si="18"/>
        <v>OK</v>
      </c>
      <c r="R296" t="str">
        <f t="shared" si="19"/>
        <v>OK</v>
      </c>
    </row>
    <row r="297" spans="1:18" x14ac:dyDescent="0.3">
      <c r="A297" s="1">
        <v>45745</v>
      </c>
      <c r="B297" s="2" t="s">
        <v>2643</v>
      </c>
      <c r="C297" s="2" t="s">
        <v>2527</v>
      </c>
      <c r="D297" s="2" t="s">
        <v>2525</v>
      </c>
      <c r="E297" s="2" t="s">
        <v>2529</v>
      </c>
      <c r="F297" s="3">
        <v>71816</v>
      </c>
      <c r="G297" s="3">
        <v>971</v>
      </c>
      <c r="H297" s="3">
        <v>72</v>
      </c>
      <c r="I297" s="4">
        <v>773.45</v>
      </c>
      <c r="J297" s="4">
        <v>6667.06</v>
      </c>
      <c r="K297" s="3">
        <v>43</v>
      </c>
      <c r="L297" s="2" t="s">
        <v>2518</v>
      </c>
      <c r="M297" s="2" t="s">
        <v>2524</v>
      </c>
      <c r="N297" s="6">
        <f t="shared" si="16"/>
        <v>1</v>
      </c>
      <c r="O297" t="str">
        <f>IF(Tabla_control[[#This Row],[Control_duplicados]]&gt;1,"Duplicado","Unico")</f>
        <v>Unico</v>
      </c>
      <c r="P297" t="str">
        <f t="shared" si="17"/>
        <v>OK</v>
      </c>
      <c r="Q297" t="str">
        <f t="shared" si="18"/>
        <v>OK</v>
      </c>
      <c r="R297" t="str">
        <f t="shared" si="19"/>
        <v>OK</v>
      </c>
    </row>
    <row r="298" spans="1:18" x14ac:dyDescent="0.3">
      <c r="A298" s="1">
        <v>45993</v>
      </c>
      <c r="B298" s="2" t="s">
        <v>2617</v>
      </c>
      <c r="C298" s="2" t="s">
        <v>2541</v>
      </c>
      <c r="D298" s="2" t="s">
        <v>2522</v>
      </c>
      <c r="E298" s="2" t="s">
        <v>2534</v>
      </c>
      <c r="F298" s="3">
        <v>14732</v>
      </c>
      <c r="G298" s="3">
        <v>1305</v>
      </c>
      <c r="H298" s="3">
        <v>135</v>
      </c>
      <c r="I298" s="4">
        <v>957.79</v>
      </c>
      <c r="J298" s="4">
        <v>8015.26</v>
      </c>
      <c r="K298" s="3">
        <v>78</v>
      </c>
      <c r="L298" s="2" t="s">
        <v>2523</v>
      </c>
      <c r="M298" s="2" t="s">
        <v>2524</v>
      </c>
      <c r="N298" s="6">
        <f t="shared" si="16"/>
        <v>1</v>
      </c>
      <c r="O298" t="str">
        <f>IF(Tabla_control[[#This Row],[Control_duplicados]]&gt;1,"Duplicado","Unico")</f>
        <v>Unico</v>
      </c>
      <c r="P298" t="str">
        <f t="shared" si="17"/>
        <v>OK</v>
      </c>
      <c r="Q298" t="str">
        <f t="shared" si="18"/>
        <v>OK</v>
      </c>
      <c r="R298" t="str">
        <f t="shared" si="19"/>
        <v>OK</v>
      </c>
    </row>
    <row r="299" spans="1:18" x14ac:dyDescent="0.3">
      <c r="A299" s="1">
        <v>45800</v>
      </c>
      <c r="B299" s="2" t="s">
        <v>2629</v>
      </c>
      <c r="C299" s="2" t="s">
        <v>2527</v>
      </c>
      <c r="D299" s="2" t="s">
        <v>2528</v>
      </c>
      <c r="E299" s="2" t="s">
        <v>2529</v>
      </c>
      <c r="F299" s="3">
        <v>64904</v>
      </c>
      <c r="G299" s="3">
        <v>5053</v>
      </c>
      <c r="H299" s="3">
        <v>512</v>
      </c>
      <c r="I299" s="4">
        <v>10051.280000000001</v>
      </c>
      <c r="J299" s="4">
        <v>19429.25</v>
      </c>
      <c r="K299" s="3">
        <v>338</v>
      </c>
      <c r="L299" s="2" t="s">
        <v>2536</v>
      </c>
      <c r="M299" s="2" t="s">
        <v>2524</v>
      </c>
      <c r="N299" s="6">
        <f t="shared" si="16"/>
        <v>1</v>
      </c>
      <c r="O299" t="str">
        <f>IF(Tabla_control[[#This Row],[Control_duplicados]]&gt;1,"Duplicado","Unico")</f>
        <v>Unico</v>
      </c>
      <c r="P299" t="str">
        <f t="shared" si="17"/>
        <v>OK</v>
      </c>
      <c r="Q299" t="str">
        <f t="shared" si="18"/>
        <v>OK</v>
      </c>
      <c r="R299" t="str">
        <f t="shared" si="19"/>
        <v>OK</v>
      </c>
    </row>
    <row r="300" spans="1:18" x14ac:dyDescent="0.3">
      <c r="A300" s="1">
        <v>45735</v>
      </c>
      <c r="B300" s="2" t="s">
        <v>2640</v>
      </c>
      <c r="C300" s="2" t="s">
        <v>2521</v>
      </c>
      <c r="D300" s="2" t="s">
        <v>2525</v>
      </c>
      <c r="E300" s="2" t="s">
        <v>2529</v>
      </c>
      <c r="F300" s="3">
        <v>99094</v>
      </c>
      <c r="G300" s="3">
        <v>4193</v>
      </c>
      <c r="H300" s="3">
        <v>444</v>
      </c>
      <c r="I300" s="4">
        <v>4184.8999999999996</v>
      </c>
      <c r="J300" s="4">
        <v>80376.570000000007</v>
      </c>
      <c r="K300" s="3">
        <v>397</v>
      </c>
      <c r="L300" s="2" t="s">
        <v>2518</v>
      </c>
      <c r="M300" s="2" t="s">
        <v>2526</v>
      </c>
      <c r="N300" s="6">
        <f t="shared" si="16"/>
        <v>1</v>
      </c>
      <c r="O300" t="str">
        <f>IF(Tabla_control[[#This Row],[Control_duplicados]]&gt;1,"Duplicado","Unico")</f>
        <v>Unico</v>
      </c>
      <c r="P300" t="str">
        <f t="shared" si="17"/>
        <v>OK</v>
      </c>
      <c r="Q300" t="str">
        <f t="shared" si="18"/>
        <v>OK</v>
      </c>
      <c r="R300" t="str">
        <f t="shared" si="19"/>
        <v>OK</v>
      </c>
    </row>
    <row r="301" spans="1:18" x14ac:dyDescent="0.3">
      <c r="A301" s="1">
        <v>45917</v>
      </c>
      <c r="B301" s="2" t="s">
        <v>2633</v>
      </c>
      <c r="C301" s="2" t="s">
        <v>2521</v>
      </c>
      <c r="D301" s="2" t="s">
        <v>2522</v>
      </c>
      <c r="E301" s="2" t="s">
        <v>2517</v>
      </c>
      <c r="F301" s="3">
        <v>90201</v>
      </c>
      <c r="G301" s="3">
        <v>4310</v>
      </c>
      <c r="H301" s="3">
        <v>48</v>
      </c>
      <c r="I301" s="4">
        <v>7474.8</v>
      </c>
      <c r="J301" s="4">
        <v>7974.93</v>
      </c>
      <c r="K301" s="3">
        <v>27</v>
      </c>
      <c r="L301" s="2" t="s">
        <v>2536</v>
      </c>
      <c r="M301" s="2" t="s">
        <v>2546</v>
      </c>
      <c r="N301" s="6">
        <f t="shared" si="16"/>
        <v>1</v>
      </c>
      <c r="O301" t="str">
        <f>IF(Tabla_control[[#This Row],[Control_duplicados]]&gt;1,"Duplicado","Unico")</f>
        <v>Unico</v>
      </c>
      <c r="P301" t="str">
        <f t="shared" si="17"/>
        <v>OK</v>
      </c>
      <c r="Q301" t="str">
        <f t="shared" si="18"/>
        <v>OK</v>
      </c>
      <c r="R301" t="str">
        <f t="shared" si="19"/>
        <v>OK</v>
      </c>
    </row>
    <row r="302" spans="1:18" x14ac:dyDescent="0.3">
      <c r="A302" s="1">
        <v>45901</v>
      </c>
      <c r="B302" s="2" t="s">
        <v>2615</v>
      </c>
      <c r="C302" s="2" t="s">
        <v>2515</v>
      </c>
      <c r="D302" s="2" t="s">
        <v>2516</v>
      </c>
      <c r="E302" s="2" t="s">
        <v>2529</v>
      </c>
      <c r="F302" s="3">
        <v>103498</v>
      </c>
      <c r="G302" s="3">
        <v>3048</v>
      </c>
      <c r="H302" s="3">
        <v>419</v>
      </c>
      <c r="I302" s="4">
        <v>4067.56</v>
      </c>
      <c r="J302" s="4">
        <v>78539.23</v>
      </c>
      <c r="K302" s="3">
        <v>250</v>
      </c>
      <c r="L302" s="2" t="s">
        <v>2539</v>
      </c>
      <c r="M302" s="2" t="s">
        <v>2519</v>
      </c>
      <c r="N302" s="6">
        <f t="shared" si="16"/>
        <v>2</v>
      </c>
      <c r="O302" t="str">
        <f>IF(Tabla_control[[#This Row],[Control_duplicados]]&gt;1,"Duplicado","Unico")</f>
        <v>Duplicado</v>
      </c>
      <c r="P302" t="str">
        <f t="shared" si="17"/>
        <v>OK</v>
      </c>
      <c r="Q302" t="str">
        <f t="shared" si="18"/>
        <v>OK</v>
      </c>
      <c r="R302" t="str">
        <f t="shared" si="19"/>
        <v>OK</v>
      </c>
    </row>
    <row r="303" spans="1:18" x14ac:dyDescent="0.3">
      <c r="A303" s="1">
        <v>45754</v>
      </c>
      <c r="B303" s="2" t="s">
        <v>2643</v>
      </c>
      <c r="C303" s="2" t="s">
        <v>2515</v>
      </c>
      <c r="D303" s="2" t="s">
        <v>2522</v>
      </c>
      <c r="E303" s="2" t="s">
        <v>2517</v>
      </c>
      <c r="F303" s="3">
        <v>2827</v>
      </c>
      <c r="G303" s="3">
        <v>54</v>
      </c>
      <c r="H303" s="3">
        <v>0</v>
      </c>
      <c r="I303" s="4">
        <v>17.88</v>
      </c>
      <c r="J303" s="4">
        <v>0</v>
      </c>
      <c r="K303" s="3">
        <v>0</v>
      </c>
      <c r="L303" s="2" t="s">
        <v>2518</v>
      </c>
      <c r="M303" s="2" t="s">
        <v>2537</v>
      </c>
      <c r="N303" s="6">
        <f t="shared" si="16"/>
        <v>1</v>
      </c>
      <c r="O303" t="str">
        <f>IF(Tabla_control[[#This Row],[Control_duplicados]]&gt;1,"Duplicado","Unico")</f>
        <v>Unico</v>
      </c>
      <c r="P303" t="str">
        <f t="shared" si="17"/>
        <v>OK</v>
      </c>
      <c r="Q303" t="str">
        <f t="shared" si="18"/>
        <v>OK</v>
      </c>
      <c r="R303" t="str">
        <f t="shared" si="19"/>
        <v>OK</v>
      </c>
    </row>
    <row r="304" spans="1:18" x14ac:dyDescent="0.3">
      <c r="A304" s="1">
        <v>45903</v>
      </c>
      <c r="B304" s="2" t="s">
        <v>2629</v>
      </c>
      <c r="C304" s="2" t="s">
        <v>2527</v>
      </c>
      <c r="D304" s="2" t="s">
        <v>2528</v>
      </c>
      <c r="E304" s="2" t="s">
        <v>2529</v>
      </c>
      <c r="F304" s="3">
        <v>42588</v>
      </c>
      <c r="G304" s="3">
        <v>2351</v>
      </c>
      <c r="H304" s="3">
        <v>121</v>
      </c>
      <c r="I304" s="4">
        <v>1117.48</v>
      </c>
      <c r="J304" s="4">
        <v>9206.17</v>
      </c>
      <c r="K304" s="3">
        <v>77</v>
      </c>
      <c r="L304" s="2" t="s">
        <v>2536</v>
      </c>
      <c r="M304" s="2" t="s">
        <v>2546</v>
      </c>
      <c r="N304" s="6">
        <f t="shared" si="16"/>
        <v>1</v>
      </c>
      <c r="O304" t="str">
        <f>IF(Tabla_control[[#This Row],[Control_duplicados]]&gt;1,"Duplicado","Unico")</f>
        <v>Unico</v>
      </c>
      <c r="P304" t="str">
        <f t="shared" si="17"/>
        <v>OK</v>
      </c>
      <c r="Q304" t="str">
        <f t="shared" si="18"/>
        <v>OK</v>
      </c>
      <c r="R304" t="str">
        <f t="shared" si="19"/>
        <v>OK</v>
      </c>
    </row>
    <row r="305" spans="1:18" x14ac:dyDescent="0.3">
      <c r="A305" s="1">
        <v>45736</v>
      </c>
      <c r="B305" s="2" t="s">
        <v>2624</v>
      </c>
      <c r="C305" s="2" t="s">
        <v>2533</v>
      </c>
      <c r="D305" s="2" t="s">
        <v>2528</v>
      </c>
      <c r="E305" s="2" t="s">
        <v>2529</v>
      </c>
      <c r="F305" s="3">
        <v>95361</v>
      </c>
      <c r="G305" s="3">
        <v>1833</v>
      </c>
      <c r="H305" s="3">
        <v>162</v>
      </c>
      <c r="I305" s="4">
        <v>1415.64</v>
      </c>
      <c r="J305" s="4">
        <v>19044.169999999998</v>
      </c>
      <c r="K305" s="3">
        <v>103</v>
      </c>
      <c r="L305" s="2" t="s">
        <v>2523</v>
      </c>
      <c r="M305" s="2" t="s">
        <v>2537</v>
      </c>
      <c r="N305" s="6">
        <f t="shared" si="16"/>
        <v>1</v>
      </c>
      <c r="O305" t="str">
        <f>IF(Tabla_control[[#This Row],[Control_duplicados]]&gt;1,"Duplicado","Unico")</f>
        <v>Unico</v>
      </c>
      <c r="P305" t="str">
        <f t="shared" si="17"/>
        <v>OK</v>
      </c>
      <c r="Q305" t="str">
        <f t="shared" si="18"/>
        <v>OK</v>
      </c>
      <c r="R305" t="str">
        <f t="shared" si="19"/>
        <v>OK</v>
      </c>
    </row>
    <row r="306" spans="1:18" x14ac:dyDescent="0.3">
      <c r="A306" s="1">
        <v>46005</v>
      </c>
      <c r="B306" s="2" t="s">
        <v>2622</v>
      </c>
      <c r="C306" s="2" t="s">
        <v>2521</v>
      </c>
      <c r="D306" s="2" t="s">
        <v>2516</v>
      </c>
      <c r="E306" s="2" t="s">
        <v>2534</v>
      </c>
      <c r="F306" s="3">
        <v>165746</v>
      </c>
      <c r="G306" s="3">
        <v>8889</v>
      </c>
      <c r="H306" s="3">
        <v>300</v>
      </c>
      <c r="I306" s="4">
        <v>15327.29</v>
      </c>
      <c r="J306" s="4">
        <v>64209.86</v>
      </c>
      <c r="K306" s="3">
        <v>219</v>
      </c>
      <c r="L306" s="2" t="s">
        <v>2523</v>
      </c>
      <c r="M306" s="2" t="s">
        <v>2524</v>
      </c>
      <c r="N306" s="6">
        <f t="shared" si="16"/>
        <v>1</v>
      </c>
      <c r="O306" t="str">
        <f>IF(Tabla_control[[#This Row],[Control_duplicados]]&gt;1,"Duplicado","Unico")</f>
        <v>Unico</v>
      </c>
      <c r="P306" t="str">
        <f t="shared" si="17"/>
        <v>OK</v>
      </c>
      <c r="Q306" t="str">
        <f t="shared" si="18"/>
        <v>OK</v>
      </c>
      <c r="R306" t="str">
        <f t="shared" si="19"/>
        <v>OK</v>
      </c>
    </row>
    <row r="307" spans="1:18" x14ac:dyDescent="0.3">
      <c r="A307" s="1">
        <v>45924</v>
      </c>
      <c r="B307" s="2" t="s">
        <v>2616</v>
      </c>
      <c r="C307" s="2" t="s">
        <v>2541</v>
      </c>
      <c r="D307" s="2" t="s">
        <v>2516</v>
      </c>
      <c r="E307" s="2" t="s">
        <v>2517</v>
      </c>
      <c r="F307" s="3">
        <v>61892</v>
      </c>
      <c r="G307" s="3">
        <v>5375</v>
      </c>
      <c r="H307" s="3">
        <v>173</v>
      </c>
      <c r="I307" s="4">
        <v>3920.91</v>
      </c>
      <c r="J307" s="4">
        <v>19891.580000000002</v>
      </c>
      <c r="K307" s="3">
        <v>120</v>
      </c>
      <c r="L307" s="2" t="s">
        <v>2523</v>
      </c>
      <c r="M307" s="2" t="s">
        <v>2524</v>
      </c>
      <c r="N307" s="6">
        <f t="shared" si="16"/>
        <v>1</v>
      </c>
      <c r="O307" t="str">
        <f>IF(Tabla_control[[#This Row],[Control_duplicados]]&gt;1,"Duplicado","Unico")</f>
        <v>Unico</v>
      </c>
      <c r="P307" t="str">
        <f t="shared" si="17"/>
        <v>OK</v>
      </c>
      <c r="Q307" t="str">
        <f t="shared" si="18"/>
        <v>OK</v>
      </c>
      <c r="R307" t="str">
        <f t="shared" si="19"/>
        <v>OK</v>
      </c>
    </row>
    <row r="308" spans="1:18" x14ac:dyDescent="0.3">
      <c r="A308" s="1">
        <v>45764</v>
      </c>
      <c r="B308" s="2" t="s">
        <v>2642</v>
      </c>
      <c r="C308" s="2" t="s">
        <v>2515</v>
      </c>
      <c r="D308" s="2" t="s">
        <v>2528</v>
      </c>
      <c r="E308" s="2" t="s">
        <v>2517</v>
      </c>
      <c r="F308" s="3">
        <v>140194</v>
      </c>
      <c r="G308" s="3">
        <v>9802</v>
      </c>
      <c r="H308" s="3">
        <v>1092</v>
      </c>
      <c r="I308" s="4">
        <v>2069.8200000000002</v>
      </c>
      <c r="J308" s="4">
        <v>137377.51</v>
      </c>
      <c r="K308" s="3">
        <v>599</v>
      </c>
      <c r="L308" s="2" t="s">
        <v>2539</v>
      </c>
      <c r="M308" s="2" t="s">
        <v>2524</v>
      </c>
      <c r="N308" s="6">
        <f t="shared" si="16"/>
        <v>1</v>
      </c>
      <c r="O308" t="str">
        <f>IF(Tabla_control[[#This Row],[Control_duplicados]]&gt;1,"Duplicado","Unico")</f>
        <v>Unico</v>
      </c>
      <c r="P308" t="str">
        <f t="shared" si="17"/>
        <v>OK</v>
      </c>
      <c r="Q308" t="str">
        <f t="shared" si="18"/>
        <v>OK</v>
      </c>
      <c r="R308" t="str">
        <f t="shared" si="19"/>
        <v>OK</v>
      </c>
    </row>
    <row r="309" spans="1:18" x14ac:dyDescent="0.3">
      <c r="A309" s="1">
        <v>45714</v>
      </c>
      <c r="B309" s="2" t="s">
        <v>2621</v>
      </c>
      <c r="C309" s="2" t="s">
        <v>2541</v>
      </c>
      <c r="D309" s="2" t="s">
        <v>2528</v>
      </c>
      <c r="E309" s="2" t="s">
        <v>2529</v>
      </c>
      <c r="F309" s="3">
        <v>31265</v>
      </c>
      <c r="G309" s="3">
        <v>2095</v>
      </c>
      <c r="H309" s="3">
        <v>213</v>
      </c>
      <c r="I309" s="4">
        <v>1578.12</v>
      </c>
      <c r="J309" s="4">
        <v>22151.25</v>
      </c>
      <c r="K309" s="3">
        <v>108</v>
      </c>
      <c r="L309" s="2" t="s">
        <v>2539</v>
      </c>
      <c r="M309" s="2" t="s">
        <v>2524</v>
      </c>
      <c r="N309" s="6">
        <f t="shared" si="16"/>
        <v>1</v>
      </c>
      <c r="O309" t="str">
        <f>IF(Tabla_control[[#This Row],[Control_duplicados]]&gt;1,"Duplicado","Unico")</f>
        <v>Unico</v>
      </c>
      <c r="P309" t="str">
        <f t="shared" si="17"/>
        <v>OK</v>
      </c>
      <c r="Q309" t="str">
        <f t="shared" si="18"/>
        <v>OK</v>
      </c>
      <c r="R309" t="str">
        <f t="shared" si="19"/>
        <v>OK</v>
      </c>
    </row>
    <row r="310" spans="1:18" x14ac:dyDescent="0.3">
      <c r="A310" s="1">
        <v>45942</v>
      </c>
      <c r="B310" s="2" t="s">
        <v>2629</v>
      </c>
      <c r="C310" s="2" t="s">
        <v>2515</v>
      </c>
      <c r="D310" s="2" t="s">
        <v>2528</v>
      </c>
      <c r="E310" s="2" t="s">
        <v>2517</v>
      </c>
      <c r="F310" s="3">
        <v>42628</v>
      </c>
      <c r="G310" s="3">
        <v>1446</v>
      </c>
      <c r="H310" s="3">
        <v>78</v>
      </c>
      <c r="I310" s="4">
        <v>1678.51</v>
      </c>
      <c r="J310" s="4">
        <v>2963.14</v>
      </c>
      <c r="K310" s="3">
        <v>60</v>
      </c>
      <c r="L310" s="2" t="s">
        <v>2539</v>
      </c>
      <c r="M310" s="2" t="s">
        <v>2519</v>
      </c>
      <c r="N310" s="6">
        <f t="shared" si="16"/>
        <v>1</v>
      </c>
      <c r="O310" t="str">
        <f>IF(Tabla_control[[#This Row],[Control_duplicados]]&gt;1,"Duplicado","Unico")</f>
        <v>Unico</v>
      </c>
      <c r="P310" t="str">
        <f t="shared" si="17"/>
        <v>OK</v>
      </c>
      <c r="Q310" t="str">
        <f t="shared" si="18"/>
        <v>OK</v>
      </c>
      <c r="R310" t="str">
        <f t="shared" si="19"/>
        <v>OK</v>
      </c>
    </row>
    <row r="311" spans="1:18" x14ac:dyDescent="0.3">
      <c r="A311" s="1">
        <v>45900</v>
      </c>
      <c r="B311" s="2" t="s">
        <v>2625</v>
      </c>
      <c r="C311" s="2" t="s">
        <v>2541</v>
      </c>
      <c r="D311" s="2" t="s">
        <v>2516</v>
      </c>
      <c r="E311" s="2" t="s">
        <v>2534</v>
      </c>
      <c r="F311" s="3">
        <v>174697</v>
      </c>
      <c r="G311" s="3">
        <v>15348</v>
      </c>
      <c r="H311" s="3">
        <v>1313</v>
      </c>
      <c r="I311" s="4">
        <v>8450.42</v>
      </c>
      <c r="J311" s="4">
        <v>102248.99</v>
      </c>
      <c r="K311" s="3">
        <v>1087</v>
      </c>
      <c r="L311" s="2" t="s">
        <v>2539</v>
      </c>
      <c r="M311" s="2" t="s">
        <v>2526</v>
      </c>
      <c r="N311" s="6">
        <f t="shared" si="16"/>
        <v>1</v>
      </c>
      <c r="O311" t="str">
        <f>IF(Tabla_control[[#This Row],[Control_duplicados]]&gt;1,"Duplicado","Unico")</f>
        <v>Unico</v>
      </c>
      <c r="P311" t="str">
        <f t="shared" si="17"/>
        <v>OK</v>
      </c>
      <c r="Q311" t="str">
        <f t="shared" si="18"/>
        <v>OK</v>
      </c>
      <c r="R311" t="str">
        <f t="shared" si="19"/>
        <v>OK</v>
      </c>
    </row>
    <row r="312" spans="1:18" x14ac:dyDescent="0.3">
      <c r="A312" s="1">
        <v>45930</v>
      </c>
      <c r="B312" s="2" t="s">
        <v>2627</v>
      </c>
      <c r="C312" s="2" t="s">
        <v>2527</v>
      </c>
      <c r="D312" s="2" t="s">
        <v>2528</v>
      </c>
      <c r="E312" s="2" t="s">
        <v>2529</v>
      </c>
      <c r="F312" s="3">
        <v>130043</v>
      </c>
      <c r="G312" s="3">
        <v>9316</v>
      </c>
      <c r="H312" s="3">
        <v>907</v>
      </c>
      <c r="I312" s="4">
        <v>15919.54</v>
      </c>
      <c r="J312" s="4">
        <v>77025.84</v>
      </c>
      <c r="K312" s="3">
        <v>518</v>
      </c>
      <c r="L312" s="2" t="s">
        <v>2539</v>
      </c>
      <c r="M312" s="2" t="s">
        <v>2546</v>
      </c>
      <c r="N312" s="6">
        <f t="shared" si="16"/>
        <v>1</v>
      </c>
      <c r="O312" t="str">
        <f>IF(Tabla_control[[#This Row],[Control_duplicados]]&gt;1,"Duplicado","Unico")</f>
        <v>Unico</v>
      </c>
      <c r="P312" t="str">
        <f t="shared" si="17"/>
        <v>OK</v>
      </c>
      <c r="Q312" t="str">
        <f t="shared" si="18"/>
        <v>OK</v>
      </c>
      <c r="R312" t="str">
        <f t="shared" si="19"/>
        <v>OK</v>
      </c>
    </row>
    <row r="313" spans="1:18" x14ac:dyDescent="0.3">
      <c r="A313" s="1">
        <v>45888</v>
      </c>
      <c r="B313" s="2" t="s">
        <v>2637</v>
      </c>
      <c r="C313" s="2" t="s">
        <v>2527</v>
      </c>
      <c r="D313" s="2" t="s">
        <v>2528</v>
      </c>
      <c r="E313" s="2" t="s">
        <v>2517</v>
      </c>
      <c r="F313" s="3">
        <v>166041</v>
      </c>
      <c r="G313" s="3">
        <v>11422</v>
      </c>
      <c r="H313" s="3">
        <v>390</v>
      </c>
      <c r="I313" s="4">
        <v>10675.91</v>
      </c>
      <c r="J313" s="4">
        <v>46445.82</v>
      </c>
      <c r="K313" s="3">
        <v>263</v>
      </c>
      <c r="L313" s="2" t="s">
        <v>2539</v>
      </c>
      <c r="M313" s="2" t="s">
        <v>2524</v>
      </c>
      <c r="N313" s="6">
        <f t="shared" si="16"/>
        <v>1</v>
      </c>
      <c r="O313" t="str">
        <f>IF(Tabla_control[[#This Row],[Control_duplicados]]&gt;1,"Duplicado","Unico")</f>
        <v>Unico</v>
      </c>
      <c r="P313" t="str">
        <f t="shared" si="17"/>
        <v>OK</v>
      </c>
      <c r="Q313" t="str">
        <f t="shared" si="18"/>
        <v>OK</v>
      </c>
      <c r="R313" t="str">
        <f t="shared" si="19"/>
        <v>OK</v>
      </c>
    </row>
    <row r="314" spans="1:18" x14ac:dyDescent="0.3">
      <c r="A314" s="1">
        <v>45752</v>
      </c>
      <c r="B314" s="2" t="s">
        <v>2636</v>
      </c>
      <c r="C314" s="2" t="s">
        <v>2533</v>
      </c>
      <c r="D314" s="2" t="s">
        <v>2522</v>
      </c>
      <c r="E314" s="2" t="s">
        <v>2529</v>
      </c>
      <c r="F314" s="3">
        <v>110825</v>
      </c>
      <c r="G314" s="3">
        <v>8228</v>
      </c>
      <c r="H314" s="3">
        <v>665</v>
      </c>
      <c r="I314" s="4">
        <v>6451.84</v>
      </c>
      <c r="J314" s="4">
        <v>39926.01</v>
      </c>
      <c r="K314" s="3">
        <v>519</v>
      </c>
      <c r="L314" s="2" t="s">
        <v>2539</v>
      </c>
      <c r="M314" s="2" t="s">
        <v>2519</v>
      </c>
      <c r="N314" s="6">
        <f t="shared" si="16"/>
        <v>1</v>
      </c>
      <c r="O314" t="str">
        <f>IF(Tabla_control[[#This Row],[Control_duplicados]]&gt;1,"Duplicado","Unico")</f>
        <v>Unico</v>
      </c>
      <c r="P314" t="str">
        <f t="shared" si="17"/>
        <v>OK</v>
      </c>
      <c r="Q314" t="str">
        <f t="shared" si="18"/>
        <v>OK</v>
      </c>
      <c r="R314" t="str">
        <f t="shared" si="19"/>
        <v>OK</v>
      </c>
    </row>
    <row r="315" spans="1:18" x14ac:dyDescent="0.3">
      <c r="A315" s="1">
        <v>45728</v>
      </c>
      <c r="B315" s="2" t="s">
        <v>2630</v>
      </c>
      <c r="C315" s="2" t="s">
        <v>2541</v>
      </c>
      <c r="D315" s="2" t="s">
        <v>2516</v>
      </c>
      <c r="E315" s="2" t="s">
        <v>2529</v>
      </c>
      <c r="F315" s="3">
        <v>148146</v>
      </c>
      <c r="G315" s="3">
        <v>4180</v>
      </c>
      <c r="H315" s="3">
        <v>319</v>
      </c>
      <c r="I315" s="4">
        <v>8153.14</v>
      </c>
      <c r="J315" s="4">
        <v>21959.94</v>
      </c>
      <c r="K315" s="3">
        <v>207</v>
      </c>
      <c r="L315" s="2" t="s">
        <v>2539</v>
      </c>
      <c r="M315" s="2" t="s">
        <v>2537</v>
      </c>
      <c r="N315" s="6">
        <f t="shared" si="16"/>
        <v>1</v>
      </c>
      <c r="O315" t="str">
        <f>IF(Tabla_control[[#This Row],[Control_duplicados]]&gt;1,"Duplicado","Unico")</f>
        <v>Unico</v>
      </c>
      <c r="P315" t="str">
        <f t="shared" si="17"/>
        <v>OK</v>
      </c>
      <c r="Q315" t="str">
        <f t="shared" si="18"/>
        <v>OK</v>
      </c>
      <c r="R315" t="str">
        <f t="shared" si="19"/>
        <v>OK</v>
      </c>
    </row>
    <row r="316" spans="1:18" x14ac:dyDescent="0.3">
      <c r="A316" s="1">
        <v>45750</v>
      </c>
      <c r="B316" s="2" t="s">
        <v>2615</v>
      </c>
      <c r="C316" s="2" t="s">
        <v>2527</v>
      </c>
      <c r="D316" s="2" t="s">
        <v>2528</v>
      </c>
      <c r="E316" s="2" t="s">
        <v>2517</v>
      </c>
      <c r="F316" s="3">
        <v>135641</v>
      </c>
      <c r="G316" s="3">
        <v>4429</v>
      </c>
      <c r="H316" s="3">
        <v>565</v>
      </c>
      <c r="I316" s="4">
        <v>3940.34</v>
      </c>
      <c r="J316" s="4">
        <v>89461.53</v>
      </c>
      <c r="K316" s="3">
        <v>364</v>
      </c>
      <c r="L316" s="2" t="s">
        <v>2523</v>
      </c>
      <c r="M316" s="2" t="s">
        <v>2537</v>
      </c>
      <c r="N316" s="6">
        <f t="shared" si="16"/>
        <v>1</v>
      </c>
      <c r="O316" t="str">
        <f>IF(Tabla_control[[#This Row],[Control_duplicados]]&gt;1,"Duplicado","Unico")</f>
        <v>Unico</v>
      </c>
      <c r="P316" t="str">
        <f t="shared" si="17"/>
        <v>OK</v>
      </c>
      <c r="Q316" t="str">
        <f t="shared" si="18"/>
        <v>OK</v>
      </c>
      <c r="R316" t="str">
        <f t="shared" si="19"/>
        <v>OK</v>
      </c>
    </row>
    <row r="317" spans="1:18" x14ac:dyDescent="0.3">
      <c r="A317" s="1">
        <v>45850</v>
      </c>
      <c r="B317" s="2" t="s">
        <v>2628</v>
      </c>
      <c r="C317" s="2" t="s">
        <v>2543</v>
      </c>
      <c r="D317" s="2" t="s">
        <v>2528</v>
      </c>
      <c r="E317" s="2" t="s">
        <v>2529</v>
      </c>
      <c r="F317" s="3">
        <v>72739</v>
      </c>
      <c r="G317" s="3">
        <v>749</v>
      </c>
      <c r="H317" s="3">
        <v>9</v>
      </c>
      <c r="I317" s="4">
        <v>127.87</v>
      </c>
      <c r="J317" s="4">
        <v>1086.94</v>
      </c>
      <c r="K317" s="3">
        <v>5</v>
      </c>
      <c r="L317" s="2" t="s">
        <v>2518</v>
      </c>
      <c r="M317" s="2" t="s">
        <v>2519</v>
      </c>
      <c r="N317" s="6">
        <f t="shared" si="16"/>
        <v>1</v>
      </c>
      <c r="O317" t="str">
        <f>IF(Tabla_control[[#This Row],[Control_duplicados]]&gt;1,"Duplicado","Unico")</f>
        <v>Unico</v>
      </c>
      <c r="P317" t="str">
        <f t="shared" si="17"/>
        <v>OK</v>
      </c>
      <c r="Q317" t="str">
        <f t="shared" si="18"/>
        <v>OK</v>
      </c>
      <c r="R317" t="str">
        <f t="shared" si="19"/>
        <v>OK</v>
      </c>
    </row>
    <row r="318" spans="1:18" x14ac:dyDescent="0.3">
      <c r="A318" s="1">
        <v>45935</v>
      </c>
      <c r="B318" s="2" t="s">
        <v>2615</v>
      </c>
      <c r="C318" s="2" t="s">
        <v>2533</v>
      </c>
      <c r="D318" s="2" t="s">
        <v>2531</v>
      </c>
      <c r="E318" s="2" t="s">
        <v>2529</v>
      </c>
      <c r="F318" s="3">
        <v>102617</v>
      </c>
      <c r="G318" s="3">
        <v>2122</v>
      </c>
      <c r="H318" s="3">
        <v>138</v>
      </c>
      <c r="I318" s="4">
        <v>296.85000000000002</v>
      </c>
      <c r="J318" s="4">
        <v>23658.6</v>
      </c>
      <c r="K318" s="3">
        <v>83</v>
      </c>
      <c r="L318" s="2" t="s">
        <v>2539</v>
      </c>
      <c r="M318" s="2" t="s">
        <v>2526</v>
      </c>
      <c r="N318" s="6">
        <f t="shared" si="16"/>
        <v>1</v>
      </c>
      <c r="O318" t="str">
        <f>IF(Tabla_control[[#This Row],[Control_duplicados]]&gt;1,"Duplicado","Unico")</f>
        <v>Unico</v>
      </c>
      <c r="P318" t="str">
        <f t="shared" si="17"/>
        <v>OK</v>
      </c>
      <c r="Q318" t="str">
        <f t="shared" si="18"/>
        <v>OK</v>
      </c>
      <c r="R318" t="str">
        <f t="shared" si="19"/>
        <v>OK</v>
      </c>
    </row>
    <row r="319" spans="1:18" x14ac:dyDescent="0.3">
      <c r="A319" s="1">
        <v>45966</v>
      </c>
      <c r="B319" s="2" t="s">
        <v>2636</v>
      </c>
      <c r="C319" s="2" t="s">
        <v>2515</v>
      </c>
      <c r="D319" s="2" t="s">
        <v>2528</v>
      </c>
      <c r="E319" s="2" t="s">
        <v>2534</v>
      </c>
      <c r="F319" s="3">
        <v>65015</v>
      </c>
      <c r="G319" s="3">
        <v>579</v>
      </c>
      <c r="H319" s="3">
        <v>6</v>
      </c>
      <c r="I319" s="4">
        <v>1169.0899999999999</v>
      </c>
      <c r="J319" s="4">
        <v>1249.31</v>
      </c>
      <c r="K319" s="3">
        <v>4</v>
      </c>
      <c r="L319" s="2" t="s">
        <v>2536</v>
      </c>
      <c r="M319" s="2" t="s">
        <v>2519</v>
      </c>
      <c r="N319" s="6">
        <f t="shared" si="16"/>
        <v>1</v>
      </c>
      <c r="O319" t="str">
        <f>IF(Tabla_control[[#This Row],[Control_duplicados]]&gt;1,"Duplicado","Unico")</f>
        <v>Unico</v>
      </c>
      <c r="P319" t="str">
        <f t="shared" si="17"/>
        <v>OK</v>
      </c>
      <c r="Q319" t="str">
        <f t="shared" si="18"/>
        <v>OK</v>
      </c>
      <c r="R319" t="str">
        <f t="shared" si="19"/>
        <v>OK</v>
      </c>
    </row>
    <row r="320" spans="1:18" x14ac:dyDescent="0.3">
      <c r="A320" s="1">
        <v>45718</v>
      </c>
      <c r="B320" s="2" t="s">
        <v>2633</v>
      </c>
      <c r="C320" s="2" t="s">
        <v>2527</v>
      </c>
      <c r="D320" s="2" t="s">
        <v>2531</v>
      </c>
      <c r="E320" s="2" t="s">
        <v>2529</v>
      </c>
      <c r="F320" s="3">
        <v>170552</v>
      </c>
      <c r="G320" s="3">
        <v>5116</v>
      </c>
      <c r="H320" s="3">
        <v>592</v>
      </c>
      <c r="I320" s="4">
        <v>1865.32</v>
      </c>
      <c r="J320" s="4">
        <v>100739.53</v>
      </c>
      <c r="K320" s="3">
        <v>377</v>
      </c>
      <c r="L320" s="2" t="s">
        <v>2539</v>
      </c>
      <c r="M320" s="2" t="s">
        <v>2546</v>
      </c>
      <c r="N320" s="6">
        <f t="shared" si="16"/>
        <v>1</v>
      </c>
      <c r="O320" t="str">
        <f>IF(Tabla_control[[#This Row],[Control_duplicados]]&gt;1,"Duplicado","Unico")</f>
        <v>Unico</v>
      </c>
      <c r="P320" t="str">
        <f t="shared" si="17"/>
        <v>OK</v>
      </c>
      <c r="Q320" t="str">
        <f t="shared" si="18"/>
        <v>OK</v>
      </c>
      <c r="R320" t="str">
        <f t="shared" si="19"/>
        <v>OK</v>
      </c>
    </row>
    <row r="321" spans="1:18" x14ac:dyDescent="0.3">
      <c r="A321" s="1">
        <v>46004</v>
      </c>
      <c r="B321" s="2" t="s">
        <v>2627</v>
      </c>
      <c r="C321" s="2" t="s">
        <v>2541</v>
      </c>
      <c r="D321" s="2" t="s">
        <v>2522</v>
      </c>
      <c r="E321" s="2" t="s">
        <v>2517</v>
      </c>
      <c r="F321" s="3">
        <v>24494</v>
      </c>
      <c r="G321" s="3">
        <v>230</v>
      </c>
      <c r="H321" s="3">
        <v>29</v>
      </c>
      <c r="I321" s="4">
        <v>419.93</v>
      </c>
      <c r="J321" s="4">
        <v>2323.5100000000002</v>
      </c>
      <c r="K321" s="3">
        <v>21</v>
      </c>
      <c r="L321" s="2" t="s">
        <v>2539</v>
      </c>
      <c r="M321" s="2" t="s">
        <v>2519</v>
      </c>
      <c r="N321" s="6">
        <f t="shared" si="16"/>
        <v>1</v>
      </c>
      <c r="O321" t="str">
        <f>IF(Tabla_control[[#This Row],[Control_duplicados]]&gt;1,"Duplicado","Unico")</f>
        <v>Unico</v>
      </c>
      <c r="P321" t="str">
        <f t="shared" si="17"/>
        <v>OK</v>
      </c>
      <c r="Q321" t="str">
        <f t="shared" si="18"/>
        <v>OK</v>
      </c>
      <c r="R321" t="str">
        <f t="shared" si="19"/>
        <v>OK</v>
      </c>
    </row>
    <row r="322" spans="1:18" x14ac:dyDescent="0.3">
      <c r="A322" s="1">
        <v>45791</v>
      </c>
      <c r="B322" s="2" t="s">
        <v>2633</v>
      </c>
      <c r="C322" s="2" t="s">
        <v>2515</v>
      </c>
      <c r="D322" s="2" t="s">
        <v>2528</v>
      </c>
      <c r="E322" s="2" t="s">
        <v>2534</v>
      </c>
      <c r="F322" s="3">
        <v>42882</v>
      </c>
      <c r="G322" s="3">
        <v>316</v>
      </c>
      <c r="H322" s="3">
        <v>33</v>
      </c>
      <c r="I322" s="4">
        <v>258.41000000000003</v>
      </c>
      <c r="J322" s="4">
        <v>1087.1099999999999</v>
      </c>
      <c r="K322" s="3">
        <v>27</v>
      </c>
      <c r="L322" s="2" t="s">
        <v>2518</v>
      </c>
      <c r="M322" s="2" t="s">
        <v>2519</v>
      </c>
      <c r="N322" s="6">
        <f t="shared" ref="N322:N385" si="20">COUNTIFS($A$2:$A$2536,A322,$B$2:$B$2536,B322,$C$2:$C$2536,C322,$D$2:$D$2536,D322,$E$2:$E$2536,E322,$F$2:$F$2536,F322,$G$2:$G$2536,G322,$H$2:$H$2536,H322,$I$2:$I$2536,I322,$J$2:$J$2536,J322,$K$2:$K$2536,K322,$L$2:$L$2536,L322,$M$2:$M$2536,M322)</f>
        <v>1</v>
      </c>
      <c r="O322" t="str">
        <f>IF(Tabla_control[[#This Row],[Control_duplicados]]&gt;1,"Duplicado","Unico")</f>
        <v>Unico</v>
      </c>
      <c r="P322" t="str">
        <f t="shared" ref="P322:P385" si="21">IF(OR(I322="",I322&lt;0),"ERROR","OK")</f>
        <v>OK</v>
      </c>
      <c r="Q322" t="str">
        <f t="shared" ref="Q322:Q385" si="22">IF(H322&gt;F322,"ERROR","OK")</f>
        <v>OK</v>
      </c>
      <c r="R322" t="str">
        <f t="shared" ref="R322:R385" si="23">IF(K322&gt;H322,"ERROR","OK")</f>
        <v>OK</v>
      </c>
    </row>
    <row r="323" spans="1:18" x14ac:dyDescent="0.3">
      <c r="A323" s="1">
        <v>46020</v>
      </c>
      <c r="B323" s="2" t="s">
        <v>2637</v>
      </c>
      <c r="C323" s="2" t="s">
        <v>2521</v>
      </c>
      <c r="D323" s="2" t="s">
        <v>2516</v>
      </c>
      <c r="E323" s="2" t="s">
        <v>2517</v>
      </c>
      <c r="F323" s="3">
        <v>14564</v>
      </c>
      <c r="G323" s="3">
        <v>776</v>
      </c>
      <c r="H323" s="3">
        <v>28</v>
      </c>
      <c r="I323" s="4">
        <v>499.71</v>
      </c>
      <c r="J323" s="4">
        <v>2449.94</v>
      </c>
      <c r="K323" s="3">
        <v>20</v>
      </c>
      <c r="L323" s="2" t="s">
        <v>2539</v>
      </c>
      <c r="M323" s="2" t="s">
        <v>2546</v>
      </c>
      <c r="N323" s="6">
        <f t="shared" si="20"/>
        <v>1</v>
      </c>
      <c r="O323" t="str">
        <f>IF(Tabla_control[[#This Row],[Control_duplicados]]&gt;1,"Duplicado","Unico")</f>
        <v>Unico</v>
      </c>
      <c r="P323" t="str">
        <f t="shared" si="21"/>
        <v>OK</v>
      </c>
      <c r="Q323" t="str">
        <f t="shared" si="22"/>
        <v>OK</v>
      </c>
      <c r="R323" t="str">
        <f t="shared" si="23"/>
        <v>OK</v>
      </c>
    </row>
    <row r="324" spans="1:18" x14ac:dyDescent="0.3">
      <c r="A324" s="1">
        <v>45951</v>
      </c>
      <c r="B324" s="2" t="s">
        <v>2635</v>
      </c>
      <c r="C324" s="2" t="s">
        <v>2543</v>
      </c>
      <c r="D324" s="2" t="s">
        <v>2531</v>
      </c>
      <c r="E324" s="2" t="s">
        <v>2517</v>
      </c>
      <c r="F324" s="3">
        <v>113475</v>
      </c>
      <c r="G324" s="3">
        <v>560</v>
      </c>
      <c r="H324" s="3">
        <v>28</v>
      </c>
      <c r="I324" s="4">
        <v>705.42</v>
      </c>
      <c r="J324" s="4">
        <v>4685.83</v>
      </c>
      <c r="K324" s="3">
        <v>18</v>
      </c>
      <c r="L324" s="2" t="s">
        <v>2536</v>
      </c>
      <c r="M324" s="2" t="s">
        <v>2524</v>
      </c>
      <c r="N324" s="6">
        <f t="shared" si="20"/>
        <v>1</v>
      </c>
      <c r="O324" t="str">
        <f>IF(Tabla_control[[#This Row],[Control_duplicados]]&gt;1,"Duplicado","Unico")</f>
        <v>Unico</v>
      </c>
      <c r="P324" t="str">
        <f t="shared" si="21"/>
        <v>OK</v>
      </c>
      <c r="Q324" t="str">
        <f t="shared" si="22"/>
        <v>OK</v>
      </c>
      <c r="R324" t="str">
        <f t="shared" si="23"/>
        <v>OK</v>
      </c>
    </row>
    <row r="325" spans="1:18" x14ac:dyDescent="0.3">
      <c r="A325" s="1">
        <v>46022</v>
      </c>
      <c r="B325" s="2" t="s">
        <v>2622</v>
      </c>
      <c r="C325" s="2" t="s">
        <v>2527</v>
      </c>
      <c r="D325" s="2" t="s">
        <v>2516</v>
      </c>
      <c r="E325" s="2" t="s">
        <v>2529</v>
      </c>
      <c r="F325" s="3">
        <v>26549</v>
      </c>
      <c r="G325" s="3">
        <v>1150</v>
      </c>
      <c r="H325" s="3">
        <v>124</v>
      </c>
      <c r="I325" s="4">
        <v>521.91</v>
      </c>
      <c r="J325" s="4">
        <v>23758.33</v>
      </c>
      <c r="K325" s="3">
        <v>74</v>
      </c>
      <c r="L325" s="2" t="s">
        <v>2539</v>
      </c>
      <c r="M325" s="2" t="s">
        <v>2526</v>
      </c>
      <c r="N325" s="6">
        <f t="shared" si="20"/>
        <v>1</v>
      </c>
      <c r="O325" t="str">
        <f>IF(Tabla_control[[#This Row],[Control_duplicados]]&gt;1,"Duplicado","Unico")</f>
        <v>Unico</v>
      </c>
      <c r="P325" t="str">
        <f t="shared" si="21"/>
        <v>OK</v>
      </c>
      <c r="Q325" t="str">
        <f t="shared" si="22"/>
        <v>OK</v>
      </c>
      <c r="R325" t="str">
        <f t="shared" si="23"/>
        <v>OK</v>
      </c>
    </row>
    <row r="326" spans="1:18" x14ac:dyDescent="0.3">
      <c r="A326" s="1">
        <v>45726</v>
      </c>
      <c r="B326" s="2" t="s">
        <v>2615</v>
      </c>
      <c r="C326" s="2" t="s">
        <v>2543</v>
      </c>
      <c r="D326" s="2" t="s">
        <v>2528</v>
      </c>
      <c r="E326" s="2" t="s">
        <v>2517</v>
      </c>
      <c r="F326" s="3">
        <v>84112</v>
      </c>
      <c r="G326" s="3">
        <v>4169</v>
      </c>
      <c r="H326" s="3">
        <v>542</v>
      </c>
      <c r="I326" s="4">
        <v>7974.51</v>
      </c>
      <c r="J326" s="4">
        <v>45652.05</v>
      </c>
      <c r="K326" s="3">
        <v>361</v>
      </c>
      <c r="L326" s="2" t="s">
        <v>2523</v>
      </c>
      <c r="M326" s="2" t="s">
        <v>2546</v>
      </c>
      <c r="N326" s="6">
        <f t="shared" si="20"/>
        <v>1</v>
      </c>
      <c r="O326" t="str">
        <f>IF(Tabla_control[[#This Row],[Control_duplicados]]&gt;1,"Duplicado","Unico")</f>
        <v>Unico</v>
      </c>
      <c r="P326" t="str">
        <f t="shared" si="21"/>
        <v>OK</v>
      </c>
      <c r="Q326" t="str">
        <f t="shared" si="22"/>
        <v>OK</v>
      </c>
      <c r="R326" t="str">
        <f t="shared" si="23"/>
        <v>OK</v>
      </c>
    </row>
    <row r="327" spans="1:18" x14ac:dyDescent="0.3">
      <c r="A327" s="1">
        <v>45836</v>
      </c>
      <c r="B327" s="2" t="s">
        <v>2641</v>
      </c>
      <c r="C327" s="2" t="s">
        <v>2521</v>
      </c>
      <c r="D327" s="2" t="s">
        <v>2528</v>
      </c>
      <c r="E327" s="2" t="s">
        <v>2529</v>
      </c>
      <c r="F327" s="3">
        <v>177367</v>
      </c>
      <c r="G327" s="3">
        <v>11786</v>
      </c>
      <c r="H327" s="3">
        <v>977</v>
      </c>
      <c r="I327" s="4">
        <v>21306.639999999999</v>
      </c>
      <c r="J327" s="4">
        <v>38562.25</v>
      </c>
      <c r="K327" s="3">
        <v>465</v>
      </c>
      <c r="L327" s="2" t="s">
        <v>2523</v>
      </c>
      <c r="M327" s="2" t="s">
        <v>2537</v>
      </c>
      <c r="N327" s="6">
        <f t="shared" si="20"/>
        <v>1</v>
      </c>
      <c r="O327" t="str">
        <f>IF(Tabla_control[[#This Row],[Control_duplicados]]&gt;1,"Duplicado","Unico")</f>
        <v>Unico</v>
      </c>
      <c r="P327" t="str">
        <f t="shared" si="21"/>
        <v>OK</v>
      </c>
      <c r="Q327" t="str">
        <f t="shared" si="22"/>
        <v>OK</v>
      </c>
      <c r="R327" t="str">
        <f t="shared" si="23"/>
        <v>OK</v>
      </c>
    </row>
    <row r="328" spans="1:18" x14ac:dyDescent="0.3">
      <c r="A328" s="1">
        <v>46000</v>
      </c>
      <c r="B328" s="2" t="s">
        <v>2643</v>
      </c>
      <c r="C328" s="2" t="s">
        <v>2543</v>
      </c>
      <c r="D328" s="2" t="s">
        <v>2531</v>
      </c>
      <c r="E328" s="2" t="s">
        <v>2517</v>
      </c>
      <c r="F328" s="3">
        <v>40061</v>
      </c>
      <c r="G328" s="3">
        <v>634</v>
      </c>
      <c r="H328" s="3">
        <v>31</v>
      </c>
      <c r="I328" s="4">
        <v>736.85</v>
      </c>
      <c r="J328" s="4">
        <v>6405.86</v>
      </c>
      <c r="K328" s="3">
        <v>25</v>
      </c>
      <c r="L328" s="2" t="s">
        <v>2539</v>
      </c>
      <c r="M328" s="2" t="s">
        <v>2537</v>
      </c>
      <c r="N328" s="6">
        <f t="shared" si="20"/>
        <v>1</v>
      </c>
      <c r="O328" t="str">
        <f>IF(Tabla_control[[#This Row],[Control_duplicados]]&gt;1,"Duplicado","Unico")</f>
        <v>Unico</v>
      </c>
      <c r="P328" t="str">
        <f t="shared" si="21"/>
        <v>OK</v>
      </c>
      <c r="Q328" t="str">
        <f t="shared" si="22"/>
        <v>OK</v>
      </c>
      <c r="R328" t="str">
        <f t="shared" si="23"/>
        <v>OK</v>
      </c>
    </row>
    <row r="329" spans="1:18" x14ac:dyDescent="0.3">
      <c r="A329" s="1">
        <v>45836</v>
      </c>
      <c r="B329" s="2" t="s">
        <v>2616</v>
      </c>
      <c r="C329" s="2" t="s">
        <v>2515</v>
      </c>
      <c r="D329" s="2" t="s">
        <v>2516</v>
      </c>
      <c r="E329" s="2" t="s">
        <v>2529</v>
      </c>
      <c r="F329" s="3">
        <v>171816</v>
      </c>
      <c r="G329" s="3">
        <v>1637</v>
      </c>
      <c r="H329" s="3">
        <v>91</v>
      </c>
      <c r="I329" s="4">
        <v>734.06</v>
      </c>
      <c r="J329" s="4">
        <v>14514.06</v>
      </c>
      <c r="K329" s="3">
        <v>47</v>
      </c>
      <c r="L329" s="2" t="s">
        <v>2518</v>
      </c>
      <c r="M329" s="2" t="s">
        <v>2537</v>
      </c>
      <c r="N329" s="6">
        <f t="shared" si="20"/>
        <v>1</v>
      </c>
      <c r="O329" t="str">
        <f>IF(Tabla_control[[#This Row],[Control_duplicados]]&gt;1,"Duplicado","Unico")</f>
        <v>Unico</v>
      </c>
      <c r="P329" t="str">
        <f t="shared" si="21"/>
        <v>OK</v>
      </c>
      <c r="Q329" t="str">
        <f t="shared" si="22"/>
        <v>OK</v>
      </c>
      <c r="R329" t="str">
        <f t="shared" si="23"/>
        <v>OK</v>
      </c>
    </row>
    <row r="330" spans="1:18" x14ac:dyDescent="0.3">
      <c r="A330" s="1">
        <v>45964</v>
      </c>
      <c r="B330" s="2" t="s">
        <v>2627</v>
      </c>
      <c r="C330" s="2" t="s">
        <v>2527</v>
      </c>
      <c r="D330" s="2" t="s">
        <v>2528</v>
      </c>
      <c r="E330" s="2" t="s">
        <v>2529</v>
      </c>
      <c r="F330" s="3">
        <v>48643</v>
      </c>
      <c r="G330" s="3">
        <v>1703</v>
      </c>
      <c r="H330" s="3">
        <v>141</v>
      </c>
      <c r="I330" s="4">
        <v>2204.16</v>
      </c>
      <c r="J330" s="4">
        <v>10101.64</v>
      </c>
      <c r="K330" s="3">
        <v>81</v>
      </c>
      <c r="L330" s="2" t="s">
        <v>2536</v>
      </c>
      <c r="M330" s="2" t="s">
        <v>2526</v>
      </c>
      <c r="N330" s="6">
        <f t="shared" si="20"/>
        <v>1</v>
      </c>
      <c r="O330" t="str">
        <f>IF(Tabla_control[[#This Row],[Control_duplicados]]&gt;1,"Duplicado","Unico")</f>
        <v>Unico</v>
      </c>
      <c r="P330" t="str">
        <f t="shared" si="21"/>
        <v>OK</v>
      </c>
      <c r="Q330" t="str">
        <f t="shared" si="22"/>
        <v>OK</v>
      </c>
      <c r="R330" t="str">
        <f t="shared" si="23"/>
        <v>OK</v>
      </c>
    </row>
    <row r="331" spans="1:18" x14ac:dyDescent="0.3">
      <c r="A331" s="1">
        <v>45869</v>
      </c>
      <c r="B331" s="2" t="s">
        <v>2617</v>
      </c>
      <c r="C331" s="2" t="s">
        <v>2533</v>
      </c>
      <c r="D331" s="2" t="s">
        <v>2525</v>
      </c>
      <c r="E331" s="2" t="s">
        <v>2517</v>
      </c>
      <c r="F331" s="3">
        <v>104661</v>
      </c>
      <c r="G331" s="3">
        <v>2233</v>
      </c>
      <c r="H331" s="3">
        <v>260</v>
      </c>
      <c r="I331" s="4">
        <v>3545.43</v>
      </c>
      <c r="J331" s="4">
        <v>56370.76</v>
      </c>
      <c r="K331" s="3">
        <v>145</v>
      </c>
      <c r="L331" s="2" t="s">
        <v>2539</v>
      </c>
      <c r="M331" s="2" t="s">
        <v>2524</v>
      </c>
      <c r="N331" s="6">
        <f t="shared" si="20"/>
        <v>1</v>
      </c>
      <c r="O331" t="str">
        <f>IF(Tabla_control[[#This Row],[Control_duplicados]]&gt;1,"Duplicado","Unico")</f>
        <v>Unico</v>
      </c>
      <c r="P331" t="str">
        <f t="shared" si="21"/>
        <v>OK</v>
      </c>
      <c r="Q331" t="str">
        <f t="shared" si="22"/>
        <v>OK</v>
      </c>
      <c r="R331" t="str">
        <f t="shared" si="23"/>
        <v>OK</v>
      </c>
    </row>
    <row r="332" spans="1:18" x14ac:dyDescent="0.3">
      <c r="A332" s="1">
        <v>45983</v>
      </c>
      <c r="B332" s="2" t="s">
        <v>2644</v>
      </c>
      <c r="C332" s="2" t="s">
        <v>2521</v>
      </c>
      <c r="D332" s="2" t="s">
        <v>2528</v>
      </c>
      <c r="E332" s="2" t="s">
        <v>2529</v>
      </c>
      <c r="F332" s="3">
        <v>135174</v>
      </c>
      <c r="G332" s="3">
        <v>6534</v>
      </c>
      <c r="H332" s="3">
        <v>462</v>
      </c>
      <c r="I332" s="4">
        <v>9304.9599999999991</v>
      </c>
      <c r="J332" s="4">
        <v>50860.26</v>
      </c>
      <c r="K332" s="3">
        <v>288</v>
      </c>
      <c r="L332" s="2" t="s">
        <v>2523</v>
      </c>
      <c r="M332" s="2" t="s">
        <v>2526</v>
      </c>
      <c r="N332" s="6">
        <f t="shared" si="20"/>
        <v>1</v>
      </c>
      <c r="O332" t="str">
        <f>IF(Tabla_control[[#This Row],[Control_duplicados]]&gt;1,"Duplicado","Unico")</f>
        <v>Unico</v>
      </c>
      <c r="P332" t="str">
        <f t="shared" si="21"/>
        <v>OK</v>
      </c>
      <c r="Q332" t="str">
        <f t="shared" si="22"/>
        <v>OK</v>
      </c>
      <c r="R332" t="str">
        <f t="shared" si="23"/>
        <v>OK</v>
      </c>
    </row>
    <row r="333" spans="1:18" x14ac:dyDescent="0.3">
      <c r="A333" s="1">
        <v>45804</v>
      </c>
      <c r="B333" s="2" t="s">
        <v>2639</v>
      </c>
      <c r="C333" s="2" t="s">
        <v>2541</v>
      </c>
      <c r="D333" s="2" t="s">
        <v>2528</v>
      </c>
      <c r="E333" s="2" t="s">
        <v>2517</v>
      </c>
      <c r="F333" s="3">
        <v>65387</v>
      </c>
      <c r="G333" s="3">
        <v>3793</v>
      </c>
      <c r="H333" s="3">
        <v>329</v>
      </c>
      <c r="I333" s="4">
        <v>1005.81</v>
      </c>
      <c r="J333" s="4">
        <v>48243.97</v>
      </c>
      <c r="K333" s="3">
        <v>198</v>
      </c>
      <c r="L333" s="2" t="s">
        <v>2536</v>
      </c>
      <c r="M333" s="2" t="s">
        <v>2526</v>
      </c>
      <c r="N333" s="6">
        <f t="shared" si="20"/>
        <v>1</v>
      </c>
      <c r="O333" t="str">
        <f>IF(Tabla_control[[#This Row],[Control_duplicados]]&gt;1,"Duplicado","Unico")</f>
        <v>Unico</v>
      </c>
      <c r="P333" t="str">
        <f t="shared" si="21"/>
        <v>OK</v>
      </c>
      <c r="Q333" t="str">
        <f t="shared" si="22"/>
        <v>OK</v>
      </c>
      <c r="R333" t="str">
        <f t="shared" si="23"/>
        <v>OK</v>
      </c>
    </row>
    <row r="334" spans="1:18" x14ac:dyDescent="0.3">
      <c r="A334" s="1">
        <v>45660</v>
      </c>
      <c r="B334" s="2" t="s">
        <v>2644</v>
      </c>
      <c r="C334" s="2" t="s">
        <v>2521</v>
      </c>
      <c r="D334" s="2" t="s">
        <v>2528</v>
      </c>
      <c r="E334" s="2" t="s">
        <v>2517</v>
      </c>
      <c r="F334" s="3">
        <v>106826</v>
      </c>
      <c r="G334" s="3">
        <v>9377</v>
      </c>
      <c r="H334" s="3">
        <v>940</v>
      </c>
      <c r="I334" s="4">
        <v>18693.62</v>
      </c>
      <c r="J334" s="4">
        <v>148697.04</v>
      </c>
      <c r="K334" s="3">
        <v>587</v>
      </c>
      <c r="L334" s="2" t="s">
        <v>2536</v>
      </c>
      <c r="M334" s="2" t="s">
        <v>2537</v>
      </c>
      <c r="N334" s="6">
        <f t="shared" si="20"/>
        <v>1</v>
      </c>
      <c r="O334" t="str">
        <f>IF(Tabla_control[[#This Row],[Control_duplicados]]&gt;1,"Duplicado","Unico")</f>
        <v>Unico</v>
      </c>
      <c r="P334" t="str">
        <f t="shared" si="21"/>
        <v>OK</v>
      </c>
      <c r="Q334" t="str">
        <f t="shared" si="22"/>
        <v>OK</v>
      </c>
      <c r="R334" t="str">
        <f t="shared" si="23"/>
        <v>OK</v>
      </c>
    </row>
    <row r="335" spans="1:18" x14ac:dyDescent="0.3">
      <c r="A335" s="1">
        <v>45925</v>
      </c>
      <c r="B335" s="2" t="s">
        <v>2624</v>
      </c>
      <c r="C335" s="2" t="s">
        <v>2521</v>
      </c>
      <c r="D335" s="2" t="s">
        <v>2528</v>
      </c>
      <c r="E335" s="2" t="s">
        <v>2534</v>
      </c>
      <c r="F335" s="3">
        <v>44292</v>
      </c>
      <c r="G335" s="3">
        <v>2407</v>
      </c>
      <c r="H335" s="3">
        <v>70</v>
      </c>
      <c r="I335" s="4">
        <v>3578.59</v>
      </c>
      <c r="J335" s="4">
        <v>5034.71</v>
      </c>
      <c r="K335" s="3">
        <v>42</v>
      </c>
      <c r="L335" s="2" t="s">
        <v>2518</v>
      </c>
      <c r="M335" s="2" t="s">
        <v>2537</v>
      </c>
      <c r="N335" s="6">
        <f t="shared" si="20"/>
        <v>1</v>
      </c>
      <c r="O335" t="str">
        <f>IF(Tabla_control[[#This Row],[Control_duplicados]]&gt;1,"Duplicado","Unico")</f>
        <v>Unico</v>
      </c>
      <c r="P335" t="str">
        <f t="shared" si="21"/>
        <v>OK</v>
      </c>
      <c r="Q335" t="str">
        <f t="shared" si="22"/>
        <v>OK</v>
      </c>
      <c r="R335" t="str">
        <f t="shared" si="23"/>
        <v>OK</v>
      </c>
    </row>
    <row r="336" spans="1:18" x14ac:dyDescent="0.3">
      <c r="A336" s="1">
        <v>45867</v>
      </c>
      <c r="B336" s="2" t="s">
        <v>2616</v>
      </c>
      <c r="C336" s="2" t="s">
        <v>2521</v>
      </c>
      <c r="D336" s="2" t="s">
        <v>2528</v>
      </c>
      <c r="E336" s="2" t="s">
        <v>2529</v>
      </c>
      <c r="F336" s="3">
        <v>166986</v>
      </c>
      <c r="G336" s="3">
        <v>7719</v>
      </c>
      <c r="H336" s="3">
        <v>594</v>
      </c>
      <c r="I336" s="4">
        <v>6018.64</v>
      </c>
      <c r="J336" s="4">
        <v>52695.09</v>
      </c>
      <c r="K336" s="3">
        <v>299</v>
      </c>
      <c r="L336" s="2" t="s">
        <v>2523</v>
      </c>
      <c r="M336" s="2" t="s">
        <v>2546</v>
      </c>
      <c r="N336" s="6">
        <f t="shared" si="20"/>
        <v>1</v>
      </c>
      <c r="O336" t="str">
        <f>IF(Tabla_control[[#This Row],[Control_duplicados]]&gt;1,"Duplicado","Unico")</f>
        <v>Unico</v>
      </c>
      <c r="P336" t="str">
        <f t="shared" si="21"/>
        <v>OK</v>
      </c>
      <c r="Q336" t="str">
        <f t="shared" si="22"/>
        <v>OK</v>
      </c>
      <c r="R336" t="str">
        <f t="shared" si="23"/>
        <v>OK</v>
      </c>
    </row>
    <row r="337" spans="1:18" x14ac:dyDescent="0.3">
      <c r="A337" s="1">
        <v>45897</v>
      </c>
      <c r="B337" s="2" t="s">
        <v>2622</v>
      </c>
      <c r="C337" s="2" t="s">
        <v>2541</v>
      </c>
      <c r="D337" s="2" t="s">
        <v>2528</v>
      </c>
      <c r="E337" s="2" t="s">
        <v>2517</v>
      </c>
      <c r="F337" s="3">
        <v>76130</v>
      </c>
      <c r="G337" s="3">
        <v>4959</v>
      </c>
      <c r="H337" s="3">
        <v>674</v>
      </c>
      <c r="I337" s="4">
        <v>9570.6</v>
      </c>
      <c r="J337" s="4">
        <v>110246.44</v>
      </c>
      <c r="K337" s="3">
        <v>512</v>
      </c>
      <c r="L337" s="2" t="s">
        <v>2539</v>
      </c>
      <c r="M337" s="2" t="s">
        <v>2526</v>
      </c>
      <c r="N337" s="6">
        <f t="shared" si="20"/>
        <v>1</v>
      </c>
      <c r="O337" t="str">
        <f>IF(Tabla_control[[#This Row],[Control_duplicados]]&gt;1,"Duplicado","Unico")</f>
        <v>Unico</v>
      </c>
      <c r="P337" t="str">
        <f t="shared" si="21"/>
        <v>OK</v>
      </c>
      <c r="Q337" t="str">
        <f t="shared" si="22"/>
        <v>OK</v>
      </c>
      <c r="R337" t="str">
        <f t="shared" si="23"/>
        <v>OK</v>
      </c>
    </row>
    <row r="338" spans="1:18" x14ac:dyDescent="0.3">
      <c r="A338" s="1">
        <v>45909</v>
      </c>
      <c r="B338" s="2" t="s">
        <v>2626</v>
      </c>
      <c r="C338" s="2" t="s">
        <v>2515</v>
      </c>
      <c r="D338" s="2" t="s">
        <v>2525</v>
      </c>
      <c r="E338" s="2" t="s">
        <v>2529</v>
      </c>
      <c r="F338" s="3">
        <v>11965</v>
      </c>
      <c r="G338" s="3">
        <v>67</v>
      </c>
      <c r="H338" s="3">
        <v>7</v>
      </c>
      <c r="I338" s="4">
        <v>30.62</v>
      </c>
      <c r="J338" s="4">
        <v>1208.73</v>
      </c>
      <c r="K338" s="3">
        <v>5</v>
      </c>
      <c r="L338" s="2" t="s">
        <v>2518</v>
      </c>
      <c r="M338" s="2" t="s">
        <v>2546</v>
      </c>
      <c r="N338" s="6">
        <f t="shared" si="20"/>
        <v>1</v>
      </c>
      <c r="O338" t="str">
        <f>IF(Tabla_control[[#This Row],[Control_duplicados]]&gt;1,"Duplicado","Unico")</f>
        <v>Unico</v>
      </c>
      <c r="P338" t="str">
        <f t="shared" si="21"/>
        <v>OK</v>
      </c>
      <c r="Q338" t="str">
        <f t="shared" si="22"/>
        <v>OK</v>
      </c>
      <c r="R338" t="str">
        <f t="shared" si="23"/>
        <v>OK</v>
      </c>
    </row>
    <row r="339" spans="1:18" x14ac:dyDescent="0.3">
      <c r="A339" s="1">
        <v>45660</v>
      </c>
      <c r="B339" s="2" t="s">
        <v>2638</v>
      </c>
      <c r="C339" s="2" t="s">
        <v>2527</v>
      </c>
      <c r="D339" s="2" t="s">
        <v>2528</v>
      </c>
      <c r="E339" s="2" t="s">
        <v>2534</v>
      </c>
      <c r="F339" s="3">
        <v>138916</v>
      </c>
      <c r="G339" s="3">
        <v>4883</v>
      </c>
      <c r="H339" s="3">
        <v>625</v>
      </c>
      <c r="I339" s="4">
        <v>2324.27</v>
      </c>
      <c r="J339" s="4">
        <v>73508.25</v>
      </c>
      <c r="K339" s="3">
        <v>533</v>
      </c>
      <c r="L339" s="2" t="s">
        <v>2523</v>
      </c>
      <c r="M339" s="2" t="s">
        <v>2537</v>
      </c>
      <c r="N339" s="6">
        <f t="shared" si="20"/>
        <v>1</v>
      </c>
      <c r="O339" t="str">
        <f>IF(Tabla_control[[#This Row],[Control_duplicados]]&gt;1,"Duplicado","Unico")</f>
        <v>Unico</v>
      </c>
      <c r="P339" t="str">
        <f t="shared" si="21"/>
        <v>OK</v>
      </c>
      <c r="Q339" t="str">
        <f t="shared" si="22"/>
        <v>OK</v>
      </c>
      <c r="R339" t="str">
        <f t="shared" si="23"/>
        <v>OK</v>
      </c>
    </row>
    <row r="340" spans="1:18" x14ac:dyDescent="0.3">
      <c r="A340" s="1">
        <v>45660</v>
      </c>
      <c r="B340" s="2" t="s">
        <v>2637</v>
      </c>
      <c r="C340" s="2" t="s">
        <v>2521</v>
      </c>
      <c r="D340" s="2" t="s">
        <v>2528</v>
      </c>
      <c r="E340" s="2" t="s">
        <v>2517</v>
      </c>
      <c r="F340" s="3">
        <v>156774</v>
      </c>
      <c r="G340" s="3">
        <v>4038</v>
      </c>
      <c r="H340" s="3">
        <v>425</v>
      </c>
      <c r="I340" s="4">
        <v>2904.34</v>
      </c>
      <c r="J340" s="4">
        <v>87625.48</v>
      </c>
      <c r="K340" s="3">
        <v>253</v>
      </c>
      <c r="L340" s="2" t="s">
        <v>2523</v>
      </c>
      <c r="M340" s="2" t="s">
        <v>2526</v>
      </c>
      <c r="N340" s="6">
        <f t="shared" si="20"/>
        <v>1</v>
      </c>
      <c r="O340" t="str">
        <f>IF(Tabla_control[[#This Row],[Control_duplicados]]&gt;1,"Duplicado","Unico")</f>
        <v>Unico</v>
      </c>
      <c r="P340" t="str">
        <f t="shared" si="21"/>
        <v>OK</v>
      </c>
      <c r="Q340" t="str">
        <f t="shared" si="22"/>
        <v>OK</v>
      </c>
      <c r="R340" t="str">
        <f t="shared" si="23"/>
        <v>OK</v>
      </c>
    </row>
    <row r="341" spans="1:18" x14ac:dyDescent="0.3">
      <c r="A341" s="1">
        <v>46000</v>
      </c>
      <c r="B341" s="2" t="s">
        <v>2623</v>
      </c>
      <c r="C341" s="2" t="s">
        <v>2521</v>
      </c>
      <c r="D341" s="2" t="s">
        <v>2531</v>
      </c>
      <c r="E341" s="2" t="s">
        <v>2517</v>
      </c>
      <c r="F341" s="3">
        <v>125272</v>
      </c>
      <c r="G341" s="3">
        <v>5689</v>
      </c>
      <c r="H341" s="3">
        <v>383</v>
      </c>
      <c r="I341" s="4">
        <v>8059.72</v>
      </c>
      <c r="J341" s="4">
        <v>68829.960000000006</v>
      </c>
      <c r="K341" s="3">
        <v>198</v>
      </c>
      <c r="L341" s="2" t="s">
        <v>2539</v>
      </c>
      <c r="M341" s="2" t="s">
        <v>2537</v>
      </c>
      <c r="N341" s="6">
        <f t="shared" si="20"/>
        <v>1</v>
      </c>
      <c r="O341" t="str">
        <f>IF(Tabla_control[[#This Row],[Control_duplicados]]&gt;1,"Duplicado","Unico")</f>
        <v>Unico</v>
      </c>
      <c r="P341" t="str">
        <f t="shared" si="21"/>
        <v>OK</v>
      </c>
      <c r="Q341" t="str">
        <f t="shared" si="22"/>
        <v>OK</v>
      </c>
      <c r="R341" t="str">
        <f t="shared" si="23"/>
        <v>OK</v>
      </c>
    </row>
    <row r="342" spans="1:18" x14ac:dyDescent="0.3">
      <c r="A342" s="1">
        <v>45661</v>
      </c>
      <c r="B342" s="2" t="s">
        <v>2639</v>
      </c>
      <c r="C342" s="2" t="s">
        <v>2515</v>
      </c>
      <c r="D342" s="2" t="s">
        <v>2531</v>
      </c>
      <c r="E342" s="2" t="s">
        <v>2517</v>
      </c>
      <c r="F342" s="3">
        <v>120349</v>
      </c>
      <c r="G342" s="3">
        <v>4392</v>
      </c>
      <c r="H342" s="3">
        <v>193</v>
      </c>
      <c r="I342" s="4">
        <v>2151.5700000000002</v>
      </c>
      <c r="J342" s="4">
        <v>30337.3</v>
      </c>
      <c r="K342" s="3">
        <v>130</v>
      </c>
      <c r="L342" s="2" t="s">
        <v>2539</v>
      </c>
      <c r="M342" s="2" t="s">
        <v>2524</v>
      </c>
      <c r="N342" s="6">
        <f t="shared" si="20"/>
        <v>1</v>
      </c>
      <c r="O342" t="str">
        <f>IF(Tabla_control[[#This Row],[Control_duplicados]]&gt;1,"Duplicado","Unico")</f>
        <v>Unico</v>
      </c>
      <c r="P342" t="str">
        <f t="shared" si="21"/>
        <v>OK</v>
      </c>
      <c r="Q342" t="str">
        <f t="shared" si="22"/>
        <v>OK</v>
      </c>
      <c r="R342" t="str">
        <f t="shared" si="23"/>
        <v>OK</v>
      </c>
    </row>
    <row r="343" spans="1:18" x14ac:dyDescent="0.3">
      <c r="A343" s="1">
        <v>45666</v>
      </c>
      <c r="B343" s="2" t="s">
        <v>2615</v>
      </c>
      <c r="C343" s="2" t="s">
        <v>2543</v>
      </c>
      <c r="D343" s="2" t="s">
        <v>2531</v>
      </c>
      <c r="E343" s="2" t="s">
        <v>2529</v>
      </c>
      <c r="F343" s="3">
        <v>115709</v>
      </c>
      <c r="G343" s="3">
        <v>3063</v>
      </c>
      <c r="H343" s="3">
        <v>201</v>
      </c>
      <c r="I343" s="4">
        <v>6306.71</v>
      </c>
      <c r="J343" s="4">
        <v>37103.85</v>
      </c>
      <c r="K343" s="3">
        <v>152</v>
      </c>
      <c r="L343" s="2" t="s">
        <v>2523</v>
      </c>
      <c r="M343" s="2" t="s">
        <v>2546</v>
      </c>
      <c r="N343" s="6">
        <f t="shared" si="20"/>
        <v>1</v>
      </c>
      <c r="O343" t="str">
        <f>IF(Tabla_control[[#This Row],[Control_duplicados]]&gt;1,"Duplicado","Unico")</f>
        <v>Unico</v>
      </c>
      <c r="P343" t="str">
        <f t="shared" si="21"/>
        <v>OK</v>
      </c>
      <c r="Q343" t="str">
        <f t="shared" si="22"/>
        <v>OK</v>
      </c>
      <c r="R343" t="str">
        <f t="shared" si="23"/>
        <v>OK</v>
      </c>
    </row>
    <row r="344" spans="1:18" x14ac:dyDescent="0.3">
      <c r="A344" s="1">
        <v>45910</v>
      </c>
      <c r="B344" s="2" t="s">
        <v>2626</v>
      </c>
      <c r="C344" s="2" t="s">
        <v>2541</v>
      </c>
      <c r="D344" s="2" t="s">
        <v>2528</v>
      </c>
      <c r="E344" s="2" t="s">
        <v>2517</v>
      </c>
      <c r="F344" s="3">
        <v>81247</v>
      </c>
      <c r="G344" s="3">
        <v>2458</v>
      </c>
      <c r="H344" s="3">
        <v>145</v>
      </c>
      <c r="I344" s="4">
        <v>2095.11</v>
      </c>
      <c r="J344" s="4">
        <v>7504.78</v>
      </c>
      <c r="K344" s="3">
        <v>130</v>
      </c>
      <c r="L344" s="2" t="s">
        <v>2536</v>
      </c>
      <c r="M344" s="2" t="s">
        <v>2537</v>
      </c>
      <c r="N344" s="6">
        <f t="shared" si="20"/>
        <v>1</v>
      </c>
      <c r="O344" t="str">
        <f>IF(Tabla_control[[#This Row],[Control_duplicados]]&gt;1,"Duplicado","Unico")</f>
        <v>Unico</v>
      </c>
      <c r="P344" t="str">
        <f t="shared" si="21"/>
        <v>OK</v>
      </c>
      <c r="Q344" t="str">
        <f t="shared" si="22"/>
        <v>OK</v>
      </c>
      <c r="R344" t="str">
        <f t="shared" si="23"/>
        <v>OK</v>
      </c>
    </row>
    <row r="345" spans="1:18" x14ac:dyDescent="0.3">
      <c r="A345" s="1">
        <v>45965</v>
      </c>
      <c r="B345" s="2" t="s">
        <v>2642</v>
      </c>
      <c r="C345" s="2" t="s">
        <v>2515</v>
      </c>
      <c r="D345" s="2" t="s">
        <v>2531</v>
      </c>
      <c r="E345" s="2" t="s">
        <v>2529</v>
      </c>
      <c r="F345" s="3">
        <v>60952</v>
      </c>
      <c r="G345" s="3">
        <v>3535</v>
      </c>
      <c r="H345" s="3">
        <v>429</v>
      </c>
      <c r="I345" s="4">
        <v>3784.02</v>
      </c>
      <c r="J345" s="4">
        <v>85012.85</v>
      </c>
      <c r="K345" s="3">
        <v>253</v>
      </c>
      <c r="L345" s="2" t="s">
        <v>2523</v>
      </c>
      <c r="M345" s="2" t="s">
        <v>2537</v>
      </c>
      <c r="N345" s="6">
        <f t="shared" si="20"/>
        <v>1</v>
      </c>
      <c r="O345" t="str">
        <f>IF(Tabla_control[[#This Row],[Control_duplicados]]&gt;1,"Duplicado","Unico")</f>
        <v>Unico</v>
      </c>
      <c r="P345" t="str">
        <f t="shared" si="21"/>
        <v>OK</v>
      </c>
      <c r="Q345" t="str">
        <f t="shared" si="22"/>
        <v>OK</v>
      </c>
      <c r="R345" t="str">
        <f t="shared" si="23"/>
        <v>OK</v>
      </c>
    </row>
    <row r="346" spans="1:18" x14ac:dyDescent="0.3">
      <c r="A346" s="1">
        <v>45819</v>
      </c>
      <c r="B346" s="2" t="s">
        <v>2620</v>
      </c>
      <c r="C346" s="2" t="s">
        <v>2543</v>
      </c>
      <c r="D346" s="2" t="s">
        <v>2528</v>
      </c>
      <c r="E346" s="2" t="s">
        <v>2529</v>
      </c>
      <c r="F346" s="3">
        <v>33381</v>
      </c>
      <c r="G346" s="3">
        <v>2881</v>
      </c>
      <c r="H346" s="3">
        <v>374</v>
      </c>
      <c r="I346" s="4">
        <v>640</v>
      </c>
      <c r="J346" s="4">
        <v>5624.01</v>
      </c>
      <c r="K346" s="3">
        <v>293</v>
      </c>
      <c r="L346" s="2" t="s">
        <v>2523</v>
      </c>
      <c r="M346" s="2" t="s">
        <v>2519</v>
      </c>
      <c r="N346" s="6">
        <f t="shared" si="20"/>
        <v>1</v>
      </c>
      <c r="O346" t="str">
        <f>IF(Tabla_control[[#This Row],[Control_duplicados]]&gt;1,"Duplicado","Unico")</f>
        <v>Unico</v>
      </c>
      <c r="P346" t="str">
        <f t="shared" si="21"/>
        <v>OK</v>
      </c>
      <c r="Q346" t="str">
        <f t="shared" si="22"/>
        <v>OK</v>
      </c>
      <c r="R346" t="str">
        <f t="shared" si="23"/>
        <v>OK</v>
      </c>
    </row>
    <row r="347" spans="1:18" x14ac:dyDescent="0.3">
      <c r="A347" s="1">
        <v>45811</v>
      </c>
      <c r="B347" s="2" t="s">
        <v>2641</v>
      </c>
      <c r="C347" s="2" t="s">
        <v>2533</v>
      </c>
      <c r="D347" s="2" t="s">
        <v>2528</v>
      </c>
      <c r="E347" s="2" t="s">
        <v>2517</v>
      </c>
      <c r="F347" s="3">
        <v>85570</v>
      </c>
      <c r="G347" s="3">
        <v>418</v>
      </c>
      <c r="H347" s="3">
        <v>50</v>
      </c>
      <c r="I347" s="4">
        <v>267.2</v>
      </c>
      <c r="J347" s="4">
        <v>8632.26</v>
      </c>
      <c r="K347" s="3">
        <v>41</v>
      </c>
      <c r="L347" s="2" t="s">
        <v>2518</v>
      </c>
      <c r="M347" s="2" t="s">
        <v>2519</v>
      </c>
      <c r="N347" s="6">
        <f t="shared" si="20"/>
        <v>1</v>
      </c>
      <c r="O347" t="str">
        <f>IF(Tabla_control[[#This Row],[Control_duplicados]]&gt;1,"Duplicado","Unico")</f>
        <v>Unico</v>
      </c>
      <c r="P347" t="str">
        <f t="shared" si="21"/>
        <v>OK</v>
      </c>
      <c r="Q347" t="str">
        <f t="shared" si="22"/>
        <v>OK</v>
      </c>
      <c r="R347" t="str">
        <f t="shared" si="23"/>
        <v>OK</v>
      </c>
    </row>
    <row r="348" spans="1:18" x14ac:dyDescent="0.3">
      <c r="A348" s="1">
        <v>45778</v>
      </c>
      <c r="B348" s="2" t="s">
        <v>2633</v>
      </c>
      <c r="C348" s="2" t="s">
        <v>2527</v>
      </c>
      <c r="D348" s="2" t="s">
        <v>2528</v>
      </c>
      <c r="E348" s="2" t="s">
        <v>2517</v>
      </c>
      <c r="F348" s="3">
        <v>21807</v>
      </c>
      <c r="G348" s="3">
        <v>1668</v>
      </c>
      <c r="H348" s="3">
        <v>75</v>
      </c>
      <c r="I348" s="4">
        <v>3381.09</v>
      </c>
      <c r="J348" s="4">
        <v>8499.61</v>
      </c>
      <c r="K348" s="3">
        <v>36</v>
      </c>
      <c r="L348" s="2" t="s">
        <v>2518</v>
      </c>
      <c r="M348" s="2" t="s">
        <v>2519</v>
      </c>
      <c r="N348" s="6">
        <f t="shared" si="20"/>
        <v>1</v>
      </c>
      <c r="O348" t="str">
        <f>IF(Tabla_control[[#This Row],[Control_duplicados]]&gt;1,"Duplicado","Unico")</f>
        <v>Unico</v>
      </c>
      <c r="P348" t="str">
        <f t="shared" si="21"/>
        <v>OK</v>
      </c>
      <c r="Q348" t="str">
        <f t="shared" si="22"/>
        <v>OK</v>
      </c>
      <c r="R348" t="str">
        <f t="shared" si="23"/>
        <v>OK</v>
      </c>
    </row>
    <row r="349" spans="1:18" x14ac:dyDescent="0.3">
      <c r="A349" s="1">
        <v>45812</v>
      </c>
      <c r="B349" s="2" t="s">
        <v>2615</v>
      </c>
      <c r="C349" s="2" t="s">
        <v>2515</v>
      </c>
      <c r="D349" s="2" t="s">
        <v>2525</v>
      </c>
      <c r="E349" s="2" t="s">
        <v>2529</v>
      </c>
      <c r="F349" s="3">
        <v>100617</v>
      </c>
      <c r="G349" s="3">
        <v>6163</v>
      </c>
      <c r="H349" s="3">
        <v>642</v>
      </c>
      <c r="I349" s="4">
        <v>10935.04</v>
      </c>
      <c r="J349" s="4">
        <v>47540.1</v>
      </c>
      <c r="K349" s="3">
        <v>572</v>
      </c>
      <c r="L349" s="2" t="s">
        <v>2536</v>
      </c>
      <c r="M349" s="2" t="s">
        <v>2519</v>
      </c>
      <c r="N349" s="6">
        <f t="shared" si="20"/>
        <v>1</v>
      </c>
      <c r="O349" t="str">
        <f>IF(Tabla_control[[#This Row],[Control_duplicados]]&gt;1,"Duplicado","Unico")</f>
        <v>Unico</v>
      </c>
      <c r="P349" t="str">
        <f t="shared" si="21"/>
        <v>OK</v>
      </c>
      <c r="Q349" t="str">
        <f t="shared" si="22"/>
        <v>OK</v>
      </c>
      <c r="R349" t="str">
        <f t="shared" si="23"/>
        <v>OK</v>
      </c>
    </row>
    <row r="350" spans="1:18" x14ac:dyDescent="0.3">
      <c r="A350" s="1">
        <v>45815</v>
      </c>
      <c r="B350" s="2" t="s">
        <v>2642</v>
      </c>
      <c r="C350" s="2" t="s">
        <v>2543</v>
      </c>
      <c r="D350" s="2" t="s">
        <v>2528</v>
      </c>
      <c r="E350" s="2" t="s">
        <v>2534</v>
      </c>
      <c r="F350" s="3">
        <v>35619</v>
      </c>
      <c r="G350" s="3">
        <v>35851</v>
      </c>
      <c r="H350" s="3">
        <v>141</v>
      </c>
      <c r="I350" s="4">
        <v>1399.77</v>
      </c>
      <c r="J350" s="4">
        <v>21317.41</v>
      </c>
      <c r="K350" s="3">
        <v>66</v>
      </c>
      <c r="L350" s="2" t="s">
        <v>2518</v>
      </c>
      <c r="M350" s="2" t="s">
        <v>2524</v>
      </c>
      <c r="N350" s="6">
        <f t="shared" si="20"/>
        <v>1</v>
      </c>
      <c r="O350" t="str">
        <f>IF(Tabla_control[[#This Row],[Control_duplicados]]&gt;1,"Duplicado","Unico")</f>
        <v>Unico</v>
      </c>
      <c r="P350" t="str">
        <f t="shared" si="21"/>
        <v>OK</v>
      </c>
      <c r="Q350" t="str">
        <f t="shared" si="22"/>
        <v>OK</v>
      </c>
      <c r="R350" t="str">
        <f t="shared" si="23"/>
        <v>OK</v>
      </c>
    </row>
    <row r="351" spans="1:18" x14ac:dyDescent="0.3">
      <c r="A351" s="1">
        <v>45687</v>
      </c>
      <c r="B351" s="2" t="s">
        <v>2632</v>
      </c>
      <c r="C351" s="2" t="s">
        <v>2521</v>
      </c>
      <c r="D351" s="2" t="s">
        <v>2528</v>
      </c>
      <c r="E351" s="2" t="s">
        <v>2517</v>
      </c>
      <c r="F351" s="3">
        <v>23489</v>
      </c>
      <c r="G351" s="3">
        <v>1195</v>
      </c>
      <c r="H351" s="3">
        <v>107</v>
      </c>
      <c r="I351" s="4">
        <v>810.4</v>
      </c>
      <c r="J351" s="4">
        <v>17746.64</v>
      </c>
      <c r="K351" s="3">
        <v>51</v>
      </c>
      <c r="L351" s="2" t="s">
        <v>2539</v>
      </c>
      <c r="M351" s="2" t="s">
        <v>2524</v>
      </c>
      <c r="N351" s="6">
        <f t="shared" si="20"/>
        <v>1</v>
      </c>
      <c r="O351" t="str">
        <f>IF(Tabla_control[[#This Row],[Control_duplicados]]&gt;1,"Duplicado","Unico")</f>
        <v>Unico</v>
      </c>
      <c r="P351" t="str">
        <f t="shared" si="21"/>
        <v>OK</v>
      </c>
      <c r="Q351" t="str">
        <f t="shared" si="22"/>
        <v>OK</v>
      </c>
      <c r="R351" t="str">
        <f t="shared" si="23"/>
        <v>OK</v>
      </c>
    </row>
    <row r="352" spans="1:18" x14ac:dyDescent="0.3">
      <c r="A352" s="1">
        <v>45807</v>
      </c>
      <c r="B352" s="2" t="s">
        <v>2616</v>
      </c>
      <c r="C352" s="2" t="s">
        <v>2521</v>
      </c>
      <c r="D352" s="2" t="s">
        <v>2528</v>
      </c>
      <c r="E352" s="2" t="s">
        <v>2529</v>
      </c>
      <c r="F352" s="3">
        <v>177538</v>
      </c>
      <c r="G352" s="3">
        <v>14298</v>
      </c>
      <c r="H352" s="3">
        <v>1513</v>
      </c>
      <c r="I352" s="4">
        <v>6839.89</v>
      </c>
      <c r="J352" s="4">
        <v>101070.49</v>
      </c>
      <c r="K352" s="3">
        <v>1237</v>
      </c>
      <c r="L352" s="2" t="s">
        <v>2523</v>
      </c>
      <c r="M352" s="2" t="s">
        <v>2526</v>
      </c>
      <c r="N352" s="6">
        <f t="shared" si="20"/>
        <v>1</v>
      </c>
      <c r="O352" t="str">
        <f>IF(Tabla_control[[#This Row],[Control_duplicados]]&gt;1,"Duplicado","Unico")</f>
        <v>Unico</v>
      </c>
      <c r="P352" t="str">
        <f t="shared" si="21"/>
        <v>OK</v>
      </c>
      <c r="Q352" t="str">
        <f t="shared" si="22"/>
        <v>OK</v>
      </c>
      <c r="R352" t="str">
        <f t="shared" si="23"/>
        <v>OK</v>
      </c>
    </row>
    <row r="353" spans="1:18" x14ac:dyDescent="0.3">
      <c r="A353" s="1">
        <v>46001</v>
      </c>
      <c r="B353" s="2" t="s">
        <v>2625</v>
      </c>
      <c r="C353" s="2" t="s">
        <v>2527</v>
      </c>
      <c r="D353" s="2" t="s">
        <v>2528</v>
      </c>
      <c r="E353" s="2" t="s">
        <v>2517</v>
      </c>
      <c r="F353" s="3">
        <v>18970</v>
      </c>
      <c r="G353" s="3">
        <v>1596</v>
      </c>
      <c r="H353" s="3">
        <v>117</v>
      </c>
      <c r="I353" s="4">
        <v>1123.25</v>
      </c>
      <c r="J353" s="4">
        <v>6760.9</v>
      </c>
      <c r="K353" s="3">
        <v>74</v>
      </c>
      <c r="L353" s="2" t="s">
        <v>2518</v>
      </c>
      <c r="M353" s="2" t="s">
        <v>2519</v>
      </c>
      <c r="N353" s="6">
        <f t="shared" si="20"/>
        <v>1</v>
      </c>
      <c r="O353" t="str">
        <f>IF(Tabla_control[[#This Row],[Control_duplicados]]&gt;1,"Duplicado","Unico")</f>
        <v>Unico</v>
      </c>
      <c r="P353" t="str">
        <f t="shared" si="21"/>
        <v>OK</v>
      </c>
      <c r="Q353" t="str">
        <f t="shared" si="22"/>
        <v>OK</v>
      </c>
      <c r="R353" t="str">
        <f t="shared" si="23"/>
        <v>OK</v>
      </c>
    </row>
    <row r="354" spans="1:18" x14ac:dyDescent="0.3">
      <c r="A354" s="1">
        <v>45836</v>
      </c>
      <c r="B354" s="2" t="s">
        <v>2621</v>
      </c>
      <c r="C354" s="2" t="s">
        <v>2521</v>
      </c>
      <c r="D354" s="2" t="s">
        <v>2525</v>
      </c>
      <c r="E354" s="2" t="s">
        <v>2534</v>
      </c>
      <c r="F354" s="3">
        <v>34572</v>
      </c>
      <c r="G354" s="3">
        <v>576</v>
      </c>
      <c r="H354" s="3">
        <v>48</v>
      </c>
      <c r="I354" s="4">
        <v>386.89</v>
      </c>
      <c r="J354" s="4">
        <v>8015.47</v>
      </c>
      <c r="K354" s="3">
        <v>30</v>
      </c>
      <c r="L354" s="2" t="s">
        <v>2523</v>
      </c>
      <c r="M354" s="2" t="s">
        <v>2546</v>
      </c>
      <c r="N354" s="6">
        <f t="shared" si="20"/>
        <v>2</v>
      </c>
      <c r="O354" t="str">
        <f>IF(Tabla_control[[#This Row],[Control_duplicados]]&gt;1,"Duplicado","Unico")</f>
        <v>Duplicado</v>
      </c>
      <c r="P354" t="str">
        <f t="shared" si="21"/>
        <v>OK</v>
      </c>
      <c r="Q354" t="str">
        <f t="shared" si="22"/>
        <v>OK</v>
      </c>
      <c r="R354" t="str">
        <f t="shared" si="23"/>
        <v>OK</v>
      </c>
    </row>
    <row r="355" spans="1:18" x14ac:dyDescent="0.3">
      <c r="A355" s="1">
        <v>45923</v>
      </c>
      <c r="B355" s="2" t="s">
        <v>2616</v>
      </c>
      <c r="C355" s="2" t="s">
        <v>2543</v>
      </c>
      <c r="D355" s="2" t="s">
        <v>2528</v>
      </c>
      <c r="E355" s="2" t="s">
        <v>2517</v>
      </c>
      <c r="F355" s="3">
        <v>38592</v>
      </c>
      <c r="G355" s="3">
        <v>3438</v>
      </c>
      <c r="H355" s="3">
        <v>320</v>
      </c>
      <c r="I355" s="4">
        <v>3493</v>
      </c>
      <c r="J355" s="4">
        <v>26012.11</v>
      </c>
      <c r="K355" s="3">
        <v>238</v>
      </c>
      <c r="L355" s="2" t="s">
        <v>2539</v>
      </c>
      <c r="M355" s="2" t="s">
        <v>2546</v>
      </c>
      <c r="N355" s="6">
        <f t="shared" si="20"/>
        <v>1</v>
      </c>
      <c r="O355" t="str">
        <f>IF(Tabla_control[[#This Row],[Control_duplicados]]&gt;1,"Duplicado","Unico")</f>
        <v>Unico</v>
      </c>
      <c r="P355" t="str">
        <f t="shared" si="21"/>
        <v>OK</v>
      </c>
      <c r="Q355" t="str">
        <f t="shared" si="22"/>
        <v>OK</v>
      </c>
      <c r="R355" t="str">
        <f t="shared" si="23"/>
        <v>OK</v>
      </c>
    </row>
    <row r="356" spans="1:18" x14ac:dyDescent="0.3">
      <c r="A356" s="1">
        <v>45735</v>
      </c>
      <c r="B356" s="2" t="s">
        <v>2643</v>
      </c>
      <c r="C356" s="2" t="s">
        <v>2515</v>
      </c>
      <c r="D356" s="2" t="s">
        <v>2528</v>
      </c>
      <c r="E356" s="2" t="s">
        <v>2517</v>
      </c>
      <c r="F356" s="3">
        <v>27962</v>
      </c>
      <c r="G356" s="3">
        <v>1623</v>
      </c>
      <c r="H356" s="3">
        <v>196</v>
      </c>
      <c r="I356" s="4">
        <v>1903.84</v>
      </c>
      <c r="J356" s="4">
        <v>29641.94</v>
      </c>
      <c r="K356" s="3">
        <v>164</v>
      </c>
      <c r="L356" s="2" t="s">
        <v>2536</v>
      </c>
      <c r="M356" s="2" t="s">
        <v>2519</v>
      </c>
      <c r="N356" s="6">
        <f t="shared" si="20"/>
        <v>1</v>
      </c>
      <c r="O356" t="str">
        <f>IF(Tabla_control[[#This Row],[Control_duplicados]]&gt;1,"Duplicado","Unico")</f>
        <v>Unico</v>
      </c>
      <c r="P356" t="str">
        <f t="shared" si="21"/>
        <v>OK</v>
      </c>
      <c r="Q356" t="str">
        <f t="shared" si="22"/>
        <v>OK</v>
      </c>
      <c r="R356" t="str">
        <f t="shared" si="23"/>
        <v>OK</v>
      </c>
    </row>
    <row r="357" spans="1:18" x14ac:dyDescent="0.3">
      <c r="A357" s="1">
        <v>45848</v>
      </c>
      <c r="B357" s="2" t="s">
        <v>2634</v>
      </c>
      <c r="C357" s="2" t="s">
        <v>2541</v>
      </c>
      <c r="D357" s="2" t="s">
        <v>2531</v>
      </c>
      <c r="E357" s="2" t="s">
        <v>2517</v>
      </c>
      <c r="F357" s="3">
        <v>58138</v>
      </c>
      <c r="G357" s="3">
        <v>1903</v>
      </c>
      <c r="H357" s="3">
        <v>111</v>
      </c>
      <c r="I357" s="4">
        <v>2065.38</v>
      </c>
      <c r="J357" s="4">
        <v>4332.97</v>
      </c>
      <c r="K357" s="3">
        <v>51</v>
      </c>
      <c r="L357" s="2" t="s">
        <v>2539</v>
      </c>
      <c r="M357" s="2" t="s">
        <v>2546</v>
      </c>
      <c r="N357" s="6">
        <f t="shared" si="20"/>
        <v>1</v>
      </c>
      <c r="O357" t="str">
        <f>IF(Tabla_control[[#This Row],[Control_duplicados]]&gt;1,"Duplicado","Unico")</f>
        <v>Unico</v>
      </c>
      <c r="P357" t="str">
        <f t="shared" si="21"/>
        <v>OK</v>
      </c>
      <c r="Q357" t="str">
        <f t="shared" si="22"/>
        <v>OK</v>
      </c>
      <c r="R357" t="str">
        <f t="shared" si="23"/>
        <v>OK</v>
      </c>
    </row>
    <row r="358" spans="1:18" x14ac:dyDescent="0.3">
      <c r="A358" s="1">
        <v>45775</v>
      </c>
      <c r="B358" s="2" t="s">
        <v>2632</v>
      </c>
      <c r="C358" s="2" t="s">
        <v>2543</v>
      </c>
      <c r="D358" s="2" t="s">
        <v>2531</v>
      </c>
      <c r="E358" s="2" t="s">
        <v>2517</v>
      </c>
      <c r="F358" s="3">
        <v>58221</v>
      </c>
      <c r="G358" s="3">
        <v>967</v>
      </c>
      <c r="H358" s="3">
        <v>29</v>
      </c>
      <c r="I358" s="4">
        <v>354.59</v>
      </c>
      <c r="J358" s="4">
        <v>3435.83</v>
      </c>
      <c r="K358" s="3">
        <v>19</v>
      </c>
      <c r="L358" s="2" t="s">
        <v>2518</v>
      </c>
      <c r="M358" s="2" t="s">
        <v>2537</v>
      </c>
      <c r="N358" s="6">
        <f t="shared" si="20"/>
        <v>1</v>
      </c>
      <c r="O358" t="str">
        <f>IF(Tabla_control[[#This Row],[Control_duplicados]]&gt;1,"Duplicado","Unico")</f>
        <v>Unico</v>
      </c>
      <c r="P358" t="str">
        <f t="shared" si="21"/>
        <v>OK</v>
      </c>
      <c r="Q358" t="str">
        <f t="shared" si="22"/>
        <v>OK</v>
      </c>
      <c r="R358" t="str">
        <f t="shared" si="23"/>
        <v>OK</v>
      </c>
    </row>
    <row r="359" spans="1:18" x14ac:dyDescent="0.3">
      <c r="A359" s="1">
        <v>45745</v>
      </c>
      <c r="B359" s="2" t="s">
        <v>2637</v>
      </c>
      <c r="C359" s="2" t="s">
        <v>2533</v>
      </c>
      <c r="D359" s="2" t="s">
        <v>2531</v>
      </c>
      <c r="E359" s="2" t="s">
        <v>2529</v>
      </c>
      <c r="F359" s="3">
        <v>94253</v>
      </c>
      <c r="G359" s="3">
        <v>2847</v>
      </c>
      <c r="H359" s="3">
        <v>257</v>
      </c>
      <c r="I359" s="4">
        <v>5606.68</v>
      </c>
      <c r="J359" s="4">
        <v>38809.25</v>
      </c>
      <c r="K359" s="3">
        <v>140</v>
      </c>
      <c r="L359" s="2" t="s">
        <v>2518</v>
      </c>
      <c r="M359" s="2" t="s">
        <v>2519</v>
      </c>
      <c r="N359" s="6">
        <f t="shared" si="20"/>
        <v>1</v>
      </c>
      <c r="O359" t="str">
        <f>IF(Tabla_control[[#This Row],[Control_duplicados]]&gt;1,"Duplicado","Unico")</f>
        <v>Unico</v>
      </c>
      <c r="P359" t="str">
        <f t="shared" si="21"/>
        <v>OK</v>
      </c>
      <c r="Q359" t="str">
        <f t="shared" si="22"/>
        <v>OK</v>
      </c>
      <c r="R359" t="str">
        <f t="shared" si="23"/>
        <v>OK</v>
      </c>
    </row>
    <row r="360" spans="1:18" x14ac:dyDescent="0.3">
      <c r="A360" s="1">
        <v>45866</v>
      </c>
      <c r="B360" s="2" t="s">
        <v>2615</v>
      </c>
      <c r="C360" s="2" t="s">
        <v>2543</v>
      </c>
      <c r="D360" s="2" t="s">
        <v>2516</v>
      </c>
      <c r="E360" s="2" t="s">
        <v>2529</v>
      </c>
      <c r="F360" s="3">
        <v>89698</v>
      </c>
      <c r="G360" s="3">
        <v>6845</v>
      </c>
      <c r="H360" s="3">
        <v>6868</v>
      </c>
      <c r="I360" s="4">
        <v>11458.1</v>
      </c>
      <c r="J360" s="4">
        <v>31748.43</v>
      </c>
      <c r="K360" s="3">
        <v>268</v>
      </c>
      <c r="L360" s="2" t="s">
        <v>2536</v>
      </c>
      <c r="M360" s="2" t="s">
        <v>2519</v>
      </c>
      <c r="N360" s="6">
        <f t="shared" si="20"/>
        <v>1</v>
      </c>
      <c r="O360" t="str">
        <f>IF(Tabla_control[[#This Row],[Control_duplicados]]&gt;1,"Duplicado","Unico")</f>
        <v>Unico</v>
      </c>
      <c r="P360" t="str">
        <f t="shared" si="21"/>
        <v>OK</v>
      </c>
      <c r="Q360" t="str">
        <f t="shared" si="22"/>
        <v>OK</v>
      </c>
      <c r="R360" t="str">
        <f t="shared" si="23"/>
        <v>OK</v>
      </c>
    </row>
    <row r="361" spans="1:18" x14ac:dyDescent="0.3">
      <c r="A361" s="1">
        <v>45664</v>
      </c>
      <c r="B361" s="2" t="s">
        <v>2616</v>
      </c>
      <c r="C361" s="2" t="s">
        <v>2527</v>
      </c>
      <c r="D361" s="2" t="s">
        <v>2516</v>
      </c>
      <c r="E361" s="2" t="s">
        <v>2517</v>
      </c>
      <c r="F361" s="3">
        <v>86465</v>
      </c>
      <c r="G361" s="3">
        <v>1226</v>
      </c>
      <c r="H361" s="3">
        <v>165</v>
      </c>
      <c r="I361" s="4">
        <v>130.78</v>
      </c>
      <c r="J361" s="4">
        <v>3136.57</v>
      </c>
      <c r="K361" s="3">
        <v>97</v>
      </c>
      <c r="L361" s="2" t="s">
        <v>2523</v>
      </c>
      <c r="M361" s="2" t="s">
        <v>2526</v>
      </c>
      <c r="N361" s="6">
        <f t="shared" si="20"/>
        <v>1</v>
      </c>
      <c r="O361" t="str">
        <f>IF(Tabla_control[[#This Row],[Control_duplicados]]&gt;1,"Duplicado","Unico")</f>
        <v>Unico</v>
      </c>
      <c r="P361" t="str">
        <f t="shared" si="21"/>
        <v>OK</v>
      </c>
      <c r="Q361" t="str">
        <f t="shared" si="22"/>
        <v>OK</v>
      </c>
      <c r="R361" t="str">
        <f t="shared" si="23"/>
        <v>OK</v>
      </c>
    </row>
    <row r="362" spans="1:18" x14ac:dyDescent="0.3">
      <c r="A362" s="1">
        <v>45887</v>
      </c>
      <c r="B362" s="2" t="s">
        <v>2621</v>
      </c>
      <c r="C362" s="2" t="s">
        <v>2543</v>
      </c>
      <c r="D362" s="2" t="s">
        <v>2528</v>
      </c>
      <c r="E362" s="2" t="s">
        <v>2534</v>
      </c>
      <c r="F362" s="3">
        <v>161509</v>
      </c>
      <c r="G362" s="3">
        <v>6257</v>
      </c>
      <c r="H362" s="3">
        <v>701</v>
      </c>
      <c r="I362" s="4">
        <v>6965.17</v>
      </c>
      <c r="J362" s="4">
        <v>81589.81</v>
      </c>
      <c r="K362" s="3">
        <v>430</v>
      </c>
      <c r="L362" s="2" t="s">
        <v>2518</v>
      </c>
      <c r="M362" s="2" t="s">
        <v>2537</v>
      </c>
      <c r="N362" s="6">
        <f t="shared" si="20"/>
        <v>2</v>
      </c>
      <c r="O362" t="str">
        <f>IF(Tabla_control[[#This Row],[Control_duplicados]]&gt;1,"Duplicado","Unico")</f>
        <v>Duplicado</v>
      </c>
      <c r="P362" t="str">
        <f t="shared" si="21"/>
        <v>OK</v>
      </c>
      <c r="Q362" t="str">
        <f t="shared" si="22"/>
        <v>OK</v>
      </c>
      <c r="R362" t="str">
        <f t="shared" si="23"/>
        <v>OK</v>
      </c>
    </row>
    <row r="363" spans="1:18" x14ac:dyDescent="0.3">
      <c r="A363" s="1">
        <v>45658</v>
      </c>
      <c r="B363" s="2" t="s">
        <v>2615</v>
      </c>
      <c r="C363" s="2" t="s">
        <v>2521</v>
      </c>
      <c r="D363" s="2" t="s">
        <v>2528</v>
      </c>
      <c r="E363" s="2" t="s">
        <v>2517</v>
      </c>
      <c r="F363" s="3">
        <v>132090</v>
      </c>
      <c r="G363" s="3">
        <v>3254</v>
      </c>
      <c r="H363" s="3">
        <v>435</v>
      </c>
      <c r="I363" s="4">
        <v>5965.4</v>
      </c>
      <c r="J363" s="4">
        <v>90068.32</v>
      </c>
      <c r="K363" s="3">
        <v>236</v>
      </c>
      <c r="L363" s="2" t="s">
        <v>2518</v>
      </c>
      <c r="M363" s="2" t="s">
        <v>2519</v>
      </c>
      <c r="N363" s="6">
        <f t="shared" si="20"/>
        <v>1</v>
      </c>
      <c r="O363" t="str">
        <f>IF(Tabla_control[[#This Row],[Control_duplicados]]&gt;1,"Duplicado","Unico")</f>
        <v>Unico</v>
      </c>
      <c r="P363" t="str">
        <f t="shared" si="21"/>
        <v>OK</v>
      </c>
      <c r="Q363" t="str">
        <f t="shared" si="22"/>
        <v>OK</v>
      </c>
      <c r="R363" t="str">
        <f t="shared" si="23"/>
        <v>OK</v>
      </c>
    </row>
    <row r="364" spans="1:18" x14ac:dyDescent="0.3">
      <c r="A364" s="1">
        <v>45845</v>
      </c>
      <c r="B364" s="2" t="s">
        <v>2644</v>
      </c>
      <c r="C364" s="2" t="s">
        <v>2521</v>
      </c>
      <c r="D364" s="2" t="s">
        <v>2528</v>
      </c>
      <c r="E364" s="2" t="s">
        <v>2517</v>
      </c>
      <c r="F364" s="3">
        <v>61258</v>
      </c>
      <c r="G364" s="3">
        <v>1728</v>
      </c>
      <c r="H364" s="3">
        <v>60</v>
      </c>
      <c r="I364" s="4">
        <v>2894.07</v>
      </c>
      <c r="J364" s="4">
        <v>12563.29</v>
      </c>
      <c r="K364" s="3">
        <v>36</v>
      </c>
      <c r="L364" s="2" t="s">
        <v>2518</v>
      </c>
      <c r="M364" s="2" t="s">
        <v>2524</v>
      </c>
      <c r="N364" s="6">
        <f t="shared" si="20"/>
        <v>1</v>
      </c>
      <c r="O364" t="str">
        <f>IF(Tabla_control[[#This Row],[Control_duplicados]]&gt;1,"Duplicado","Unico")</f>
        <v>Unico</v>
      </c>
      <c r="P364" t="str">
        <f t="shared" si="21"/>
        <v>OK</v>
      </c>
      <c r="Q364" t="str">
        <f t="shared" si="22"/>
        <v>OK</v>
      </c>
      <c r="R364" t="str">
        <f t="shared" si="23"/>
        <v>OK</v>
      </c>
    </row>
    <row r="365" spans="1:18" x14ac:dyDescent="0.3">
      <c r="A365" s="1">
        <v>45686</v>
      </c>
      <c r="B365" s="2" t="s">
        <v>2620</v>
      </c>
      <c r="C365" s="2" t="s">
        <v>2533</v>
      </c>
      <c r="D365" s="2" t="s">
        <v>2516</v>
      </c>
      <c r="E365" s="2" t="s">
        <v>2517</v>
      </c>
      <c r="F365" s="3">
        <v>153601</v>
      </c>
      <c r="G365" s="3">
        <v>10179</v>
      </c>
      <c r="H365" s="3">
        <v>897</v>
      </c>
      <c r="I365" s="4">
        <v>1536.86</v>
      </c>
      <c r="J365" s="4">
        <v>51519.43</v>
      </c>
      <c r="K365" s="3">
        <v>417</v>
      </c>
      <c r="L365" s="2" t="s">
        <v>2536</v>
      </c>
      <c r="M365" s="2" t="s">
        <v>2526</v>
      </c>
      <c r="N365" s="6">
        <f t="shared" si="20"/>
        <v>1</v>
      </c>
      <c r="O365" t="str">
        <f>IF(Tabla_control[[#This Row],[Control_duplicados]]&gt;1,"Duplicado","Unico")</f>
        <v>Unico</v>
      </c>
      <c r="P365" t="str">
        <f t="shared" si="21"/>
        <v>OK</v>
      </c>
      <c r="Q365" t="str">
        <f t="shared" si="22"/>
        <v>OK</v>
      </c>
      <c r="R365" t="str">
        <f t="shared" si="23"/>
        <v>OK</v>
      </c>
    </row>
    <row r="366" spans="1:18" x14ac:dyDescent="0.3">
      <c r="A366" s="1">
        <v>45871</v>
      </c>
      <c r="B366" s="2" t="s">
        <v>2634</v>
      </c>
      <c r="C366" s="2" t="s">
        <v>2521</v>
      </c>
      <c r="D366" s="2" t="s">
        <v>2528</v>
      </c>
      <c r="E366" s="2" t="s">
        <v>2517</v>
      </c>
      <c r="F366" s="3">
        <v>8347</v>
      </c>
      <c r="G366" s="3">
        <v>81</v>
      </c>
      <c r="H366" s="3">
        <v>8</v>
      </c>
      <c r="I366" s="4">
        <v>58.25</v>
      </c>
      <c r="J366" s="4">
        <v>622.6</v>
      </c>
      <c r="K366" s="3">
        <v>4</v>
      </c>
      <c r="L366" s="2" t="s">
        <v>2536</v>
      </c>
      <c r="M366" s="2" t="s">
        <v>2519</v>
      </c>
      <c r="N366" s="6">
        <f t="shared" si="20"/>
        <v>1</v>
      </c>
      <c r="O366" t="str">
        <f>IF(Tabla_control[[#This Row],[Control_duplicados]]&gt;1,"Duplicado","Unico")</f>
        <v>Unico</v>
      </c>
      <c r="P366" t="str">
        <f t="shared" si="21"/>
        <v>OK</v>
      </c>
      <c r="Q366" t="str">
        <f t="shared" si="22"/>
        <v>OK</v>
      </c>
      <c r="R366" t="str">
        <f t="shared" si="23"/>
        <v>OK</v>
      </c>
    </row>
    <row r="367" spans="1:18" x14ac:dyDescent="0.3">
      <c r="A367" s="1">
        <v>45811</v>
      </c>
      <c r="B367" s="2" t="s">
        <v>2628</v>
      </c>
      <c r="C367" s="2" t="s">
        <v>2515</v>
      </c>
      <c r="D367" s="2" t="s">
        <v>2528</v>
      </c>
      <c r="E367" s="2" t="s">
        <v>2529</v>
      </c>
      <c r="F367" s="3">
        <v>12186</v>
      </c>
      <c r="G367" s="3">
        <v>513</v>
      </c>
      <c r="H367" s="3">
        <v>33</v>
      </c>
      <c r="I367" s="4">
        <v>840.7</v>
      </c>
      <c r="J367" s="4">
        <v>3090.58</v>
      </c>
      <c r="K367" s="3">
        <v>22</v>
      </c>
      <c r="L367" s="2" t="s">
        <v>2518</v>
      </c>
      <c r="M367" s="2" t="s">
        <v>2526</v>
      </c>
      <c r="N367" s="6">
        <f t="shared" si="20"/>
        <v>1</v>
      </c>
      <c r="O367" t="str">
        <f>IF(Tabla_control[[#This Row],[Control_duplicados]]&gt;1,"Duplicado","Unico")</f>
        <v>Unico</v>
      </c>
      <c r="P367" t="str">
        <f t="shared" si="21"/>
        <v>OK</v>
      </c>
      <c r="Q367" t="str">
        <f t="shared" si="22"/>
        <v>OK</v>
      </c>
      <c r="R367" t="str">
        <f t="shared" si="23"/>
        <v>OK</v>
      </c>
    </row>
    <row r="368" spans="1:18" x14ac:dyDescent="0.3">
      <c r="A368" s="1">
        <v>45954</v>
      </c>
      <c r="B368" s="2" t="s">
        <v>2618</v>
      </c>
      <c r="C368" s="2" t="s">
        <v>2515</v>
      </c>
      <c r="D368" s="2" t="s">
        <v>2525</v>
      </c>
      <c r="E368" s="2" t="s">
        <v>2517</v>
      </c>
      <c r="F368" s="3">
        <v>84768</v>
      </c>
      <c r="G368" s="3">
        <v>6549</v>
      </c>
      <c r="H368" s="3">
        <v>594</v>
      </c>
      <c r="I368" s="4">
        <v>2238.92</v>
      </c>
      <c r="J368" s="4">
        <v>107121.07</v>
      </c>
      <c r="K368" s="3">
        <v>309</v>
      </c>
      <c r="L368" s="2" t="s">
        <v>2518</v>
      </c>
      <c r="M368" s="2" t="s">
        <v>2519</v>
      </c>
      <c r="N368" s="6">
        <f t="shared" si="20"/>
        <v>1</v>
      </c>
      <c r="O368" t="str">
        <f>IF(Tabla_control[[#This Row],[Control_duplicados]]&gt;1,"Duplicado","Unico")</f>
        <v>Unico</v>
      </c>
      <c r="P368" t="str">
        <f t="shared" si="21"/>
        <v>OK</v>
      </c>
      <c r="Q368" t="str">
        <f t="shared" si="22"/>
        <v>OK</v>
      </c>
      <c r="R368" t="str">
        <f t="shared" si="23"/>
        <v>OK</v>
      </c>
    </row>
    <row r="369" spans="1:18" x14ac:dyDescent="0.3">
      <c r="A369" s="1">
        <v>45778</v>
      </c>
      <c r="B369" s="2" t="s">
        <v>2644</v>
      </c>
      <c r="C369" s="2" t="s">
        <v>2533</v>
      </c>
      <c r="D369" s="2" t="s">
        <v>2516</v>
      </c>
      <c r="E369" s="2" t="s">
        <v>2517</v>
      </c>
      <c r="F369" s="3">
        <v>30869</v>
      </c>
      <c r="G369" s="3">
        <v>1238</v>
      </c>
      <c r="H369" s="3">
        <v>83</v>
      </c>
      <c r="I369" s="4">
        <v>2347.1</v>
      </c>
      <c r="J369" s="4">
        <v>9543.58</v>
      </c>
      <c r="K369" s="3">
        <v>54</v>
      </c>
      <c r="L369" s="2" t="s">
        <v>2536</v>
      </c>
      <c r="M369" s="2" t="s">
        <v>2526</v>
      </c>
      <c r="N369" s="6">
        <f t="shared" si="20"/>
        <v>1</v>
      </c>
      <c r="O369" t="str">
        <f>IF(Tabla_control[[#This Row],[Control_duplicados]]&gt;1,"Duplicado","Unico")</f>
        <v>Unico</v>
      </c>
      <c r="P369" t="str">
        <f t="shared" si="21"/>
        <v>OK</v>
      </c>
      <c r="Q369" t="str">
        <f t="shared" si="22"/>
        <v>OK</v>
      </c>
      <c r="R369" t="str">
        <f t="shared" si="23"/>
        <v>OK</v>
      </c>
    </row>
    <row r="370" spans="1:18" x14ac:dyDescent="0.3">
      <c r="A370" s="1">
        <v>45687</v>
      </c>
      <c r="B370" s="2" t="s">
        <v>2644</v>
      </c>
      <c r="C370" s="2" t="s">
        <v>2521</v>
      </c>
      <c r="D370" s="2" t="s">
        <v>2531</v>
      </c>
      <c r="E370" s="2" t="s">
        <v>2517</v>
      </c>
      <c r="F370" s="3">
        <v>120105</v>
      </c>
      <c r="G370" s="3">
        <v>4478</v>
      </c>
      <c r="H370" s="3">
        <v>581</v>
      </c>
      <c r="I370" s="4">
        <v>-826.98</v>
      </c>
      <c r="J370" s="4">
        <v>10261.35</v>
      </c>
      <c r="K370" s="3">
        <v>486</v>
      </c>
      <c r="L370" s="2" t="s">
        <v>2536</v>
      </c>
      <c r="M370" s="2" t="s">
        <v>2519</v>
      </c>
      <c r="N370" s="6">
        <f t="shared" si="20"/>
        <v>1</v>
      </c>
      <c r="O370" t="str">
        <f>IF(Tabla_control[[#This Row],[Control_duplicados]]&gt;1,"Duplicado","Unico")</f>
        <v>Unico</v>
      </c>
      <c r="P370" t="str">
        <f t="shared" si="21"/>
        <v>ERROR</v>
      </c>
      <c r="Q370" t="str">
        <f t="shared" si="22"/>
        <v>OK</v>
      </c>
      <c r="R370" t="str">
        <f t="shared" si="23"/>
        <v>OK</v>
      </c>
    </row>
    <row r="371" spans="1:18" x14ac:dyDescent="0.3">
      <c r="A371" s="1">
        <v>45744</v>
      </c>
      <c r="B371" s="2" t="s">
        <v>2628</v>
      </c>
      <c r="C371" s="2" t="s">
        <v>2541</v>
      </c>
      <c r="D371" s="2" t="s">
        <v>2516</v>
      </c>
      <c r="E371" s="2" t="s">
        <v>2529</v>
      </c>
      <c r="F371" s="3">
        <v>1213</v>
      </c>
      <c r="G371" s="3">
        <v>52</v>
      </c>
      <c r="H371" s="3">
        <v>6</v>
      </c>
      <c r="I371" s="4">
        <v>-78.3</v>
      </c>
      <c r="J371" s="4">
        <v>859.65</v>
      </c>
      <c r="K371" s="3">
        <v>4</v>
      </c>
      <c r="L371" s="2" t="s">
        <v>2539</v>
      </c>
      <c r="M371" s="2" t="s">
        <v>2519</v>
      </c>
      <c r="N371" s="6">
        <f t="shared" si="20"/>
        <v>1</v>
      </c>
      <c r="O371" t="str">
        <f>IF(Tabla_control[[#This Row],[Control_duplicados]]&gt;1,"Duplicado","Unico")</f>
        <v>Unico</v>
      </c>
      <c r="P371" t="str">
        <f t="shared" si="21"/>
        <v>ERROR</v>
      </c>
      <c r="Q371" t="str">
        <f t="shared" si="22"/>
        <v>OK</v>
      </c>
      <c r="R371" t="str">
        <f t="shared" si="23"/>
        <v>OK</v>
      </c>
    </row>
    <row r="372" spans="1:18" x14ac:dyDescent="0.3">
      <c r="A372" s="1">
        <v>45661</v>
      </c>
      <c r="B372" s="2" t="s">
        <v>2635</v>
      </c>
      <c r="C372" s="2" t="s">
        <v>2543</v>
      </c>
      <c r="D372" s="2" t="s">
        <v>2528</v>
      </c>
      <c r="E372" s="2" t="s">
        <v>2529</v>
      </c>
      <c r="F372" s="3">
        <v>149800</v>
      </c>
      <c r="G372" s="3">
        <v>8365</v>
      </c>
      <c r="H372" s="3">
        <v>478</v>
      </c>
      <c r="I372" s="4">
        <v>1967.18</v>
      </c>
      <c r="J372" s="4">
        <v>56297.97</v>
      </c>
      <c r="K372" s="3">
        <v>350</v>
      </c>
      <c r="L372" s="2" t="s">
        <v>2539</v>
      </c>
      <c r="M372" s="2" t="s">
        <v>2546</v>
      </c>
      <c r="N372" s="6">
        <f t="shared" si="20"/>
        <v>1</v>
      </c>
      <c r="O372" t="str">
        <f>IF(Tabla_control[[#This Row],[Control_duplicados]]&gt;1,"Duplicado","Unico")</f>
        <v>Unico</v>
      </c>
      <c r="P372" t="str">
        <f t="shared" si="21"/>
        <v>OK</v>
      </c>
      <c r="Q372" t="str">
        <f t="shared" si="22"/>
        <v>OK</v>
      </c>
      <c r="R372" t="str">
        <f t="shared" si="23"/>
        <v>OK</v>
      </c>
    </row>
    <row r="373" spans="1:18" x14ac:dyDescent="0.3">
      <c r="A373" s="1">
        <v>45989</v>
      </c>
      <c r="B373" s="2" t="s">
        <v>2624</v>
      </c>
      <c r="C373" s="2" t="s">
        <v>2515</v>
      </c>
      <c r="D373" s="2" t="s">
        <v>2525</v>
      </c>
      <c r="E373" s="2" t="s">
        <v>2534</v>
      </c>
      <c r="F373" s="3">
        <v>131697</v>
      </c>
      <c r="G373" s="3">
        <v>2248</v>
      </c>
      <c r="H373" s="3">
        <v>187</v>
      </c>
      <c r="I373" s="4">
        <v>4050.36</v>
      </c>
      <c r="J373" s="4">
        <v>33252.28</v>
      </c>
      <c r="K373" s="3">
        <v>91</v>
      </c>
      <c r="L373" s="2" t="s">
        <v>2539</v>
      </c>
      <c r="M373" s="2" t="s">
        <v>2546</v>
      </c>
      <c r="N373" s="6">
        <f t="shared" si="20"/>
        <v>1</v>
      </c>
      <c r="O373" t="str">
        <f>IF(Tabla_control[[#This Row],[Control_duplicados]]&gt;1,"Duplicado","Unico")</f>
        <v>Unico</v>
      </c>
      <c r="P373" t="str">
        <f t="shared" si="21"/>
        <v>OK</v>
      </c>
      <c r="Q373" t="str">
        <f t="shared" si="22"/>
        <v>OK</v>
      </c>
      <c r="R373" t="str">
        <f t="shared" si="23"/>
        <v>OK</v>
      </c>
    </row>
    <row r="374" spans="1:18" x14ac:dyDescent="0.3">
      <c r="A374" s="1">
        <v>45729</v>
      </c>
      <c r="B374" s="2" t="s">
        <v>2630</v>
      </c>
      <c r="C374" s="2" t="s">
        <v>2515</v>
      </c>
      <c r="D374" s="2" t="s">
        <v>2528</v>
      </c>
      <c r="E374" s="2" t="s">
        <v>2529</v>
      </c>
      <c r="F374" s="3">
        <v>72072</v>
      </c>
      <c r="G374" s="3">
        <v>2918</v>
      </c>
      <c r="H374" s="3">
        <v>151</v>
      </c>
      <c r="I374" s="4">
        <v>2165.69</v>
      </c>
      <c r="J374" s="4">
        <v>11043.66</v>
      </c>
      <c r="K374" s="3">
        <v>118</v>
      </c>
      <c r="L374" s="2" t="s">
        <v>2518</v>
      </c>
      <c r="M374" s="2" t="s">
        <v>2524</v>
      </c>
      <c r="N374" s="6">
        <f t="shared" si="20"/>
        <v>1</v>
      </c>
      <c r="O374" t="str">
        <f>IF(Tabla_control[[#This Row],[Control_duplicados]]&gt;1,"Duplicado","Unico")</f>
        <v>Unico</v>
      </c>
      <c r="P374" t="str">
        <f t="shared" si="21"/>
        <v>OK</v>
      </c>
      <c r="Q374" t="str">
        <f t="shared" si="22"/>
        <v>OK</v>
      </c>
      <c r="R374" t="str">
        <f t="shared" si="23"/>
        <v>OK</v>
      </c>
    </row>
    <row r="375" spans="1:18" x14ac:dyDescent="0.3">
      <c r="A375" s="1">
        <v>45888</v>
      </c>
      <c r="B375" s="2" t="s">
        <v>2642</v>
      </c>
      <c r="C375" s="2" t="s">
        <v>2543</v>
      </c>
      <c r="D375" s="2" t="s">
        <v>2531</v>
      </c>
      <c r="E375" s="2" t="s">
        <v>2529</v>
      </c>
      <c r="F375" s="3">
        <v>22966</v>
      </c>
      <c r="G375" s="3">
        <v>131</v>
      </c>
      <c r="H375" s="3">
        <v>0</v>
      </c>
      <c r="I375" s="4">
        <v>59.28</v>
      </c>
      <c r="J375" s="4">
        <v>0</v>
      </c>
      <c r="K375" s="3">
        <v>0</v>
      </c>
      <c r="L375" s="2" t="s">
        <v>2518</v>
      </c>
      <c r="M375" s="2" t="s">
        <v>2546</v>
      </c>
      <c r="N375" s="6">
        <f t="shared" si="20"/>
        <v>1</v>
      </c>
      <c r="O375" t="str">
        <f>IF(Tabla_control[[#This Row],[Control_duplicados]]&gt;1,"Duplicado","Unico")</f>
        <v>Unico</v>
      </c>
      <c r="P375" t="str">
        <f t="shared" si="21"/>
        <v>OK</v>
      </c>
      <c r="Q375" t="str">
        <f t="shared" si="22"/>
        <v>OK</v>
      </c>
      <c r="R375" t="str">
        <f t="shared" si="23"/>
        <v>OK</v>
      </c>
    </row>
    <row r="376" spans="1:18" x14ac:dyDescent="0.3">
      <c r="A376" s="1">
        <v>45793</v>
      </c>
      <c r="B376" s="2" t="s">
        <v>2642</v>
      </c>
      <c r="C376" s="2" t="s">
        <v>2543</v>
      </c>
      <c r="D376" s="2" t="s">
        <v>2531</v>
      </c>
      <c r="E376" s="2" t="s">
        <v>2529</v>
      </c>
      <c r="F376" s="3">
        <v>57022</v>
      </c>
      <c r="G376" s="3">
        <v>3344</v>
      </c>
      <c r="H376" s="3">
        <v>460</v>
      </c>
      <c r="I376" s="4">
        <v>3789.67</v>
      </c>
      <c r="J376" s="4">
        <v>89547.31</v>
      </c>
      <c r="K376" s="3">
        <v>406</v>
      </c>
      <c r="L376" s="2" t="s">
        <v>2536</v>
      </c>
      <c r="M376" s="2" t="s">
        <v>2519</v>
      </c>
      <c r="N376" s="6">
        <f t="shared" si="20"/>
        <v>1</v>
      </c>
      <c r="O376" t="str">
        <f>IF(Tabla_control[[#This Row],[Control_duplicados]]&gt;1,"Duplicado","Unico")</f>
        <v>Unico</v>
      </c>
      <c r="P376" t="str">
        <f t="shared" si="21"/>
        <v>OK</v>
      </c>
      <c r="Q376" t="str">
        <f t="shared" si="22"/>
        <v>OK</v>
      </c>
      <c r="R376" t="str">
        <f t="shared" si="23"/>
        <v>OK</v>
      </c>
    </row>
    <row r="377" spans="1:18" x14ac:dyDescent="0.3">
      <c r="A377" s="1">
        <v>45890</v>
      </c>
      <c r="B377" s="2" t="s">
        <v>2631</v>
      </c>
      <c r="C377" s="2" t="s">
        <v>2521</v>
      </c>
      <c r="D377" s="2" t="s">
        <v>2528</v>
      </c>
      <c r="E377" s="2" t="s">
        <v>2517</v>
      </c>
      <c r="F377" s="3">
        <v>8420</v>
      </c>
      <c r="G377" s="3">
        <v>610</v>
      </c>
      <c r="H377" s="3">
        <v>21</v>
      </c>
      <c r="I377" s="4">
        <v>721.04</v>
      </c>
      <c r="J377" s="4">
        <v>2318.92</v>
      </c>
      <c r="K377" s="3">
        <v>12</v>
      </c>
      <c r="L377" s="2" t="s">
        <v>2523</v>
      </c>
      <c r="M377" s="2" t="s">
        <v>2537</v>
      </c>
      <c r="N377" s="6">
        <f t="shared" si="20"/>
        <v>1</v>
      </c>
      <c r="O377" t="str">
        <f>IF(Tabla_control[[#This Row],[Control_duplicados]]&gt;1,"Duplicado","Unico")</f>
        <v>Unico</v>
      </c>
      <c r="P377" t="str">
        <f t="shared" si="21"/>
        <v>OK</v>
      </c>
      <c r="Q377" t="str">
        <f t="shared" si="22"/>
        <v>OK</v>
      </c>
      <c r="R377" t="str">
        <f t="shared" si="23"/>
        <v>OK</v>
      </c>
    </row>
    <row r="378" spans="1:18" x14ac:dyDescent="0.3">
      <c r="A378" s="1">
        <v>45963</v>
      </c>
      <c r="B378" s="2" t="s">
        <v>2630</v>
      </c>
      <c r="C378" s="2" t="s">
        <v>2515</v>
      </c>
      <c r="D378" s="2" t="s">
        <v>2528</v>
      </c>
      <c r="E378" s="2" t="s">
        <v>2517</v>
      </c>
      <c r="F378" s="3">
        <v>11039</v>
      </c>
      <c r="G378" s="3">
        <v>625</v>
      </c>
      <c r="H378" s="3">
        <v>22</v>
      </c>
      <c r="I378" s="4">
        <v>209.95</v>
      </c>
      <c r="J378" s="4">
        <v>789.84</v>
      </c>
      <c r="K378" s="3">
        <v>15</v>
      </c>
      <c r="L378" s="2" t="s">
        <v>2523</v>
      </c>
      <c r="M378" s="2" t="s">
        <v>2524</v>
      </c>
      <c r="N378" s="6">
        <f t="shared" si="20"/>
        <v>1</v>
      </c>
      <c r="O378" t="str">
        <f>IF(Tabla_control[[#This Row],[Control_duplicados]]&gt;1,"Duplicado","Unico")</f>
        <v>Unico</v>
      </c>
      <c r="P378" t="str">
        <f t="shared" si="21"/>
        <v>OK</v>
      </c>
      <c r="Q378" t="str">
        <f t="shared" si="22"/>
        <v>OK</v>
      </c>
      <c r="R378" t="str">
        <f t="shared" si="23"/>
        <v>OK</v>
      </c>
    </row>
    <row r="379" spans="1:18" x14ac:dyDescent="0.3">
      <c r="A379" s="1">
        <v>45710</v>
      </c>
      <c r="B379" s="2" t="s">
        <v>2642</v>
      </c>
      <c r="C379" s="2" t="s">
        <v>2541</v>
      </c>
      <c r="D379" s="2" t="s">
        <v>2531</v>
      </c>
      <c r="E379" s="2" t="s">
        <v>2517</v>
      </c>
      <c r="F379" s="3">
        <v>146543</v>
      </c>
      <c r="G379" s="3">
        <v>3673</v>
      </c>
      <c r="H379" s="3">
        <v>478</v>
      </c>
      <c r="I379" s="4">
        <v>2467.1</v>
      </c>
      <c r="J379" s="4">
        <v>22806.01</v>
      </c>
      <c r="K379" s="3">
        <v>234</v>
      </c>
      <c r="L379" s="2" t="s">
        <v>2523</v>
      </c>
      <c r="M379" s="2" t="s">
        <v>2524</v>
      </c>
      <c r="N379" s="6">
        <f t="shared" si="20"/>
        <v>1</v>
      </c>
      <c r="O379" t="str">
        <f>IF(Tabla_control[[#This Row],[Control_duplicados]]&gt;1,"Duplicado","Unico")</f>
        <v>Unico</v>
      </c>
      <c r="P379" t="str">
        <f t="shared" si="21"/>
        <v>OK</v>
      </c>
      <c r="Q379" t="str">
        <f t="shared" si="22"/>
        <v>OK</v>
      </c>
      <c r="R379" t="str">
        <f t="shared" si="23"/>
        <v>OK</v>
      </c>
    </row>
    <row r="380" spans="1:18" x14ac:dyDescent="0.3">
      <c r="A380" s="1">
        <v>45704</v>
      </c>
      <c r="B380" s="2" t="s">
        <v>2641</v>
      </c>
      <c r="C380" s="2" t="s">
        <v>2543</v>
      </c>
      <c r="D380" s="2" t="s">
        <v>2516</v>
      </c>
      <c r="E380" s="2" t="s">
        <v>2517</v>
      </c>
      <c r="F380" s="3">
        <v>104929</v>
      </c>
      <c r="G380" s="3">
        <v>6977</v>
      </c>
      <c r="H380" s="3">
        <v>148</v>
      </c>
      <c r="I380" s="4">
        <v>12338.18</v>
      </c>
      <c r="J380" s="4">
        <v>16053.49</v>
      </c>
      <c r="K380" s="3">
        <v>129</v>
      </c>
      <c r="L380" s="2" t="s">
        <v>2523</v>
      </c>
      <c r="M380" s="2" t="s">
        <v>2526</v>
      </c>
      <c r="N380" s="6">
        <f t="shared" si="20"/>
        <v>1</v>
      </c>
      <c r="O380" t="str">
        <f>IF(Tabla_control[[#This Row],[Control_duplicados]]&gt;1,"Duplicado","Unico")</f>
        <v>Unico</v>
      </c>
      <c r="P380" t="str">
        <f t="shared" si="21"/>
        <v>OK</v>
      </c>
      <c r="Q380" t="str">
        <f t="shared" si="22"/>
        <v>OK</v>
      </c>
      <c r="R380" t="str">
        <f t="shared" si="23"/>
        <v>OK</v>
      </c>
    </row>
    <row r="381" spans="1:18" x14ac:dyDescent="0.3">
      <c r="A381" s="1">
        <v>45746</v>
      </c>
      <c r="B381" s="2" t="s">
        <v>2633</v>
      </c>
      <c r="C381" s="2" t="s">
        <v>2515</v>
      </c>
      <c r="D381" s="2" t="s">
        <v>2528</v>
      </c>
      <c r="E381" s="2" t="s">
        <v>2517</v>
      </c>
      <c r="F381" s="3">
        <v>35967</v>
      </c>
      <c r="G381" s="3">
        <v>1101</v>
      </c>
      <c r="H381" s="3">
        <v>149</v>
      </c>
      <c r="I381" s="4">
        <v>1316.87</v>
      </c>
      <c r="J381" s="4">
        <v>31454.55</v>
      </c>
      <c r="K381" s="3">
        <v>84</v>
      </c>
      <c r="L381" s="2" t="s">
        <v>2523</v>
      </c>
      <c r="M381" s="2" t="s">
        <v>2537</v>
      </c>
      <c r="N381" s="6">
        <f t="shared" si="20"/>
        <v>1</v>
      </c>
      <c r="O381" t="str">
        <f>IF(Tabla_control[[#This Row],[Control_duplicados]]&gt;1,"Duplicado","Unico")</f>
        <v>Unico</v>
      </c>
      <c r="P381" t="str">
        <f t="shared" si="21"/>
        <v>OK</v>
      </c>
      <c r="Q381" t="str">
        <f t="shared" si="22"/>
        <v>OK</v>
      </c>
      <c r="R381" t="str">
        <f t="shared" si="23"/>
        <v>OK</v>
      </c>
    </row>
    <row r="382" spans="1:18" x14ac:dyDescent="0.3">
      <c r="A382" s="1">
        <v>45905</v>
      </c>
      <c r="B382" s="2" t="s">
        <v>2629</v>
      </c>
      <c r="C382" s="2" t="s">
        <v>2515</v>
      </c>
      <c r="D382" s="2" t="s">
        <v>2531</v>
      </c>
      <c r="E382" s="2" t="s">
        <v>2517</v>
      </c>
      <c r="F382" s="3">
        <v>5114</v>
      </c>
      <c r="G382" s="3">
        <v>185</v>
      </c>
      <c r="H382" s="3">
        <v>11</v>
      </c>
      <c r="I382" s="4">
        <v>277.92</v>
      </c>
      <c r="J382" s="4">
        <v>1227.3499999999999</v>
      </c>
      <c r="K382" s="3">
        <v>6</v>
      </c>
      <c r="L382" s="2" t="s">
        <v>2539</v>
      </c>
      <c r="M382" s="2" t="s">
        <v>2546</v>
      </c>
      <c r="N382" s="6">
        <f t="shared" si="20"/>
        <v>1</v>
      </c>
      <c r="O382" t="str">
        <f>IF(Tabla_control[[#This Row],[Control_duplicados]]&gt;1,"Duplicado","Unico")</f>
        <v>Unico</v>
      </c>
      <c r="P382" t="str">
        <f t="shared" si="21"/>
        <v>OK</v>
      </c>
      <c r="Q382" t="str">
        <f t="shared" si="22"/>
        <v>OK</v>
      </c>
      <c r="R382" t="str">
        <f t="shared" si="23"/>
        <v>OK</v>
      </c>
    </row>
    <row r="383" spans="1:18" x14ac:dyDescent="0.3">
      <c r="A383" s="1">
        <v>45660</v>
      </c>
      <c r="B383" s="2" t="s">
        <v>2625</v>
      </c>
      <c r="C383" s="2" t="s">
        <v>2527</v>
      </c>
      <c r="D383" s="2" t="s">
        <v>2528</v>
      </c>
      <c r="E383" s="2" t="s">
        <v>2529</v>
      </c>
      <c r="F383" s="3">
        <v>139020</v>
      </c>
      <c r="G383" s="3">
        <v>8141</v>
      </c>
      <c r="H383" s="3">
        <v>44</v>
      </c>
      <c r="I383" s="4">
        <v>1743.65</v>
      </c>
      <c r="J383" s="4">
        <v>1465.69</v>
      </c>
      <c r="K383" s="3">
        <v>28</v>
      </c>
      <c r="L383" s="2" t="s">
        <v>2536</v>
      </c>
      <c r="M383" s="2" t="s">
        <v>2519</v>
      </c>
      <c r="N383" s="6">
        <f t="shared" si="20"/>
        <v>1</v>
      </c>
      <c r="O383" t="str">
        <f>IF(Tabla_control[[#This Row],[Control_duplicados]]&gt;1,"Duplicado","Unico")</f>
        <v>Unico</v>
      </c>
      <c r="P383" t="str">
        <f t="shared" si="21"/>
        <v>OK</v>
      </c>
      <c r="Q383" t="str">
        <f t="shared" si="22"/>
        <v>OK</v>
      </c>
      <c r="R383" t="str">
        <f t="shared" si="23"/>
        <v>OK</v>
      </c>
    </row>
    <row r="384" spans="1:18" x14ac:dyDescent="0.3">
      <c r="A384" s="1">
        <v>45883</v>
      </c>
      <c r="B384" s="2" t="s">
        <v>2633</v>
      </c>
      <c r="C384" s="2" t="s">
        <v>2527</v>
      </c>
      <c r="D384" s="2" t="s">
        <v>2528</v>
      </c>
      <c r="E384" s="2" t="s">
        <v>2517</v>
      </c>
      <c r="F384" s="3">
        <v>58585</v>
      </c>
      <c r="G384" s="3">
        <v>3433</v>
      </c>
      <c r="H384" s="3">
        <v>361</v>
      </c>
      <c r="I384" s="4">
        <v>4673.1000000000004</v>
      </c>
      <c r="J384" s="4">
        <v>72865.22</v>
      </c>
      <c r="K384" s="3">
        <v>295</v>
      </c>
      <c r="L384" s="2" t="s">
        <v>2536</v>
      </c>
      <c r="M384" s="2" t="s">
        <v>2526</v>
      </c>
      <c r="N384" s="6">
        <f t="shared" si="20"/>
        <v>1</v>
      </c>
      <c r="O384" t="str">
        <f>IF(Tabla_control[[#This Row],[Control_duplicados]]&gt;1,"Duplicado","Unico")</f>
        <v>Unico</v>
      </c>
      <c r="P384" t="str">
        <f t="shared" si="21"/>
        <v>OK</v>
      </c>
      <c r="Q384" t="str">
        <f t="shared" si="22"/>
        <v>OK</v>
      </c>
      <c r="R384" t="str">
        <f t="shared" si="23"/>
        <v>OK</v>
      </c>
    </row>
    <row r="385" spans="1:18" x14ac:dyDescent="0.3">
      <c r="A385" s="1">
        <v>45662</v>
      </c>
      <c r="B385" s="2" t="s">
        <v>2644</v>
      </c>
      <c r="C385" s="2" t="s">
        <v>2527</v>
      </c>
      <c r="D385" s="2" t="s">
        <v>2528</v>
      </c>
      <c r="E385" s="2" t="s">
        <v>2529</v>
      </c>
      <c r="F385" s="3">
        <v>151173</v>
      </c>
      <c r="G385" s="3">
        <v>7367</v>
      </c>
      <c r="H385" s="3">
        <v>701</v>
      </c>
      <c r="I385" s="4">
        <v>1387.83</v>
      </c>
      <c r="J385" s="4">
        <v>123094.05</v>
      </c>
      <c r="K385" s="3">
        <v>318</v>
      </c>
      <c r="L385" s="2" t="s">
        <v>2518</v>
      </c>
      <c r="M385" s="2" t="s">
        <v>2546</v>
      </c>
      <c r="N385" s="6">
        <f t="shared" si="20"/>
        <v>1</v>
      </c>
      <c r="O385" t="str">
        <f>IF(Tabla_control[[#This Row],[Control_duplicados]]&gt;1,"Duplicado","Unico")</f>
        <v>Unico</v>
      </c>
      <c r="P385" t="str">
        <f t="shared" si="21"/>
        <v>OK</v>
      </c>
      <c r="Q385" t="str">
        <f t="shared" si="22"/>
        <v>OK</v>
      </c>
      <c r="R385" t="str">
        <f t="shared" si="23"/>
        <v>OK</v>
      </c>
    </row>
    <row r="386" spans="1:18" x14ac:dyDescent="0.3">
      <c r="A386" s="1">
        <v>45850</v>
      </c>
      <c r="B386" s="2" t="s">
        <v>2638</v>
      </c>
      <c r="C386" s="2" t="s">
        <v>2543</v>
      </c>
      <c r="D386" s="2" t="s">
        <v>2525</v>
      </c>
      <c r="E386" s="2" t="s">
        <v>2529</v>
      </c>
      <c r="F386" s="3">
        <v>134284</v>
      </c>
      <c r="G386" s="3">
        <v>3137</v>
      </c>
      <c r="H386" s="3">
        <v>200</v>
      </c>
      <c r="I386" s="4">
        <v>4718.29</v>
      </c>
      <c r="J386" s="4">
        <v>10184.23</v>
      </c>
      <c r="K386" s="3">
        <v>143</v>
      </c>
      <c r="L386" s="2" t="s">
        <v>2523</v>
      </c>
      <c r="M386" s="2" t="s">
        <v>2537</v>
      </c>
      <c r="N386" s="6">
        <f t="shared" ref="N386:N449" si="24">COUNTIFS($A$2:$A$2536,A386,$B$2:$B$2536,B386,$C$2:$C$2536,C386,$D$2:$D$2536,D386,$E$2:$E$2536,E386,$F$2:$F$2536,F386,$G$2:$G$2536,G386,$H$2:$H$2536,H386,$I$2:$I$2536,I386,$J$2:$J$2536,J386,$K$2:$K$2536,K386,$L$2:$L$2536,L386,$M$2:$M$2536,M386)</f>
        <v>1</v>
      </c>
      <c r="O386" t="str">
        <f>IF(Tabla_control[[#This Row],[Control_duplicados]]&gt;1,"Duplicado","Unico")</f>
        <v>Unico</v>
      </c>
      <c r="P386" t="str">
        <f t="shared" ref="P386:P449" si="25">IF(OR(I386="",I386&lt;0),"ERROR","OK")</f>
        <v>OK</v>
      </c>
      <c r="Q386" t="str">
        <f t="shared" ref="Q386:Q449" si="26">IF(H386&gt;F386,"ERROR","OK")</f>
        <v>OK</v>
      </c>
      <c r="R386" t="str">
        <f t="shared" ref="R386:R449" si="27">IF(K386&gt;H386,"ERROR","OK")</f>
        <v>OK</v>
      </c>
    </row>
    <row r="387" spans="1:18" x14ac:dyDescent="0.3">
      <c r="A387" s="1">
        <v>45904</v>
      </c>
      <c r="B387" s="2" t="s">
        <v>2621</v>
      </c>
      <c r="C387" s="2" t="s">
        <v>2533</v>
      </c>
      <c r="D387" s="2" t="s">
        <v>2528</v>
      </c>
      <c r="E387" s="2" t="s">
        <v>2529</v>
      </c>
      <c r="F387" s="3">
        <v>41687</v>
      </c>
      <c r="G387" s="3">
        <v>2276</v>
      </c>
      <c r="H387" s="3">
        <v>144</v>
      </c>
      <c r="I387" s="4">
        <v>1511.61</v>
      </c>
      <c r="J387" s="4">
        <v>11437.22</v>
      </c>
      <c r="K387" s="3">
        <v>73</v>
      </c>
      <c r="L387" s="2" t="s">
        <v>2523</v>
      </c>
      <c r="M387" s="2" t="s">
        <v>2524</v>
      </c>
      <c r="N387" s="6">
        <f t="shared" si="24"/>
        <v>1</v>
      </c>
      <c r="O387" t="str">
        <f>IF(Tabla_control[[#This Row],[Control_duplicados]]&gt;1,"Duplicado","Unico")</f>
        <v>Unico</v>
      </c>
      <c r="P387" t="str">
        <f t="shared" si="25"/>
        <v>OK</v>
      </c>
      <c r="Q387" t="str">
        <f t="shared" si="26"/>
        <v>OK</v>
      </c>
      <c r="R387" t="str">
        <f t="shared" si="27"/>
        <v>OK</v>
      </c>
    </row>
    <row r="388" spans="1:18" x14ac:dyDescent="0.3">
      <c r="A388" s="1">
        <v>45688</v>
      </c>
      <c r="B388" s="2" t="s">
        <v>2622</v>
      </c>
      <c r="C388" s="2" t="s">
        <v>2543</v>
      </c>
      <c r="D388" s="2" t="s">
        <v>2516</v>
      </c>
      <c r="E388" s="2" t="s">
        <v>2517</v>
      </c>
      <c r="F388" s="3">
        <v>93615</v>
      </c>
      <c r="G388" s="3">
        <v>4787</v>
      </c>
      <c r="H388" s="3">
        <v>96</v>
      </c>
      <c r="I388" s="4">
        <v>7401.94</v>
      </c>
      <c r="J388" s="4">
        <v>11576.34</v>
      </c>
      <c r="K388" s="3">
        <v>57</v>
      </c>
      <c r="L388" s="2" t="s">
        <v>2536</v>
      </c>
      <c r="M388" s="2" t="s">
        <v>2524</v>
      </c>
      <c r="N388" s="6">
        <f t="shared" si="24"/>
        <v>1</v>
      </c>
      <c r="O388" t="str">
        <f>IF(Tabla_control[[#This Row],[Control_duplicados]]&gt;1,"Duplicado","Unico")</f>
        <v>Unico</v>
      </c>
      <c r="P388" t="str">
        <f t="shared" si="25"/>
        <v>OK</v>
      </c>
      <c r="Q388" t="str">
        <f t="shared" si="26"/>
        <v>OK</v>
      </c>
      <c r="R388" t="str">
        <f t="shared" si="27"/>
        <v>OK</v>
      </c>
    </row>
    <row r="389" spans="1:18" x14ac:dyDescent="0.3">
      <c r="A389" s="1">
        <v>46014</v>
      </c>
      <c r="B389" s="2" t="s">
        <v>2642</v>
      </c>
      <c r="C389" s="2" t="s">
        <v>2533</v>
      </c>
      <c r="D389" s="2" t="s">
        <v>2528</v>
      </c>
      <c r="E389" s="2" t="s">
        <v>2517</v>
      </c>
      <c r="F389" s="3">
        <v>111233</v>
      </c>
      <c r="G389" s="3">
        <v>6105</v>
      </c>
      <c r="H389" s="3">
        <v>724</v>
      </c>
      <c r="I389" s="4">
        <v>3326.59</v>
      </c>
      <c r="J389" s="4">
        <v>137632.60999999999</v>
      </c>
      <c r="K389" s="3">
        <v>528</v>
      </c>
      <c r="L389" s="2" t="s">
        <v>2536</v>
      </c>
      <c r="M389" s="2" t="s">
        <v>2524</v>
      </c>
      <c r="N389" s="6">
        <f t="shared" si="24"/>
        <v>1</v>
      </c>
      <c r="O389" t="str">
        <f>IF(Tabla_control[[#This Row],[Control_duplicados]]&gt;1,"Duplicado","Unico")</f>
        <v>Unico</v>
      </c>
      <c r="P389" t="str">
        <f t="shared" si="25"/>
        <v>OK</v>
      </c>
      <c r="Q389" t="str">
        <f t="shared" si="26"/>
        <v>OK</v>
      </c>
      <c r="R389" t="str">
        <f t="shared" si="27"/>
        <v>OK</v>
      </c>
    </row>
    <row r="390" spans="1:18" x14ac:dyDescent="0.3">
      <c r="A390" s="1">
        <v>45832</v>
      </c>
      <c r="B390" s="2" t="s">
        <v>2639</v>
      </c>
      <c r="C390" s="2" t="s">
        <v>2515</v>
      </c>
      <c r="D390" s="2" t="s">
        <v>2516</v>
      </c>
      <c r="E390" s="2" t="s">
        <v>2517</v>
      </c>
      <c r="F390" s="3">
        <v>93356</v>
      </c>
      <c r="G390" s="3">
        <v>2667</v>
      </c>
      <c r="H390" s="3">
        <v>150</v>
      </c>
      <c r="I390" s="4">
        <v>2410.14</v>
      </c>
      <c r="J390" s="4">
        <v>26349.85</v>
      </c>
      <c r="K390" s="3">
        <v>103</v>
      </c>
      <c r="L390" s="2" t="s">
        <v>2523</v>
      </c>
      <c r="M390" s="2" t="s">
        <v>2524</v>
      </c>
      <c r="N390" s="6">
        <f t="shared" si="24"/>
        <v>1</v>
      </c>
      <c r="O390" t="str">
        <f>IF(Tabla_control[[#This Row],[Control_duplicados]]&gt;1,"Duplicado","Unico")</f>
        <v>Unico</v>
      </c>
      <c r="P390" t="str">
        <f t="shared" si="25"/>
        <v>OK</v>
      </c>
      <c r="Q390" t="str">
        <f t="shared" si="26"/>
        <v>OK</v>
      </c>
      <c r="R390" t="str">
        <f t="shared" si="27"/>
        <v>OK</v>
      </c>
    </row>
    <row r="391" spans="1:18" x14ac:dyDescent="0.3">
      <c r="A391" s="1">
        <v>46013</v>
      </c>
      <c r="B391" s="2" t="s">
        <v>2642</v>
      </c>
      <c r="C391" s="2" t="s">
        <v>2543</v>
      </c>
      <c r="D391" s="2" t="s">
        <v>2528</v>
      </c>
      <c r="E391" s="2" t="s">
        <v>2517</v>
      </c>
      <c r="F391" s="3">
        <v>106825</v>
      </c>
      <c r="G391" s="3">
        <v>6665</v>
      </c>
      <c r="H391" s="3">
        <v>258</v>
      </c>
      <c r="I391" s="4">
        <v>6326.81</v>
      </c>
      <c r="J391" s="4">
        <v>31623.439999999999</v>
      </c>
      <c r="K391" s="3">
        <v>224</v>
      </c>
      <c r="L391" s="2" t="s">
        <v>2539</v>
      </c>
      <c r="M391" s="2" t="s">
        <v>2519</v>
      </c>
      <c r="N391" s="6">
        <f t="shared" si="24"/>
        <v>1</v>
      </c>
      <c r="O391" t="str">
        <f>IF(Tabla_control[[#This Row],[Control_duplicados]]&gt;1,"Duplicado","Unico")</f>
        <v>Unico</v>
      </c>
      <c r="P391" t="str">
        <f t="shared" si="25"/>
        <v>OK</v>
      </c>
      <c r="Q391" t="str">
        <f t="shared" si="26"/>
        <v>OK</v>
      </c>
      <c r="R391" t="str">
        <f t="shared" si="27"/>
        <v>OK</v>
      </c>
    </row>
    <row r="392" spans="1:18" x14ac:dyDescent="0.3">
      <c r="A392" s="1">
        <v>45841</v>
      </c>
      <c r="B392" s="2" t="s">
        <v>2619</v>
      </c>
      <c r="C392" s="2" t="s">
        <v>2527</v>
      </c>
      <c r="D392" s="2" t="s">
        <v>2525</v>
      </c>
      <c r="E392" s="2" t="s">
        <v>2517</v>
      </c>
      <c r="F392" s="3">
        <v>94836</v>
      </c>
      <c r="G392" s="3">
        <v>4946</v>
      </c>
      <c r="H392" s="3">
        <v>410</v>
      </c>
      <c r="I392" s="4">
        <v>7832.7</v>
      </c>
      <c r="J392" s="4">
        <v>33838.910000000003</v>
      </c>
      <c r="K392" s="3">
        <v>345</v>
      </c>
      <c r="L392" s="2" t="s">
        <v>2518</v>
      </c>
      <c r="M392" s="2" t="s">
        <v>2546</v>
      </c>
      <c r="N392" s="6">
        <f t="shared" si="24"/>
        <v>1</v>
      </c>
      <c r="O392" t="str">
        <f>IF(Tabla_control[[#This Row],[Control_duplicados]]&gt;1,"Duplicado","Unico")</f>
        <v>Unico</v>
      </c>
      <c r="P392" t="str">
        <f t="shared" si="25"/>
        <v>OK</v>
      </c>
      <c r="Q392" t="str">
        <f t="shared" si="26"/>
        <v>OK</v>
      </c>
      <c r="R392" t="str">
        <f t="shared" si="27"/>
        <v>OK</v>
      </c>
    </row>
    <row r="393" spans="1:18" x14ac:dyDescent="0.3">
      <c r="A393" s="1">
        <v>45735</v>
      </c>
      <c r="B393" s="2" t="s">
        <v>2619</v>
      </c>
      <c r="C393" s="2" t="s">
        <v>2515</v>
      </c>
      <c r="D393" s="2" t="s">
        <v>2528</v>
      </c>
      <c r="E393" s="2" t="s">
        <v>2529</v>
      </c>
      <c r="F393" s="3">
        <v>118831</v>
      </c>
      <c r="G393" s="3">
        <v>9553</v>
      </c>
      <c r="H393" s="3">
        <v>448</v>
      </c>
      <c r="I393" s="4">
        <v>16394.939999999999</v>
      </c>
      <c r="J393" s="4">
        <v>36719.760000000002</v>
      </c>
      <c r="K393" s="3">
        <v>328</v>
      </c>
      <c r="L393" s="2" t="s">
        <v>2523</v>
      </c>
      <c r="M393" s="2" t="s">
        <v>2546</v>
      </c>
      <c r="N393" s="6">
        <f t="shared" si="24"/>
        <v>1</v>
      </c>
      <c r="O393" t="str">
        <f>IF(Tabla_control[[#This Row],[Control_duplicados]]&gt;1,"Duplicado","Unico")</f>
        <v>Unico</v>
      </c>
      <c r="P393" t="str">
        <f t="shared" si="25"/>
        <v>OK</v>
      </c>
      <c r="Q393" t="str">
        <f t="shared" si="26"/>
        <v>OK</v>
      </c>
      <c r="R393" t="str">
        <f t="shared" si="27"/>
        <v>OK</v>
      </c>
    </row>
    <row r="394" spans="1:18" x14ac:dyDescent="0.3">
      <c r="A394" s="1">
        <v>45897</v>
      </c>
      <c r="B394" s="2" t="s">
        <v>2622</v>
      </c>
      <c r="C394" s="2" t="s">
        <v>2543</v>
      </c>
      <c r="D394" s="2" t="s">
        <v>2528</v>
      </c>
      <c r="E394" s="2" t="s">
        <v>2529</v>
      </c>
      <c r="F394" s="3">
        <v>104284</v>
      </c>
      <c r="G394" s="3">
        <v>4530</v>
      </c>
      <c r="H394" s="3">
        <v>573</v>
      </c>
      <c r="I394" s="4">
        <v>900.28</v>
      </c>
      <c r="J394" s="4">
        <v>78497.03</v>
      </c>
      <c r="K394" s="3">
        <v>413</v>
      </c>
      <c r="L394" s="2" t="s">
        <v>2536</v>
      </c>
      <c r="M394" s="2" t="s">
        <v>2537</v>
      </c>
      <c r="N394" s="6">
        <f t="shared" si="24"/>
        <v>1</v>
      </c>
      <c r="O394" t="str">
        <f>IF(Tabla_control[[#This Row],[Control_duplicados]]&gt;1,"Duplicado","Unico")</f>
        <v>Unico</v>
      </c>
      <c r="P394" t="str">
        <f t="shared" si="25"/>
        <v>OK</v>
      </c>
      <c r="Q394" t="str">
        <f t="shared" si="26"/>
        <v>OK</v>
      </c>
      <c r="R394" t="str">
        <f t="shared" si="27"/>
        <v>OK</v>
      </c>
    </row>
    <row r="395" spans="1:18" x14ac:dyDescent="0.3">
      <c r="A395" s="1">
        <v>45861</v>
      </c>
      <c r="B395" s="2" t="s">
        <v>2618</v>
      </c>
      <c r="C395" s="2" t="s">
        <v>2515</v>
      </c>
      <c r="D395" s="2" t="s">
        <v>2531</v>
      </c>
      <c r="E395" s="2" t="s">
        <v>2529</v>
      </c>
      <c r="F395" s="3">
        <v>82608</v>
      </c>
      <c r="G395" s="3">
        <v>1415</v>
      </c>
      <c r="H395" s="3">
        <v>76</v>
      </c>
      <c r="I395" s="4">
        <v>1335.65</v>
      </c>
      <c r="J395" s="4">
        <v>7896.56</v>
      </c>
      <c r="K395" s="3">
        <v>50</v>
      </c>
      <c r="L395" s="2" t="s">
        <v>2536</v>
      </c>
      <c r="M395" s="2" t="s">
        <v>2537</v>
      </c>
      <c r="N395" s="6">
        <f t="shared" si="24"/>
        <v>1</v>
      </c>
      <c r="O395" t="str">
        <f>IF(Tabla_control[[#This Row],[Control_duplicados]]&gt;1,"Duplicado","Unico")</f>
        <v>Unico</v>
      </c>
      <c r="P395" t="str">
        <f t="shared" si="25"/>
        <v>OK</v>
      </c>
      <c r="Q395" t="str">
        <f t="shared" si="26"/>
        <v>OK</v>
      </c>
      <c r="R395" t="str">
        <f t="shared" si="27"/>
        <v>OK</v>
      </c>
    </row>
    <row r="396" spans="1:18" x14ac:dyDescent="0.3">
      <c r="A396" s="1">
        <v>45855</v>
      </c>
      <c r="B396" s="2" t="s">
        <v>2631</v>
      </c>
      <c r="C396" s="2" t="s">
        <v>2527</v>
      </c>
      <c r="D396" s="2" t="s">
        <v>2528</v>
      </c>
      <c r="E396" s="2" t="s">
        <v>2517</v>
      </c>
      <c r="F396" s="3">
        <v>173373</v>
      </c>
      <c r="G396" s="3">
        <v>9272</v>
      </c>
      <c r="H396" s="3">
        <v>777</v>
      </c>
      <c r="I396" s="4">
        <v>4290.95</v>
      </c>
      <c r="J396" s="4">
        <v>143550.54</v>
      </c>
      <c r="K396" s="3">
        <v>440</v>
      </c>
      <c r="L396" s="2" t="s">
        <v>2539</v>
      </c>
      <c r="M396" s="2" t="s">
        <v>2546</v>
      </c>
      <c r="N396" s="6">
        <f t="shared" si="24"/>
        <v>2</v>
      </c>
      <c r="O396" t="str">
        <f>IF(Tabla_control[[#This Row],[Control_duplicados]]&gt;1,"Duplicado","Unico")</f>
        <v>Duplicado</v>
      </c>
      <c r="P396" t="str">
        <f t="shared" si="25"/>
        <v>OK</v>
      </c>
      <c r="Q396" t="str">
        <f t="shared" si="26"/>
        <v>OK</v>
      </c>
      <c r="R396" t="str">
        <f t="shared" si="27"/>
        <v>OK</v>
      </c>
    </row>
    <row r="397" spans="1:18" x14ac:dyDescent="0.3">
      <c r="A397" s="1">
        <v>45959</v>
      </c>
      <c r="B397" s="2" t="s">
        <v>2630</v>
      </c>
      <c r="C397" s="2" t="s">
        <v>2541</v>
      </c>
      <c r="D397" s="2" t="s">
        <v>2528</v>
      </c>
      <c r="E397" s="2" t="s">
        <v>2517</v>
      </c>
      <c r="F397" s="3">
        <v>156660</v>
      </c>
      <c r="G397" s="3">
        <v>8994</v>
      </c>
      <c r="H397" s="3">
        <v>698</v>
      </c>
      <c r="I397" s="4">
        <v>10431.11</v>
      </c>
      <c r="J397" s="4">
        <v>67054.63</v>
      </c>
      <c r="K397" s="3">
        <v>322</v>
      </c>
      <c r="L397" s="2" t="s">
        <v>2536</v>
      </c>
      <c r="M397" s="2" t="s">
        <v>2526</v>
      </c>
      <c r="N397" s="6">
        <f t="shared" si="24"/>
        <v>1</v>
      </c>
      <c r="O397" t="str">
        <f>IF(Tabla_control[[#This Row],[Control_duplicados]]&gt;1,"Duplicado","Unico")</f>
        <v>Unico</v>
      </c>
      <c r="P397" t="str">
        <f t="shared" si="25"/>
        <v>OK</v>
      </c>
      <c r="Q397" t="str">
        <f t="shared" si="26"/>
        <v>OK</v>
      </c>
      <c r="R397" t="str">
        <f t="shared" si="27"/>
        <v>OK</v>
      </c>
    </row>
    <row r="398" spans="1:18" x14ac:dyDescent="0.3">
      <c r="A398" s="1">
        <v>45818</v>
      </c>
      <c r="B398" s="2" t="s">
        <v>2629</v>
      </c>
      <c r="C398" s="2" t="s">
        <v>2533</v>
      </c>
      <c r="D398" s="2" t="s">
        <v>2516</v>
      </c>
      <c r="E398" s="2" t="s">
        <v>2529</v>
      </c>
      <c r="F398" s="3">
        <v>72507</v>
      </c>
      <c r="G398" s="3">
        <v>2561</v>
      </c>
      <c r="H398" s="3">
        <v>244</v>
      </c>
      <c r="I398" s="4">
        <v>4407.5600000000004</v>
      </c>
      <c r="J398" s="4">
        <v>11371.66</v>
      </c>
      <c r="K398" s="3">
        <v>125</v>
      </c>
      <c r="L398" s="2" t="s">
        <v>2523</v>
      </c>
      <c r="M398" s="2" t="s">
        <v>2524</v>
      </c>
      <c r="N398" s="6">
        <f t="shared" si="24"/>
        <v>1</v>
      </c>
      <c r="O398" t="str">
        <f>IF(Tabla_control[[#This Row],[Control_duplicados]]&gt;1,"Duplicado","Unico")</f>
        <v>Unico</v>
      </c>
      <c r="P398" t="str">
        <f t="shared" si="25"/>
        <v>OK</v>
      </c>
      <c r="Q398" t="str">
        <f t="shared" si="26"/>
        <v>OK</v>
      </c>
      <c r="R398" t="str">
        <f t="shared" si="27"/>
        <v>OK</v>
      </c>
    </row>
    <row r="399" spans="1:18" x14ac:dyDescent="0.3">
      <c r="A399" s="1">
        <v>45719</v>
      </c>
      <c r="B399" s="2" t="s">
        <v>2643</v>
      </c>
      <c r="C399" s="2" t="s">
        <v>2543</v>
      </c>
      <c r="D399" s="2" t="s">
        <v>2525</v>
      </c>
      <c r="E399" s="2" t="s">
        <v>2517</v>
      </c>
      <c r="F399" s="3">
        <v>37981</v>
      </c>
      <c r="G399" s="3">
        <v>1989</v>
      </c>
      <c r="H399" s="3">
        <v>83</v>
      </c>
      <c r="I399" s="4">
        <v>3794.99</v>
      </c>
      <c r="J399" s="4">
        <v>14168.96</v>
      </c>
      <c r="K399" s="3">
        <v>40</v>
      </c>
      <c r="L399" s="2" t="s">
        <v>2523</v>
      </c>
      <c r="M399" s="2" t="s">
        <v>2546</v>
      </c>
      <c r="N399" s="6">
        <f t="shared" si="24"/>
        <v>1</v>
      </c>
      <c r="O399" t="str">
        <f>IF(Tabla_control[[#This Row],[Control_duplicados]]&gt;1,"Duplicado","Unico")</f>
        <v>Unico</v>
      </c>
      <c r="P399" t="str">
        <f t="shared" si="25"/>
        <v>OK</v>
      </c>
      <c r="Q399" t="str">
        <f t="shared" si="26"/>
        <v>OK</v>
      </c>
      <c r="R399" t="str">
        <f t="shared" si="27"/>
        <v>OK</v>
      </c>
    </row>
    <row r="400" spans="1:18" x14ac:dyDescent="0.3">
      <c r="A400" s="1">
        <v>45807</v>
      </c>
      <c r="B400" s="2" t="s">
        <v>2642</v>
      </c>
      <c r="C400" s="2" t="s">
        <v>2543</v>
      </c>
      <c r="D400" s="2" t="s">
        <v>2528</v>
      </c>
      <c r="E400" s="2" t="s">
        <v>2517</v>
      </c>
      <c r="F400" s="3">
        <v>13647</v>
      </c>
      <c r="G400" s="3">
        <v>649</v>
      </c>
      <c r="H400" s="3">
        <v>73</v>
      </c>
      <c r="I400" s="4">
        <v>241.7</v>
      </c>
      <c r="J400" s="4">
        <v>11248.19</v>
      </c>
      <c r="K400" s="3">
        <v>33</v>
      </c>
      <c r="L400" s="2" t="s">
        <v>2523</v>
      </c>
      <c r="M400" s="2" t="s">
        <v>2524</v>
      </c>
      <c r="N400" s="6">
        <f t="shared" si="24"/>
        <v>1</v>
      </c>
      <c r="O400" t="str">
        <f>IF(Tabla_control[[#This Row],[Control_duplicados]]&gt;1,"Duplicado","Unico")</f>
        <v>Unico</v>
      </c>
      <c r="P400" t="str">
        <f t="shared" si="25"/>
        <v>OK</v>
      </c>
      <c r="Q400" t="str">
        <f t="shared" si="26"/>
        <v>OK</v>
      </c>
      <c r="R400" t="str">
        <f t="shared" si="27"/>
        <v>OK</v>
      </c>
    </row>
    <row r="401" spans="1:18" x14ac:dyDescent="0.3">
      <c r="A401" s="1">
        <v>45796</v>
      </c>
      <c r="B401" s="2" t="s">
        <v>2642</v>
      </c>
      <c r="C401" s="2" t="s">
        <v>2533</v>
      </c>
      <c r="D401" s="2" t="s">
        <v>2525</v>
      </c>
      <c r="E401" s="2" t="s">
        <v>2517</v>
      </c>
      <c r="F401" s="3">
        <v>4121</v>
      </c>
      <c r="G401" s="3">
        <v>162</v>
      </c>
      <c r="H401" s="3">
        <v>16</v>
      </c>
      <c r="I401" s="4">
        <v>67.010000000000005</v>
      </c>
      <c r="J401" s="4">
        <v>1208.56</v>
      </c>
      <c r="K401" s="3">
        <v>9</v>
      </c>
      <c r="L401" s="2" t="s">
        <v>2518</v>
      </c>
      <c r="M401" s="2" t="s">
        <v>2546</v>
      </c>
      <c r="N401" s="6">
        <f t="shared" si="24"/>
        <v>1</v>
      </c>
      <c r="O401" t="str">
        <f>IF(Tabla_control[[#This Row],[Control_duplicados]]&gt;1,"Duplicado","Unico")</f>
        <v>Unico</v>
      </c>
      <c r="P401" t="str">
        <f t="shared" si="25"/>
        <v>OK</v>
      </c>
      <c r="Q401" t="str">
        <f t="shared" si="26"/>
        <v>OK</v>
      </c>
      <c r="R401" t="str">
        <f t="shared" si="27"/>
        <v>OK</v>
      </c>
    </row>
    <row r="402" spans="1:18" x14ac:dyDescent="0.3">
      <c r="A402" s="1">
        <v>45880</v>
      </c>
      <c r="B402" s="2" t="s">
        <v>2633</v>
      </c>
      <c r="C402" s="2" t="s">
        <v>2521</v>
      </c>
      <c r="D402" s="2" t="s">
        <v>2528</v>
      </c>
      <c r="E402" s="2" t="s">
        <v>2517</v>
      </c>
      <c r="F402" s="3">
        <v>73156</v>
      </c>
      <c r="G402" s="3">
        <v>3027</v>
      </c>
      <c r="H402" s="3">
        <v>358</v>
      </c>
      <c r="I402" s="4">
        <v>1928.28</v>
      </c>
      <c r="J402" s="4">
        <v>77597.86</v>
      </c>
      <c r="K402" s="3">
        <v>260</v>
      </c>
      <c r="L402" s="2" t="s">
        <v>2536</v>
      </c>
      <c r="M402" s="2" t="s">
        <v>2519</v>
      </c>
      <c r="N402" s="6">
        <f t="shared" si="24"/>
        <v>1</v>
      </c>
      <c r="O402" t="str">
        <f>IF(Tabla_control[[#This Row],[Control_duplicados]]&gt;1,"Duplicado","Unico")</f>
        <v>Unico</v>
      </c>
      <c r="P402" t="str">
        <f t="shared" si="25"/>
        <v>OK</v>
      </c>
      <c r="Q402" t="str">
        <f t="shared" si="26"/>
        <v>OK</v>
      </c>
      <c r="R402" t="str">
        <f t="shared" si="27"/>
        <v>OK</v>
      </c>
    </row>
    <row r="403" spans="1:18" x14ac:dyDescent="0.3">
      <c r="A403" s="1">
        <v>45845</v>
      </c>
      <c r="B403" s="2" t="s">
        <v>2637</v>
      </c>
      <c r="C403" s="2" t="s">
        <v>2543</v>
      </c>
      <c r="D403" s="2" t="s">
        <v>2516</v>
      </c>
      <c r="E403" s="2" t="s">
        <v>2517</v>
      </c>
      <c r="F403" s="3">
        <v>60135</v>
      </c>
      <c r="G403" s="3">
        <v>3421</v>
      </c>
      <c r="H403" s="3">
        <v>241</v>
      </c>
      <c r="I403" s="4">
        <v>2632.77</v>
      </c>
      <c r="J403" s="4">
        <v>48199.48</v>
      </c>
      <c r="K403" s="3">
        <v>135</v>
      </c>
      <c r="L403" s="2" t="s">
        <v>2539</v>
      </c>
      <c r="M403" s="2" t="s">
        <v>2526</v>
      </c>
      <c r="N403" s="6">
        <f t="shared" si="24"/>
        <v>1</v>
      </c>
      <c r="O403" t="str">
        <f>IF(Tabla_control[[#This Row],[Control_duplicados]]&gt;1,"Duplicado","Unico")</f>
        <v>Unico</v>
      </c>
      <c r="P403" t="str">
        <f t="shared" si="25"/>
        <v>OK</v>
      </c>
      <c r="Q403" t="str">
        <f t="shared" si="26"/>
        <v>OK</v>
      </c>
      <c r="R403" t="str">
        <f t="shared" si="27"/>
        <v>OK</v>
      </c>
    </row>
    <row r="404" spans="1:18" x14ac:dyDescent="0.3">
      <c r="A404" s="1">
        <v>45947</v>
      </c>
      <c r="B404" s="2" t="s">
        <v>2639</v>
      </c>
      <c r="C404" s="2" t="s">
        <v>2515</v>
      </c>
      <c r="D404" s="2" t="s">
        <v>2528</v>
      </c>
      <c r="E404" s="2" t="s">
        <v>2529</v>
      </c>
      <c r="F404" s="3">
        <v>171696</v>
      </c>
      <c r="G404" s="3">
        <v>10160</v>
      </c>
      <c r="H404" s="3">
        <v>631</v>
      </c>
      <c r="I404" s="4">
        <v>3447.97</v>
      </c>
      <c r="J404" s="4">
        <v>65659.16</v>
      </c>
      <c r="K404" s="3">
        <v>522</v>
      </c>
      <c r="L404" s="2" t="s">
        <v>2523</v>
      </c>
      <c r="M404" s="2" t="s">
        <v>2526</v>
      </c>
      <c r="N404" s="6">
        <f t="shared" si="24"/>
        <v>1</v>
      </c>
      <c r="O404" t="str">
        <f>IF(Tabla_control[[#This Row],[Control_duplicados]]&gt;1,"Duplicado","Unico")</f>
        <v>Unico</v>
      </c>
      <c r="P404" t="str">
        <f t="shared" si="25"/>
        <v>OK</v>
      </c>
      <c r="Q404" t="str">
        <f t="shared" si="26"/>
        <v>OK</v>
      </c>
      <c r="R404" t="str">
        <f t="shared" si="27"/>
        <v>OK</v>
      </c>
    </row>
    <row r="405" spans="1:18" x14ac:dyDescent="0.3">
      <c r="A405" s="1">
        <v>45663</v>
      </c>
      <c r="B405" s="2" t="s">
        <v>2628</v>
      </c>
      <c r="C405" s="2" t="s">
        <v>2527</v>
      </c>
      <c r="D405" s="2" t="s">
        <v>2528</v>
      </c>
      <c r="E405" s="2" t="s">
        <v>2529</v>
      </c>
      <c r="F405" s="3">
        <v>131014</v>
      </c>
      <c r="G405" s="3">
        <v>5491</v>
      </c>
      <c r="H405" s="3">
        <v>273</v>
      </c>
      <c r="I405" s="4">
        <v>2219.41</v>
      </c>
      <c r="J405" s="4">
        <v>48559.66</v>
      </c>
      <c r="K405" s="3">
        <v>213</v>
      </c>
      <c r="L405" s="2" t="s">
        <v>2523</v>
      </c>
      <c r="M405" s="2" t="s">
        <v>2546</v>
      </c>
      <c r="N405" s="6">
        <f t="shared" si="24"/>
        <v>1</v>
      </c>
      <c r="O405" t="str">
        <f>IF(Tabla_control[[#This Row],[Control_duplicados]]&gt;1,"Duplicado","Unico")</f>
        <v>Unico</v>
      </c>
      <c r="P405" t="str">
        <f t="shared" si="25"/>
        <v>OK</v>
      </c>
      <c r="Q405" t="str">
        <f t="shared" si="26"/>
        <v>OK</v>
      </c>
      <c r="R405" t="str">
        <f t="shared" si="27"/>
        <v>OK</v>
      </c>
    </row>
    <row r="406" spans="1:18" x14ac:dyDescent="0.3">
      <c r="A406" s="1">
        <v>45803</v>
      </c>
      <c r="B406" s="2" t="s">
        <v>2631</v>
      </c>
      <c r="C406" s="2" t="s">
        <v>2541</v>
      </c>
      <c r="D406" s="2" t="s">
        <v>2525</v>
      </c>
      <c r="E406" s="2" t="s">
        <v>2517</v>
      </c>
      <c r="F406" s="3">
        <v>111209</v>
      </c>
      <c r="G406" s="3">
        <v>614</v>
      </c>
      <c r="H406" s="3">
        <v>50</v>
      </c>
      <c r="I406" s="4">
        <v>1227.6099999999999</v>
      </c>
      <c r="J406" s="4">
        <v>5144.0600000000004</v>
      </c>
      <c r="K406" s="3">
        <v>42</v>
      </c>
      <c r="L406" s="2" t="s">
        <v>2539</v>
      </c>
      <c r="M406" s="2" t="s">
        <v>2546</v>
      </c>
      <c r="N406" s="6">
        <f t="shared" si="24"/>
        <v>1</v>
      </c>
      <c r="O406" t="str">
        <f>IF(Tabla_control[[#This Row],[Control_duplicados]]&gt;1,"Duplicado","Unico")</f>
        <v>Unico</v>
      </c>
      <c r="P406" t="str">
        <f t="shared" si="25"/>
        <v>OK</v>
      </c>
      <c r="Q406" t="str">
        <f t="shared" si="26"/>
        <v>OK</v>
      </c>
      <c r="R406" t="str">
        <f t="shared" si="27"/>
        <v>OK</v>
      </c>
    </row>
    <row r="407" spans="1:18" x14ac:dyDescent="0.3">
      <c r="A407" s="1">
        <v>45897</v>
      </c>
      <c r="B407" s="2" t="s">
        <v>2629</v>
      </c>
      <c r="C407" s="2" t="s">
        <v>2533</v>
      </c>
      <c r="D407" s="2" t="s">
        <v>2516</v>
      </c>
      <c r="E407" s="2" t="s">
        <v>2529</v>
      </c>
      <c r="F407" s="3">
        <v>34148</v>
      </c>
      <c r="G407" s="3">
        <v>1110</v>
      </c>
      <c r="H407" s="3">
        <v>137</v>
      </c>
      <c r="I407" s="4">
        <v>635.35</v>
      </c>
      <c r="J407" s="4">
        <v>29895.5</v>
      </c>
      <c r="K407" s="3">
        <v>77</v>
      </c>
      <c r="L407" s="2" t="s">
        <v>2518</v>
      </c>
      <c r="M407" s="2" t="s">
        <v>2526</v>
      </c>
      <c r="N407" s="6">
        <f t="shared" si="24"/>
        <v>1</v>
      </c>
      <c r="O407" t="str">
        <f>IF(Tabla_control[[#This Row],[Control_duplicados]]&gt;1,"Duplicado","Unico")</f>
        <v>Unico</v>
      </c>
      <c r="P407" t="str">
        <f t="shared" si="25"/>
        <v>OK</v>
      </c>
      <c r="Q407" t="str">
        <f t="shared" si="26"/>
        <v>OK</v>
      </c>
      <c r="R407" t="str">
        <f t="shared" si="27"/>
        <v>OK</v>
      </c>
    </row>
    <row r="408" spans="1:18" x14ac:dyDescent="0.3">
      <c r="A408" s="1">
        <v>45717</v>
      </c>
      <c r="B408" s="2" t="s">
        <v>2641</v>
      </c>
      <c r="C408" s="2" t="s">
        <v>2543</v>
      </c>
      <c r="D408" s="2" t="s">
        <v>2528</v>
      </c>
      <c r="E408" s="2" t="s">
        <v>2529</v>
      </c>
      <c r="F408" s="3">
        <v>115268</v>
      </c>
      <c r="G408" s="3">
        <v>7661</v>
      </c>
      <c r="H408" s="3">
        <v>305</v>
      </c>
      <c r="I408" s="4">
        <v>7387.27</v>
      </c>
      <c r="J408" s="4">
        <v>40594.449999999997</v>
      </c>
      <c r="K408" s="3">
        <v>197</v>
      </c>
      <c r="L408" s="2" t="s">
        <v>2518</v>
      </c>
      <c r="M408" s="2" t="s">
        <v>2537</v>
      </c>
      <c r="N408" s="6">
        <f t="shared" si="24"/>
        <v>1</v>
      </c>
      <c r="O408" t="str">
        <f>IF(Tabla_control[[#This Row],[Control_duplicados]]&gt;1,"Duplicado","Unico")</f>
        <v>Unico</v>
      </c>
      <c r="P408" t="str">
        <f t="shared" si="25"/>
        <v>OK</v>
      </c>
      <c r="Q408" t="str">
        <f t="shared" si="26"/>
        <v>OK</v>
      </c>
      <c r="R408" t="str">
        <f t="shared" si="27"/>
        <v>OK</v>
      </c>
    </row>
    <row r="409" spans="1:18" x14ac:dyDescent="0.3">
      <c r="A409" s="1">
        <v>45749</v>
      </c>
      <c r="B409" s="2" t="s">
        <v>2639</v>
      </c>
      <c r="C409" s="2" t="s">
        <v>2515</v>
      </c>
      <c r="D409" s="2" t="s">
        <v>2516</v>
      </c>
      <c r="E409" s="2" t="s">
        <v>2517</v>
      </c>
      <c r="F409" s="3">
        <v>106490</v>
      </c>
      <c r="G409" s="3">
        <v>6905</v>
      </c>
      <c r="H409" s="3">
        <v>36</v>
      </c>
      <c r="I409" s="4">
        <v>1224.3800000000001</v>
      </c>
      <c r="J409" s="4">
        <v>6174.76</v>
      </c>
      <c r="K409" s="3">
        <v>25</v>
      </c>
      <c r="L409" s="2" t="s">
        <v>2518</v>
      </c>
      <c r="M409" s="2" t="s">
        <v>2537</v>
      </c>
      <c r="N409" s="6">
        <f t="shared" si="24"/>
        <v>1</v>
      </c>
      <c r="O409" t="str">
        <f>IF(Tabla_control[[#This Row],[Control_duplicados]]&gt;1,"Duplicado","Unico")</f>
        <v>Unico</v>
      </c>
      <c r="P409" t="str">
        <f t="shared" si="25"/>
        <v>OK</v>
      </c>
      <c r="Q409" t="str">
        <f t="shared" si="26"/>
        <v>OK</v>
      </c>
      <c r="R409" t="str">
        <f t="shared" si="27"/>
        <v>OK</v>
      </c>
    </row>
    <row r="410" spans="1:18" x14ac:dyDescent="0.3">
      <c r="A410" s="1">
        <v>45970</v>
      </c>
      <c r="B410" s="2" t="s">
        <v>2617</v>
      </c>
      <c r="C410" s="2" t="s">
        <v>2527</v>
      </c>
      <c r="D410" s="2" t="s">
        <v>2525</v>
      </c>
      <c r="E410" s="2" t="s">
        <v>2529</v>
      </c>
      <c r="F410" s="3">
        <v>123270</v>
      </c>
      <c r="G410" s="3">
        <v>3000</v>
      </c>
      <c r="H410" s="3">
        <v>227</v>
      </c>
      <c r="I410" s="4">
        <v>3605.01</v>
      </c>
      <c r="J410" s="4">
        <v>35185.300000000003</v>
      </c>
      <c r="K410" s="3">
        <v>123</v>
      </c>
      <c r="L410" s="2" t="s">
        <v>2518</v>
      </c>
      <c r="M410" s="2" t="s">
        <v>2526</v>
      </c>
      <c r="N410" s="6">
        <f t="shared" si="24"/>
        <v>1</v>
      </c>
      <c r="O410" t="str">
        <f>IF(Tabla_control[[#This Row],[Control_duplicados]]&gt;1,"Duplicado","Unico")</f>
        <v>Unico</v>
      </c>
      <c r="P410" t="str">
        <f t="shared" si="25"/>
        <v>OK</v>
      </c>
      <c r="Q410" t="str">
        <f t="shared" si="26"/>
        <v>OK</v>
      </c>
      <c r="R410" t="str">
        <f t="shared" si="27"/>
        <v>OK</v>
      </c>
    </row>
    <row r="411" spans="1:18" x14ac:dyDescent="0.3">
      <c r="A411" s="1">
        <v>45870</v>
      </c>
      <c r="B411" s="2" t="s">
        <v>2643</v>
      </c>
      <c r="C411" s="2" t="s">
        <v>2533</v>
      </c>
      <c r="D411" s="2" t="s">
        <v>2531</v>
      </c>
      <c r="E411" s="2" t="s">
        <v>2517</v>
      </c>
      <c r="F411" s="3">
        <v>38809</v>
      </c>
      <c r="G411" s="3">
        <v>2819</v>
      </c>
      <c r="H411" s="3">
        <v>83</v>
      </c>
      <c r="I411" s="4">
        <v>4985.32</v>
      </c>
      <c r="J411" s="4">
        <v>10001.44</v>
      </c>
      <c r="K411" s="3">
        <v>40</v>
      </c>
      <c r="L411" s="2" t="s">
        <v>2518</v>
      </c>
      <c r="M411" s="2" t="s">
        <v>2519</v>
      </c>
      <c r="N411" s="6">
        <f t="shared" si="24"/>
        <v>1</v>
      </c>
      <c r="O411" t="str">
        <f>IF(Tabla_control[[#This Row],[Control_duplicados]]&gt;1,"Duplicado","Unico")</f>
        <v>Unico</v>
      </c>
      <c r="P411" t="str">
        <f t="shared" si="25"/>
        <v>OK</v>
      </c>
      <c r="Q411" t="str">
        <f t="shared" si="26"/>
        <v>OK</v>
      </c>
      <c r="R411" t="str">
        <f t="shared" si="27"/>
        <v>OK</v>
      </c>
    </row>
    <row r="412" spans="1:18" x14ac:dyDescent="0.3">
      <c r="A412" s="1">
        <v>45785</v>
      </c>
      <c r="B412" s="2" t="s">
        <v>2628</v>
      </c>
      <c r="C412" s="2" t="s">
        <v>2515</v>
      </c>
      <c r="D412" s="2" t="s">
        <v>2516</v>
      </c>
      <c r="E412" s="2" t="s">
        <v>2517</v>
      </c>
      <c r="F412" s="3">
        <v>61245</v>
      </c>
      <c r="G412" s="3">
        <v>4769</v>
      </c>
      <c r="H412" s="3">
        <v>600</v>
      </c>
      <c r="I412" s="4">
        <v>9224.49</v>
      </c>
      <c r="J412" s="4">
        <v>10474.280000000001</v>
      </c>
      <c r="K412" s="3">
        <v>338</v>
      </c>
      <c r="L412" s="2" t="s">
        <v>2518</v>
      </c>
      <c r="M412" s="2" t="s">
        <v>2526</v>
      </c>
      <c r="N412" s="6">
        <f t="shared" si="24"/>
        <v>1</v>
      </c>
      <c r="O412" t="str">
        <f>IF(Tabla_control[[#This Row],[Control_duplicados]]&gt;1,"Duplicado","Unico")</f>
        <v>Unico</v>
      </c>
      <c r="P412" t="str">
        <f t="shared" si="25"/>
        <v>OK</v>
      </c>
      <c r="Q412" t="str">
        <f t="shared" si="26"/>
        <v>OK</v>
      </c>
      <c r="R412" t="str">
        <f t="shared" si="27"/>
        <v>OK</v>
      </c>
    </row>
    <row r="413" spans="1:18" x14ac:dyDescent="0.3">
      <c r="A413" s="1">
        <v>45803</v>
      </c>
      <c r="B413" s="2" t="s">
        <v>2636</v>
      </c>
      <c r="C413" s="2" t="s">
        <v>2521</v>
      </c>
      <c r="D413" s="2" t="s">
        <v>2528</v>
      </c>
      <c r="E413" s="2" t="s">
        <v>2517</v>
      </c>
      <c r="F413" s="3">
        <v>98569</v>
      </c>
      <c r="G413" s="3">
        <v>2025</v>
      </c>
      <c r="H413" s="3">
        <v>61</v>
      </c>
      <c r="I413" s="4">
        <v>1701.71</v>
      </c>
      <c r="J413" s="4">
        <v>7220.09</v>
      </c>
      <c r="K413" s="3">
        <v>50</v>
      </c>
      <c r="L413" s="2" t="s">
        <v>2539</v>
      </c>
      <c r="M413" s="2" t="s">
        <v>2519</v>
      </c>
      <c r="N413" s="6">
        <f t="shared" si="24"/>
        <v>1</v>
      </c>
      <c r="O413" t="str">
        <f>IF(Tabla_control[[#This Row],[Control_duplicados]]&gt;1,"Duplicado","Unico")</f>
        <v>Unico</v>
      </c>
      <c r="P413" t="str">
        <f t="shared" si="25"/>
        <v>OK</v>
      </c>
      <c r="Q413" t="str">
        <f t="shared" si="26"/>
        <v>OK</v>
      </c>
      <c r="R413" t="str">
        <f t="shared" si="27"/>
        <v>OK</v>
      </c>
    </row>
    <row r="414" spans="1:18" x14ac:dyDescent="0.3">
      <c r="A414" s="1">
        <v>45894</v>
      </c>
      <c r="B414" s="2" t="s">
        <v>2631</v>
      </c>
      <c r="C414" s="2" t="s">
        <v>2521</v>
      </c>
      <c r="D414" s="2" t="s">
        <v>2528</v>
      </c>
      <c r="E414" s="2" t="s">
        <v>2517</v>
      </c>
      <c r="F414" s="3">
        <v>41305</v>
      </c>
      <c r="G414" s="3">
        <v>635</v>
      </c>
      <c r="H414" s="3">
        <v>25</v>
      </c>
      <c r="I414" s="4">
        <v>563.75</v>
      </c>
      <c r="J414" s="4">
        <v>1774.87</v>
      </c>
      <c r="K414" s="3">
        <v>22</v>
      </c>
      <c r="L414" s="2" t="s">
        <v>2539</v>
      </c>
      <c r="M414" s="2" t="s">
        <v>2546</v>
      </c>
      <c r="N414" s="6">
        <f t="shared" si="24"/>
        <v>1</v>
      </c>
      <c r="O414" t="str">
        <f>IF(Tabla_control[[#This Row],[Control_duplicados]]&gt;1,"Duplicado","Unico")</f>
        <v>Unico</v>
      </c>
      <c r="P414" t="str">
        <f t="shared" si="25"/>
        <v>OK</v>
      </c>
      <c r="Q414" t="str">
        <f t="shared" si="26"/>
        <v>OK</v>
      </c>
      <c r="R414" t="str">
        <f t="shared" si="27"/>
        <v>OK</v>
      </c>
    </row>
    <row r="415" spans="1:18" x14ac:dyDescent="0.3">
      <c r="A415" s="1">
        <v>45805</v>
      </c>
      <c r="B415" s="2" t="s">
        <v>2633</v>
      </c>
      <c r="C415" s="2" t="s">
        <v>2521</v>
      </c>
      <c r="D415" s="2" t="s">
        <v>2528</v>
      </c>
      <c r="E415" s="2" t="s">
        <v>2517</v>
      </c>
      <c r="F415" s="3">
        <v>116027</v>
      </c>
      <c r="G415" s="3">
        <v>8024</v>
      </c>
      <c r="H415" s="3">
        <v>909</v>
      </c>
      <c r="I415" s="4">
        <v>10275.89</v>
      </c>
      <c r="J415" s="4">
        <v>25256.25</v>
      </c>
      <c r="K415" s="3">
        <v>608</v>
      </c>
      <c r="L415" s="2" t="s">
        <v>2523</v>
      </c>
      <c r="M415" s="2" t="s">
        <v>2524</v>
      </c>
      <c r="N415" s="6">
        <f t="shared" si="24"/>
        <v>1</v>
      </c>
      <c r="O415" t="str">
        <f>IF(Tabla_control[[#This Row],[Control_duplicados]]&gt;1,"Duplicado","Unico")</f>
        <v>Unico</v>
      </c>
      <c r="P415" t="str">
        <f t="shared" si="25"/>
        <v>OK</v>
      </c>
      <c r="Q415" t="str">
        <f t="shared" si="26"/>
        <v>OK</v>
      </c>
      <c r="R415" t="str">
        <f t="shared" si="27"/>
        <v>OK</v>
      </c>
    </row>
    <row r="416" spans="1:18" x14ac:dyDescent="0.3">
      <c r="A416" s="1">
        <v>45982</v>
      </c>
      <c r="B416" s="2" t="s">
        <v>2623</v>
      </c>
      <c r="C416" s="2" t="s">
        <v>2543</v>
      </c>
      <c r="D416" s="2" t="s">
        <v>2528</v>
      </c>
      <c r="E416" s="2" t="s">
        <v>2529</v>
      </c>
      <c r="F416" s="3">
        <v>31035</v>
      </c>
      <c r="G416" s="3">
        <v>1935</v>
      </c>
      <c r="H416" s="3">
        <v>144</v>
      </c>
      <c r="I416" s="4">
        <v>2842.24</v>
      </c>
      <c r="J416" s="4">
        <v>9533.4500000000007</v>
      </c>
      <c r="K416" s="3">
        <v>86</v>
      </c>
      <c r="L416" s="2" t="s">
        <v>2536</v>
      </c>
      <c r="M416" s="2" t="s">
        <v>2546</v>
      </c>
      <c r="N416" s="6">
        <f t="shared" si="24"/>
        <v>1</v>
      </c>
      <c r="O416" t="str">
        <f>IF(Tabla_control[[#This Row],[Control_duplicados]]&gt;1,"Duplicado","Unico")</f>
        <v>Unico</v>
      </c>
      <c r="P416" t="str">
        <f t="shared" si="25"/>
        <v>OK</v>
      </c>
      <c r="Q416" t="str">
        <f t="shared" si="26"/>
        <v>OK</v>
      </c>
      <c r="R416" t="str">
        <f t="shared" si="27"/>
        <v>OK</v>
      </c>
    </row>
    <row r="417" spans="1:18" x14ac:dyDescent="0.3">
      <c r="A417" s="1">
        <v>45901</v>
      </c>
      <c r="B417" s="2" t="s">
        <v>2623</v>
      </c>
      <c r="C417" s="2" t="s">
        <v>2533</v>
      </c>
      <c r="D417" s="2" t="s">
        <v>2528</v>
      </c>
      <c r="E417" s="2" t="s">
        <v>2529</v>
      </c>
      <c r="F417" s="3">
        <v>142758</v>
      </c>
      <c r="G417" s="3">
        <v>6426</v>
      </c>
      <c r="H417" s="3">
        <v>213</v>
      </c>
      <c r="I417" s="4">
        <v>2113.02</v>
      </c>
      <c r="J417" s="4">
        <v>19907.740000000002</v>
      </c>
      <c r="K417" s="3">
        <v>152</v>
      </c>
      <c r="L417" s="2" t="s">
        <v>2536</v>
      </c>
      <c r="M417" s="2" t="s">
        <v>2546</v>
      </c>
      <c r="N417" s="6">
        <f t="shared" si="24"/>
        <v>1</v>
      </c>
      <c r="O417" t="str">
        <f>IF(Tabla_control[[#This Row],[Control_duplicados]]&gt;1,"Duplicado","Unico")</f>
        <v>Unico</v>
      </c>
      <c r="P417" t="str">
        <f t="shared" si="25"/>
        <v>OK</v>
      </c>
      <c r="Q417" t="str">
        <f t="shared" si="26"/>
        <v>OK</v>
      </c>
      <c r="R417" t="str">
        <f t="shared" si="27"/>
        <v>OK</v>
      </c>
    </row>
    <row r="418" spans="1:18" x14ac:dyDescent="0.3">
      <c r="A418" s="1">
        <v>45914</v>
      </c>
      <c r="B418" s="2" t="s">
        <v>2637</v>
      </c>
      <c r="C418" s="2" t="s">
        <v>2543</v>
      </c>
      <c r="D418" s="2" t="s">
        <v>2525</v>
      </c>
      <c r="E418" s="2" t="s">
        <v>2529</v>
      </c>
      <c r="F418" s="3">
        <v>25072</v>
      </c>
      <c r="G418" s="3">
        <v>1290</v>
      </c>
      <c r="H418" s="3">
        <v>172</v>
      </c>
      <c r="I418" s="4">
        <v>1299.79</v>
      </c>
      <c r="J418" s="4">
        <v>19269.87</v>
      </c>
      <c r="K418" s="3">
        <v>120</v>
      </c>
      <c r="L418" s="2" t="s">
        <v>2536</v>
      </c>
      <c r="M418" s="2" t="s">
        <v>2546</v>
      </c>
      <c r="N418" s="6">
        <f t="shared" si="24"/>
        <v>1</v>
      </c>
      <c r="O418" t="str">
        <f>IF(Tabla_control[[#This Row],[Control_duplicados]]&gt;1,"Duplicado","Unico")</f>
        <v>Unico</v>
      </c>
      <c r="P418" t="str">
        <f t="shared" si="25"/>
        <v>OK</v>
      </c>
      <c r="Q418" t="str">
        <f t="shared" si="26"/>
        <v>OK</v>
      </c>
      <c r="R418" t="str">
        <f t="shared" si="27"/>
        <v>OK</v>
      </c>
    </row>
    <row r="419" spans="1:18" x14ac:dyDescent="0.3">
      <c r="A419" s="1">
        <v>45967</v>
      </c>
      <c r="B419" s="2" t="s">
        <v>2630</v>
      </c>
      <c r="C419" s="2" t="s">
        <v>2527</v>
      </c>
      <c r="D419" s="2" t="s">
        <v>2528</v>
      </c>
      <c r="E419" s="2" t="s">
        <v>2534</v>
      </c>
      <c r="F419" s="3">
        <v>50975</v>
      </c>
      <c r="G419" s="3">
        <v>1893</v>
      </c>
      <c r="H419" s="3">
        <v>235</v>
      </c>
      <c r="I419" s="4">
        <v>1283.3</v>
      </c>
      <c r="J419" s="4">
        <v>4760.55</v>
      </c>
      <c r="K419" s="3">
        <v>120</v>
      </c>
      <c r="L419" s="2" t="s">
        <v>2523</v>
      </c>
      <c r="M419" s="2" t="s">
        <v>2537</v>
      </c>
      <c r="N419" s="6">
        <f t="shared" si="24"/>
        <v>1</v>
      </c>
      <c r="O419" t="str">
        <f>IF(Tabla_control[[#This Row],[Control_duplicados]]&gt;1,"Duplicado","Unico")</f>
        <v>Unico</v>
      </c>
      <c r="P419" t="str">
        <f t="shared" si="25"/>
        <v>OK</v>
      </c>
      <c r="Q419" t="str">
        <f t="shared" si="26"/>
        <v>OK</v>
      </c>
      <c r="R419" t="str">
        <f t="shared" si="27"/>
        <v>OK</v>
      </c>
    </row>
    <row r="420" spans="1:18" x14ac:dyDescent="0.3">
      <c r="A420" s="1">
        <v>45806</v>
      </c>
      <c r="B420" s="2" t="s">
        <v>2619</v>
      </c>
      <c r="C420" s="2" t="s">
        <v>2527</v>
      </c>
      <c r="D420" s="2" t="s">
        <v>2528</v>
      </c>
      <c r="E420" s="2" t="s">
        <v>2529</v>
      </c>
      <c r="F420" s="3">
        <v>121280</v>
      </c>
      <c r="G420" s="3">
        <v>8459</v>
      </c>
      <c r="H420" s="3">
        <v>820</v>
      </c>
      <c r="I420" s="4">
        <v>8546.01</v>
      </c>
      <c r="J420" s="4">
        <v>120609.65</v>
      </c>
      <c r="K420" s="3">
        <v>642</v>
      </c>
      <c r="L420" s="2" t="s">
        <v>2523</v>
      </c>
      <c r="M420" s="2" t="s">
        <v>2526</v>
      </c>
      <c r="N420" s="6">
        <f t="shared" si="24"/>
        <v>1</v>
      </c>
      <c r="O420" t="str">
        <f>IF(Tabla_control[[#This Row],[Control_duplicados]]&gt;1,"Duplicado","Unico")</f>
        <v>Unico</v>
      </c>
      <c r="P420" t="str">
        <f t="shared" si="25"/>
        <v>OK</v>
      </c>
      <c r="Q420" t="str">
        <f t="shared" si="26"/>
        <v>OK</v>
      </c>
      <c r="R420" t="str">
        <f t="shared" si="27"/>
        <v>OK</v>
      </c>
    </row>
    <row r="421" spans="1:18" x14ac:dyDescent="0.3">
      <c r="A421" s="1">
        <v>45828</v>
      </c>
      <c r="B421" s="2" t="s">
        <v>2628</v>
      </c>
      <c r="C421" s="2" t="s">
        <v>2543</v>
      </c>
      <c r="D421" s="2" t="s">
        <v>2516</v>
      </c>
      <c r="E421" s="2" t="s">
        <v>2517</v>
      </c>
      <c r="F421" s="3">
        <v>67904</v>
      </c>
      <c r="G421" s="3">
        <v>4821</v>
      </c>
      <c r="H421" s="3">
        <v>298</v>
      </c>
      <c r="I421" s="4">
        <v>8124.61</v>
      </c>
      <c r="J421" s="4">
        <v>7316.18</v>
      </c>
      <c r="K421" s="3">
        <v>189</v>
      </c>
      <c r="L421" s="2" t="s">
        <v>2539</v>
      </c>
      <c r="M421" s="2" t="s">
        <v>2519</v>
      </c>
      <c r="N421" s="6">
        <f t="shared" si="24"/>
        <v>1</v>
      </c>
      <c r="O421" t="str">
        <f>IF(Tabla_control[[#This Row],[Control_duplicados]]&gt;1,"Duplicado","Unico")</f>
        <v>Unico</v>
      </c>
      <c r="P421" t="str">
        <f t="shared" si="25"/>
        <v>OK</v>
      </c>
      <c r="Q421" t="str">
        <f t="shared" si="26"/>
        <v>OK</v>
      </c>
      <c r="R421" t="str">
        <f t="shared" si="27"/>
        <v>OK</v>
      </c>
    </row>
    <row r="422" spans="1:18" x14ac:dyDescent="0.3">
      <c r="A422" s="1">
        <v>45881</v>
      </c>
      <c r="B422" s="2" t="s">
        <v>2616</v>
      </c>
      <c r="C422" s="2" t="s">
        <v>2521</v>
      </c>
      <c r="D422" s="2" t="s">
        <v>2528</v>
      </c>
      <c r="E422" s="2" t="s">
        <v>2517</v>
      </c>
      <c r="F422" s="3">
        <v>60851</v>
      </c>
      <c r="G422" s="3">
        <v>1526</v>
      </c>
      <c r="H422" s="3">
        <v>76</v>
      </c>
      <c r="I422" s="4">
        <v>333.86</v>
      </c>
      <c r="J422" s="4">
        <v>14129.53</v>
      </c>
      <c r="K422" s="3">
        <v>61</v>
      </c>
      <c r="L422" s="2" t="s">
        <v>2539</v>
      </c>
      <c r="M422" s="2" t="s">
        <v>2524</v>
      </c>
      <c r="N422" s="6">
        <f t="shared" si="24"/>
        <v>1</v>
      </c>
      <c r="O422" t="str">
        <f>IF(Tabla_control[[#This Row],[Control_duplicados]]&gt;1,"Duplicado","Unico")</f>
        <v>Unico</v>
      </c>
      <c r="P422" t="str">
        <f t="shared" si="25"/>
        <v>OK</v>
      </c>
      <c r="Q422" t="str">
        <f t="shared" si="26"/>
        <v>OK</v>
      </c>
      <c r="R422" t="str">
        <f t="shared" si="27"/>
        <v>OK</v>
      </c>
    </row>
    <row r="423" spans="1:18" x14ac:dyDescent="0.3">
      <c r="A423" s="1">
        <v>45888</v>
      </c>
      <c r="B423" s="2" t="s">
        <v>2640</v>
      </c>
      <c r="C423" s="2" t="s">
        <v>2541</v>
      </c>
      <c r="D423" s="2" t="s">
        <v>2516</v>
      </c>
      <c r="E423" s="2" t="s">
        <v>2529</v>
      </c>
      <c r="F423" s="3">
        <v>21969</v>
      </c>
      <c r="G423" s="3">
        <v>1041</v>
      </c>
      <c r="H423" s="3">
        <v>49</v>
      </c>
      <c r="I423" s="4">
        <v>1918.27</v>
      </c>
      <c r="J423" s="4">
        <v>2985.65</v>
      </c>
      <c r="K423" s="3">
        <v>40</v>
      </c>
      <c r="L423" s="2" t="s">
        <v>2539</v>
      </c>
      <c r="M423" s="2" t="s">
        <v>2546</v>
      </c>
      <c r="N423" s="6">
        <f t="shared" si="24"/>
        <v>1</v>
      </c>
      <c r="O423" t="str">
        <f>IF(Tabla_control[[#This Row],[Control_duplicados]]&gt;1,"Duplicado","Unico")</f>
        <v>Unico</v>
      </c>
      <c r="P423" t="str">
        <f t="shared" si="25"/>
        <v>OK</v>
      </c>
      <c r="Q423" t="str">
        <f t="shared" si="26"/>
        <v>OK</v>
      </c>
      <c r="R423" t="str">
        <f t="shared" si="27"/>
        <v>OK</v>
      </c>
    </row>
    <row r="424" spans="1:18" x14ac:dyDescent="0.3">
      <c r="A424" s="1">
        <v>45817</v>
      </c>
      <c r="B424" s="2" t="s">
        <v>2633</v>
      </c>
      <c r="C424" s="2" t="s">
        <v>2521</v>
      </c>
      <c r="D424" s="2" t="s">
        <v>2528</v>
      </c>
      <c r="E424" s="2" t="s">
        <v>2529</v>
      </c>
      <c r="F424" s="3">
        <v>173451</v>
      </c>
      <c r="G424" s="3">
        <v>13725</v>
      </c>
      <c r="H424" s="3">
        <v>790</v>
      </c>
      <c r="I424" s="4">
        <v>8034.93</v>
      </c>
      <c r="J424" s="4">
        <v>97812.09</v>
      </c>
      <c r="K424" s="3">
        <v>611</v>
      </c>
      <c r="L424" s="2" t="s">
        <v>2518</v>
      </c>
      <c r="M424" s="2" t="s">
        <v>2519</v>
      </c>
      <c r="N424" s="6">
        <f t="shared" si="24"/>
        <v>1</v>
      </c>
      <c r="O424" t="str">
        <f>IF(Tabla_control[[#This Row],[Control_duplicados]]&gt;1,"Duplicado","Unico")</f>
        <v>Unico</v>
      </c>
      <c r="P424" t="str">
        <f t="shared" si="25"/>
        <v>OK</v>
      </c>
      <c r="Q424" t="str">
        <f t="shared" si="26"/>
        <v>OK</v>
      </c>
      <c r="R424" t="str">
        <f t="shared" si="27"/>
        <v>OK</v>
      </c>
    </row>
    <row r="425" spans="1:18" x14ac:dyDescent="0.3">
      <c r="A425" s="1">
        <v>46001</v>
      </c>
      <c r="B425" s="2" t="s">
        <v>2617</v>
      </c>
      <c r="C425" s="2" t="s">
        <v>2521</v>
      </c>
      <c r="D425" s="2" t="s">
        <v>2528</v>
      </c>
      <c r="E425" s="2" t="s">
        <v>2534</v>
      </c>
      <c r="F425" s="3">
        <v>27569</v>
      </c>
      <c r="G425" s="3">
        <v>1601</v>
      </c>
      <c r="H425" s="3">
        <v>190</v>
      </c>
      <c r="I425" s="4">
        <v>1809.8</v>
      </c>
      <c r="J425" s="4">
        <v>31917.69</v>
      </c>
      <c r="K425" s="3">
        <v>113</v>
      </c>
      <c r="L425" s="2" t="s">
        <v>2523</v>
      </c>
      <c r="M425" s="2" t="s">
        <v>2526</v>
      </c>
      <c r="N425" s="6">
        <f t="shared" si="24"/>
        <v>1</v>
      </c>
      <c r="O425" t="str">
        <f>IF(Tabla_control[[#This Row],[Control_duplicados]]&gt;1,"Duplicado","Unico")</f>
        <v>Unico</v>
      </c>
      <c r="P425" t="str">
        <f t="shared" si="25"/>
        <v>OK</v>
      </c>
      <c r="Q425" t="str">
        <f t="shared" si="26"/>
        <v>OK</v>
      </c>
      <c r="R425" t="str">
        <f t="shared" si="27"/>
        <v>OK</v>
      </c>
    </row>
    <row r="426" spans="1:18" x14ac:dyDescent="0.3">
      <c r="A426" s="1">
        <v>45791</v>
      </c>
      <c r="B426" s="2" t="s">
        <v>2619</v>
      </c>
      <c r="C426" s="2" t="s">
        <v>2543</v>
      </c>
      <c r="D426" s="2" t="s">
        <v>2522</v>
      </c>
      <c r="E426" s="2" t="s">
        <v>2517</v>
      </c>
      <c r="F426" s="3">
        <v>116427</v>
      </c>
      <c r="G426" s="3">
        <v>6459</v>
      </c>
      <c r="H426" s="3">
        <v>753</v>
      </c>
      <c r="I426" s="4">
        <v>2914.31</v>
      </c>
      <c r="J426" s="4">
        <v>61557.71</v>
      </c>
      <c r="K426" s="3">
        <v>438</v>
      </c>
      <c r="L426" s="2" t="s">
        <v>2523</v>
      </c>
      <c r="M426" s="2" t="s">
        <v>2537</v>
      </c>
      <c r="N426" s="6">
        <f t="shared" si="24"/>
        <v>1</v>
      </c>
      <c r="O426" t="str">
        <f>IF(Tabla_control[[#This Row],[Control_duplicados]]&gt;1,"Duplicado","Unico")</f>
        <v>Unico</v>
      </c>
      <c r="P426" t="str">
        <f t="shared" si="25"/>
        <v>OK</v>
      </c>
      <c r="Q426" t="str">
        <f t="shared" si="26"/>
        <v>OK</v>
      </c>
      <c r="R426" t="str">
        <f t="shared" si="27"/>
        <v>OK</v>
      </c>
    </row>
    <row r="427" spans="1:18" x14ac:dyDescent="0.3">
      <c r="A427" s="1">
        <v>45814</v>
      </c>
      <c r="B427" s="2" t="s">
        <v>2617</v>
      </c>
      <c r="C427" s="2" t="s">
        <v>2521</v>
      </c>
      <c r="D427" s="2" t="s">
        <v>2528</v>
      </c>
      <c r="E427" s="2" t="s">
        <v>2517</v>
      </c>
      <c r="F427" s="3">
        <v>78135</v>
      </c>
      <c r="G427" s="3">
        <v>5223</v>
      </c>
      <c r="H427" s="3">
        <v>128</v>
      </c>
      <c r="I427" s="4">
        <v>5918.46</v>
      </c>
      <c r="J427" s="4">
        <v>23620.09</v>
      </c>
      <c r="K427" s="3">
        <v>82</v>
      </c>
      <c r="L427" s="2" t="s">
        <v>2536</v>
      </c>
      <c r="M427" s="2" t="s">
        <v>2526</v>
      </c>
      <c r="N427" s="6">
        <f t="shared" si="24"/>
        <v>1</v>
      </c>
      <c r="O427" t="str">
        <f>IF(Tabla_control[[#This Row],[Control_duplicados]]&gt;1,"Duplicado","Unico")</f>
        <v>Unico</v>
      </c>
      <c r="P427" t="str">
        <f t="shared" si="25"/>
        <v>OK</v>
      </c>
      <c r="Q427" t="str">
        <f t="shared" si="26"/>
        <v>OK</v>
      </c>
      <c r="R427" t="str">
        <f t="shared" si="27"/>
        <v>OK</v>
      </c>
    </row>
    <row r="428" spans="1:18" x14ac:dyDescent="0.3">
      <c r="A428" s="1">
        <v>45669</v>
      </c>
      <c r="B428" s="2" t="s">
        <v>2630</v>
      </c>
      <c r="C428" s="2" t="s">
        <v>2521</v>
      </c>
      <c r="D428" s="2" t="s">
        <v>2531</v>
      </c>
      <c r="E428" s="2" t="s">
        <v>2529</v>
      </c>
      <c r="F428" s="3">
        <v>134369</v>
      </c>
      <c r="G428" s="3">
        <v>8040</v>
      </c>
      <c r="H428" s="3">
        <v>427</v>
      </c>
      <c r="I428" s="4">
        <v>13056.82</v>
      </c>
      <c r="J428" s="4">
        <v>80392.05</v>
      </c>
      <c r="K428" s="3">
        <v>266</v>
      </c>
      <c r="L428" s="2" t="s">
        <v>2536</v>
      </c>
      <c r="M428" s="2" t="s">
        <v>2537</v>
      </c>
      <c r="N428" s="6">
        <f t="shared" si="24"/>
        <v>1</v>
      </c>
      <c r="O428" t="str">
        <f>IF(Tabla_control[[#This Row],[Control_duplicados]]&gt;1,"Duplicado","Unico")</f>
        <v>Unico</v>
      </c>
      <c r="P428" t="str">
        <f t="shared" si="25"/>
        <v>OK</v>
      </c>
      <c r="Q428" t="str">
        <f t="shared" si="26"/>
        <v>OK</v>
      </c>
      <c r="R428" t="str">
        <f t="shared" si="27"/>
        <v>OK</v>
      </c>
    </row>
    <row r="429" spans="1:18" x14ac:dyDescent="0.3">
      <c r="A429" s="1">
        <v>45836</v>
      </c>
      <c r="B429" s="2" t="s">
        <v>2618</v>
      </c>
      <c r="C429" s="2" t="s">
        <v>2541</v>
      </c>
      <c r="D429" s="2" t="s">
        <v>2531</v>
      </c>
      <c r="E429" s="2" t="s">
        <v>2517</v>
      </c>
      <c r="F429" s="3">
        <v>47711</v>
      </c>
      <c r="G429" s="3">
        <v>894</v>
      </c>
      <c r="H429" s="3">
        <v>84</v>
      </c>
      <c r="I429" s="4">
        <v>268.14999999999998</v>
      </c>
      <c r="J429" s="4">
        <v>3265.59</v>
      </c>
      <c r="K429" s="3">
        <v>43</v>
      </c>
      <c r="L429" s="2" t="s">
        <v>2536</v>
      </c>
      <c r="M429" s="2" t="s">
        <v>2526</v>
      </c>
      <c r="N429" s="6">
        <f t="shared" si="24"/>
        <v>1</v>
      </c>
      <c r="O429" t="str">
        <f>IF(Tabla_control[[#This Row],[Control_duplicados]]&gt;1,"Duplicado","Unico")</f>
        <v>Unico</v>
      </c>
      <c r="P429" t="str">
        <f t="shared" si="25"/>
        <v>OK</v>
      </c>
      <c r="Q429" t="str">
        <f t="shared" si="26"/>
        <v>OK</v>
      </c>
      <c r="R429" t="str">
        <f t="shared" si="27"/>
        <v>OK</v>
      </c>
    </row>
    <row r="430" spans="1:18" x14ac:dyDescent="0.3">
      <c r="A430" s="1">
        <v>45756</v>
      </c>
      <c r="B430" s="2" t="s">
        <v>2642</v>
      </c>
      <c r="C430" s="2" t="s">
        <v>2527</v>
      </c>
      <c r="D430" s="2" t="s">
        <v>2528</v>
      </c>
      <c r="E430" s="2" t="s">
        <v>2534</v>
      </c>
      <c r="F430" s="3">
        <v>94135</v>
      </c>
      <c r="G430" s="3">
        <v>8436</v>
      </c>
      <c r="H430" s="3">
        <v>763</v>
      </c>
      <c r="I430" s="4">
        <v>6389.71</v>
      </c>
      <c r="J430" s="4">
        <v>87038.18</v>
      </c>
      <c r="K430" s="3">
        <v>617</v>
      </c>
      <c r="L430" s="2" t="s">
        <v>2539</v>
      </c>
      <c r="M430" s="2" t="s">
        <v>2519</v>
      </c>
      <c r="N430" s="6">
        <f t="shared" si="24"/>
        <v>1</v>
      </c>
      <c r="O430" t="str">
        <f>IF(Tabla_control[[#This Row],[Control_duplicados]]&gt;1,"Duplicado","Unico")</f>
        <v>Unico</v>
      </c>
      <c r="P430" t="str">
        <f t="shared" si="25"/>
        <v>OK</v>
      </c>
      <c r="Q430" t="str">
        <f t="shared" si="26"/>
        <v>OK</v>
      </c>
      <c r="R430" t="str">
        <f t="shared" si="27"/>
        <v>OK</v>
      </c>
    </row>
    <row r="431" spans="1:18" x14ac:dyDescent="0.3">
      <c r="A431" s="1">
        <v>45667</v>
      </c>
      <c r="B431" s="2" t="s">
        <v>2633</v>
      </c>
      <c r="C431" s="2" t="s">
        <v>2521</v>
      </c>
      <c r="D431" s="2" t="s">
        <v>2522</v>
      </c>
      <c r="E431" s="2" t="s">
        <v>2517</v>
      </c>
      <c r="F431" s="3">
        <v>156784</v>
      </c>
      <c r="G431" s="3">
        <v>12189</v>
      </c>
      <c r="H431" s="3">
        <v>1133</v>
      </c>
      <c r="I431" s="4">
        <v>21486.76</v>
      </c>
      <c r="J431" s="4">
        <v>61293.279999999999</v>
      </c>
      <c r="K431" s="3">
        <v>957</v>
      </c>
      <c r="L431" s="2" t="s">
        <v>2523</v>
      </c>
      <c r="M431" s="2" t="s">
        <v>2537</v>
      </c>
      <c r="N431" s="6">
        <f t="shared" si="24"/>
        <v>1</v>
      </c>
      <c r="O431" t="str">
        <f>IF(Tabla_control[[#This Row],[Control_duplicados]]&gt;1,"Duplicado","Unico")</f>
        <v>Unico</v>
      </c>
      <c r="P431" t="str">
        <f t="shared" si="25"/>
        <v>OK</v>
      </c>
      <c r="Q431" t="str">
        <f t="shared" si="26"/>
        <v>OK</v>
      </c>
      <c r="R431" t="str">
        <f t="shared" si="27"/>
        <v>OK</v>
      </c>
    </row>
    <row r="432" spans="1:18" x14ac:dyDescent="0.3">
      <c r="A432" s="1">
        <v>46004</v>
      </c>
      <c r="B432" s="2" t="s">
        <v>2620</v>
      </c>
      <c r="C432" s="2" t="s">
        <v>2543</v>
      </c>
      <c r="D432" s="2" t="s">
        <v>2528</v>
      </c>
      <c r="E432" s="2" t="s">
        <v>2529</v>
      </c>
      <c r="F432" s="3">
        <v>25611</v>
      </c>
      <c r="G432" s="3">
        <v>2071</v>
      </c>
      <c r="H432" s="3">
        <v>43</v>
      </c>
      <c r="I432" s="4">
        <v>4220.7</v>
      </c>
      <c r="J432" s="4">
        <v>7609.47</v>
      </c>
      <c r="K432" s="3">
        <v>21</v>
      </c>
      <c r="L432" s="2" t="s">
        <v>2536</v>
      </c>
      <c r="M432" s="2" t="s">
        <v>2537</v>
      </c>
      <c r="N432" s="6">
        <f t="shared" si="24"/>
        <v>1</v>
      </c>
      <c r="O432" t="str">
        <f>IF(Tabla_control[[#This Row],[Control_duplicados]]&gt;1,"Duplicado","Unico")</f>
        <v>Unico</v>
      </c>
      <c r="P432" t="str">
        <f t="shared" si="25"/>
        <v>OK</v>
      </c>
      <c r="Q432" t="str">
        <f t="shared" si="26"/>
        <v>OK</v>
      </c>
      <c r="R432" t="str">
        <f t="shared" si="27"/>
        <v>OK</v>
      </c>
    </row>
    <row r="433" spans="1:18" x14ac:dyDescent="0.3">
      <c r="A433" s="1">
        <v>45731</v>
      </c>
      <c r="B433" s="2" t="s">
        <v>2632</v>
      </c>
      <c r="C433" s="2" t="s">
        <v>2533</v>
      </c>
      <c r="D433" s="2" t="s">
        <v>2528</v>
      </c>
      <c r="E433" s="2" t="s">
        <v>2529</v>
      </c>
      <c r="F433" s="3">
        <v>40730</v>
      </c>
      <c r="G433" s="3">
        <v>3636</v>
      </c>
      <c r="H433" s="3">
        <v>381</v>
      </c>
      <c r="I433" s="4">
        <v>4781.92</v>
      </c>
      <c r="J433" s="4">
        <v>63941.7</v>
      </c>
      <c r="K433" s="3">
        <v>308</v>
      </c>
      <c r="L433" s="2" t="s">
        <v>2536</v>
      </c>
      <c r="M433" s="2" t="s">
        <v>2546</v>
      </c>
      <c r="N433" s="6">
        <f t="shared" si="24"/>
        <v>1</v>
      </c>
      <c r="O433" t="str">
        <f>IF(Tabla_control[[#This Row],[Control_duplicados]]&gt;1,"Duplicado","Unico")</f>
        <v>Unico</v>
      </c>
      <c r="P433" t="str">
        <f t="shared" si="25"/>
        <v>OK</v>
      </c>
      <c r="Q433" t="str">
        <f t="shared" si="26"/>
        <v>OK</v>
      </c>
      <c r="R433" t="str">
        <f t="shared" si="27"/>
        <v>OK</v>
      </c>
    </row>
    <row r="434" spans="1:18" x14ac:dyDescent="0.3">
      <c r="A434" s="1">
        <v>45694</v>
      </c>
      <c r="B434" s="2" t="s">
        <v>2632</v>
      </c>
      <c r="C434" s="2" t="s">
        <v>2533</v>
      </c>
      <c r="D434" s="2" t="s">
        <v>2516</v>
      </c>
      <c r="E434" s="2" t="s">
        <v>2517</v>
      </c>
      <c r="F434" s="3">
        <v>87539</v>
      </c>
      <c r="G434" s="3">
        <v>1841</v>
      </c>
      <c r="H434" s="3">
        <v>185</v>
      </c>
      <c r="I434" s="4">
        <v>1910.38</v>
      </c>
      <c r="J434" s="4">
        <v>22123.87</v>
      </c>
      <c r="K434" s="3">
        <v>137</v>
      </c>
      <c r="L434" s="2" t="s">
        <v>2536</v>
      </c>
      <c r="M434" s="2" t="s">
        <v>2519</v>
      </c>
      <c r="N434" s="6">
        <f t="shared" si="24"/>
        <v>1</v>
      </c>
      <c r="O434" t="str">
        <f>IF(Tabla_control[[#This Row],[Control_duplicados]]&gt;1,"Duplicado","Unico")</f>
        <v>Unico</v>
      </c>
      <c r="P434" t="str">
        <f t="shared" si="25"/>
        <v>OK</v>
      </c>
      <c r="Q434" t="str">
        <f t="shared" si="26"/>
        <v>OK</v>
      </c>
      <c r="R434" t="str">
        <f t="shared" si="27"/>
        <v>OK</v>
      </c>
    </row>
    <row r="435" spans="1:18" x14ac:dyDescent="0.3">
      <c r="A435" s="1">
        <v>45955</v>
      </c>
      <c r="B435" s="2" t="s">
        <v>2615</v>
      </c>
      <c r="C435" s="2" t="s">
        <v>2541</v>
      </c>
      <c r="D435" s="2" t="s">
        <v>2528</v>
      </c>
      <c r="E435" s="2" t="s">
        <v>2517</v>
      </c>
      <c r="F435" s="3">
        <v>44272</v>
      </c>
      <c r="G435" s="3">
        <v>2043</v>
      </c>
      <c r="H435" s="3">
        <v>195</v>
      </c>
      <c r="I435" s="4">
        <v>3078</v>
      </c>
      <c r="J435" s="4">
        <v>41792.660000000003</v>
      </c>
      <c r="K435" s="3">
        <v>113</v>
      </c>
      <c r="L435" s="2" t="s">
        <v>2518</v>
      </c>
      <c r="M435" s="2" t="s">
        <v>2524</v>
      </c>
      <c r="N435" s="6">
        <f t="shared" si="24"/>
        <v>1</v>
      </c>
      <c r="O435" t="str">
        <f>IF(Tabla_control[[#This Row],[Control_duplicados]]&gt;1,"Duplicado","Unico")</f>
        <v>Unico</v>
      </c>
      <c r="P435" t="str">
        <f t="shared" si="25"/>
        <v>OK</v>
      </c>
      <c r="Q435" t="str">
        <f t="shared" si="26"/>
        <v>OK</v>
      </c>
      <c r="R435" t="str">
        <f t="shared" si="27"/>
        <v>OK</v>
      </c>
    </row>
    <row r="436" spans="1:18" x14ac:dyDescent="0.3">
      <c r="A436" s="1">
        <v>45849</v>
      </c>
      <c r="B436" s="2" t="s">
        <v>2642</v>
      </c>
      <c r="C436" s="2" t="s">
        <v>2533</v>
      </c>
      <c r="D436" s="2" t="s">
        <v>2528</v>
      </c>
      <c r="E436" s="2" t="s">
        <v>2529</v>
      </c>
      <c r="F436" s="3">
        <v>115801</v>
      </c>
      <c r="G436" s="3">
        <v>6196</v>
      </c>
      <c r="H436" s="3">
        <v>675</v>
      </c>
      <c r="I436" s="4">
        <v>4076.09</v>
      </c>
      <c r="J436" s="4">
        <v>33277.96</v>
      </c>
      <c r="K436" s="3">
        <v>431</v>
      </c>
      <c r="L436" s="2" t="s">
        <v>2539</v>
      </c>
      <c r="M436" s="2" t="s">
        <v>2524</v>
      </c>
      <c r="N436" s="6">
        <f t="shared" si="24"/>
        <v>1</v>
      </c>
      <c r="O436" t="str">
        <f>IF(Tabla_control[[#This Row],[Control_duplicados]]&gt;1,"Duplicado","Unico")</f>
        <v>Unico</v>
      </c>
      <c r="P436" t="str">
        <f t="shared" si="25"/>
        <v>OK</v>
      </c>
      <c r="Q436" t="str">
        <f t="shared" si="26"/>
        <v>OK</v>
      </c>
      <c r="R436" t="str">
        <f t="shared" si="27"/>
        <v>OK</v>
      </c>
    </row>
    <row r="437" spans="1:18" x14ac:dyDescent="0.3">
      <c r="A437" s="1">
        <v>45832</v>
      </c>
      <c r="B437" s="2" t="s">
        <v>2637</v>
      </c>
      <c r="C437" s="2" t="s">
        <v>2541</v>
      </c>
      <c r="D437" s="2" t="s">
        <v>2528</v>
      </c>
      <c r="E437" s="2" t="s">
        <v>2534</v>
      </c>
      <c r="F437" s="3">
        <v>105120</v>
      </c>
      <c r="G437" s="3">
        <v>2170</v>
      </c>
      <c r="H437" s="3">
        <v>229</v>
      </c>
      <c r="I437" s="4">
        <v>4271.96</v>
      </c>
      <c r="J437" s="4">
        <v>50132.56</v>
      </c>
      <c r="K437" s="3">
        <v>183</v>
      </c>
      <c r="L437" s="2" t="s">
        <v>2536</v>
      </c>
      <c r="M437" s="2" t="s">
        <v>2546</v>
      </c>
      <c r="N437" s="6">
        <f t="shared" si="24"/>
        <v>1</v>
      </c>
      <c r="O437" t="str">
        <f>IF(Tabla_control[[#This Row],[Control_duplicados]]&gt;1,"Duplicado","Unico")</f>
        <v>Unico</v>
      </c>
      <c r="P437" t="str">
        <f t="shared" si="25"/>
        <v>OK</v>
      </c>
      <c r="Q437" t="str">
        <f t="shared" si="26"/>
        <v>OK</v>
      </c>
      <c r="R437" t="str">
        <f t="shared" si="27"/>
        <v>OK</v>
      </c>
    </row>
    <row r="438" spans="1:18" x14ac:dyDescent="0.3">
      <c r="A438" s="1">
        <v>45918</v>
      </c>
      <c r="B438" s="2" t="s">
        <v>2625</v>
      </c>
      <c r="C438" s="2" t="s">
        <v>2515</v>
      </c>
      <c r="D438" s="2" t="s">
        <v>2516</v>
      </c>
      <c r="E438" s="2" t="s">
        <v>2529</v>
      </c>
      <c r="F438" s="3">
        <v>143256</v>
      </c>
      <c r="G438" s="3">
        <v>10691</v>
      </c>
      <c r="H438" s="3">
        <v>273</v>
      </c>
      <c r="I438" s="4">
        <v>6904.85</v>
      </c>
      <c r="J438" s="4">
        <v>19851.86</v>
      </c>
      <c r="K438" s="3">
        <v>188</v>
      </c>
      <c r="L438" s="2" t="s">
        <v>2523</v>
      </c>
      <c r="M438" s="2" t="s">
        <v>2546</v>
      </c>
      <c r="N438" s="6">
        <f t="shared" si="24"/>
        <v>1</v>
      </c>
      <c r="O438" t="str">
        <f>IF(Tabla_control[[#This Row],[Control_duplicados]]&gt;1,"Duplicado","Unico")</f>
        <v>Unico</v>
      </c>
      <c r="P438" t="str">
        <f t="shared" si="25"/>
        <v>OK</v>
      </c>
      <c r="Q438" t="str">
        <f t="shared" si="26"/>
        <v>OK</v>
      </c>
      <c r="R438" t="str">
        <f t="shared" si="27"/>
        <v>OK</v>
      </c>
    </row>
    <row r="439" spans="1:18" x14ac:dyDescent="0.3">
      <c r="A439" s="1">
        <v>45996</v>
      </c>
      <c r="B439" s="2" t="s">
        <v>2627</v>
      </c>
      <c r="C439" s="2" t="s">
        <v>2527</v>
      </c>
      <c r="D439" s="2" t="s">
        <v>2531</v>
      </c>
      <c r="E439" s="2" t="s">
        <v>2529</v>
      </c>
      <c r="F439" s="3">
        <v>99547</v>
      </c>
      <c r="G439" s="3">
        <v>7401</v>
      </c>
      <c r="H439" s="3">
        <v>292</v>
      </c>
      <c r="I439" s="4">
        <v>10224.870000000001</v>
      </c>
      <c r="J439" s="4">
        <v>35197.199999999997</v>
      </c>
      <c r="K439" s="3">
        <v>185</v>
      </c>
      <c r="L439" s="2" t="s">
        <v>2523</v>
      </c>
      <c r="M439" s="2" t="s">
        <v>2519</v>
      </c>
      <c r="N439" s="6">
        <f t="shared" si="24"/>
        <v>1</v>
      </c>
      <c r="O439" t="str">
        <f>IF(Tabla_control[[#This Row],[Control_duplicados]]&gt;1,"Duplicado","Unico")</f>
        <v>Unico</v>
      </c>
      <c r="P439" t="str">
        <f t="shared" si="25"/>
        <v>OK</v>
      </c>
      <c r="Q439" t="str">
        <f t="shared" si="26"/>
        <v>OK</v>
      </c>
      <c r="R439" t="str">
        <f t="shared" si="27"/>
        <v>OK</v>
      </c>
    </row>
    <row r="440" spans="1:18" x14ac:dyDescent="0.3">
      <c r="A440" s="1">
        <v>45908</v>
      </c>
      <c r="B440" s="2" t="s">
        <v>2638</v>
      </c>
      <c r="C440" s="2" t="s">
        <v>2515</v>
      </c>
      <c r="D440" s="2" t="s">
        <v>2528</v>
      </c>
      <c r="E440" s="2" t="s">
        <v>2517</v>
      </c>
      <c r="F440" s="3">
        <v>167919</v>
      </c>
      <c r="G440" s="3">
        <v>1854</v>
      </c>
      <c r="H440" s="3">
        <v>32</v>
      </c>
      <c r="I440" s="4">
        <v>3041.75</v>
      </c>
      <c r="J440" s="4">
        <v>2328.15</v>
      </c>
      <c r="K440" s="3">
        <v>23</v>
      </c>
      <c r="L440" s="2" t="s">
        <v>2518</v>
      </c>
      <c r="M440" s="2" t="s">
        <v>2524</v>
      </c>
      <c r="N440" s="6">
        <f t="shared" si="24"/>
        <v>1</v>
      </c>
      <c r="O440" t="str">
        <f>IF(Tabla_control[[#This Row],[Control_duplicados]]&gt;1,"Duplicado","Unico")</f>
        <v>Unico</v>
      </c>
      <c r="P440" t="str">
        <f t="shared" si="25"/>
        <v>OK</v>
      </c>
      <c r="Q440" t="str">
        <f t="shared" si="26"/>
        <v>OK</v>
      </c>
      <c r="R440" t="str">
        <f t="shared" si="27"/>
        <v>OK</v>
      </c>
    </row>
    <row r="441" spans="1:18" x14ac:dyDescent="0.3">
      <c r="A441" s="1">
        <v>45661</v>
      </c>
      <c r="B441" s="2" t="s">
        <v>2629</v>
      </c>
      <c r="C441" s="2" t="s">
        <v>2527</v>
      </c>
      <c r="D441" s="2" t="s">
        <v>2528</v>
      </c>
      <c r="E441" s="2" t="s">
        <v>2517</v>
      </c>
      <c r="F441" s="3">
        <v>170089</v>
      </c>
      <c r="G441" s="3">
        <v>12604</v>
      </c>
      <c r="H441" s="3">
        <v>1055</v>
      </c>
      <c r="I441" s="4">
        <v>26436.6</v>
      </c>
      <c r="J441" s="4">
        <v>209689.75</v>
      </c>
      <c r="K441" s="3">
        <v>706</v>
      </c>
      <c r="L441" s="2" t="s">
        <v>2518</v>
      </c>
      <c r="M441" s="2" t="s">
        <v>2519</v>
      </c>
      <c r="N441" s="6">
        <f t="shared" si="24"/>
        <v>1</v>
      </c>
      <c r="O441" t="str">
        <f>IF(Tabla_control[[#This Row],[Control_duplicados]]&gt;1,"Duplicado","Unico")</f>
        <v>Unico</v>
      </c>
      <c r="P441" t="str">
        <f t="shared" si="25"/>
        <v>OK</v>
      </c>
      <c r="Q441" t="str">
        <f t="shared" si="26"/>
        <v>OK</v>
      </c>
      <c r="R441" t="str">
        <f t="shared" si="27"/>
        <v>OK</v>
      </c>
    </row>
    <row r="442" spans="1:18" x14ac:dyDescent="0.3">
      <c r="A442" s="1">
        <v>45766</v>
      </c>
      <c r="B442" s="2" t="s">
        <v>2640</v>
      </c>
      <c r="C442" s="2" t="s">
        <v>2533</v>
      </c>
      <c r="D442" s="2" t="s">
        <v>2516</v>
      </c>
      <c r="E442" s="2" t="s">
        <v>2534</v>
      </c>
      <c r="F442" s="3">
        <v>101989</v>
      </c>
      <c r="G442" s="3">
        <v>4324</v>
      </c>
      <c r="H442" s="3">
        <v>366</v>
      </c>
      <c r="I442" s="4">
        <v>4400.8599999999997</v>
      </c>
      <c r="J442" s="4">
        <v>19356.11</v>
      </c>
      <c r="K442" s="3">
        <v>293</v>
      </c>
      <c r="L442" s="2" t="s">
        <v>2536</v>
      </c>
      <c r="M442" s="2" t="s">
        <v>2526</v>
      </c>
      <c r="N442" s="6">
        <f t="shared" si="24"/>
        <v>1</v>
      </c>
      <c r="O442" t="str">
        <f>IF(Tabla_control[[#This Row],[Control_duplicados]]&gt;1,"Duplicado","Unico")</f>
        <v>Unico</v>
      </c>
      <c r="P442" t="str">
        <f t="shared" si="25"/>
        <v>OK</v>
      </c>
      <c r="Q442" t="str">
        <f t="shared" si="26"/>
        <v>OK</v>
      </c>
      <c r="R442" t="str">
        <f t="shared" si="27"/>
        <v>OK</v>
      </c>
    </row>
    <row r="443" spans="1:18" x14ac:dyDescent="0.3">
      <c r="A443" s="1">
        <v>45781</v>
      </c>
      <c r="B443" s="2" t="s">
        <v>2632</v>
      </c>
      <c r="C443" s="2" t="s">
        <v>2543</v>
      </c>
      <c r="D443" s="2" t="s">
        <v>2525</v>
      </c>
      <c r="E443" s="2" t="s">
        <v>2529</v>
      </c>
      <c r="F443" s="3">
        <v>163343</v>
      </c>
      <c r="G443" s="3">
        <v>3081</v>
      </c>
      <c r="H443" s="3">
        <v>329</v>
      </c>
      <c r="I443" s="4">
        <v>5992.97</v>
      </c>
      <c r="J443" s="4">
        <v>56078.12</v>
      </c>
      <c r="K443" s="3">
        <v>236</v>
      </c>
      <c r="L443" s="2" t="s">
        <v>2539</v>
      </c>
      <c r="M443" s="2" t="s">
        <v>2526</v>
      </c>
      <c r="N443" s="6">
        <f t="shared" si="24"/>
        <v>1</v>
      </c>
      <c r="O443" t="str">
        <f>IF(Tabla_control[[#This Row],[Control_duplicados]]&gt;1,"Duplicado","Unico")</f>
        <v>Unico</v>
      </c>
      <c r="P443" t="str">
        <f t="shared" si="25"/>
        <v>OK</v>
      </c>
      <c r="Q443" t="str">
        <f t="shared" si="26"/>
        <v>OK</v>
      </c>
      <c r="R443" t="str">
        <f t="shared" si="27"/>
        <v>OK</v>
      </c>
    </row>
    <row r="444" spans="1:18" x14ac:dyDescent="0.3">
      <c r="A444" s="1">
        <v>45666</v>
      </c>
      <c r="B444" s="2" t="s">
        <v>2626</v>
      </c>
      <c r="C444" s="2" t="s">
        <v>2533</v>
      </c>
      <c r="D444" s="2" t="s">
        <v>2528</v>
      </c>
      <c r="E444" s="2" t="s">
        <v>2529</v>
      </c>
      <c r="F444" s="3">
        <v>37704</v>
      </c>
      <c r="G444" s="3">
        <v>1830</v>
      </c>
      <c r="H444" s="3">
        <v>232</v>
      </c>
      <c r="I444" s="4">
        <v>1541.86</v>
      </c>
      <c r="J444" s="4">
        <v>6678.72</v>
      </c>
      <c r="K444" s="3">
        <v>170</v>
      </c>
      <c r="L444" s="2" t="s">
        <v>2539</v>
      </c>
      <c r="M444" s="2" t="s">
        <v>2546</v>
      </c>
      <c r="N444" s="6">
        <f t="shared" si="24"/>
        <v>1</v>
      </c>
      <c r="O444" t="str">
        <f>IF(Tabla_control[[#This Row],[Control_duplicados]]&gt;1,"Duplicado","Unico")</f>
        <v>Unico</v>
      </c>
      <c r="P444" t="str">
        <f t="shared" si="25"/>
        <v>OK</v>
      </c>
      <c r="Q444" t="str">
        <f t="shared" si="26"/>
        <v>OK</v>
      </c>
      <c r="R444" t="str">
        <f t="shared" si="27"/>
        <v>OK</v>
      </c>
    </row>
    <row r="445" spans="1:18" x14ac:dyDescent="0.3">
      <c r="A445" s="1">
        <v>45934</v>
      </c>
      <c r="B445" s="2" t="s">
        <v>2622</v>
      </c>
      <c r="C445" s="2" t="s">
        <v>2543</v>
      </c>
      <c r="D445" s="2" t="s">
        <v>2525</v>
      </c>
      <c r="E445" s="2" t="s">
        <v>2529</v>
      </c>
      <c r="F445" s="3">
        <v>98300</v>
      </c>
      <c r="G445" s="3">
        <v>4012</v>
      </c>
      <c r="H445" s="3">
        <v>436</v>
      </c>
      <c r="I445" s="4">
        <v>7101.02</v>
      </c>
      <c r="J445" s="4">
        <v>51097.13</v>
      </c>
      <c r="K445" s="3">
        <v>253</v>
      </c>
      <c r="L445" s="2" t="s">
        <v>2539</v>
      </c>
      <c r="M445" s="2" t="s">
        <v>2519</v>
      </c>
      <c r="N445" s="6">
        <f t="shared" si="24"/>
        <v>2</v>
      </c>
      <c r="O445" t="str">
        <f>IF(Tabla_control[[#This Row],[Control_duplicados]]&gt;1,"Duplicado","Unico")</f>
        <v>Duplicado</v>
      </c>
      <c r="P445" t="str">
        <f t="shared" si="25"/>
        <v>OK</v>
      </c>
      <c r="Q445" t="str">
        <f t="shared" si="26"/>
        <v>OK</v>
      </c>
      <c r="R445" t="str">
        <f t="shared" si="27"/>
        <v>OK</v>
      </c>
    </row>
    <row r="446" spans="1:18" x14ac:dyDescent="0.3">
      <c r="A446" s="1">
        <v>45728</v>
      </c>
      <c r="B446" s="2" t="s">
        <v>2637</v>
      </c>
      <c r="C446" s="2" t="s">
        <v>2515</v>
      </c>
      <c r="D446" s="2" t="s">
        <v>2528</v>
      </c>
      <c r="E446" s="2" t="s">
        <v>2529</v>
      </c>
      <c r="F446" s="3">
        <v>37178</v>
      </c>
      <c r="G446" s="3">
        <v>688</v>
      </c>
      <c r="H446" s="3">
        <v>78</v>
      </c>
      <c r="I446" s="4">
        <v>71.44</v>
      </c>
      <c r="J446" s="4">
        <v>2202.84</v>
      </c>
      <c r="K446" s="3">
        <v>64</v>
      </c>
      <c r="L446" s="2" t="s">
        <v>2536</v>
      </c>
      <c r="M446" s="2" t="s">
        <v>2519</v>
      </c>
      <c r="N446" s="6">
        <f t="shared" si="24"/>
        <v>1</v>
      </c>
      <c r="O446" t="str">
        <f>IF(Tabla_control[[#This Row],[Control_duplicados]]&gt;1,"Duplicado","Unico")</f>
        <v>Unico</v>
      </c>
      <c r="P446" t="str">
        <f t="shared" si="25"/>
        <v>OK</v>
      </c>
      <c r="Q446" t="str">
        <f t="shared" si="26"/>
        <v>OK</v>
      </c>
      <c r="R446" t="str">
        <f t="shared" si="27"/>
        <v>OK</v>
      </c>
    </row>
    <row r="447" spans="1:18" x14ac:dyDescent="0.3">
      <c r="A447" s="1">
        <v>46010</v>
      </c>
      <c r="B447" s="2" t="s">
        <v>2626</v>
      </c>
      <c r="C447" s="2" t="s">
        <v>2543</v>
      </c>
      <c r="D447" s="2" t="s">
        <v>2528</v>
      </c>
      <c r="E447" s="2" t="s">
        <v>2529</v>
      </c>
      <c r="F447" s="3">
        <v>20305</v>
      </c>
      <c r="G447" s="3">
        <v>818</v>
      </c>
      <c r="H447" s="3">
        <v>70</v>
      </c>
      <c r="I447" s="4">
        <v>1507.51</v>
      </c>
      <c r="J447" s="4">
        <v>12332.9</v>
      </c>
      <c r="K447" s="3">
        <v>36</v>
      </c>
      <c r="L447" s="2" t="s">
        <v>2539</v>
      </c>
      <c r="M447" s="2" t="s">
        <v>2526</v>
      </c>
      <c r="N447" s="6">
        <f t="shared" si="24"/>
        <v>1</v>
      </c>
      <c r="O447" t="str">
        <f>IF(Tabla_control[[#This Row],[Control_duplicados]]&gt;1,"Duplicado","Unico")</f>
        <v>Unico</v>
      </c>
      <c r="P447" t="str">
        <f t="shared" si="25"/>
        <v>OK</v>
      </c>
      <c r="Q447" t="str">
        <f t="shared" si="26"/>
        <v>OK</v>
      </c>
      <c r="R447" t="str">
        <f t="shared" si="27"/>
        <v>OK</v>
      </c>
    </row>
    <row r="448" spans="1:18" x14ac:dyDescent="0.3">
      <c r="A448" s="1">
        <v>45782</v>
      </c>
      <c r="B448" s="2" t="s">
        <v>2640</v>
      </c>
      <c r="C448" s="2" t="s">
        <v>2527</v>
      </c>
      <c r="D448" s="2" t="s">
        <v>2516</v>
      </c>
      <c r="E448" s="2" t="s">
        <v>2517</v>
      </c>
      <c r="F448" s="3">
        <v>35325</v>
      </c>
      <c r="G448" s="3">
        <v>2472</v>
      </c>
      <c r="H448" s="3">
        <v>308</v>
      </c>
      <c r="I448" s="4">
        <v>3375</v>
      </c>
      <c r="J448" s="4">
        <v>14283.69</v>
      </c>
      <c r="K448" s="3">
        <v>201</v>
      </c>
      <c r="L448" s="2" t="s">
        <v>2523</v>
      </c>
      <c r="M448" s="2" t="s">
        <v>2519</v>
      </c>
      <c r="N448" s="6">
        <f t="shared" si="24"/>
        <v>1</v>
      </c>
      <c r="O448" t="str">
        <f>IF(Tabla_control[[#This Row],[Control_duplicados]]&gt;1,"Duplicado","Unico")</f>
        <v>Unico</v>
      </c>
      <c r="P448" t="str">
        <f t="shared" si="25"/>
        <v>OK</v>
      </c>
      <c r="Q448" t="str">
        <f t="shared" si="26"/>
        <v>OK</v>
      </c>
      <c r="R448" t="str">
        <f t="shared" si="27"/>
        <v>OK</v>
      </c>
    </row>
    <row r="449" spans="1:18" x14ac:dyDescent="0.3">
      <c r="A449" s="1">
        <v>45917</v>
      </c>
      <c r="B449" s="2" t="s">
        <v>2633</v>
      </c>
      <c r="C449" s="2" t="s">
        <v>2543</v>
      </c>
      <c r="D449" s="2" t="s">
        <v>2531</v>
      </c>
      <c r="E449" s="2" t="s">
        <v>2529</v>
      </c>
      <c r="F449" s="3">
        <v>152185</v>
      </c>
      <c r="G449" s="3">
        <v>4715</v>
      </c>
      <c r="H449" s="3">
        <v>384</v>
      </c>
      <c r="I449" s="4">
        <v>6919.95</v>
      </c>
      <c r="J449" s="4">
        <v>9966.42</v>
      </c>
      <c r="K449" s="3">
        <v>282</v>
      </c>
      <c r="L449" s="2" t="s">
        <v>2523</v>
      </c>
      <c r="M449" s="2" t="s">
        <v>2524</v>
      </c>
      <c r="N449" s="6">
        <f t="shared" si="24"/>
        <v>1</v>
      </c>
      <c r="O449" t="str">
        <f>IF(Tabla_control[[#This Row],[Control_duplicados]]&gt;1,"Duplicado","Unico")</f>
        <v>Unico</v>
      </c>
      <c r="P449" t="str">
        <f t="shared" si="25"/>
        <v>OK</v>
      </c>
      <c r="Q449" t="str">
        <f t="shared" si="26"/>
        <v>OK</v>
      </c>
      <c r="R449" t="str">
        <f t="shared" si="27"/>
        <v>OK</v>
      </c>
    </row>
    <row r="450" spans="1:18" x14ac:dyDescent="0.3">
      <c r="A450" s="1">
        <v>45884</v>
      </c>
      <c r="B450" s="2" t="s">
        <v>2643</v>
      </c>
      <c r="C450" s="2" t="s">
        <v>2527</v>
      </c>
      <c r="D450" s="2" t="s">
        <v>2528</v>
      </c>
      <c r="E450" s="2" t="s">
        <v>2529</v>
      </c>
      <c r="F450" s="3">
        <v>18638</v>
      </c>
      <c r="G450" s="3">
        <v>449</v>
      </c>
      <c r="H450" s="3">
        <v>19</v>
      </c>
      <c r="I450" s="4">
        <v>719.5</v>
      </c>
      <c r="J450" s="4">
        <v>695.54</v>
      </c>
      <c r="K450" s="3">
        <v>15</v>
      </c>
      <c r="L450" s="2" t="s">
        <v>2536</v>
      </c>
      <c r="M450" s="2" t="s">
        <v>2546</v>
      </c>
      <c r="N450" s="6">
        <f t="shared" ref="N450:N513" si="28">COUNTIFS($A$2:$A$2536,A450,$B$2:$B$2536,B450,$C$2:$C$2536,C450,$D$2:$D$2536,D450,$E$2:$E$2536,E450,$F$2:$F$2536,F450,$G$2:$G$2536,G450,$H$2:$H$2536,H450,$I$2:$I$2536,I450,$J$2:$J$2536,J450,$K$2:$K$2536,K450,$L$2:$L$2536,L450,$M$2:$M$2536,M450)</f>
        <v>1</v>
      </c>
      <c r="O450" t="str">
        <f>IF(Tabla_control[[#This Row],[Control_duplicados]]&gt;1,"Duplicado","Unico")</f>
        <v>Unico</v>
      </c>
      <c r="P450" t="str">
        <f t="shared" ref="P450:P513" si="29">IF(OR(I450="",I450&lt;0),"ERROR","OK")</f>
        <v>OK</v>
      </c>
      <c r="Q450" t="str">
        <f t="shared" ref="Q450:Q513" si="30">IF(H450&gt;F450,"ERROR","OK")</f>
        <v>OK</v>
      </c>
      <c r="R450" t="str">
        <f t="shared" ref="R450:R513" si="31">IF(K450&gt;H450,"ERROR","OK")</f>
        <v>OK</v>
      </c>
    </row>
    <row r="451" spans="1:18" x14ac:dyDescent="0.3">
      <c r="A451" s="1">
        <v>45681</v>
      </c>
      <c r="B451" s="2" t="s">
        <v>2620</v>
      </c>
      <c r="C451" s="2" t="s">
        <v>2527</v>
      </c>
      <c r="D451" s="2" t="s">
        <v>2528</v>
      </c>
      <c r="E451" s="2" t="s">
        <v>2529</v>
      </c>
      <c r="F451" s="3">
        <v>109206</v>
      </c>
      <c r="G451" s="3">
        <v>2154</v>
      </c>
      <c r="H451" s="3">
        <v>184</v>
      </c>
      <c r="I451" s="4">
        <v>1098.24</v>
      </c>
      <c r="J451" s="4">
        <v>12390.83</v>
      </c>
      <c r="K451" s="3">
        <v>149</v>
      </c>
      <c r="L451" s="2" t="s">
        <v>2539</v>
      </c>
      <c r="M451" s="2" t="s">
        <v>2526</v>
      </c>
      <c r="N451" s="6">
        <f t="shared" si="28"/>
        <v>1</v>
      </c>
      <c r="O451" t="str">
        <f>IF(Tabla_control[[#This Row],[Control_duplicados]]&gt;1,"Duplicado","Unico")</f>
        <v>Unico</v>
      </c>
      <c r="P451" t="str">
        <f t="shared" si="29"/>
        <v>OK</v>
      </c>
      <c r="Q451" t="str">
        <f t="shared" si="30"/>
        <v>OK</v>
      </c>
      <c r="R451" t="str">
        <f t="shared" si="31"/>
        <v>OK</v>
      </c>
    </row>
    <row r="452" spans="1:18" x14ac:dyDescent="0.3">
      <c r="A452" s="1">
        <v>45917</v>
      </c>
      <c r="B452" s="2" t="s">
        <v>2635</v>
      </c>
      <c r="C452" s="2" t="s">
        <v>2541</v>
      </c>
      <c r="D452" s="2" t="s">
        <v>2528</v>
      </c>
      <c r="E452" s="2" t="s">
        <v>2529</v>
      </c>
      <c r="F452" s="3">
        <v>85965</v>
      </c>
      <c r="G452" s="3">
        <v>7604</v>
      </c>
      <c r="H452" s="3">
        <v>978</v>
      </c>
      <c r="I452" s="4">
        <v>3516.33</v>
      </c>
      <c r="J452" s="4">
        <v>27733.89</v>
      </c>
      <c r="K452" s="3">
        <v>627</v>
      </c>
      <c r="L452" s="2" t="s">
        <v>2539</v>
      </c>
      <c r="M452" s="2" t="s">
        <v>2537</v>
      </c>
      <c r="N452" s="6">
        <f t="shared" si="28"/>
        <v>1</v>
      </c>
      <c r="O452" t="str">
        <f>IF(Tabla_control[[#This Row],[Control_duplicados]]&gt;1,"Duplicado","Unico")</f>
        <v>Unico</v>
      </c>
      <c r="P452" t="str">
        <f t="shared" si="29"/>
        <v>OK</v>
      </c>
      <c r="Q452" t="str">
        <f t="shared" si="30"/>
        <v>OK</v>
      </c>
      <c r="R452" t="str">
        <f t="shared" si="31"/>
        <v>OK</v>
      </c>
    </row>
    <row r="453" spans="1:18" x14ac:dyDescent="0.3">
      <c r="A453" s="1">
        <v>45788</v>
      </c>
      <c r="B453" s="2" t="s">
        <v>2622</v>
      </c>
      <c r="C453" s="2" t="s">
        <v>2541</v>
      </c>
      <c r="D453" s="2" t="s">
        <v>2528</v>
      </c>
      <c r="E453" s="2" t="s">
        <v>2517</v>
      </c>
      <c r="F453" s="3">
        <v>22266</v>
      </c>
      <c r="G453" s="3">
        <v>334</v>
      </c>
      <c r="H453" s="3">
        <v>15</v>
      </c>
      <c r="I453" s="4">
        <v>329.4</v>
      </c>
      <c r="J453" s="4">
        <v>2006.3</v>
      </c>
      <c r="K453" s="3">
        <v>12</v>
      </c>
      <c r="L453" s="2" t="s">
        <v>2523</v>
      </c>
      <c r="M453" s="2" t="s">
        <v>2524</v>
      </c>
      <c r="N453" s="6">
        <f t="shared" si="28"/>
        <v>1</v>
      </c>
      <c r="O453" t="str">
        <f>IF(Tabla_control[[#This Row],[Control_duplicados]]&gt;1,"Duplicado","Unico")</f>
        <v>Unico</v>
      </c>
      <c r="P453" t="str">
        <f t="shared" si="29"/>
        <v>OK</v>
      </c>
      <c r="Q453" t="str">
        <f t="shared" si="30"/>
        <v>OK</v>
      </c>
      <c r="R453" t="str">
        <f t="shared" si="31"/>
        <v>OK</v>
      </c>
    </row>
    <row r="454" spans="1:18" x14ac:dyDescent="0.3">
      <c r="A454" s="1">
        <v>45886</v>
      </c>
      <c r="B454" s="2" t="s">
        <v>2619</v>
      </c>
      <c r="C454" s="2" t="s">
        <v>2543</v>
      </c>
      <c r="D454" s="2" t="s">
        <v>2528</v>
      </c>
      <c r="E454" s="2" t="s">
        <v>2529</v>
      </c>
      <c r="F454" s="3">
        <v>126353</v>
      </c>
      <c r="G454" s="3">
        <v>7459</v>
      </c>
      <c r="H454" s="3">
        <v>420</v>
      </c>
      <c r="I454" s="4">
        <v>14410.49</v>
      </c>
      <c r="J454" s="4">
        <v>69168.399999999994</v>
      </c>
      <c r="K454" s="3">
        <v>271</v>
      </c>
      <c r="L454" s="2" t="s">
        <v>2523</v>
      </c>
      <c r="M454" s="2" t="s">
        <v>2546</v>
      </c>
      <c r="N454" s="6">
        <f t="shared" si="28"/>
        <v>1</v>
      </c>
      <c r="O454" t="str">
        <f>IF(Tabla_control[[#This Row],[Control_duplicados]]&gt;1,"Duplicado","Unico")</f>
        <v>Unico</v>
      </c>
      <c r="P454" t="str">
        <f t="shared" si="29"/>
        <v>OK</v>
      </c>
      <c r="Q454" t="str">
        <f t="shared" si="30"/>
        <v>OK</v>
      </c>
      <c r="R454" t="str">
        <f t="shared" si="31"/>
        <v>OK</v>
      </c>
    </row>
    <row r="455" spans="1:18" x14ac:dyDescent="0.3">
      <c r="A455" s="1">
        <v>46016</v>
      </c>
      <c r="B455" s="2" t="s">
        <v>2627</v>
      </c>
      <c r="C455" s="2" t="s">
        <v>2527</v>
      </c>
      <c r="D455" s="2" t="s">
        <v>2531</v>
      </c>
      <c r="E455" s="2" t="s">
        <v>2529</v>
      </c>
      <c r="F455" s="3">
        <v>167064</v>
      </c>
      <c r="G455" s="3">
        <v>9010</v>
      </c>
      <c r="H455" s="3">
        <v>585</v>
      </c>
      <c r="I455" s="4">
        <v>1844.62</v>
      </c>
      <c r="J455" s="4">
        <v>57698.74</v>
      </c>
      <c r="K455" s="3">
        <v>296</v>
      </c>
      <c r="L455" s="2" t="s">
        <v>2523</v>
      </c>
      <c r="M455" s="2" t="s">
        <v>2526</v>
      </c>
      <c r="N455" s="6">
        <f t="shared" si="28"/>
        <v>1</v>
      </c>
      <c r="O455" t="str">
        <f>IF(Tabla_control[[#This Row],[Control_duplicados]]&gt;1,"Duplicado","Unico")</f>
        <v>Unico</v>
      </c>
      <c r="P455" t="str">
        <f t="shared" si="29"/>
        <v>OK</v>
      </c>
      <c r="Q455" t="str">
        <f t="shared" si="30"/>
        <v>OK</v>
      </c>
      <c r="R455" t="str">
        <f t="shared" si="31"/>
        <v>OK</v>
      </c>
    </row>
    <row r="456" spans="1:18" x14ac:dyDescent="0.3">
      <c r="A456" s="1">
        <v>45666</v>
      </c>
      <c r="B456" s="2" t="s">
        <v>2617</v>
      </c>
      <c r="C456" s="2" t="s">
        <v>2521</v>
      </c>
      <c r="D456" s="2" t="s">
        <v>2528</v>
      </c>
      <c r="E456" s="2" t="s">
        <v>2529</v>
      </c>
      <c r="F456" s="3">
        <v>101149</v>
      </c>
      <c r="G456" s="3">
        <v>1079</v>
      </c>
      <c r="H456" s="3">
        <v>97</v>
      </c>
      <c r="I456" s="4">
        <v>185.84</v>
      </c>
      <c r="J456" s="4">
        <v>11389.97</v>
      </c>
      <c r="K456" s="3">
        <v>60</v>
      </c>
      <c r="L456" s="2" t="s">
        <v>2518</v>
      </c>
      <c r="M456" s="2" t="s">
        <v>2546</v>
      </c>
      <c r="N456" s="6">
        <f t="shared" si="28"/>
        <v>1</v>
      </c>
      <c r="O456" t="str">
        <f>IF(Tabla_control[[#This Row],[Control_duplicados]]&gt;1,"Duplicado","Unico")</f>
        <v>Unico</v>
      </c>
      <c r="P456" t="str">
        <f t="shared" si="29"/>
        <v>OK</v>
      </c>
      <c r="Q456" t="str">
        <f t="shared" si="30"/>
        <v>OK</v>
      </c>
      <c r="R456" t="str">
        <f t="shared" si="31"/>
        <v>OK</v>
      </c>
    </row>
    <row r="457" spans="1:18" x14ac:dyDescent="0.3">
      <c r="A457" s="1">
        <v>45806</v>
      </c>
      <c r="B457" s="2" t="s">
        <v>2621</v>
      </c>
      <c r="C457" s="2" t="s">
        <v>2543</v>
      </c>
      <c r="D457" s="2" t="s">
        <v>2528</v>
      </c>
      <c r="E457" s="2" t="s">
        <v>2517</v>
      </c>
      <c r="F457" s="3">
        <v>97102</v>
      </c>
      <c r="G457" s="3">
        <v>8187</v>
      </c>
      <c r="H457" s="3">
        <v>807</v>
      </c>
      <c r="I457" s="4">
        <v>16591.560000000001</v>
      </c>
      <c r="J457" s="4">
        <v>163037.92000000001</v>
      </c>
      <c r="K457" s="3">
        <v>569</v>
      </c>
      <c r="L457" s="2" t="s">
        <v>2539</v>
      </c>
      <c r="M457" s="2" t="s">
        <v>2524</v>
      </c>
      <c r="N457" s="6">
        <f t="shared" si="28"/>
        <v>1</v>
      </c>
      <c r="O457" t="str">
        <f>IF(Tabla_control[[#This Row],[Control_duplicados]]&gt;1,"Duplicado","Unico")</f>
        <v>Unico</v>
      </c>
      <c r="P457" t="str">
        <f t="shared" si="29"/>
        <v>OK</v>
      </c>
      <c r="Q457" t="str">
        <f t="shared" si="30"/>
        <v>OK</v>
      </c>
      <c r="R457" t="str">
        <f t="shared" si="31"/>
        <v>OK</v>
      </c>
    </row>
    <row r="458" spans="1:18" x14ac:dyDescent="0.3">
      <c r="A458" s="1">
        <v>45867</v>
      </c>
      <c r="B458" s="2" t="s">
        <v>2638</v>
      </c>
      <c r="C458" s="2" t="s">
        <v>2515</v>
      </c>
      <c r="D458" s="2" t="s">
        <v>2531</v>
      </c>
      <c r="E458" s="2" t="s">
        <v>2529</v>
      </c>
      <c r="F458" s="3">
        <v>88493</v>
      </c>
      <c r="G458" s="3">
        <v>670</v>
      </c>
      <c r="H458" s="3">
        <v>58</v>
      </c>
      <c r="I458" s="4">
        <v>984.3</v>
      </c>
      <c r="J458" s="4">
        <v>11436.83</v>
      </c>
      <c r="K458" s="3">
        <v>38</v>
      </c>
      <c r="L458" s="2" t="s">
        <v>2518</v>
      </c>
      <c r="M458" s="2" t="s">
        <v>2546</v>
      </c>
      <c r="N458" s="6">
        <f t="shared" si="28"/>
        <v>1</v>
      </c>
      <c r="O458" t="str">
        <f>IF(Tabla_control[[#This Row],[Control_duplicados]]&gt;1,"Duplicado","Unico")</f>
        <v>Unico</v>
      </c>
      <c r="P458" t="str">
        <f t="shared" si="29"/>
        <v>OK</v>
      </c>
      <c r="Q458" t="str">
        <f t="shared" si="30"/>
        <v>OK</v>
      </c>
      <c r="R458" t="str">
        <f t="shared" si="31"/>
        <v>OK</v>
      </c>
    </row>
    <row r="459" spans="1:18" x14ac:dyDescent="0.3">
      <c r="A459" s="1">
        <v>45839</v>
      </c>
      <c r="B459" s="2" t="s">
        <v>2628</v>
      </c>
      <c r="C459" s="2" t="s">
        <v>2521</v>
      </c>
      <c r="D459" s="2" t="s">
        <v>2528</v>
      </c>
      <c r="E459" s="2" t="s">
        <v>2517</v>
      </c>
      <c r="F459" s="3">
        <v>33457</v>
      </c>
      <c r="G459" s="3">
        <v>878</v>
      </c>
      <c r="H459" s="3">
        <v>49</v>
      </c>
      <c r="I459" s="4">
        <v>478.79</v>
      </c>
      <c r="J459" s="4">
        <v>7836.19</v>
      </c>
      <c r="K459" s="3">
        <v>22</v>
      </c>
      <c r="L459" s="2" t="s">
        <v>2523</v>
      </c>
      <c r="M459" s="2" t="s">
        <v>2537</v>
      </c>
      <c r="N459" s="6">
        <f t="shared" si="28"/>
        <v>1</v>
      </c>
      <c r="O459" t="str">
        <f>IF(Tabla_control[[#This Row],[Control_duplicados]]&gt;1,"Duplicado","Unico")</f>
        <v>Unico</v>
      </c>
      <c r="P459" t="str">
        <f t="shared" si="29"/>
        <v>OK</v>
      </c>
      <c r="Q459" t="str">
        <f t="shared" si="30"/>
        <v>OK</v>
      </c>
      <c r="R459" t="str">
        <f t="shared" si="31"/>
        <v>OK</v>
      </c>
    </row>
    <row r="460" spans="1:18" x14ac:dyDescent="0.3">
      <c r="A460" s="1">
        <v>45911</v>
      </c>
      <c r="B460" s="2" t="s">
        <v>2624</v>
      </c>
      <c r="C460" s="2" t="s">
        <v>2543</v>
      </c>
      <c r="D460" s="2" t="s">
        <v>2528</v>
      </c>
      <c r="E460" s="2" t="s">
        <v>2529</v>
      </c>
      <c r="F460" s="3">
        <v>70737</v>
      </c>
      <c r="G460" s="3">
        <v>984</v>
      </c>
      <c r="H460" s="3">
        <v>127</v>
      </c>
      <c r="I460" s="4">
        <v>341.17</v>
      </c>
      <c r="J460" s="4">
        <v>14379.5</v>
      </c>
      <c r="K460" s="3">
        <v>73</v>
      </c>
      <c r="L460" s="2" t="s">
        <v>2536</v>
      </c>
      <c r="M460" s="2" t="s">
        <v>2524</v>
      </c>
      <c r="N460" s="6">
        <f t="shared" si="28"/>
        <v>1</v>
      </c>
      <c r="O460" t="str">
        <f>IF(Tabla_control[[#This Row],[Control_duplicados]]&gt;1,"Duplicado","Unico")</f>
        <v>Unico</v>
      </c>
      <c r="P460" t="str">
        <f t="shared" si="29"/>
        <v>OK</v>
      </c>
      <c r="Q460" t="str">
        <f t="shared" si="30"/>
        <v>OK</v>
      </c>
      <c r="R460" t="str">
        <f t="shared" si="31"/>
        <v>OK</v>
      </c>
    </row>
    <row r="461" spans="1:18" x14ac:dyDescent="0.3">
      <c r="A461" s="1">
        <v>45983</v>
      </c>
      <c r="B461" s="2" t="s">
        <v>2632</v>
      </c>
      <c r="C461" s="2" t="s">
        <v>2521</v>
      </c>
      <c r="D461" s="2" t="s">
        <v>2528</v>
      </c>
      <c r="E461" s="2" t="s">
        <v>2529</v>
      </c>
      <c r="F461" s="3">
        <v>17808</v>
      </c>
      <c r="G461" s="3">
        <v>1303</v>
      </c>
      <c r="H461" s="3">
        <v>83</v>
      </c>
      <c r="I461" s="4">
        <v>1855.04</v>
      </c>
      <c r="J461" s="4">
        <v>16616.240000000002</v>
      </c>
      <c r="K461" s="3">
        <v>40</v>
      </c>
      <c r="L461" s="2" t="s">
        <v>2518</v>
      </c>
      <c r="M461" s="2" t="s">
        <v>2526</v>
      </c>
      <c r="N461" s="6">
        <f t="shared" si="28"/>
        <v>1</v>
      </c>
      <c r="O461" t="str">
        <f>IF(Tabla_control[[#This Row],[Control_duplicados]]&gt;1,"Duplicado","Unico")</f>
        <v>Unico</v>
      </c>
      <c r="P461" t="str">
        <f t="shared" si="29"/>
        <v>OK</v>
      </c>
      <c r="Q461" t="str">
        <f t="shared" si="30"/>
        <v>OK</v>
      </c>
      <c r="R461" t="str">
        <f t="shared" si="31"/>
        <v>OK</v>
      </c>
    </row>
    <row r="462" spans="1:18" x14ac:dyDescent="0.3">
      <c r="A462" s="1">
        <v>45853</v>
      </c>
      <c r="B462" s="2" t="s">
        <v>2617</v>
      </c>
      <c r="C462" s="2" t="s">
        <v>2543</v>
      </c>
      <c r="D462" s="2" t="s">
        <v>2525</v>
      </c>
      <c r="E462" s="2" t="s">
        <v>2529</v>
      </c>
      <c r="F462" s="3">
        <v>30254</v>
      </c>
      <c r="G462" s="3">
        <v>796</v>
      </c>
      <c r="H462" s="3">
        <v>80</v>
      </c>
      <c r="I462" s="4">
        <v>771.88</v>
      </c>
      <c r="J462" s="4">
        <v>16777.560000000001</v>
      </c>
      <c r="K462" s="3">
        <v>49</v>
      </c>
      <c r="L462" s="2" t="s">
        <v>2518</v>
      </c>
      <c r="M462" s="2" t="s">
        <v>2519</v>
      </c>
      <c r="N462" s="6">
        <f t="shared" si="28"/>
        <v>1</v>
      </c>
      <c r="O462" t="str">
        <f>IF(Tabla_control[[#This Row],[Control_duplicados]]&gt;1,"Duplicado","Unico")</f>
        <v>Unico</v>
      </c>
      <c r="P462" t="str">
        <f t="shared" si="29"/>
        <v>OK</v>
      </c>
      <c r="Q462" t="str">
        <f t="shared" si="30"/>
        <v>OK</v>
      </c>
      <c r="R462" t="str">
        <f t="shared" si="31"/>
        <v>OK</v>
      </c>
    </row>
    <row r="463" spans="1:18" x14ac:dyDescent="0.3">
      <c r="A463" s="1">
        <v>45775</v>
      </c>
      <c r="B463" s="2" t="s">
        <v>2629</v>
      </c>
      <c r="C463" s="2" t="s">
        <v>2533</v>
      </c>
      <c r="D463" s="2" t="s">
        <v>2528</v>
      </c>
      <c r="E463" s="2" t="s">
        <v>2517</v>
      </c>
      <c r="F463" s="3">
        <v>170054</v>
      </c>
      <c r="G463" s="3">
        <v>11704</v>
      </c>
      <c r="H463" s="3">
        <v>505</v>
      </c>
      <c r="I463" s="4">
        <v>20554.32</v>
      </c>
      <c r="J463" s="4">
        <v>10064.43</v>
      </c>
      <c r="K463" s="3">
        <v>446</v>
      </c>
      <c r="L463" s="2" t="s">
        <v>2518</v>
      </c>
      <c r="M463" s="2" t="s">
        <v>2519</v>
      </c>
      <c r="N463" s="6">
        <f t="shared" si="28"/>
        <v>1</v>
      </c>
      <c r="O463" t="str">
        <f>IF(Tabla_control[[#This Row],[Control_duplicados]]&gt;1,"Duplicado","Unico")</f>
        <v>Unico</v>
      </c>
      <c r="P463" t="str">
        <f t="shared" si="29"/>
        <v>OK</v>
      </c>
      <c r="Q463" t="str">
        <f t="shared" si="30"/>
        <v>OK</v>
      </c>
      <c r="R463" t="str">
        <f t="shared" si="31"/>
        <v>OK</v>
      </c>
    </row>
    <row r="464" spans="1:18" x14ac:dyDescent="0.3">
      <c r="A464" s="1">
        <v>45786</v>
      </c>
      <c r="B464" s="2" t="s">
        <v>2618</v>
      </c>
      <c r="C464" s="2" t="s">
        <v>2515</v>
      </c>
      <c r="D464" s="2" t="s">
        <v>2528</v>
      </c>
      <c r="E464" s="2" t="s">
        <v>2517</v>
      </c>
      <c r="F464" s="3">
        <v>104176</v>
      </c>
      <c r="G464" s="3">
        <v>1171</v>
      </c>
      <c r="H464" s="3">
        <v>58</v>
      </c>
      <c r="I464" s="4">
        <v>2416.0500000000002</v>
      </c>
      <c r="J464" s="4">
        <v>9910.9599999999991</v>
      </c>
      <c r="K464" s="3">
        <v>40</v>
      </c>
      <c r="L464" s="2" t="s">
        <v>2523</v>
      </c>
      <c r="M464" s="2" t="s">
        <v>2519</v>
      </c>
      <c r="N464" s="6">
        <f t="shared" si="28"/>
        <v>1</v>
      </c>
      <c r="O464" t="str">
        <f>IF(Tabla_control[[#This Row],[Control_duplicados]]&gt;1,"Duplicado","Unico")</f>
        <v>Unico</v>
      </c>
      <c r="P464" t="str">
        <f t="shared" si="29"/>
        <v>OK</v>
      </c>
      <c r="Q464" t="str">
        <f t="shared" si="30"/>
        <v>OK</v>
      </c>
      <c r="R464" t="str">
        <f t="shared" si="31"/>
        <v>OK</v>
      </c>
    </row>
    <row r="465" spans="1:18" x14ac:dyDescent="0.3">
      <c r="A465" s="1">
        <v>45936</v>
      </c>
      <c r="B465" s="2" t="s">
        <v>2631</v>
      </c>
      <c r="C465" s="2" t="s">
        <v>2527</v>
      </c>
      <c r="D465" s="2" t="s">
        <v>2528</v>
      </c>
      <c r="E465" s="2" t="s">
        <v>2529</v>
      </c>
      <c r="F465" s="3">
        <v>102542</v>
      </c>
      <c r="G465" s="3">
        <v>8517</v>
      </c>
      <c r="H465" s="3">
        <v>670</v>
      </c>
      <c r="I465" s="4">
        <v>10658.49</v>
      </c>
      <c r="J465" s="4">
        <v>111826.33</v>
      </c>
      <c r="K465" s="3">
        <v>306</v>
      </c>
      <c r="L465" s="2" t="s">
        <v>2523</v>
      </c>
      <c r="M465" s="2" t="s">
        <v>2546</v>
      </c>
      <c r="N465" s="6">
        <f t="shared" si="28"/>
        <v>1</v>
      </c>
      <c r="O465" t="str">
        <f>IF(Tabla_control[[#This Row],[Control_duplicados]]&gt;1,"Duplicado","Unico")</f>
        <v>Unico</v>
      </c>
      <c r="P465" t="str">
        <f t="shared" si="29"/>
        <v>OK</v>
      </c>
      <c r="Q465" t="str">
        <f t="shared" si="30"/>
        <v>OK</v>
      </c>
      <c r="R465" t="str">
        <f t="shared" si="31"/>
        <v>OK</v>
      </c>
    </row>
    <row r="466" spans="1:18" x14ac:dyDescent="0.3">
      <c r="A466" s="1">
        <v>45688</v>
      </c>
      <c r="B466" s="2" t="s">
        <v>2639</v>
      </c>
      <c r="C466" s="2" t="s">
        <v>2527</v>
      </c>
      <c r="D466" s="2" t="s">
        <v>2528</v>
      </c>
      <c r="E466" s="2" t="s">
        <v>2517</v>
      </c>
      <c r="F466" s="3">
        <v>120231</v>
      </c>
      <c r="G466" s="3">
        <v>6423</v>
      </c>
      <c r="H466" s="3">
        <v>316</v>
      </c>
      <c r="I466" s="4">
        <v>6005.11</v>
      </c>
      <c r="J466" s="4">
        <v>63165.760000000002</v>
      </c>
      <c r="K466" s="3">
        <v>188</v>
      </c>
      <c r="L466" s="2" t="s">
        <v>2536</v>
      </c>
      <c r="M466" s="2" t="s">
        <v>2519</v>
      </c>
      <c r="N466" s="6">
        <f t="shared" si="28"/>
        <v>1</v>
      </c>
      <c r="O466" t="str">
        <f>IF(Tabla_control[[#This Row],[Control_duplicados]]&gt;1,"Duplicado","Unico")</f>
        <v>Unico</v>
      </c>
      <c r="P466" t="str">
        <f t="shared" si="29"/>
        <v>OK</v>
      </c>
      <c r="Q466" t="str">
        <f t="shared" si="30"/>
        <v>OK</v>
      </c>
      <c r="R466" t="str">
        <f t="shared" si="31"/>
        <v>OK</v>
      </c>
    </row>
    <row r="467" spans="1:18" x14ac:dyDescent="0.3">
      <c r="A467" s="1">
        <v>45693</v>
      </c>
      <c r="B467" s="2" t="s">
        <v>2625</v>
      </c>
      <c r="C467" s="2" t="s">
        <v>2645</v>
      </c>
      <c r="D467" s="2" t="s">
        <v>2522</v>
      </c>
      <c r="E467" s="2" t="s">
        <v>2517</v>
      </c>
      <c r="F467" s="3">
        <v>52009</v>
      </c>
      <c r="G467" s="3">
        <v>1548</v>
      </c>
      <c r="H467" s="3">
        <v>203</v>
      </c>
      <c r="I467" s="4">
        <v>1936.84</v>
      </c>
      <c r="J467" s="4">
        <v>19790.669999999998</v>
      </c>
      <c r="K467" s="3">
        <v>158</v>
      </c>
      <c r="L467" s="2" t="s">
        <v>2536</v>
      </c>
      <c r="M467" s="2" t="s">
        <v>2546</v>
      </c>
      <c r="N467" s="6">
        <f t="shared" si="28"/>
        <v>1</v>
      </c>
      <c r="O467" t="str">
        <f>IF(Tabla_control[[#This Row],[Control_duplicados]]&gt;1,"Duplicado","Unico")</f>
        <v>Unico</v>
      </c>
      <c r="P467" t="str">
        <f t="shared" si="29"/>
        <v>OK</v>
      </c>
      <c r="Q467" t="str">
        <f t="shared" si="30"/>
        <v>OK</v>
      </c>
      <c r="R467" t="str">
        <f t="shared" si="31"/>
        <v>OK</v>
      </c>
    </row>
    <row r="468" spans="1:18" x14ac:dyDescent="0.3">
      <c r="A468" s="1">
        <v>45900</v>
      </c>
      <c r="B468" s="2" t="s">
        <v>2634</v>
      </c>
      <c r="C468" s="2" t="s">
        <v>2527</v>
      </c>
      <c r="D468" s="2" t="s">
        <v>2528</v>
      </c>
      <c r="E468" s="2" t="s">
        <v>2534</v>
      </c>
      <c r="F468" s="3">
        <v>96760</v>
      </c>
      <c r="G468" s="3">
        <v>7031</v>
      </c>
      <c r="H468" s="3">
        <v>341</v>
      </c>
      <c r="I468" s="4">
        <v>12676.24</v>
      </c>
      <c r="J468" s="4">
        <v>41745.440000000002</v>
      </c>
      <c r="K468" s="3">
        <v>297</v>
      </c>
      <c r="L468" s="2" t="s">
        <v>2523</v>
      </c>
      <c r="M468" s="2" t="s">
        <v>2526</v>
      </c>
      <c r="N468" s="6">
        <f t="shared" si="28"/>
        <v>1</v>
      </c>
      <c r="O468" t="str">
        <f>IF(Tabla_control[[#This Row],[Control_duplicados]]&gt;1,"Duplicado","Unico")</f>
        <v>Unico</v>
      </c>
      <c r="P468" t="str">
        <f t="shared" si="29"/>
        <v>OK</v>
      </c>
      <c r="Q468" t="str">
        <f t="shared" si="30"/>
        <v>OK</v>
      </c>
      <c r="R468" t="str">
        <f t="shared" si="31"/>
        <v>OK</v>
      </c>
    </row>
    <row r="469" spans="1:18" x14ac:dyDescent="0.3">
      <c r="A469" s="1">
        <v>45720</v>
      </c>
      <c r="B469" s="2" t="s">
        <v>2628</v>
      </c>
      <c r="C469" s="2" t="s">
        <v>2515</v>
      </c>
      <c r="D469" s="2" t="s">
        <v>2528</v>
      </c>
      <c r="E469" s="2" t="s">
        <v>2529</v>
      </c>
      <c r="F469" s="3">
        <v>51941</v>
      </c>
      <c r="G469" s="3">
        <v>1100</v>
      </c>
      <c r="H469" s="3">
        <v>107</v>
      </c>
      <c r="I469" s="4">
        <v>1030.4100000000001</v>
      </c>
      <c r="J469" s="4">
        <v>5595.7</v>
      </c>
      <c r="K469" s="3">
        <v>65</v>
      </c>
      <c r="L469" s="2" t="s">
        <v>2518</v>
      </c>
      <c r="M469" s="2" t="s">
        <v>2524</v>
      </c>
      <c r="N469" s="6">
        <f t="shared" si="28"/>
        <v>1</v>
      </c>
      <c r="O469" t="str">
        <f>IF(Tabla_control[[#This Row],[Control_duplicados]]&gt;1,"Duplicado","Unico")</f>
        <v>Unico</v>
      </c>
      <c r="P469" t="str">
        <f t="shared" si="29"/>
        <v>OK</v>
      </c>
      <c r="Q469" t="str">
        <f t="shared" si="30"/>
        <v>OK</v>
      </c>
      <c r="R469" t="str">
        <f t="shared" si="31"/>
        <v>OK</v>
      </c>
    </row>
    <row r="470" spans="1:18" x14ac:dyDescent="0.3">
      <c r="A470" s="1">
        <v>45745</v>
      </c>
      <c r="B470" s="2" t="s">
        <v>2621</v>
      </c>
      <c r="C470" s="2" t="s">
        <v>2533</v>
      </c>
      <c r="D470" s="2" t="s">
        <v>2528</v>
      </c>
      <c r="E470" s="2" t="s">
        <v>2534</v>
      </c>
      <c r="F470" s="3">
        <v>165122</v>
      </c>
      <c r="G470" s="3">
        <v>1090</v>
      </c>
      <c r="H470" s="3">
        <v>59</v>
      </c>
      <c r="I470" s="4">
        <v>1829</v>
      </c>
      <c r="J470" s="4">
        <v>10940.79</v>
      </c>
      <c r="K470" s="3">
        <v>48</v>
      </c>
      <c r="L470" s="2" t="s">
        <v>2539</v>
      </c>
      <c r="M470" s="2" t="s">
        <v>2526</v>
      </c>
      <c r="N470" s="6">
        <f t="shared" si="28"/>
        <v>1</v>
      </c>
      <c r="O470" t="str">
        <f>IF(Tabla_control[[#This Row],[Control_duplicados]]&gt;1,"Duplicado","Unico")</f>
        <v>Unico</v>
      </c>
      <c r="P470" t="str">
        <f t="shared" si="29"/>
        <v>OK</v>
      </c>
      <c r="Q470" t="str">
        <f t="shared" si="30"/>
        <v>OK</v>
      </c>
      <c r="R470" t="str">
        <f t="shared" si="31"/>
        <v>OK</v>
      </c>
    </row>
    <row r="471" spans="1:18" x14ac:dyDescent="0.3">
      <c r="A471" s="1">
        <v>45658</v>
      </c>
      <c r="B471" s="2" t="s">
        <v>2616</v>
      </c>
      <c r="C471" s="2" t="s">
        <v>2541</v>
      </c>
      <c r="D471" s="2" t="s">
        <v>2528</v>
      </c>
      <c r="E471" s="2" t="s">
        <v>2529</v>
      </c>
      <c r="F471" s="3">
        <v>67512</v>
      </c>
      <c r="G471" s="3">
        <v>1190</v>
      </c>
      <c r="H471" s="3">
        <v>71</v>
      </c>
      <c r="I471" s="4">
        <v>438.72</v>
      </c>
      <c r="J471" s="4">
        <v>7858.76</v>
      </c>
      <c r="K471" s="3">
        <v>40</v>
      </c>
      <c r="L471" s="2" t="s">
        <v>2518</v>
      </c>
      <c r="M471" s="2" t="s">
        <v>2519</v>
      </c>
      <c r="N471" s="6">
        <f t="shared" si="28"/>
        <v>1</v>
      </c>
      <c r="O471" t="str">
        <f>IF(Tabla_control[[#This Row],[Control_duplicados]]&gt;1,"Duplicado","Unico")</f>
        <v>Unico</v>
      </c>
      <c r="P471" t="str">
        <f t="shared" si="29"/>
        <v>OK</v>
      </c>
      <c r="Q471" t="str">
        <f t="shared" si="30"/>
        <v>OK</v>
      </c>
      <c r="R471" t="str">
        <f t="shared" si="31"/>
        <v>OK</v>
      </c>
    </row>
    <row r="472" spans="1:18" x14ac:dyDescent="0.3">
      <c r="A472" s="1">
        <v>45707</v>
      </c>
      <c r="B472" s="2" t="s">
        <v>2642</v>
      </c>
      <c r="C472" s="2" t="s">
        <v>2527</v>
      </c>
      <c r="D472" s="2" t="s">
        <v>2528</v>
      </c>
      <c r="E472" s="2" t="s">
        <v>2517</v>
      </c>
      <c r="F472" s="3">
        <v>12575</v>
      </c>
      <c r="G472" s="3">
        <v>906</v>
      </c>
      <c r="H472" s="3">
        <v>117</v>
      </c>
      <c r="I472" s="4">
        <v>903.69</v>
      </c>
      <c r="J472" s="4">
        <v>12176.09</v>
      </c>
      <c r="K472" s="3">
        <v>65</v>
      </c>
      <c r="L472" s="2" t="s">
        <v>2518</v>
      </c>
      <c r="M472" s="2" t="s">
        <v>2537</v>
      </c>
      <c r="N472" s="6">
        <f t="shared" si="28"/>
        <v>1</v>
      </c>
      <c r="O472" t="str">
        <f>IF(Tabla_control[[#This Row],[Control_duplicados]]&gt;1,"Duplicado","Unico")</f>
        <v>Unico</v>
      </c>
      <c r="P472" t="str">
        <f t="shared" si="29"/>
        <v>OK</v>
      </c>
      <c r="Q472" t="str">
        <f t="shared" si="30"/>
        <v>OK</v>
      </c>
      <c r="R472" t="str">
        <f t="shared" si="31"/>
        <v>OK</v>
      </c>
    </row>
    <row r="473" spans="1:18" x14ac:dyDescent="0.3">
      <c r="A473" s="1">
        <v>45674</v>
      </c>
      <c r="B473" s="2" t="s">
        <v>2633</v>
      </c>
      <c r="C473" s="2" t="s">
        <v>2543</v>
      </c>
      <c r="D473" s="2" t="s">
        <v>2528</v>
      </c>
      <c r="E473" s="2" t="s">
        <v>2529</v>
      </c>
      <c r="F473" s="3">
        <v>38973</v>
      </c>
      <c r="G473" s="3">
        <v>2999</v>
      </c>
      <c r="H473" s="3">
        <v>60</v>
      </c>
      <c r="I473" s="4">
        <v>1961.62</v>
      </c>
      <c r="J473" s="4">
        <v>12565.59</v>
      </c>
      <c r="K473" s="3">
        <v>43</v>
      </c>
      <c r="L473" s="2" t="s">
        <v>2536</v>
      </c>
      <c r="M473" s="2" t="s">
        <v>2546</v>
      </c>
      <c r="N473" s="6">
        <f t="shared" si="28"/>
        <v>1</v>
      </c>
      <c r="O473" t="str">
        <f>IF(Tabla_control[[#This Row],[Control_duplicados]]&gt;1,"Duplicado","Unico")</f>
        <v>Unico</v>
      </c>
      <c r="P473" t="str">
        <f t="shared" si="29"/>
        <v>OK</v>
      </c>
      <c r="Q473" t="str">
        <f t="shared" si="30"/>
        <v>OK</v>
      </c>
      <c r="R473" t="str">
        <f t="shared" si="31"/>
        <v>OK</v>
      </c>
    </row>
    <row r="474" spans="1:18" x14ac:dyDescent="0.3">
      <c r="A474" s="1">
        <v>45707</v>
      </c>
      <c r="B474" s="2" t="s">
        <v>2618</v>
      </c>
      <c r="C474" s="2" t="s">
        <v>2541</v>
      </c>
      <c r="D474" s="2" t="s">
        <v>2528</v>
      </c>
      <c r="E474" s="2" t="s">
        <v>2534</v>
      </c>
      <c r="F474" s="3">
        <v>77086</v>
      </c>
      <c r="G474" s="3">
        <v>2539</v>
      </c>
      <c r="H474" s="3">
        <v>145</v>
      </c>
      <c r="I474" s="4">
        <v>1838.19</v>
      </c>
      <c r="J474" s="4">
        <v>15663.22</v>
      </c>
      <c r="K474" s="3">
        <v>77</v>
      </c>
      <c r="L474" s="2" t="s">
        <v>2518</v>
      </c>
      <c r="M474" s="2" t="s">
        <v>2546</v>
      </c>
      <c r="N474" s="6">
        <f t="shared" si="28"/>
        <v>1</v>
      </c>
      <c r="O474" t="str">
        <f>IF(Tabla_control[[#This Row],[Control_duplicados]]&gt;1,"Duplicado","Unico")</f>
        <v>Unico</v>
      </c>
      <c r="P474" t="str">
        <f t="shared" si="29"/>
        <v>OK</v>
      </c>
      <c r="Q474" t="str">
        <f t="shared" si="30"/>
        <v>OK</v>
      </c>
      <c r="R474" t="str">
        <f t="shared" si="31"/>
        <v>OK</v>
      </c>
    </row>
    <row r="475" spans="1:18" x14ac:dyDescent="0.3">
      <c r="A475" s="1">
        <v>45785</v>
      </c>
      <c r="B475" s="2" t="s">
        <v>2634</v>
      </c>
      <c r="C475" s="2" t="s">
        <v>2541</v>
      </c>
      <c r="D475" s="2" t="s">
        <v>2528</v>
      </c>
      <c r="E475" s="2" t="s">
        <v>2517</v>
      </c>
      <c r="F475" s="3">
        <v>161276</v>
      </c>
      <c r="G475" s="3">
        <v>3955</v>
      </c>
      <c r="H475" s="3">
        <v>528</v>
      </c>
      <c r="I475" s="4">
        <v>3484.76</v>
      </c>
      <c r="J475" s="4">
        <v>105186.74</v>
      </c>
      <c r="K475" s="3">
        <v>361</v>
      </c>
      <c r="L475" s="2" t="s">
        <v>2523</v>
      </c>
      <c r="M475" s="2" t="s">
        <v>2546</v>
      </c>
      <c r="N475" s="6">
        <f t="shared" si="28"/>
        <v>1</v>
      </c>
      <c r="O475" t="str">
        <f>IF(Tabla_control[[#This Row],[Control_duplicados]]&gt;1,"Duplicado","Unico")</f>
        <v>Unico</v>
      </c>
      <c r="P475" t="str">
        <f t="shared" si="29"/>
        <v>OK</v>
      </c>
      <c r="Q475" t="str">
        <f t="shared" si="30"/>
        <v>OK</v>
      </c>
      <c r="R475" t="str">
        <f t="shared" si="31"/>
        <v>OK</v>
      </c>
    </row>
    <row r="476" spans="1:18" x14ac:dyDescent="0.3">
      <c r="A476" s="1">
        <v>45825</v>
      </c>
      <c r="B476" s="2" t="s">
        <v>2622</v>
      </c>
      <c r="C476" s="2" t="s">
        <v>2533</v>
      </c>
      <c r="D476" s="2" t="s">
        <v>2528</v>
      </c>
      <c r="E476" s="2" t="s">
        <v>2529</v>
      </c>
      <c r="F476" s="3">
        <v>26122</v>
      </c>
      <c r="G476" s="3">
        <v>499</v>
      </c>
      <c r="H476" s="3">
        <v>57</v>
      </c>
      <c r="I476" s="4">
        <v>293.72000000000003</v>
      </c>
      <c r="J476" s="4">
        <v>4039.17</v>
      </c>
      <c r="K476" s="3">
        <v>46</v>
      </c>
      <c r="L476" s="2" t="s">
        <v>2518</v>
      </c>
      <c r="M476" s="2" t="s">
        <v>2526</v>
      </c>
      <c r="N476" s="6">
        <f t="shared" si="28"/>
        <v>1</v>
      </c>
      <c r="O476" t="str">
        <f>IF(Tabla_control[[#This Row],[Control_duplicados]]&gt;1,"Duplicado","Unico")</f>
        <v>Unico</v>
      </c>
      <c r="P476" t="str">
        <f t="shared" si="29"/>
        <v>OK</v>
      </c>
      <c r="Q476" t="str">
        <f t="shared" si="30"/>
        <v>OK</v>
      </c>
      <c r="R476" t="str">
        <f t="shared" si="31"/>
        <v>OK</v>
      </c>
    </row>
    <row r="477" spans="1:18" x14ac:dyDescent="0.3">
      <c r="A477" s="1">
        <v>45992</v>
      </c>
      <c r="B477" s="2" t="s">
        <v>2635</v>
      </c>
      <c r="C477" s="2" t="s">
        <v>2527</v>
      </c>
      <c r="D477" s="2" t="s">
        <v>2522</v>
      </c>
      <c r="E477" s="2" t="s">
        <v>2529</v>
      </c>
      <c r="F477" s="3">
        <v>42728</v>
      </c>
      <c r="G477" s="3">
        <v>3632</v>
      </c>
      <c r="H477" s="3">
        <v>355</v>
      </c>
      <c r="I477" s="4">
        <v>1449.5</v>
      </c>
      <c r="J477" s="4">
        <v>48137.66</v>
      </c>
      <c r="K477" s="3">
        <v>226</v>
      </c>
      <c r="L477" s="2" t="s">
        <v>2523</v>
      </c>
      <c r="M477" s="2" t="s">
        <v>2519</v>
      </c>
      <c r="N477" s="6">
        <f t="shared" si="28"/>
        <v>1</v>
      </c>
      <c r="O477" t="str">
        <f>IF(Tabla_control[[#This Row],[Control_duplicados]]&gt;1,"Duplicado","Unico")</f>
        <v>Unico</v>
      </c>
      <c r="P477" t="str">
        <f t="shared" si="29"/>
        <v>OK</v>
      </c>
      <c r="Q477" t="str">
        <f t="shared" si="30"/>
        <v>OK</v>
      </c>
      <c r="R477" t="str">
        <f t="shared" si="31"/>
        <v>OK</v>
      </c>
    </row>
    <row r="478" spans="1:18" x14ac:dyDescent="0.3">
      <c r="A478" s="1">
        <v>45857</v>
      </c>
      <c r="B478" s="2" t="s">
        <v>2642</v>
      </c>
      <c r="C478" s="2" t="s">
        <v>2527</v>
      </c>
      <c r="D478" s="2" t="s">
        <v>2531</v>
      </c>
      <c r="E478" s="2" t="s">
        <v>2529</v>
      </c>
      <c r="F478" s="3">
        <v>155371</v>
      </c>
      <c r="G478" s="3">
        <v>7786</v>
      </c>
      <c r="H478" s="3">
        <v>424</v>
      </c>
      <c r="I478" s="4">
        <v>8660.42</v>
      </c>
      <c r="J478" s="4">
        <v>47785.440000000002</v>
      </c>
      <c r="K478" s="3">
        <v>227</v>
      </c>
      <c r="L478" s="2" t="s">
        <v>2523</v>
      </c>
      <c r="M478" s="2" t="s">
        <v>2537</v>
      </c>
      <c r="N478" s="6">
        <f t="shared" si="28"/>
        <v>1</v>
      </c>
      <c r="O478" t="str">
        <f>IF(Tabla_control[[#This Row],[Control_duplicados]]&gt;1,"Duplicado","Unico")</f>
        <v>Unico</v>
      </c>
      <c r="P478" t="str">
        <f t="shared" si="29"/>
        <v>OK</v>
      </c>
      <c r="Q478" t="str">
        <f t="shared" si="30"/>
        <v>OK</v>
      </c>
      <c r="R478" t="str">
        <f t="shared" si="31"/>
        <v>OK</v>
      </c>
    </row>
    <row r="479" spans="1:18" x14ac:dyDescent="0.3">
      <c r="A479" s="1">
        <v>46020</v>
      </c>
      <c r="B479" s="2" t="s">
        <v>2616</v>
      </c>
      <c r="C479" s="2" t="s">
        <v>2521</v>
      </c>
      <c r="D479" s="2" t="s">
        <v>2531</v>
      </c>
      <c r="E479" s="2" t="s">
        <v>2529</v>
      </c>
      <c r="F479" s="3">
        <v>65248</v>
      </c>
      <c r="G479" s="3">
        <v>3027</v>
      </c>
      <c r="H479" s="3">
        <v>334</v>
      </c>
      <c r="I479" s="4">
        <v>2988.37</v>
      </c>
      <c r="J479" s="4">
        <v>6309.75</v>
      </c>
      <c r="K479" s="3">
        <v>244</v>
      </c>
      <c r="L479" s="2" t="s">
        <v>2518</v>
      </c>
      <c r="M479" s="2" t="s">
        <v>2524</v>
      </c>
      <c r="N479" s="6">
        <f t="shared" si="28"/>
        <v>1</v>
      </c>
      <c r="O479" t="str">
        <f>IF(Tabla_control[[#This Row],[Control_duplicados]]&gt;1,"Duplicado","Unico")</f>
        <v>Unico</v>
      </c>
      <c r="P479" t="str">
        <f t="shared" si="29"/>
        <v>OK</v>
      </c>
      <c r="Q479" t="str">
        <f t="shared" si="30"/>
        <v>OK</v>
      </c>
      <c r="R479" t="str">
        <f t="shared" si="31"/>
        <v>OK</v>
      </c>
    </row>
    <row r="480" spans="1:18" x14ac:dyDescent="0.3">
      <c r="A480" s="1">
        <v>45829</v>
      </c>
      <c r="B480" s="2" t="s">
        <v>2632</v>
      </c>
      <c r="C480" s="2" t="s">
        <v>2533</v>
      </c>
      <c r="D480" s="2" t="s">
        <v>2525</v>
      </c>
      <c r="E480" s="2" t="s">
        <v>2529</v>
      </c>
      <c r="F480" s="3">
        <v>61936</v>
      </c>
      <c r="G480" s="3">
        <v>1364</v>
      </c>
      <c r="H480" s="3">
        <v>89</v>
      </c>
      <c r="I480" s="4">
        <v>1487.51</v>
      </c>
      <c r="J480" s="4">
        <v>1902.28</v>
      </c>
      <c r="K480" s="3">
        <v>43</v>
      </c>
      <c r="L480" s="2" t="s">
        <v>2536</v>
      </c>
      <c r="M480" s="2" t="s">
        <v>2526</v>
      </c>
      <c r="N480" s="6">
        <f t="shared" si="28"/>
        <v>2</v>
      </c>
      <c r="O480" t="str">
        <f>IF(Tabla_control[[#This Row],[Control_duplicados]]&gt;1,"Duplicado","Unico")</f>
        <v>Duplicado</v>
      </c>
      <c r="P480" t="str">
        <f t="shared" si="29"/>
        <v>OK</v>
      </c>
      <c r="Q480" t="str">
        <f t="shared" si="30"/>
        <v>OK</v>
      </c>
      <c r="R480" t="str">
        <f t="shared" si="31"/>
        <v>OK</v>
      </c>
    </row>
    <row r="481" spans="1:18" x14ac:dyDescent="0.3">
      <c r="A481" s="1">
        <v>45712</v>
      </c>
      <c r="B481" s="2" t="s">
        <v>2619</v>
      </c>
      <c r="C481" s="2" t="s">
        <v>2521</v>
      </c>
      <c r="D481" s="2" t="s">
        <v>2531</v>
      </c>
      <c r="E481" s="2" t="s">
        <v>2529</v>
      </c>
      <c r="F481" s="3">
        <v>44658</v>
      </c>
      <c r="G481" s="3">
        <v>2818</v>
      </c>
      <c r="H481" s="3">
        <v>264</v>
      </c>
      <c r="I481" s="4">
        <v>1079.2</v>
      </c>
      <c r="J481" s="4">
        <v>26505.26</v>
      </c>
      <c r="K481" s="3">
        <v>189</v>
      </c>
      <c r="L481" s="2" t="s">
        <v>2539</v>
      </c>
      <c r="M481" s="2" t="s">
        <v>2519</v>
      </c>
      <c r="N481" s="6">
        <f t="shared" si="28"/>
        <v>1</v>
      </c>
      <c r="O481" t="str">
        <f>IF(Tabla_control[[#This Row],[Control_duplicados]]&gt;1,"Duplicado","Unico")</f>
        <v>Unico</v>
      </c>
      <c r="P481" t="str">
        <f t="shared" si="29"/>
        <v>OK</v>
      </c>
      <c r="Q481" t="str">
        <f t="shared" si="30"/>
        <v>OK</v>
      </c>
      <c r="R481" t="str">
        <f t="shared" si="31"/>
        <v>OK</v>
      </c>
    </row>
    <row r="482" spans="1:18" x14ac:dyDescent="0.3">
      <c r="A482" s="1">
        <v>45934</v>
      </c>
      <c r="B482" s="2" t="s">
        <v>2631</v>
      </c>
      <c r="C482" s="2" t="s">
        <v>2541</v>
      </c>
      <c r="D482" s="2" t="s">
        <v>2531</v>
      </c>
      <c r="E482" s="2" t="s">
        <v>2517</v>
      </c>
      <c r="F482" s="3">
        <v>56708</v>
      </c>
      <c r="G482" s="3">
        <v>3425</v>
      </c>
      <c r="H482" s="3">
        <v>422</v>
      </c>
      <c r="I482" s="4">
        <v>4545.7700000000004</v>
      </c>
      <c r="J482" s="4">
        <v>24376.52</v>
      </c>
      <c r="K482" s="3">
        <v>225</v>
      </c>
      <c r="L482" s="2" t="s">
        <v>2523</v>
      </c>
      <c r="M482" s="2" t="s">
        <v>2537</v>
      </c>
      <c r="N482" s="6">
        <f t="shared" si="28"/>
        <v>1</v>
      </c>
      <c r="O482" t="str">
        <f>IF(Tabla_control[[#This Row],[Control_duplicados]]&gt;1,"Duplicado","Unico")</f>
        <v>Unico</v>
      </c>
      <c r="P482" t="str">
        <f t="shared" si="29"/>
        <v>OK</v>
      </c>
      <c r="Q482" t="str">
        <f t="shared" si="30"/>
        <v>OK</v>
      </c>
      <c r="R482" t="str">
        <f t="shared" si="31"/>
        <v>OK</v>
      </c>
    </row>
    <row r="483" spans="1:18" x14ac:dyDescent="0.3">
      <c r="A483" s="1">
        <v>45843</v>
      </c>
      <c r="B483" s="2" t="s">
        <v>2633</v>
      </c>
      <c r="C483" s="2" t="s">
        <v>2541</v>
      </c>
      <c r="D483" s="2" t="s">
        <v>2522</v>
      </c>
      <c r="E483" s="2" t="s">
        <v>2517</v>
      </c>
      <c r="F483" s="3">
        <v>38324</v>
      </c>
      <c r="G483" s="3">
        <v>1031</v>
      </c>
      <c r="H483" s="3">
        <v>130</v>
      </c>
      <c r="I483" s="4">
        <v>761.81</v>
      </c>
      <c r="J483" s="4">
        <v>16680.580000000002</v>
      </c>
      <c r="K483" s="3">
        <v>116</v>
      </c>
      <c r="L483" s="2" t="s">
        <v>2539</v>
      </c>
      <c r="M483" s="2" t="s">
        <v>2546</v>
      </c>
      <c r="N483" s="6">
        <f t="shared" si="28"/>
        <v>1</v>
      </c>
      <c r="O483" t="str">
        <f>IF(Tabla_control[[#This Row],[Control_duplicados]]&gt;1,"Duplicado","Unico")</f>
        <v>Unico</v>
      </c>
      <c r="P483" t="str">
        <f t="shared" si="29"/>
        <v>OK</v>
      </c>
      <c r="Q483" t="str">
        <f t="shared" si="30"/>
        <v>OK</v>
      </c>
      <c r="R483" t="str">
        <f t="shared" si="31"/>
        <v>OK</v>
      </c>
    </row>
    <row r="484" spans="1:18" x14ac:dyDescent="0.3">
      <c r="A484" s="1">
        <v>45695</v>
      </c>
      <c r="B484" s="2" t="s">
        <v>2624</v>
      </c>
      <c r="C484" s="2" t="s">
        <v>2515</v>
      </c>
      <c r="D484" s="2" t="s">
        <v>2528</v>
      </c>
      <c r="E484" s="2" t="s">
        <v>2517</v>
      </c>
      <c r="F484" s="3">
        <v>25936</v>
      </c>
      <c r="G484" s="3">
        <v>1810</v>
      </c>
      <c r="H484" s="3">
        <v>26</v>
      </c>
      <c r="I484" s="4">
        <v>3193.78</v>
      </c>
      <c r="J484" s="4">
        <v>3494.51</v>
      </c>
      <c r="K484" s="3">
        <v>16</v>
      </c>
      <c r="L484" s="2" t="s">
        <v>2536</v>
      </c>
      <c r="M484" s="2" t="s">
        <v>2546</v>
      </c>
      <c r="N484" s="6">
        <f t="shared" si="28"/>
        <v>1</v>
      </c>
      <c r="O484" t="str">
        <f>IF(Tabla_control[[#This Row],[Control_duplicados]]&gt;1,"Duplicado","Unico")</f>
        <v>Unico</v>
      </c>
      <c r="P484" t="str">
        <f t="shared" si="29"/>
        <v>OK</v>
      </c>
      <c r="Q484" t="str">
        <f t="shared" si="30"/>
        <v>OK</v>
      </c>
      <c r="R484" t="str">
        <f t="shared" si="31"/>
        <v>OK</v>
      </c>
    </row>
    <row r="485" spans="1:18" x14ac:dyDescent="0.3">
      <c r="A485" s="1">
        <v>45810</v>
      </c>
      <c r="B485" s="2" t="s">
        <v>2636</v>
      </c>
      <c r="C485" s="2" t="s">
        <v>2533</v>
      </c>
      <c r="D485" s="2" t="s">
        <v>2528</v>
      </c>
      <c r="E485" s="2" t="s">
        <v>2517</v>
      </c>
      <c r="F485" s="3">
        <v>11479</v>
      </c>
      <c r="G485" s="3">
        <v>669</v>
      </c>
      <c r="H485" s="3">
        <v>11</v>
      </c>
      <c r="I485" s="4">
        <v>384.59</v>
      </c>
      <c r="J485" s="4">
        <v>1251.18</v>
      </c>
      <c r="K485" s="3">
        <v>8</v>
      </c>
      <c r="L485" s="2" t="s">
        <v>2539</v>
      </c>
      <c r="M485" s="2" t="s">
        <v>2526</v>
      </c>
      <c r="N485" s="6">
        <f t="shared" si="28"/>
        <v>1</v>
      </c>
      <c r="O485" t="str">
        <f>IF(Tabla_control[[#This Row],[Control_duplicados]]&gt;1,"Duplicado","Unico")</f>
        <v>Unico</v>
      </c>
      <c r="P485" t="str">
        <f t="shared" si="29"/>
        <v>OK</v>
      </c>
      <c r="Q485" t="str">
        <f t="shared" si="30"/>
        <v>OK</v>
      </c>
      <c r="R485" t="str">
        <f t="shared" si="31"/>
        <v>OK</v>
      </c>
    </row>
    <row r="486" spans="1:18" x14ac:dyDescent="0.3">
      <c r="A486" s="1">
        <v>45870</v>
      </c>
      <c r="B486" s="2" t="s">
        <v>2637</v>
      </c>
      <c r="C486" s="2" t="s">
        <v>2521</v>
      </c>
      <c r="D486" s="2" t="s">
        <v>2528</v>
      </c>
      <c r="E486" s="2" t="s">
        <v>2529</v>
      </c>
      <c r="F486" s="3">
        <v>159787</v>
      </c>
      <c r="G486" s="3">
        <v>1884</v>
      </c>
      <c r="H486" s="3">
        <v>176</v>
      </c>
      <c r="I486" s="4">
        <v>1308.28</v>
      </c>
      <c r="J486" s="4">
        <v>12507.44</v>
      </c>
      <c r="K486" s="3">
        <v>106</v>
      </c>
      <c r="L486" s="2" t="s">
        <v>2536</v>
      </c>
      <c r="M486" s="2" t="s">
        <v>2519</v>
      </c>
      <c r="N486" s="6">
        <f t="shared" si="28"/>
        <v>1</v>
      </c>
      <c r="O486" t="str">
        <f>IF(Tabla_control[[#This Row],[Control_duplicados]]&gt;1,"Duplicado","Unico")</f>
        <v>Unico</v>
      </c>
      <c r="P486" t="str">
        <f t="shared" si="29"/>
        <v>OK</v>
      </c>
      <c r="Q486" t="str">
        <f t="shared" si="30"/>
        <v>OK</v>
      </c>
      <c r="R486" t="str">
        <f t="shared" si="31"/>
        <v>OK</v>
      </c>
    </row>
    <row r="487" spans="1:18" x14ac:dyDescent="0.3">
      <c r="A487" s="1">
        <v>45690</v>
      </c>
      <c r="B487" s="2" t="s">
        <v>2633</v>
      </c>
      <c r="C487" s="2" t="s">
        <v>2527</v>
      </c>
      <c r="D487" s="2" t="s">
        <v>2516</v>
      </c>
      <c r="E487" s="2" t="s">
        <v>2517</v>
      </c>
      <c r="F487" s="3">
        <v>136229</v>
      </c>
      <c r="G487" s="3">
        <v>5837</v>
      </c>
      <c r="H487" s="3">
        <v>472</v>
      </c>
      <c r="I487" s="4">
        <v>967.04</v>
      </c>
      <c r="J487" s="4">
        <v>84642.73</v>
      </c>
      <c r="K487" s="3">
        <v>246</v>
      </c>
      <c r="L487" s="2" t="s">
        <v>2518</v>
      </c>
      <c r="M487" s="2" t="s">
        <v>2546</v>
      </c>
      <c r="N487" s="6">
        <f t="shared" si="28"/>
        <v>1</v>
      </c>
      <c r="O487" t="str">
        <f>IF(Tabla_control[[#This Row],[Control_duplicados]]&gt;1,"Duplicado","Unico")</f>
        <v>Unico</v>
      </c>
      <c r="P487" t="str">
        <f t="shared" si="29"/>
        <v>OK</v>
      </c>
      <c r="Q487" t="str">
        <f t="shared" si="30"/>
        <v>OK</v>
      </c>
      <c r="R487" t="str">
        <f t="shared" si="31"/>
        <v>OK</v>
      </c>
    </row>
    <row r="488" spans="1:18" x14ac:dyDescent="0.3">
      <c r="A488" s="1">
        <v>45727</v>
      </c>
      <c r="B488" s="2" t="s">
        <v>2620</v>
      </c>
      <c r="C488" s="2" t="s">
        <v>2515</v>
      </c>
      <c r="D488" s="2" t="s">
        <v>2525</v>
      </c>
      <c r="E488" s="2" t="s">
        <v>2529</v>
      </c>
      <c r="F488" s="3">
        <v>41781</v>
      </c>
      <c r="G488" s="3">
        <v>272</v>
      </c>
      <c r="H488" s="3">
        <v>25</v>
      </c>
      <c r="I488" s="4">
        <v>219.94</v>
      </c>
      <c r="J488" s="4">
        <v>2227.52</v>
      </c>
      <c r="K488" s="3">
        <v>12</v>
      </c>
      <c r="L488" s="2" t="s">
        <v>2539</v>
      </c>
      <c r="M488" s="2" t="s">
        <v>2524</v>
      </c>
      <c r="N488" s="6">
        <f t="shared" si="28"/>
        <v>1</v>
      </c>
      <c r="O488" t="str">
        <f>IF(Tabla_control[[#This Row],[Control_duplicados]]&gt;1,"Duplicado","Unico")</f>
        <v>Unico</v>
      </c>
      <c r="P488" t="str">
        <f t="shared" si="29"/>
        <v>OK</v>
      </c>
      <c r="Q488" t="str">
        <f t="shared" si="30"/>
        <v>OK</v>
      </c>
      <c r="R488" t="str">
        <f t="shared" si="31"/>
        <v>OK</v>
      </c>
    </row>
    <row r="489" spans="1:18" x14ac:dyDescent="0.3">
      <c r="A489" s="1">
        <v>45914</v>
      </c>
      <c r="B489" s="2" t="s">
        <v>2627</v>
      </c>
      <c r="C489" s="2" t="s">
        <v>2527</v>
      </c>
      <c r="D489" s="2" t="s">
        <v>2528</v>
      </c>
      <c r="E489" s="2" t="s">
        <v>2529</v>
      </c>
      <c r="F489" s="3">
        <v>135739</v>
      </c>
      <c r="G489" s="3">
        <v>783</v>
      </c>
      <c r="H489" s="3">
        <v>28</v>
      </c>
      <c r="I489" s="4">
        <v>722.91</v>
      </c>
      <c r="J489" s="4">
        <v>2220.9899999999998</v>
      </c>
      <c r="K489" s="3">
        <v>25</v>
      </c>
      <c r="L489" s="2" t="s">
        <v>2539</v>
      </c>
      <c r="M489" s="2" t="s">
        <v>2537</v>
      </c>
      <c r="N489" s="6">
        <f t="shared" si="28"/>
        <v>1</v>
      </c>
      <c r="O489" t="str">
        <f>IF(Tabla_control[[#This Row],[Control_duplicados]]&gt;1,"Duplicado","Unico")</f>
        <v>Unico</v>
      </c>
      <c r="P489" t="str">
        <f t="shared" si="29"/>
        <v>OK</v>
      </c>
      <c r="Q489" t="str">
        <f t="shared" si="30"/>
        <v>OK</v>
      </c>
      <c r="R489" t="str">
        <f t="shared" si="31"/>
        <v>OK</v>
      </c>
    </row>
    <row r="490" spans="1:18" x14ac:dyDescent="0.3">
      <c r="A490" s="1">
        <v>45891</v>
      </c>
      <c r="B490" s="2" t="s">
        <v>2639</v>
      </c>
      <c r="C490" s="2" t="s">
        <v>2543</v>
      </c>
      <c r="D490" s="2" t="s">
        <v>2528</v>
      </c>
      <c r="E490" s="2" t="s">
        <v>2529</v>
      </c>
      <c r="F490" s="3">
        <v>163288</v>
      </c>
      <c r="G490" s="3">
        <v>883</v>
      </c>
      <c r="H490" s="3">
        <v>13</v>
      </c>
      <c r="I490" s="4">
        <v>1118.72</v>
      </c>
      <c r="J490" s="4">
        <v>1169.25</v>
      </c>
      <c r="K490" s="3">
        <v>11</v>
      </c>
      <c r="L490" s="2" t="s">
        <v>2536</v>
      </c>
      <c r="M490" s="2" t="s">
        <v>2524</v>
      </c>
      <c r="N490" s="6">
        <f t="shared" si="28"/>
        <v>1</v>
      </c>
      <c r="O490" t="str">
        <f>IF(Tabla_control[[#This Row],[Control_duplicados]]&gt;1,"Duplicado","Unico")</f>
        <v>Unico</v>
      </c>
      <c r="P490" t="str">
        <f t="shared" si="29"/>
        <v>OK</v>
      </c>
      <c r="Q490" t="str">
        <f t="shared" si="30"/>
        <v>OK</v>
      </c>
      <c r="R490" t="str">
        <f t="shared" si="31"/>
        <v>OK</v>
      </c>
    </row>
    <row r="491" spans="1:18" x14ac:dyDescent="0.3">
      <c r="A491" s="1">
        <v>46020</v>
      </c>
      <c r="B491" s="2" t="s">
        <v>2615</v>
      </c>
      <c r="C491" s="2" t="s">
        <v>2527</v>
      </c>
      <c r="D491" s="2" t="s">
        <v>2528</v>
      </c>
      <c r="E491" s="2" t="s">
        <v>2534</v>
      </c>
      <c r="F491" s="3">
        <v>73742</v>
      </c>
      <c r="G491" s="3">
        <v>6254</v>
      </c>
      <c r="H491" s="3">
        <v>417</v>
      </c>
      <c r="I491" s="4">
        <v>5231.8900000000003</v>
      </c>
      <c r="J491" s="4">
        <v>73521</v>
      </c>
      <c r="K491" s="3">
        <v>320</v>
      </c>
      <c r="L491" s="2" t="s">
        <v>2539</v>
      </c>
      <c r="M491" s="2" t="s">
        <v>2546</v>
      </c>
      <c r="N491" s="6">
        <f t="shared" si="28"/>
        <v>1</v>
      </c>
      <c r="O491" t="str">
        <f>IF(Tabla_control[[#This Row],[Control_duplicados]]&gt;1,"Duplicado","Unico")</f>
        <v>Unico</v>
      </c>
      <c r="P491" t="str">
        <f t="shared" si="29"/>
        <v>OK</v>
      </c>
      <c r="Q491" t="str">
        <f t="shared" si="30"/>
        <v>OK</v>
      </c>
      <c r="R491" t="str">
        <f t="shared" si="31"/>
        <v>OK</v>
      </c>
    </row>
    <row r="492" spans="1:18" x14ac:dyDescent="0.3">
      <c r="A492" s="1">
        <v>45802</v>
      </c>
      <c r="B492" s="2" t="s">
        <v>2635</v>
      </c>
      <c r="C492" s="2" t="s">
        <v>2521</v>
      </c>
      <c r="D492" s="2" t="s">
        <v>2528</v>
      </c>
      <c r="E492" s="2" t="s">
        <v>2529</v>
      </c>
      <c r="F492" s="3">
        <v>130689</v>
      </c>
      <c r="G492" s="3">
        <v>4848</v>
      </c>
      <c r="H492" s="3">
        <v>540</v>
      </c>
      <c r="I492" s="4">
        <v>8562.3700000000008</v>
      </c>
      <c r="J492" s="4">
        <v>85967.47</v>
      </c>
      <c r="K492" s="3">
        <v>451</v>
      </c>
      <c r="L492" s="2" t="s">
        <v>2539</v>
      </c>
      <c r="M492" s="2" t="s">
        <v>2524</v>
      </c>
      <c r="N492" s="6">
        <f t="shared" si="28"/>
        <v>1</v>
      </c>
      <c r="O492" t="str">
        <f>IF(Tabla_control[[#This Row],[Control_duplicados]]&gt;1,"Duplicado","Unico")</f>
        <v>Unico</v>
      </c>
      <c r="P492" t="str">
        <f t="shared" si="29"/>
        <v>OK</v>
      </c>
      <c r="Q492" t="str">
        <f t="shared" si="30"/>
        <v>OK</v>
      </c>
      <c r="R492" t="str">
        <f t="shared" si="31"/>
        <v>OK</v>
      </c>
    </row>
    <row r="493" spans="1:18" x14ac:dyDescent="0.3">
      <c r="A493" s="1">
        <v>45946</v>
      </c>
      <c r="B493" s="2" t="s">
        <v>2633</v>
      </c>
      <c r="C493" s="2" t="s">
        <v>2541</v>
      </c>
      <c r="D493" s="2" t="s">
        <v>2525</v>
      </c>
      <c r="E493" s="2" t="s">
        <v>2529</v>
      </c>
      <c r="F493" s="3">
        <v>61410</v>
      </c>
      <c r="G493" s="3">
        <v>1129</v>
      </c>
      <c r="H493" s="3">
        <v>124</v>
      </c>
      <c r="I493" s="4">
        <v>2034.74</v>
      </c>
      <c r="J493" s="4">
        <v>17273.48</v>
      </c>
      <c r="K493" s="3">
        <v>101</v>
      </c>
      <c r="L493" s="2" t="s">
        <v>2539</v>
      </c>
      <c r="M493" s="2" t="s">
        <v>2546</v>
      </c>
      <c r="N493" s="6">
        <f t="shared" si="28"/>
        <v>1</v>
      </c>
      <c r="O493" t="str">
        <f>IF(Tabla_control[[#This Row],[Control_duplicados]]&gt;1,"Duplicado","Unico")</f>
        <v>Unico</v>
      </c>
      <c r="P493" t="str">
        <f t="shared" si="29"/>
        <v>OK</v>
      </c>
      <c r="Q493" t="str">
        <f t="shared" si="30"/>
        <v>OK</v>
      </c>
      <c r="R493" t="str">
        <f t="shared" si="31"/>
        <v>OK</v>
      </c>
    </row>
    <row r="494" spans="1:18" x14ac:dyDescent="0.3">
      <c r="A494" s="1">
        <v>45995</v>
      </c>
      <c r="B494" s="2" t="s">
        <v>2643</v>
      </c>
      <c r="C494" s="2" t="s">
        <v>2521</v>
      </c>
      <c r="D494" s="2" t="s">
        <v>2528</v>
      </c>
      <c r="E494" s="2" t="s">
        <v>2517</v>
      </c>
      <c r="F494" s="3">
        <v>21153</v>
      </c>
      <c r="G494" s="3">
        <v>1088</v>
      </c>
      <c r="H494" s="3">
        <v>128</v>
      </c>
      <c r="I494" s="4">
        <v>357.9</v>
      </c>
      <c r="J494" s="4">
        <v>24785.87</v>
      </c>
      <c r="K494" s="3">
        <v>63</v>
      </c>
      <c r="L494" s="2" t="s">
        <v>2518</v>
      </c>
      <c r="M494" s="2" t="s">
        <v>2519</v>
      </c>
      <c r="N494" s="6">
        <f t="shared" si="28"/>
        <v>1</v>
      </c>
      <c r="O494" t="str">
        <f>IF(Tabla_control[[#This Row],[Control_duplicados]]&gt;1,"Duplicado","Unico")</f>
        <v>Unico</v>
      </c>
      <c r="P494" t="str">
        <f t="shared" si="29"/>
        <v>OK</v>
      </c>
      <c r="Q494" t="str">
        <f t="shared" si="30"/>
        <v>OK</v>
      </c>
      <c r="R494" t="str">
        <f t="shared" si="31"/>
        <v>OK</v>
      </c>
    </row>
    <row r="495" spans="1:18" x14ac:dyDescent="0.3">
      <c r="A495" s="1">
        <v>45857</v>
      </c>
      <c r="B495" s="2" t="s">
        <v>2621</v>
      </c>
      <c r="C495" s="2" t="s">
        <v>2521</v>
      </c>
      <c r="D495" s="2" t="s">
        <v>2525</v>
      </c>
      <c r="E495" s="2" t="s">
        <v>2529</v>
      </c>
      <c r="F495" s="3">
        <v>25155</v>
      </c>
      <c r="G495" s="3">
        <v>1326</v>
      </c>
      <c r="H495" s="3">
        <v>108</v>
      </c>
      <c r="I495" s="4">
        <v>2782.88</v>
      </c>
      <c r="J495" s="4">
        <v>8925.0499999999993</v>
      </c>
      <c r="K495" s="3">
        <v>81</v>
      </c>
      <c r="L495" s="2" t="s">
        <v>2539</v>
      </c>
      <c r="M495" s="2" t="s">
        <v>2546</v>
      </c>
      <c r="N495" s="6">
        <f t="shared" si="28"/>
        <v>1</v>
      </c>
      <c r="O495" t="str">
        <f>IF(Tabla_control[[#This Row],[Control_duplicados]]&gt;1,"Duplicado","Unico")</f>
        <v>Unico</v>
      </c>
      <c r="P495" t="str">
        <f t="shared" si="29"/>
        <v>OK</v>
      </c>
      <c r="Q495" t="str">
        <f t="shared" si="30"/>
        <v>OK</v>
      </c>
      <c r="R495" t="str">
        <f t="shared" si="31"/>
        <v>OK</v>
      </c>
    </row>
    <row r="496" spans="1:18" x14ac:dyDescent="0.3">
      <c r="A496" s="1">
        <v>45832</v>
      </c>
      <c r="B496" s="2" t="s">
        <v>2626</v>
      </c>
      <c r="C496" s="2" t="s">
        <v>2527</v>
      </c>
      <c r="D496" s="2" t="s">
        <v>2516</v>
      </c>
      <c r="E496" s="2" t="s">
        <v>2517</v>
      </c>
      <c r="F496" s="3">
        <v>49264</v>
      </c>
      <c r="G496" s="3">
        <v>1923</v>
      </c>
      <c r="H496" s="3">
        <v>34</v>
      </c>
      <c r="I496" s="4">
        <v>2500.38</v>
      </c>
      <c r="J496" s="4">
        <v>2200.38</v>
      </c>
      <c r="K496" s="3">
        <v>29</v>
      </c>
      <c r="L496" s="2" t="s">
        <v>2518</v>
      </c>
      <c r="M496" s="2" t="s">
        <v>2537</v>
      </c>
      <c r="N496" s="6">
        <f t="shared" si="28"/>
        <v>1</v>
      </c>
      <c r="O496" t="str">
        <f>IF(Tabla_control[[#This Row],[Control_duplicados]]&gt;1,"Duplicado","Unico")</f>
        <v>Unico</v>
      </c>
      <c r="P496" t="str">
        <f t="shared" si="29"/>
        <v>OK</v>
      </c>
      <c r="Q496" t="str">
        <f t="shared" si="30"/>
        <v>OK</v>
      </c>
      <c r="R496" t="str">
        <f t="shared" si="31"/>
        <v>OK</v>
      </c>
    </row>
    <row r="497" spans="1:18" x14ac:dyDescent="0.3">
      <c r="A497" s="1">
        <v>45912</v>
      </c>
      <c r="B497" s="2" t="s">
        <v>2641</v>
      </c>
      <c r="C497" s="2" t="s">
        <v>2533</v>
      </c>
      <c r="D497" s="2" t="s">
        <v>2528</v>
      </c>
      <c r="E497" s="2" t="s">
        <v>2529</v>
      </c>
      <c r="F497" s="3">
        <v>165221</v>
      </c>
      <c r="G497" s="3">
        <v>7412</v>
      </c>
      <c r="H497" s="3">
        <v>528</v>
      </c>
      <c r="I497" s="4">
        <v>8552.2800000000007</v>
      </c>
      <c r="J497" s="4">
        <v>43921.9</v>
      </c>
      <c r="K497" s="3">
        <v>424</v>
      </c>
      <c r="L497" s="2" t="s">
        <v>2539</v>
      </c>
      <c r="M497" s="2" t="s">
        <v>2546</v>
      </c>
      <c r="N497" s="6">
        <f t="shared" si="28"/>
        <v>1</v>
      </c>
      <c r="O497" t="str">
        <f>IF(Tabla_control[[#This Row],[Control_duplicados]]&gt;1,"Duplicado","Unico")</f>
        <v>Unico</v>
      </c>
      <c r="P497" t="str">
        <f t="shared" si="29"/>
        <v>OK</v>
      </c>
      <c r="Q497" t="str">
        <f t="shared" si="30"/>
        <v>OK</v>
      </c>
      <c r="R497" t="str">
        <f t="shared" si="31"/>
        <v>OK</v>
      </c>
    </row>
    <row r="498" spans="1:18" x14ac:dyDescent="0.3">
      <c r="A498" s="1">
        <v>45815</v>
      </c>
      <c r="B498" s="2" t="s">
        <v>2633</v>
      </c>
      <c r="C498" s="2" t="s">
        <v>2533</v>
      </c>
      <c r="D498" s="2" t="s">
        <v>2528</v>
      </c>
      <c r="E498" s="2" t="s">
        <v>2517</v>
      </c>
      <c r="F498" s="3">
        <v>98100</v>
      </c>
      <c r="G498" s="3">
        <v>4941</v>
      </c>
      <c r="H498" s="3">
        <v>56</v>
      </c>
      <c r="I498" s="4">
        <v>7871.56</v>
      </c>
      <c r="J498" s="4">
        <v>10234.19</v>
      </c>
      <c r="K498" s="3">
        <v>27</v>
      </c>
      <c r="L498" s="2" t="s">
        <v>2539</v>
      </c>
      <c r="M498" s="2" t="s">
        <v>2546</v>
      </c>
      <c r="N498" s="6">
        <f t="shared" si="28"/>
        <v>1</v>
      </c>
      <c r="O498" t="str">
        <f>IF(Tabla_control[[#This Row],[Control_duplicados]]&gt;1,"Duplicado","Unico")</f>
        <v>Unico</v>
      </c>
      <c r="P498" t="str">
        <f t="shared" si="29"/>
        <v>OK</v>
      </c>
      <c r="Q498" t="str">
        <f t="shared" si="30"/>
        <v>OK</v>
      </c>
      <c r="R498" t="str">
        <f t="shared" si="31"/>
        <v>OK</v>
      </c>
    </row>
    <row r="499" spans="1:18" x14ac:dyDescent="0.3">
      <c r="A499" s="1">
        <v>45738</v>
      </c>
      <c r="B499" s="2" t="s">
        <v>2640</v>
      </c>
      <c r="C499" s="2" t="s">
        <v>2515</v>
      </c>
      <c r="D499" s="2" t="s">
        <v>2528</v>
      </c>
      <c r="E499" s="2" t="s">
        <v>2517</v>
      </c>
      <c r="F499" s="3">
        <v>37462</v>
      </c>
      <c r="G499" s="3">
        <v>964</v>
      </c>
      <c r="H499" s="3">
        <v>72</v>
      </c>
      <c r="I499" s="4">
        <v>1796.03</v>
      </c>
      <c r="J499" s="4">
        <v>11227.49</v>
      </c>
      <c r="K499" s="3">
        <v>43</v>
      </c>
      <c r="L499" s="2" t="s">
        <v>2523</v>
      </c>
      <c r="M499" s="2" t="s">
        <v>2519</v>
      </c>
      <c r="N499" s="6">
        <f t="shared" si="28"/>
        <v>1</v>
      </c>
      <c r="O499" t="str">
        <f>IF(Tabla_control[[#This Row],[Control_duplicados]]&gt;1,"Duplicado","Unico")</f>
        <v>Unico</v>
      </c>
      <c r="P499" t="str">
        <f t="shared" si="29"/>
        <v>OK</v>
      </c>
      <c r="Q499" t="str">
        <f t="shared" si="30"/>
        <v>OK</v>
      </c>
      <c r="R499" t="str">
        <f t="shared" si="31"/>
        <v>OK</v>
      </c>
    </row>
    <row r="500" spans="1:18" x14ac:dyDescent="0.3">
      <c r="A500" s="1">
        <v>45750</v>
      </c>
      <c r="B500" s="2" t="s">
        <v>2628</v>
      </c>
      <c r="C500" s="2" t="s">
        <v>2543</v>
      </c>
      <c r="D500" s="2" t="s">
        <v>2516</v>
      </c>
      <c r="E500" s="2" t="s">
        <v>2529</v>
      </c>
      <c r="F500" s="3">
        <v>2773</v>
      </c>
      <c r="G500" s="3">
        <v>188</v>
      </c>
      <c r="H500" s="3">
        <v>4</v>
      </c>
      <c r="I500" s="4">
        <v>365.94</v>
      </c>
      <c r="J500" s="4">
        <v>842.67</v>
      </c>
      <c r="K500" s="3">
        <v>2</v>
      </c>
      <c r="L500" s="2" t="s">
        <v>2518</v>
      </c>
      <c r="M500" s="2" t="s">
        <v>2524</v>
      </c>
      <c r="N500" s="6">
        <f t="shared" si="28"/>
        <v>1</v>
      </c>
      <c r="O500" t="str">
        <f>IF(Tabla_control[[#This Row],[Control_duplicados]]&gt;1,"Duplicado","Unico")</f>
        <v>Unico</v>
      </c>
      <c r="P500" t="str">
        <f t="shared" si="29"/>
        <v>OK</v>
      </c>
      <c r="Q500" t="str">
        <f t="shared" si="30"/>
        <v>OK</v>
      </c>
      <c r="R500" t="str">
        <f t="shared" si="31"/>
        <v>OK</v>
      </c>
    </row>
    <row r="501" spans="1:18" x14ac:dyDescent="0.3">
      <c r="A501" s="1">
        <v>45995</v>
      </c>
      <c r="B501" s="2" t="s">
        <v>2623</v>
      </c>
      <c r="C501" s="2" t="s">
        <v>2533</v>
      </c>
      <c r="D501" s="2" t="s">
        <v>2531</v>
      </c>
      <c r="E501" s="2" t="s">
        <v>2534</v>
      </c>
      <c r="F501" s="3">
        <v>55755</v>
      </c>
      <c r="G501" s="3">
        <v>3489</v>
      </c>
      <c r="H501" s="3">
        <v>365</v>
      </c>
      <c r="I501" s="4">
        <v>2397.04</v>
      </c>
      <c r="J501" s="4">
        <v>64793.36</v>
      </c>
      <c r="K501" s="3">
        <v>276</v>
      </c>
      <c r="L501" s="2" t="s">
        <v>2518</v>
      </c>
      <c r="M501" s="2" t="s">
        <v>2519</v>
      </c>
      <c r="N501" s="6">
        <f t="shared" si="28"/>
        <v>1</v>
      </c>
      <c r="O501" t="str">
        <f>IF(Tabla_control[[#This Row],[Control_duplicados]]&gt;1,"Duplicado","Unico")</f>
        <v>Unico</v>
      </c>
      <c r="P501" t="str">
        <f t="shared" si="29"/>
        <v>OK</v>
      </c>
      <c r="Q501" t="str">
        <f t="shared" si="30"/>
        <v>OK</v>
      </c>
      <c r="R501" t="str">
        <f t="shared" si="31"/>
        <v>OK</v>
      </c>
    </row>
    <row r="502" spans="1:18" x14ac:dyDescent="0.3">
      <c r="A502" s="1">
        <v>45810</v>
      </c>
      <c r="B502" s="2" t="s">
        <v>2642</v>
      </c>
      <c r="C502" s="2" t="s">
        <v>2515</v>
      </c>
      <c r="D502" s="2" t="s">
        <v>2516</v>
      </c>
      <c r="E502" s="2" t="s">
        <v>2529</v>
      </c>
      <c r="F502" s="3">
        <v>161788</v>
      </c>
      <c r="G502" s="3">
        <v>11571</v>
      </c>
      <c r="H502" s="3">
        <v>1442</v>
      </c>
      <c r="I502" s="4">
        <v>12013.3</v>
      </c>
      <c r="J502" s="4">
        <v>179019.65</v>
      </c>
      <c r="K502" s="3">
        <v>1002</v>
      </c>
      <c r="L502" s="2" t="s">
        <v>2536</v>
      </c>
      <c r="M502" s="2" t="s">
        <v>2537</v>
      </c>
      <c r="N502" s="6">
        <f t="shared" si="28"/>
        <v>1</v>
      </c>
      <c r="O502" t="str">
        <f>IF(Tabla_control[[#This Row],[Control_duplicados]]&gt;1,"Duplicado","Unico")</f>
        <v>Unico</v>
      </c>
      <c r="P502" t="str">
        <f t="shared" si="29"/>
        <v>OK</v>
      </c>
      <c r="Q502" t="str">
        <f t="shared" si="30"/>
        <v>OK</v>
      </c>
      <c r="R502" t="str">
        <f t="shared" si="31"/>
        <v>OK</v>
      </c>
    </row>
    <row r="503" spans="1:18" x14ac:dyDescent="0.3">
      <c r="A503" s="1">
        <v>45694</v>
      </c>
      <c r="B503" s="2" t="s">
        <v>2623</v>
      </c>
      <c r="C503" s="2" t="s">
        <v>2543</v>
      </c>
      <c r="D503" s="2" t="s">
        <v>2528</v>
      </c>
      <c r="E503" s="2" t="s">
        <v>2529</v>
      </c>
      <c r="F503" s="3">
        <v>23010</v>
      </c>
      <c r="G503" s="3">
        <v>2050</v>
      </c>
      <c r="H503" s="3">
        <v>128</v>
      </c>
      <c r="I503" s="4">
        <v>3945.19</v>
      </c>
      <c r="J503" s="4">
        <v>18288.53</v>
      </c>
      <c r="K503" s="3">
        <v>70</v>
      </c>
      <c r="L503" s="2" t="s">
        <v>2539</v>
      </c>
      <c r="M503" s="2" t="s">
        <v>2524</v>
      </c>
      <c r="N503" s="6">
        <f t="shared" si="28"/>
        <v>1</v>
      </c>
      <c r="O503" t="str">
        <f>IF(Tabla_control[[#This Row],[Control_duplicados]]&gt;1,"Duplicado","Unico")</f>
        <v>Unico</v>
      </c>
      <c r="P503" t="str">
        <f t="shared" si="29"/>
        <v>OK</v>
      </c>
      <c r="Q503" t="str">
        <f t="shared" si="30"/>
        <v>OK</v>
      </c>
      <c r="R503" t="str">
        <f t="shared" si="31"/>
        <v>OK</v>
      </c>
    </row>
    <row r="504" spans="1:18" x14ac:dyDescent="0.3">
      <c r="A504" s="1">
        <v>45917</v>
      </c>
      <c r="B504" s="2" t="s">
        <v>2625</v>
      </c>
      <c r="C504" s="2" t="s">
        <v>2533</v>
      </c>
      <c r="D504" s="2" t="s">
        <v>2516</v>
      </c>
      <c r="E504" s="2" t="s">
        <v>2529</v>
      </c>
      <c r="F504" s="3">
        <v>160422</v>
      </c>
      <c r="G504" s="3">
        <v>12369</v>
      </c>
      <c r="H504" s="3">
        <v>1393</v>
      </c>
      <c r="I504" s="4">
        <v>8362.4</v>
      </c>
      <c r="J504" s="4">
        <v>245307.9</v>
      </c>
      <c r="K504" s="3">
        <v>881</v>
      </c>
      <c r="L504" s="2" t="s">
        <v>2518</v>
      </c>
      <c r="M504" s="2" t="s">
        <v>2519</v>
      </c>
      <c r="N504" s="6">
        <f t="shared" si="28"/>
        <v>1</v>
      </c>
      <c r="O504" t="str">
        <f>IF(Tabla_control[[#This Row],[Control_duplicados]]&gt;1,"Duplicado","Unico")</f>
        <v>Unico</v>
      </c>
      <c r="P504" t="str">
        <f t="shared" si="29"/>
        <v>OK</v>
      </c>
      <c r="Q504" t="str">
        <f t="shared" si="30"/>
        <v>OK</v>
      </c>
      <c r="R504" t="str">
        <f t="shared" si="31"/>
        <v>OK</v>
      </c>
    </row>
    <row r="505" spans="1:18" x14ac:dyDescent="0.3">
      <c r="A505" s="1">
        <v>45864</v>
      </c>
      <c r="B505" s="2" t="s">
        <v>2638</v>
      </c>
      <c r="C505" s="2" t="s">
        <v>2527</v>
      </c>
      <c r="D505" s="2" t="s">
        <v>2525</v>
      </c>
      <c r="E505" s="2" t="s">
        <v>2517</v>
      </c>
      <c r="F505" s="3">
        <v>155743</v>
      </c>
      <c r="G505" s="3">
        <v>11002</v>
      </c>
      <c r="H505" s="3">
        <v>1158</v>
      </c>
      <c r="I505" s="4">
        <v>8199.16</v>
      </c>
      <c r="J505" s="4">
        <v>69554.89</v>
      </c>
      <c r="K505" s="3">
        <v>996</v>
      </c>
      <c r="L505" s="2" t="s">
        <v>2539</v>
      </c>
      <c r="M505" s="2" t="s">
        <v>2537</v>
      </c>
      <c r="N505" s="6">
        <f t="shared" si="28"/>
        <v>1</v>
      </c>
      <c r="O505" t="str">
        <f>IF(Tabla_control[[#This Row],[Control_duplicados]]&gt;1,"Duplicado","Unico")</f>
        <v>Unico</v>
      </c>
      <c r="P505" t="str">
        <f t="shared" si="29"/>
        <v>OK</v>
      </c>
      <c r="Q505" t="str">
        <f t="shared" si="30"/>
        <v>OK</v>
      </c>
      <c r="R505" t="str">
        <f t="shared" si="31"/>
        <v>OK</v>
      </c>
    </row>
    <row r="506" spans="1:18" x14ac:dyDescent="0.3">
      <c r="A506" s="1">
        <v>45908</v>
      </c>
      <c r="B506" s="2" t="s">
        <v>2632</v>
      </c>
      <c r="C506" s="2" t="s">
        <v>2533</v>
      </c>
      <c r="D506" s="2" t="s">
        <v>2531</v>
      </c>
      <c r="E506" s="2" t="s">
        <v>2529</v>
      </c>
      <c r="F506" s="3">
        <v>92162</v>
      </c>
      <c r="G506" s="3">
        <v>7822</v>
      </c>
      <c r="H506" s="3">
        <v>59</v>
      </c>
      <c r="I506" s="4">
        <v>5813.1</v>
      </c>
      <c r="J506" s="4">
        <v>2901.77</v>
      </c>
      <c r="K506" s="3">
        <v>33</v>
      </c>
      <c r="L506" s="2" t="s">
        <v>2539</v>
      </c>
      <c r="M506" s="2" t="s">
        <v>2537</v>
      </c>
      <c r="N506" s="6">
        <f t="shared" si="28"/>
        <v>1</v>
      </c>
      <c r="O506" t="str">
        <f>IF(Tabla_control[[#This Row],[Control_duplicados]]&gt;1,"Duplicado","Unico")</f>
        <v>Unico</v>
      </c>
      <c r="P506" t="str">
        <f t="shared" si="29"/>
        <v>OK</v>
      </c>
      <c r="Q506" t="str">
        <f t="shared" si="30"/>
        <v>OK</v>
      </c>
      <c r="R506" t="str">
        <f t="shared" si="31"/>
        <v>OK</v>
      </c>
    </row>
    <row r="507" spans="1:18" x14ac:dyDescent="0.3">
      <c r="A507" s="1">
        <v>45795</v>
      </c>
      <c r="B507" s="2" t="s">
        <v>2621</v>
      </c>
      <c r="C507" s="2" t="s">
        <v>2533</v>
      </c>
      <c r="D507" s="2" t="s">
        <v>2531</v>
      </c>
      <c r="E507" s="2" t="s">
        <v>2517</v>
      </c>
      <c r="F507" s="3">
        <v>174272</v>
      </c>
      <c r="G507" s="3">
        <v>4503</v>
      </c>
      <c r="H507" s="3">
        <v>478</v>
      </c>
      <c r="I507" s="4">
        <v>2554.4299999999998</v>
      </c>
      <c r="J507" s="4">
        <v>42421.32</v>
      </c>
      <c r="K507" s="3">
        <v>220</v>
      </c>
      <c r="L507" s="2" t="s">
        <v>2539</v>
      </c>
      <c r="M507" s="2" t="s">
        <v>2537</v>
      </c>
      <c r="N507" s="6">
        <f t="shared" si="28"/>
        <v>1</v>
      </c>
      <c r="O507" t="str">
        <f>IF(Tabla_control[[#This Row],[Control_duplicados]]&gt;1,"Duplicado","Unico")</f>
        <v>Unico</v>
      </c>
      <c r="P507" t="str">
        <f t="shared" si="29"/>
        <v>OK</v>
      </c>
      <c r="Q507" t="str">
        <f t="shared" si="30"/>
        <v>OK</v>
      </c>
      <c r="R507" t="str">
        <f t="shared" si="31"/>
        <v>OK</v>
      </c>
    </row>
    <row r="508" spans="1:18" x14ac:dyDescent="0.3">
      <c r="A508" s="1">
        <v>45676</v>
      </c>
      <c r="B508" s="2" t="s">
        <v>2644</v>
      </c>
      <c r="C508" s="2" t="s">
        <v>2527</v>
      </c>
      <c r="D508" s="2" t="s">
        <v>2516</v>
      </c>
      <c r="E508" s="2" t="s">
        <v>2529</v>
      </c>
      <c r="F508" s="3">
        <v>126698</v>
      </c>
      <c r="G508" s="3">
        <v>2524</v>
      </c>
      <c r="H508" s="3">
        <v>123</v>
      </c>
      <c r="I508" s="4">
        <v>1638.84</v>
      </c>
      <c r="J508" s="4">
        <v>8326.49</v>
      </c>
      <c r="K508" s="3">
        <v>95</v>
      </c>
      <c r="L508" s="2" t="s">
        <v>2518</v>
      </c>
      <c r="M508" s="2" t="s">
        <v>2537</v>
      </c>
      <c r="N508" s="6">
        <f t="shared" si="28"/>
        <v>1</v>
      </c>
      <c r="O508" t="str">
        <f>IF(Tabla_control[[#This Row],[Control_duplicados]]&gt;1,"Duplicado","Unico")</f>
        <v>Unico</v>
      </c>
      <c r="P508" t="str">
        <f t="shared" si="29"/>
        <v>OK</v>
      </c>
      <c r="Q508" t="str">
        <f t="shared" si="30"/>
        <v>OK</v>
      </c>
      <c r="R508" t="str">
        <f t="shared" si="31"/>
        <v>OK</v>
      </c>
    </row>
    <row r="509" spans="1:18" x14ac:dyDescent="0.3">
      <c r="A509" s="1">
        <v>45669</v>
      </c>
      <c r="B509" s="2" t="s">
        <v>2619</v>
      </c>
      <c r="C509" s="2" t="s">
        <v>2543</v>
      </c>
      <c r="D509" s="2" t="s">
        <v>2516</v>
      </c>
      <c r="E509" s="2" t="s">
        <v>2529</v>
      </c>
      <c r="F509" s="3">
        <v>62262</v>
      </c>
      <c r="G509" s="3">
        <v>1815</v>
      </c>
      <c r="H509" s="3">
        <v>47</v>
      </c>
      <c r="I509" s="4">
        <v>2974.39</v>
      </c>
      <c r="J509" s="4">
        <v>9412.1</v>
      </c>
      <c r="K509" s="3">
        <v>30</v>
      </c>
      <c r="L509" s="2" t="s">
        <v>2536</v>
      </c>
      <c r="M509" s="2" t="s">
        <v>2526</v>
      </c>
      <c r="N509" s="6">
        <f t="shared" si="28"/>
        <v>1</v>
      </c>
      <c r="O509" t="str">
        <f>IF(Tabla_control[[#This Row],[Control_duplicados]]&gt;1,"Duplicado","Unico")</f>
        <v>Unico</v>
      </c>
      <c r="P509" t="str">
        <f t="shared" si="29"/>
        <v>OK</v>
      </c>
      <c r="Q509" t="str">
        <f t="shared" si="30"/>
        <v>OK</v>
      </c>
      <c r="R509" t="str">
        <f t="shared" si="31"/>
        <v>OK</v>
      </c>
    </row>
    <row r="510" spans="1:18" x14ac:dyDescent="0.3">
      <c r="A510" s="1">
        <v>45909</v>
      </c>
      <c r="B510" s="2" t="s">
        <v>2638</v>
      </c>
      <c r="C510" s="2" t="s">
        <v>2541</v>
      </c>
      <c r="D510" s="2" t="s">
        <v>2528</v>
      </c>
      <c r="E510" s="2" t="s">
        <v>2529</v>
      </c>
      <c r="F510" s="3">
        <v>108836</v>
      </c>
      <c r="G510" s="3">
        <v>5484</v>
      </c>
      <c r="H510" s="3">
        <v>492</v>
      </c>
      <c r="I510" s="4">
        <v>5035.92</v>
      </c>
      <c r="J510" s="4">
        <v>78452.45</v>
      </c>
      <c r="K510" s="3">
        <v>322</v>
      </c>
      <c r="L510" s="2" t="s">
        <v>2539</v>
      </c>
      <c r="M510" s="2" t="s">
        <v>2537</v>
      </c>
      <c r="N510" s="6">
        <f t="shared" si="28"/>
        <v>1</v>
      </c>
      <c r="O510" t="str">
        <f>IF(Tabla_control[[#This Row],[Control_duplicados]]&gt;1,"Duplicado","Unico")</f>
        <v>Unico</v>
      </c>
      <c r="P510" t="str">
        <f t="shared" si="29"/>
        <v>OK</v>
      </c>
      <c r="Q510" t="str">
        <f t="shared" si="30"/>
        <v>OK</v>
      </c>
      <c r="R510" t="str">
        <f t="shared" si="31"/>
        <v>OK</v>
      </c>
    </row>
    <row r="511" spans="1:18" x14ac:dyDescent="0.3">
      <c r="A511" s="1">
        <v>45712</v>
      </c>
      <c r="B511" s="2" t="s">
        <v>2640</v>
      </c>
      <c r="C511" s="2" t="s">
        <v>2515</v>
      </c>
      <c r="D511" s="2" t="s">
        <v>2528</v>
      </c>
      <c r="E511" s="2" t="s">
        <v>2517</v>
      </c>
      <c r="F511" s="3">
        <v>3882</v>
      </c>
      <c r="G511" s="3">
        <v>73</v>
      </c>
      <c r="H511" s="3">
        <v>6</v>
      </c>
      <c r="I511" s="4">
        <v>147.18</v>
      </c>
      <c r="J511" s="4">
        <v>776.89</v>
      </c>
      <c r="K511" s="3">
        <v>2</v>
      </c>
      <c r="L511" s="2" t="s">
        <v>2523</v>
      </c>
      <c r="M511" s="2" t="s">
        <v>2546</v>
      </c>
      <c r="N511" s="6">
        <f t="shared" si="28"/>
        <v>1</v>
      </c>
      <c r="O511" t="str">
        <f>IF(Tabla_control[[#This Row],[Control_duplicados]]&gt;1,"Duplicado","Unico")</f>
        <v>Unico</v>
      </c>
      <c r="P511" t="str">
        <f t="shared" si="29"/>
        <v>OK</v>
      </c>
      <c r="Q511" t="str">
        <f t="shared" si="30"/>
        <v>OK</v>
      </c>
      <c r="R511" t="str">
        <f t="shared" si="31"/>
        <v>OK</v>
      </c>
    </row>
    <row r="512" spans="1:18" x14ac:dyDescent="0.3">
      <c r="A512" s="1">
        <v>45970</v>
      </c>
      <c r="B512" s="2" t="s">
        <v>2625</v>
      </c>
      <c r="C512" s="2" t="s">
        <v>2515</v>
      </c>
      <c r="D512" s="2" t="s">
        <v>2525</v>
      </c>
      <c r="E512" s="2" t="s">
        <v>2517</v>
      </c>
      <c r="F512" s="3">
        <v>56304</v>
      </c>
      <c r="G512" s="3">
        <v>3821</v>
      </c>
      <c r="H512" s="3">
        <v>433</v>
      </c>
      <c r="I512" s="4">
        <v>3408.02</v>
      </c>
      <c r="J512" s="4">
        <v>44074.75</v>
      </c>
      <c r="K512" s="3">
        <v>335</v>
      </c>
      <c r="L512" s="2" t="s">
        <v>2523</v>
      </c>
      <c r="M512" s="2" t="s">
        <v>2546</v>
      </c>
      <c r="N512" s="6">
        <f t="shared" si="28"/>
        <v>1</v>
      </c>
      <c r="O512" t="str">
        <f>IF(Tabla_control[[#This Row],[Control_duplicados]]&gt;1,"Duplicado","Unico")</f>
        <v>Unico</v>
      </c>
      <c r="P512" t="str">
        <f t="shared" si="29"/>
        <v>OK</v>
      </c>
      <c r="Q512" t="str">
        <f t="shared" si="30"/>
        <v>OK</v>
      </c>
      <c r="R512" t="str">
        <f t="shared" si="31"/>
        <v>OK</v>
      </c>
    </row>
    <row r="513" spans="1:18" x14ac:dyDescent="0.3">
      <c r="A513" s="1">
        <v>45809</v>
      </c>
      <c r="B513" s="2" t="s">
        <v>2628</v>
      </c>
      <c r="C513" s="2" t="s">
        <v>2521</v>
      </c>
      <c r="D513" s="2" t="s">
        <v>2531</v>
      </c>
      <c r="E513" s="2" t="s">
        <v>2529</v>
      </c>
      <c r="F513" s="3">
        <v>40605</v>
      </c>
      <c r="G513" s="3">
        <v>1681</v>
      </c>
      <c r="H513" s="3">
        <v>205</v>
      </c>
      <c r="I513" s="4">
        <v>1539.51</v>
      </c>
      <c r="J513" s="4">
        <v>31761.61</v>
      </c>
      <c r="K513" s="3">
        <v>178</v>
      </c>
      <c r="L513" s="2" t="s">
        <v>2523</v>
      </c>
      <c r="M513" s="2" t="s">
        <v>2519</v>
      </c>
      <c r="N513" s="6">
        <f t="shared" si="28"/>
        <v>1</v>
      </c>
      <c r="O513" t="str">
        <f>IF(Tabla_control[[#This Row],[Control_duplicados]]&gt;1,"Duplicado","Unico")</f>
        <v>Unico</v>
      </c>
      <c r="P513" t="str">
        <f t="shared" si="29"/>
        <v>OK</v>
      </c>
      <c r="Q513" t="str">
        <f t="shared" si="30"/>
        <v>OK</v>
      </c>
      <c r="R513" t="str">
        <f t="shared" si="31"/>
        <v>OK</v>
      </c>
    </row>
    <row r="514" spans="1:18" x14ac:dyDescent="0.3">
      <c r="A514" s="1">
        <v>45675</v>
      </c>
      <c r="B514" s="2" t="s">
        <v>2615</v>
      </c>
      <c r="C514" s="2" t="s">
        <v>2515</v>
      </c>
      <c r="D514" s="2" t="s">
        <v>2528</v>
      </c>
      <c r="E514" s="2" t="s">
        <v>2529</v>
      </c>
      <c r="F514" s="3">
        <v>124301</v>
      </c>
      <c r="G514" s="3">
        <v>1789</v>
      </c>
      <c r="H514" s="3">
        <v>102</v>
      </c>
      <c r="I514" s="4">
        <v>3332.17</v>
      </c>
      <c r="J514" s="4">
        <v>17294.169999999998</v>
      </c>
      <c r="K514" s="3">
        <v>74</v>
      </c>
      <c r="L514" s="2" t="s">
        <v>2539</v>
      </c>
      <c r="M514" s="2" t="s">
        <v>2546</v>
      </c>
      <c r="N514" s="6">
        <f t="shared" ref="N514:N577" si="32">COUNTIFS($A$2:$A$2536,A514,$B$2:$B$2536,B514,$C$2:$C$2536,C514,$D$2:$D$2536,D514,$E$2:$E$2536,E514,$F$2:$F$2536,F514,$G$2:$G$2536,G514,$H$2:$H$2536,H514,$I$2:$I$2536,I514,$J$2:$J$2536,J514,$K$2:$K$2536,K514,$L$2:$L$2536,L514,$M$2:$M$2536,M514)</f>
        <v>1</v>
      </c>
      <c r="O514" t="str">
        <f>IF(Tabla_control[[#This Row],[Control_duplicados]]&gt;1,"Duplicado","Unico")</f>
        <v>Unico</v>
      </c>
      <c r="P514" t="str">
        <f t="shared" ref="P514:P577" si="33">IF(OR(I514="",I514&lt;0),"ERROR","OK")</f>
        <v>OK</v>
      </c>
      <c r="Q514" t="str">
        <f t="shared" ref="Q514:Q577" si="34">IF(H514&gt;F514,"ERROR","OK")</f>
        <v>OK</v>
      </c>
      <c r="R514" t="str">
        <f t="shared" ref="R514:R577" si="35">IF(K514&gt;H514,"ERROR","OK")</f>
        <v>OK</v>
      </c>
    </row>
    <row r="515" spans="1:18" x14ac:dyDescent="0.3">
      <c r="A515" s="1">
        <v>45859</v>
      </c>
      <c r="B515" s="2" t="s">
        <v>2637</v>
      </c>
      <c r="C515" s="2" t="s">
        <v>2515</v>
      </c>
      <c r="D515" s="2" t="s">
        <v>2528</v>
      </c>
      <c r="E515" s="2" t="s">
        <v>2529</v>
      </c>
      <c r="F515" s="3">
        <v>74435</v>
      </c>
      <c r="G515" s="3">
        <v>4341</v>
      </c>
      <c r="H515" s="3">
        <v>237</v>
      </c>
      <c r="I515" s="4">
        <v>8785.98</v>
      </c>
      <c r="J515" s="4">
        <v>12314.4</v>
      </c>
      <c r="K515" s="3">
        <v>168</v>
      </c>
      <c r="L515" s="2" t="s">
        <v>2518</v>
      </c>
      <c r="M515" s="2" t="s">
        <v>2537</v>
      </c>
      <c r="N515" s="6">
        <f t="shared" si="32"/>
        <v>1</v>
      </c>
      <c r="O515" t="str">
        <f>IF(Tabla_control[[#This Row],[Control_duplicados]]&gt;1,"Duplicado","Unico")</f>
        <v>Unico</v>
      </c>
      <c r="P515" t="str">
        <f t="shared" si="33"/>
        <v>OK</v>
      </c>
      <c r="Q515" t="str">
        <f t="shared" si="34"/>
        <v>OK</v>
      </c>
      <c r="R515" t="str">
        <f t="shared" si="35"/>
        <v>OK</v>
      </c>
    </row>
    <row r="516" spans="1:18" x14ac:dyDescent="0.3">
      <c r="A516" s="1">
        <v>45812</v>
      </c>
      <c r="B516" s="2" t="s">
        <v>2631</v>
      </c>
      <c r="C516" s="2" t="s">
        <v>2533</v>
      </c>
      <c r="D516" s="2" t="s">
        <v>2528</v>
      </c>
      <c r="E516" s="2" t="s">
        <v>2517</v>
      </c>
      <c r="F516" s="3">
        <v>5731</v>
      </c>
      <c r="G516" s="3">
        <v>102</v>
      </c>
      <c r="H516" s="3">
        <v>2</v>
      </c>
      <c r="I516" s="4">
        <v>11.2</v>
      </c>
      <c r="J516" s="4">
        <v>263.91000000000003</v>
      </c>
      <c r="K516" s="3">
        <v>1</v>
      </c>
      <c r="L516" s="2" t="s">
        <v>2539</v>
      </c>
      <c r="M516" s="2" t="s">
        <v>2526</v>
      </c>
      <c r="N516" s="6">
        <f t="shared" si="32"/>
        <v>1</v>
      </c>
      <c r="O516" t="str">
        <f>IF(Tabla_control[[#This Row],[Control_duplicados]]&gt;1,"Duplicado","Unico")</f>
        <v>Unico</v>
      </c>
      <c r="P516" t="str">
        <f t="shared" si="33"/>
        <v>OK</v>
      </c>
      <c r="Q516" t="str">
        <f t="shared" si="34"/>
        <v>OK</v>
      </c>
      <c r="R516" t="str">
        <f t="shared" si="35"/>
        <v>OK</v>
      </c>
    </row>
    <row r="517" spans="1:18" x14ac:dyDescent="0.3">
      <c r="A517" s="1">
        <v>46000</v>
      </c>
      <c r="B517" s="2" t="s">
        <v>2629</v>
      </c>
      <c r="C517" s="2" t="s">
        <v>2541</v>
      </c>
      <c r="D517" s="2" t="s">
        <v>2528</v>
      </c>
      <c r="E517" s="2" t="s">
        <v>2517</v>
      </c>
      <c r="F517" s="3">
        <v>75197</v>
      </c>
      <c r="G517" s="3">
        <v>639</v>
      </c>
      <c r="H517" s="3">
        <v>80</v>
      </c>
      <c r="I517" s="4">
        <v>481.65</v>
      </c>
      <c r="J517" s="4">
        <v>5156.6099999999997</v>
      </c>
      <c r="K517" s="3">
        <v>71</v>
      </c>
      <c r="L517" s="2" t="s">
        <v>2536</v>
      </c>
      <c r="M517" s="2" t="s">
        <v>2537</v>
      </c>
      <c r="N517" s="6">
        <f t="shared" si="32"/>
        <v>1</v>
      </c>
      <c r="O517" t="str">
        <f>IF(Tabla_control[[#This Row],[Control_duplicados]]&gt;1,"Duplicado","Unico")</f>
        <v>Unico</v>
      </c>
      <c r="P517" t="str">
        <f t="shared" si="33"/>
        <v>OK</v>
      </c>
      <c r="Q517" t="str">
        <f t="shared" si="34"/>
        <v>OK</v>
      </c>
      <c r="R517" t="str">
        <f t="shared" si="35"/>
        <v>OK</v>
      </c>
    </row>
    <row r="518" spans="1:18" x14ac:dyDescent="0.3">
      <c r="A518" s="1">
        <v>45759</v>
      </c>
      <c r="B518" s="2" t="s">
        <v>2633</v>
      </c>
      <c r="C518" s="2" t="s">
        <v>2521</v>
      </c>
      <c r="D518" s="2" t="s">
        <v>2528</v>
      </c>
      <c r="E518" s="2" t="s">
        <v>2517</v>
      </c>
      <c r="F518" s="3">
        <v>6340</v>
      </c>
      <c r="G518" s="3">
        <v>122</v>
      </c>
      <c r="H518" s="3">
        <v>15</v>
      </c>
      <c r="I518" s="4">
        <v>169.89</v>
      </c>
      <c r="J518" s="4">
        <v>2481.58</v>
      </c>
      <c r="K518" s="3">
        <v>9</v>
      </c>
      <c r="L518" s="2" t="s">
        <v>2539</v>
      </c>
      <c r="M518" s="2" t="s">
        <v>2524</v>
      </c>
      <c r="N518" s="6">
        <f t="shared" si="32"/>
        <v>1</v>
      </c>
      <c r="O518" t="str">
        <f>IF(Tabla_control[[#This Row],[Control_duplicados]]&gt;1,"Duplicado","Unico")</f>
        <v>Unico</v>
      </c>
      <c r="P518" t="str">
        <f t="shared" si="33"/>
        <v>OK</v>
      </c>
      <c r="Q518" t="str">
        <f t="shared" si="34"/>
        <v>OK</v>
      </c>
      <c r="R518" t="str">
        <f t="shared" si="35"/>
        <v>OK</v>
      </c>
    </row>
    <row r="519" spans="1:18" x14ac:dyDescent="0.3">
      <c r="A519" s="1">
        <v>45885</v>
      </c>
      <c r="B519" s="2" t="s">
        <v>2628</v>
      </c>
      <c r="C519" s="2" t="s">
        <v>2521</v>
      </c>
      <c r="D519" s="2" t="s">
        <v>2528</v>
      </c>
      <c r="E519" s="2" t="s">
        <v>2529</v>
      </c>
      <c r="F519" s="3">
        <v>25158</v>
      </c>
      <c r="G519" s="3">
        <v>1323</v>
      </c>
      <c r="H519" s="3">
        <v>183</v>
      </c>
      <c r="I519" s="4">
        <v>1286.6099999999999</v>
      </c>
      <c r="J519" s="4">
        <v>21545.99</v>
      </c>
      <c r="K519" s="3">
        <v>119</v>
      </c>
      <c r="L519" s="2" t="s">
        <v>2523</v>
      </c>
      <c r="M519" s="2" t="s">
        <v>2526</v>
      </c>
      <c r="N519" s="6">
        <f t="shared" si="32"/>
        <v>1</v>
      </c>
      <c r="O519" t="str">
        <f>IF(Tabla_control[[#This Row],[Control_duplicados]]&gt;1,"Duplicado","Unico")</f>
        <v>Unico</v>
      </c>
      <c r="P519" t="str">
        <f t="shared" si="33"/>
        <v>OK</v>
      </c>
      <c r="Q519" t="str">
        <f t="shared" si="34"/>
        <v>OK</v>
      </c>
      <c r="R519" t="str">
        <f t="shared" si="35"/>
        <v>OK</v>
      </c>
    </row>
    <row r="520" spans="1:18" x14ac:dyDescent="0.3">
      <c r="A520" s="1">
        <v>45848</v>
      </c>
      <c r="B520" s="2" t="s">
        <v>2624</v>
      </c>
      <c r="C520" s="2" t="s">
        <v>2521</v>
      </c>
      <c r="D520" s="2" t="s">
        <v>2525</v>
      </c>
      <c r="E520" s="2" t="s">
        <v>2529</v>
      </c>
      <c r="F520" s="3">
        <v>167573</v>
      </c>
      <c r="G520" s="3">
        <v>1953</v>
      </c>
      <c r="H520" s="3">
        <v>71</v>
      </c>
      <c r="I520" s="4">
        <v>4005.9</v>
      </c>
      <c r="J520" s="4">
        <v>14852.83</v>
      </c>
      <c r="K520" s="3">
        <v>57</v>
      </c>
      <c r="L520" s="2" t="s">
        <v>2536</v>
      </c>
      <c r="M520" s="2" t="s">
        <v>2526</v>
      </c>
      <c r="N520" s="6">
        <f t="shared" si="32"/>
        <v>1</v>
      </c>
      <c r="O520" t="str">
        <f>IF(Tabla_control[[#This Row],[Control_duplicados]]&gt;1,"Duplicado","Unico")</f>
        <v>Unico</v>
      </c>
      <c r="P520" t="str">
        <f t="shared" si="33"/>
        <v>OK</v>
      </c>
      <c r="Q520" t="str">
        <f t="shared" si="34"/>
        <v>OK</v>
      </c>
      <c r="R520" t="str">
        <f t="shared" si="35"/>
        <v>OK</v>
      </c>
    </row>
    <row r="521" spans="1:18" x14ac:dyDescent="0.3">
      <c r="A521" s="1">
        <v>45903</v>
      </c>
      <c r="B521" s="2" t="s">
        <v>2643</v>
      </c>
      <c r="C521" s="2" t="s">
        <v>2541</v>
      </c>
      <c r="D521" s="2" t="s">
        <v>2525</v>
      </c>
      <c r="E521" s="2" t="s">
        <v>2529</v>
      </c>
      <c r="F521" s="3">
        <v>169608</v>
      </c>
      <c r="G521" s="3">
        <v>12523</v>
      </c>
      <c r="H521" s="3">
        <v>131</v>
      </c>
      <c r="I521" s="4">
        <v>17347.38</v>
      </c>
      <c r="J521" s="4">
        <v>9240.32</v>
      </c>
      <c r="K521" s="3">
        <v>62</v>
      </c>
      <c r="L521" s="2" t="s">
        <v>2536</v>
      </c>
      <c r="M521" s="2" t="s">
        <v>2537</v>
      </c>
      <c r="N521" s="6">
        <f t="shared" si="32"/>
        <v>1</v>
      </c>
      <c r="O521" t="str">
        <f>IF(Tabla_control[[#This Row],[Control_duplicados]]&gt;1,"Duplicado","Unico")</f>
        <v>Unico</v>
      </c>
      <c r="P521" t="str">
        <f t="shared" si="33"/>
        <v>OK</v>
      </c>
      <c r="Q521" t="str">
        <f t="shared" si="34"/>
        <v>OK</v>
      </c>
      <c r="R521" t="str">
        <f t="shared" si="35"/>
        <v>OK</v>
      </c>
    </row>
    <row r="522" spans="1:18" x14ac:dyDescent="0.3">
      <c r="A522" s="1">
        <v>45716</v>
      </c>
      <c r="B522" s="2" t="s">
        <v>2633</v>
      </c>
      <c r="C522" s="2" t="s">
        <v>2543</v>
      </c>
      <c r="D522" s="2" t="s">
        <v>2516</v>
      </c>
      <c r="E522" s="2" t="s">
        <v>2529</v>
      </c>
      <c r="F522" s="3">
        <v>83513</v>
      </c>
      <c r="G522" s="3">
        <v>5009</v>
      </c>
      <c r="H522" s="3">
        <v>423</v>
      </c>
      <c r="I522" s="4">
        <v>9894.7000000000007</v>
      </c>
      <c r="J522" s="4">
        <v>57772.18</v>
      </c>
      <c r="K522" s="3">
        <v>273</v>
      </c>
      <c r="L522" s="2" t="s">
        <v>2536</v>
      </c>
      <c r="M522" s="2" t="s">
        <v>2524</v>
      </c>
      <c r="N522" s="6">
        <f t="shared" si="32"/>
        <v>1</v>
      </c>
      <c r="O522" t="str">
        <f>IF(Tabla_control[[#This Row],[Control_duplicados]]&gt;1,"Duplicado","Unico")</f>
        <v>Unico</v>
      </c>
      <c r="P522" t="str">
        <f t="shared" si="33"/>
        <v>OK</v>
      </c>
      <c r="Q522" t="str">
        <f t="shared" si="34"/>
        <v>OK</v>
      </c>
      <c r="R522" t="str">
        <f t="shared" si="35"/>
        <v>OK</v>
      </c>
    </row>
    <row r="523" spans="1:18" x14ac:dyDescent="0.3">
      <c r="A523" s="1">
        <v>45859</v>
      </c>
      <c r="B523" s="2" t="s">
        <v>2630</v>
      </c>
      <c r="C523" s="2" t="s">
        <v>2515</v>
      </c>
      <c r="D523" s="2" t="s">
        <v>2528</v>
      </c>
      <c r="E523" s="2" t="s">
        <v>2517</v>
      </c>
      <c r="F523" s="3">
        <v>91618</v>
      </c>
      <c r="G523" s="3">
        <v>954</v>
      </c>
      <c r="H523" s="3">
        <v>11</v>
      </c>
      <c r="I523" s="4">
        <v>1289.6300000000001</v>
      </c>
      <c r="J523" s="4">
        <v>981.21</v>
      </c>
      <c r="K523" s="3">
        <v>6</v>
      </c>
      <c r="L523" s="2" t="s">
        <v>2518</v>
      </c>
      <c r="M523" s="2" t="s">
        <v>2537</v>
      </c>
      <c r="N523" s="6">
        <f t="shared" si="32"/>
        <v>1</v>
      </c>
      <c r="O523" t="str">
        <f>IF(Tabla_control[[#This Row],[Control_duplicados]]&gt;1,"Duplicado","Unico")</f>
        <v>Unico</v>
      </c>
      <c r="P523" t="str">
        <f t="shared" si="33"/>
        <v>OK</v>
      </c>
      <c r="Q523" t="str">
        <f t="shared" si="34"/>
        <v>OK</v>
      </c>
      <c r="R523" t="str">
        <f t="shared" si="35"/>
        <v>OK</v>
      </c>
    </row>
    <row r="524" spans="1:18" x14ac:dyDescent="0.3">
      <c r="A524" s="1">
        <v>45816</v>
      </c>
      <c r="B524" s="2" t="s">
        <v>2632</v>
      </c>
      <c r="C524" s="2" t="s">
        <v>2521</v>
      </c>
      <c r="D524" s="2" t="s">
        <v>2528</v>
      </c>
      <c r="E524" s="2" t="s">
        <v>2517</v>
      </c>
      <c r="F524" s="3">
        <v>70587</v>
      </c>
      <c r="G524" s="3">
        <v>4263</v>
      </c>
      <c r="H524" s="3">
        <v>262</v>
      </c>
      <c r="I524" s="4">
        <v>7505.75</v>
      </c>
      <c r="J524" s="4">
        <v>25218.16</v>
      </c>
      <c r="K524" s="3">
        <v>128</v>
      </c>
      <c r="L524" s="2" t="s">
        <v>2539</v>
      </c>
      <c r="M524" s="2" t="s">
        <v>2519</v>
      </c>
      <c r="N524" s="6">
        <f t="shared" si="32"/>
        <v>1</v>
      </c>
      <c r="O524" t="str">
        <f>IF(Tabla_control[[#This Row],[Control_duplicados]]&gt;1,"Duplicado","Unico")</f>
        <v>Unico</v>
      </c>
      <c r="P524" t="str">
        <f t="shared" si="33"/>
        <v>OK</v>
      </c>
      <c r="Q524" t="str">
        <f t="shared" si="34"/>
        <v>OK</v>
      </c>
      <c r="R524" t="str">
        <f t="shared" si="35"/>
        <v>OK</v>
      </c>
    </row>
    <row r="525" spans="1:18" x14ac:dyDescent="0.3">
      <c r="A525" s="1">
        <v>46014</v>
      </c>
      <c r="B525" s="2" t="s">
        <v>2644</v>
      </c>
      <c r="C525" s="2" t="s">
        <v>2527</v>
      </c>
      <c r="D525" s="2" t="s">
        <v>2525</v>
      </c>
      <c r="E525" s="2" t="s">
        <v>2517</v>
      </c>
      <c r="F525" s="3">
        <v>135586</v>
      </c>
      <c r="G525" s="3">
        <v>8967</v>
      </c>
      <c r="H525" s="3">
        <v>1001</v>
      </c>
      <c r="I525" s="4">
        <v>4618.6899999999996</v>
      </c>
      <c r="J525" s="4">
        <v>161944.57</v>
      </c>
      <c r="K525" s="3">
        <v>794</v>
      </c>
      <c r="L525" s="2" t="s">
        <v>2523</v>
      </c>
      <c r="M525" s="2" t="s">
        <v>2524</v>
      </c>
      <c r="N525" s="6">
        <f t="shared" si="32"/>
        <v>1</v>
      </c>
      <c r="O525" t="str">
        <f>IF(Tabla_control[[#This Row],[Control_duplicados]]&gt;1,"Duplicado","Unico")</f>
        <v>Unico</v>
      </c>
      <c r="P525" t="str">
        <f t="shared" si="33"/>
        <v>OK</v>
      </c>
      <c r="Q525" t="str">
        <f t="shared" si="34"/>
        <v>OK</v>
      </c>
      <c r="R525" t="str">
        <f t="shared" si="35"/>
        <v>OK</v>
      </c>
    </row>
    <row r="526" spans="1:18" x14ac:dyDescent="0.3">
      <c r="A526" s="1">
        <v>45739</v>
      </c>
      <c r="B526" s="2" t="s">
        <v>2624</v>
      </c>
      <c r="C526" s="2" t="s">
        <v>2527</v>
      </c>
      <c r="D526" s="2" t="s">
        <v>2528</v>
      </c>
      <c r="E526" s="2" t="s">
        <v>2517</v>
      </c>
      <c r="F526" s="3">
        <v>123898</v>
      </c>
      <c r="G526" s="3">
        <v>7711</v>
      </c>
      <c r="H526" s="3">
        <v>554</v>
      </c>
      <c r="I526" s="4">
        <v>8737.2199999999993</v>
      </c>
      <c r="J526" s="4">
        <v>71905.38</v>
      </c>
      <c r="K526" s="3">
        <v>377</v>
      </c>
      <c r="L526" s="2" t="s">
        <v>2518</v>
      </c>
      <c r="M526" s="2" t="s">
        <v>2537</v>
      </c>
      <c r="N526" s="6">
        <f t="shared" si="32"/>
        <v>1</v>
      </c>
      <c r="O526" t="str">
        <f>IF(Tabla_control[[#This Row],[Control_duplicados]]&gt;1,"Duplicado","Unico")</f>
        <v>Unico</v>
      </c>
      <c r="P526" t="str">
        <f t="shared" si="33"/>
        <v>OK</v>
      </c>
      <c r="Q526" t="str">
        <f t="shared" si="34"/>
        <v>OK</v>
      </c>
      <c r="R526" t="str">
        <f t="shared" si="35"/>
        <v>OK</v>
      </c>
    </row>
    <row r="527" spans="1:18" x14ac:dyDescent="0.3">
      <c r="A527" s="1">
        <v>45760</v>
      </c>
      <c r="B527" s="2" t="s">
        <v>2623</v>
      </c>
      <c r="C527" s="2" t="s">
        <v>2533</v>
      </c>
      <c r="D527" s="2" t="s">
        <v>2525</v>
      </c>
      <c r="E527" s="2" t="s">
        <v>2517</v>
      </c>
      <c r="F527" s="3">
        <v>50197</v>
      </c>
      <c r="G527" s="3">
        <v>3435</v>
      </c>
      <c r="H527" s="3">
        <v>293</v>
      </c>
      <c r="I527" s="4">
        <v>652.86</v>
      </c>
      <c r="J527" s="4">
        <v>24762.57</v>
      </c>
      <c r="K527" s="3">
        <v>213</v>
      </c>
      <c r="L527" s="2" t="s">
        <v>2539</v>
      </c>
      <c r="M527" s="2" t="s">
        <v>2537</v>
      </c>
      <c r="N527" s="6">
        <f t="shared" si="32"/>
        <v>1</v>
      </c>
      <c r="O527" t="str">
        <f>IF(Tabla_control[[#This Row],[Control_duplicados]]&gt;1,"Duplicado","Unico")</f>
        <v>Unico</v>
      </c>
      <c r="P527" t="str">
        <f t="shared" si="33"/>
        <v>OK</v>
      </c>
      <c r="Q527" t="str">
        <f t="shared" si="34"/>
        <v>OK</v>
      </c>
      <c r="R527" t="str">
        <f t="shared" si="35"/>
        <v>OK</v>
      </c>
    </row>
    <row r="528" spans="1:18" x14ac:dyDescent="0.3">
      <c r="A528" s="1">
        <v>45910</v>
      </c>
      <c r="B528" s="2" t="s">
        <v>2619</v>
      </c>
      <c r="C528" s="2" t="s">
        <v>2541</v>
      </c>
      <c r="D528" s="2" t="s">
        <v>2516</v>
      </c>
      <c r="E528" s="2" t="s">
        <v>2517</v>
      </c>
      <c r="F528" s="3">
        <v>85059</v>
      </c>
      <c r="G528" s="3">
        <v>4913</v>
      </c>
      <c r="H528" s="3">
        <v>440</v>
      </c>
      <c r="I528" s="4">
        <v>7424.84</v>
      </c>
      <c r="J528" s="4">
        <v>57954.559999999998</v>
      </c>
      <c r="K528" s="3">
        <v>206</v>
      </c>
      <c r="L528" s="2" t="s">
        <v>2539</v>
      </c>
      <c r="M528" s="2" t="s">
        <v>2519</v>
      </c>
      <c r="N528" s="6">
        <f t="shared" si="32"/>
        <v>1</v>
      </c>
      <c r="O528" t="str">
        <f>IF(Tabla_control[[#This Row],[Control_duplicados]]&gt;1,"Duplicado","Unico")</f>
        <v>Unico</v>
      </c>
      <c r="P528" t="str">
        <f t="shared" si="33"/>
        <v>OK</v>
      </c>
      <c r="Q528" t="str">
        <f t="shared" si="34"/>
        <v>OK</v>
      </c>
      <c r="R528" t="str">
        <f t="shared" si="35"/>
        <v>OK</v>
      </c>
    </row>
    <row r="529" spans="1:18" x14ac:dyDescent="0.3">
      <c r="A529" s="1">
        <v>45908</v>
      </c>
      <c r="B529" s="2" t="s">
        <v>2637</v>
      </c>
      <c r="C529" s="2" t="s">
        <v>2515</v>
      </c>
      <c r="D529" s="2" t="s">
        <v>2516</v>
      </c>
      <c r="E529" s="2" t="s">
        <v>2517</v>
      </c>
      <c r="F529" s="3">
        <v>132539</v>
      </c>
      <c r="G529" s="3">
        <v>8958</v>
      </c>
      <c r="H529" s="3">
        <v>451</v>
      </c>
      <c r="I529" s="4">
        <v>10437.58</v>
      </c>
      <c r="J529" s="4">
        <v>55712.15</v>
      </c>
      <c r="K529" s="3">
        <v>371</v>
      </c>
      <c r="L529" s="2" t="s">
        <v>2536</v>
      </c>
      <c r="M529" s="2" t="s">
        <v>2546</v>
      </c>
      <c r="N529" s="6">
        <f t="shared" si="32"/>
        <v>1</v>
      </c>
      <c r="O529" t="str">
        <f>IF(Tabla_control[[#This Row],[Control_duplicados]]&gt;1,"Duplicado","Unico")</f>
        <v>Unico</v>
      </c>
      <c r="P529" t="str">
        <f t="shared" si="33"/>
        <v>OK</v>
      </c>
      <c r="Q529" t="str">
        <f t="shared" si="34"/>
        <v>OK</v>
      </c>
      <c r="R529" t="str">
        <f t="shared" si="35"/>
        <v>OK</v>
      </c>
    </row>
    <row r="530" spans="1:18" x14ac:dyDescent="0.3">
      <c r="A530" s="1">
        <v>45791</v>
      </c>
      <c r="B530" s="2" t="s">
        <v>2624</v>
      </c>
      <c r="C530" s="2" t="s">
        <v>2527</v>
      </c>
      <c r="D530" s="2" t="s">
        <v>2525</v>
      </c>
      <c r="E530" s="2" t="s">
        <v>2517</v>
      </c>
      <c r="F530" s="3">
        <v>13308</v>
      </c>
      <c r="G530" s="3">
        <v>380</v>
      </c>
      <c r="H530" s="3">
        <v>26</v>
      </c>
      <c r="I530" s="4">
        <v>400.15</v>
      </c>
      <c r="J530" s="4">
        <v>4777.84</v>
      </c>
      <c r="K530" s="3">
        <v>19</v>
      </c>
      <c r="L530" s="2" t="s">
        <v>2536</v>
      </c>
      <c r="M530" s="2" t="s">
        <v>2519</v>
      </c>
      <c r="N530" s="6">
        <f t="shared" si="32"/>
        <v>1</v>
      </c>
      <c r="O530" t="str">
        <f>IF(Tabla_control[[#This Row],[Control_duplicados]]&gt;1,"Duplicado","Unico")</f>
        <v>Unico</v>
      </c>
      <c r="P530" t="str">
        <f t="shared" si="33"/>
        <v>OK</v>
      </c>
      <c r="Q530" t="str">
        <f t="shared" si="34"/>
        <v>OK</v>
      </c>
      <c r="R530" t="str">
        <f t="shared" si="35"/>
        <v>OK</v>
      </c>
    </row>
    <row r="531" spans="1:18" x14ac:dyDescent="0.3">
      <c r="A531" s="1">
        <v>46015</v>
      </c>
      <c r="B531" s="2" t="s">
        <v>2627</v>
      </c>
      <c r="C531" s="2" t="s">
        <v>2543</v>
      </c>
      <c r="D531" s="2" t="s">
        <v>2528</v>
      </c>
      <c r="E531" s="2" t="s">
        <v>2517</v>
      </c>
      <c r="F531" s="3">
        <v>138585</v>
      </c>
      <c r="G531" s="3">
        <v>8238</v>
      </c>
      <c r="H531" s="3">
        <v>1013</v>
      </c>
      <c r="I531" s="4">
        <v>11972.56</v>
      </c>
      <c r="J531" s="4">
        <v>130558.93</v>
      </c>
      <c r="K531" s="3">
        <v>833</v>
      </c>
      <c r="L531" s="2" t="s">
        <v>2539</v>
      </c>
      <c r="M531" s="2" t="s">
        <v>2546</v>
      </c>
      <c r="N531" s="6">
        <f t="shared" si="32"/>
        <v>1</v>
      </c>
      <c r="O531" t="str">
        <f>IF(Tabla_control[[#This Row],[Control_duplicados]]&gt;1,"Duplicado","Unico")</f>
        <v>Unico</v>
      </c>
      <c r="P531" t="str">
        <f t="shared" si="33"/>
        <v>OK</v>
      </c>
      <c r="Q531" t="str">
        <f t="shared" si="34"/>
        <v>OK</v>
      </c>
      <c r="R531" t="str">
        <f t="shared" si="35"/>
        <v>OK</v>
      </c>
    </row>
    <row r="532" spans="1:18" x14ac:dyDescent="0.3">
      <c r="A532" s="1">
        <v>45730</v>
      </c>
      <c r="B532" s="2" t="s">
        <v>2639</v>
      </c>
      <c r="C532" s="2" t="s">
        <v>2521</v>
      </c>
      <c r="D532" s="2" t="s">
        <v>2528</v>
      </c>
      <c r="E532" s="2" t="s">
        <v>2529</v>
      </c>
      <c r="F532" s="3">
        <v>138022</v>
      </c>
      <c r="G532" s="3">
        <v>2106</v>
      </c>
      <c r="H532" s="3">
        <v>281</v>
      </c>
      <c r="I532" s="4">
        <v>3341.61</v>
      </c>
      <c r="J532" s="4">
        <v>26440.59</v>
      </c>
      <c r="K532" s="3">
        <v>190</v>
      </c>
      <c r="L532" s="2" t="s">
        <v>2539</v>
      </c>
      <c r="M532" s="2" t="s">
        <v>2524</v>
      </c>
      <c r="N532" s="6">
        <f t="shared" si="32"/>
        <v>1</v>
      </c>
      <c r="O532" t="str">
        <f>IF(Tabla_control[[#This Row],[Control_duplicados]]&gt;1,"Duplicado","Unico")</f>
        <v>Unico</v>
      </c>
      <c r="P532" t="str">
        <f t="shared" si="33"/>
        <v>OK</v>
      </c>
      <c r="Q532" t="str">
        <f t="shared" si="34"/>
        <v>OK</v>
      </c>
      <c r="R532" t="str">
        <f t="shared" si="35"/>
        <v>OK</v>
      </c>
    </row>
    <row r="533" spans="1:18" x14ac:dyDescent="0.3">
      <c r="A533" s="1">
        <v>45718</v>
      </c>
      <c r="B533" s="2" t="s">
        <v>2618</v>
      </c>
      <c r="C533" s="2" t="s">
        <v>2541</v>
      </c>
      <c r="D533" s="2" t="s">
        <v>2516</v>
      </c>
      <c r="E533" s="2" t="s">
        <v>2517</v>
      </c>
      <c r="F533" s="3">
        <v>59089</v>
      </c>
      <c r="G533" s="3">
        <v>5218</v>
      </c>
      <c r="H533" s="3">
        <v>659</v>
      </c>
      <c r="I533" s="4">
        <v>5609.93</v>
      </c>
      <c r="J533" s="4">
        <v>144502.79</v>
      </c>
      <c r="K533" s="3">
        <v>345</v>
      </c>
      <c r="L533" s="2" t="s">
        <v>2518</v>
      </c>
      <c r="M533" s="2" t="s">
        <v>2526</v>
      </c>
      <c r="N533" s="6">
        <f t="shared" si="32"/>
        <v>1</v>
      </c>
      <c r="O533" t="str">
        <f>IF(Tabla_control[[#This Row],[Control_duplicados]]&gt;1,"Duplicado","Unico")</f>
        <v>Unico</v>
      </c>
      <c r="P533" t="str">
        <f t="shared" si="33"/>
        <v>OK</v>
      </c>
      <c r="Q533" t="str">
        <f t="shared" si="34"/>
        <v>OK</v>
      </c>
      <c r="R533" t="str">
        <f t="shared" si="35"/>
        <v>OK</v>
      </c>
    </row>
    <row r="534" spans="1:18" x14ac:dyDescent="0.3">
      <c r="A534" s="1">
        <v>45950</v>
      </c>
      <c r="B534" s="2" t="s">
        <v>2631</v>
      </c>
      <c r="C534" s="2" t="s">
        <v>2527</v>
      </c>
      <c r="D534" s="2" t="s">
        <v>2528</v>
      </c>
      <c r="E534" s="2" t="s">
        <v>2517</v>
      </c>
      <c r="F534" s="3">
        <v>130778</v>
      </c>
      <c r="G534" s="3">
        <v>8568</v>
      </c>
      <c r="H534" s="3">
        <v>1168</v>
      </c>
      <c r="I534" s="4">
        <v>10774.75</v>
      </c>
      <c r="J534" s="4">
        <v>94265.13</v>
      </c>
      <c r="K534" s="3">
        <v>863</v>
      </c>
      <c r="L534" s="2" t="s">
        <v>2518</v>
      </c>
      <c r="M534" s="2" t="s">
        <v>2645</v>
      </c>
      <c r="N534" s="6">
        <f t="shared" si="32"/>
        <v>1</v>
      </c>
      <c r="O534" t="str">
        <f>IF(Tabla_control[[#This Row],[Control_duplicados]]&gt;1,"Duplicado","Unico")</f>
        <v>Unico</v>
      </c>
      <c r="P534" t="str">
        <f t="shared" si="33"/>
        <v>OK</v>
      </c>
      <c r="Q534" t="str">
        <f t="shared" si="34"/>
        <v>OK</v>
      </c>
      <c r="R534" t="str">
        <f t="shared" si="35"/>
        <v>OK</v>
      </c>
    </row>
    <row r="535" spans="1:18" x14ac:dyDescent="0.3">
      <c r="A535" s="1">
        <v>45703</v>
      </c>
      <c r="B535" s="2" t="s">
        <v>2616</v>
      </c>
      <c r="C535" s="2" t="s">
        <v>2541</v>
      </c>
      <c r="D535" s="2" t="s">
        <v>2528</v>
      </c>
      <c r="E535" s="2" t="s">
        <v>2534</v>
      </c>
      <c r="F535" s="3">
        <v>7197</v>
      </c>
      <c r="G535" s="3">
        <v>95</v>
      </c>
      <c r="H535" s="3">
        <v>9</v>
      </c>
      <c r="I535" s="4">
        <v>160.38</v>
      </c>
      <c r="J535" s="4">
        <v>1121.53</v>
      </c>
      <c r="K535" s="3">
        <v>4</v>
      </c>
      <c r="L535" s="2" t="s">
        <v>2518</v>
      </c>
      <c r="M535" s="2" t="s">
        <v>2537</v>
      </c>
      <c r="N535" s="6">
        <f t="shared" si="32"/>
        <v>1</v>
      </c>
      <c r="O535" t="str">
        <f>IF(Tabla_control[[#This Row],[Control_duplicados]]&gt;1,"Duplicado","Unico")</f>
        <v>Unico</v>
      </c>
      <c r="P535" t="str">
        <f t="shared" si="33"/>
        <v>OK</v>
      </c>
      <c r="Q535" t="str">
        <f t="shared" si="34"/>
        <v>OK</v>
      </c>
      <c r="R535" t="str">
        <f t="shared" si="35"/>
        <v>OK</v>
      </c>
    </row>
    <row r="536" spans="1:18" x14ac:dyDescent="0.3">
      <c r="A536" s="1">
        <v>45969</v>
      </c>
      <c r="B536" s="2" t="s">
        <v>2637</v>
      </c>
      <c r="C536" s="2" t="s">
        <v>2515</v>
      </c>
      <c r="D536" s="2" t="s">
        <v>2522</v>
      </c>
      <c r="E536" s="2" t="s">
        <v>2529</v>
      </c>
      <c r="F536" s="3">
        <v>55259</v>
      </c>
      <c r="G536" s="3">
        <v>3076</v>
      </c>
      <c r="H536" s="3">
        <v>199</v>
      </c>
      <c r="I536" s="4">
        <v>4397.83</v>
      </c>
      <c r="J536" s="4">
        <v>9510.76</v>
      </c>
      <c r="K536" s="3">
        <v>100</v>
      </c>
      <c r="L536" s="2" t="s">
        <v>2536</v>
      </c>
      <c r="M536" s="2" t="s">
        <v>2546</v>
      </c>
      <c r="N536" s="6">
        <f t="shared" si="32"/>
        <v>1</v>
      </c>
      <c r="O536" t="str">
        <f>IF(Tabla_control[[#This Row],[Control_duplicados]]&gt;1,"Duplicado","Unico")</f>
        <v>Unico</v>
      </c>
      <c r="P536" t="str">
        <f t="shared" si="33"/>
        <v>OK</v>
      </c>
      <c r="Q536" t="str">
        <f t="shared" si="34"/>
        <v>OK</v>
      </c>
      <c r="R536" t="str">
        <f t="shared" si="35"/>
        <v>OK</v>
      </c>
    </row>
    <row r="537" spans="1:18" x14ac:dyDescent="0.3">
      <c r="A537" s="1">
        <v>45768</v>
      </c>
      <c r="B537" s="2" t="s">
        <v>2631</v>
      </c>
      <c r="C537" s="2" t="s">
        <v>2515</v>
      </c>
      <c r="D537" s="2" t="s">
        <v>2528</v>
      </c>
      <c r="E537" s="2" t="s">
        <v>2517</v>
      </c>
      <c r="F537" s="3">
        <v>158415</v>
      </c>
      <c r="G537" s="3">
        <v>1114</v>
      </c>
      <c r="H537" s="3">
        <v>54</v>
      </c>
      <c r="I537" s="4">
        <v>910.04</v>
      </c>
      <c r="J537" s="4">
        <v>7523.75</v>
      </c>
      <c r="K537" s="3">
        <v>37</v>
      </c>
      <c r="L537" s="2" t="s">
        <v>2539</v>
      </c>
      <c r="M537" s="2" t="s">
        <v>2537</v>
      </c>
      <c r="N537" s="6">
        <f t="shared" si="32"/>
        <v>1</v>
      </c>
      <c r="O537" t="str">
        <f>IF(Tabla_control[[#This Row],[Control_duplicados]]&gt;1,"Duplicado","Unico")</f>
        <v>Unico</v>
      </c>
      <c r="P537" t="str">
        <f t="shared" si="33"/>
        <v>OK</v>
      </c>
      <c r="Q537" t="str">
        <f t="shared" si="34"/>
        <v>OK</v>
      </c>
      <c r="R537" t="str">
        <f t="shared" si="35"/>
        <v>OK</v>
      </c>
    </row>
    <row r="538" spans="1:18" x14ac:dyDescent="0.3">
      <c r="A538" s="1">
        <v>45918</v>
      </c>
      <c r="B538" s="2" t="s">
        <v>2621</v>
      </c>
      <c r="C538" s="2" t="s">
        <v>2541</v>
      </c>
      <c r="D538" s="2" t="s">
        <v>2528</v>
      </c>
      <c r="E538" s="2" t="s">
        <v>2517</v>
      </c>
      <c r="F538" s="3">
        <v>25674</v>
      </c>
      <c r="G538" s="3">
        <v>1385</v>
      </c>
      <c r="H538" s="3">
        <v>191</v>
      </c>
      <c r="I538" s="4">
        <v>2838.08</v>
      </c>
      <c r="J538" s="4">
        <v>32470.39</v>
      </c>
      <c r="K538" s="3">
        <v>165</v>
      </c>
      <c r="L538" s="2" t="s">
        <v>2518</v>
      </c>
      <c r="M538" s="2" t="s">
        <v>2524</v>
      </c>
      <c r="N538" s="6">
        <f t="shared" si="32"/>
        <v>1</v>
      </c>
      <c r="O538" t="str">
        <f>IF(Tabla_control[[#This Row],[Control_duplicados]]&gt;1,"Duplicado","Unico")</f>
        <v>Unico</v>
      </c>
      <c r="P538" t="str">
        <f t="shared" si="33"/>
        <v>OK</v>
      </c>
      <c r="Q538" t="str">
        <f t="shared" si="34"/>
        <v>OK</v>
      </c>
      <c r="R538" t="str">
        <f t="shared" si="35"/>
        <v>OK</v>
      </c>
    </row>
    <row r="539" spans="1:18" x14ac:dyDescent="0.3">
      <c r="A539" s="1">
        <v>46010</v>
      </c>
      <c r="B539" s="2" t="s">
        <v>2636</v>
      </c>
      <c r="C539" s="2" t="s">
        <v>2543</v>
      </c>
      <c r="D539" s="2" t="s">
        <v>2516</v>
      </c>
      <c r="E539" s="2" t="s">
        <v>2529</v>
      </c>
      <c r="F539" s="3">
        <v>134740</v>
      </c>
      <c r="G539" s="3">
        <v>1889</v>
      </c>
      <c r="H539" s="3">
        <v>158</v>
      </c>
      <c r="I539" s="4">
        <v>2162.62</v>
      </c>
      <c r="J539" s="4">
        <v>9584.8700000000008</v>
      </c>
      <c r="K539" s="3">
        <v>110</v>
      </c>
      <c r="L539" s="2" t="s">
        <v>2539</v>
      </c>
      <c r="M539" s="2" t="s">
        <v>2526</v>
      </c>
      <c r="N539" s="6">
        <f t="shared" si="32"/>
        <v>1</v>
      </c>
      <c r="O539" t="str">
        <f>IF(Tabla_control[[#This Row],[Control_duplicados]]&gt;1,"Duplicado","Unico")</f>
        <v>Unico</v>
      </c>
      <c r="P539" t="str">
        <f t="shared" si="33"/>
        <v>OK</v>
      </c>
      <c r="Q539" t="str">
        <f t="shared" si="34"/>
        <v>OK</v>
      </c>
      <c r="R539" t="str">
        <f t="shared" si="35"/>
        <v>OK</v>
      </c>
    </row>
    <row r="540" spans="1:18" x14ac:dyDescent="0.3">
      <c r="A540" s="1">
        <v>45676</v>
      </c>
      <c r="B540" s="2" t="s">
        <v>2634</v>
      </c>
      <c r="C540" s="2" t="s">
        <v>2515</v>
      </c>
      <c r="D540" s="2" t="s">
        <v>2522</v>
      </c>
      <c r="E540" s="2" t="s">
        <v>2529</v>
      </c>
      <c r="F540" s="3">
        <v>41430</v>
      </c>
      <c r="G540" s="3">
        <v>1764</v>
      </c>
      <c r="H540" s="3">
        <v>45</v>
      </c>
      <c r="I540" s="4">
        <v>1319.49</v>
      </c>
      <c r="J540" s="4">
        <v>3724.67</v>
      </c>
      <c r="K540" s="3">
        <v>22</v>
      </c>
      <c r="L540" s="2" t="s">
        <v>2536</v>
      </c>
      <c r="M540" s="2" t="s">
        <v>2524</v>
      </c>
      <c r="N540" s="6">
        <f t="shared" si="32"/>
        <v>1</v>
      </c>
      <c r="O540" t="str">
        <f>IF(Tabla_control[[#This Row],[Control_duplicados]]&gt;1,"Duplicado","Unico")</f>
        <v>Unico</v>
      </c>
      <c r="P540" t="str">
        <f t="shared" si="33"/>
        <v>OK</v>
      </c>
      <c r="Q540" t="str">
        <f t="shared" si="34"/>
        <v>OK</v>
      </c>
      <c r="R540" t="str">
        <f t="shared" si="35"/>
        <v>OK</v>
      </c>
    </row>
    <row r="541" spans="1:18" x14ac:dyDescent="0.3">
      <c r="A541" s="1">
        <v>45774</v>
      </c>
      <c r="B541" s="2" t="s">
        <v>2636</v>
      </c>
      <c r="C541" s="2" t="s">
        <v>2527</v>
      </c>
      <c r="D541" s="2" t="s">
        <v>2528</v>
      </c>
      <c r="E541" s="2" t="s">
        <v>2529</v>
      </c>
      <c r="F541" s="3">
        <v>76076</v>
      </c>
      <c r="G541" s="3">
        <v>6252</v>
      </c>
      <c r="H541" s="3">
        <v>88</v>
      </c>
      <c r="I541" s="4">
        <v>12712.37</v>
      </c>
      <c r="J541" s="4">
        <v>5792.79</v>
      </c>
      <c r="K541" s="3">
        <v>69</v>
      </c>
      <c r="L541" s="2" t="s">
        <v>2539</v>
      </c>
      <c r="M541" s="2" t="s">
        <v>2526</v>
      </c>
      <c r="N541" s="6">
        <f t="shared" si="32"/>
        <v>1</v>
      </c>
      <c r="O541" t="str">
        <f>IF(Tabla_control[[#This Row],[Control_duplicados]]&gt;1,"Duplicado","Unico")</f>
        <v>Unico</v>
      </c>
      <c r="P541" t="str">
        <f t="shared" si="33"/>
        <v>OK</v>
      </c>
      <c r="Q541" t="str">
        <f t="shared" si="34"/>
        <v>OK</v>
      </c>
      <c r="R541" t="str">
        <f t="shared" si="35"/>
        <v>OK</v>
      </c>
    </row>
    <row r="542" spans="1:18" x14ac:dyDescent="0.3">
      <c r="A542" s="1">
        <v>45908</v>
      </c>
      <c r="B542" s="2" t="s">
        <v>2637</v>
      </c>
      <c r="C542" s="2" t="s">
        <v>2521</v>
      </c>
      <c r="D542" s="2" t="s">
        <v>2525</v>
      </c>
      <c r="E542" s="2" t="s">
        <v>2534</v>
      </c>
      <c r="F542" s="3">
        <v>35282</v>
      </c>
      <c r="G542" s="3">
        <v>2628</v>
      </c>
      <c r="H542" s="3">
        <v>72</v>
      </c>
      <c r="I542" s="4">
        <v>1105.06</v>
      </c>
      <c r="J542" s="4">
        <v>2969.77</v>
      </c>
      <c r="K542" s="3">
        <v>64</v>
      </c>
      <c r="L542" s="2" t="s">
        <v>2539</v>
      </c>
      <c r="M542" s="2" t="s">
        <v>2519</v>
      </c>
      <c r="N542" s="6">
        <f t="shared" si="32"/>
        <v>1</v>
      </c>
      <c r="O542" t="str">
        <f>IF(Tabla_control[[#This Row],[Control_duplicados]]&gt;1,"Duplicado","Unico")</f>
        <v>Unico</v>
      </c>
      <c r="P542" t="str">
        <f t="shared" si="33"/>
        <v>OK</v>
      </c>
      <c r="Q542" t="str">
        <f t="shared" si="34"/>
        <v>OK</v>
      </c>
      <c r="R542" t="str">
        <f t="shared" si="35"/>
        <v>OK</v>
      </c>
    </row>
    <row r="543" spans="1:18" x14ac:dyDescent="0.3">
      <c r="A543" s="1">
        <v>45675</v>
      </c>
      <c r="B543" s="2" t="s">
        <v>2635</v>
      </c>
      <c r="C543" s="2" t="s">
        <v>2533</v>
      </c>
      <c r="D543" s="2" t="s">
        <v>2528</v>
      </c>
      <c r="E543" s="2" t="s">
        <v>2517</v>
      </c>
      <c r="F543" s="3">
        <v>126334</v>
      </c>
      <c r="G543" s="3">
        <v>9346</v>
      </c>
      <c r="H543" s="3">
        <v>246</v>
      </c>
      <c r="I543" s="4">
        <v>4917.71</v>
      </c>
      <c r="J543" s="4">
        <v>15174.97</v>
      </c>
      <c r="K543" s="3">
        <v>133</v>
      </c>
      <c r="L543" s="2" t="s">
        <v>2536</v>
      </c>
      <c r="M543" s="2" t="s">
        <v>2526</v>
      </c>
      <c r="N543" s="6">
        <f t="shared" si="32"/>
        <v>1</v>
      </c>
      <c r="O543" t="str">
        <f>IF(Tabla_control[[#This Row],[Control_duplicados]]&gt;1,"Duplicado","Unico")</f>
        <v>Unico</v>
      </c>
      <c r="P543" t="str">
        <f t="shared" si="33"/>
        <v>OK</v>
      </c>
      <c r="Q543" t="str">
        <f t="shared" si="34"/>
        <v>OK</v>
      </c>
      <c r="R543" t="str">
        <f t="shared" si="35"/>
        <v>OK</v>
      </c>
    </row>
    <row r="544" spans="1:18" x14ac:dyDescent="0.3">
      <c r="A544" s="1">
        <v>45677</v>
      </c>
      <c r="B544" s="2" t="s">
        <v>2644</v>
      </c>
      <c r="C544" s="2" t="s">
        <v>2543</v>
      </c>
      <c r="D544" s="2" t="s">
        <v>2525</v>
      </c>
      <c r="E544" s="2" t="s">
        <v>2529</v>
      </c>
      <c r="F544" s="3">
        <v>170456</v>
      </c>
      <c r="G544" s="3">
        <v>3801</v>
      </c>
      <c r="H544" s="3">
        <v>153</v>
      </c>
      <c r="I544" s="4">
        <v>1729.77</v>
      </c>
      <c r="J544" s="4">
        <v>32060.02</v>
      </c>
      <c r="K544" s="3">
        <v>71</v>
      </c>
      <c r="L544" s="2" t="s">
        <v>2539</v>
      </c>
      <c r="M544" s="2" t="s">
        <v>2524</v>
      </c>
      <c r="N544" s="6">
        <f t="shared" si="32"/>
        <v>1</v>
      </c>
      <c r="O544" t="str">
        <f>IF(Tabla_control[[#This Row],[Control_duplicados]]&gt;1,"Duplicado","Unico")</f>
        <v>Unico</v>
      </c>
      <c r="P544" t="str">
        <f t="shared" si="33"/>
        <v>OK</v>
      </c>
      <c r="Q544" t="str">
        <f t="shared" si="34"/>
        <v>OK</v>
      </c>
      <c r="R544" t="str">
        <f t="shared" si="35"/>
        <v>OK</v>
      </c>
    </row>
    <row r="545" spans="1:18" x14ac:dyDescent="0.3">
      <c r="A545" s="1">
        <v>45959</v>
      </c>
      <c r="B545" s="2" t="s">
        <v>2625</v>
      </c>
      <c r="C545" s="2" t="s">
        <v>2541</v>
      </c>
      <c r="D545" s="2" t="s">
        <v>2516</v>
      </c>
      <c r="E545" s="2" t="s">
        <v>2529</v>
      </c>
      <c r="F545" s="3">
        <v>160113</v>
      </c>
      <c r="G545" s="3">
        <v>7821</v>
      </c>
      <c r="H545" s="3">
        <v>487</v>
      </c>
      <c r="I545" s="4">
        <v>15375.48</v>
      </c>
      <c r="J545" s="4">
        <v>84113.12</v>
      </c>
      <c r="K545" s="3">
        <v>263</v>
      </c>
      <c r="L545" s="2" t="s">
        <v>2523</v>
      </c>
      <c r="M545" s="2" t="s">
        <v>2519</v>
      </c>
      <c r="N545" s="6">
        <f t="shared" si="32"/>
        <v>1</v>
      </c>
      <c r="O545" t="str">
        <f>IF(Tabla_control[[#This Row],[Control_duplicados]]&gt;1,"Duplicado","Unico")</f>
        <v>Unico</v>
      </c>
      <c r="P545" t="str">
        <f t="shared" si="33"/>
        <v>OK</v>
      </c>
      <c r="Q545" t="str">
        <f t="shared" si="34"/>
        <v>OK</v>
      </c>
      <c r="R545" t="str">
        <f t="shared" si="35"/>
        <v>OK</v>
      </c>
    </row>
    <row r="546" spans="1:18" x14ac:dyDescent="0.3">
      <c r="A546" s="1">
        <v>45779</v>
      </c>
      <c r="B546" s="2" t="s">
        <v>2618</v>
      </c>
      <c r="C546" s="2" t="s">
        <v>2541</v>
      </c>
      <c r="D546" s="2" t="s">
        <v>2531</v>
      </c>
      <c r="E546" s="2" t="s">
        <v>2534</v>
      </c>
      <c r="F546" s="3">
        <v>171194</v>
      </c>
      <c r="G546" s="3">
        <v>8972</v>
      </c>
      <c r="H546" s="3">
        <v>723</v>
      </c>
      <c r="I546" s="4">
        <v>4497.55</v>
      </c>
      <c r="J546" s="4">
        <v>134133.66</v>
      </c>
      <c r="K546" s="3">
        <v>352</v>
      </c>
      <c r="L546" s="2" t="s">
        <v>2539</v>
      </c>
      <c r="M546" s="2" t="s">
        <v>2537</v>
      </c>
      <c r="N546" s="6">
        <f t="shared" si="32"/>
        <v>1</v>
      </c>
      <c r="O546" t="str">
        <f>IF(Tabla_control[[#This Row],[Control_duplicados]]&gt;1,"Duplicado","Unico")</f>
        <v>Unico</v>
      </c>
      <c r="P546" t="str">
        <f t="shared" si="33"/>
        <v>OK</v>
      </c>
      <c r="Q546" t="str">
        <f t="shared" si="34"/>
        <v>OK</v>
      </c>
      <c r="R546" t="str">
        <f t="shared" si="35"/>
        <v>OK</v>
      </c>
    </row>
    <row r="547" spans="1:18" x14ac:dyDescent="0.3">
      <c r="A547" s="1">
        <v>45896</v>
      </c>
      <c r="B547" s="2" t="s">
        <v>2619</v>
      </c>
      <c r="C547" s="2" t="s">
        <v>2533</v>
      </c>
      <c r="D547" s="2" t="s">
        <v>2528</v>
      </c>
      <c r="E547" s="2" t="s">
        <v>2529</v>
      </c>
      <c r="F547" s="3">
        <v>106927</v>
      </c>
      <c r="G547" s="3">
        <v>7189</v>
      </c>
      <c r="H547" s="3">
        <v>972</v>
      </c>
      <c r="I547" s="4">
        <v>7497.92</v>
      </c>
      <c r="J547" s="4">
        <v>47868.88</v>
      </c>
      <c r="K547" s="3">
        <v>558</v>
      </c>
      <c r="L547" s="2" t="s">
        <v>2536</v>
      </c>
      <c r="M547" s="2" t="s">
        <v>2524</v>
      </c>
      <c r="N547" s="6">
        <f t="shared" si="32"/>
        <v>1</v>
      </c>
      <c r="O547" t="str">
        <f>IF(Tabla_control[[#This Row],[Control_duplicados]]&gt;1,"Duplicado","Unico")</f>
        <v>Unico</v>
      </c>
      <c r="P547" t="str">
        <f t="shared" si="33"/>
        <v>OK</v>
      </c>
      <c r="Q547" t="str">
        <f t="shared" si="34"/>
        <v>OK</v>
      </c>
      <c r="R547" t="str">
        <f t="shared" si="35"/>
        <v>OK</v>
      </c>
    </row>
    <row r="548" spans="1:18" x14ac:dyDescent="0.3">
      <c r="A548" s="1">
        <v>45948</v>
      </c>
      <c r="B548" s="2" t="s">
        <v>2638</v>
      </c>
      <c r="C548" s="2" t="s">
        <v>2521</v>
      </c>
      <c r="D548" s="2" t="s">
        <v>2528</v>
      </c>
      <c r="E548" s="2" t="s">
        <v>2517</v>
      </c>
      <c r="F548" s="3">
        <v>52188</v>
      </c>
      <c r="G548" s="3">
        <v>795</v>
      </c>
      <c r="H548" s="3">
        <v>21</v>
      </c>
      <c r="I548" s="4">
        <v>1482.99</v>
      </c>
      <c r="J548" s="4">
        <v>1736.66</v>
      </c>
      <c r="K548" s="3">
        <v>17</v>
      </c>
      <c r="L548" s="2" t="s">
        <v>2536</v>
      </c>
      <c r="M548" s="2" t="s">
        <v>2526</v>
      </c>
      <c r="N548" s="6">
        <f t="shared" si="32"/>
        <v>1</v>
      </c>
      <c r="O548" t="str">
        <f>IF(Tabla_control[[#This Row],[Control_duplicados]]&gt;1,"Duplicado","Unico")</f>
        <v>Unico</v>
      </c>
      <c r="P548" t="str">
        <f t="shared" si="33"/>
        <v>OK</v>
      </c>
      <c r="Q548" t="str">
        <f t="shared" si="34"/>
        <v>OK</v>
      </c>
      <c r="R548" t="str">
        <f t="shared" si="35"/>
        <v>OK</v>
      </c>
    </row>
    <row r="549" spans="1:18" x14ac:dyDescent="0.3">
      <c r="A549" s="1">
        <v>45935</v>
      </c>
      <c r="B549" s="2" t="s">
        <v>2630</v>
      </c>
      <c r="C549" s="2" t="s">
        <v>2521</v>
      </c>
      <c r="D549" s="2" t="s">
        <v>2528</v>
      </c>
      <c r="E549" s="2" t="s">
        <v>2517</v>
      </c>
      <c r="F549" s="3">
        <v>44539</v>
      </c>
      <c r="G549" s="3">
        <v>3798</v>
      </c>
      <c r="H549" s="3">
        <v>334</v>
      </c>
      <c r="I549" s="4">
        <v>2992.84</v>
      </c>
      <c r="J549" s="4">
        <v>36798.730000000003</v>
      </c>
      <c r="K549" s="3">
        <v>237</v>
      </c>
      <c r="L549" s="2" t="s">
        <v>2523</v>
      </c>
      <c r="M549" s="2" t="s">
        <v>2546</v>
      </c>
      <c r="N549" s="6">
        <f t="shared" si="32"/>
        <v>1</v>
      </c>
      <c r="O549" t="str">
        <f>IF(Tabla_control[[#This Row],[Control_duplicados]]&gt;1,"Duplicado","Unico")</f>
        <v>Unico</v>
      </c>
      <c r="P549" t="str">
        <f t="shared" si="33"/>
        <v>OK</v>
      </c>
      <c r="Q549" t="str">
        <f t="shared" si="34"/>
        <v>OK</v>
      </c>
      <c r="R549" t="str">
        <f t="shared" si="35"/>
        <v>OK</v>
      </c>
    </row>
    <row r="550" spans="1:18" x14ac:dyDescent="0.3">
      <c r="A550" s="1">
        <v>45856</v>
      </c>
      <c r="B550" s="2" t="s">
        <v>2627</v>
      </c>
      <c r="C550" s="2" t="s">
        <v>2527</v>
      </c>
      <c r="D550" s="2" t="s">
        <v>2531</v>
      </c>
      <c r="E550" s="2" t="s">
        <v>2529</v>
      </c>
      <c r="F550" s="3">
        <v>125485</v>
      </c>
      <c r="G550" s="3">
        <v>4174</v>
      </c>
      <c r="H550" s="3">
        <v>413</v>
      </c>
      <c r="I550" s="4">
        <v>5305.02</v>
      </c>
      <c r="J550" s="4">
        <v>69968.84</v>
      </c>
      <c r="K550" s="3">
        <v>266</v>
      </c>
      <c r="L550" s="2" t="s">
        <v>2518</v>
      </c>
      <c r="M550" s="2" t="s">
        <v>2526</v>
      </c>
      <c r="N550" s="6">
        <f t="shared" si="32"/>
        <v>1</v>
      </c>
      <c r="O550" t="str">
        <f>IF(Tabla_control[[#This Row],[Control_duplicados]]&gt;1,"Duplicado","Unico")</f>
        <v>Unico</v>
      </c>
      <c r="P550" t="str">
        <f t="shared" si="33"/>
        <v>OK</v>
      </c>
      <c r="Q550" t="str">
        <f t="shared" si="34"/>
        <v>OK</v>
      </c>
      <c r="R550" t="str">
        <f t="shared" si="35"/>
        <v>OK</v>
      </c>
    </row>
    <row r="551" spans="1:18" x14ac:dyDescent="0.3">
      <c r="A551" s="1">
        <v>45882</v>
      </c>
      <c r="B551" s="2" t="s">
        <v>2617</v>
      </c>
      <c r="C551" s="2" t="s">
        <v>2515</v>
      </c>
      <c r="D551" s="2" t="s">
        <v>2531</v>
      </c>
      <c r="E551" s="2" t="s">
        <v>2529</v>
      </c>
      <c r="F551" s="3">
        <v>106819</v>
      </c>
      <c r="G551" s="3">
        <v>6457</v>
      </c>
      <c r="H551" s="3">
        <v>261</v>
      </c>
      <c r="I551" s="4">
        <v>13028.48</v>
      </c>
      <c r="J551" s="4">
        <v>53526.559999999998</v>
      </c>
      <c r="K551" s="3">
        <v>164</v>
      </c>
      <c r="L551" s="2" t="s">
        <v>2518</v>
      </c>
      <c r="M551" s="2" t="s">
        <v>2524</v>
      </c>
      <c r="N551" s="6">
        <f t="shared" si="32"/>
        <v>1</v>
      </c>
      <c r="O551" t="str">
        <f>IF(Tabla_control[[#This Row],[Control_duplicados]]&gt;1,"Duplicado","Unico")</f>
        <v>Unico</v>
      </c>
      <c r="P551" t="str">
        <f t="shared" si="33"/>
        <v>OK</v>
      </c>
      <c r="Q551" t="str">
        <f t="shared" si="34"/>
        <v>OK</v>
      </c>
      <c r="R551" t="str">
        <f t="shared" si="35"/>
        <v>OK</v>
      </c>
    </row>
    <row r="552" spans="1:18" x14ac:dyDescent="0.3">
      <c r="A552" s="1">
        <v>46011</v>
      </c>
      <c r="B552" s="2" t="s">
        <v>2643</v>
      </c>
      <c r="C552" s="2" t="s">
        <v>2515</v>
      </c>
      <c r="D552" s="2" t="s">
        <v>2528</v>
      </c>
      <c r="E552" s="2" t="s">
        <v>2529</v>
      </c>
      <c r="F552" s="3">
        <v>26059</v>
      </c>
      <c r="G552" s="3">
        <v>427</v>
      </c>
      <c r="H552" s="3">
        <v>22</v>
      </c>
      <c r="I552" s="4">
        <v>271.81</v>
      </c>
      <c r="J552" s="4">
        <v>3786.04</v>
      </c>
      <c r="K552" s="3">
        <v>18</v>
      </c>
      <c r="L552" s="2" t="s">
        <v>2518</v>
      </c>
      <c r="M552" s="2" t="s">
        <v>2519</v>
      </c>
      <c r="N552" s="6">
        <f t="shared" si="32"/>
        <v>1</v>
      </c>
      <c r="O552" t="str">
        <f>IF(Tabla_control[[#This Row],[Control_duplicados]]&gt;1,"Duplicado","Unico")</f>
        <v>Unico</v>
      </c>
      <c r="P552" t="str">
        <f t="shared" si="33"/>
        <v>OK</v>
      </c>
      <c r="Q552" t="str">
        <f t="shared" si="34"/>
        <v>OK</v>
      </c>
      <c r="R552" t="str">
        <f t="shared" si="35"/>
        <v>OK</v>
      </c>
    </row>
    <row r="553" spans="1:18" x14ac:dyDescent="0.3">
      <c r="A553" s="1">
        <v>45682</v>
      </c>
      <c r="B553" s="2" t="s">
        <v>2631</v>
      </c>
      <c r="C553" s="2" t="s">
        <v>2533</v>
      </c>
      <c r="D553" s="2" t="s">
        <v>2531</v>
      </c>
      <c r="E553" s="2" t="s">
        <v>2534</v>
      </c>
      <c r="F553" s="3">
        <v>49350</v>
      </c>
      <c r="G553" s="3">
        <v>955</v>
      </c>
      <c r="H553" s="3">
        <v>44</v>
      </c>
      <c r="I553" s="4">
        <v>1281.1400000000001</v>
      </c>
      <c r="J553" s="4">
        <v>8267.9</v>
      </c>
      <c r="K553" s="3">
        <v>29</v>
      </c>
      <c r="L553" s="2" t="s">
        <v>2539</v>
      </c>
      <c r="M553" s="2" t="s">
        <v>2519</v>
      </c>
      <c r="N553" s="6">
        <f t="shared" si="32"/>
        <v>1</v>
      </c>
      <c r="O553" t="str">
        <f>IF(Tabla_control[[#This Row],[Control_duplicados]]&gt;1,"Duplicado","Unico")</f>
        <v>Unico</v>
      </c>
      <c r="P553" t="str">
        <f t="shared" si="33"/>
        <v>OK</v>
      </c>
      <c r="Q553" t="str">
        <f t="shared" si="34"/>
        <v>OK</v>
      </c>
      <c r="R553" t="str">
        <f t="shared" si="35"/>
        <v>OK</v>
      </c>
    </row>
    <row r="554" spans="1:18" x14ac:dyDescent="0.3">
      <c r="A554" s="1">
        <v>45805</v>
      </c>
      <c r="B554" s="2" t="s">
        <v>2634</v>
      </c>
      <c r="C554" s="2" t="s">
        <v>2645</v>
      </c>
      <c r="D554" s="2" t="s">
        <v>2531</v>
      </c>
      <c r="E554" s="2" t="s">
        <v>2534</v>
      </c>
      <c r="F554" s="3">
        <v>120476</v>
      </c>
      <c r="G554" s="3">
        <v>6343</v>
      </c>
      <c r="H554" s="3">
        <v>51</v>
      </c>
      <c r="I554" s="4">
        <v>2115.96</v>
      </c>
      <c r="J554" s="4">
        <v>6349.25</v>
      </c>
      <c r="K554" s="3">
        <v>34</v>
      </c>
      <c r="L554" s="2" t="s">
        <v>2518</v>
      </c>
      <c r="M554" s="2" t="s">
        <v>2519</v>
      </c>
      <c r="N554" s="6">
        <f t="shared" si="32"/>
        <v>1</v>
      </c>
      <c r="O554" t="str">
        <f>IF(Tabla_control[[#This Row],[Control_duplicados]]&gt;1,"Duplicado","Unico")</f>
        <v>Unico</v>
      </c>
      <c r="P554" t="str">
        <f t="shared" si="33"/>
        <v>OK</v>
      </c>
      <c r="Q554" t="str">
        <f t="shared" si="34"/>
        <v>OK</v>
      </c>
      <c r="R554" t="str">
        <f t="shared" si="35"/>
        <v>OK</v>
      </c>
    </row>
    <row r="555" spans="1:18" x14ac:dyDescent="0.3">
      <c r="A555" s="1">
        <v>45803</v>
      </c>
      <c r="B555" s="2" t="s">
        <v>2626</v>
      </c>
      <c r="C555" s="2" t="s">
        <v>2515</v>
      </c>
      <c r="D555" s="2" t="s">
        <v>2528</v>
      </c>
      <c r="E555" s="2" t="s">
        <v>2529</v>
      </c>
      <c r="F555" s="3">
        <v>56913</v>
      </c>
      <c r="G555" s="3">
        <v>935</v>
      </c>
      <c r="H555" s="3">
        <v>30</v>
      </c>
      <c r="I555" s="4">
        <v>1248.47</v>
      </c>
      <c r="J555" s="4">
        <v>1651.84</v>
      </c>
      <c r="K555" s="3">
        <v>18</v>
      </c>
      <c r="L555" s="2" t="s">
        <v>2539</v>
      </c>
      <c r="M555" s="2" t="s">
        <v>2537</v>
      </c>
      <c r="N555" s="6">
        <f t="shared" si="32"/>
        <v>1</v>
      </c>
      <c r="O555" t="str">
        <f>IF(Tabla_control[[#This Row],[Control_duplicados]]&gt;1,"Duplicado","Unico")</f>
        <v>Unico</v>
      </c>
      <c r="P555" t="str">
        <f t="shared" si="33"/>
        <v>OK</v>
      </c>
      <c r="Q555" t="str">
        <f t="shared" si="34"/>
        <v>OK</v>
      </c>
      <c r="R555" t="str">
        <f t="shared" si="35"/>
        <v>OK</v>
      </c>
    </row>
    <row r="556" spans="1:18" x14ac:dyDescent="0.3">
      <c r="A556" s="1">
        <v>46018</v>
      </c>
      <c r="B556" s="2" t="s">
        <v>2623</v>
      </c>
      <c r="C556" s="2" t="s">
        <v>2543</v>
      </c>
      <c r="D556" s="2" t="s">
        <v>2528</v>
      </c>
      <c r="E556" s="2" t="s">
        <v>2529</v>
      </c>
      <c r="F556" s="3">
        <v>74281</v>
      </c>
      <c r="G556" s="3">
        <v>6672</v>
      </c>
      <c r="H556" s="3">
        <v>679</v>
      </c>
      <c r="I556" s="4">
        <v>11982.8</v>
      </c>
      <c r="J556" s="4">
        <v>86471.32</v>
      </c>
      <c r="K556" s="3">
        <v>431</v>
      </c>
      <c r="L556" s="2" t="s">
        <v>2523</v>
      </c>
      <c r="M556" s="2" t="s">
        <v>2526</v>
      </c>
      <c r="N556" s="6">
        <f t="shared" si="32"/>
        <v>1</v>
      </c>
      <c r="O556" t="str">
        <f>IF(Tabla_control[[#This Row],[Control_duplicados]]&gt;1,"Duplicado","Unico")</f>
        <v>Unico</v>
      </c>
      <c r="P556" t="str">
        <f t="shared" si="33"/>
        <v>OK</v>
      </c>
      <c r="Q556" t="str">
        <f t="shared" si="34"/>
        <v>OK</v>
      </c>
      <c r="R556" t="str">
        <f t="shared" si="35"/>
        <v>OK</v>
      </c>
    </row>
    <row r="557" spans="1:18" x14ac:dyDescent="0.3">
      <c r="A557" s="1">
        <v>45749</v>
      </c>
      <c r="B557" s="2" t="s">
        <v>2641</v>
      </c>
      <c r="C557" s="2" t="s">
        <v>2515</v>
      </c>
      <c r="D557" s="2" t="s">
        <v>2531</v>
      </c>
      <c r="E557" s="2" t="s">
        <v>2517</v>
      </c>
      <c r="F557" s="3">
        <v>42773</v>
      </c>
      <c r="G557" s="3">
        <v>2533</v>
      </c>
      <c r="H557" s="3">
        <v>186</v>
      </c>
      <c r="I557" s="4">
        <v>3024.78</v>
      </c>
      <c r="J557" s="4">
        <v>5936.8</v>
      </c>
      <c r="K557" s="3">
        <v>110</v>
      </c>
      <c r="L557" s="2" t="s">
        <v>2539</v>
      </c>
      <c r="M557" s="2" t="s">
        <v>2537</v>
      </c>
      <c r="N557" s="6">
        <f t="shared" si="32"/>
        <v>1</v>
      </c>
      <c r="O557" t="str">
        <f>IF(Tabla_control[[#This Row],[Control_duplicados]]&gt;1,"Duplicado","Unico")</f>
        <v>Unico</v>
      </c>
      <c r="P557" t="str">
        <f t="shared" si="33"/>
        <v>OK</v>
      </c>
      <c r="Q557" t="str">
        <f t="shared" si="34"/>
        <v>OK</v>
      </c>
      <c r="R557" t="str">
        <f t="shared" si="35"/>
        <v>OK</v>
      </c>
    </row>
    <row r="558" spans="1:18" x14ac:dyDescent="0.3">
      <c r="A558" s="1">
        <v>45662</v>
      </c>
      <c r="B558" s="2" t="s">
        <v>2615</v>
      </c>
      <c r="C558" s="2" t="s">
        <v>2541</v>
      </c>
      <c r="D558" s="2" t="s">
        <v>2528</v>
      </c>
      <c r="E558" s="2" t="s">
        <v>2517</v>
      </c>
      <c r="F558" s="3">
        <v>70617</v>
      </c>
      <c r="G558" s="3">
        <v>6249</v>
      </c>
      <c r="H558" s="3">
        <v>100</v>
      </c>
      <c r="I558" s="4">
        <v>11461.52</v>
      </c>
      <c r="J558" s="4">
        <v>4341.01</v>
      </c>
      <c r="K558" s="3">
        <v>54</v>
      </c>
      <c r="L558" s="2" t="s">
        <v>2539</v>
      </c>
      <c r="M558" s="2" t="s">
        <v>2519</v>
      </c>
      <c r="N558" s="6">
        <f t="shared" si="32"/>
        <v>1</v>
      </c>
      <c r="O558" t="str">
        <f>IF(Tabla_control[[#This Row],[Control_duplicados]]&gt;1,"Duplicado","Unico")</f>
        <v>Unico</v>
      </c>
      <c r="P558" t="str">
        <f t="shared" si="33"/>
        <v>OK</v>
      </c>
      <c r="Q558" t="str">
        <f t="shared" si="34"/>
        <v>OK</v>
      </c>
      <c r="R558" t="str">
        <f t="shared" si="35"/>
        <v>OK</v>
      </c>
    </row>
    <row r="559" spans="1:18" x14ac:dyDescent="0.3">
      <c r="A559" s="1">
        <v>45825</v>
      </c>
      <c r="B559" s="2" t="s">
        <v>2642</v>
      </c>
      <c r="C559" s="2" t="s">
        <v>2527</v>
      </c>
      <c r="D559" s="2" t="s">
        <v>2528</v>
      </c>
      <c r="E559" s="2" t="s">
        <v>2517</v>
      </c>
      <c r="F559" s="3">
        <v>74727</v>
      </c>
      <c r="G559" s="3">
        <v>830</v>
      </c>
      <c r="H559" s="3">
        <v>86</v>
      </c>
      <c r="I559" s="4">
        <v>711.37</v>
      </c>
      <c r="J559" s="4">
        <v>11249.76</v>
      </c>
      <c r="K559" s="3">
        <v>40</v>
      </c>
      <c r="L559" s="2" t="s">
        <v>2536</v>
      </c>
      <c r="M559" s="2" t="s">
        <v>2537</v>
      </c>
      <c r="N559" s="6">
        <f t="shared" si="32"/>
        <v>1</v>
      </c>
      <c r="O559" t="str">
        <f>IF(Tabla_control[[#This Row],[Control_duplicados]]&gt;1,"Duplicado","Unico")</f>
        <v>Unico</v>
      </c>
      <c r="P559" t="str">
        <f t="shared" si="33"/>
        <v>OK</v>
      </c>
      <c r="Q559" t="str">
        <f t="shared" si="34"/>
        <v>OK</v>
      </c>
      <c r="R559" t="str">
        <f t="shared" si="35"/>
        <v>OK</v>
      </c>
    </row>
    <row r="560" spans="1:18" x14ac:dyDescent="0.3">
      <c r="A560" s="1">
        <v>45891</v>
      </c>
      <c r="B560" s="2" t="s">
        <v>2615</v>
      </c>
      <c r="C560" s="2" t="s">
        <v>2527</v>
      </c>
      <c r="D560" s="2" t="s">
        <v>2531</v>
      </c>
      <c r="E560" s="2" t="s">
        <v>2517</v>
      </c>
      <c r="F560" s="3">
        <v>90880</v>
      </c>
      <c r="G560" s="3">
        <v>7033</v>
      </c>
      <c r="H560" s="3">
        <v>108</v>
      </c>
      <c r="I560" s="4">
        <v>13104.11</v>
      </c>
      <c r="J560" s="4">
        <v>13560.46</v>
      </c>
      <c r="K560" s="3">
        <v>58</v>
      </c>
      <c r="L560" s="2" t="s">
        <v>2518</v>
      </c>
      <c r="M560" s="2" t="s">
        <v>2526</v>
      </c>
      <c r="N560" s="6">
        <f t="shared" si="32"/>
        <v>1</v>
      </c>
      <c r="O560" t="str">
        <f>IF(Tabla_control[[#This Row],[Control_duplicados]]&gt;1,"Duplicado","Unico")</f>
        <v>Unico</v>
      </c>
      <c r="P560" t="str">
        <f t="shared" si="33"/>
        <v>OK</v>
      </c>
      <c r="Q560" t="str">
        <f t="shared" si="34"/>
        <v>OK</v>
      </c>
      <c r="R560" t="str">
        <f t="shared" si="35"/>
        <v>OK</v>
      </c>
    </row>
    <row r="561" spans="1:18" x14ac:dyDescent="0.3">
      <c r="A561" s="1">
        <v>45978</v>
      </c>
      <c r="B561" s="2" t="s">
        <v>2628</v>
      </c>
      <c r="C561" s="2" t="s">
        <v>2541</v>
      </c>
      <c r="D561" s="2" t="s">
        <v>2528</v>
      </c>
      <c r="E561" s="2" t="s">
        <v>2529</v>
      </c>
      <c r="F561" s="3">
        <v>68941</v>
      </c>
      <c r="G561" s="3">
        <v>3323</v>
      </c>
      <c r="H561" s="3">
        <v>224</v>
      </c>
      <c r="I561" s="4">
        <v>4050.88</v>
      </c>
      <c r="J561" s="4">
        <v>30851.35</v>
      </c>
      <c r="K561" s="3">
        <v>188</v>
      </c>
      <c r="L561" s="2" t="s">
        <v>2523</v>
      </c>
      <c r="M561" s="2" t="s">
        <v>2526</v>
      </c>
      <c r="N561" s="6">
        <f t="shared" si="32"/>
        <v>1</v>
      </c>
      <c r="O561" t="str">
        <f>IF(Tabla_control[[#This Row],[Control_duplicados]]&gt;1,"Duplicado","Unico")</f>
        <v>Unico</v>
      </c>
      <c r="P561" t="str">
        <f t="shared" si="33"/>
        <v>OK</v>
      </c>
      <c r="Q561" t="str">
        <f t="shared" si="34"/>
        <v>OK</v>
      </c>
      <c r="R561" t="str">
        <f t="shared" si="35"/>
        <v>OK</v>
      </c>
    </row>
    <row r="562" spans="1:18" x14ac:dyDescent="0.3">
      <c r="A562" s="1">
        <v>45880</v>
      </c>
      <c r="B562" s="2" t="s">
        <v>2616</v>
      </c>
      <c r="C562" s="2" t="s">
        <v>2543</v>
      </c>
      <c r="D562" s="2" t="s">
        <v>2516</v>
      </c>
      <c r="E562" s="2" t="s">
        <v>2529</v>
      </c>
      <c r="F562" s="3">
        <v>66392</v>
      </c>
      <c r="G562" s="3">
        <v>3019</v>
      </c>
      <c r="H562" s="3">
        <v>343</v>
      </c>
      <c r="I562" s="4">
        <v>2949.92</v>
      </c>
      <c r="J562" s="4">
        <v>58734.42</v>
      </c>
      <c r="K562" s="3">
        <v>261</v>
      </c>
      <c r="L562" s="2" t="s">
        <v>2539</v>
      </c>
      <c r="M562" s="2" t="s">
        <v>2524</v>
      </c>
      <c r="N562" s="6">
        <f t="shared" si="32"/>
        <v>1</v>
      </c>
      <c r="O562" t="str">
        <f>IF(Tabla_control[[#This Row],[Control_duplicados]]&gt;1,"Duplicado","Unico")</f>
        <v>Unico</v>
      </c>
      <c r="P562" t="str">
        <f t="shared" si="33"/>
        <v>OK</v>
      </c>
      <c r="Q562" t="str">
        <f t="shared" si="34"/>
        <v>OK</v>
      </c>
      <c r="R562" t="str">
        <f t="shared" si="35"/>
        <v>OK</v>
      </c>
    </row>
    <row r="563" spans="1:18" x14ac:dyDescent="0.3">
      <c r="A563" s="1">
        <v>45985</v>
      </c>
      <c r="B563" s="2" t="s">
        <v>2634</v>
      </c>
      <c r="C563" s="2" t="s">
        <v>2543</v>
      </c>
      <c r="D563" s="2" t="s">
        <v>2528</v>
      </c>
      <c r="E563" s="2" t="s">
        <v>2517</v>
      </c>
      <c r="F563" s="3">
        <v>15386</v>
      </c>
      <c r="G563" s="3">
        <v>172</v>
      </c>
      <c r="H563" s="3">
        <v>23</v>
      </c>
      <c r="I563" s="4">
        <v>349.86</v>
      </c>
      <c r="J563" s="4">
        <v>2274.7399999999998</v>
      </c>
      <c r="K563" s="3">
        <v>18</v>
      </c>
      <c r="L563" s="2" t="s">
        <v>2523</v>
      </c>
      <c r="M563" s="2" t="s">
        <v>2546</v>
      </c>
      <c r="N563" s="6">
        <f t="shared" si="32"/>
        <v>1</v>
      </c>
      <c r="O563" t="str">
        <f>IF(Tabla_control[[#This Row],[Control_duplicados]]&gt;1,"Duplicado","Unico")</f>
        <v>Unico</v>
      </c>
      <c r="P563" t="str">
        <f t="shared" si="33"/>
        <v>OK</v>
      </c>
      <c r="Q563" t="str">
        <f t="shared" si="34"/>
        <v>OK</v>
      </c>
      <c r="R563" t="str">
        <f t="shared" si="35"/>
        <v>OK</v>
      </c>
    </row>
    <row r="564" spans="1:18" x14ac:dyDescent="0.3">
      <c r="A564" s="1">
        <v>45853</v>
      </c>
      <c r="B564" s="2" t="s">
        <v>2626</v>
      </c>
      <c r="C564" s="2" t="s">
        <v>2527</v>
      </c>
      <c r="D564" s="2" t="s">
        <v>2516</v>
      </c>
      <c r="E564" s="2" t="s">
        <v>2517</v>
      </c>
      <c r="F564" s="3">
        <v>8928</v>
      </c>
      <c r="G564" s="3">
        <v>456</v>
      </c>
      <c r="H564" s="3">
        <v>29</v>
      </c>
      <c r="I564" s="4">
        <v>547.5</v>
      </c>
      <c r="J564" s="4">
        <v>2951.23</v>
      </c>
      <c r="K564" s="3">
        <v>19</v>
      </c>
      <c r="L564" s="2" t="s">
        <v>2536</v>
      </c>
      <c r="M564" s="2" t="s">
        <v>2526</v>
      </c>
      <c r="N564" s="6">
        <f t="shared" si="32"/>
        <v>1</v>
      </c>
      <c r="O564" t="str">
        <f>IF(Tabla_control[[#This Row],[Control_duplicados]]&gt;1,"Duplicado","Unico")</f>
        <v>Unico</v>
      </c>
      <c r="P564" t="str">
        <f t="shared" si="33"/>
        <v>OK</v>
      </c>
      <c r="Q564" t="str">
        <f t="shared" si="34"/>
        <v>OK</v>
      </c>
      <c r="R564" t="str">
        <f t="shared" si="35"/>
        <v>OK</v>
      </c>
    </row>
    <row r="565" spans="1:18" x14ac:dyDescent="0.3">
      <c r="A565" s="1">
        <v>45708</v>
      </c>
      <c r="B565" s="2" t="s">
        <v>2619</v>
      </c>
      <c r="C565" s="2" t="s">
        <v>2533</v>
      </c>
      <c r="D565" s="2" t="s">
        <v>2528</v>
      </c>
      <c r="E565" s="2" t="s">
        <v>2517</v>
      </c>
      <c r="F565" s="3">
        <v>13231</v>
      </c>
      <c r="G565" s="3">
        <v>133</v>
      </c>
      <c r="H565" s="3">
        <v>1</v>
      </c>
      <c r="I565" s="4">
        <v>170.43</v>
      </c>
      <c r="J565" s="4">
        <v>204.54</v>
      </c>
      <c r="K565" s="3">
        <v>0</v>
      </c>
      <c r="L565" s="2" t="s">
        <v>2539</v>
      </c>
      <c r="M565" s="2" t="s">
        <v>2524</v>
      </c>
      <c r="N565" s="6">
        <f t="shared" si="32"/>
        <v>1</v>
      </c>
      <c r="O565" t="str">
        <f>IF(Tabla_control[[#This Row],[Control_duplicados]]&gt;1,"Duplicado","Unico")</f>
        <v>Unico</v>
      </c>
      <c r="P565" t="str">
        <f t="shared" si="33"/>
        <v>OK</v>
      </c>
      <c r="Q565" t="str">
        <f t="shared" si="34"/>
        <v>OK</v>
      </c>
      <c r="R565" t="str">
        <f t="shared" si="35"/>
        <v>OK</v>
      </c>
    </row>
    <row r="566" spans="1:18" x14ac:dyDescent="0.3">
      <c r="A566" s="1">
        <v>45891</v>
      </c>
      <c r="B566" s="2" t="s">
        <v>2640</v>
      </c>
      <c r="C566" s="2" t="s">
        <v>2533</v>
      </c>
      <c r="D566" s="2" t="s">
        <v>2528</v>
      </c>
      <c r="E566" s="2" t="s">
        <v>2517</v>
      </c>
      <c r="F566" s="3">
        <v>66443</v>
      </c>
      <c r="G566" s="3">
        <v>3211</v>
      </c>
      <c r="H566" s="3">
        <v>148</v>
      </c>
      <c r="I566" s="4">
        <v>1750.94</v>
      </c>
      <c r="J566" s="4">
        <v>20683.27</v>
      </c>
      <c r="K566" s="3">
        <v>117</v>
      </c>
      <c r="L566" s="2" t="s">
        <v>2536</v>
      </c>
      <c r="M566" s="2" t="s">
        <v>2524</v>
      </c>
      <c r="N566" s="6">
        <f t="shared" si="32"/>
        <v>1</v>
      </c>
      <c r="O566" t="str">
        <f>IF(Tabla_control[[#This Row],[Control_duplicados]]&gt;1,"Duplicado","Unico")</f>
        <v>Unico</v>
      </c>
      <c r="P566" t="str">
        <f t="shared" si="33"/>
        <v>OK</v>
      </c>
      <c r="Q566" t="str">
        <f t="shared" si="34"/>
        <v>OK</v>
      </c>
      <c r="R566" t="str">
        <f t="shared" si="35"/>
        <v>OK</v>
      </c>
    </row>
    <row r="567" spans="1:18" x14ac:dyDescent="0.3">
      <c r="A567" s="1">
        <v>45759</v>
      </c>
      <c r="B567" s="2" t="s">
        <v>2626</v>
      </c>
      <c r="C567" s="2" t="s">
        <v>2533</v>
      </c>
      <c r="D567" s="2" t="s">
        <v>2531</v>
      </c>
      <c r="E567" s="2" t="s">
        <v>2529</v>
      </c>
      <c r="F567" s="3">
        <v>175647</v>
      </c>
      <c r="G567" s="3">
        <v>9025</v>
      </c>
      <c r="H567" s="3">
        <v>152</v>
      </c>
      <c r="I567" s="4">
        <v>11827.49</v>
      </c>
      <c r="J567" s="4">
        <v>28793.54</v>
      </c>
      <c r="K567" s="3">
        <v>135</v>
      </c>
      <c r="L567" s="2" t="s">
        <v>2536</v>
      </c>
      <c r="M567" s="2" t="s">
        <v>2524</v>
      </c>
      <c r="N567" s="6">
        <f t="shared" si="32"/>
        <v>1</v>
      </c>
      <c r="O567" t="str">
        <f>IF(Tabla_control[[#This Row],[Control_duplicados]]&gt;1,"Duplicado","Unico")</f>
        <v>Unico</v>
      </c>
      <c r="P567" t="str">
        <f t="shared" si="33"/>
        <v>OK</v>
      </c>
      <c r="Q567" t="str">
        <f t="shared" si="34"/>
        <v>OK</v>
      </c>
      <c r="R567" t="str">
        <f t="shared" si="35"/>
        <v>OK</v>
      </c>
    </row>
    <row r="568" spans="1:18" x14ac:dyDescent="0.3">
      <c r="A568" s="1">
        <v>45668</v>
      </c>
      <c r="B568" s="2" t="s">
        <v>2622</v>
      </c>
      <c r="C568" s="2" t="s">
        <v>2527</v>
      </c>
      <c r="D568" s="2" t="s">
        <v>2531</v>
      </c>
      <c r="E568" s="2" t="s">
        <v>2517</v>
      </c>
      <c r="F568" s="3">
        <v>12434</v>
      </c>
      <c r="G568" s="3">
        <v>440</v>
      </c>
      <c r="H568" s="3">
        <v>42</v>
      </c>
      <c r="I568" s="4">
        <v>503.59</v>
      </c>
      <c r="J568" s="4">
        <v>2935.28</v>
      </c>
      <c r="K568" s="3">
        <v>36</v>
      </c>
      <c r="L568" s="2" t="s">
        <v>2518</v>
      </c>
      <c r="M568" s="2" t="s">
        <v>2524</v>
      </c>
      <c r="N568" s="6">
        <f t="shared" si="32"/>
        <v>1</v>
      </c>
      <c r="O568" t="str">
        <f>IF(Tabla_control[[#This Row],[Control_duplicados]]&gt;1,"Duplicado","Unico")</f>
        <v>Unico</v>
      </c>
      <c r="P568" t="str">
        <f t="shared" si="33"/>
        <v>OK</v>
      </c>
      <c r="Q568" t="str">
        <f t="shared" si="34"/>
        <v>OK</v>
      </c>
      <c r="R568" t="str">
        <f t="shared" si="35"/>
        <v>OK</v>
      </c>
    </row>
    <row r="569" spans="1:18" x14ac:dyDescent="0.3">
      <c r="A569" s="1">
        <v>45806</v>
      </c>
      <c r="B569" s="2" t="s">
        <v>2624</v>
      </c>
      <c r="C569" s="2" t="s">
        <v>2543</v>
      </c>
      <c r="D569" s="2" t="s">
        <v>2516</v>
      </c>
      <c r="E569" s="2" t="s">
        <v>2517</v>
      </c>
      <c r="F569" s="3">
        <v>139195</v>
      </c>
      <c r="G569" s="3">
        <v>7615</v>
      </c>
      <c r="H569" s="3">
        <v>67</v>
      </c>
      <c r="I569" s="4">
        <v>7958.98</v>
      </c>
      <c r="J569" s="4">
        <v>5996.87</v>
      </c>
      <c r="K569" s="3">
        <v>34</v>
      </c>
      <c r="L569" s="2" t="s">
        <v>2539</v>
      </c>
      <c r="M569" s="2" t="s">
        <v>2546</v>
      </c>
      <c r="N569" s="6">
        <f t="shared" si="32"/>
        <v>1</v>
      </c>
      <c r="O569" t="str">
        <f>IF(Tabla_control[[#This Row],[Control_duplicados]]&gt;1,"Duplicado","Unico")</f>
        <v>Unico</v>
      </c>
      <c r="P569" t="str">
        <f t="shared" si="33"/>
        <v>OK</v>
      </c>
      <c r="Q569" t="str">
        <f t="shared" si="34"/>
        <v>OK</v>
      </c>
      <c r="R569" t="str">
        <f t="shared" si="35"/>
        <v>OK</v>
      </c>
    </row>
    <row r="570" spans="1:18" x14ac:dyDescent="0.3">
      <c r="A570" s="1">
        <v>45692</v>
      </c>
      <c r="B570" s="2" t="s">
        <v>2623</v>
      </c>
      <c r="C570" s="2" t="s">
        <v>2515</v>
      </c>
      <c r="D570" s="2" t="s">
        <v>2528</v>
      </c>
      <c r="E570" s="2" t="s">
        <v>2534</v>
      </c>
      <c r="F570" s="3">
        <v>128819</v>
      </c>
      <c r="G570" s="3">
        <v>5095</v>
      </c>
      <c r="H570" s="3">
        <v>652</v>
      </c>
      <c r="I570" s="4">
        <v>4515.97</v>
      </c>
      <c r="J570" s="4">
        <v>82017.38</v>
      </c>
      <c r="K570" s="3">
        <v>494</v>
      </c>
      <c r="L570" s="2" t="s">
        <v>2523</v>
      </c>
      <c r="M570" s="2" t="s">
        <v>2524</v>
      </c>
      <c r="N570" s="6">
        <f t="shared" si="32"/>
        <v>1</v>
      </c>
      <c r="O570" t="str">
        <f>IF(Tabla_control[[#This Row],[Control_duplicados]]&gt;1,"Duplicado","Unico")</f>
        <v>Unico</v>
      </c>
      <c r="P570" t="str">
        <f t="shared" si="33"/>
        <v>OK</v>
      </c>
      <c r="Q570" t="str">
        <f t="shared" si="34"/>
        <v>OK</v>
      </c>
      <c r="R570" t="str">
        <f t="shared" si="35"/>
        <v>OK</v>
      </c>
    </row>
    <row r="571" spans="1:18" x14ac:dyDescent="0.3">
      <c r="A571" s="1">
        <v>45753</v>
      </c>
      <c r="B571" s="2" t="s">
        <v>2632</v>
      </c>
      <c r="C571" s="2" t="s">
        <v>2533</v>
      </c>
      <c r="D571" s="2" t="s">
        <v>2528</v>
      </c>
      <c r="E571" s="2" t="s">
        <v>2517</v>
      </c>
      <c r="F571" s="3">
        <v>170815</v>
      </c>
      <c r="G571" s="3">
        <v>9376</v>
      </c>
      <c r="H571" s="3">
        <v>62</v>
      </c>
      <c r="I571" s="4">
        <v>8088.11</v>
      </c>
      <c r="J571" s="4">
        <v>10101.870000000001</v>
      </c>
      <c r="K571" s="3">
        <v>36</v>
      </c>
      <c r="L571" s="2" t="s">
        <v>2523</v>
      </c>
      <c r="M571" s="2" t="s">
        <v>2524</v>
      </c>
      <c r="N571" s="6">
        <f t="shared" si="32"/>
        <v>1</v>
      </c>
      <c r="O571" t="str">
        <f>IF(Tabla_control[[#This Row],[Control_duplicados]]&gt;1,"Duplicado","Unico")</f>
        <v>Unico</v>
      </c>
      <c r="P571" t="str">
        <f t="shared" si="33"/>
        <v>OK</v>
      </c>
      <c r="Q571" t="str">
        <f t="shared" si="34"/>
        <v>OK</v>
      </c>
      <c r="R571" t="str">
        <f t="shared" si="35"/>
        <v>OK</v>
      </c>
    </row>
    <row r="572" spans="1:18" x14ac:dyDescent="0.3">
      <c r="A572" s="1">
        <v>45832</v>
      </c>
      <c r="B572" s="2" t="s">
        <v>2630</v>
      </c>
      <c r="C572" s="2" t="s">
        <v>2541</v>
      </c>
      <c r="D572" s="2" t="s">
        <v>2528</v>
      </c>
      <c r="E572" s="2" t="s">
        <v>2529</v>
      </c>
      <c r="F572" s="3">
        <v>137607</v>
      </c>
      <c r="G572" s="3">
        <v>8845</v>
      </c>
      <c r="H572" s="3">
        <v>435</v>
      </c>
      <c r="I572" s="4">
        <v>4920.1099999999997</v>
      </c>
      <c r="J572" s="4">
        <v>15525.93</v>
      </c>
      <c r="K572" s="3">
        <v>387</v>
      </c>
      <c r="L572" s="2" t="s">
        <v>2518</v>
      </c>
      <c r="M572" s="2" t="s">
        <v>2546</v>
      </c>
      <c r="N572" s="6">
        <f t="shared" si="32"/>
        <v>1</v>
      </c>
      <c r="O572" t="str">
        <f>IF(Tabla_control[[#This Row],[Control_duplicados]]&gt;1,"Duplicado","Unico")</f>
        <v>Unico</v>
      </c>
      <c r="P572" t="str">
        <f t="shared" si="33"/>
        <v>OK</v>
      </c>
      <c r="Q572" t="str">
        <f t="shared" si="34"/>
        <v>OK</v>
      </c>
      <c r="R572" t="str">
        <f t="shared" si="35"/>
        <v>OK</v>
      </c>
    </row>
    <row r="573" spans="1:18" x14ac:dyDescent="0.3">
      <c r="A573" s="1">
        <v>45680</v>
      </c>
      <c r="B573" s="2" t="s">
        <v>2622</v>
      </c>
      <c r="C573" s="2" t="s">
        <v>2527</v>
      </c>
      <c r="D573" s="2" t="s">
        <v>2528</v>
      </c>
      <c r="E573" s="2" t="s">
        <v>2529</v>
      </c>
      <c r="F573" s="3">
        <v>170460</v>
      </c>
      <c r="G573" s="3">
        <v>8346</v>
      </c>
      <c r="H573" s="3">
        <v>61</v>
      </c>
      <c r="I573" s="4">
        <v>4775.78</v>
      </c>
      <c r="J573" s="4">
        <v>7127.5</v>
      </c>
      <c r="K573" s="3">
        <v>28</v>
      </c>
      <c r="L573" s="2" t="s">
        <v>2518</v>
      </c>
      <c r="M573" s="2" t="s">
        <v>2524</v>
      </c>
      <c r="N573" s="6">
        <f t="shared" si="32"/>
        <v>1</v>
      </c>
      <c r="O573" t="str">
        <f>IF(Tabla_control[[#This Row],[Control_duplicados]]&gt;1,"Duplicado","Unico")</f>
        <v>Unico</v>
      </c>
      <c r="P573" t="str">
        <f t="shared" si="33"/>
        <v>OK</v>
      </c>
      <c r="Q573" t="str">
        <f t="shared" si="34"/>
        <v>OK</v>
      </c>
      <c r="R573" t="str">
        <f t="shared" si="35"/>
        <v>OK</v>
      </c>
    </row>
    <row r="574" spans="1:18" x14ac:dyDescent="0.3">
      <c r="A574" s="1">
        <v>45663</v>
      </c>
      <c r="B574" s="2" t="s">
        <v>2633</v>
      </c>
      <c r="C574" s="2" t="s">
        <v>2541</v>
      </c>
      <c r="D574" s="2" t="s">
        <v>2528</v>
      </c>
      <c r="E574" s="2" t="s">
        <v>2529</v>
      </c>
      <c r="F574" s="3">
        <v>8401</v>
      </c>
      <c r="G574" s="3">
        <v>674</v>
      </c>
      <c r="H574" s="3">
        <v>68</v>
      </c>
      <c r="I574" s="4">
        <v>1174.8</v>
      </c>
      <c r="J574" s="4">
        <v>3639.84</v>
      </c>
      <c r="K574" s="3">
        <v>53</v>
      </c>
      <c r="L574" s="2" t="s">
        <v>2518</v>
      </c>
      <c r="M574" s="2" t="s">
        <v>2526</v>
      </c>
      <c r="N574" s="6">
        <f t="shared" si="32"/>
        <v>1</v>
      </c>
      <c r="O574" t="str">
        <f>IF(Tabla_control[[#This Row],[Control_duplicados]]&gt;1,"Duplicado","Unico")</f>
        <v>Unico</v>
      </c>
      <c r="P574" t="str">
        <f t="shared" si="33"/>
        <v>OK</v>
      </c>
      <c r="Q574" t="str">
        <f t="shared" si="34"/>
        <v>OK</v>
      </c>
      <c r="R574" t="str">
        <f t="shared" si="35"/>
        <v>OK</v>
      </c>
    </row>
    <row r="575" spans="1:18" x14ac:dyDescent="0.3">
      <c r="A575" s="1">
        <v>45971</v>
      </c>
      <c r="B575" s="2" t="s">
        <v>2642</v>
      </c>
      <c r="C575" s="2" t="s">
        <v>2515</v>
      </c>
      <c r="D575" s="2" t="s">
        <v>2531</v>
      </c>
      <c r="E575" s="2" t="s">
        <v>2529</v>
      </c>
      <c r="F575" s="3">
        <v>54970</v>
      </c>
      <c r="G575" s="3">
        <v>3819</v>
      </c>
      <c r="H575" s="3">
        <v>213</v>
      </c>
      <c r="I575" s="4">
        <v>3752.24</v>
      </c>
      <c r="J575" s="4">
        <v>22328.83</v>
      </c>
      <c r="K575" s="3">
        <v>153</v>
      </c>
      <c r="L575" s="2" t="s">
        <v>2518</v>
      </c>
      <c r="M575" s="2" t="s">
        <v>2519</v>
      </c>
      <c r="N575" s="6">
        <f t="shared" si="32"/>
        <v>1</v>
      </c>
      <c r="O575" t="str">
        <f>IF(Tabla_control[[#This Row],[Control_duplicados]]&gt;1,"Duplicado","Unico")</f>
        <v>Unico</v>
      </c>
      <c r="P575" t="str">
        <f t="shared" si="33"/>
        <v>OK</v>
      </c>
      <c r="Q575" t="str">
        <f t="shared" si="34"/>
        <v>OK</v>
      </c>
      <c r="R575" t="str">
        <f t="shared" si="35"/>
        <v>OK</v>
      </c>
    </row>
    <row r="576" spans="1:18" x14ac:dyDescent="0.3">
      <c r="A576" s="1">
        <v>45757</v>
      </c>
      <c r="B576" s="2" t="s">
        <v>2615</v>
      </c>
      <c r="C576" s="2" t="s">
        <v>2521</v>
      </c>
      <c r="D576" s="2" t="s">
        <v>2516</v>
      </c>
      <c r="E576" s="2" t="s">
        <v>2529</v>
      </c>
      <c r="F576" s="3">
        <v>144557</v>
      </c>
      <c r="G576" s="3">
        <v>5218</v>
      </c>
      <c r="H576" s="3">
        <v>253</v>
      </c>
      <c r="I576" s="4">
        <v>10918.3</v>
      </c>
      <c r="J576" s="4">
        <v>20059.88</v>
      </c>
      <c r="K576" s="3">
        <v>155</v>
      </c>
      <c r="L576" s="2" t="s">
        <v>2539</v>
      </c>
      <c r="M576" s="2" t="s">
        <v>2546</v>
      </c>
      <c r="N576" s="6">
        <f t="shared" si="32"/>
        <v>1</v>
      </c>
      <c r="O576" t="str">
        <f>IF(Tabla_control[[#This Row],[Control_duplicados]]&gt;1,"Duplicado","Unico")</f>
        <v>Unico</v>
      </c>
      <c r="P576" t="str">
        <f t="shared" si="33"/>
        <v>OK</v>
      </c>
      <c r="Q576" t="str">
        <f t="shared" si="34"/>
        <v>OK</v>
      </c>
      <c r="R576" t="str">
        <f t="shared" si="35"/>
        <v>OK</v>
      </c>
    </row>
    <row r="577" spans="1:18" x14ac:dyDescent="0.3">
      <c r="A577" s="1">
        <v>45696</v>
      </c>
      <c r="B577" s="2" t="s">
        <v>2629</v>
      </c>
      <c r="C577" s="2" t="s">
        <v>2533</v>
      </c>
      <c r="D577" s="2" t="s">
        <v>2531</v>
      </c>
      <c r="E577" s="2" t="s">
        <v>2529</v>
      </c>
      <c r="F577" s="3">
        <v>26839</v>
      </c>
      <c r="G577" s="3">
        <v>1351</v>
      </c>
      <c r="H577" s="3">
        <v>23</v>
      </c>
      <c r="I577" s="4">
        <v>1225.67</v>
      </c>
      <c r="J577" s="4">
        <v>4264.6099999999997</v>
      </c>
      <c r="K577" s="3">
        <v>12</v>
      </c>
      <c r="L577" s="2" t="s">
        <v>2523</v>
      </c>
      <c r="M577" s="2" t="s">
        <v>2526</v>
      </c>
      <c r="N577" s="6">
        <f t="shared" si="32"/>
        <v>1</v>
      </c>
      <c r="O577" t="str">
        <f>IF(Tabla_control[[#This Row],[Control_duplicados]]&gt;1,"Duplicado","Unico")</f>
        <v>Unico</v>
      </c>
      <c r="P577" t="str">
        <f t="shared" si="33"/>
        <v>OK</v>
      </c>
      <c r="Q577" t="str">
        <f t="shared" si="34"/>
        <v>OK</v>
      </c>
      <c r="R577" t="str">
        <f t="shared" si="35"/>
        <v>OK</v>
      </c>
    </row>
    <row r="578" spans="1:18" x14ac:dyDescent="0.3">
      <c r="A578" s="1">
        <v>45941</v>
      </c>
      <c r="B578" s="2" t="s">
        <v>2625</v>
      </c>
      <c r="C578" s="2" t="s">
        <v>2541</v>
      </c>
      <c r="D578" s="2" t="s">
        <v>2516</v>
      </c>
      <c r="E578" s="2" t="s">
        <v>2529</v>
      </c>
      <c r="F578" s="3">
        <v>173842</v>
      </c>
      <c r="G578" s="3">
        <v>8923</v>
      </c>
      <c r="H578" s="3">
        <v>967</v>
      </c>
      <c r="I578" s="4">
        <v>16989.91</v>
      </c>
      <c r="J578" s="4">
        <v>152473.5</v>
      </c>
      <c r="K578" s="3">
        <v>817</v>
      </c>
      <c r="L578" s="2" t="s">
        <v>2518</v>
      </c>
      <c r="M578" s="2" t="s">
        <v>2519</v>
      </c>
      <c r="N578" s="6">
        <f t="shared" ref="N578:N641" si="36">COUNTIFS($A$2:$A$2536,A578,$B$2:$B$2536,B578,$C$2:$C$2536,C578,$D$2:$D$2536,D578,$E$2:$E$2536,E578,$F$2:$F$2536,F578,$G$2:$G$2536,G578,$H$2:$H$2536,H578,$I$2:$I$2536,I578,$J$2:$J$2536,J578,$K$2:$K$2536,K578,$L$2:$L$2536,L578,$M$2:$M$2536,M578)</f>
        <v>1</v>
      </c>
      <c r="O578" t="str">
        <f>IF(Tabla_control[[#This Row],[Control_duplicados]]&gt;1,"Duplicado","Unico")</f>
        <v>Unico</v>
      </c>
      <c r="P578" t="str">
        <f t="shared" ref="P578:P641" si="37">IF(OR(I578="",I578&lt;0),"ERROR","OK")</f>
        <v>OK</v>
      </c>
      <c r="Q578" t="str">
        <f t="shared" ref="Q578:Q641" si="38">IF(H578&gt;F578,"ERROR","OK")</f>
        <v>OK</v>
      </c>
      <c r="R578" t="str">
        <f t="shared" ref="R578:R641" si="39">IF(K578&gt;H578,"ERROR","OK")</f>
        <v>OK</v>
      </c>
    </row>
    <row r="579" spans="1:18" x14ac:dyDescent="0.3">
      <c r="A579" s="1">
        <v>45925</v>
      </c>
      <c r="B579" s="2" t="s">
        <v>2634</v>
      </c>
      <c r="C579" s="2" t="s">
        <v>2521</v>
      </c>
      <c r="D579" s="2" t="s">
        <v>2522</v>
      </c>
      <c r="E579" s="2" t="s">
        <v>2517</v>
      </c>
      <c r="F579" s="3">
        <v>79553</v>
      </c>
      <c r="G579" s="3">
        <v>626</v>
      </c>
      <c r="H579" s="3">
        <v>13</v>
      </c>
      <c r="I579" s="4">
        <v>332.47</v>
      </c>
      <c r="J579" s="4">
        <v>621.79999999999995</v>
      </c>
      <c r="K579" s="3">
        <v>10</v>
      </c>
      <c r="L579" s="2" t="s">
        <v>2518</v>
      </c>
      <c r="M579" s="2" t="s">
        <v>2519</v>
      </c>
      <c r="N579" s="6">
        <f t="shared" si="36"/>
        <v>1</v>
      </c>
      <c r="O579" t="str">
        <f>IF(Tabla_control[[#This Row],[Control_duplicados]]&gt;1,"Duplicado","Unico")</f>
        <v>Unico</v>
      </c>
      <c r="P579" t="str">
        <f t="shared" si="37"/>
        <v>OK</v>
      </c>
      <c r="Q579" t="str">
        <f t="shared" si="38"/>
        <v>OK</v>
      </c>
      <c r="R579" t="str">
        <f t="shared" si="39"/>
        <v>OK</v>
      </c>
    </row>
    <row r="580" spans="1:18" x14ac:dyDescent="0.3">
      <c r="A580" s="1">
        <v>45686</v>
      </c>
      <c r="B580" s="2" t="s">
        <v>2632</v>
      </c>
      <c r="C580" s="2" t="s">
        <v>2541</v>
      </c>
      <c r="D580" s="2" t="s">
        <v>2522</v>
      </c>
      <c r="E580" s="2" t="s">
        <v>2529</v>
      </c>
      <c r="F580" s="3">
        <v>161725</v>
      </c>
      <c r="G580" s="3">
        <v>13229</v>
      </c>
      <c r="H580" s="3">
        <v>507</v>
      </c>
      <c r="I580" s="4">
        <v>11992.95</v>
      </c>
      <c r="J580" s="4">
        <v>26635.59</v>
      </c>
      <c r="K580" s="3">
        <v>384</v>
      </c>
      <c r="L580" s="2" t="s">
        <v>2518</v>
      </c>
      <c r="M580" s="2" t="s">
        <v>2519</v>
      </c>
      <c r="N580" s="6">
        <f t="shared" si="36"/>
        <v>1</v>
      </c>
      <c r="O580" t="str">
        <f>IF(Tabla_control[[#This Row],[Control_duplicados]]&gt;1,"Duplicado","Unico")</f>
        <v>Unico</v>
      </c>
      <c r="P580" t="str">
        <f t="shared" si="37"/>
        <v>OK</v>
      </c>
      <c r="Q580" t="str">
        <f t="shared" si="38"/>
        <v>OK</v>
      </c>
      <c r="R580" t="str">
        <f t="shared" si="39"/>
        <v>OK</v>
      </c>
    </row>
    <row r="581" spans="1:18" x14ac:dyDescent="0.3">
      <c r="A581" s="1">
        <v>45831</v>
      </c>
      <c r="B581" s="2" t="s">
        <v>2621</v>
      </c>
      <c r="C581" s="2" t="s">
        <v>2521</v>
      </c>
      <c r="D581" s="2" t="s">
        <v>2528</v>
      </c>
      <c r="E581" s="2" t="s">
        <v>2529</v>
      </c>
      <c r="F581" s="3">
        <v>21844</v>
      </c>
      <c r="G581" s="3">
        <v>147</v>
      </c>
      <c r="H581" s="3">
        <v>16</v>
      </c>
      <c r="I581" s="4">
        <v>54.4</v>
      </c>
      <c r="J581" s="4">
        <v>1948.48</v>
      </c>
      <c r="K581" s="3">
        <v>11</v>
      </c>
      <c r="L581" s="2" t="s">
        <v>2523</v>
      </c>
      <c r="M581" s="2" t="s">
        <v>2519</v>
      </c>
      <c r="N581" s="6">
        <f t="shared" si="36"/>
        <v>1</v>
      </c>
      <c r="O581" t="str">
        <f>IF(Tabla_control[[#This Row],[Control_duplicados]]&gt;1,"Duplicado","Unico")</f>
        <v>Unico</v>
      </c>
      <c r="P581" t="str">
        <f t="shared" si="37"/>
        <v>OK</v>
      </c>
      <c r="Q581" t="str">
        <f t="shared" si="38"/>
        <v>OK</v>
      </c>
      <c r="R581" t="str">
        <f t="shared" si="39"/>
        <v>OK</v>
      </c>
    </row>
    <row r="582" spans="1:18" x14ac:dyDescent="0.3">
      <c r="A582" s="1">
        <v>45757</v>
      </c>
      <c r="B582" s="2" t="s">
        <v>2625</v>
      </c>
      <c r="C582" s="2" t="s">
        <v>2521</v>
      </c>
      <c r="D582" s="2" t="s">
        <v>2528</v>
      </c>
      <c r="E582" s="2" t="s">
        <v>2517</v>
      </c>
      <c r="F582" s="3">
        <v>101859</v>
      </c>
      <c r="G582" s="3">
        <v>2279</v>
      </c>
      <c r="H582" s="3">
        <v>50</v>
      </c>
      <c r="I582" s="4">
        <v>2227.21</v>
      </c>
      <c r="J582" s="4">
        <v>2297.36</v>
      </c>
      <c r="K582" s="3">
        <v>40</v>
      </c>
      <c r="L582" s="2" t="s">
        <v>2523</v>
      </c>
      <c r="M582" s="2" t="s">
        <v>2524</v>
      </c>
      <c r="N582" s="6">
        <f t="shared" si="36"/>
        <v>1</v>
      </c>
      <c r="O582" t="str">
        <f>IF(Tabla_control[[#This Row],[Control_duplicados]]&gt;1,"Duplicado","Unico")</f>
        <v>Unico</v>
      </c>
      <c r="P582" t="str">
        <f t="shared" si="37"/>
        <v>OK</v>
      </c>
      <c r="Q582" t="str">
        <f t="shared" si="38"/>
        <v>OK</v>
      </c>
      <c r="R582" t="str">
        <f t="shared" si="39"/>
        <v>OK</v>
      </c>
    </row>
    <row r="583" spans="1:18" x14ac:dyDescent="0.3">
      <c r="A583" s="1">
        <v>45819</v>
      </c>
      <c r="B583" s="2" t="s">
        <v>2631</v>
      </c>
      <c r="C583" s="2" t="s">
        <v>2533</v>
      </c>
      <c r="D583" s="2" t="s">
        <v>2531</v>
      </c>
      <c r="E583" s="2" t="s">
        <v>2529</v>
      </c>
      <c r="F583" s="3">
        <v>139582</v>
      </c>
      <c r="G583" s="3">
        <v>5208</v>
      </c>
      <c r="H583" s="3">
        <v>621</v>
      </c>
      <c r="J583" s="4">
        <v>125553.01</v>
      </c>
      <c r="K583" s="3">
        <v>514</v>
      </c>
      <c r="L583" s="2" t="s">
        <v>2539</v>
      </c>
      <c r="M583" s="2" t="s">
        <v>2519</v>
      </c>
      <c r="N583" s="6">
        <f t="shared" si="36"/>
        <v>0</v>
      </c>
      <c r="O583" t="str">
        <f>IF(Tabla_control[[#This Row],[Control_duplicados]]&gt;1,"Duplicado","Unico")</f>
        <v>Unico</v>
      </c>
      <c r="P583" t="str">
        <f t="shared" si="37"/>
        <v>ERROR</v>
      </c>
      <c r="Q583" t="str">
        <f t="shared" si="38"/>
        <v>OK</v>
      </c>
      <c r="R583" t="str">
        <f t="shared" si="39"/>
        <v>OK</v>
      </c>
    </row>
    <row r="584" spans="1:18" x14ac:dyDescent="0.3">
      <c r="A584" s="1">
        <v>45751</v>
      </c>
      <c r="B584" s="2" t="s">
        <v>2616</v>
      </c>
      <c r="C584" s="2" t="s">
        <v>2541</v>
      </c>
      <c r="D584" s="2" t="s">
        <v>2531</v>
      </c>
      <c r="E584" s="2" t="s">
        <v>2529</v>
      </c>
      <c r="F584" s="3">
        <v>37646</v>
      </c>
      <c r="G584" s="3">
        <v>2476</v>
      </c>
      <c r="H584" s="3">
        <v>217</v>
      </c>
      <c r="I584" s="4">
        <v>2164.7800000000002</v>
      </c>
      <c r="J584" s="4">
        <v>38992.74</v>
      </c>
      <c r="K584" s="3">
        <v>186</v>
      </c>
      <c r="L584" s="2" t="s">
        <v>2518</v>
      </c>
      <c r="M584" s="2" t="s">
        <v>2537</v>
      </c>
      <c r="N584" s="6">
        <f t="shared" si="36"/>
        <v>1</v>
      </c>
      <c r="O584" t="str">
        <f>IF(Tabla_control[[#This Row],[Control_duplicados]]&gt;1,"Duplicado","Unico")</f>
        <v>Unico</v>
      </c>
      <c r="P584" t="str">
        <f t="shared" si="37"/>
        <v>OK</v>
      </c>
      <c r="Q584" t="str">
        <f t="shared" si="38"/>
        <v>OK</v>
      </c>
      <c r="R584" t="str">
        <f t="shared" si="39"/>
        <v>OK</v>
      </c>
    </row>
    <row r="585" spans="1:18" x14ac:dyDescent="0.3">
      <c r="A585" s="1">
        <v>45739</v>
      </c>
      <c r="B585" s="2" t="s">
        <v>2631</v>
      </c>
      <c r="C585" s="2" t="s">
        <v>2541</v>
      </c>
      <c r="D585" s="2" t="s">
        <v>2528</v>
      </c>
      <c r="E585" s="2" t="s">
        <v>2529</v>
      </c>
      <c r="F585" s="3">
        <v>160286</v>
      </c>
      <c r="G585" s="3">
        <v>13760</v>
      </c>
      <c r="H585" s="3">
        <v>1345</v>
      </c>
      <c r="I585" s="4">
        <v>14157.43</v>
      </c>
      <c r="J585" s="4">
        <v>75922.850000000006</v>
      </c>
      <c r="K585" s="3">
        <v>627</v>
      </c>
      <c r="L585" s="2" t="s">
        <v>2518</v>
      </c>
      <c r="M585" s="2" t="s">
        <v>2537</v>
      </c>
      <c r="N585" s="6">
        <f t="shared" si="36"/>
        <v>1</v>
      </c>
      <c r="O585" t="str">
        <f>IF(Tabla_control[[#This Row],[Control_duplicados]]&gt;1,"Duplicado","Unico")</f>
        <v>Unico</v>
      </c>
      <c r="P585" t="str">
        <f t="shared" si="37"/>
        <v>OK</v>
      </c>
      <c r="Q585" t="str">
        <f t="shared" si="38"/>
        <v>OK</v>
      </c>
      <c r="R585" t="str">
        <f t="shared" si="39"/>
        <v>OK</v>
      </c>
    </row>
    <row r="586" spans="1:18" x14ac:dyDescent="0.3">
      <c r="A586" s="1">
        <v>45949</v>
      </c>
      <c r="B586" s="2" t="s">
        <v>2636</v>
      </c>
      <c r="C586" s="2" t="s">
        <v>2541</v>
      </c>
      <c r="D586" s="2" t="s">
        <v>2528</v>
      </c>
      <c r="E586" s="2" t="s">
        <v>2529</v>
      </c>
      <c r="F586" s="3">
        <v>88940</v>
      </c>
      <c r="G586" s="3">
        <v>4498</v>
      </c>
      <c r="H586" s="3">
        <v>258</v>
      </c>
      <c r="I586" s="4">
        <v>7097.21</v>
      </c>
      <c r="J586" s="4">
        <v>33353.42</v>
      </c>
      <c r="K586" s="3">
        <v>218</v>
      </c>
      <c r="L586" s="2" t="s">
        <v>2523</v>
      </c>
      <c r="M586" s="2" t="s">
        <v>2526</v>
      </c>
      <c r="N586" s="6">
        <f t="shared" si="36"/>
        <v>1</v>
      </c>
      <c r="O586" t="str">
        <f>IF(Tabla_control[[#This Row],[Control_duplicados]]&gt;1,"Duplicado","Unico")</f>
        <v>Unico</v>
      </c>
      <c r="P586" t="str">
        <f t="shared" si="37"/>
        <v>OK</v>
      </c>
      <c r="Q586" t="str">
        <f t="shared" si="38"/>
        <v>OK</v>
      </c>
      <c r="R586" t="str">
        <f t="shared" si="39"/>
        <v>OK</v>
      </c>
    </row>
    <row r="587" spans="1:18" x14ac:dyDescent="0.3">
      <c r="A587" s="1">
        <v>45796</v>
      </c>
      <c r="B587" s="2" t="s">
        <v>2634</v>
      </c>
      <c r="C587" s="2" t="s">
        <v>2521</v>
      </c>
      <c r="D587" s="2" t="s">
        <v>2528</v>
      </c>
      <c r="E587" s="2" t="s">
        <v>2529</v>
      </c>
      <c r="F587" s="3">
        <v>132798</v>
      </c>
      <c r="G587" s="3">
        <v>1396</v>
      </c>
      <c r="H587" s="3">
        <v>176</v>
      </c>
      <c r="I587" s="4">
        <v>2011.16</v>
      </c>
      <c r="J587" s="4">
        <v>22320.79</v>
      </c>
      <c r="K587" s="3">
        <v>109</v>
      </c>
      <c r="L587" s="2" t="s">
        <v>2523</v>
      </c>
      <c r="M587" s="2" t="s">
        <v>2546</v>
      </c>
      <c r="N587" s="6">
        <f t="shared" si="36"/>
        <v>1</v>
      </c>
      <c r="O587" t="str">
        <f>IF(Tabla_control[[#This Row],[Control_duplicados]]&gt;1,"Duplicado","Unico")</f>
        <v>Unico</v>
      </c>
      <c r="P587" t="str">
        <f t="shared" si="37"/>
        <v>OK</v>
      </c>
      <c r="Q587" t="str">
        <f t="shared" si="38"/>
        <v>OK</v>
      </c>
      <c r="R587" t="str">
        <f t="shared" si="39"/>
        <v>OK</v>
      </c>
    </row>
    <row r="588" spans="1:18" x14ac:dyDescent="0.3">
      <c r="A588" s="1">
        <v>45958</v>
      </c>
      <c r="B588" s="2" t="s">
        <v>2634</v>
      </c>
      <c r="C588" s="2" t="s">
        <v>2515</v>
      </c>
      <c r="D588" s="2" t="s">
        <v>2528</v>
      </c>
      <c r="E588" s="2" t="s">
        <v>2529</v>
      </c>
      <c r="F588" s="3">
        <v>46715</v>
      </c>
      <c r="G588" s="3">
        <v>802</v>
      </c>
      <c r="H588" s="3">
        <v>25</v>
      </c>
      <c r="I588" s="4">
        <v>716.66</v>
      </c>
      <c r="J588" s="4">
        <v>381.22</v>
      </c>
      <c r="K588" s="3">
        <v>18</v>
      </c>
      <c r="L588" s="2" t="s">
        <v>2536</v>
      </c>
      <c r="M588" s="2" t="s">
        <v>2524</v>
      </c>
      <c r="N588" s="6">
        <f t="shared" si="36"/>
        <v>1</v>
      </c>
      <c r="O588" t="str">
        <f>IF(Tabla_control[[#This Row],[Control_duplicados]]&gt;1,"Duplicado","Unico")</f>
        <v>Unico</v>
      </c>
      <c r="P588" t="str">
        <f t="shared" si="37"/>
        <v>OK</v>
      </c>
      <c r="Q588" t="str">
        <f t="shared" si="38"/>
        <v>OK</v>
      </c>
      <c r="R588" t="str">
        <f t="shared" si="39"/>
        <v>OK</v>
      </c>
    </row>
    <row r="589" spans="1:18" x14ac:dyDescent="0.3">
      <c r="A589" s="1">
        <v>45754</v>
      </c>
      <c r="B589" s="2" t="s">
        <v>2628</v>
      </c>
      <c r="C589" s="2" t="s">
        <v>2541</v>
      </c>
      <c r="D589" s="2" t="s">
        <v>2528</v>
      </c>
      <c r="E589" s="2" t="s">
        <v>2529</v>
      </c>
      <c r="F589" s="3">
        <v>133242</v>
      </c>
      <c r="G589" s="3">
        <v>7880</v>
      </c>
      <c r="H589" s="3">
        <v>805</v>
      </c>
      <c r="I589" s="4">
        <v>13300.4</v>
      </c>
      <c r="J589" s="4">
        <v>154240.23000000001</v>
      </c>
      <c r="K589" s="3">
        <v>470</v>
      </c>
      <c r="L589" s="2" t="s">
        <v>2539</v>
      </c>
      <c r="M589" s="2" t="s">
        <v>2519</v>
      </c>
      <c r="N589" s="6">
        <f t="shared" si="36"/>
        <v>1</v>
      </c>
      <c r="O589" t="str">
        <f>IF(Tabla_control[[#This Row],[Control_duplicados]]&gt;1,"Duplicado","Unico")</f>
        <v>Unico</v>
      </c>
      <c r="P589" t="str">
        <f t="shared" si="37"/>
        <v>OK</v>
      </c>
      <c r="Q589" t="str">
        <f t="shared" si="38"/>
        <v>OK</v>
      </c>
      <c r="R589" t="str">
        <f t="shared" si="39"/>
        <v>OK</v>
      </c>
    </row>
    <row r="590" spans="1:18" x14ac:dyDescent="0.3">
      <c r="A590" s="1">
        <v>45914</v>
      </c>
      <c r="B590" s="2" t="s">
        <v>2624</v>
      </c>
      <c r="C590" s="2" t="s">
        <v>2541</v>
      </c>
      <c r="D590" s="2" t="s">
        <v>2528</v>
      </c>
      <c r="E590" s="2" t="s">
        <v>2529</v>
      </c>
      <c r="F590" s="3">
        <v>27662</v>
      </c>
      <c r="G590" s="3">
        <v>605</v>
      </c>
      <c r="H590" s="3">
        <v>5</v>
      </c>
      <c r="I590" s="4">
        <v>925.64</v>
      </c>
      <c r="J590" s="4">
        <v>940.04</v>
      </c>
      <c r="K590" s="3">
        <v>4</v>
      </c>
      <c r="L590" s="2" t="s">
        <v>2536</v>
      </c>
      <c r="M590" s="2" t="s">
        <v>2526</v>
      </c>
      <c r="N590" s="6">
        <f t="shared" si="36"/>
        <v>1</v>
      </c>
      <c r="O590" t="str">
        <f>IF(Tabla_control[[#This Row],[Control_duplicados]]&gt;1,"Duplicado","Unico")</f>
        <v>Unico</v>
      </c>
      <c r="P590" t="str">
        <f t="shared" si="37"/>
        <v>OK</v>
      </c>
      <c r="Q590" t="str">
        <f t="shared" si="38"/>
        <v>OK</v>
      </c>
      <c r="R590" t="str">
        <f t="shared" si="39"/>
        <v>OK</v>
      </c>
    </row>
    <row r="591" spans="1:18" x14ac:dyDescent="0.3">
      <c r="A591" s="1">
        <v>45836</v>
      </c>
      <c r="B591" s="2" t="s">
        <v>2627</v>
      </c>
      <c r="C591" s="2" t="s">
        <v>2541</v>
      </c>
      <c r="D591" s="2" t="s">
        <v>2522</v>
      </c>
      <c r="E591" s="2" t="s">
        <v>2529</v>
      </c>
      <c r="F591" s="3">
        <v>47996</v>
      </c>
      <c r="G591" s="3">
        <v>1707</v>
      </c>
      <c r="H591" s="3">
        <v>63</v>
      </c>
      <c r="I591" s="4">
        <v>3263.03</v>
      </c>
      <c r="J591" s="4">
        <v>13852.21</v>
      </c>
      <c r="K591" s="3">
        <v>39</v>
      </c>
      <c r="L591" s="2" t="s">
        <v>2523</v>
      </c>
      <c r="M591" s="2" t="s">
        <v>2537</v>
      </c>
      <c r="N591" s="6">
        <f t="shared" si="36"/>
        <v>1</v>
      </c>
      <c r="O591" t="str">
        <f>IF(Tabla_control[[#This Row],[Control_duplicados]]&gt;1,"Duplicado","Unico")</f>
        <v>Unico</v>
      </c>
      <c r="P591" t="str">
        <f t="shared" si="37"/>
        <v>OK</v>
      </c>
      <c r="Q591" t="str">
        <f t="shared" si="38"/>
        <v>OK</v>
      </c>
      <c r="R591" t="str">
        <f t="shared" si="39"/>
        <v>OK</v>
      </c>
    </row>
    <row r="592" spans="1:18" x14ac:dyDescent="0.3">
      <c r="A592" s="1">
        <v>45782</v>
      </c>
      <c r="B592" s="2" t="s">
        <v>2629</v>
      </c>
      <c r="C592" s="2" t="s">
        <v>2543</v>
      </c>
      <c r="D592" s="2" t="s">
        <v>2516</v>
      </c>
      <c r="E592" s="2" t="s">
        <v>2517</v>
      </c>
      <c r="F592" s="3">
        <v>101857</v>
      </c>
      <c r="G592" s="3">
        <v>415</v>
      </c>
      <c r="H592" s="3">
        <v>52</v>
      </c>
      <c r="I592" s="4">
        <v>255.48</v>
      </c>
      <c r="J592" s="4">
        <v>5174.42</v>
      </c>
      <c r="K592" s="3">
        <v>46</v>
      </c>
      <c r="L592" s="2" t="s">
        <v>2523</v>
      </c>
      <c r="M592" s="2" t="s">
        <v>2526</v>
      </c>
      <c r="N592" s="6">
        <f t="shared" si="36"/>
        <v>1</v>
      </c>
      <c r="O592" t="str">
        <f>IF(Tabla_control[[#This Row],[Control_duplicados]]&gt;1,"Duplicado","Unico")</f>
        <v>Unico</v>
      </c>
      <c r="P592" t="str">
        <f t="shared" si="37"/>
        <v>OK</v>
      </c>
      <c r="Q592" t="str">
        <f t="shared" si="38"/>
        <v>OK</v>
      </c>
      <c r="R592" t="str">
        <f t="shared" si="39"/>
        <v>OK</v>
      </c>
    </row>
    <row r="593" spans="1:18" x14ac:dyDescent="0.3">
      <c r="A593" s="1">
        <v>45725</v>
      </c>
      <c r="B593" s="2" t="s">
        <v>2641</v>
      </c>
      <c r="C593" s="2" t="s">
        <v>2543</v>
      </c>
      <c r="D593" s="2" t="s">
        <v>2525</v>
      </c>
      <c r="E593" s="2" t="s">
        <v>2529</v>
      </c>
      <c r="F593" s="3">
        <v>30438</v>
      </c>
      <c r="G593" s="3">
        <v>2569</v>
      </c>
      <c r="H593" s="3">
        <v>130</v>
      </c>
      <c r="I593" s="4">
        <v>4263.6099999999997</v>
      </c>
      <c r="J593" s="4">
        <v>23248.11</v>
      </c>
      <c r="K593" s="3">
        <v>71</v>
      </c>
      <c r="L593" s="2" t="s">
        <v>2518</v>
      </c>
      <c r="M593" s="2" t="s">
        <v>2537</v>
      </c>
      <c r="N593" s="6">
        <f t="shared" si="36"/>
        <v>1</v>
      </c>
      <c r="O593" t="str">
        <f>IF(Tabla_control[[#This Row],[Control_duplicados]]&gt;1,"Duplicado","Unico")</f>
        <v>Unico</v>
      </c>
      <c r="P593" t="str">
        <f t="shared" si="37"/>
        <v>OK</v>
      </c>
      <c r="Q593" t="str">
        <f t="shared" si="38"/>
        <v>OK</v>
      </c>
      <c r="R593" t="str">
        <f t="shared" si="39"/>
        <v>OK</v>
      </c>
    </row>
    <row r="594" spans="1:18" x14ac:dyDescent="0.3">
      <c r="A594" s="1">
        <v>45974</v>
      </c>
      <c r="B594" s="2" t="s">
        <v>2634</v>
      </c>
      <c r="C594" s="2" t="s">
        <v>2543</v>
      </c>
      <c r="D594" s="2" t="s">
        <v>2516</v>
      </c>
      <c r="E594" s="2" t="s">
        <v>2534</v>
      </c>
      <c r="F594" s="3">
        <v>91079</v>
      </c>
      <c r="G594" s="3">
        <v>6977</v>
      </c>
      <c r="H594" s="3">
        <v>920</v>
      </c>
      <c r="I594" s="4">
        <v>9778.34</v>
      </c>
      <c r="J594" s="4">
        <v>180286.24</v>
      </c>
      <c r="K594" s="3">
        <v>681</v>
      </c>
      <c r="L594" s="2" t="s">
        <v>2539</v>
      </c>
      <c r="M594" s="2" t="s">
        <v>2524</v>
      </c>
      <c r="N594" s="6">
        <f t="shared" si="36"/>
        <v>1</v>
      </c>
      <c r="O594" t="str">
        <f>IF(Tabla_control[[#This Row],[Control_duplicados]]&gt;1,"Duplicado","Unico")</f>
        <v>Unico</v>
      </c>
      <c r="P594" t="str">
        <f t="shared" si="37"/>
        <v>OK</v>
      </c>
      <c r="Q594" t="str">
        <f t="shared" si="38"/>
        <v>OK</v>
      </c>
      <c r="R594" t="str">
        <f t="shared" si="39"/>
        <v>OK</v>
      </c>
    </row>
    <row r="595" spans="1:18" x14ac:dyDescent="0.3">
      <c r="A595" s="1">
        <v>45943</v>
      </c>
      <c r="B595" s="2" t="s">
        <v>2641</v>
      </c>
      <c r="C595" s="2" t="s">
        <v>2527</v>
      </c>
      <c r="D595" s="2" t="s">
        <v>2516</v>
      </c>
      <c r="E595" s="2" t="s">
        <v>2517</v>
      </c>
      <c r="F595" s="3">
        <v>129946</v>
      </c>
      <c r="G595" s="3">
        <v>10277</v>
      </c>
      <c r="H595" s="3">
        <v>394</v>
      </c>
      <c r="I595" s="4">
        <v>10676.43</v>
      </c>
      <c r="J595" s="4">
        <v>7471.04</v>
      </c>
      <c r="K595" s="3">
        <v>177</v>
      </c>
      <c r="L595" s="2" t="s">
        <v>2523</v>
      </c>
      <c r="M595" s="2" t="s">
        <v>2524</v>
      </c>
      <c r="N595" s="6">
        <f t="shared" si="36"/>
        <v>1</v>
      </c>
      <c r="O595" t="str">
        <f>IF(Tabla_control[[#This Row],[Control_duplicados]]&gt;1,"Duplicado","Unico")</f>
        <v>Unico</v>
      </c>
      <c r="P595" t="str">
        <f t="shared" si="37"/>
        <v>OK</v>
      </c>
      <c r="Q595" t="str">
        <f t="shared" si="38"/>
        <v>OK</v>
      </c>
      <c r="R595" t="str">
        <f t="shared" si="39"/>
        <v>OK</v>
      </c>
    </row>
    <row r="596" spans="1:18" x14ac:dyDescent="0.3">
      <c r="A596" s="1">
        <v>45681</v>
      </c>
      <c r="B596" s="2" t="s">
        <v>2615</v>
      </c>
      <c r="C596" s="2" t="s">
        <v>2515</v>
      </c>
      <c r="D596" s="2" t="s">
        <v>2516</v>
      </c>
      <c r="E596" s="2" t="s">
        <v>2529</v>
      </c>
      <c r="F596" s="3">
        <v>90680</v>
      </c>
      <c r="G596" s="3">
        <v>7967</v>
      </c>
      <c r="H596" s="3">
        <v>853</v>
      </c>
      <c r="I596" s="4">
        <v>11879.65</v>
      </c>
      <c r="J596" s="4">
        <v>57024.19</v>
      </c>
      <c r="K596" s="3">
        <v>653</v>
      </c>
      <c r="L596" s="2" t="s">
        <v>2518</v>
      </c>
      <c r="M596" s="2" t="s">
        <v>2537</v>
      </c>
      <c r="N596" s="6">
        <f t="shared" si="36"/>
        <v>1</v>
      </c>
      <c r="O596" t="str">
        <f>IF(Tabla_control[[#This Row],[Control_duplicados]]&gt;1,"Duplicado","Unico")</f>
        <v>Unico</v>
      </c>
      <c r="P596" t="str">
        <f t="shared" si="37"/>
        <v>OK</v>
      </c>
      <c r="Q596" t="str">
        <f t="shared" si="38"/>
        <v>OK</v>
      </c>
      <c r="R596" t="str">
        <f t="shared" si="39"/>
        <v>OK</v>
      </c>
    </row>
    <row r="597" spans="1:18" x14ac:dyDescent="0.3">
      <c r="A597" s="1">
        <v>45831</v>
      </c>
      <c r="B597" s="2" t="s">
        <v>2640</v>
      </c>
      <c r="C597" s="2" t="s">
        <v>2541</v>
      </c>
      <c r="D597" s="2" t="s">
        <v>2528</v>
      </c>
      <c r="E597" s="2" t="s">
        <v>2529</v>
      </c>
      <c r="F597" s="3">
        <v>60465</v>
      </c>
      <c r="G597" s="3">
        <v>3682</v>
      </c>
      <c r="H597" s="3">
        <v>229</v>
      </c>
      <c r="I597" s="4">
        <v>876.17</v>
      </c>
      <c r="J597" s="4">
        <v>15289.48</v>
      </c>
      <c r="K597" s="3">
        <v>182</v>
      </c>
      <c r="L597" s="2" t="s">
        <v>2536</v>
      </c>
      <c r="M597" s="2" t="s">
        <v>2524</v>
      </c>
      <c r="N597" s="6">
        <f t="shared" si="36"/>
        <v>1</v>
      </c>
      <c r="O597" t="str">
        <f>IF(Tabla_control[[#This Row],[Control_duplicados]]&gt;1,"Duplicado","Unico")</f>
        <v>Unico</v>
      </c>
      <c r="P597" t="str">
        <f t="shared" si="37"/>
        <v>OK</v>
      </c>
      <c r="Q597" t="str">
        <f t="shared" si="38"/>
        <v>OK</v>
      </c>
      <c r="R597" t="str">
        <f t="shared" si="39"/>
        <v>OK</v>
      </c>
    </row>
    <row r="598" spans="1:18" x14ac:dyDescent="0.3">
      <c r="A598" s="1">
        <v>45767</v>
      </c>
      <c r="B598" s="2" t="s">
        <v>2630</v>
      </c>
      <c r="C598" s="2" t="s">
        <v>2533</v>
      </c>
      <c r="D598" s="2" t="s">
        <v>2528</v>
      </c>
      <c r="E598" s="2" t="s">
        <v>2529</v>
      </c>
      <c r="F598" s="3">
        <v>161407</v>
      </c>
      <c r="G598" s="3">
        <v>1743</v>
      </c>
      <c r="H598" s="3">
        <v>189</v>
      </c>
      <c r="I598" s="4">
        <v>646.80999999999995</v>
      </c>
      <c r="J598" s="4">
        <v>24511.74</v>
      </c>
      <c r="K598" s="3">
        <v>161</v>
      </c>
      <c r="L598" s="2" t="s">
        <v>2536</v>
      </c>
      <c r="M598" s="2" t="s">
        <v>2524</v>
      </c>
      <c r="N598" s="6">
        <f t="shared" si="36"/>
        <v>1</v>
      </c>
      <c r="O598" t="str">
        <f>IF(Tabla_control[[#This Row],[Control_duplicados]]&gt;1,"Duplicado","Unico")</f>
        <v>Unico</v>
      </c>
      <c r="P598" t="str">
        <f t="shared" si="37"/>
        <v>OK</v>
      </c>
      <c r="Q598" t="str">
        <f t="shared" si="38"/>
        <v>OK</v>
      </c>
      <c r="R598" t="str">
        <f t="shared" si="39"/>
        <v>OK</v>
      </c>
    </row>
    <row r="599" spans="1:18" x14ac:dyDescent="0.3">
      <c r="A599" s="1">
        <v>45865</v>
      </c>
      <c r="B599" s="2" t="s">
        <v>2616</v>
      </c>
      <c r="C599" s="2" t="s">
        <v>2541</v>
      </c>
      <c r="D599" s="2" t="s">
        <v>2531</v>
      </c>
      <c r="E599" s="2" t="s">
        <v>2517</v>
      </c>
      <c r="F599" s="3">
        <v>14418</v>
      </c>
      <c r="G599" s="3">
        <v>371</v>
      </c>
      <c r="H599" s="3">
        <v>39</v>
      </c>
      <c r="I599" s="4">
        <v>117.48</v>
      </c>
      <c r="J599" s="4">
        <v>7714.61</v>
      </c>
      <c r="K599" s="3">
        <v>34</v>
      </c>
      <c r="L599" s="2" t="s">
        <v>2539</v>
      </c>
      <c r="M599" s="2" t="s">
        <v>2519</v>
      </c>
      <c r="N599" s="6">
        <f t="shared" si="36"/>
        <v>1</v>
      </c>
      <c r="O599" t="str">
        <f>IF(Tabla_control[[#This Row],[Control_duplicados]]&gt;1,"Duplicado","Unico")</f>
        <v>Unico</v>
      </c>
      <c r="P599" t="str">
        <f t="shared" si="37"/>
        <v>OK</v>
      </c>
      <c r="Q599" t="str">
        <f t="shared" si="38"/>
        <v>OK</v>
      </c>
      <c r="R599" t="str">
        <f t="shared" si="39"/>
        <v>OK</v>
      </c>
    </row>
    <row r="600" spans="1:18" x14ac:dyDescent="0.3">
      <c r="A600" s="1">
        <v>45788</v>
      </c>
      <c r="B600" s="2" t="s">
        <v>2619</v>
      </c>
      <c r="C600" s="2" t="s">
        <v>2533</v>
      </c>
      <c r="D600" s="2" t="s">
        <v>2516</v>
      </c>
      <c r="E600" s="2" t="s">
        <v>2529</v>
      </c>
      <c r="F600" s="3">
        <v>77533</v>
      </c>
      <c r="G600" s="3">
        <v>2047</v>
      </c>
      <c r="H600" s="3">
        <v>118</v>
      </c>
      <c r="I600" s="4">
        <v>291.76</v>
      </c>
      <c r="J600" s="4">
        <v>24594.58</v>
      </c>
      <c r="K600" s="3">
        <v>97</v>
      </c>
      <c r="L600" s="2" t="s">
        <v>2518</v>
      </c>
      <c r="M600" s="2" t="s">
        <v>2526</v>
      </c>
      <c r="N600" s="6">
        <f t="shared" si="36"/>
        <v>1</v>
      </c>
      <c r="O600" t="str">
        <f>IF(Tabla_control[[#This Row],[Control_duplicados]]&gt;1,"Duplicado","Unico")</f>
        <v>Unico</v>
      </c>
      <c r="P600" t="str">
        <f t="shared" si="37"/>
        <v>OK</v>
      </c>
      <c r="Q600" t="str">
        <f t="shared" si="38"/>
        <v>OK</v>
      </c>
      <c r="R600" t="str">
        <f t="shared" si="39"/>
        <v>OK</v>
      </c>
    </row>
    <row r="601" spans="1:18" x14ac:dyDescent="0.3">
      <c r="A601" s="1">
        <v>45924</v>
      </c>
      <c r="B601" s="2" t="s">
        <v>2623</v>
      </c>
      <c r="C601" s="2" t="s">
        <v>2515</v>
      </c>
      <c r="D601" s="2" t="s">
        <v>2522</v>
      </c>
      <c r="E601" s="2" t="s">
        <v>2517</v>
      </c>
      <c r="F601" s="3">
        <v>159262</v>
      </c>
      <c r="G601" s="3">
        <v>3347</v>
      </c>
      <c r="H601" s="3">
        <v>291</v>
      </c>
      <c r="I601" s="4">
        <v>3179.13</v>
      </c>
      <c r="J601" s="4">
        <v>34527.14</v>
      </c>
      <c r="K601" s="3">
        <v>209</v>
      </c>
      <c r="L601" s="2" t="s">
        <v>2536</v>
      </c>
      <c r="M601" s="2" t="s">
        <v>2537</v>
      </c>
      <c r="N601" s="6">
        <f t="shared" si="36"/>
        <v>1</v>
      </c>
      <c r="O601" t="str">
        <f>IF(Tabla_control[[#This Row],[Control_duplicados]]&gt;1,"Duplicado","Unico")</f>
        <v>Unico</v>
      </c>
      <c r="P601" t="str">
        <f t="shared" si="37"/>
        <v>OK</v>
      </c>
      <c r="Q601" t="str">
        <f t="shared" si="38"/>
        <v>OK</v>
      </c>
      <c r="R601" t="str">
        <f t="shared" si="39"/>
        <v>OK</v>
      </c>
    </row>
    <row r="602" spans="1:18" x14ac:dyDescent="0.3">
      <c r="A602" s="1">
        <v>45791</v>
      </c>
      <c r="B602" s="2" t="s">
        <v>2639</v>
      </c>
      <c r="C602" s="2" t="s">
        <v>2533</v>
      </c>
      <c r="D602" s="2" t="s">
        <v>2528</v>
      </c>
      <c r="E602" s="2" t="s">
        <v>2529</v>
      </c>
      <c r="F602" s="3">
        <v>101491</v>
      </c>
      <c r="G602" s="3">
        <v>7199</v>
      </c>
      <c r="H602" s="3">
        <v>747</v>
      </c>
      <c r="I602" s="4">
        <v>2510.16</v>
      </c>
      <c r="J602" s="4">
        <v>73824.75</v>
      </c>
      <c r="K602" s="3">
        <v>474</v>
      </c>
      <c r="L602" s="2" t="s">
        <v>2523</v>
      </c>
      <c r="M602" s="2" t="s">
        <v>2546</v>
      </c>
      <c r="N602" s="6">
        <f t="shared" si="36"/>
        <v>1</v>
      </c>
      <c r="O602" t="str">
        <f>IF(Tabla_control[[#This Row],[Control_duplicados]]&gt;1,"Duplicado","Unico")</f>
        <v>Unico</v>
      </c>
      <c r="P602" t="str">
        <f t="shared" si="37"/>
        <v>OK</v>
      </c>
      <c r="Q602" t="str">
        <f t="shared" si="38"/>
        <v>OK</v>
      </c>
      <c r="R602" t="str">
        <f t="shared" si="39"/>
        <v>OK</v>
      </c>
    </row>
    <row r="603" spans="1:18" x14ac:dyDescent="0.3">
      <c r="A603" s="1">
        <v>45928</v>
      </c>
      <c r="B603" s="2" t="s">
        <v>2625</v>
      </c>
      <c r="C603" s="2" t="s">
        <v>2533</v>
      </c>
      <c r="D603" s="2" t="s">
        <v>2525</v>
      </c>
      <c r="E603" s="2" t="s">
        <v>2517</v>
      </c>
      <c r="F603" s="3">
        <v>177457</v>
      </c>
      <c r="G603" s="3">
        <v>1872</v>
      </c>
      <c r="H603" s="3">
        <v>140</v>
      </c>
      <c r="I603" s="4">
        <v>3126.01</v>
      </c>
      <c r="J603" s="4">
        <v>8528.6299999999992</v>
      </c>
      <c r="K603" s="3">
        <v>79</v>
      </c>
      <c r="L603" s="2" t="s">
        <v>2523</v>
      </c>
      <c r="M603" s="2" t="s">
        <v>2645</v>
      </c>
      <c r="N603" s="6">
        <f t="shared" si="36"/>
        <v>1</v>
      </c>
      <c r="O603" t="str">
        <f>IF(Tabla_control[[#This Row],[Control_duplicados]]&gt;1,"Duplicado","Unico")</f>
        <v>Unico</v>
      </c>
      <c r="P603" t="str">
        <f t="shared" si="37"/>
        <v>OK</v>
      </c>
      <c r="Q603" t="str">
        <f t="shared" si="38"/>
        <v>OK</v>
      </c>
      <c r="R603" t="str">
        <f t="shared" si="39"/>
        <v>OK</v>
      </c>
    </row>
    <row r="604" spans="1:18" x14ac:dyDescent="0.3">
      <c r="A604" s="1">
        <v>45771</v>
      </c>
      <c r="B604" s="2" t="s">
        <v>2641</v>
      </c>
      <c r="C604" s="2" t="s">
        <v>2541</v>
      </c>
      <c r="D604" s="2" t="s">
        <v>2528</v>
      </c>
      <c r="E604" s="2" t="s">
        <v>2529</v>
      </c>
      <c r="F604" s="3">
        <v>23455</v>
      </c>
      <c r="G604" s="3">
        <v>2008</v>
      </c>
      <c r="H604" s="3">
        <v>277</v>
      </c>
      <c r="I604" s="4">
        <v>492.11</v>
      </c>
      <c r="J604" s="4">
        <v>47655.86</v>
      </c>
      <c r="K604" s="3">
        <v>128</v>
      </c>
      <c r="L604" s="2" t="s">
        <v>2539</v>
      </c>
      <c r="M604" s="2" t="s">
        <v>2546</v>
      </c>
      <c r="N604" s="6">
        <f t="shared" si="36"/>
        <v>1</v>
      </c>
      <c r="O604" t="str">
        <f>IF(Tabla_control[[#This Row],[Control_duplicados]]&gt;1,"Duplicado","Unico")</f>
        <v>Unico</v>
      </c>
      <c r="P604" t="str">
        <f t="shared" si="37"/>
        <v>OK</v>
      </c>
      <c r="Q604" t="str">
        <f t="shared" si="38"/>
        <v>OK</v>
      </c>
      <c r="R604" t="str">
        <f t="shared" si="39"/>
        <v>OK</v>
      </c>
    </row>
    <row r="605" spans="1:18" x14ac:dyDescent="0.3">
      <c r="A605" s="1">
        <v>45777</v>
      </c>
      <c r="B605" s="2" t="s">
        <v>2622</v>
      </c>
      <c r="C605" s="2" t="s">
        <v>2541</v>
      </c>
      <c r="D605" s="2" t="s">
        <v>2525</v>
      </c>
      <c r="E605" s="2" t="s">
        <v>2529</v>
      </c>
      <c r="F605" s="3">
        <v>166998</v>
      </c>
      <c r="G605" s="3">
        <v>1308</v>
      </c>
      <c r="H605" s="3">
        <v>133</v>
      </c>
      <c r="I605" s="4">
        <v>1619.03</v>
      </c>
      <c r="J605" s="4">
        <v>23299.06</v>
      </c>
      <c r="K605" s="3">
        <v>109</v>
      </c>
      <c r="L605" s="2" t="s">
        <v>2536</v>
      </c>
      <c r="M605" s="2" t="s">
        <v>2519</v>
      </c>
      <c r="N605" s="6">
        <f t="shared" si="36"/>
        <v>1</v>
      </c>
      <c r="O605" t="str">
        <f>IF(Tabla_control[[#This Row],[Control_duplicados]]&gt;1,"Duplicado","Unico")</f>
        <v>Unico</v>
      </c>
      <c r="P605" t="str">
        <f t="shared" si="37"/>
        <v>OK</v>
      </c>
      <c r="Q605" t="str">
        <f t="shared" si="38"/>
        <v>OK</v>
      </c>
      <c r="R605" t="str">
        <f t="shared" si="39"/>
        <v>OK</v>
      </c>
    </row>
    <row r="606" spans="1:18" x14ac:dyDescent="0.3">
      <c r="A606" s="1">
        <v>45872</v>
      </c>
      <c r="B606" s="2" t="s">
        <v>2644</v>
      </c>
      <c r="C606" s="2" t="s">
        <v>2543</v>
      </c>
      <c r="D606" s="2" t="s">
        <v>2528</v>
      </c>
      <c r="E606" s="2" t="s">
        <v>2529</v>
      </c>
      <c r="F606" s="3">
        <v>55672</v>
      </c>
      <c r="G606" s="3">
        <v>2991</v>
      </c>
      <c r="H606" s="3">
        <v>120</v>
      </c>
      <c r="I606" s="4">
        <v>1624.55</v>
      </c>
      <c r="J606" s="4">
        <v>7429.8</v>
      </c>
      <c r="K606" s="3">
        <v>78</v>
      </c>
      <c r="L606" s="2" t="s">
        <v>2518</v>
      </c>
      <c r="M606" s="2" t="s">
        <v>2524</v>
      </c>
      <c r="N606" s="6">
        <f t="shared" si="36"/>
        <v>1</v>
      </c>
      <c r="O606" t="str">
        <f>IF(Tabla_control[[#This Row],[Control_duplicados]]&gt;1,"Duplicado","Unico")</f>
        <v>Unico</v>
      </c>
      <c r="P606" t="str">
        <f t="shared" si="37"/>
        <v>OK</v>
      </c>
      <c r="Q606" t="str">
        <f t="shared" si="38"/>
        <v>OK</v>
      </c>
      <c r="R606" t="str">
        <f t="shared" si="39"/>
        <v>OK</v>
      </c>
    </row>
    <row r="607" spans="1:18" x14ac:dyDescent="0.3">
      <c r="A607" s="1">
        <v>45951</v>
      </c>
      <c r="B607" s="2" t="s">
        <v>2634</v>
      </c>
      <c r="C607" s="2" t="s">
        <v>2543</v>
      </c>
      <c r="D607" s="2" t="s">
        <v>2525</v>
      </c>
      <c r="E607" s="2" t="s">
        <v>2517</v>
      </c>
      <c r="F607" s="3">
        <v>150544</v>
      </c>
      <c r="G607" s="3">
        <v>10877</v>
      </c>
      <c r="H607" s="3">
        <v>998</v>
      </c>
      <c r="I607" s="4">
        <v>13090.45</v>
      </c>
      <c r="J607" s="4">
        <v>45004.52</v>
      </c>
      <c r="K607" s="3">
        <v>602</v>
      </c>
      <c r="L607" s="2" t="s">
        <v>2536</v>
      </c>
      <c r="M607" s="2" t="s">
        <v>2524</v>
      </c>
      <c r="N607" s="6">
        <f t="shared" si="36"/>
        <v>1</v>
      </c>
      <c r="O607" t="str">
        <f>IF(Tabla_control[[#This Row],[Control_duplicados]]&gt;1,"Duplicado","Unico")</f>
        <v>Unico</v>
      </c>
      <c r="P607" t="str">
        <f t="shared" si="37"/>
        <v>OK</v>
      </c>
      <c r="Q607" t="str">
        <f t="shared" si="38"/>
        <v>OK</v>
      </c>
      <c r="R607" t="str">
        <f t="shared" si="39"/>
        <v>OK</v>
      </c>
    </row>
    <row r="608" spans="1:18" x14ac:dyDescent="0.3">
      <c r="A608" s="1">
        <v>45942</v>
      </c>
      <c r="B608" s="2" t="s">
        <v>2619</v>
      </c>
      <c r="C608" s="2" t="s">
        <v>2515</v>
      </c>
      <c r="D608" s="2" t="s">
        <v>2525</v>
      </c>
      <c r="E608" s="2" t="s">
        <v>2529</v>
      </c>
      <c r="F608" s="3">
        <v>151414</v>
      </c>
      <c r="G608" s="3">
        <v>2459</v>
      </c>
      <c r="H608" s="3">
        <v>312</v>
      </c>
      <c r="I608" s="4">
        <v>1466.72</v>
      </c>
      <c r="J608" s="4">
        <v>39785</v>
      </c>
      <c r="K608" s="3">
        <v>184</v>
      </c>
      <c r="L608" s="2" t="s">
        <v>2536</v>
      </c>
      <c r="M608" s="2" t="s">
        <v>2524</v>
      </c>
      <c r="N608" s="6">
        <f t="shared" si="36"/>
        <v>1</v>
      </c>
      <c r="O608" t="str">
        <f>IF(Tabla_control[[#This Row],[Control_duplicados]]&gt;1,"Duplicado","Unico")</f>
        <v>Unico</v>
      </c>
      <c r="P608" t="str">
        <f t="shared" si="37"/>
        <v>OK</v>
      </c>
      <c r="Q608" t="str">
        <f t="shared" si="38"/>
        <v>OK</v>
      </c>
      <c r="R608" t="str">
        <f t="shared" si="39"/>
        <v>OK</v>
      </c>
    </row>
    <row r="609" spans="1:18" x14ac:dyDescent="0.3">
      <c r="A609" s="1">
        <v>45697</v>
      </c>
      <c r="B609" s="2" t="s">
        <v>2633</v>
      </c>
      <c r="C609" s="2" t="s">
        <v>2533</v>
      </c>
      <c r="D609" s="2" t="s">
        <v>2528</v>
      </c>
      <c r="E609" s="2" t="s">
        <v>2529</v>
      </c>
      <c r="F609" s="3">
        <v>82511</v>
      </c>
      <c r="G609" s="3">
        <v>4275</v>
      </c>
      <c r="H609" s="3">
        <v>175</v>
      </c>
      <c r="I609" s="4">
        <v>4708.25</v>
      </c>
      <c r="J609" s="4">
        <v>3660.85</v>
      </c>
      <c r="K609" s="3">
        <v>132</v>
      </c>
      <c r="L609" s="2" t="s">
        <v>2539</v>
      </c>
      <c r="M609" s="2" t="s">
        <v>2546</v>
      </c>
      <c r="N609" s="6">
        <f t="shared" si="36"/>
        <v>1</v>
      </c>
      <c r="O609" t="str">
        <f>IF(Tabla_control[[#This Row],[Control_duplicados]]&gt;1,"Duplicado","Unico")</f>
        <v>Unico</v>
      </c>
      <c r="P609" t="str">
        <f t="shared" si="37"/>
        <v>OK</v>
      </c>
      <c r="Q609" t="str">
        <f t="shared" si="38"/>
        <v>OK</v>
      </c>
      <c r="R609" t="str">
        <f t="shared" si="39"/>
        <v>OK</v>
      </c>
    </row>
    <row r="610" spans="1:18" x14ac:dyDescent="0.3">
      <c r="A610" s="1">
        <v>45709</v>
      </c>
      <c r="B610" s="2" t="s">
        <v>2622</v>
      </c>
      <c r="C610" s="2" t="s">
        <v>2515</v>
      </c>
      <c r="D610" s="2" t="s">
        <v>2522</v>
      </c>
      <c r="E610" s="2" t="s">
        <v>2529</v>
      </c>
      <c r="F610" s="3">
        <v>144122</v>
      </c>
      <c r="G610" s="3">
        <v>4222</v>
      </c>
      <c r="H610" s="3">
        <v>167</v>
      </c>
      <c r="I610" s="4">
        <v>3146.15</v>
      </c>
      <c r="J610" s="4">
        <v>3272.92</v>
      </c>
      <c r="K610" s="3">
        <v>79</v>
      </c>
      <c r="L610" s="2" t="s">
        <v>2523</v>
      </c>
      <c r="M610" s="2" t="s">
        <v>2546</v>
      </c>
      <c r="N610" s="6">
        <f t="shared" si="36"/>
        <v>1</v>
      </c>
      <c r="O610" t="str">
        <f>IF(Tabla_control[[#This Row],[Control_duplicados]]&gt;1,"Duplicado","Unico")</f>
        <v>Unico</v>
      </c>
      <c r="P610" t="str">
        <f t="shared" si="37"/>
        <v>OK</v>
      </c>
      <c r="Q610" t="str">
        <f t="shared" si="38"/>
        <v>OK</v>
      </c>
      <c r="R610" t="str">
        <f t="shared" si="39"/>
        <v>OK</v>
      </c>
    </row>
    <row r="611" spans="1:18" x14ac:dyDescent="0.3">
      <c r="A611" s="1">
        <v>45772</v>
      </c>
      <c r="B611" s="2" t="s">
        <v>2619</v>
      </c>
      <c r="C611" s="2" t="s">
        <v>2533</v>
      </c>
      <c r="D611" s="2" t="s">
        <v>2522</v>
      </c>
      <c r="E611" s="2" t="s">
        <v>2517</v>
      </c>
      <c r="F611" s="3">
        <v>51124</v>
      </c>
      <c r="G611" s="3">
        <v>4044</v>
      </c>
      <c r="H611" s="3">
        <v>73</v>
      </c>
      <c r="I611" s="4">
        <v>1393.1</v>
      </c>
      <c r="J611" s="4">
        <v>12949.96</v>
      </c>
      <c r="K611" s="3">
        <v>55</v>
      </c>
      <c r="L611" s="2" t="s">
        <v>2539</v>
      </c>
      <c r="M611" s="2" t="s">
        <v>2526</v>
      </c>
      <c r="N611" s="6">
        <f t="shared" si="36"/>
        <v>1</v>
      </c>
      <c r="O611" t="str">
        <f>IF(Tabla_control[[#This Row],[Control_duplicados]]&gt;1,"Duplicado","Unico")</f>
        <v>Unico</v>
      </c>
      <c r="P611" t="str">
        <f t="shared" si="37"/>
        <v>OK</v>
      </c>
      <c r="Q611" t="str">
        <f t="shared" si="38"/>
        <v>OK</v>
      </c>
      <c r="R611" t="str">
        <f t="shared" si="39"/>
        <v>OK</v>
      </c>
    </row>
    <row r="612" spans="1:18" x14ac:dyDescent="0.3">
      <c r="A612" s="1">
        <v>45947</v>
      </c>
      <c r="B612" s="2" t="s">
        <v>2635</v>
      </c>
      <c r="C612" s="2" t="s">
        <v>2543</v>
      </c>
      <c r="D612" s="2" t="s">
        <v>2528</v>
      </c>
      <c r="E612" s="2" t="s">
        <v>2529</v>
      </c>
      <c r="F612" s="3">
        <v>113540</v>
      </c>
      <c r="G612" s="3">
        <v>6864</v>
      </c>
      <c r="H612" s="3">
        <v>215</v>
      </c>
      <c r="I612" s="4">
        <v>12385.04</v>
      </c>
      <c r="J612" s="4">
        <v>8141.21</v>
      </c>
      <c r="K612" s="3">
        <v>110</v>
      </c>
      <c r="L612" s="2" t="s">
        <v>2518</v>
      </c>
      <c r="M612" s="2" t="s">
        <v>2519</v>
      </c>
      <c r="N612" s="6">
        <f t="shared" si="36"/>
        <v>1</v>
      </c>
      <c r="O612" t="str">
        <f>IF(Tabla_control[[#This Row],[Control_duplicados]]&gt;1,"Duplicado","Unico")</f>
        <v>Unico</v>
      </c>
      <c r="P612" t="str">
        <f t="shared" si="37"/>
        <v>OK</v>
      </c>
      <c r="Q612" t="str">
        <f t="shared" si="38"/>
        <v>OK</v>
      </c>
      <c r="R612" t="str">
        <f t="shared" si="39"/>
        <v>OK</v>
      </c>
    </row>
    <row r="613" spans="1:18" x14ac:dyDescent="0.3">
      <c r="A613" s="1">
        <v>45794</v>
      </c>
      <c r="B613" s="2" t="s">
        <v>2630</v>
      </c>
      <c r="C613" s="2" t="s">
        <v>2543</v>
      </c>
      <c r="D613" s="2" t="s">
        <v>2522</v>
      </c>
      <c r="E613" s="2" t="s">
        <v>2517</v>
      </c>
      <c r="F613" s="3">
        <v>61818</v>
      </c>
      <c r="G613" s="3">
        <v>2591</v>
      </c>
      <c r="H613" s="3">
        <v>355</v>
      </c>
      <c r="I613" s="4">
        <v>2530.02</v>
      </c>
      <c r="J613" s="4">
        <v>69837.16</v>
      </c>
      <c r="K613" s="3">
        <v>180</v>
      </c>
      <c r="L613" s="2" t="s">
        <v>2539</v>
      </c>
      <c r="M613" s="2" t="s">
        <v>2519</v>
      </c>
      <c r="N613" s="6">
        <f t="shared" si="36"/>
        <v>1</v>
      </c>
      <c r="O613" t="str">
        <f>IF(Tabla_control[[#This Row],[Control_duplicados]]&gt;1,"Duplicado","Unico")</f>
        <v>Unico</v>
      </c>
      <c r="P613" t="str">
        <f t="shared" si="37"/>
        <v>OK</v>
      </c>
      <c r="Q613" t="str">
        <f t="shared" si="38"/>
        <v>OK</v>
      </c>
      <c r="R613" t="str">
        <f t="shared" si="39"/>
        <v>OK</v>
      </c>
    </row>
    <row r="614" spans="1:18" x14ac:dyDescent="0.3">
      <c r="A614" s="1">
        <v>45765</v>
      </c>
      <c r="B614" s="2" t="s">
        <v>2620</v>
      </c>
      <c r="C614" s="2" t="s">
        <v>2533</v>
      </c>
      <c r="D614" s="2" t="s">
        <v>2531</v>
      </c>
      <c r="E614" s="2" t="s">
        <v>2517</v>
      </c>
      <c r="F614" s="3">
        <v>55610</v>
      </c>
      <c r="G614" s="3">
        <v>1835</v>
      </c>
      <c r="H614" s="3">
        <v>153</v>
      </c>
      <c r="I614" s="4">
        <v>309.95999999999998</v>
      </c>
      <c r="J614" s="4">
        <v>14800.28</v>
      </c>
      <c r="K614" s="3">
        <v>93</v>
      </c>
      <c r="L614" s="2" t="s">
        <v>2523</v>
      </c>
      <c r="M614" s="2" t="s">
        <v>2519</v>
      </c>
      <c r="N614" s="6">
        <f t="shared" si="36"/>
        <v>1</v>
      </c>
      <c r="O614" t="str">
        <f>IF(Tabla_control[[#This Row],[Control_duplicados]]&gt;1,"Duplicado","Unico")</f>
        <v>Unico</v>
      </c>
      <c r="P614" t="str">
        <f t="shared" si="37"/>
        <v>OK</v>
      </c>
      <c r="Q614" t="str">
        <f t="shared" si="38"/>
        <v>OK</v>
      </c>
      <c r="R614" t="str">
        <f t="shared" si="39"/>
        <v>OK</v>
      </c>
    </row>
    <row r="615" spans="1:18" x14ac:dyDescent="0.3">
      <c r="A615" s="1">
        <v>46000</v>
      </c>
      <c r="B615" s="2" t="s">
        <v>2629</v>
      </c>
      <c r="C615" s="2" t="s">
        <v>2541</v>
      </c>
      <c r="D615" s="2" t="s">
        <v>2528</v>
      </c>
      <c r="E615" s="2" t="s">
        <v>2529</v>
      </c>
      <c r="F615" s="3">
        <v>78787</v>
      </c>
      <c r="G615" s="3">
        <v>5643</v>
      </c>
      <c r="H615" s="3">
        <v>396</v>
      </c>
      <c r="I615" s="4">
        <v>9196.9599999999991</v>
      </c>
      <c r="J615" s="4">
        <v>58416.36</v>
      </c>
      <c r="K615" s="3">
        <v>192</v>
      </c>
      <c r="L615" s="2" t="s">
        <v>2536</v>
      </c>
      <c r="M615" s="2" t="s">
        <v>2537</v>
      </c>
      <c r="N615" s="6">
        <f t="shared" si="36"/>
        <v>1</v>
      </c>
      <c r="O615" t="str">
        <f>IF(Tabla_control[[#This Row],[Control_duplicados]]&gt;1,"Duplicado","Unico")</f>
        <v>Unico</v>
      </c>
      <c r="P615" t="str">
        <f t="shared" si="37"/>
        <v>OK</v>
      </c>
      <c r="Q615" t="str">
        <f t="shared" si="38"/>
        <v>OK</v>
      </c>
      <c r="R615" t="str">
        <f t="shared" si="39"/>
        <v>OK</v>
      </c>
    </row>
    <row r="616" spans="1:18" x14ac:dyDescent="0.3">
      <c r="A616" s="1">
        <v>45806</v>
      </c>
      <c r="B616" s="2" t="s">
        <v>2638</v>
      </c>
      <c r="C616" s="2" t="s">
        <v>2515</v>
      </c>
      <c r="D616" s="2" t="s">
        <v>2528</v>
      </c>
      <c r="E616" s="2" t="s">
        <v>2517</v>
      </c>
      <c r="F616" s="3">
        <v>175408</v>
      </c>
      <c r="G616" s="3">
        <v>7460</v>
      </c>
      <c r="H616" s="3">
        <v>64</v>
      </c>
      <c r="I616" s="4">
        <v>12076.65</v>
      </c>
      <c r="J616" s="4">
        <v>4497</v>
      </c>
      <c r="K616" s="3">
        <v>37</v>
      </c>
      <c r="L616" s="2" t="s">
        <v>2536</v>
      </c>
      <c r="M616" s="2" t="s">
        <v>2526</v>
      </c>
      <c r="N616" s="6">
        <f t="shared" si="36"/>
        <v>1</v>
      </c>
      <c r="O616" t="str">
        <f>IF(Tabla_control[[#This Row],[Control_duplicados]]&gt;1,"Duplicado","Unico")</f>
        <v>Unico</v>
      </c>
      <c r="P616" t="str">
        <f t="shared" si="37"/>
        <v>OK</v>
      </c>
      <c r="Q616" t="str">
        <f t="shared" si="38"/>
        <v>OK</v>
      </c>
      <c r="R616" t="str">
        <f t="shared" si="39"/>
        <v>OK</v>
      </c>
    </row>
    <row r="617" spans="1:18" x14ac:dyDescent="0.3">
      <c r="A617" s="1">
        <v>45983</v>
      </c>
      <c r="B617" s="2" t="s">
        <v>2632</v>
      </c>
      <c r="C617" s="2" t="s">
        <v>2527</v>
      </c>
      <c r="D617" s="2" t="s">
        <v>2528</v>
      </c>
      <c r="E617" s="2" t="s">
        <v>2529</v>
      </c>
      <c r="F617" s="3">
        <v>6662</v>
      </c>
      <c r="G617" s="3">
        <v>342</v>
      </c>
      <c r="H617" s="3">
        <v>27</v>
      </c>
      <c r="I617" s="4">
        <v>476.43</v>
      </c>
      <c r="J617" s="4">
        <v>868.82</v>
      </c>
      <c r="K617" s="3">
        <v>13</v>
      </c>
      <c r="L617" s="2" t="s">
        <v>2518</v>
      </c>
      <c r="M617" s="2" t="s">
        <v>2519</v>
      </c>
      <c r="N617" s="6">
        <f t="shared" si="36"/>
        <v>1</v>
      </c>
      <c r="O617" t="str">
        <f>IF(Tabla_control[[#This Row],[Control_duplicados]]&gt;1,"Duplicado","Unico")</f>
        <v>Unico</v>
      </c>
      <c r="P617" t="str">
        <f t="shared" si="37"/>
        <v>OK</v>
      </c>
      <c r="Q617" t="str">
        <f t="shared" si="38"/>
        <v>OK</v>
      </c>
      <c r="R617" t="str">
        <f t="shared" si="39"/>
        <v>OK</v>
      </c>
    </row>
    <row r="618" spans="1:18" x14ac:dyDescent="0.3">
      <c r="A618" s="1">
        <v>45958</v>
      </c>
      <c r="B618" s="2" t="s">
        <v>2638</v>
      </c>
      <c r="C618" s="2" t="s">
        <v>2543</v>
      </c>
      <c r="D618" s="2" t="s">
        <v>2528</v>
      </c>
      <c r="E618" s="2" t="s">
        <v>2517</v>
      </c>
      <c r="F618" s="3">
        <v>19363</v>
      </c>
      <c r="G618" s="3">
        <v>1014</v>
      </c>
      <c r="H618" s="3">
        <v>27</v>
      </c>
      <c r="I618" s="4">
        <v>1853.9</v>
      </c>
      <c r="J618" s="4">
        <v>469.8</v>
      </c>
      <c r="K618" s="3">
        <v>16</v>
      </c>
      <c r="L618" s="2" t="s">
        <v>2523</v>
      </c>
      <c r="M618" s="2" t="s">
        <v>2524</v>
      </c>
      <c r="N618" s="6">
        <f t="shared" si="36"/>
        <v>1</v>
      </c>
      <c r="O618" t="str">
        <f>IF(Tabla_control[[#This Row],[Control_duplicados]]&gt;1,"Duplicado","Unico")</f>
        <v>Unico</v>
      </c>
      <c r="P618" t="str">
        <f t="shared" si="37"/>
        <v>OK</v>
      </c>
      <c r="Q618" t="str">
        <f t="shared" si="38"/>
        <v>OK</v>
      </c>
      <c r="R618" t="str">
        <f t="shared" si="39"/>
        <v>OK</v>
      </c>
    </row>
    <row r="619" spans="1:18" x14ac:dyDescent="0.3">
      <c r="A619" s="1">
        <v>45912</v>
      </c>
      <c r="B619" s="2" t="s">
        <v>2629</v>
      </c>
      <c r="C619" s="2" t="s">
        <v>2543</v>
      </c>
      <c r="D619" s="2" t="s">
        <v>2525</v>
      </c>
      <c r="E619" s="2" t="s">
        <v>2529</v>
      </c>
      <c r="F619" s="3">
        <v>125538</v>
      </c>
      <c r="G619" s="3">
        <v>7116</v>
      </c>
      <c r="H619" s="3">
        <v>419</v>
      </c>
      <c r="I619" s="4">
        <v>13150.3</v>
      </c>
      <c r="J619" s="4">
        <v>74135.75</v>
      </c>
      <c r="K619" s="3">
        <v>290</v>
      </c>
      <c r="L619" s="2" t="s">
        <v>2536</v>
      </c>
      <c r="M619" s="2" t="s">
        <v>2519</v>
      </c>
      <c r="N619" s="6">
        <f t="shared" si="36"/>
        <v>1</v>
      </c>
      <c r="O619" t="str">
        <f>IF(Tabla_control[[#This Row],[Control_duplicados]]&gt;1,"Duplicado","Unico")</f>
        <v>Unico</v>
      </c>
      <c r="P619" t="str">
        <f t="shared" si="37"/>
        <v>OK</v>
      </c>
      <c r="Q619" t="str">
        <f t="shared" si="38"/>
        <v>OK</v>
      </c>
      <c r="R619" t="str">
        <f t="shared" si="39"/>
        <v>OK</v>
      </c>
    </row>
    <row r="620" spans="1:18" x14ac:dyDescent="0.3">
      <c r="A620" s="1">
        <v>45706</v>
      </c>
      <c r="B620" s="2" t="s">
        <v>2616</v>
      </c>
      <c r="C620" s="2" t="s">
        <v>2543</v>
      </c>
      <c r="D620" s="2" t="s">
        <v>2528</v>
      </c>
      <c r="E620" s="2" t="s">
        <v>2534</v>
      </c>
      <c r="F620" s="3">
        <v>114654</v>
      </c>
      <c r="G620" s="3">
        <v>541</v>
      </c>
      <c r="H620" s="3">
        <v>65</v>
      </c>
      <c r="I620" s="4">
        <v>307.39999999999998</v>
      </c>
      <c r="J620" s="4">
        <v>10923.9</v>
      </c>
      <c r="K620" s="3">
        <v>53</v>
      </c>
      <c r="L620" s="2" t="s">
        <v>2539</v>
      </c>
      <c r="M620" s="2" t="s">
        <v>2546</v>
      </c>
      <c r="N620" s="6">
        <f t="shared" si="36"/>
        <v>1</v>
      </c>
      <c r="O620" t="str">
        <f>IF(Tabla_control[[#This Row],[Control_duplicados]]&gt;1,"Duplicado","Unico")</f>
        <v>Unico</v>
      </c>
      <c r="P620" t="str">
        <f t="shared" si="37"/>
        <v>OK</v>
      </c>
      <c r="Q620" t="str">
        <f t="shared" si="38"/>
        <v>OK</v>
      </c>
      <c r="R620" t="str">
        <f t="shared" si="39"/>
        <v>OK</v>
      </c>
    </row>
    <row r="621" spans="1:18" x14ac:dyDescent="0.3">
      <c r="A621" s="1">
        <v>45682</v>
      </c>
      <c r="B621" s="2" t="s">
        <v>2618</v>
      </c>
      <c r="C621" s="2" t="s">
        <v>2527</v>
      </c>
      <c r="D621" s="2" t="s">
        <v>2528</v>
      </c>
      <c r="E621" s="2" t="s">
        <v>2517</v>
      </c>
      <c r="F621" s="3">
        <v>61626</v>
      </c>
      <c r="G621" s="3">
        <v>3327</v>
      </c>
      <c r="H621" s="3">
        <v>336</v>
      </c>
      <c r="I621" s="4">
        <v>6464.39</v>
      </c>
      <c r="J621" s="4">
        <v>68355.5</v>
      </c>
      <c r="K621" s="3">
        <v>206</v>
      </c>
      <c r="L621" s="2" t="s">
        <v>2536</v>
      </c>
      <c r="M621" s="2" t="s">
        <v>2519</v>
      </c>
      <c r="N621" s="6">
        <f t="shared" si="36"/>
        <v>1</v>
      </c>
      <c r="O621" t="str">
        <f>IF(Tabla_control[[#This Row],[Control_duplicados]]&gt;1,"Duplicado","Unico")</f>
        <v>Unico</v>
      </c>
      <c r="P621" t="str">
        <f t="shared" si="37"/>
        <v>OK</v>
      </c>
      <c r="Q621" t="str">
        <f t="shared" si="38"/>
        <v>OK</v>
      </c>
      <c r="R621" t="str">
        <f t="shared" si="39"/>
        <v>OK</v>
      </c>
    </row>
    <row r="622" spans="1:18" x14ac:dyDescent="0.3">
      <c r="A622" s="1">
        <v>45964</v>
      </c>
      <c r="B622" s="2" t="s">
        <v>2623</v>
      </c>
      <c r="C622" s="2" t="s">
        <v>2541</v>
      </c>
      <c r="D622" s="2" t="s">
        <v>2516</v>
      </c>
      <c r="E622" s="2" t="s">
        <v>2529</v>
      </c>
      <c r="F622" s="3">
        <v>105283</v>
      </c>
      <c r="G622" s="3">
        <v>1239</v>
      </c>
      <c r="H622" s="3">
        <v>103</v>
      </c>
      <c r="I622" s="4">
        <v>1107.5</v>
      </c>
      <c r="J622" s="4">
        <v>4977.37</v>
      </c>
      <c r="K622" s="3">
        <v>71</v>
      </c>
      <c r="L622" s="2" t="s">
        <v>2518</v>
      </c>
      <c r="M622" s="2" t="s">
        <v>2526</v>
      </c>
      <c r="N622" s="6">
        <f t="shared" si="36"/>
        <v>1</v>
      </c>
      <c r="O622" t="str">
        <f>IF(Tabla_control[[#This Row],[Control_duplicados]]&gt;1,"Duplicado","Unico")</f>
        <v>Unico</v>
      </c>
      <c r="P622" t="str">
        <f t="shared" si="37"/>
        <v>OK</v>
      </c>
      <c r="Q622" t="str">
        <f t="shared" si="38"/>
        <v>OK</v>
      </c>
      <c r="R622" t="str">
        <f t="shared" si="39"/>
        <v>OK</v>
      </c>
    </row>
    <row r="623" spans="1:18" x14ac:dyDescent="0.3">
      <c r="A623" s="1">
        <v>45849</v>
      </c>
      <c r="B623" s="2" t="s">
        <v>2634</v>
      </c>
      <c r="C623" s="2" t="s">
        <v>2543</v>
      </c>
      <c r="D623" s="2" t="s">
        <v>2522</v>
      </c>
      <c r="E623" s="2" t="s">
        <v>2517</v>
      </c>
      <c r="F623" s="3">
        <v>74520</v>
      </c>
      <c r="G623" s="3">
        <v>5946</v>
      </c>
      <c r="H623" s="3">
        <v>653</v>
      </c>
      <c r="I623" s="4">
        <v>2725.42</v>
      </c>
      <c r="J623" s="4">
        <v>137235.64000000001</v>
      </c>
      <c r="K623" s="3">
        <v>561</v>
      </c>
      <c r="L623" s="2" t="s">
        <v>2539</v>
      </c>
      <c r="M623" s="2" t="s">
        <v>2519</v>
      </c>
      <c r="N623" s="6">
        <f t="shared" si="36"/>
        <v>1</v>
      </c>
      <c r="O623" t="str">
        <f>IF(Tabla_control[[#This Row],[Control_duplicados]]&gt;1,"Duplicado","Unico")</f>
        <v>Unico</v>
      </c>
      <c r="P623" t="str">
        <f t="shared" si="37"/>
        <v>OK</v>
      </c>
      <c r="Q623" t="str">
        <f t="shared" si="38"/>
        <v>OK</v>
      </c>
      <c r="R623" t="str">
        <f t="shared" si="39"/>
        <v>OK</v>
      </c>
    </row>
    <row r="624" spans="1:18" x14ac:dyDescent="0.3">
      <c r="A624" s="1">
        <v>45858</v>
      </c>
      <c r="B624" s="2" t="s">
        <v>2633</v>
      </c>
      <c r="C624" s="2" t="s">
        <v>2543</v>
      </c>
      <c r="D624" s="2" t="s">
        <v>2531</v>
      </c>
      <c r="E624" s="2" t="s">
        <v>2529</v>
      </c>
      <c r="F624" s="3">
        <v>1980</v>
      </c>
      <c r="G624" s="3">
        <v>22</v>
      </c>
      <c r="H624" s="3">
        <v>2</v>
      </c>
      <c r="I624" s="4">
        <v>3.12</v>
      </c>
      <c r="J624" s="4">
        <v>343.43</v>
      </c>
      <c r="K624" s="3">
        <v>1</v>
      </c>
      <c r="L624" s="2" t="s">
        <v>2518</v>
      </c>
      <c r="M624" s="2" t="s">
        <v>2526</v>
      </c>
      <c r="N624" s="6">
        <f t="shared" si="36"/>
        <v>1</v>
      </c>
      <c r="O624" t="str">
        <f>IF(Tabla_control[[#This Row],[Control_duplicados]]&gt;1,"Duplicado","Unico")</f>
        <v>Unico</v>
      </c>
      <c r="P624" t="str">
        <f t="shared" si="37"/>
        <v>OK</v>
      </c>
      <c r="Q624" t="str">
        <f t="shared" si="38"/>
        <v>OK</v>
      </c>
      <c r="R624" t="str">
        <f t="shared" si="39"/>
        <v>OK</v>
      </c>
    </row>
    <row r="625" spans="1:18" x14ac:dyDescent="0.3">
      <c r="A625" s="1">
        <v>45846</v>
      </c>
      <c r="B625" s="2" t="s">
        <v>2628</v>
      </c>
      <c r="C625" s="2" t="s">
        <v>2541</v>
      </c>
      <c r="D625" s="2" t="s">
        <v>2525</v>
      </c>
      <c r="E625" s="2" t="s">
        <v>2529</v>
      </c>
      <c r="F625" s="3">
        <v>66873</v>
      </c>
      <c r="G625" s="3">
        <v>1049</v>
      </c>
      <c r="H625" s="3">
        <v>101</v>
      </c>
      <c r="I625" s="4">
        <v>1738.74</v>
      </c>
      <c r="J625" s="4">
        <v>16691.240000000002</v>
      </c>
      <c r="K625" s="3">
        <v>83</v>
      </c>
      <c r="L625" s="2" t="s">
        <v>2523</v>
      </c>
      <c r="M625" s="2" t="s">
        <v>2524</v>
      </c>
      <c r="N625" s="6">
        <f t="shared" si="36"/>
        <v>1</v>
      </c>
      <c r="O625" t="str">
        <f>IF(Tabla_control[[#This Row],[Control_duplicados]]&gt;1,"Duplicado","Unico")</f>
        <v>Unico</v>
      </c>
      <c r="P625" t="str">
        <f t="shared" si="37"/>
        <v>OK</v>
      </c>
      <c r="Q625" t="str">
        <f t="shared" si="38"/>
        <v>OK</v>
      </c>
      <c r="R625" t="str">
        <f t="shared" si="39"/>
        <v>OK</v>
      </c>
    </row>
    <row r="626" spans="1:18" x14ac:dyDescent="0.3">
      <c r="A626" s="1">
        <v>45715</v>
      </c>
      <c r="B626" s="2" t="s">
        <v>2630</v>
      </c>
      <c r="C626" s="2" t="s">
        <v>2543</v>
      </c>
      <c r="D626" s="2" t="s">
        <v>2528</v>
      </c>
      <c r="E626" s="2" t="s">
        <v>2529</v>
      </c>
      <c r="F626" s="3">
        <v>137541</v>
      </c>
      <c r="G626" s="3">
        <v>5636</v>
      </c>
      <c r="H626" s="3">
        <v>273</v>
      </c>
      <c r="I626" s="4">
        <v>3413.76</v>
      </c>
      <c r="J626" s="4">
        <v>28266.14</v>
      </c>
      <c r="K626" s="3">
        <v>135</v>
      </c>
      <c r="L626" s="2" t="s">
        <v>2523</v>
      </c>
      <c r="M626" s="2" t="s">
        <v>2546</v>
      </c>
      <c r="N626" s="6">
        <f t="shared" si="36"/>
        <v>1</v>
      </c>
      <c r="O626" t="str">
        <f>IF(Tabla_control[[#This Row],[Control_duplicados]]&gt;1,"Duplicado","Unico")</f>
        <v>Unico</v>
      </c>
      <c r="P626" t="str">
        <f t="shared" si="37"/>
        <v>OK</v>
      </c>
      <c r="Q626" t="str">
        <f t="shared" si="38"/>
        <v>OK</v>
      </c>
      <c r="R626" t="str">
        <f t="shared" si="39"/>
        <v>OK</v>
      </c>
    </row>
    <row r="627" spans="1:18" x14ac:dyDescent="0.3">
      <c r="A627" s="1">
        <v>45863</v>
      </c>
      <c r="B627" s="2" t="s">
        <v>2634</v>
      </c>
      <c r="C627" s="2" t="s">
        <v>2527</v>
      </c>
      <c r="D627" s="2" t="s">
        <v>2522</v>
      </c>
      <c r="E627" s="2" t="s">
        <v>2517</v>
      </c>
      <c r="F627" s="3">
        <v>70688</v>
      </c>
      <c r="G627" s="3">
        <v>4949</v>
      </c>
      <c r="H627" s="3">
        <v>409</v>
      </c>
      <c r="I627" s="4">
        <v>3403.11</v>
      </c>
      <c r="J627" s="4">
        <v>53577.93</v>
      </c>
      <c r="K627" s="3">
        <v>210</v>
      </c>
      <c r="L627" s="2" t="s">
        <v>2536</v>
      </c>
      <c r="M627" s="2" t="s">
        <v>2519</v>
      </c>
      <c r="N627" s="6">
        <f t="shared" si="36"/>
        <v>1</v>
      </c>
      <c r="O627" t="str">
        <f>IF(Tabla_control[[#This Row],[Control_duplicados]]&gt;1,"Duplicado","Unico")</f>
        <v>Unico</v>
      </c>
      <c r="P627" t="str">
        <f t="shared" si="37"/>
        <v>OK</v>
      </c>
      <c r="Q627" t="str">
        <f t="shared" si="38"/>
        <v>OK</v>
      </c>
      <c r="R627" t="str">
        <f t="shared" si="39"/>
        <v>OK</v>
      </c>
    </row>
    <row r="628" spans="1:18" x14ac:dyDescent="0.3">
      <c r="A628" s="1">
        <v>45665</v>
      </c>
      <c r="B628" s="2" t="s">
        <v>2624</v>
      </c>
      <c r="C628" s="2" t="s">
        <v>2515</v>
      </c>
      <c r="D628" s="2" t="s">
        <v>2516</v>
      </c>
      <c r="E628" s="2" t="s">
        <v>2529</v>
      </c>
      <c r="F628" s="3">
        <v>172846</v>
      </c>
      <c r="G628" s="3">
        <v>6014</v>
      </c>
      <c r="H628" s="3">
        <v>704</v>
      </c>
      <c r="I628" s="4">
        <v>1463.73</v>
      </c>
      <c r="J628" s="4">
        <v>77483.72</v>
      </c>
      <c r="K628" s="3">
        <v>546</v>
      </c>
      <c r="L628" s="2" t="s">
        <v>2518</v>
      </c>
      <c r="M628" s="2" t="s">
        <v>2519</v>
      </c>
      <c r="N628" s="6">
        <f t="shared" si="36"/>
        <v>1</v>
      </c>
      <c r="O628" t="str">
        <f>IF(Tabla_control[[#This Row],[Control_duplicados]]&gt;1,"Duplicado","Unico")</f>
        <v>Unico</v>
      </c>
      <c r="P628" t="str">
        <f t="shared" si="37"/>
        <v>OK</v>
      </c>
      <c r="Q628" t="str">
        <f t="shared" si="38"/>
        <v>OK</v>
      </c>
      <c r="R628" t="str">
        <f t="shared" si="39"/>
        <v>OK</v>
      </c>
    </row>
    <row r="629" spans="1:18" x14ac:dyDescent="0.3">
      <c r="A629" s="1">
        <v>45865</v>
      </c>
      <c r="B629" s="2" t="s">
        <v>2637</v>
      </c>
      <c r="C629" s="2" t="s">
        <v>2521</v>
      </c>
      <c r="D629" s="2" t="s">
        <v>2525</v>
      </c>
      <c r="E629" s="2" t="s">
        <v>2529</v>
      </c>
      <c r="F629" s="3">
        <v>100849</v>
      </c>
      <c r="G629" s="3">
        <v>5626</v>
      </c>
      <c r="H629" s="3">
        <v>210</v>
      </c>
      <c r="I629" s="4">
        <v>2276.66</v>
      </c>
      <c r="J629" s="4">
        <v>16300.07</v>
      </c>
      <c r="K629" s="3">
        <v>111</v>
      </c>
      <c r="L629" s="2" t="s">
        <v>2523</v>
      </c>
      <c r="M629" s="2" t="s">
        <v>2519</v>
      </c>
      <c r="N629" s="6">
        <f t="shared" si="36"/>
        <v>2</v>
      </c>
      <c r="O629" t="str">
        <f>IF(Tabla_control[[#This Row],[Control_duplicados]]&gt;1,"Duplicado","Unico")</f>
        <v>Duplicado</v>
      </c>
      <c r="P629" t="str">
        <f t="shared" si="37"/>
        <v>OK</v>
      </c>
      <c r="Q629" t="str">
        <f t="shared" si="38"/>
        <v>OK</v>
      </c>
      <c r="R629" t="str">
        <f t="shared" si="39"/>
        <v>OK</v>
      </c>
    </row>
    <row r="630" spans="1:18" x14ac:dyDescent="0.3">
      <c r="A630" s="1">
        <v>45765</v>
      </c>
      <c r="B630" s="2" t="s">
        <v>2620</v>
      </c>
      <c r="C630" s="2" t="s">
        <v>2543</v>
      </c>
      <c r="D630" s="2" t="s">
        <v>2528</v>
      </c>
      <c r="E630" s="2" t="s">
        <v>2517</v>
      </c>
      <c r="F630" s="3">
        <v>102532</v>
      </c>
      <c r="G630" s="3">
        <v>9023</v>
      </c>
      <c r="H630" s="3">
        <v>958</v>
      </c>
      <c r="I630" s="4">
        <v>6462.89</v>
      </c>
      <c r="J630" s="4">
        <v>184870.89</v>
      </c>
      <c r="K630" s="3">
        <v>469</v>
      </c>
      <c r="L630" s="2" t="s">
        <v>2536</v>
      </c>
      <c r="M630" s="2" t="s">
        <v>2546</v>
      </c>
      <c r="N630" s="6">
        <f t="shared" si="36"/>
        <v>1</v>
      </c>
      <c r="O630" t="str">
        <f>IF(Tabla_control[[#This Row],[Control_duplicados]]&gt;1,"Duplicado","Unico")</f>
        <v>Unico</v>
      </c>
      <c r="P630" t="str">
        <f t="shared" si="37"/>
        <v>OK</v>
      </c>
      <c r="Q630" t="str">
        <f t="shared" si="38"/>
        <v>OK</v>
      </c>
      <c r="R630" t="str">
        <f t="shared" si="39"/>
        <v>OK</v>
      </c>
    </row>
    <row r="631" spans="1:18" x14ac:dyDescent="0.3">
      <c r="A631" s="1">
        <v>45863</v>
      </c>
      <c r="B631" s="2" t="s">
        <v>2619</v>
      </c>
      <c r="C631" s="2" t="s">
        <v>2541</v>
      </c>
      <c r="D631" s="2" t="s">
        <v>2528</v>
      </c>
      <c r="E631" s="2" t="s">
        <v>2529</v>
      </c>
      <c r="F631" s="3">
        <v>98413</v>
      </c>
      <c r="G631" s="3">
        <v>2172</v>
      </c>
      <c r="H631" s="3">
        <v>186</v>
      </c>
      <c r="I631" s="4">
        <v>905.11</v>
      </c>
      <c r="J631" s="4">
        <v>12273.46</v>
      </c>
      <c r="K631" s="3">
        <v>115</v>
      </c>
      <c r="L631" s="2" t="s">
        <v>2523</v>
      </c>
      <c r="M631" s="2" t="s">
        <v>2526</v>
      </c>
      <c r="N631" s="6">
        <f t="shared" si="36"/>
        <v>1</v>
      </c>
      <c r="O631" t="str">
        <f>IF(Tabla_control[[#This Row],[Control_duplicados]]&gt;1,"Duplicado","Unico")</f>
        <v>Unico</v>
      </c>
      <c r="P631" t="str">
        <f t="shared" si="37"/>
        <v>OK</v>
      </c>
      <c r="Q631" t="str">
        <f t="shared" si="38"/>
        <v>OK</v>
      </c>
      <c r="R631" t="str">
        <f t="shared" si="39"/>
        <v>OK</v>
      </c>
    </row>
    <row r="632" spans="1:18" x14ac:dyDescent="0.3">
      <c r="A632" s="1">
        <v>45963</v>
      </c>
      <c r="B632" s="2" t="s">
        <v>2624</v>
      </c>
      <c r="C632" s="2" t="s">
        <v>2521</v>
      </c>
      <c r="D632" s="2" t="s">
        <v>2516</v>
      </c>
      <c r="E632" s="2" t="s">
        <v>2529</v>
      </c>
      <c r="F632" s="3">
        <v>77029</v>
      </c>
      <c r="G632" s="3">
        <v>77272</v>
      </c>
      <c r="H632" s="3">
        <v>303</v>
      </c>
      <c r="I632" s="4">
        <v>5239.8900000000003</v>
      </c>
      <c r="J632" s="4">
        <v>12309.36</v>
      </c>
      <c r="K632" s="3">
        <v>204</v>
      </c>
      <c r="L632" s="2" t="s">
        <v>2518</v>
      </c>
      <c r="M632" s="2" t="s">
        <v>2537</v>
      </c>
      <c r="N632" s="6">
        <f t="shared" si="36"/>
        <v>1</v>
      </c>
      <c r="O632" t="str">
        <f>IF(Tabla_control[[#This Row],[Control_duplicados]]&gt;1,"Duplicado","Unico")</f>
        <v>Unico</v>
      </c>
      <c r="P632" t="str">
        <f t="shared" si="37"/>
        <v>OK</v>
      </c>
      <c r="Q632" t="str">
        <f t="shared" si="38"/>
        <v>OK</v>
      </c>
      <c r="R632" t="str">
        <f t="shared" si="39"/>
        <v>OK</v>
      </c>
    </row>
    <row r="633" spans="1:18" x14ac:dyDescent="0.3">
      <c r="A633" s="1">
        <v>45678</v>
      </c>
      <c r="B633" s="2" t="s">
        <v>2621</v>
      </c>
      <c r="C633" s="2" t="s">
        <v>2543</v>
      </c>
      <c r="D633" s="2" t="s">
        <v>2522</v>
      </c>
      <c r="E633" s="2" t="s">
        <v>2517</v>
      </c>
      <c r="F633" s="3">
        <v>50949</v>
      </c>
      <c r="G633" s="3">
        <v>2025</v>
      </c>
      <c r="H633" s="3">
        <v>69</v>
      </c>
      <c r="I633" s="4">
        <v>3336.51</v>
      </c>
      <c r="J633" s="4">
        <v>9142.67</v>
      </c>
      <c r="K633" s="3">
        <v>33</v>
      </c>
      <c r="L633" s="2" t="s">
        <v>2536</v>
      </c>
      <c r="M633" s="2" t="s">
        <v>2537</v>
      </c>
      <c r="N633" s="6">
        <f t="shared" si="36"/>
        <v>1</v>
      </c>
      <c r="O633" t="str">
        <f>IF(Tabla_control[[#This Row],[Control_duplicados]]&gt;1,"Duplicado","Unico")</f>
        <v>Unico</v>
      </c>
      <c r="P633" t="str">
        <f t="shared" si="37"/>
        <v>OK</v>
      </c>
      <c r="Q633" t="str">
        <f t="shared" si="38"/>
        <v>OK</v>
      </c>
      <c r="R633" t="str">
        <f t="shared" si="39"/>
        <v>OK</v>
      </c>
    </row>
    <row r="634" spans="1:18" x14ac:dyDescent="0.3">
      <c r="A634" s="1">
        <v>45661</v>
      </c>
      <c r="B634" s="2" t="s">
        <v>2626</v>
      </c>
      <c r="C634" s="2" t="s">
        <v>2521</v>
      </c>
      <c r="D634" s="2" t="s">
        <v>2531</v>
      </c>
      <c r="E634" s="2" t="s">
        <v>2534</v>
      </c>
      <c r="F634" s="3">
        <v>117222</v>
      </c>
      <c r="G634" s="3">
        <v>3792</v>
      </c>
      <c r="H634" s="3">
        <v>377</v>
      </c>
      <c r="I634" s="4">
        <v>4978.53</v>
      </c>
      <c r="J634" s="4">
        <v>54629.07</v>
      </c>
      <c r="K634" s="3">
        <v>232</v>
      </c>
      <c r="L634" s="2" t="s">
        <v>2536</v>
      </c>
      <c r="M634" s="2" t="s">
        <v>2519</v>
      </c>
      <c r="N634" s="6">
        <f t="shared" si="36"/>
        <v>1</v>
      </c>
      <c r="O634" t="str">
        <f>IF(Tabla_control[[#This Row],[Control_duplicados]]&gt;1,"Duplicado","Unico")</f>
        <v>Unico</v>
      </c>
      <c r="P634" t="str">
        <f t="shared" si="37"/>
        <v>OK</v>
      </c>
      <c r="Q634" t="str">
        <f t="shared" si="38"/>
        <v>OK</v>
      </c>
      <c r="R634" t="str">
        <f t="shared" si="39"/>
        <v>OK</v>
      </c>
    </row>
    <row r="635" spans="1:18" x14ac:dyDescent="0.3">
      <c r="A635" s="1">
        <v>45776</v>
      </c>
      <c r="B635" s="2" t="s">
        <v>2617</v>
      </c>
      <c r="C635" s="2" t="s">
        <v>2515</v>
      </c>
      <c r="D635" s="2" t="s">
        <v>2516</v>
      </c>
      <c r="E635" s="2" t="s">
        <v>2529</v>
      </c>
      <c r="F635" s="3">
        <v>9798</v>
      </c>
      <c r="G635" s="3">
        <v>405</v>
      </c>
      <c r="H635" s="3">
        <v>10</v>
      </c>
      <c r="I635" s="4">
        <v>509.77</v>
      </c>
      <c r="J635" s="4">
        <v>1018.24</v>
      </c>
      <c r="K635" s="3">
        <v>7</v>
      </c>
      <c r="L635" s="2" t="s">
        <v>2523</v>
      </c>
      <c r="M635" s="2" t="s">
        <v>2526</v>
      </c>
      <c r="N635" s="6">
        <f t="shared" si="36"/>
        <v>1</v>
      </c>
      <c r="O635" t="str">
        <f>IF(Tabla_control[[#This Row],[Control_duplicados]]&gt;1,"Duplicado","Unico")</f>
        <v>Unico</v>
      </c>
      <c r="P635" t="str">
        <f t="shared" si="37"/>
        <v>OK</v>
      </c>
      <c r="Q635" t="str">
        <f t="shared" si="38"/>
        <v>OK</v>
      </c>
      <c r="R635" t="str">
        <f t="shared" si="39"/>
        <v>OK</v>
      </c>
    </row>
    <row r="636" spans="1:18" x14ac:dyDescent="0.3">
      <c r="A636" s="1">
        <v>45848</v>
      </c>
      <c r="B636" s="2" t="s">
        <v>2628</v>
      </c>
      <c r="C636" s="2" t="s">
        <v>2527</v>
      </c>
      <c r="D636" s="2" t="s">
        <v>2528</v>
      </c>
      <c r="E636" s="2" t="s">
        <v>2534</v>
      </c>
      <c r="F636" s="3">
        <v>50433</v>
      </c>
      <c r="G636" s="3">
        <v>361</v>
      </c>
      <c r="H636" s="3">
        <v>31</v>
      </c>
      <c r="I636" s="4">
        <v>499.36</v>
      </c>
      <c r="J636" s="4">
        <v>4692.1000000000004</v>
      </c>
      <c r="K636" s="3">
        <v>15</v>
      </c>
      <c r="L636" s="2" t="s">
        <v>2539</v>
      </c>
      <c r="M636" s="2" t="s">
        <v>2546</v>
      </c>
      <c r="N636" s="6">
        <f t="shared" si="36"/>
        <v>1</v>
      </c>
      <c r="O636" t="str">
        <f>IF(Tabla_control[[#This Row],[Control_duplicados]]&gt;1,"Duplicado","Unico")</f>
        <v>Unico</v>
      </c>
      <c r="P636" t="str">
        <f t="shared" si="37"/>
        <v>OK</v>
      </c>
      <c r="Q636" t="str">
        <f t="shared" si="38"/>
        <v>OK</v>
      </c>
      <c r="R636" t="str">
        <f t="shared" si="39"/>
        <v>OK</v>
      </c>
    </row>
    <row r="637" spans="1:18" x14ac:dyDescent="0.3">
      <c r="A637" s="1">
        <v>45673</v>
      </c>
      <c r="B637" s="2" t="s">
        <v>2640</v>
      </c>
      <c r="C637" s="2" t="s">
        <v>2541</v>
      </c>
      <c r="D637" s="2" t="s">
        <v>2528</v>
      </c>
      <c r="E637" s="2" t="s">
        <v>2517</v>
      </c>
      <c r="F637" s="3">
        <v>91198</v>
      </c>
      <c r="G637" s="3">
        <v>1055</v>
      </c>
      <c r="H637" s="3">
        <v>107</v>
      </c>
      <c r="I637" s="4">
        <v>1102.57</v>
      </c>
      <c r="J637" s="4">
        <v>4468.3100000000004</v>
      </c>
      <c r="K637" s="3">
        <v>83</v>
      </c>
      <c r="L637" s="2" t="s">
        <v>2523</v>
      </c>
      <c r="M637" s="2" t="s">
        <v>2519</v>
      </c>
      <c r="N637" s="6">
        <f t="shared" si="36"/>
        <v>1</v>
      </c>
      <c r="O637" t="str">
        <f>IF(Tabla_control[[#This Row],[Control_duplicados]]&gt;1,"Duplicado","Unico")</f>
        <v>Unico</v>
      </c>
      <c r="P637" t="str">
        <f t="shared" si="37"/>
        <v>OK</v>
      </c>
      <c r="Q637" t="str">
        <f t="shared" si="38"/>
        <v>OK</v>
      </c>
      <c r="R637" t="str">
        <f t="shared" si="39"/>
        <v>OK</v>
      </c>
    </row>
    <row r="638" spans="1:18" x14ac:dyDescent="0.3">
      <c r="A638" s="1">
        <v>45977</v>
      </c>
      <c r="B638" s="2" t="s">
        <v>2623</v>
      </c>
      <c r="C638" s="2" t="s">
        <v>2521</v>
      </c>
      <c r="D638" s="2" t="s">
        <v>2528</v>
      </c>
      <c r="E638" s="2" t="s">
        <v>2529</v>
      </c>
      <c r="F638" s="3">
        <v>50931</v>
      </c>
      <c r="G638" s="3">
        <v>1955</v>
      </c>
      <c r="H638" s="3">
        <v>166</v>
      </c>
      <c r="I638" s="4">
        <v>3380.33</v>
      </c>
      <c r="J638" s="4">
        <v>28495.71</v>
      </c>
      <c r="K638" s="3">
        <v>101</v>
      </c>
      <c r="L638" s="2" t="s">
        <v>2536</v>
      </c>
      <c r="M638" s="2" t="s">
        <v>2524</v>
      </c>
      <c r="N638" s="6">
        <f t="shared" si="36"/>
        <v>1</v>
      </c>
      <c r="O638" t="str">
        <f>IF(Tabla_control[[#This Row],[Control_duplicados]]&gt;1,"Duplicado","Unico")</f>
        <v>Unico</v>
      </c>
      <c r="P638" t="str">
        <f t="shared" si="37"/>
        <v>OK</v>
      </c>
      <c r="Q638" t="str">
        <f t="shared" si="38"/>
        <v>OK</v>
      </c>
      <c r="R638" t="str">
        <f t="shared" si="39"/>
        <v>OK</v>
      </c>
    </row>
    <row r="639" spans="1:18" x14ac:dyDescent="0.3">
      <c r="A639" s="1">
        <v>45673</v>
      </c>
      <c r="B639" s="2" t="s">
        <v>2634</v>
      </c>
      <c r="C639" s="2" t="s">
        <v>2541</v>
      </c>
      <c r="D639" s="2" t="s">
        <v>2528</v>
      </c>
      <c r="E639" s="2" t="s">
        <v>2529</v>
      </c>
      <c r="F639" s="3">
        <v>131451</v>
      </c>
      <c r="G639" s="3">
        <v>10842</v>
      </c>
      <c r="H639" s="3">
        <v>1200</v>
      </c>
      <c r="I639" s="4">
        <v>22247.11</v>
      </c>
      <c r="J639" s="4">
        <v>246975.73</v>
      </c>
      <c r="K639" s="3">
        <v>947</v>
      </c>
      <c r="L639" s="2" t="s">
        <v>2518</v>
      </c>
      <c r="M639" s="2" t="s">
        <v>2546</v>
      </c>
      <c r="N639" s="6">
        <f t="shared" si="36"/>
        <v>1</v>
      </c>
      <c r="O639" t="str">
        <f>IF(Tabla_control[[#This Row],[Control_duplicados]]&gt;1,"Duplicado","Unico")</f>
        <v>Unico</v>
      </c>
      <c r="P639" t="str">
        <f t="shared" si="37"/>
        <v>OK</v>
      </c>
      <c r="Q639" t="str">
        <f t="shared" si="38"/>
        <v>OK</v>
      </c>
      <c r="R639" t="str">
        <f t="shared" si="39"/>
        <v>OK</v>
      </c>
    </row>
    <row r="640" spans="1:18" x14ac:dyDescent="0.3">
      <c r="A640" s="1">
        <v>45933</v>
      </c>
      <c r="B640" s="2" t="s">
        <v>2619</v>
      </c>
      <c r="C640" s="2" t="s">
        <v>2521</v>
      </c>
      <c r="D640" s="2" t="s">
        <v>2516</v>
      </c>
      <c r="E640" s="2" t="s">
        <v>2529</v>
      </c>
      <c r="F640" s="3">
        <v>133990</v>
      </c>
      <c r="G640" s="3">
        <v>1889</v>
      </c>
      <c r="H640" s="3">
        <v>31</v>
      </c>
      <c r="I640" s="4">
        <v>2510.4499999999998</v>
      </c>
      <c r="J640" s="4">
        <v>2879.75</v>
      </c>
      <c r="K640" s="3">
        <v>21</v>
      </c>
      <c r="L640" s="2" t="s">
        <v>2536</v>
      </c>
      <c r="M640" s="2" t="s">
        <v>2524</v>
      </c>
      <c r="N640" s="6">
        <f t="shared" si="36"/>
        <v>1</v>
      </c>
      <c r="O640" t="str">
        <f>IF(Tabla_control[[#This Row],[Control_duplicados]]&gt;1,"Duplicado","Unico")</f>
        <v>Unico</v>
      </c>
      <c r="P640" t="str">
        <f t="shared" si="37"/>
        <v>OK</v>
      </c>
      <c r="Q640" t="str">
        <f t="shared" si="38"/>
        <v>OK</v>
      </c>
      <c r="R640" t="str">
        <f t="shared" si="39"/>
        <v>OK</v>
      </c>
    </row>
    <row r="641" spans="1:18" x14ac:dyDescent="0.3">
      <c r="A641" s="1">
        <v>45782</v>
      </c>
      <c r="B641" s="2" t="s">
        <v>2636</v>
      </c>
      <c r="C641" s="2" t="s">
        <v>2541</v>
      </c>
      <c r="D641" s="2" t="s">
        <v>2528</v>
      </c>
      <c r="E641" s="2" t="s">
        <v>2529</v>
      </c>
      <c r="F641" s="3">
        <v>58227</v>
      </c>
      <c r="G641" s="3">
        <v>1929</v>
      </c>
      <c r="H641" s="3">
        <v>123</v>
      </c>
      <c r="I641" s="4">
        <v>3435.75</v>
      </c>
      <c r="J641" s="4">
        <v>8008.73</v>
      </c>
      <c r="K641" s="3">
        <v>60</v>
      </c>
      <c r="L641" s="2" t="s">
        <v>2518</v>
      </c>
      <c r="M641" s="2" t="s">
        <v>2546</v>
      </c>
      <c r="N641" s="6">
        <f t="shared" si="36"/>
        <v>1</v>
      </c>
      <c r="O641" t="str">
        <f>IF(Tabla_control[[#This Row],[Control_duplicados]]&gt;1,"Duplicado","Unico")</f>
        <v>Unico</v>
      </c>
      <c r="P641" t="str">
        <f t="shared" si="37"/>
        <v>OK</v>
      </c>
      <c r="Q641" t="str">
        <f t="shared" si="38"/>
        <v>OK</v>
      </c>
      <c r="R641" t="str">
        <f t="shared" si="39"/>
        <v>OK</v>
      </c>
    </row>
    <row r="642" spans="1:18" x14ac:dyDescent="0.3">
      <c r="A642" s="1">
        <v>45886</v>
      </c>
      <c r="B642" s="2" t="s">
        <v>2628</v>
      </c>
      <c r="C642" s="2" t="s">
        <v>2533</v>
      </c>
      <c r="D642" s="2" t="s">
        <v>2528</v>
      </c>
      <c r="E642" s="2" t="s">
        <v>2517</v>
      </c>
      <c r="F642" s="3">
        <v>81114</v>
      </c>
      <c r="G642" s="3">
        <v>1267</v>
      </c>
      <c r="H642" s="3">
        <v>46</v>
      </c>
      <c r="I642" s="4">
        <v>2487.8000000000002</v>
      </c>
      <c r="J642" s="4">
        <v>1800.26</v>
      </c>
      <c r="K642" s="3">
        <v>40</v>
      </c>
      <c r="L642" s="2" t="s">
        <v>2539</v>
      </c>
      <c r="M642" s="2" t="s">
        <v>2537</v>
      </c>
      <c r="N642" s="6">
        <f t="shared" ref="N642:N705" si="40">COUNTIFS($A$2:$A$2536,A642,$B$2:$B$2536,B642,$C$2:$C$2536,C642,$D$2:$D$2536,D642,$E$2:$E$2536,E642,$F$2:$F$2536,F642,$G$2:$G$2536,G642,$H$2:$H$2536,H642,$I$2:$I$2536,I642,$J$2:$J$2536,J642,$K$2:$K$2536,K642,$L$2:$L$2536,L642,$M$2:$M$2536,M642)</f>
        <v>1</v>
      </c>
      <c r="O642" t="str">
        <f>IF(Tabla_control[[#This Row],[Control_duplicados]]&gt;1,"Duplicado","Unico")</f>
        <v>Unico</v>
      </c>
      <c r="P642" t="str">
        <f t="shared" ref="P642:P705" si="41">IF(OR(I642="",I642&lt;0),"ERROR","OK")</f>
        <v>OK</v>
      </c>
      <c r="Q642" t="str">
        <f t="shared" ref="Q642:Q705" si="42">IF(H642&gt;F642,"ERROR","OK")</f>
        <v>OK</v>
      </c>
      <c r="R642" t="str">
        <f t="shared" ref="R642:R705" si="43">IF(K642&gt;H642,"ERROR","OK")</f>
        <v>OK</v>
      </c>
    </row>
    <row r="643" spans="1:18" x14ac:dyDescent="0.3">
      <c r="A643" s="1">
        <v>45659</v>
      </c>
      <c r="B643" s="2" t="s">
        <v>2635</v>
      </c>
      <c r="C643" s="2" t="s">
        <v>2533</v>
      </c>
      <c r="D643" s="2" t="s">
        <v>2528</v>
      </c>
      <c r="E643" s="2" t="s">
        <v>2517</v>
      </c>
      <c r="F643" s="3">
        <v>149481</v>
      </c>
      <c r="G643" s="3">
        <v>12168</v>
      </c>
      <c r="H643" s="3">
        <v>743</v>
      </c>
      <c r="I643" s="4">
        <v>14646.37</v>
      </c>
      <c r="J643" s="4">
        <v>91148.79</v>
      </c>
      <c r="K643" s="3">
        <v>633</v>
      </c>
      <c r="L643" s="2" t="s">
        <v>2539</v>
      </c>
      <c r="M643" s="2" t="s">
        <v>2524</v>
      </c>
      <c r="N643" s="6">
        <f t="shared" si="40"/>
        <v>1</v>
      </c>
      <c r="O643" t="str">
        <f>IF(Tabla_control[[#This Row],[Control_duplicados]]&gt;1,"Duplicado","Unico")</f>
        <v>Unico</v>
      </c>
      <c r="P643" t="str">
        <f t="shared" si="41"/>
        <v>OK</v>
      </c>
      <c r="Q643" t="str">
        <f t="shared" si="42"/>
        <v>OK</v>
      </c>
      <c r="R643" t="str">
        <f t="shared" si="43"/>
        <v>OK</v>
      </c>
    </row>
    <row r="644" spans="1:18" x14ac:dyDescent="0.3">
      <c r="A644" s="1">
        <v>45811</v>
      </c>
      <c r="B644" s="2" t="s">
        <v>2624</v>
      </c>
      <c r="C644" s="2" t="s">
        <v>2515</v>
      </c>
      <c r="D644" s="2" t="s">
        <v>2528</v>
      </c>
      <c r="E644" s="2" t="s">
        <v>2517</v>
      </c>
      <c r="F644" s="3">
        <v>33648</v>
      </c>
      <c r="G644" s="3">
        <v>456</v>
      </c>
      <c r="H644" s="3">
        <v>41</v>
      </c>
      <c r="I644" s="4">
        <v>603.47</v>
      </c>
      <c r="J644" s="4">
        <v>1694.01</v>
      </c>
      <c r="K644" s="3">
        <v>28</v>
      </c>
      <c r="L644" s="2" t="s">
        <v>2523</v>
      </c>
      <c r="M644" s="2" t="s">
        <v>2537</v>
      </c>
      <c r="N644" s="6">
        <f t="shared" si="40"/>
        <v>1</v>
      </c>
      <c r="O644" t="str">
        <f>IF(Tabla_control[[#This Row],[Control_duplicados]]&gt;1,"Duplicado","Unico")</f>
        <v>Unico</v>
      </c>
      <c r="P644" t="str">
        <f t="shared" si="41"/>
        <v>OK</v>
      </c>
      <c r="Q644" t="str">
        <f t="shared" si="42"/>
        <v>OK</v>
      </c>
      <c r="R644" t="str">
        <f t="shared" si="43"/>
        <v>OK</v>
      </c>
    </row>
    <row r="645" spans="1:18" x14ac:dyDescent="0.3">
      <c r="A645" s="1">
        <v>45746</v>
      </c>
      <c r="B645" s="2" t="s">
        <v>2627</v>
      </c>
      <c r="C645" s="2" t="s">
        <v>2543</v>
      </c>
      <c r="D645" s="2" t="s">
        <v>2522</v>
      </c>
      <c r="E645" s="2" t="s">
        <v>2529</v>
      </c>
      <c r="F645" s="3">
        <v>53021</v>
      </c>
      <c r="G645" s="3">
        <v>431</v>
      </c>
      <c r="H645" s="3">
        <v>38</v>
      </c>
      <c r="I645" s="4">
        <v>247.25</v>
      </c>
      <c r="J645" s="4">
        <v>1076.1300000000001</v>
      </c>
      <c r="K645" s="3">
        <v>26</v>
      </c>
      <c r="L645" s="2" t="s">
        <v>2539</v>
      </c>
      <c r="M645" s="2" t="s">
        <v>2526</v>
      </c>
      <c r="N645" s="6">
        <f t="shared" si="40"/>
        <v>1</v>
      </c>
      <c r="O645" t="str">
        <f>IF(Tabla_control[[#This Row],[Control_duplicados]]&gt;1,"Duplicado","Unico")</f>
        <v>Unico</v>
      </c>
      <c r="P645" t="str">
        <f t="shared" si="41"/>
        <v>OK</v>
      </c>
      <c r="Q645" t="str">
        <f t="shared" si="42"/>
        <v>OK</v>
      </c>
      <c r="R645" t="str">
        <f t="shared" si="43"/>
        <v>OK</v>
      </c>
    </row>
    <row r="646" spans="1:18" x14ac:dyDescent="0.3">
      <c r="A646" s="1">
        <v>45930</v>
      </c>
      <c r="B646" s="2" t="s">
        <v>2644</v>
      </c>
      <c r="C646" s="2" t="s">
        <v>2521</v>
      </c>
      <c r="D646" s="2" t="s">
        <v>2522</v>
      </c>
      <c r="E646" s="2" t="s">
        <v>2517</v>
      </c>
      <c r="F646" s="3">
        <v>151125</v>
      </c>
      <c r="G646" s="3">
        <v>11249</v>
      </c>
      <c r="H646" s="3">
        <v>1346</v>
      </c>
      <c r="I646" s="4">
        <v>21963.78</v>
      </c>
      <c r="J646" s="4">
        <v>131704.06</v>
      </c>
      <c r="K646" s="3">
        <v>666</v>
      </c>
      <c r="L646" s="2" t="s">
        <v>2518</v>
      </c>
      <c r="M646" s="2" t="s">
        <v>2526</v>
      </c>
      <c r="N646" s="6">
        <f t="shared" si="40"/>
        <v>1</v>
      </c>
      <c r="O646" t="str">
        <f>IF(Tabla_control[[#This Row],[Control_duplicados]]&gt;1,"Duplicado","Unico")</f>
        <v>Unico</v>
      </c>
      <c r="P646" t="str">
        <f t="shared" si="41"/>
        <v>OK</v>
      </c>
      <c r="Q646" t="str">
        <f t="shared" si="42"/>
        <v>OK</v>
      </c>
      <c r="R646" t="str">
        <f t="shared" si="43"/>
        <v>OK</v>
      </c>
    </row>
    <row r="647" spans="1:18" x14ac:dyDescent="0.3">
      <c r="A647" s="1">
        <v>45928</v>
      </c>
      <c r="B647" s="2" t="s">
        <v>2625</v>
      </c>
      <c r="C647" s="2" t="s">
        <v>2521</v>
      </c>
      <c r="D647" s="2" t="s">
        <v>2528</v>
      </c>
      <c r="E647" s="2" t="s">
        <v>2517</v>
      </c>
      <c r="F647" s="3">
        <v>95160</v>
      </c>
      <c r="G647" s="3">
        <v>3905</v>
      </c>
      <c r="H647" s="3">
        <v>216</v>
      </c>
      <c r="I647" s="4">
        <v>5486.17</v>
      </c>
      <c r="J647" s="4">
        <v>25201.43</v>
      </c>
      <c r="K647" s="3">
        <v>162</v>
      </c>
      <c r="L647" s="2" t="s">
        <v>2523</v>
      </c>
      <c r="M647" s="2" t="s">
        <v>2546</v>
      </c>
      <c r="N647" s="6">
        <f t="shared" si="40"/>
        <v>1</v>
      </c>
      <c r="O647" t="str">
        <f>IF(Tabla_control[[#This Row],[Control_duplicados]]&gt;1,"Duplicado","Unico")</f>
        <v>Unico</v>
      </c>
      <c r="P647" t="str">
        <f t="shared" si="41"/>
        <v>OK</v>
      </c>
      <c r="Q647" t="str">
        <f t="shared" si="42"/>
        <v>OK</v>
      </c>
      <c r="R647" t="str">
        <f t="shared" si="43"/>
        <v>OK</v>
      </c>
    </row>
    <row r="648" spans="1:18" x14ac:dyDescent="0.3">
      <c r="A648" s="1">
        <v>45731</v>
      </c>
      <c r="B648" s="2" t="s">
        <v>2624</v>
      </c>
      <c r="C648" s="2" t="s">
        <v>2533</v>
      </c>
      <c r="D648" s="2" t="s">
        <v>2528</v>
      </c>
      <c r="E648" s="2" t="s">
        <v>2517</v>
      </c>
      <c r="F648" s="3">
        <v>87005</v>
      </c>
      <c r="G648" s="3">
        <v>6512</v>
      </c>
      <c r="H648" s="3">
        <v>713</v>
      </c>
      <c r="I648" s="4">
        <v>12440.06</v>
      </c>
      <c r="J648" s="4">
        <v>115661.44</v>
      </c>
      <c r="K648" s="3">
        <v>353</v>
      </c>
      <c r="L648" s="2" t="s">
        <v>2536</v>
      </c>
      <c r="M648" s="2" t="s">
        <v>2526</v>
      </c>
      <c r="N648" s="6">
        <f t="shared" si="40"/>
        <v>1</v>
      </c>
      <c r="O648" t="str">
        <f>IF(Tabla_control[[#This Row],[Control_duplicados]]&gt;1,"Duplicado","Unico")</f>
        <v>Unico</v>
      </c>
      <c r="P648" t="str">
        <f t="shared" si="41"/>
        <v>OK</v>
      </c>
      <c r="Q648" t="str">
        <f t="shared" si="42"/>
        <v>OK</v>
      </c>
      <c r="R648" t="str">
        <f t="shared" si="43"/>
        <v>OK</v>
      </c>
    </row>
    <row r="649" spans="1:18" x14ac:dyDescent="0.3">
      <c r="A649" s="1">
        <v>45721</v>
      </c>
      <c r="B649" s="2" t="s">
        <v>2629</v>
      </c>
      <c r="C649" s="2" t="s">
        <v>2515</v>
      </c>
      <c r="D649" s="2" t="s">
        <v>2528</v>
      </c>
      <c r="E649" s="2" t="s">
        <v>2517</v>
      </c>
      <c r="F649" s="3">
        <v>81159</v>
      </c>
      <c r="G649" s="3">
        <v>2594</v>
      </c>
      <c r="H649" s="3">
        <v>281</v>
      </c>
      <c r="I649" s="4">
        <v>1977.55</v>
      </c>
      <c r="J649" s="4">
        <v>16439.189999999999</v>
      </c>
      <c r="K649" s="3">
        <v>140</v>
      </c>
      <c r="L649" s="2" t="s">
        <v>2536</v>
      </c>
      <c r="M649" s="2" t="s">
        <v>2524</v>
      </c>
      <c r="N649" s="6">
        <f t="shared" si="40"/>
        <v>1</v>
      </c>
      <c r="O649" t="str">
        <f>IF(Tabla_control[[#This Row],[Control_duplicados]]&gt;1,"Duplicado","Unico")</f>
        <v>Unico</v>
      </c>
      <c r="P649" t="str">
        <f t="shared" si="41"/>
        <v>OK</v>
      </c>
      <c r="Q649" t="str">
        <f t="shared" si="42"/>
        <v>OK</v>
      </c>
      <c r="R649" t="str">
        <f t="shared" si="43"/>
        <v>OK</v>
      </c>
    </row>
    <row r="650" spans="1:18" x14ac:dyDescent="0.3">
      <c r="A650" s="1">
        <v>46016</v>
      </c>
      <c r="B650" s="2" t="s">
        <v>2617</v>
      </c>
      <c r="C650" s="2" t="s">
        <v>2541</v>
      </c>
      <c r="D650" s="2" t="s">
        <v>2531</v>
      </c>
      <c r="E650" s="2" t="s">
        <v>2534</v>
      </c>
      <c r="F650" s="3">
        <v>146738</v>
      </c>
      <c r="G650" s="3">
        <v>11190</v>
      </c>
      <c r="H650" s="3">
        <v>809</v>
      </c>
      <c r="I650" s="4">
        <v>3671.31</v>
      </c>
      <c r="J650" s="4">
        <v>171892.14</v>
      </c>
      <c r="K650" s="3">
        <v>716</v>
      </c>
      <c r="L650" s="2" t="s">
        <v>2523</v>
      </c>
      <c r="M650" s="2" t="s">
        <v>2519</v>
      </c>
      <c r="N650" s="6">
        <f t="shared" si="40"/>
        <v>2</v>
      </c>
      <c r="O650" t="str">
        <f>IF(Tabla_control[[#This Row],[Control_duplicados]]&gt;1,"Duplicado","Unico")</f>
        <v>Duplicado</v>
      </c>
      <c r="P650" t="str">
        <f t="shared" si="41"/>
        <v>OK</v>
      </c>
      <c r="Q650" t="str">
        <f t="shared" si="42"/>
        <v>OK</v>
      </c>
      <c r="R650" t="str">
        <f t="shared" si="43"/>
        <v>OK</v>
      </c>
    </row>
    <row r="651" spans="1:18" x14ac:dyDescent="0.3">
      <c r="A651" s="1">
        <v>45960</v>
      </c>
      <c r="B651" s="2" t="s">
        <v>2635</v>
      </c>
      <c r="C651" s="2" t="s">
        <v>2521</v>
      </c>
      <c r="D651" s="2" t="s">
        <v>2525</v>
      </c>
      <c r="E651" s="2" t="s">
        <v>2529</v>
      </c>
      <c r="F651" s="3">
        <v>74760</v>
      </c>
      <c r="G651" s="3">
        <v>5526</v>
      </c>
      <c r="H651" s="3">
        <v>276</v>
      </c>
      <c r="I651" s="4">
        <v>10694.04</v>
      </c>
      <c r="J651" s="4">
        <v>54850.02</v>
      </c>
      <c r="K651" s="3">
        <v>149</v>
      </c>
      <c r="L651" s="2" t="s">
        <v>2536</v>
      </c>
      <c r="M651" s="2" t="s">
        <v>2537</v>
      </c>
      <c r="N651" s="6">
        <f t="shared" si="40"/>
        <v>1</v>
      </c>
      <c r="O651" t="str">
        <f>IF(Tabla_control[[#This Row],[Control_duplicados]]&gt;1,"Duplicado","Unico")</f>
        <v>Unico</v>
      </c>
      <c r="P651" t="str">
        <f t="shared" si="41"/>
        <v>OK</v>
      </c>
      <c r="Q651" t="str">
        <f t="shared" si="42"/>
        <v>OK</v>
      </c>
      <c r="R651" t="str">
        <f t="shared" si="43"/>
        <v>OK</v>
      </c>
    </row>
    <row r="652" spans="1:18" x14ac:dyDescent="0.3">
      <c r="A652" s="1">
        <v>45832</v>
      </c>
      <c r="B652" s="2" t="s">
        <v>2624</v>
      </c>
      <c r="C652" s="2" t="s">
        <v>2541</v>
      </c>
      <c r="D652" s="2" t="s">
        <v>2525</v>
      </c>
      <c r="E652" s="2" t="s">
        <v>2534</v>
      </c>
      <c r="F652" s="3">
        <v>86482</v>
      </c>
      <c r="G652" s="3">
        <v>629</v>
      </c>
      <c r="H652" s="3">
        <v>43</v>
      </c>
      <c r="I652" s="4">
        <v>1227.1199999999999</v>
      </c>
      <c r="J652" s="4">
        <v>1018.31</v>
      </c>
      <c r="K652" s="3">
        <v>28</v>
      </c>
      <c r="L652" s="2" t="s">
        <v>2518</v>
      </c>
      <c r="M652" s="2" t="s">
        <v>2519</v>
      </c>
      <c r="N652" s="6">
        <f t="shared" si="40"/>
        <v>1</v>
      </c>
      <c r="O652" t="str">
        <f>IF(Tabla_control[[#This Row],[Control_duplicados]]&gt;1,"Duplicado","Unico")</f>
        <v>Unico</v>
      </c>
      <c r="P652" t="str">
        <f t="shared" si="41"/>
        <v>OK</v>
      </c>
      <c r="Q652" t="str">
        <f t="shared" si="42"/>
        <v>OK</v>
      </c>
      <c r="R652" t="str">
        <f t="shared" si="43"/>
        <v>OK</v>
      </c>
    </row>
    <row r="653" spans="1:18" x14ac:dyDescent="0.3">
      <c r="A653" s="1">
        <v>45677</v>
      </c>
      <c r="B653" s="2" t="s">
        <v>2633</v>
      </c>
      <c r="C653" s="2" t="s">
        <v>2527</v>
      </c>
      <c r="D653" s="2" t="s">
        <v>2531</v>
      </c>
      <c r="E653" s="2" t="s">
        <v>2529</v>
      </c>
      <c r="F653" s="3">
        <v>44918</v>
      </c>
      <c r="G653" s="3">
        <v>1633</v>
      </c>
      <c r="H653" s="3">
        <v>208</v>
      </c>
      <c r="I653" s="4">
        <v>2262.04</v>
      </c>
      <c r="J653" s="4">
        <v>9065.77</v>
      </c>
      <c r="K653" s="3">
        <v>179</v>
      </c>
      <c r="L653" s="2" t="s">
        <v>2518</v>
      </c>
      <c r="M653" s="2" t="s">
        <v>2524</v>
      </c>
      <c r="N653" s="6">
        <f t="shared" si="40"/>
        <v>1</v>
      </c>
      <c r="O653" t="str">
        <f>IF(Tabla_control[[#This Row],[Control_duplicados]]&gt;1,"Duplicado","Unico")</f>
        <v>Unico</v>
      </c>
      <c r="P653" t="str">
        <f t="shared" si="41"/>
        <v>OK</v>
      </c>
      <c r="Q653" t="str">
        <f t="shared" si="42"/>
        <v>OK</v>
      </c>
      <c r="R653" t="str">
        <f t="shared" si="43"/>
        <v>OK</v>
      </c>
    </row>
    <row r="654" spans="1:18" x14ac:dyDescent="0.3">
      <c r="A654" s="1">
        <v>45893</v>
      </c>
      <c r="B654" s="2" t="s">
        <v>2624</v>
      </c>
      <c r="C654" s="2" t="s">
        <v>2515</v>
      </c>
      <c r="D654" s="2" t="s">
        <v>2525</v>
      </c>
      <c r="E654" s="2" t="s">
        <v>2517</v>
      </c>
      <c r="F654" s="3">
        <v>126350</v>
      </c>
      <c r="G654" s="3">
        <v>6760</v>
      </c>
      <c r="H654" s="3">
        <v>630</v>
      </c>
      <c r="I654" s="4">
        <v>3975.02</v>
      </c>
      <c r="J654" s="4">
        <v>91938.97</v>
      </c>
      <c r="K654" s="3">
        <v>544</v>
      </c>
      <c r="L654" s="2" t="s">
        <v>2523</v>
      </c>
      <c r="M654" s="2" t="s">
        <v>2645</v>
      </c>
      <c r="N654" s="6">
        <f t="shared" si="40"/>
        <v>1</v>
      </c>
      <c r="O654" t="str">
        <f>IF(Tabla_control[[#This Row],[Control_duplicados]]&gt;1,"Duplicado","Unico")</f>
        <v>Unico</v>
      </c>
      <c r="P654" t="str">
        <f t="shared" si="41"/>
        <v>OK</v>
      </c>
      <c r="Q654" t="str">
        <f t="shared" si="42"/>
        <v>OK</v>
      </c>
      <c r="R654" t="str">
        <f t="shared" si="43"/>
        <v>OK</v>
      </c>
    </row>
    <row r="655" spans="1:18" x14ac:dyDescent="0.3">
      <c r="A655" s="1">
        <v>45734</v>
      </c>
      <c r="B655" s="2" t="s">
        <v>2628</v>
      </c>
      <c r="C655" s="2" t="s">
        <v>2543</v>
      </c>
      <c r="D655" s="2" t="s">
        <v>2522</v>
      </c>
      <c r="E655" s="2" t="s">
        <v>2534</v>
      </c>
      <c r="F655" s="3">
        <v>47013</v>
      </c>
      <c r="G655" s="3">
        <v>930</v>
      </c>
      <c r="H655" s="3">
        <v>8</v>
      </c>
      <c r="I655" s="4">
        <v>936.32</v>
      </c>
      <c r="J655" s="4">
        <v>1098.92</v>
      </c>
      <c r="K655" s="3">
        <v>6</v>
      </c>
      <c r="L655" s="2" t="s">
        <v>2523</v>
      </c>
      <c r="M655" s="2" t="s">
        <v>2537</v>
      </c>
      <c r="N655" s="6">
        <f t="shared" si="40"/>
        <v>1</v>
      </c>
      <c r="O655" t="str">
        <f>IF(Tabla_control[[#This Row],[Control_duplicados]]&gt;1,"Duplicado","Unico")</f>
        <v>Unico</v>
      </c>
      <c r="P655" t="str">
        <f t="shared" si="41"/>
        <v>OK</v>
      </c>
      <c r="Q655" t="str">
        <f t="shared" si="42"/>
        <v>OK</v>
      </c>
      <c r="R655" t="str">
        <f t="shared" si="43"/>
        <v>OK</v>
      </c>
    </row>
    <row r="656" spans="1:18" x14ac:dyDescent="0.3">
      <c r="A656" s="1">
        <v>45703</v>
      </c>
      <c r="B656" s="2" t="s">
        <v>2622</v>
      </c>
      <c r="C656" s="2" t="s">
        <v>2541</v>
      </c>
      <c r="D656" s="2" t="s">
        <v>2528</v>
      </c>
      <c r="E656" s="2" t="s">
        <v>2529</v>
      </c>
      <c r="F656" s="3">
        <v>161969</v>
      </c>
      <c r="G656" s="3">
        <v>2844</v>
      </c>
      <c r="H656" s="3">
        <v>392</v>
      </c>
      <c r="I656" s="4">
        <v>3952.39</v>
      </c>
      <c r="J656" s="4">
        <v>27562.18</v>
      </c>
      <c r="K656" s="3">
        <v>273</v>
      </c>
      <c r="L656" s="2" t="s">
        <v>2539</v>
      </c>
      <c r="M656" s="2" t="s">
        <v>2546</v>
      </c>
      <c r="N656" s="6">
        <f t="shared" si="40"/>
        <v>1</v>
      </c>
      <c r="O656" t="str">
        <f>IF(Tabla_control[[#This Row],[Control_duplicados]]&gt;1,"Duplicado","Unico")</f>
        <v>Unico</v>
      </c>
      <c r="P656" t="str">
        <f t="shared" si="41"/>
        <v>OK</v>
      </c>
      <c r="Q656" t="str">
        <f t="shared" si="42"/>
        <v>OK</v>
      </c>
      <c r="R656" t="str">
        <f t="shared" si="43"/>
        <v>OK</v>
      </c>
    </row>
    <row r="657" spans="1:18" x14ac:dyDescent="0.3">
      <c r="A657" s="1">
        <v>45804</v>
      </c>
      <c r="B657" s="2" t="s">
        <v>2641</v>
      </c>
      <c r="C657" s="2" t="s">
        <v>2533</v>
      </c>
      <c r="D657" s="2" t="s">
        <v>2528</v>
      </c>
      <c r="E657" s="2" t="s">
        <v>2529</v>
      </c>
      <c r="F657" s="3">
        <v>159275</v>
      </c>
      <c r="G657" s="3">
        <v>3864</v>
      </c>
      <c r="H657" s="3">
        <v>313</v>
      </c>
      <c r="I657" s="4">
        <v>4832.8900000000003</v>
      </c>
      <c r="J657" s="4">
        <v>39914.720000000001</v>
      </c>
      <c r="K657" s="3">
        <v>224</v>
      </c>
      <c r="L657" s="2" t="s">
        <v>2536</v>
      </c>
      <c r="M657" s="2" t="s">
        <v>2537</v>
      </c>
      <c r="N657" s="6">
        <f t="shared" si="40"/>
        <v>1</v>
      </c>
      <c r="O657" t="str">
        <f>IF(Tabla_control[[#This Row],[Control_duplicados]]&gt;1,"Duplicado","Unico")</f>
        <v>Unico</v>
      </c>
      <c r="P657" t="str">
        <f t="shared" si="41"/>
        <v>OK</v>
      </c>
      <c r="Q657" t="str">
        <f t="shared" si="42"/>
        <v>OK</v>
      </c>
      <c r="R657" t="str">
        <f t="shared" si="43"/>
        <v>OK</v>
      </c>
    </row>
    <row r="658" spans="1:18" x14ac:dyDescent="0.3">
      <c r="A658" s="1">
        <v>45913</v>
      </c>
      <c r="B658" s="2" t="s">
        <v>2643</v>
      </c>
      <c r="C658" s="2" t="s">
        <v>2521</v>
      </c>
      <c r="D658" s="2" t="s">
        <v>2528</v>
      </c>
      <c r="E658" s="2" t="s">
        <v>2517</v>
      </c>
      <c r="F658" s="3">
        <v>1702</v>
      </c>
      <c r="G658" s="3">
        <v>96</v>
      </c>
      <c r="H658" s="3">
        <v>9</v>
      </c>
      <c r="I658" s="4">
        <v>15.89</v>
      </c>
      <c r="J658" s="4">
        <v>1009.66</v>
      </c>
      <c r="K658" s="3">
        <v>7</v>
      </c>
      <c r="L658" s="2" t="s">
        <v>2518</v>
      </c>
      <c r="M658" s="2" t="s">
        <v>2526</v>
      </c>
      <c r="N658" s="6">
        <f t="shared" si="40"/>
        <v>1</v>
      </c>
      <c r="O658" t="str">
        <f>IF(Tabla_control[[#This Row],[Control_duplicados]]&gt;1,"Duplicado","Unico")</f>
        <v>Unico</v>
      </c>
      <c r="P658" t="str">
        <f t="shared" si="41"/>
        <v>OK</v>
      </c>
      <c r="Q658" t="str">
        <f t="shared" si="42"/>
        <v>OK</v>
      </c>
      <c r="R658" t="str">
        <f t="shared" si="43"/>
        <v>OK</v>
      </c>
    </row>
    <row r="659" spans="1:18" x14ac:dyDescent="0.3">
      <c r="A659" s="1">
        <v>45730</v>
      </c>
      <c r="B659" s="2" t="s">
        <v>2636</v>
      </c>
      <c r="C659" s="2" t="s">
        <v>2543</v>
      </c>
      <c r="D659" s="2" t="s">
        <v>2525</v>
      </c>
      <c r="E659" s="2" t="s">
        <v>2517</v>
      </c>
      <c r="F659" s="3">
        <v>135293</v>
      </c>
      <c r="G659" s="3">
        <v>5402</v>
      </c>
      <c r="H659" s="3">
        <v>408</v>
      </c>
      <c r="I659" s="4">
        <v>5556.44</v>
      </c>
      <c r="J659" s="4">
        <v>78557.27</v>
      </c>
      <c r="K659" s="3">
        <v>207</v>
      </c>
      <c r="L659" s="2" t="s">
        <v>2518</v>
      </c>
      <c r="M659" s="2" t="s">
        <v>2546</v>
      </c>
      <c r="N659" s="6">
        <f t="shared" si="40"/>
        <v>1</v>
      </c>
      <c r="O659" t="str">
        <f>IF(Tabla_control[[#This Row],[Control_duplicados]]&gt;1,"Duplicado","Unico")</f>
        <v>Unico</v>
      </c>
      <c r="P659" t="str">
        <f t="shared" si="41"/>
        <v>OK</v>
      </c>
      <c r="Q659" t="str">
        <f t="shared" si="42"/>
        <v>OK</v>
      </c>
      <c r="R659" t="str">
        <f t="shared" si="43"/>
        <v>OK</v>
      </c>
    </row>
    <row r="660" spans="1:18" x14ac:dyDescent="0.3">
      <c r="A660" s="1">
        <v>45779</v>
      </c>
      <c r="B660" s="2" t="s">
        <v>2638</v>
      </c>
      <c r="C660" s="2" t="s">
        <v>2541</v>
      </c>
      <c r="D660" s="2" t="s">
        <v>2528</v>
      </c>
      <c r="E660" s="2" t="s">
        <v>2517</v>
      </c>
      <c r="F660" s="3">
        <v>44362</v>
      </c>
      <c r="G660" s="3">
        <v>1486</v>
      </c>
      <c r="H660" s="3">
        <v>86</v>
      </c>
      <c r="I660" s="4">
        <v>2994.64</v>
      </c>
      <c r="J660" s="4">
        <v>8399.7099999999991</v>
      </c>
      <c r="K660" s="3">
        <v>70</v>
      </c>
      <c r="L660" s="2" t="s">
        <v>2523</v>
      </c>
      <c r="M660" s="2" t="s">
        <v>2524</v>
      </c>
      <c r="N660" s="6">
        <f t="shared" si="40"/>
        <v>1</v>
      </c>
      <c r="O660" t="str">
        <f>IF(Tabla_control[[#This Row],[Control_duplicados]]&gt;1,"Duplicado","Unico")</f>
        <v>Unico</v>
      </c>
      <c r="P660" t="str">
        <f t="shared" si="41"/>
        <v>OK</v>
      </c>
      <c r="Q660" t="str">
        <f t="shared" si="42"/>
        <v>OK</v>
      </c>
      <c r="R660" t="str">
        <f t="shared" si="43"/>
        <v>OK</v>
      </c>
    </row>
    <row r="661" spans="1:18" x14ac:dyDescent="0.3">
      <c r="A661" s="1">
        <v>45922</v>
      </c>
      <c r="B661" s="2" t="s">
        <v>2637</v>
      </c>
      <c r="C661" s="2" t="s">
        <v>2515</v>
      </c>
      <c r="D661" s="2" t="s">
        <v>2528</v>
      </c>
      <c r="E661" s="2" t="s">
        <v>2534</v>
      </c>
      <c r="F661" s="3">
        <v>99175</v>
      </c>
      <c r="G661" s="3">
        <v>7418</v>
      </c>
      <c r="H661" s="3">
        <v>728</v>
      </c>
      <c r="I661" s="4">
        <v>3074.55</v>
      </c>
      <c r="J661" s="4">
        <v>93339.63</v>
      </c>
      <c r="K661" s="3">
        <v>330</v>
      </c>
      <c r="L661" s="2" t="s">
        <v>2518</v>
      </c>
      <c r="M661" s="2" t="s">
        <v>2526</v>
      </c>
      <c r="N661" s="6">
        <f t="shared" si="40"/>
        <v>1</v>
      </c>
      <c r="O661" t="str">
        <f>IF(Tabla_control[[#This Row],[Control_duplicados]]&gt;1,"Duplicado","Unico")</f>
        <v>Unico</v>
      </c>
      <c r="P661" t="str">
        <f t="shared" si="41"/>
        <v>OK</v>
      </c>
      <c r="Q661" t="str">
        <f t="shared" si="42"/>
        <v>OK</v>
      </c>
      <c r="R661" t="str">
        <f t="shared" si="43"/>
        <v>OK</v>
      </c>
    </row>
    <row r="662" spans="1:18" x14ac:dyDescent="0.3">
      <c r="A662" s="1">
        <v>46017</v>
      </c>
      <c r="B662" s="2" t="s">
        <v>2639</v>
      </c>
      <c r="C662" s="2" t="s">
        <v>2533</v>
      </c>
      <c r="D662" s="2" t="s">
        <v>2528</v>
      </c>
      <c r="E662" s="2" t="s">
        <v>2529</v>
      </c>
      <c r="F662" s="3">
        <v>109986</v>
      </c>
      <c r="G662" s="3">
        <v>9817</v>
      </c>
      <c r="H662" s="3">
        <v>535</v>
      </c>
      <c r="I662" s="4">
        <v>14561.54</v>
      </c>
      <c r="J662" s="4">
        <v>45881.61</v>
      </c>
      <c r="K662" s="3">
        <v>287</v>
      </c>
      <c r="L662" s="2" t="s">
        <v>2539</v>
      </c>
      <c r="M662" s="2" t="s">
        <v>2526</v>
      </c>
      <c r="N662" s="6">
        <f t="shared" si="40"/>
        <v>1</v>
      </c>
      <c r="O662" t="str">
        <f>IF(Tabla_control[[#This Row],[Control_duplicados]]&gt;1,"Duplicado","Unico")</f>
        <v>Unico</v>
      </c>
      <c r="P662" t="str">
        <f t="shared" si="41"/>
        <v>OK</v>
      </c>
      <c r="Q662" t="str">
        <f t="shared" si="42"/>
        <v>OK</v>
      </c>
      <c r="R662" t="str">
        <f t="shared" si="43"/>
        <v>OK</v>
      </c>
    </row>
    <row r="663" spans="1:18" x14ac:dyDescent="0.3">
      <c r="A663" s="1">
        <v>45811</v>
      </c>
      <c r="B663" s="2" t="s">
        <v>2643</v>
      </c>
      <c r="C663" s="2" t="s">
        <v>2515</v>
      </c>
      <c r="D663" s="2" t="s">
        <v>2525</v>
      </c>
      <c r="E663" s="2" t="s">
        <v>2517</v>
      </c>
      <c r="F663" s="3">
        <v>135869</v>
      </c>
      <c r="G663" s="3">
        <v>136843</v>
      </c>
      <c r="H663" s="3">
        <v>75</v>
      </c>
      <c r="I663" s="4">
        <v>1587.29</v>
      </c>
      <c r="J663" s="4">
        <v>5593.64</v>
      </c>
      <c r="K663" s="3">
        <v>49</v>
      </c>
      <c r="L663" s="2" t="s">
        <v>2539</v>
      </c>
      <c r="M663" s="2" t="s">
        <v>2526</v>
      </c>
      <c r="N663" s="6">
        <f t="shared" si="40"/>
        <v>1</v>
      </c>
      <c r="O663" t="str">
        <f>IF(Tabla_control[[#This Row],[Control_duplicados]]&gt;1,"Duplicado","Unico")</f>
        <v>Unico</v>
      </c>
      <c r="P663" t="str">
        <f t="shared" si="41"/>
        <v>OK</v>
      </c>
      <c r="Q663" t="str">
        <f t="shared" si="42"/>
        <v>OK</v>
      </c>
      <c r="R663" t="str">
        <f t="shared" si="43"/>
        <v>OK</v>
      </c>
    </row>
    <row r="664" spans="1:18" x14ac:dyDescent="0.3">
      <c r="A664" s="1">
        <v>45895</v>
      </c>
      <c r="B664" s="2" t="s">
        <v>2637</v>
      </c>
      <c r="C664" s="2" t="s">
        <v>2527</v>
      </c>
      <c r="D664" s="2" t="s">
        <v>2528</v>
      </c>
      <c r="E664" s="2" t="s">
        <v>2529</v>
      </c>
      <c r="F664" s="3">
        <v>162662</v>
      </c>
      <c r="G664" s="3">
        <v>4815</v>
      </c>
      <c r="H664" s="3">
        <v>566</v>
      </c>
      <c r="I664" s="4">
        <v>9443.9</v>
      </c>
      <c r="J664" s="4">
        <v>56501.69</v>
      </c>
      <c r="K664" s="3">
        <v>434</v>
      </c>
      <c r="L664" s="2" t="s">
        <v>2539</v>
      </c>
      <c r="M664" s="2" t="s">
        <v>2537</v>
      </c>
      <c r="N664" s="6">
        <f t="shared" si="40"/>
        <v>1</v>
      </c>
      <c r="O664" t="str">
        <f>IF(Tabla_control[[#This Row],[Control_duplicados]]&gt;1,"Duplicado","Unico")</f>
        <v>Unico</v>
      </c>
      <c r="P664" t="str">
        <f t="shared" si="41"/>
        <v>OK</v>
      </c>
      <c r="Q664" t="str">
        <f t="shared" si="42"/>
        <v>OK</v>
      </c>
      <c r="R664" t="str">
        <f t="shared" si="43"/>
        <v>OK</v>
      </c>
    </row>
    <row r="665" spans="1:18" x14ac:dyDescent="0.3">
      <c r="A665" s="1">
        <v>45842</v>
      </c>
      <c r="B665" s="2" t="s">
        <v>2628</v>
      </c>
      <c r="C665" s="2" t="s">
        <v>2521</v>
      </c>
      <c r="D665" s="2" t="s">
        <v>2525</v>
      </c>
      <c r="E665" s="2" t="s">
        <v>2517</v>
      </c>
      <c r="F665" s="3">
        <v>152078</v>
      </c>
      <c r="G665" s="3">
        <v>3574</v>
      </c>
      <c r="H665" s="3">
        <v>457</v>
      </c>
      <c r="I665" s="4">
        <v>2691.66</v>
      </c>
      <c r="J665" s="4">
        <v>13195.07</v>
      </c>
      <c r="K665" s="3">
        <v>360</v>
      </c>
      <c r="L665" s="2" t="s">
        <v>2523</v>
      </c>
      <c r="M665" s="2" t="s">
        <v>2537</v>
      </c>
      <c r="N665" s="6">
        <f t="shared" si="40"/>
        <v>1</v>
      </c>
      <c r="O665" t="str">
        <f>IF(Tabla_control[[#This Row],[Control_duplicados]]&gt;1,"Duplicado","Unico")</f>
        <v>Unico</v>
      </c>
      <c r="P665" t="str">
        <f t="shared" si="41"/>
        <v>OK</v>
      </c>
      <c r="Q665" t="str">
        <f t="shared" si="42"/>
        <v>OK</v>
      </c>
      <c r="R665" t="str">
        <f t="shared" si="43"/>
        <v>OK</v>
      </c>
    </row>
    <row r="666" spans="1:18" x14ac:dyDescent="0.3">
      <c r="A666" s="1">
        <v>45754</v>
      </c>
      <c r="B666" s="2" t="s">
        <v>2636</v>
      </c>
      <c r="C666" s="2" t="s">
        <v>2541</v>
      </c>
      <c r="D666" s="2" t="s">
        <v>2528</v>
      </c>
      <c r="E666" s="2" t="s">
        <v>2529</v>
      </c>
      <c r="F666" s="3">
        <v>148477</v>
      </c>
      <c r="G666" s="3">
        <v>8778</v>
      </c>
      <c r="H666" s="3">
        <v>358</v>
      </c>
      <c r="I666" s="4">
        <v>10750.86</v>
      </c>
      <c r="J666" s="4">
        <v>62423.5</v>
      </c>
      <c r="K666" s="3">
        <v>238</v>
      </c>
      <c r="L666" s="2" t="s">
        <v>2523</v>
      </c>
      <c r="M666" s="2" t="s">
        <v>2537</v>
      </c>
      <c r="N666" s="6">
        <f t="shared" si="40"/>
        <v>1</v>
      </c>
      <c r="O666" t="str">
        <f>IF(Tabla_control[[#This Row],[Control_duplicados]]&gt;1,"Duplicado","Unico")</f>
        <v>Unico</v>
      </c>
      <c r="P666" t="str">
        <f t="shared" si="41"/>
        <v>OK</v>
      </c>
      <c r="Q666" t="str">
        <f t="shared" si="42"/>
        <v>OK</v>
      </c>
      <c r="R666" t="str">
        <f t="shared" si="43"/>
        <v>OK</v>
      </c>
    </row>
    <row r="667" spans="1:18" x14ac:dyDescent="0.3">
      <c r="A667" s="1">
        <v>45834</v>
      </c>
      <c r="B667" s="2" t="s">
        <v>2616</v>
      </c>
      <c r="C667" s="2" t="s">
        <v>2543</v>
      </c>
      <c r="D667" s="2" t="s">
        <v>2525</v>
      </c>
      <c r="E667" s="2" t="s">
        <v>2517</v>
      </c>
      <c r="F667" s="3">
        <v>2680</v>
      </c>
      <c r="G667" s="3">
        <v>179</v>
      </c>
      <c r="H667" s="3">
        <v>15</v>
      </c>
      <c r="I667" s="4">
        <v>76.08</v>
      </c>
      <c r="J667" s="4">
        <v>2679.01</v>
      </c>
      <c r="K667" s="3">
        <v>11</v>
      </c>
      <c r="L667" s="2" t="s">
        <v>2536</v>
      </c>
      <c r="M667" s="2" t="s">
        <v>2524</v>
      </c>
      <c r="N667" s="6">
        <f t="shared" si="40"/>
        <v>1</v>
      </c>
      <c r="O667" t="str">
        <f>IF(Tabla_control[[#This Row],[Control_duplicados]]&gt;1,"Duplicado","Unico")</f>
        <v>Unico</v>
      </c>
      <c r="P667" t="str">
        <f t="shared" si="41"/>
        <v>OK</v>
      </c>
      <c r="Q667" t="str">
        <f t="shared" si="42"/>
        <v>OK</v>
      </c>
      <c r="R667" t="str">
        <f t="shared" si="43"/>
        <v>OK</v>
      </c>
    </row>
    <row r="668" spans="1:18" x14ac:dyDescent="0.3">
      <c r="A668" s="1">
        <v>45709</v>
      </c>
      <c r="B668" s="2" t="s">
        <v>2619</v>
      </c>
      <c r="C668" s="2" t="s">
        <v>2543</v>
      </c>
      <c r="D668" s="2" t="s">
        <v>2525</v>
      </c>
      <c r="E668" s="2" t="s">
        <v>2529</v>
      </c>
      <c r="F668" s="3">
        <v>58488</v>
      </c>
      <c r="G668" s="3">
        <v>3347</v>
      </c>
      <c r="H668" s="3">
        <v>142</v>
      </c>
      <c r="I668" s="4">
        <v>2706.93</v>
      </c>
      <c r="J668" s="4">
        <v>14894.22</v>
      </c>
      <c r="K668" s="3">
        <v>85</v>
      </c>
      <c r="L668" s="2" t="s">
        <v>2518</v>
      </c>
      <c r="M668" s="2" t="s">
        <v>2524</v>
      </c>
      <c r="N668" s="6">
        <f t="shared" si="40"/>
        <v>1</v>
      </c>
      <c r="O668" t="str">
        <f>IF(Tabla_control[[#This Row],[Control_duplicados]]&gt;1,"Duplicado","Unico")</f>
        <v>Unico</v>
      </c>
      <c r="P668" t="str">
        <f t="shared" si="41"/>
        <v>OK</v>
      </c>
      <c r="Q668" t="str">
        <f t="shared" si="42"/>
        <v>OK</v>
      </c>
      <c r="R668" t="str">
        <f t="shared" si="43"/>
        <v>OK</v>
      </c>
    </row>
    <row r="669" spans="1:18" x14ac:dyDescent="0.3">
      <c r="A669" s="1">
        <v>45658</v>
      </c>
      <c r="B669" s="2" t="s">
        <v>2626</v>
      </c>
      <c r="C669" s="2" t="s">
        <v>2533</v>
      </c>
      <c r="D669" s="2" t="s">
        <v>2528</v>
      </c>
      <c r="E669" s="2" t="s">
        <v>2529</v>
      </c>
      <c r="F669" s="3">
        <v>147855</v>
      </c>
      <c r="G669" s="3">
        <v>7882</v>
      </c>
      <c r="H669" s="3">
        <v>234</v>
      </c>
      <c r="I669" s="4">
        <v>6499.3</v>
      </c>
      <c r="J669" s="4">
        <v>36565.64</v>
      </c>
      <c r="K669" s="3">
        <v>152</v>
      </c>
      <c r="L669" s="2" t="s">
        <v>2523</v>
      </c>
      <c r="M669" s="2" t="s">
        <v>2546</v>
      </c>
      <c r="N669" s="6">
        <f t="shared" si="40"/>
        <v>1</v>
      </c>
      <c r="O669" t="str">
        <f>IF(Tabla_control[[#This Row],[Control_duplicados]]&gt;1,"Duplicado","Unico")</f>
        <v>Unico</v>
      </c>
      <c r="P669" t="str">
        <f t="shared" si="41"/>
        <v>OK</v>
      </c>
      <c r="Q669" t="str">
        <f t="shared" si="42"/>
        <v>OK</v>
      </c>
      <c r="R669" t="str">
        <f t="shared" si="43"/>
        <v>OK</v>
      </c>
    </row>
    <row r="670" spans="1:18" x14ac:dyDescent="0.3">
      <c r="A670" s="1">
        <v>45830</v>
      </c>
      <c r="B670" s="2" t="s">
        <v>2618</v>
      </c>
      <c r="C670" s="2" t="s">
        <v>2541</v>
      </c>
      <c r="D670" s="2" t="s">
        <v>2522</v>
      </c>
      <c r="E670" s="2" t="s">
        <v>2529</v>
      </c>
      <c r="F670" s="3">
        <v>94806</v>
      </c>
      <c r="G670" s="3">
        <v>6109</v>
      </c>
      <c r="H670" s="3">
        <v>341</v>
      </c>
      <c r="I670" s="4">
        <v>9131.02</v>
      </c>
      <c r="J670" s="4">
        <v>73804.23</v>
      </c>
      <c r="K670" s="3">
        <v>168</v>
      </c>
      <c r="L670" s="2" t="s">
        <v>2518</v>
      </c>
      <c r="M670" s="2" t="s">
        <v>2524</v>
      </c>
      <c r="N670" s="6">
        <f t="shared" si="40"/>
        <v>1</v>
      </c>
      <c r="O670" t="str">
        <f>IF(Tabla_control[[#This Row],[Control_duplicados]]&gt;1,"Duplicado","Unico")</f>
        <v>Unico</v>
      </c>
      <c r="P670" t="str">
        <f t="shared" si="41"/>
        <v>OK</v>
      </c>
      <c r="Q670" t="str">
        <f t="shared" si="42"/>
        <v>OK</v>
      </c>
      <c r="R670" t="str">
        <f t="shared" si="43"/>
        <v>OK</v>
      </c>
    </row>
    <row r="671" spans="1:18" x14ac:dyDescent="0.3">
      <c r="A671" s="1">
        <v>45816</v>
      </c>
      <c r="B671" s="2" t="s">
        <v>2643</v>
      </c>
      <c r="C671" s="2" t="s">
        <v>2541</v>
      </c>
      <c r="D671" s="2" t="s">
        <v>2528</v>
      </c>
      <c r="E671" s="2" t="s">
        <v>2529</v>
      </c>
      <c r="F671" s="3">
        <v>52683</v>
      </c>
      <c r="G671" s="3">
        <v>2255</v>
      </c>
      <c r="H671" s="3">
        <v>83</v>
      </c>
      <c r="I671" s="4">
        <v>3965.47</v>
      </c>
      <c r="J671" s="4">
        <v>11563.97</v>
      </c>
      <c r="K671" s="3">
        <v>39</v>
      </c>
      <c r="L671" s="2" t="s">
        <v>2518</v>
      </c>
      <c r="M671" s="2" t="s">
        <v>2524</v>
      </c>
      <c r="N671" s="6">
        <f t="shared" si="40"/>
        <v>1</v>
      </c>
      <c r="O671" t="str">
        <f>IF(Tabla_control[[#This Row],[Control_duplicados]]&gt;1,"Duplicado","Unico")</f>
        <v>Unico</v>
      </c>
      <c r="P671" t="str">
        <f t="shared" si="41"/>
        <v>OK</v>
      </c>
      <c r="Q671" t="str">
        <f t="shared" si="42"/>
        <v>OK</v>
      </c>
      <c r="R671" t="str">
        <f t="shared" si="43"/>
        <v>OK</v>
      </c>
    </row>
    <row r="672" spans="1:18" x14ac:dyDescent="0.3">
      <c r="A672" s="1">
        <v>45781</v>
      </c>
      <c r="B672" s="2" t="s">
        <v>2622</v>
      </c>
      <c r="C672" s="2" t="s">
        <v>2527</v>
      </c>
      <c r="D672" s="2" t="s">
        <v>2528</v>
      </c>
      <c r="E672" s="2" t="s">
        <v>2529</v>
      </c>
      <c r="F672" s="3">
        <v>129483</v>
      </c>
      <c r="G672" s="3">
        <v>1420</v>
      </c>
      <c r="H672" s="3">
        <v>186</v>
      </c>
      <c r="I672" s="4">
        <v>1310.1300000000001</v>
      </c>
      <c r="J672" s="4">
        <v>7578.48</v>
      </c>
      <c r="K672" s="3">
        <v>135</v>
      </c>
      <c r="L672" s="2" t="s">
        <v>2539</v>
      </c>
      <c r="M672" s="2" t="s">
        <v>2537</v>
      </c>
      <c r="N672" s="6">
        <f t="shared" si="40"/>
        <v>1</v>
      </c>
      <c r="O672" t="str">
        <f>IF(Tabla_control[[#This Row],[Control_duplicados]]&gt;1,"Duplicado","Unico")</f>
        <v>Unico</v>
      </c>
      <c r="P672" t="str">
        <f t="shared" si="41"/>
        <v>OK</v>
      </c>
      <c r="Q672" t="str">
        <f t="shared" si="42"/>
        <v>OK</v>
      </c>
      <c r="R672" t="str">
        <f t="shared" si="43"/>
        <v>OK</v>
      </c>
    </row>
    <row r="673" spans="1:18" x14ac:dyDescent="0.3">
      <c r="A673" s="1">
        <v>45960</v>
      </c>
      <c r="B673" s="2" t="s">
        <v>2619</v>
      </c>
      <c r="C673" s="2" t="s">
        <v>2515</v>
      </c>
      <c r="D673" s="2" t="s">
        <v>2516</v>
      </c>
      <c r="E673" s="2" t="s">
        <v>2529</v>
      </c>
      <c r="F673" s="3">
        <v>165650</v>
      </c>
      <c r="G673" s="3">
        <v>5047</v>
      </c>
      <c r="H673" s="3">
        <v>292</v>
      </c>
      <c r="I673" s="4">
        <v>2537.9699999999998</v>
      </c>
      <c r="J673" s="4">
        <v>32206.3</v>
      </c>
      <c r="K673" s="3">
        <v>156</v>
      </c>
      <c r="L673" s="2" t="s">
        <v>2523</v>
      </c>
      <c r="M673" s="2" t="s">
        <v>2524</v>
      </c>
      <c r="N673" s="6">
        <f t="shared" si="40"/>
        <v>1</v>
      </c>
      <c r="O673" t="str">
        <f>IF(Tabla_control[[#This Row],[Control_duplicados]]&gt;1,"Duplicado","Unico")</f>
        <v>Unico</v>
      </c>
      <c r="P673" t="str">
        <f t="shared" si="41"/>
        <v>OK</v>
      </c>
      <c r="Q673" t="str">
        <f t="shared" si="42"/>
        <v>OK</v>
      </c>
      <c r="R673" t="str">
        <f t="shared" si="43"/>
        <v>OK</v>
      </c>
    </row>
    <row r="674" spans="1:18" x14ac:dyDescent="0.3">
      <c r="A674" s="1">
        <v>45762</v>
      </c>
      <c r="B674" s="2" t="s">
        <v>2635</v>
      </c>
      <c r="C674" s="2" t="s">
        <v>2515</v>
      </c>
      <c r="D674" s="2" t="s">
        <v>2528</v>
      </c>
      <c r="E674" s="2" t="s">
        <v>2529</v>
      </c>
      <c r="F674" s="3">
        <v>22582</v>
      </c>
      <c r="G674" s="3">
        <v>433</v>
      </c>
      <c r="H674" s="3">
        <v>14</v>
      </c>
      <c r="I674" s="4">
        <v>794.38</v>
      </c>
      <c r="J674" s="4">
        <v>1345.65</v>
      </c>
      <c r="K674" s="3">
        <v>10</v>
      </c>
      <c r="L674" s="2" t="s">
        <v>2523</v>
      </c>
      <c r="M674" s="2" t="s">
        <v>2526</v>
      </c>
      <c r="N674" s="6">
        <f t="shared" si="40"/>
        <v>1</v>
      </c>
      <c r="O674" t="str">
        <f>IF(Tabla_control[[#This Row],[Control_duplicados]]&gt;1,"Duplicado","Unico")</f>
        <v>Unico</v>
      </c>
      <c r="P674" t="str">
        <f t="shared" si="41"/>
        <v>OK</v>
      </c>
      <c r="Q674" t="str">
        <f t="shared" si="42"/>
        <v>OK</v>
      </c>
      <c r="R674" t="str">
        <f t="shared" si="43"/>
        <v>OK</v>
      </c>
    </row>
    <row r="675" spans="1:18" x14ac:dyDescent="0.3">
      <c r="A675" s="1">
        <v>45929</v>
      </c>
      <c r="B675" s="2" t="s">
        <v>2622</v>
      </c>
      <c r="C675" s="2" t="s">
        <v>2515</v>
      </c>
      <c r="D675" s="2" t="s">
        <v>2522</v>
      </c>
      <c r="E675" s="2" t="s">
        <v>2517</v>
      </c>
      <c r="F675" s="3">
        <v>125690</v>
      </c>
      <c r="G675" s="3">
        <v>5482</v>
      </c>
      <c r="H675" s="3">
        <v>432</v>
      </c>
      <c r="I675" s="4">
        <v>9711.41</v>
      </c>
      <c r="J675" s="4">
        <v>21270.66</v>
      </c>
      <c r="K675" s="3">
        <v>347</v>
      </c>
      <c r="L675" s="2" t="s">
        <v>2518</v>
      </c>
      <c r="M675" s="2" t="s">
        <v>2546</v>
      </c>
      <c r="N675" s="6">
        <f t="shared" si="40"/>
        <v>1</v>
      </c>
      <c r="O675" t="str">
        <f>IF(Tabla_control[[#This Row],[Control_duplicados]]&gt;1,"Duplicado","Unico")</f>
        <v>Unico</v>
      </c>
      <c r="P675" t="str">
        <f t="shared" si="41"/>
        <v>OK</v>
      </c>
      <c r="Q675" t="str">
        <f t="shared" si="42"/>
        <v>OK</v>
      </c>
      <c r="R675" t="str">
        <f t="shared" si="43"/>
        <v>OK</v>
      </c>
    </row>
    <row r="676" spans="1:18" x14ac:dyDescent="0.3">
      <c r="A676" s="1">
        <v>45860</v>
      </c>
      <c r="B676" s="2" t="s">
        <v>2622</v>
      </c>
      <c r="C676" s="2" t="s">
        <v>2541</v>
      </c>
      <c r="D676" s="2" t="s">
        <v>2522</v>
      </c>
      <c r="E676" s="2" t="s">
        <v>2529</v>
      </c>
      <c r="F676" s="3">
        <v>57099</v>
      </c>
      <c r="G676" s="3">
        <v>4595</v>
      </c>
      <c r="H676" s="3">
        <v>242</v>
      </c>
      <c r="I676" s="4">
        <v>8110.22</v>
      </c>
      <c r="J676" s="4">
        <v>21665.16</v>
      </c>
      <c r="K676" s="3">
        <v>121</v>
      </c>
      <c r="L676" s="2" t="s">
        <v>2536</v>
      </c>
      <c r="M676" s="2" t="s">
        <v>2519</v>
      </c>
      <c r="N676" s="6">
        <f t="shared" si="40"/>
        <v>2</v>
      </c>
      <c r="O676" t="str">
        <f>IF(Tabla_control[[#This Row],[Control_duplicados]]&gt;1,"Duplicado","Unico")</f>
        <v>Duplicado</v>
      </c>
      <c r="P676" t="str">
        <f t="shared" si="41"/>
        <v>OK</v>
      </c>
      <c r="Q676" t="str">
        <f t="shared" si="42"/>
        <v>OK</v>
      </c>
      <c r="R676" t="str">
        <f t="shared" si="43"/>
        <v>OK</v>
      </c>
    </row>
    <row r="677" spans="1:18" x14ac:dyDescent="0.3">
      <c r="A677" s="1">
        <v>45672</v>
      </c>
      <c r="B677" s="2" t="s">
        <v>2635</v>
      </c>
      <c r="C677" s="2" t="s">
        <v>2527</v>
      </c>
      <c r="D677" s="2" t="s">
        <v>2531</v>
      </c>
      <c r="E677" s="2" t="s">
        <v>2529</v>
      </c>
      <c r="F677" s="3">
        <v>75640</v>
      </c>
      <c r="G677" s="3">
        <v>4641</v>
      </c>
      <c r="H677" s="3">
        <v>140</v>
      </c>
      <c r="I677" s="4">
        <v>5644.18</v>
      </c>
      <c r="J677" s="4">
        <v>14349.7</v>
      </c>
      <c r="K677" s="3">
        <v>78</v>
      </c>
      <c r="L677" s="2" t="s">
        <v>2539</v>
      </c>
      <c r="M677" s="2" t="s">
        <v>2546</v>
      </c>
      <c r="N677" s="6">
        <f t="shared" si="40"/>
        <v>1</v>
      </c>
      <c r="O677" t="str">
        <f>IF(Tabla_control[[#This Row],[Control_duplicados]]&gt;1,"Duplicado","Unico")</f>
        <v>Unico</v>
      </c>
      <c r="P677" t="str">
        <f t="shared" si="41"/>
        <v>OK</v>
      </c>
      <c r="Q677" t="str">
        <f t="shared" si="42"/>
        <v>OK</v>
      </c>
      <c r="R677" t="str">
        <f t="shared" si="43"/>
        <v>OK</v>
      </c>
    </row>
    <row r="678" spans="1:18" x14ac:dyDescent="0.3">
      <c r="A678" s="1">
        <v>45849</v>
      </c>
      <c r="B678" s="2" t="s">
        <v>2618</v>
      </c>
      <c r="C678" s="2" t="s">
        <v>2533</v>
      </c>
      <c r="D678" s="2" t="s">
        <v>2531</v>
      </c>
      <c r="E678" s="2" t="s">
        <v>2534</v>
      </c>
      <c r="F678" s="3">
        <v>168003</v>
      </c>
      <c r="G678" s="3">
        <v>8511</v>
      </c>
      <c r="H678" s="3">
        <v>464</v>
      </c>
      <c r="I678" s="4">
        <v>10605.75</v>
      </c>
      <c r="J678" s="4">
        <v>78496.539999999994</v>
      </c>
      <c r="K678" s="3">
        <v>291</v>
      </c>
      <c r="L678" s="2" t="s">
        <v>2518</v>
      </c>
      <c r="M678" s="2" t="s">
        <v>2524</v>
      </c>
      <c r="N678" s="6">
        <f t="shared" si="40"/>
        <v>1</v>
      </c>
      <c r="O678" t="str">
        <f>IF(Tabla_control[[#This Row],[Control_duplicados]]&gt;1,"Duplicado","Unico")</f>
        <v>Unico</v>
      </c>
      <c r="P678" t="str">
        <f t="shared" si="41"/>
        <v>OK</v>
      </c>
      <c r="Q678" t="str">
        <f t="shared" si="42"/>
        <v>OK</v>
      </c>
      <c r="R678" t="str">
        <f t="shared" si="43"/>
        <v>OK</v>
      </c>
    </row>
    <row r="679" spans="1:18" x14ac:dyDescent="0.3">
      <c r="A679" s="1">
        <v>45980</v>
      </c>
      <c r="B679" s="2" t="s">
        <v>2636</v>
      </c>
      <c r="C679" s="2" t="s">
        <v>2533</v>
      </c>
      <c r="D679" s="2" t="s">
        <v>2528</v>
      </c>
      <c r="E679" s="2" t="s">
        <v>2517</v>
      </c>
      <c r="F679" s="3">
        <v>48844</v>
      </c>
      <c r="G679" s="3">
        <v>1237</v>
      </c>
      <c r="H679" s="3">
        <v>129</v>
      </c>
      <c r="I679" s="4">
        <v>355.96</v>
      </c>
      <c r="J679" s="4">
        <v>16266.25</v>
      </c>
      <c r="K679" s="3">
        <v>93</v>
      </c>
      <c r="L679" s="2" t="s">
        <v>2536</v>
      </c>
      <c r="M679" s="2" t="s">
        <v>2526</v>
      </c>
      <c r="N679" s="6">
        <f t="shared" si="40"/>
        <v>1</v>
      </c>
      <c r="O679" t="str">
        <f>IF(Tabla_control[[#This Row],[Control_duplicados]]&gt;1,"Duplicado","Unico")</f>
        <v>Unico</v>
      </c>
      <c r="P679" t="str">
        <f t="shared" si="41"/>
        <v>OK</v>
      </c>
      <c r="Q679" t="str">
        <f t="shared" si="42"/>
        <v>OK</v>
      </c>
      <c r="R679" t="str">
        <f t="shared" si="43"/>
        <v>OK</v>
      </c>
    </row>
    <row r="680" spans="1:18" x14ac:dyDescent="0.3">
      <c r="A680" s="1">
        <v>45907</v>
      </c>
      <c r="B680" s="2" t="s">
        <v>2631</v>
      </c>
      <c r="C680" s="2" t="s">
        <v>2527</v>
      </c>
      <c r="D680" s="2" t="s">
        <v>2528</v>
      </c>
      <c r="E680" s="2" t="s">
        <v>2529</v>
      </c>
      <c r="F680" s="3">
        <v>157605</v>
      </c>
      <c r="G680" s="3">
        <v>10945</v>
      </c>
      <c r="H680" s="3">
        <v>753</v>
      </c>
      <c r="I680" s="4">
        <v>7928.79</v>
      </c>
      <c r="J680" s="4">
        <v>147210.54999999999</v>
      </c>
      <c r="K680" s="3">
        <v>493</v>
      </c>
      <c r="L680" s="2" t="s">
        <v>2518</v>
      </c>
      <c r="M680" s="2" t="s">
        <v>2537</v>
      </c>
      <c r="N680" s="6">
        <f t="shared" si="40"/>
        <v>1</v>
      </c>
      <c r="O680" t="str">
        <f>IF(Tabla_control[[#This Row],[Control_duplicados]]&gt;1,"Duplicado","Unico")</f>
        <v>Unico</v>
      </c>
      <c r="P680" t="str">
        <f t="shared" si="41"/>
        <v>OK</v>
      </c>
      <c r="Q680" t="str">
        <f t="shared" si="42"/>
        <v>OK</v>
      </c>
      <c r="R680" t="str">
        <f t="shared" si="43"/>
        <v>OK</v>
      </c>
    </row>
    <row r="681" spans="1:18" x14ac:dyDescent="0.3">
      <c r="A681" s="1">
        <v>45879</v>
      </c>
      <c r="B681" s="2" t="s">
        <v>2625</v>
      </c>
      <c r="C681" s="2" t="s">
        <v>2521</v>
      </c>
      <c r="D681" s="2" t="s">
        <v>2522</v>
      </c>
      <c r="E681" s="2" t="s">
        <v>2529</v>
      </c>
      <c r="F681" s="3">
        <v>117821</v>
      </c>
      <c r="G681" s="3">
        <v>1769</v>
      </c>
      <c r="H681" s="3">
        <v>134</v>
      </c>
      <c r="I681" s="4">
        <v>559</v>
      </c>
      <c r="J681" s="4">
        <v>3711</v>
      </c>
      <c r="K681" s="3">
        <v>117</v>
      </c>
      <c r="L681" s="2" t="s">
        <v>2539</v>
      </c>
      <c r="M681" s="2" t="s">
        <v>2537</v>
      </c>
      <c r="N681" s="6">
        <f t="shared" si="40"/>
        <v>1</v>
      </c>
      <c r="O681" t="str">
        <f>IF(Tabla_control[[#This Row],[Control_duplicados]]&gt;1,"Duplicado","Unico")</f>
        <v>Unico</v>
      </c>
      <c r="P681" t="str">
        <f t="shared" si="41"/>
        <v>OK</v>
      </c>
      <c r="Q681" t="str">
        <f t="shared" si="42"/>
        <v>OK</v>
      </c>
      <c r="R681" t="str">
        <f t="shared" si="43"/>
        <v>OK</v>
      </c>
    </row>
    <row r="682" spans="1:18" x14ac:dyDescent="0.3">
      <c r="A682" s="1">
        <v>45950</v>
      </c>
      <c r="B682" s="2" t="s">
        <v>2630</v>
      </c>
      <c r="C682" s="2" t="s">
        <v>2521</v>
      </c>
      <c r="D682" s="2" t="s">
        <v>2531</v>
      </c>
      <c r="E682" s="2" t="s">
        <v>2517</v>
      </c>
      <c r="F682" s="3">
        <v>90138</v>
      </c>
      <c r="G682" s="3">
        <v>1952</v>
      </c>
      <c r="H682" s="3">
        <v>182</v>
      </c>
      <c r="I682" s="4">
        <v>3510.27</v>
      </c>
      <c r="J682" s="4">
        <v>29254.3</v>
      </c>
      <c r="K682" s="3">
        <v>145</v>
      </c>
      <c r="L682" s="2" t="s">
        <v>2539</v>
      </c>
      <c r="M682" s="2" t="s">
        <v>2546</v>
      </c>
      <c r="N682" s="6">
        <f t="shared" si="40"/>
        <v>1</v>
      </c>
      <c r="O682" t="str">
        <f>IF(Tabla_control[[#This Row],[Control_duplicados]]&gt;1,"Duplicado","Unico")</f>
        <v>Unico</v>
      </c>
      <c r="P682" t="str">
        <f t="shared" si="41"/>
        <v>OK</v>
      </c>
      <c r="Q682" t="str">
        <f t="shared" si="42"/>
        <v>OK</v>
      </c>
      <c r="R682" t="str">
        <f t="shared" si="43"/>
        <v>OK</v>
      </c>
    </row>
    <row r="683" spans="1:18" x14ac:dyDescent="0.3">
      <c r="A683" s="1">
        <v>45877</v>
      </c>
      <c r="B683" s="2" t="s">
        <v>2628</v>
      </c>
      <c r="C683" s="2" t="s">
        <v>2645</v>
      </c>
      <c r="D683" s="2" t="s">
        <v>2516</v>
      </c>
      <c r="E683" s="2" t="s">
        <v>2529</v>
      </c>
      <c r="F683" s="3">
        <v>96911</v>
      </c>
      <c r="G683" s="3">
        <v>4918</v>
      </c>
      <c r="H683" s="3">
        <v>612</v>
      </c>
      <c r="I683" s="4">
        <v>8914.11</v>
      </c>
      <c r="J683" s="4">
        <v>66408.649999999994</v>
      </c>
      <c r="K683" s="3">
        <v>543</v>
      </c>
      <c r="L683" s="2" t="s">
        <v>2536</v>
      </c>
      <c r="M683" s="2" t="s">
        <v>2526</v>
      </c>
      <c r="N683" s="6">
        <f t="shared" si="40"/>
        <v>1</v>
      </c>
      <c r="O683" t="str">
        <f>IF(Tabla_control[[#This Row],[Control_duplicados]]&gt;1,"Duplicado","Unico")</f>
        <v>Unico</v>
      </c>
      <c r="P683" t="str">
        <f t="shared" si="41"/>
        <v>OK</v>
      </c>
      <c r="Q683" t="str">
        <f t="shared" si="42"/>
        <v>OK</v>
      </c>
      <c r="R683" t="str">
        <f t="shared" si="43"/>
        <v>OK</v>
      </c>
    </row>
    <row r="684" spans="1:18" x14ac:dyDescent="0.3">
      <c r="A684" s="1">
        <v>45891</v>
      </c>
      <c r="B684" s="2" t="s">
        <v>2635</v>
      </c>
      <c r="C684" s="2" t="s">
        <v>2527</v>
      </c>
      <c r="D684" s="2" t="s">
        <v>2528</v>
      </c>
      <c r="E684" s="2" t="s">
        <v>2534</v>
      </c>
      <c r="F684" s="3">
        <v>124883</v>
      </c>
      <c r="G684" s="3">
        <v>2655</v>
      </c>
      <c r="H684" s="3">
        <v>19</v>
      </c>
      <c r="I684" s="4">
        <v>3617.88</v>
      </c>
      <c r="J684" s="4">
        <v>3756.92</v>
      </c>
      <c r="K684" s="3">
        <v>15</v>
      </c>
      <c r="L684" s="2" t="s">
        <v>2518</v>
      </c>
      <c r="M684" s="2" t="s">
        <v>2546</v>
      </c>
      <c r="N684" s="6">
        <f t="shared" si="40"/>
        <v>1</v>
      </c>
      <c r="O684" t="str">
        <f>IF(Tabla_control[[#This Row],[Control_duplicados]]&gt;1,"Duplicado","Unico")</f>
        <v>Unico</v>
      </c>
      <c r="P684" t="str">
        <f t="shared" si="41"/>
        <v>OK</v>
      </c>
      <c r="Q684" t="str">
        <f t="shared" si="42"/>
        <v>OK</v>
      </c>
      <c r="R684" t="str">
        <f t="shared" si="43"/>
        <v>OK</v>
      </c>
    </row>
    <row r="685" spans="1:18" x14ac:dyDescent="0.3">
      <c r="A685" s="1">
        <v>45662</v>
      </c>
      <c r="B685" s="2" t="s">
        <v>2623</v>
      </c>
      <c r="C685" s="2" t="s">
        <v>2541</v>
      </c>
      <c r="D685" s="2" t="s">
        <v>2516</v>
      </c>
      <c r="E685" s="2" t="s">
        <v>2517</v>
      </c>
      <c r="F685" s="3">
        <v>162176</v>
      </c>
      <c r="G685" s="3">
        <v>7106</v>
      </c>
      <c r="H685" s="3">
        <v>872</v>
      </c>
      <c r="I685" s="4">
        <v>5250.62</v>
      </c>
      <c r="J685" s="4">
        <v>63653.01</v>
      </c>
      <c r="K685" s="3">
        <v>685</v>
      </c>
      <c r="L685" s="2" t="s">
        <v>2536</v>
      </c>
      <c r="M685" s="2" t="s">
        <v>2524</v>
      </c>
      <c r="N685" s="6">
        <f t="shared" si="40"/>
        <v>1</v>
      </c>
      <c r="O685" t="str">
        <f>IF(Tabla_control[[#This Row],[Control_duplicados]]&gt;1,"Duplicado","Unico")</f>
        <v>Unico</v>
      </c>
      <c r="P685" t="str">
        <f t="shared" si="41"/>
        <v>OK</v>
      </c>
      <c r="Q685" t="str">
        <f t="shared" si="42"/>
        <v>OK</v>
      </c>
      <c r="R685" t="str">
        <f t="shared" si="43"/>
        <v>OK</v>
      </c>
    </row>
    <row r="686" spans="1:18" x14ac:dyDescent="0.3">
      <c r="A686" s="1">
        <v>45980</v>
      </c>
      <c r="B686" s="2" t="s">
        <v>2623</v>
      </c>
      <c r="C686" s="2" t="s">
        <v>2521</v>
      </c>
      <c r="D686" s="2" t="s">
        <v>2528</v>
      </c>
      <c r="E686" s="2" t="s">
        <v>2529</v>
      </c>
      <c r="F686" s="3">
        <v>8595</v>
      </c>
      <c r="G686" s="3">
        <v>237</v>
      </c>
      <c r="H686" s="3">
        <v>13</v>
      </c>
      <c r="I686" s="4">
        <v>217.65</v>
      </c>
      <c r="J686" s="4">
        <v>241.9</v>
      </c>
      <c r="K686" s="3">
        <v>6</v>
      </c>
      <c r="L686" s="2" t="s">
        <v>2539</v>
      </c>
      <c r="M686" s="2" t="s">
        <v>2526</v>
      </c>
      <c r="N686" s="6">
        <f t="shared" si="40"/>
        <v>1</v>
      </c>
      <c r="O686" t="str">
        <f>IF(Tabla_control[[#This Row],[Control_duplicados]]&gt;1,"Duplicado","Unico")</f>
        <v>Unico</v>
      </c>
      <c r="P686" t="str">
        <f t="shared" si="41"/>
        <v>OK</v>
      </c>
      <c r="Q686" t="str">
        <f t="shared" si="42"/>
        <v>OK</v>
      </c>
      <c r="R686" t="str">
        <f t="shared" si="43"/>
        <v>OK</v>
      </c>
    </row>
    <row r="687" spans="1:18" x14ac:dyDescent="0.3">
      <c r="A687" s="1">
        <v>45705</v>
      </c>
      <c r="B687" s="2" t="s">
        <v>2621</v>
      </c>
      <c r="C687" s="2" t="s">
        <v>2515</v>
      </c>
      <c r="D687" s="2" t="s">
        <v>2516</v>
      </c>
      <c r="E687" s="2" t="s">
        <v>2529</v>
      </c>
      <c r="F687" s="3">
        <v>44692</v>
      </c>
      <c r="G687" s="3">
        <v>1730</v>
      </c>
      <c r="H687" s="3">
        <v>54</v>
      </c>
      <c r="I687" s="4">
        <v>1823.76</v>
      </c>
      <c r="J687" s="4">
        <v>8757.1299999999992</v>
      </c>
      <c r="K687" s="3">
        <v>26</v>
      </c>
      <c r="L687" s="2" t="s">
        <v>2536</v>
      </c>
      <c r="M687" s="2" t="s">
        <v>2519</v>
      </c>
      <c r="N687" s="6">
        <f t="shared" si="40"/>
        <v>1</v>
      </c>
      <c r="O687" t="str">
        <f>IF(Tabla_control[[#This Row],[Control_duplicados]]&gt;1,"Duplicado","Unico")</f>
        <v>Unico</v>
      </c>
      <c r="P687" t="str">
        <f t="shared" si="41"/>
        <v>OK</v>
      </c>
      <c r="Q687" t="str">
        <f t="shared" si="42"/>
        <v>OK</v>
      </c>
      <c r="R687" t="str">
        <f t="shared" si="43"/>
        <v>OK</v>
      </c>
    </row>
    <row r="688" spans="1:18" x14ac:dyDescent="0.3">
      <c r="A688" s="1">
        <v>45966</v>
      </c>
      <c r="B688" s="2" t="s">
        <v>2644</v>
      </c>
      <c r="C688" s="2" t="s">
        <v>2541</v>
      </c>
      <c r="D688" s="2" t="s">
        <v>2528</v>
      </c>
      <c r="E688" s="2" t="s">
        <v>2529</v>
      </c>
      <c r="F688" s="3">
        <v>169276</v>
      </c>
      <c r="G688" s="3">
        <v>1538</v>
      </c>
      <c r="H688" s="3">
        <v>200</v>
      </c>
      <c r="I688" s="4">
        <v>993.49</v>
      </c>
      <c r="J688" s="4">
        <v>27118.27</v>
      </c>
      <c r="K688" s="3">
        <v>95</v>
      </c>
      <c r="L688" s="2" t="s">
        <v>2536</v>
      </c>
      <c r="M688" s="2" t="s">
        <v>2537</v>
      </c>
      <c r="N688" s="6">
        <f t="shared" si="40"/>
        <v>1</v>
      </c>
      <c r="O688" t="str">
        <f>IF(Tabla_control[[#This Row],[Control_duplicados]]&gt;1,"Duplicado","Unico")</f>
        <v>Unico</v>
      </c>
      <c r="P688" t="str">
        <f t="shared" si="41"/>
        <v>OK</v>
      </c>
      <c r="Q688" t="str">
        <f t="shared" si="42"/>
        <v>OK</v>
      </c>
      <c r="R688" t="str">
        <f t="shared" si="43"/>
        <v>OK</v>
      </c>
    </row>
    <row r="689" spans="1:18" x14ac:dyDescent="0.3">
      <c r="A689" s="1">
        <v>45677</v>
      </c>
      <c r="B689" s="2" t="s">
        <v>2644</v>
      </c>
      <c r="C689" s="2" t="s">
        <v>2521</v>
      </c>
      <c r="D689" s="2" t="s">
        <v>2528</v>
      </c>
      <c r="E689" s="2" t="s">
        <v>2517</v>
      </c>
      <c r="F689" s="3">
        <v>152530</v>
      </c>
      <c r="G689" s="3">
        <v>7322</v>
      </c>
      <c r="H689" s="3">
        <v>373</v>
      </c>
      <c r="I689" s="4">
        <v>14004.51</v>
      </c>
      <c r="J689" s="4">
        <v>41976.75</v>
      </c>
      <c r="K689" s="3">
        <v>235</v>
      </c>
      <c r="L689" s="2" t="s">
        <v>2523</v>
      </c>
      <c r="M689" s="2" t="s">
        <v>2537</v>
      </c>
      <c r="N689" s="6">
        <f t="shared" si="40"/>
        <v>1</v>
      </c>
      <c r="O689" t="str">
        <f>IF(Tabla_control[[#This Row],[Control_duplicados]]&gt;1,"Duplicado","Unico")</f>
        <v>Unico</v>
      </c>
      <c r="P689" t="str">
        <f t="shared" si="41"/>
        <v>OK</v>
      </c>
      <c r="Q689" t="str">
        <f t="shared" si="42"/>
        <v>OK</v>
      </c>
      <c r="R689" t="str">
        <f t="shared" si="43"/>
        <v>OK</v>
      </c>
    </row>
    <row r="690" spans="1:18" x14ac:dyDescent="0.3">
      <c r="A690" s="1">
        <v>45821</v>
      </c>
      <c r="B690" s="2" t="s">
        <v>2615</v>
      </c>
      <c r="C690" s="2" t="s">
        <v>2533</v>
      </c>
      <c r="D690" s="2" t="s">
        <v>2528</v>
      </c>
      <c r="E690" s="2" t="s">
        <v>2529</v>
      </c>
      <c r="F690" s="3">
        <v>140560</v>
      </c>
      <c r="G690" s="3">
        <v>9208</v>
      </c>
      <c r="H690" s="3">
        <v>1003</v>
      </c>
      <c r="I690" s="4">
        <v>10197.780000000001</v>
      </c>
      <c r="J690" s="4">
        <v>175123.41</v>
      </c>
      <c r="K690" s="3">
        <v>501</v>
      </c>
      <c r="L690" s="2" t="s">
        <v>2523</v>
      </c>
      <c r="M690" s="2" t="s">
        <v>2519</v>
      </c>
      <c r="N690" s="6">
        <f t="shared" si="40"/>
        <v>1</v>
      </c>
      <c r="O690" t="str">
        <f>IF(Tabla_control[[#This Row],[Control_duplicados]]&gt;1,"Duplicado","Unico")</f>
        <v>Unico</v>
      </c>
      <c r="P690" t="str">
        <f t="shared" si="41"/>
        <v>OK</v>
      </c>
      <c r="Q690" t="str">
        <f t="shared" si="42"/>
        <v>OK</v>
      </c>
      <c r="R690" t="str">
        <f t="shared" si="43"/>
        <v>OK</v>
      </c>
    </row>
    <row r="691" spans="1:18" x14ac:dyDescent="0.3">
      <c r="A691" s="1">
        <v>45812</v>
      </c>
      <c r="B691" s="2" t="s">
        <v>2640</v>
      </c>
      <c r="C691" s="2" t="s">
        <v>2527</v>
      </c>
      <c r="D691" s="2" t="s">
        <v>2516</v>
      </c>
      <c r="E691" s="2" t="s">
        <v>2529</v>
      </c>
      <c r="F691" s="3">
        <v>83050</v>
      </c>
      <c r="G691" s="3">
        <v>4655</v>
      </c>
      <c r="H691" s="3">
        <v>43</v>
      </c>
      <c r="I691" s="4">
        <v>6003.72</v>
      </c>
      <c r="J691" s="4">
        <v>5642.28</v>
      </c>
      <c r="K691" s="3">
        <v>20</v>
      </c>
      <c r="L691" s="2" t="s">
        <v>2518</v>
      </c>
      <c r="M691" s="2" t="s">
        <v>2519</v>
      </c>
      <c r="N691" s="6">
        <f t="shared" si="40"/>
        <v>1</v>
      </c>
      <c r="O691" t="str">
        <f>IF(Tabla_control[[#This Row],[Control_duplicados]]&gt;1,"Duplicado","Unico")</f>
        <v>Unico</v>
      </c>
      <c r="P691" t="str">
        <f t="shared" si="41"/>
        <v>OK</v>
      </c>
      <c r="Q691" t="str">
        <f t="shared" si="42"/>
        <v>OK</v>
      </c>
      <c r="R691" t="str">
        <f t="shared" si="43"/>
        <v>OK</v>
      </c>
    </row>
    <row r="692" spans="1:18" x14ac:dyDescent="0.3">
      <c r="A692" s="1">
        <v>45673</v>
      </c>
      <c r="B692" s="2" t="s">
        <v>2616</v>
      </c>
      <c r="C692" s="2" t="s">
        <v>2543</v>
      </c>
      <c r="D692" s="2" t="s">
        <v>2522</v>
      </c>
      <c r="E692" s="2" t="s">
        <v>2517</v>
      </c>
      <c r="F692" s="3">
        <v>50916</v>
      </c>
      <c r="G692" s="3">
        <v>2977</v>
      </c>
      <c r="H692" s="3">
        <v>256</v>
      </c>
      <c r="I692" s="4">
        <v>3954.53</v>
      </c>
      <c r="J692" s="4">
        <v>15565.99</v>
      </c>
      <c r="K692" s="3">
        <v>197</v>
      </c>
      <c r="L692" s="2" t="s">
        <v>2536</v>
      </c>
      <c r="M692" s="2" t="s">
        <v>2519</v>
      </c>
      <c r="N692" s="6">
        <f t="shared" si="40"/>
        <v>1</v>
      </c>
      <c r="O692" t="str">
        <f>IF(Tabla_control[[#This Row],[Control_duplicados]]&gt;1,"Duplicado","Unico")</f>
        <v>Unico</v>
      </c>
      <c r="P692" t="str">
        <f t="shared" si="41"/>
        <v>OK</v>
      </c>
      <c r="Q692" t="str">
        <f t="shared" si="42"/>
        <v>OK</v>
      </c>
      <c r="R692" t="str">
        <f t="shared" si="43"/>
        <v>OK</v>
      </c>
    </row>
    <row r="693" spans="1:18" x14ac:dyDescent="0.3">
      <c r="A693" s="1">
        <v>45871</v>
      </c>
      <c r="B693" s="2" t="s">
        <v>2640</v>
      </c>
      <c r="C693" s="2" t="s">
        <v>2533</v>
      </c>
      <c r="D693" s="2" t="s">
        <v>2528</v>
      </c>
      <c r="E693" s="2" t="s">
        <v>2517</v>
      </c>
      <c r="F693" s="3">
        <v>122929</v>
      </c>
      <c r="G693" s="3">
        <v>9675</v>
      </c>
      <c r="H693" s="3">
        <v>765</v>
      </c>
      <c r="I693" s="4">
        <v>18052.349999999999</v>
      </c>
      <c r="J693" s="4">
        <v>164213.48000000001</v>
      </c>
      <c r="K693" s="3">
        <v>670</v>
      </c>
      <c r="L693" s="2" t="s">
        <v>2539</v>
      </c>
      <c r="M693" s="2" t="s">
        <v>2537</v>
      </c>
      <c r="N693" s="6">
        <f t="shared" si="40"/>
        <v>1</v>
      </c>
      <c r="O693" t="str">
        <f>IF(Tabla_control[[#This Row],[Control_duplicados]]&gt;1,"Duplicado","Unico")</f>
        <v>Unico</v>
      </c>
      <c r="P693" t="str">
        <f t="shared" si="41"/>
        <v>OK</v>
      </c>
      <c r="Q693" t="str">
        <f t="shared" si="42"/>
        <v>OK</v>
      </c>
      <c r="R693" t="str">
        <f t="shared" si="43"/>
        <v>OK</v>
      </c>
    </row>
    <row r="694" spans="1:18" x14ac:dyDescent="0.3">
      <c r="A694" s="1">
        <v>46011</v>
      </c>
      <c r="B694" s="2" t="s">
        <v>2637</v>
      </c>
      <c r="C694" s="2" t="s">
        <v>2533</v>
      </c>
      <c r="D694" s="2" t="s">
        <v>2516</v>
      </c>
      <c r="E694" s="2" t="s">
        <v>2529</v>
      </c>
      <c r="F694" s="3">
        <v>132460</v>
      </c>
      <c r="G694" s="3">
        <v>9522</v>
      </c>
      <c r="H694" s="3">
        <v>930</v>
      </c>
      <c r="I694" s="4">
        <v>3561.49</v>
      </c>
      <c r="J694" s="4">
        <v>188777.57</v>
      </c>
      <c r="K694" s="3">
        <v>461</v>
      </c>
      <c r="L694" s="2" t="s">
        <v>2536</v>
      </c>
      <c r="M694" s="2" t="s">
        <v>2519</v>
      </c>
      <c r="N694" s="6">
        <f t="shared" si="40"/>
        <v>1</v>
      </c>
      <c r="O694" t="str">
        <f>IF(Tabla_control[[#This Row],[Control_duplicados]]&gt;1,"Duplicado","Unico")</f>
        <v>Unico</v>
      </c>
      <c r="P694" t="str">
        <f t="shared" si="41"/>
        <v>OK</v>
      </c>
      <c r="Q694" t="str">
        <f t="shared" si="42"/>
        <v>OK</v>
      </c>
      <c r="R694" t="str">
        <f t="shared" si="43"/>
        <v>OK</v>
      </c>
    </row>
    <row r="695" spans="1:18" x14ac:dyDescent="0.3">
      <c r="A695" s="1">
        <v>45695</v>
      </c>
      <c r="B695" s="2" t="s">
        <v>2640</v>
      </c>
      <c r="C695" s="2" t="s">
        <v>2645</v>
      </c>
      <c r="D695" s="2" t="s">
        <v>2516</v>
      </c>
      <c r="E695" s="2" t="s">
        <v>2529</v>
      </c>
      <c r="F695" s="3">
        <v>22543</v>
      </c>
      <c r="G695" s="3">
        <v>1542</v>
      </c>
      <c r="H695" s="3">
        <v>135</v>
      </c>
      <c r="I695" s="4">
        <v>1832.85</v>
      </c>
      <c r="J695" s="4">
        <v>24155.74</v>
      </c>
      <c r="K695" s="3">
        <v>82</v>
      </c>
      <c r="L695" s="2" t="s">
        <v>2523</v>
      </c>
      <c r="M695" s="2" t="s">
        <v>2645</v>
      </c>
      <c r="N695" s="6">
        <f t="shared" si="40"/>
        <v>1</v>
      </c>
      <c r="O695" t="str">
        <f>IF(Tabla_control[[#This Row],[Control_duplicados]]&gt;1,"Duplicado","Unico")</f>
        <v>Unico</v>
      </c>
      <c r="P695" t="str">
        <f t="shared" si="41"/>
        <v>OK</v>
      </c>
      <c r="Q695" t="str">
        <f t="shared" si="42"/>
        <v>OK</v>
      </c>
      <c r="R695" t="str">
        <f t="shared" si="43"/>
        <v>OK</v>
      </c>
    </row>
    <row r="696" spans="1:18" x14ac:dyDescent="0.3">
      <c r="A696" s="1">
        <v>45867</v>
      </c>
      <c r="B696" s="2" t="s">
        <v>2640</v>
      </c>
      <c r="C696" s="2" t="s">
        <v>2515</v>
      </c>
      <c r="D696" s="2" t="s">
        <v>2528</v>
      </c>
      <c r="E696" s="2" t="s">
        <v>2534</v>
      </c>
      <c r="F696" s="3">
        <v>123717</v>
      </c>
      <c r="G696" s="3">
        <v>1968</v>
      </c>
      <c r="H696" s="3">
        <v>256</v>
      </c>
      <c r="I696" s="4">
        <v>4074.84</v>
      </c>
      <c r="J696" s="4">
        <v>23475.75</v>
      </c>
      <c r="K696" s="3">
        <v>218</v>
      </c>
      <c r="L696" s="2" t="s">
        <v>2523</v>
      </c>
      <c r="M696" s="2" t="s">
        <v>2524</v>
      </c>
      <c r="N696" s="6">
        <f t="shared" si="40"/>
        <v>1</v>
      </c>
      <c r="O696" t="str">
        <f>IF(Tabla_control[[#This Row],[Control_duplicados]]&gt;1,"Duplicado","Unico")</f>
        <v>Unico</v>
      </c>
      <c r="P696" t="str">
        <f t="shared" si="41"/>
        <v>OK</v>
      </c>
      <c r="Q696" t="str">
        <f t="shared" si="42"/>
        <v>OK</v>
      </c>
      <c r="R696" t="str">
        <f t="shared" si="43"/>
        <v>OK</v>
      </c>
    </row>
    <row r="697" spans="1:18" x14ac:dyDescent="0.3">
      <c r="A697" s="1">
        <v>45729</v>
      </c>
      <c r="B697" s="2" t="s">
        <v>2622</v>
      </c>
      <c r="C697" s="2" t="s">
        <v>2541</v>
      </c>
      <c r="D697" s="2" t="s">
        <v>2528</v>
      </c>
      <c r="E697" s="2" t="s">
        <v>2517</v>
      </c>
      <c r="F697" s="3">
        <v>40808</v>
      </c>
      <c r="G697" s="3">
        <v>1997</v>
      </c>
      <c r="H697" s="3">
        <v>245</v>
      </c>
      <c r="I697" s="4">
        <v>1451.18</v>
      </c>
      <c r="J697" s="4">
        <v>22368.11</v>
      </c>
      <c r="K697" s="3">
        <v>150</v>
      </c>
      <c r="L697" s="2" t="s">
        <v>2539</v>
      </c>
      <c r="M697" s="2" t="s">
        <v>2519</v>
      </c>
      <c r="N697" s="6">
        <f t="shared" si="40"/>
        <v>1</v>
      </c>
      <c r="O697" t="str">
        <f>IF(Tabla_control[[#This Row],[Control_duplicados]]&gt;1,"Duplicado","Unico")</f>
        <v>Unico</v>
      </c>
      <c r="P697" t="str">
        <f t="shared" si="41"/>
        <v>OK</v>
      </c>
      <c r="Q697" t="str">
        <f t="shared" si="42"/>
        <v>OK</v>
      </c>
      <c r="R697" t="str">
        <f t="shared" si="43"/>
        <v>OK</v>
      </c>
    </row>
    <row r="698" spans="1:18" x14ac:dyDescent="0.3">
      <c r="A698" s="1">
        <v>45981</v>
      </c>
      <c r="B698" s="2" t="s">
        <v>2636</v>
      </c>
      <c r="C698" s="2" t="s">
        <v>2515</v>
      </c>
      <c r="D698" s="2" t="s">
        <v>2528</v>
      </c>
      <c r="E698" s="2" t="s">
        <v>2517</v>
      </c>
      <c r="F698" s="3">
        <v>4453</v>
      </c>
      <c r="G698" s="3">
        <v>258</v>
      </c>
      <c r="H698" s="3">
        <v>30</v>
      </c>
      <c r="I698" s="4">
        <v>469.78</v>
      </c>
      <c r="J698" s="4">
        <v>1241.54</v>
      </c>
      <c r="K698" s="3">
        <v>14</v>
      </c>
      <c r="L698" s="2" t="s">
        <v>2518</v>
      </c>
      <c r="M698" s="2" t="s">
        <v>2526</v>
      </c>
      <c r="N698" s="6">
        <f t="shared" si="40"/>
        <v>1</v>
      </c>
      <c r="O698" t="str">
        <f>IF(Tabla_control[[#This Row],[Control_duplicados]]&gt;1,"Duplicado","Unico")</f>
        <v>Unico</v>
      </c>
      <c r="P698" t="str">
        <f t="shared" si="41"/>
        <v>OK</v>
      </c>
      <c r="Q698" t="str">
        <f t="shared" si="42"/>
        <v>OK</v>
      </c>
      <c r="R698" t="str">
        <f t="shared" si="43"/>
        <v>OK</v>
      </c>
    </row>
    <row r="699" spans="1:18" x14ac:dyDescent="0.3">
      <c r="A699" s="1">
        <v>45952</v>
      </c>
      <c r="B699" s="2" t="s">
        <v>2642</v>
      </c>
      <c r="C699" s="2" t="s">
        <v>2541</v>
      </c>
      <c r="D699" s="2" t="s">
        <v>2528</v>
      </c>
      <c r="E699" s="2" t="s">
        <v>2529</v>
      </c>
      <c r="F699" s="3">
        <v>86311</v>
      </c>
      <c r="G699" s="3">
        <v>4893</v>
      </c>
      <c r="H699" s="3">
        <v>91</v>
      </c>
      <c r="I699" s="4">
        <v>8967.0499999999993</v>
      </c>
      <c r="J699" s="4">
        <v>17490.52</v>
      </c>
      <c r="K699" s="3">
        <v>46</v>
      </c>
      <c r="L699" s="2" t="s">
        <v>2539</v>
      </c>
      <c r="M699" s="2" t="s">
        <v>2519</v>
      </c>
      <c r="N699" s="6">
        <f t="shared" si="40"/>
        <v>1</v>
      </c>
      <c r="O699" t="str">
        <f>IF(Tabla_control[[#This Row],[Control_duplicados]]&gt;1,"Duplicado","Unico")</f>
        <v>Unico</v>
      </c>
      <c r="P699" t="str">
        <f t="shared" si="41"/>
        <v>OK</v>
      </c>
      <c r="Q699" t="str">
        <f t="shared" si="42"/>
        <v>OK</v>
      </c>
      <c r="R699" t="str">
        <f t="shared" si="43"/>
        <v>OK</v>
      </c>
    </row>
    <row r="700" spans="1:18" x14ac:dyDescent="0.3">
      <c r="A700" s="1">
        <v>45826</v>
      </c>
      <c r="B700" s="2" t="s">
        <v>2628</v>
      </c>
      <c r="C700" s="2" t="s">
        <v>2521</v>
      </c>
      <c r="D700" s="2" t="s">
        <v>2525</v>
      </c>
      <c r="E700" s="2" t="s">
        <v>2534</v>
      </c>
      <c r="F700" s="3">
        <v>135061</v>
      </c>
      <c r="G700" s="3">
        <v>9589</v>
      </c>
      <c r="H700" s="3">
        <v>243</v>
      </c>
      <c r="I700" s="4">
        <v>10952.39</v>
      </c>
      <c r="J700" s="4">
        <v>15138.07</v>
      </c>
      <c r="K700" s="3">
        <v>113</v>
      </c>
      <c r="L700" s="2" t="s">
        <v>2518</v>
      </c>
      <c r="M700" s="2" t="s">
        <v>2546</v>
      </c>
      <c r="N700" s="6">
        <f t="shared" si="40"/>
        <v>1</v>
      </c>
      <c r="O700" t="str">
        <f>IF(Tabla_control[[#This Row],[Control_duplicados]]&gt;1,"Duplicado","Unico")</f>
        <v>Unico</v>
      </c>
      <c r="P700" t="str">
        <f t="shared" si="41"/>
        <v>OK</v>
      </c>
      <c r="Q700" t="str">
        <f t="shared" si="42"/>
        <v>OK</v>
      </c>
      <c r="R700" t="str">
        <f t="shared" si="43"/>
        <v>OK</v>
      </c>
    </row>
    <row r="701" spans="1:18" x14ac:dyDescent="0.3">
      <c r="A701" s="1">
        <v>45852</v>
      </c>
      <c r="B701" s="2" t="s">
        <v>2639</v>
      </c>
      <c r="C701" s="2" t="s">
        <v>2541</v>
      </c>
      <c r="D701" s="2" t="s">
        <v>2528</v>
      </c>
      <c r="E701" s="2" t="s">
        <v>2517</v>
      </c>
      <c r="F701" s="3">
        <v>140482</v>
      </c>
      <c r="G701" s="3">
        <v>7004</v>
      </c>
      <c r="H701" s="3">
        <v>317</v>
      </c>
      <c r="I701" s="4">
        <v>6340.18</v>
      </c>
      <c r="J701" s="4">
        <v>68644.59</v>
      </c>
      <c r="K701" s="3">
        <v>237</v>
      </c>
      <c r="L701" s="2" t="s">
        <v>2518</v>
      </c>
      <c r="M701" s="2" t="s">
        <v>2524</v>
      </c>
      <c r="N701" s="6">
        <f t="shared" si="40"/>
        <v>1</v>
      </c>
      <c r="O701" t="str">
        <f>IF(Tabla_control[[#This Row],[Control_duplicados]]&gt;1,"Duplicado","Unico")</f>
        <v>Unico</v>
      </c>
      <c r="P701" t="str">
        <f t="shared" si="41"/>
        <v>OK</v>
      </c>
      <c r="Q701" t="str">
        <f t="shared" si="42"/>
        <v>OK</v>
      </c>
      <c r="R701" t="str">
        <f t="shared" si="43"/>
        <v>OK</v>
      </c>
    </row>
    <row r="702" spans="1:18" x14ac:dyDescent="0.3">
      <c r="A702" s="1">
        <v>45758</v>
      </c>
      <c r="B702" s="2" t="s">
        <v>2617</v>
      </c>
      <c r="C702" s="2" t="s">
        <v>2533</v>
      </c>
      <c r="D702" s="2" t="s">
        <v>2528</v>
      </c>
      <c r="E702" s="2" t="s">
        <v>2517</v>
      </c>
      <c r="F702" s="3">
        <v>103816</v>
      </c>
      <c r="G702" s="3">
        <v>4253</v>
      </c>
      <c r="H702" s="3">
        <v>423</v>
      </c>
      <c r="I702" s="4">
        <v>5951.44</v>
      </c>
      <c r="J702" s="4">
        <v>64888.19</v>
      </c>
      <c r="K702" s="3">
        <v>222</v>
      </c>
      <c r="L702" s="2" t="s">
        <v>2539</v>
      </c>
      <c r="M702" s="2" t="s">
        <v>2524</v>
      </c>
      <c r="N702" s="6">
        <f t="shared" si="40"/>
        <v>1</v>
      </c>
      <c r="O702" t="str">
        <f>IF(Tabla_control[[#This Row],[Control_duplicados]]&gt;1,"Duplicado","Unico")</f>
        <v>Unico</v>
      </c>
      <c r="P702" t="str">
        <f t="shared" si="41"/>
        <v>OK</v>
      </c>
      <c r="Q702" t="str">
        <f t="shared" si="42"/>
        <v>OK</v>
      </c>
      <c r="R702" t="str">
        <f t="shared" si="43"/>
        <v>OK</v>
      </c>
    </row>
    <row r="703" spans="1:18" x14ac:dyDescent="0.3">
      <c r="A703" s="1">
        <v>45854</v>
      </c>
      <c r="B703" s="2" t="s">
        <v>2630</v>
      </c>
      <c r="C703" s="2" t="s">
        <v>2543</v>
      </c>
      <c r="D703" s="2" t="s">
        <v>2525</v>
      </c>
      <c r="E703" s="2" t="s">
        <v>2517</v>
      </c>
      <c r="F703" s="3">
        <v>41550</v>
      </c>
      <c r="G703" s="3">
        <v>2067</v>
      </c>
      <c r="H703" s="3">
        <v>177</v>
      </c>
      <c r="I703" s="4">
        <v>4241.22</v>
      </c>
      <c r="J703" s="4">
        <v>8388.51</v>
      </c>
      <c r="K703" s="3">
        <v>90</v>
      </c>
      <c r="L703" s="2" t="s">
        <v>2536</v>
      </c>
      <c r="M703" s="2" t="s">
        <v>2524</v>
      </c>
      <c r="N703" s="6">
        <f t="shared" si="40"/>
        <v>1</v>
      </c>
      <c r="O703" t="str">
        <f>IF(Tabla_control[[#This Row],[Control_duplicados]]&gt;1,"Duplicado","Unico")</f>
        <v>Unico</v>
      </c>
      <c r="P703" t="str">
        <f t="shared" si="41"/>
        <v>OK</v>
      </c>
      <c r="Q703" t="str">
        <f t="shared" si="42"/>
        <v>OK</v>
      </c>
      <c r="R703" t="str">
        <f t="shared" si="43"/>
        <v>OK</v>
      </c>
    </row>
    <row r="704" spans="1:18" x14ac:dyDescent="0.3">
      <c r="A704" s="1">
        <v>45793</v>
      </c>
      <c r="B704" s="2" t="s">
        <v>2635</v>
      </c>
      <c r="C704" s="2" t="s">
        <v>2515</v>
      </c>
      <c r="D704" s="2" t="s">
        <v>2528</v>
      </c>
      <c r="E704" s="2" t="s">
        <v>2529</v>
      </c>
      <c r="F704" s="3">
        <v>133765</v>
      </c>
      <c r="G704" s="3">
        <v>2011</v>
      </c>
      <c r="H704" s="3">
        <v>194</v>
      </c>
      <c r="I704" s="4">
        <v>3295.87</v>
      </c>
      <c r="J704" s="4">
        <v>18557.849999999999</v>
      </c>
      <c r="K704" s="3">
        <v>142</v>
      </c>
      <c r="L704" s="2" t="s">
        <v>2536</v>
      </c>
      <c r="M704" s="2" t="s">
        <v>2524</v>
      </c>
      <c r="N704" s="6">
        <f t="shared" si="40"/>
        <v>1</v>
      </c>
      <c r="O704" t="str">
        <f>IF(Tabla_control[[#This Row],[Control_duplicados]]&gt;1,"Duplicado","Unico")</f>
        <v>Unico</v>
      </c>
      <c r="P704" t="str">
        <f t="shared" si="41"/>
        <v>OK</v>
      </c>
      <c r="Q704" t="str">
        <f t="shared" si="42"/>
        <v>OK</v>
      </c>
      <c r="R704" t="str">
        <f t="shared" si="43"/>
        <v>OK</v>
      </c>
    </row>
    <row r="705" spans="1:18" x14ac:dyDescent="0.3">
      <c r="A705" s="1">
        <v>45824</v>
      </c>
      <c r="B705" s="2" t="s">
        <v>2639</v>
      </c>
      <c r="C705" s="2" t="s">
        <v>2541</v>
      </c>
      <c r="D705" s="2" t="s">
        <v>2528</v>
      </c>
      <c r="E705" s="2" t="s">
        <v>2517</v>
      </c>
      <c r="F705" s="3">
        <v>17060</v>
      </c>
      <c r="G705" s="3">
        <v>1013</v>
      </c>
      <c r="H705" s="3">
        <v>108</v>
      </c>
      <c r="I705" s="4">
        <v>1567.57</v>
      </c>
      <c r="J705" s="4">
        <v>3655.69</v>
      </c>
      <c r="K705" s="3">
        <v>50</v>
      </c>
      <c r="L705" s="2" t="s">
        <v>2539</v>
      </c>
      <c r="M705" s="2" t="s">
        <v>2524</v>
      </c>
      <c r="N705" s="6">
        <f t="shared" si="40"/>
        <v>1</v>
      </c>
      <c r="O705" t="str">
        <f>IF(Tabla_control[[#This Row],[Control_duplicados]]&gt;1,"Duplicado","Unico")</f>
        <v>Unico</v>
      </c>
      <c r="P705" t="str">
        <f t="shared" si="41"/>
        <v>OK</v>
      </c>
      <c r="Q705" t="str">
        <f t="shared" si="42"/>
        <v>OK</v>
      </c>
      <c r="R705" t="str">
        <f t="shared" si="43"/>
        <v>OK</v>
      </c>
    </row>
    <row r="706" spans="1:18" x14ac:dyDescent="0.3">
      <c r="A706" s="1">
        <v>45888</v>
      </c>
      <c r="B706" s="2" t="s">
        <v>2642</v>
      </c>
      <c r="C706" s="2" t="s">
        <v>2515</v>
      </c>
      <c r="D706" s="2" t="s">
        <v>2528</v>
      </c>
      <c r="E706" s="2" t="s">
        <v>2529</v>
      </c>
      <c r="F706" s="3">
        <v>4683</v>
      </c>
      <c r="G706" s="3">
        <v>222</v>
      </c>
      <c r="H706" s="3">
        <v>26</v>
      </c>
      <c r="I706" s="4">
        <v>317.05</v>
      </c>
      <c r="J706" s="4">
        <v>5622.11</v>
      </c>
      <c r="K706" s="3">
        <v>21</v>
      </c>
      <c r="L706" s="2" t="s">
        <v>2539</v>
      </c>
      <c r="M706" s="2" t="s">
        <v>2524</v>
      </c>
      <c r="N706" s="6">
        <f t="shared" ref="N706:N769" si="44">COUNTIFS($A$2:$A$2536,A706,$B$2:$B$2536,B706,$C$2:$C$2536,C706,$D$2:$D$2536,D706,$E$2:$E$2536,E706,$F$2:$F$2536,F706,$G$2:$G$2536,G706,$H$2:$H$2536,H706,$I$2:$I$2536,I706,$J$2:$J$2536,J706,$K$2:$K$2536,K706,$L$2:$L$2536,L706,$M$2:$M$2536,M706)</f>
        <v>1</v>
      </c>
      <c r="O706" t="str">
        <f>IF(Tabla_control[[#This Row],[Control_duplicados]]&gt;1,"Duplicado","Unico")</f>
        <v>Unico</v>
      </c>
      <c r="P706" t="str">
        <f t="shared" ref="P706:P769" si="45">IF(OR(I706="",I706&lt;0),"ERROR","OK")</f>
        <v>OK</v>
      </c>
      <c r="Q706" t="str">
        <f t="shared" ref="Q706:Q769" si="46">IF(H706&gt;F706,"ERROR","OK")</f>
        <v>OK</v>
      </c>
      <c r="R706" t="str">
        <f t="shared" ref="R706:R769" si="47">IF(K706&gt;H706,"ERROR","OK")</f>
        <v>OK</v>
      </c>
    </row>
    <row r="707" spans="1:18" x14ac:dyDescent="0.3">
      <c r="A707" s="1">
        <v>45870</v>
      </c>
      <c r="B707" s="2" t="s">
        <v>2637</v>
      </c>
      <c r="C707" s="2" t="s">
        <v>2543</v>
      </c>
      <c r="D707" s="2" t="s">
        <v>2525</v>
      </c>
      <c r="E707" s="2" t="s">
        <v>2529</v>
      </c>
      <c r="F707" s="3">
        <v>8037</v>
      </c>
      <c r="G707" s="3">
        <v>663</v>
      </c>
      <c r="H707" s="3">
        <v>62</v>
      </c>
      <c r="I707" s="4">
        <v>96.2</v>
      </c>
      <c r="J707" s="4">
        <v>11757.49</v>
      </c>
      <c r="K707" s="3">
        <v>37</v>
      </c>
      <c r="L707" s="2" t="s">
        <v>2518</v>
      </c>
      <c r="M707" s="2" t="s">
        <v>2537</v>
      </c>
      <c r="N707" s="6">
        <f t="shared" si="44"/>
        <v>1</v>
      </c>
      <c r="O707" t="str">
        <f>IF(Tabla_control[[#This Row],[Control_duplicados]]&gt;1,"Duplicado","Unico")</f>
        <v>Unico</v>
      </c>
      <c r="P707" t="str">
        <f t="shared" si="45"/>
        <v>OK</v>
      </c>
      <c r="Q707" t="str">
        <f t="shared" si="46"/>
        <v>OK</v>
      </c>
      <c r="R707" t="str">
        <f t="shared" si="47"/>
        <v>OK</v>
      </c>
    </row>
    <row r="708" spans="1:18" x14ac:dyDescent="0.3">
      <c r="A708" s="1">
        <v>45661</v>
      </c>
      <c r="B708" s="2" t="s">
        <v>2616</v>
      </c>
      <c r="C708" s="2" t="s">
        <v>2521</v>
      </c>
      <c r="D708" s="2" t="s">
        <v>2531</v>
      </c>
      <c r="E708" s="2" t="s">
        <v>2529</v>
      </c>
      <c r="F708" s="3">
        <v>100711</v>
      </c>
      <c r="G708" s="3">
        <v>1307</v>
      </c>
      <c r="H708" s="3">
        <v>141</v>
      </c>
      <c r="I708" s="4">
        <v>569.47</v>
      </c>
      <c r="J708" s="4">
        <v>20151.16</v>
      </c>
      <c r="K708" s="3">
        <v>106</v>
      </c>
      <c r="L708" s="2" t="s">
        <v>2539</v>
      </c>
      <c r="M708" s="2" t="s">
        <v>2519</v>
      </c>
      <c r="N708" s="6">
        <f t="shared" si="44"/>
        <v>1</v>
      </c>
      <c r="O708" t="str">
        <f>IF(Tabla_control[[#This Row],[Control_duplicados]]&gt;1,"Duplicado","Unico")</f>
        <v>Unico</v>
      </c>
      <c r="P708" t="str">
        <f t="shared" si="45"/>
        <v>OK</v>
      </c>
      <c r="Q708" t="str">
        <f t="shared" si="46"/>
        <v>OK</v>
      </c>
      <c r="R708" t="str">
        <f t="shared" si="47"/>
        <v>OK</v>
      </c>
    </row>
    <row r="709" spans="1:18" x14ac:dyDescent="0.3">
      <c r="A709" s="1">
        <v>45994</v>
      </c>
      <c r="B709" s="2" t="s">
        <v>2631</v>
      </c>
      <c r="C709" s="2" t="s">
        <v>2533</v>
      </c>
      <c r="D709" s="2" t="s">
        <v>2528</v>
      </c>
      <c r="E709" s="2" t="s">
        <v>2517</v>
      </c>
      <c r="F709" s="3">
        <v>138259</v>
      </c>
      <c r="G709" s="3">
        <v>6040</v>
      </c>
      <c r="H709" s="3">
        <v>417</v>
      </c>
      <c r="I709" s="4">
        <v>718.58</v>
      </c>
      <c r="J709" s="4">
        <v>91241.69</v>
      </c>
      <c r="K709" s="3">
        <v>188</v>
      </c>
      <c r="L709" s="2" t="s">
        <v>2523</v>
      </c>
      <c r="M709" s="2" t="s">
        <v>2537</v>
      </c>
      <c r="N709" s="6">
        <f t="shared" si="44"/>
        <v>1</v>
      </c>
      <c r="O709" t="str">
        <f>IF(Tabla_control[[#This Row],[Control_duplicados]]&gt;1,"Duplicado","Unico")</f>
        <v>Unico</v>
      </c>
      <c r="P709" t="str">
        <f t="shared" si="45"/>
        <v>OK</v>
      </c>
      <c r="Q709" t="str">
        <f t="shared" si="46"/>
        <v>OK</v>
      </c>
      <c r="R709" t="str">
        <f t="shared" si="47"/>
        <v>OK</v>
      </c>
    </row>
    <row r="710" spans="1:18" x14ac:dyDescent="0.3">
      <c r="A710" s="1">
        <v>45746</v>
      </c>
      <c r="B710" s="2" t="s">
        <v>2634</v>
      </c>
      <c r="C710" s="2" t="s">
        <v>2521</v>
      </c>
      <c r="D710" s="2" t="s">
        <v>2531</v>
      </c>
      <c r="E710" s="2" t="s">
        <v>2517</v>
      </c>
      <c r="F710" s="3">
        <v>69919</v>
      </c>
      <c r="G710" s="3">
        <v>1287</v>
      </c>
      <c r="H710" s="3">
        <v>69</v>
      </c>
      <c r="I710" s="4">
        <v>1184.23</v>
      </c>
      <c r="J710" s="4">
        <v>4859.4399999999996</v>
      </c>
      <c r="K710" s="3">
        <v>37</v>
      </c>
      <c r="L710" s="2" t="s">
        <v>2536</v>
      </c>
      <c r="M710" s="2" t="s">
        <v>2524</v>
      </c>
      <c r="N710" s="6">
        <f t="shared" si="44"/>
        <v>1</v>
      </c>
      <c r="O710" t="str">
        <f>IF(Tabla_control[[#This Row],[Control_duplicados]]&gt;1,"Duplicado","Unico")</f>
        <v>Unico</v>
      </c>
      <c r="P710" t="str">
        <f t="shared" si="45"/>
        <v>OK</v>
      </c>
      <c r="Q710" t="str">
        <f t="shared" si="46"/>
        <v>OK</v>
      </c>
      <c r="R710" t="str">
        <f t="shared" si="47"/>
        <v>OK</v>
      </c>
    </row>
    <row r="711" spans="1:18" x14ac:dyDescent="0.3">
      <c r="A711" s="1">
        <v>45688</v>
      </c>
      <c r="B711" s="2" t="s">
        <v>2635</v>
      </c>
      <c r="C711" s="2" t="s">
        <v>2527</v>
      </c>
      <c r="D711" s="2" t="s">
        <v>2528</v>
      </c>
      <c r="E711" s="2" t="s">
        <v>2529</v>
      </c>
      <c r="F711" s="3">
        <v>165022</v>
      </c>
      <c r="G711" s="3">
        <v>2044</v>
      </c>
      <c r="H711" s="3">
        <v>174</v>
      </c>
      <c r="I711" s="4">
        <v>2422.5300000000002</v>
      </c>
      <c r="J711" s="4">
        <v>30348.91</v>
      </c>
      <c r="K711" s="3">
        <v>140</v>
      </c>
      <c r="L711" s="2" t="s">
        <v>2523</v>
      </c>
      <c r="M711" s="2" t="s">
        <v>2524</v>
      </c>
      <c r="N711" s="6">
        <f t="shared" si="44"/>
        <v>1</v>
      </c>
      <c r="O711" t="str">
        <f>IF(Tabla_control[[#This Row],[Control_duplicados]]&gt;1,"Duplicado","Unico")</f>
        <v>Unico</v>
      </c>
      <c r="P711" t="str">
        <f t="shared" si="45"/>
        <v>OK</v>
      </c>
      <c r="Q711" t="str">
        <f t="shared" si="46"/>
        <v>OK</v>
      </c>
      <c r="R711" t="str">
        <f t="shared" si="47"/>
        <v>OK</v>
      </c>
    </row>
    <row r="712" spans="1:18" x14ac:dyDescent="0.3">
      <c r="A712" s="1">
        <v>45690</v>
      </c>
      <c r="B712" s="2" t="s">
        <v>2626</v>
      </c>
      <c r="C712" s="2" t="s">
        <v>2527</v>
      </c>
      <c r="D712" s="2" t="s">
        <v>2516</v>
      </c>
      <c r="E712" s="2" t="s">
        <v>2529</v>
      </c>
      <c r="F712" s="3">
        <v>163084</v>
      </c>
      <c r="G712" s="3">
        <v>1315</v>
      </c>
      <c r="H712" s="3">
        <v>83</v>
      </c>
      <c r="I712" s="4">
        <v>516.35</v>
      </c>
      <c r="J712" s="4">
        <v>9630.57</v>
      </c>
      <c r="K712" s="3">
        <v>57</v>
      </c>
      <c r="L712" s="2" t="s">
        <v>2539</v>
      </c>
      <c r="M712" s="2" t="s">
        <v>2526</v>
      </c>
      <c r="N712" s="6">
        <f t="shared" si="44"/>
        <v>1</v>
      </c>
      <c r="O712" t="str">
        <f>IF(Tabla_control[[#This Row],[Control_duplicados]]&gt;1,"Duplicado","Unico")</f>
        <v>Unico</v>
      </c>
      <c r="P712" t="str">
        <f t="shared" si="45"/>
        <v>OK</v>
      </c>
      <c r="Q712" t="str">
        <f t="shared" si="46"/>
        <v>OK</v>
      </c>
      <c r="R712" t="str">
        <f t="shared" si="47"/>
        <v>OK</v>
      </c>
    </row>
    <row r="713" spans="1:18" x14ac:dyDescent="0.3">
      <c r="A713" s="1">
        <v>45920</v>
      </c>
      <c r="B713" s="2" t="s">
        <v>2624</v>
      </c>
      <c r="C713" s="2" t="s">
        <v>2543</v>
      </c>
      <c r="D713" s="2" t="s">
        <v>2516</v>
      </c>
      <c r="E713" s="2" t="s">
        <v>2529</v>
      </c>
      <c r="F713" s="3">
        <v>16201</v>
      </c>
      <c r="G713" s="3">
        <v>973</v>
      </c>
      <c r="H713" s="3">
        <v>102</v>
      </c>
      <c r="I713" s="4">
        <v>576.88</v>
      </c>
      <c r="J713" s="4">
        <v>10063.280000000001</v>
      </c>
      <c r="K713" s="3">
        <v>81</v>
      </c>
      <c r="L713" s="2" t="s">
        <v>2518</v>
      </c>
      <c r="M713" s="2" t="s">
        <v>2519</v>
      </c>
      <c r="N713" s="6">
        <f t="shared" si="44"/>
        <v>1</v>
      </c>
      <c r="O713" t="str">
        <f>IF(Tabla_control[[#This Row],[Control_duplicados]]&gt;1,"Duplicado","Unico")</f>
        <v>Unico</v>
      </c>
      <c r="P713" t="str">
        <f t="shared" si="45"/>
        <v>OK</v>
      </c>
      <c r="Q713" t="str">
        <f t="shared" si="46"/>
        <v>OK</v>
      </c>
      <c r="R713" t="str">
        <f t="shared" si="47"/>
        <v>OK</v>
      </c>
    </row>
    <row r="714" spans="1:18" x14ac:dyDescent="0.3">
      <c r="A714" s="1">
        <v>45956</v>
      </c>
      <c r="B714" s="2" t="s">
        <v>2633</v>
      </c>
      <c r="C714" s="2" t="s">
        <v>2515</v>
      </c>
      <c r="D714" s="2" t="s">
        <v>2531</v>
      </c>
      <c r="E714" s="2" t="s">
        <v>2529</v>
      </c>
      <c r="F714" s="3">
        <v>77018</v>
      </c>
      <c r="G714" s="3">
        <v>522</v>
      </c>
      <c r="H714" s="3">
        <v>24</v>
      </c>
      <c r="I714" s="4">
        <v>272.86</v>
      </c>
      <c r="J714" s="4">
        <v>4052.72</v>
      </c>
      <c r="K714" s="3">
        <v>18</v>
      </c>
      <c r="L714" s="2" t="s">
        <v>2536</v>
      </c>
      <c r="M714" s="2" t="s">
        <v>2519</v>
      </c>
      <c r="N714" s="6">
        <f t="shared" si="44"/>
        <v>1</v>
      </c>
      <c r="O714" t="str">
        <f>IF(Tabla_control[[#This Row],[Control_duplicados]]&gt;1,"Duplicado","Unico")</f>
        <v>Unico</v>
      </c>
      <c r="P714" t="str">
        <f t="shared" si="45"/>
        <v>OK</v>
      </c>
      <c r="Q714" t="str">
        <f t="shared" si="46"/>
        <v>OK</v>
      </c>
      <c r="R714" t="str">
        <f t="shared" si="47"/>
        <v>OK</v>
      </c>
    </row>
    <row r="715" spans="1:18" x14ac:dyDescent="0.3">
      <c r="A715" s="1">
        <v>45674</v>
      </c>
      <c r="B715" s="2" t="s">
        <v>2630</v>
      </c>
      <c r="C715" s="2" t="s">
        <v>2533</v>
      </c>
      <c r="D715" s="2" t="s">
        <v>2531</v>
      </c>
      <c r="E715" s="2" t="s">
        <v>2517</v>
      </c>
      <c r="F715" s="3">
        <v>108937</v>
      </c>
      <c r="G715" s="3">
        <v>3881</v>
      </c>
      <c r="H715" s="3">
        <v>453</v>
      </c>
      <c r="I715" s="4">
        <v>3823.58</v>
      </c>
      <c r="J715" s="4">
        <v>62221.98</v>
      </c>
      <c r="K715" s="3">
        <v>204</v>
      </c>
      <c r="L715" s="2" t="s">
        <v>2518</v>
      </c>
      <c r="M715" s="2" t="s">
        <v>2526</v>
      </c>
      <c r="N715" s="6">
        <f t="shared" si="44"/>
        <v>1</v>
      </c>
      <c r="O715" t="str">
        <f>IF(Tabla_control[[#This Row],[Control_duplicados]]&gt;1,"Duplicado","Unico")</f>
        <v>Unico</v>
      </c>
      <c r="P715" t="str">
        <f t="shared" si="45"/>
        <v>OK</v>
      </c>
      <c r="Q715" t="str">
        <f t="shared" si="46"/>
        <v>OK</v>
      </c>
      <c r="R715" t="str">
        <f t="shared" si="47"/>
        <v>OK</v>
      </c>
    </row>
    <row r="716" spans="1:18" x14ac:dyDescent="0.3">
      <c r="A716" s="1">
        <v>45826</v>
      </c>
      <c r="B716" s="2" t="s">
        <v>2640</v>
      </c>
      <c r="C716" s="2" t="s">
        <v>2543</v>
      </c>
      <c r="D716" s="2" t="s">
        <v>2516</v>
      </c>
      <c r="E716" s="2" t="s">
        <v>2534</v>
      </c>
      <c r="F716" s="3">
        <v>122451</v>
      </c>
      <c r="G716" s="3">
        <v>836</v>
      </c>
      <c r="H716" s="3">
        <v>30</v>
      </c>
      <c r="I716" s="4">
        <v>841.1</v>
      </c>
      <c r="J716" s="4">
        <v>2204.09</v>
      </c>
      <c r="K716" s="3">
        <v>15</v>
      </c>
      <c r="L716" s="2" t="s">
        <v>2536</v>
      </c>
      <c r="M716" s="2" t="s">
        <v>2526</v>
      </c>
      <c r="N716" s="6">
        <f t="shared" si="44"/>
        <v>1</v>
      </c>
      <c r="O716" t="str">
        <f>IF(Tabla_control[[#This Row],[Control_duplicados]]&gt;1,"Duplicado","Unico")</f>
        <v>Unico</v>
      </c>
      <c r="P716" t="str">
        <f t="shared" si="45"/>
        <v>OK</v>
      </c>
      <c r="Q716" t="str">
        <f t="shared" si="46"/>
        <v>OK</v>
      </c>
      <c r="R716" t="str">
        <f t="shared" si="47"/>
        <v>OK</v>
      </c>
    </row>
    <row r="717" spans="1:18" x14ac:dyDescent="0.3">
      <c r="A717" s="1">
        <v>45860</v>
      </c>
      <c r="B717" s="2" t="s">
        <v>2637</v>
      </c>
      <c r="C717" s="2" t="s">
        <v>2541</v>
      </c>
      <c r="D717" s="2" t="s">
        <v>2528</v>
      </c>
      <c r="E717" s="2" t="s">
        <v>2517</v>
      </c>
      <c r="F717" s="3">
        <v>47533</v>
      </c>
      <c r="G717" s="3">
        <v>3471</v>
      </c>
      <c r="H717" s="3">
        <v>226</v>
      </c>
      <c r="I717" s="4">
        <v>4610.2</v>
      </c>
      <c r="J717" s="4">
        <v>22228.51</v>
      </c>
      <c r="K717" s="3">
        <v>123</v>
      </c>
      <c r="L717" s="2" t="s">
        <v>2539</v>
      </c>
      <c r="M717" s="2" t="s">
        <v>2537</v>
      </c>
      <c r="N717" s="6">
        <f t="shared" si="44"/>
        <v>1</v>
      </c>
      <c r="O717" t="str">
        <f>IF(Tabla_control[[#This Row],[Control_duplicados]]&gt;1,"Duplicado","Unico")</f>
        <v>Unico</v>
      </c>
      <c r="P717" t="str">
        <f t="shared" si="45"/>
        <v>OK</v>
      </c>
      <c r="Q717" t="str">
        <f t="shared" si="46"/>
        <v>OK</v>
      </c>
      <c r="R717" t="str">
        <f t="shared" si="47"/>
        <v>OK</v>
      </c>
    </row>
    <row r="718" spans="1:18" x14ac:dyDescent="0.3">
      <c r="A718" s="1">
        <v>45880</v>
      </c>
      <c r="B718" s="2" t="s">
        <v>2633</v>
      </c>
      <c r="C718" s="2" t="s">
        <v>2533</v>
      </c>
      <c r="D718" s="2" t="s">
        <v>2528</v>
      </c>
      <c r="E718" s="2" t="s">
        <v>2529</v>
      </c>
      <c r="F718" s="3">
        <v>150117</v>
      </c>
      <c r="G718" s="3">
        <v>8309</v>
      </c>
      <c r="H718" s="3">
        <v>450</v>
      </c>
      <c r="I718" s="4">
        <v>7578.69</v>
      </c>
      <c r="J718" s="4">
        <v>81946.09</v>
      </c>
      <c r="K718" s="3">
        <v>226</v>
      </c>
      <c r="L718" s="2" t="s">
        <v>2539</v>
      </c>
      <c r="M718" s="2" t="s">
        <v>2519</v>
      </c>
      <c r="N718" s="6">
        <f t="shared" si="44"/>
        <v>2</v>
      </c>
      <c r="O718" t="str">
        <f>IF(Tabla_control[[#This Row],[Control_duplicados]]&gt;1,"Duplicado","Unico")</f>
        <v>Duplicado</v>
      </c>
      <c r="P718" t="str">
        <f t="shared" si="45"/>
        <v>OK</v>
      </c>
      <c r="Q718" t="str">
        <f t="shared" si="46"/>
        <v>OK</v>
      </c>
      <c r="R718" t="str">
        <f t="shared" si="47"/>
        <v>OK</v>
      </c>
    </row>
    <row r="719" spans="1:18" x14ac:dyDescent="0.3">
      <c r="A719" s="1">
        <v>45853</v>
      </c>
      <c r="B719" s="2" t="s">
        <v>2640</v>
      </c>
      <c r="C719" s="2" t="s">
        <v>2541</v>
      </c>
      <c r="D719" s="2" t="s">
        <v>2525</v>
      </c>
      <c r="E719" s="2" t="s">
        <v>2534</v>
      </c>
      <c r="F719" s="3">
        <v>82120</v>
      </c>
      <c r="G719" s="3">
        <v>4611</v>
      </c>
      <c r="H719" s="3">
        <v>272</v>
      </c>
      <c r="I719" s="4">
        <v>2313.8000000000002</v>
      </c>
      <c r="J719" s="4">
        <v>4159.42</v>
      </c>
      <c r="K719" s="3">
        <v>142</v>
      </c>
      <c r="L719" s="2" t="s">
        <v>2518</v>
      </c>
      <c r="M719" s="2" t="s">
        <v>2546</v>
      </c>
      <c r="N719" s="6">
        <f t="shared" si="44"/>
        <v>1</v>
      </c>
      <c r="O719" t="str">
        <f>IF(Tabla_control[[#This Row],[Control_duplicados]]&gt;1,"Duplicado","Unico")</f>
        <v>Unico</v>
      </c>
      <c r="P719" t="str">
        <f t="shared" si="45"/>
        <v>OK</v>
      </c>
      <c r="Q719" t="str">
        <f t="shared" si="46"/>
        <v>OK</v>
      </c>
      <c r="R719" t="str">
        <f t="shared" si="47"/>
        <v>OK</v>
      </c>
    </row>
    <row r="720" spans="1:18" x14ac:dyDescent="0.3">
      <c r="A720" s="1">
        <v>45771</v>
      </c>
      <c r="B720" s="2" t="s">
        <v>2635</v>
      </c>
      <c r="C720" s="2" t="s">
        <v>2515</v>
      </c>
      <c r="D720" s="2" t="s">
        <v>2528</v>
      </c>
      <c r="E720" s="2" t="s">
        <v>2529</v>
      </c>
      <c r="F720" s="3">
        <v>38503</v>
      </c>
      <c r="G720" s="3">
        <v>1614</v>
      </c>
      <c r="H720" s="3">
        <v>117</v>
      </c>
      <c r="I720" s="4">
        <v>3054.19</v>
      </c>
      <c r="J720" s="4">
        <v>9729.19</v>
      </c>
      <c r="K720" s="3">
        <v>54</v>
      </c>
      <c r="L720" s="2" t="s">
        <v>2539</v>
      </c>
      <c r="M720" s="2" t="s">
        <v>2519</v>
      </c>
      <c r="N720" s="6">
        <f t="shared" si="44"/>
        <v>1</v>
      </c>
      <c r="O720" t="str">
        <f>IF(Tabla_control[[#This Row],[Control_duplicados]]&gt;1,"Duplicado","Unico")</f>
        <v>Unico</v>
      </c>
      <c r="P720" t="str">
        <f t="shared" si="45"/>
        <v>OK</v>
      </c>
      <c r="Q720" t="str">
        <f t="shared" si="46"/>
        <v>OK</v>
      </c>
      <c r="R720" t="str">
        <f t="shared" si="47"/>
        <v>OK</v>
      </c>
    </row>
    <row r="721" spans="1:18" x14ac:dyDescent="0.3">
      <c r="A721" s="1">
        <v>46008</v>
      </c>
      <c r="B721" s="2" t="s">
        <v>2630</v>
      </c>
      <c r="C721" s="2" t="s">
        <v>2533</v>
      </c>
      <c r="D721" s="2" t="s">
        <v>2528</v>
      </c>
      <c r="E721" s="2" t="s">
        <v>2529</v>
      </c>
      <c r="F721" s="3">
        <v>11744</v>
      </c>
      <c r="G721" s="3">
        <v>897</v>
      </c>
      <c r="H721" s="3">
        <v>120</v>
      </c>
      <c r="I721" s="4">
        <v>1453.94</v>
      </c>
      <c r="J721" s="4">
        <v>3353.92</v>
      </c>
      <c r="K721" s="3">
        <v>96</v>
      </c>
      <c r="L721" s="2" t="s">
        <v>2536</v>
      </c>
      <c r="M721" s="2" t="s">
        <v>2537</v>
      </c>
      <c r="N721" s="6">
        <f t="shared" si="44"/>
        <v>1</v>
      </c>
      <c r="O721" t="str">
        <f>IF(Tabla_control[[#This Row],[Control_duplicados]]&gt;1,"Duplicado","Unico")</f>
        <v>Unico</v>
      </c>
      <c r="P721" t="str">
        <f t="shared" si="45"/>
        <v>OK</v>
      </c>
      <c r="Q721" t="str">
        <f t="shared" si="46"/>
        <v>OK</v>
      </c>
      <c r="R721" t="str">
        <f t="shared" si="47"/>
        <v>OK</v>
      </c>
    </row>
    <row r="722" spans="1:18" x14ac:dyDescent="0.3">
      <c r="A722" s="1">
        <v>45757</v>
      </c>
      <c r="B722" s="2" t="s">
        <v>2627</v>
      </c>
      <c r="C722" s="2" t="s">
        <v>2541</v>
      </c>
      <c r="D722" s="2" t="s">
        <v>2531</v>
      </c>
      <c r="E722" s="2" t="s">
        <v>2529</v>
      </c>
      <c r="F722" s="3">
        <v>158762</v>
      </c>
      <c r="G722" s="3">
        <v>2877</v>
      </c>
      <c r="H722" s="3">
        <v>394</v>
      </c>
      <c r="I722" s="4">
        <v>2254.1999999999998</v>
      </c>
      <c r="J722" s="4">
        <v>9774.61</v>
      </c>
      <c r="K722" s="3">
        <v>238</v>
      </c>
      <c r="L722" s="2" t="s">
        <v>2536</v>
      </c>
      <c r="M722" s="2" t="s">
        <v>2537</v>
      </c>
      <c r="N722" s="6">
        <f t="shared" si="44"/>
        <v>1</v>
      </c>
      <c r="O722" t="str">
        <f>IF(Tabla_control[[#This Row],[Control_duplicados]]&gt;1,"Duplicado","Unico")</f>
        <v>Unico</v>
      </c>
      <c r="P722" t="str">
        <f t="shared" si="45"/>
        <v>OK</v>
      </c>
      <c r="Q722" t="str">
        <f t="shared" si="46"/>
        <v>OK</v>
      </c>
      <c r="R722" t="str">
        <f t="shared" si="47"/>
        <v>OK</v>
      </c>
    </row>
    <row r="723" spans="1:18" x14ac:dyDescent="0.3">
      <c r="A723" s="1">
        <v>45816</v>
      </c>
      <c r="B723" s="2" t="s">
        <v>2633</v>
      </c>
      <c r="C723" s="2" t="s">
        <v>2533</v>
      </c>
      <c r="D723" s="2" t="s">
        <v>2525</v>
      </c>
      <c r="E723" s="2" t="s">
        <v>2517</v>
      </c>
      <c r="F723" s="3">
        <v>70439</v>
      </c>
      <c r="G723" s="3">
        <v>3020</v>
      </c>
      <c r="H723" s="3">
        <v>285</v>
      </c>
      <c r="I723" s="4">
        <v>3072.76</v>
      </c>
      <c r="J723" s="4">
        <v>50081.89</v>
      </c>
      <c r="K723" s="3">
        <v>216</v>
      </c>
      <c r="L723" s="2" t="s">
        <v>2523</v>
      </c>
      <c r="M723" s="2" t="s">
        <v>2546</v>
      </c>
      <c r="N723" s="6">
        <f t="shared" si="44"/>
        <v>1</v>
      </c>
      <c r="O723" t="str">
        <f>IF(Tabla_control[[#This Row],[Control_duplicados]]&gt;1,"Duplicado","Unico")</f>
        <v>Unico</v>
      </c>
      <c r="P723" t="str">
        <f t="shared" si="45"/>
        <v>OK</v>
      </c>
      <c r="Q723" t="str">
        <f t="shared" si="46"/>
        <v>OK</v>
      </c>
      <c r="R723" t="str">
        <f t="shared" si="47"/>
        <v>OK</v>
      </c>
    </row>
    <row r="724" spans="1:18" x14ac:dyDescent="0.3">
      <c r="A724" s="1">
        <v>45698</v>
      </c>
      <c r="B724" s="2" t="s">
        <v>2643</v>
      </c>
      <c r="C724" s="2" t="s">
        <v>2515</v>
      </c>
      <c r="D724" s="2" t="s">
        <v>2525</v>
      </c>
      <c r="E724" s="2" t="s">
        <v>2529</v>
      </c>
      <c r="F724" s="3">
        <v>139390</v>
      </c>
      <c r="G724" s="3">
        <v>2428</v>
      </c>
      <c r="H724" s="3">
        <v>282</v>
      </c>
      <c r="I724" s="4">
        <v>798.42</v>
      </c>
      <c r="J724" s="4">
        <v>60827.41</v>
      </c>
      <c r="K724" s="3">
        <v>204</v>
      </c>
      <c r="L724" s="2" t="s">
        <v>2536</v>
      </c>
      <c r="M724" s="2" t="s">
        <v>2546</v>
      </c>
      <c r="N724" s="6">
        <f t="shared" si="44"/>
        <v>1</v>
      </c>
      <c r="O724" t="str">
        <f>IF(Tabla_control[[#This Row],[Control_duplicados]]&gt;1,"Duplicado","Unico")</f>
        <v>Unico</v>
      </c>
      <c r="P724" t="str">
        <f t="shared" si="45"/>
        <v>OK</v>
      </c>
      <c r="Q724" t="str">
        <f t="shared" si="46"/>
        <v>OK</v>
      </c>
      <c r="R724" t="str">
        <f t="shared" si="47"/>
        <v>OK</v>
      </c>
    </row>
    <row r="725" spans="1:18" x14ac:dyDescent="0.3">
      <c r="A725" s="1">
        <v>45931</v>
      </c>
      <c r="B725" s="2" t="s">
        <v>2619</v>
      </c>
      <c r="C725" s="2" t="s">
        <v>2527</v>
      </c>
      <c r="D725" s="2" t="s">
        <v>2522</v>
      </c>
      <c r="E725" s="2" t="s">
        <v>2517</v>
      </c>
      <c r="F725" s="3">
        <v>83329</v>
      </c>
      <c r="G725" s="3">
        <v>4118</v>
      </c>
      <c r="H725" s="3">
        <v>295</v>
      </c>
      <c r="I725" s="4">
        <v>5296.06</v>
      </c>
      <c r="J725" s="4">
        <v>64681.17</v>
      </c>
      <c r="K725" s="3">
        <v>175</v>
      </c>
      <c r="L725" s="2" t="s">
        <v>2536</v>
      </c>
      <c r="M725" s="2" t="s">
        <v>2526</v>
      </c>
      <c r="N725" s="6">
        <f t="shared" si="44"/>
        <v>1</v>
      </c>
      <c r="O725" t="str">
        <f>IF(Tabla_control[[#This Row],[Control_duplicados]]&gt;1,"Duplicado","Unico")</f>
        <v>Unico</v>
      </c>
      <c r="P725" t="str">
        <f t="shared" si="45"/>
        <v>OK</v>
      </c>
      <c r="Q725" t="str">
        <f t="shared" si="46"/>
        <v>OK</v>
      </c>
      <c r="R725" t="str">
        <f t="shared" si="47"/>
        <v>OK</v>
      </c>
    </row>
    <row r="726" spans="1:18" x14ac:dyDescent="0.3">
      <c r="A726" s="1">
        <v>45924</v>
      </c>
      <c r="B726" s="2" t="s">
        <v>2632</v>
      </c>
      <c r="C726" s="2" t="s">
        <v>2527</v>
      </c>
      <c r="D726" s="2" t="s">
        <v>2516</v>
      </c>
      <c r="E726" s="2" t="s">
        <v>2517</v>
      </c>
      <c r="F726" s="3">
        <v>144675</v>
      </c>
      <c r="G726" s="3">
        <v>2845</v>
      </c>
      <c r="H726" s="3">
        <v>294</v>
      </c>
      <c r="I726" s="4">
        <v>4611.5</v>
      </c>
      <c r="J726" s="4">
        <v>27756.52</v>
      </c>
      <c r="K726" s="3">
        <v>142</v>
      </c>
      <c r="L726" s="2" t="s">
        <v>2523</v>
      </c>
      <c r="M726" s="2" t="s">
        <v>2519</v>
      </c>
      <c r="N726" s="6">
        <f t="shared" si="44"/>
        <v>1</v>
      </c>
      <c r="O726" t="str">
        <f>IF(Tabla_control[[#This Row],[Control_duplicados]]&gt;1,"Duplicado","Unico")</f>
        <v>Unico</v>
      </c>
      <c r="P726" t="str">
        <f t="shared" si="45"/>
        <v>OK</v>
      </c>
      <c r="Q726" t="str">
        <f t="shared" si="46"/>
        <v>OK</v>
      </c>
      <c r="R726" t="str">
        <f t="shared" si="47"/>
        <v>OK</v>
      </c>
    </row>
    <row r="727" spans="1:18" x14ac:dyDescent="0.3">
      <c r="A727" s="1">
        <v>45799</v>
      </c>
      <c r="B727" s="2" t="s">
        <v>2629</v>
      </c>
      <c r="C727" s="2" t="s">
        <v>2527</v>
      </c>
      <c r="D727" s="2" t="s">
        <v>2531</v>
      </c>
      <c r="E727" s="2" t="s">
        <v>2517</v>
      </c>
      <c r="F727" s="3">
        <v>25946</v>
      </c>
      <c r="G727" s="3">
        <v>679</v>
      </c>
      <c r="H727" s="3">
        <v>94</v>
      </c>
      <c r="I727" s="4">
        <v>785.09</v>
      </c>
      <c r="J727" s="4">
        <v>14844.03</v>
      </c>
      <c r="K727" s="3">
        <v>48</v>
      </c>
      <c r="L727" s="2" t="s">
        <v>2518</v>
      </c>
      <c r="M727" s="2" t="s">
        <v>2537</v>
      </c>
      <c r="N727" s="6">
        <f t="shared" si="44"/>
        <v>1</v>
      </c>
      <c r="O727" t="str">
        <f>IF(Tabla_control[[#This Row],[Control_duplicados]]&gt;1,"Duplicado","Unico")</f>
        <v>Unico</v>
      </c>
      <c r="P727" t="str">
        <f t="shared" si="45"/>
        <v>OK</v>
      </c>
      <c r="Q727" t="str">
        <f t="shared" si="46"/>
        <v>OK</v>
      </c>
      <c r="R727" t="str">
        <f t="shared" si="47"/>
        <v>OK</v>
      </c>
    </row>
    <row r="728" spans="1:18" x14ac:dyDescent="0.3">
      <c r="A728" s="1">
        <v>45959</v>
      </c>
      <c r="B728" s="2" t="s">
        <v>2615</v>
      </c>
      <c r="C728" s="2" t="s">
        <v>2533</v>
      </c>
      <c r="D728" s="2" t="s">
        <v>2516</v>
      </c>
      <c r="E728" s="2" t="s">
        <v>2529</v>
      </c>
      <c r="F728" s="3">
        <v>143247</v>
      </c>
      <c r="G728" s="3">
        <v>3851</v>
      </c>
      <c r="H728" s="3">
        <v>426</v>
      </c>
      <c r="I728" s="4">
        <v>6567.88</v>
      </c>
      <c r="J728" s="4">
        <v>66057.87</v>
      </c>
      <c r="K728" s="3">
        <v>360</v>
      </c>
      <c r="L728" s="2" t="s">
        <v>2536</v>
      </c>
      <c r="M728" s="2" t="s">
        <v>2519</v>
      </c>
      <c r="N728" s="6">
        <f t="shared" si="44"/>
        <v>1</v>
      </c>
      <c r="O728" t="str">
        <f>IF(Tabla_control[[#This Row],[Control_duplicados]]&gt;1,"Duplicado","Unico")</f>
        <v>Unico</v>
      </c>
      <c r="P728" t="str">
        <f t="shared" si="45"/>
        <v>OK</v>
      </c>
      <c r="Q728" t="str">
        <f t="shared" si="46"/>
        <v>OK</v>
      </c>
      <c r="R728" t="str">
        <f t="shared" si="47"/>
        <v>OK</v>
      </c>
    </row>
    <row r="729" spans="1:18" x14ac:dyDescent="0.3">
      <c r="A729" s="1">
        <v>45992</v>
      </c>
      <c r="B729" s="2" t="s">
        <v>2637</v>
      </c>
      <c r="C729" s="2" t="s">
        <v>2543</v>
      </c>
      <c r="D729" s="2" t="s">
        <v>2525</v>
      </c>
      <c r="E729" s="2" t="s">
        <v>2529</v>
      </c>
      <c r="F729" s="3">
        <v>46246</v>
      </c>
      <c r="G729" s="3">
        <v>3300</v>
      </c>
      <c r="H729" s="3">
        <v>92</v>
      </c>
      <c r="I729" s="4">
        <v>6353.65</v>
      </c>
      <c r="J729" s="4">
        <v>18476.07</v>
      </c>
      <c r="K729" s="3">
        <v>45</v>
      </c>
      <c r="L729" s="2" t="s">
        <v>2523</v>
      </c>
      <c r="M729" s="2" t="s">
        <v>2524</v>
      </c>
      <c r="N729" s="6">
        <f t="shared" si="44"/>
        <v>1</v>
      </c>
      <c r="O729" t="str">
        <f>IF(Tabla_control[[#This Row],[Control_duplicados]]&gt;1,"Duplicado","Unico")</f>
        <v>Unico</v>
      </c>
      <c r="P729" t="str">
        <f t="shared" si="45"/>
        <v>OK</v>
      </c>
      <c r="Q729" t="str">
        <f t="shared" si="46"/>
        <v>OK</v>
      </c>
      <c r="R729" t="str">
        <f t="shared" si="47"/>
        <v>OK</v>
      </c>
    </row>
    <row r="730" spans="1:18" x14ac:dyDescent="0.3">
      <c r="A730" s="1">
        <v>45861</v>
      </c>
      <c r="B730" s="2" t="s">
        <v>2623</v>
      </c>
      <c r="C730" s="2" t="s">
        <v>2533</v>
      </c>
      <c r="D730" s="2" t="s">
        <v>2528</v>
      </c>
      <c r="E730" s="2" t="s">
        <v>2529</v>
      </c>
      <c r="F730" s="3">
        <v>101042</v>
      </c>
      <c r="G730" s="3">
        <v>3646</v>
      </c>
      <c r="H730" s="3">
        <v>68</v>
      </c>
      <c r="I730" s="4">
        <v>1267.02</v>
      </c>
      <c r="J730" s="4">
        <v>6990.29</v>
      </c>
      <c r="K730" s="3">
        <v>51</v>
      </c>
      <c r="L730" s="2" t="s">
        <v>2523</v>
      </c>
      <c r="M730" s="2" t="s">
        <v>2526</v>
      </c>
      <c r="N730" s="6">
        <f t="shared" si="44"/>
        <v>1</v>
      </c>
      <c r="O730" t="str">
        <f>IF(Tabla_control[[#This Row],[Control_duplicados]]&gt;1,"Duplicado","Unico")</f>
        <v>Unico</v>
      </c>
      <c r="P730" t="str">
        <f t="shared" si="45"/>
        <v>OK</v>
      </c>
      <c r="Q730" t="str">
        <f t="shared" si="46"/>
        <v>OK</v>
      </c>
      <c r="R730" t="str">
        <f t="shared" si="47"/>
        <v>OK</v>
      </c>
    </row>
    <row r="731" spans="1:18" x14ac:dyDescent="0.3">
      <c r="A731" s="1">
        <v>45843</v>
      </c>
      <c r="B731" s="2" t="s">
        <v>2622</v>
      </c>
      <c r="C731" s="2" t="s">
        <v>2543</v>
      </c>
      <c r="D731" s="2" t="s">
        <v>2516</v>
      </c>
      <c r="E731" s="2" t="s">
        <v>2517</v>
      </c>
      <c r="F731" s="3">
        <v>50040</v>
      </c>
      <c r="G731" s="3">
        <v>1259</v>
      </c>
      <c r="H731" s="3">
        <v>139</v>
      </c>
      <c r="I731" s="4">
        <v>1706.27</v>
      </c>
      <c r="J731" s="4">
        <v>10810.01</v>
      </c>
      <c r="K731" s="3">
        <v>95</v>
      </c>
      <c r="L731" s="2" t="s">
        <v>2536</v>
      </c>
      <c r="M731" s="2" t="s">
        <v>2519</v>
      </c>
      <c r="N731" s="6">
        <f t="shared" si="44"/>
        <v>1</v>
      </c>
      <c r="O731" t="str">
        <f>IF(Tabla_control[[#This Row],[Control_duplicados]]&gt;1,"Duplicado","Unico")</f>
        <v>Unico</v>
      </c>
      <c r="P731" t="str">
        <f t="shared" si="45"/>
        <v>OK</v>
      </c>
      <c r="Q731" t="str">
        <f t="shared" si="46"/>
        <v>OK</v>
      </c>
      <c r="R731" t="str">
        <f t="shared" si="47"/>
        <v>OK</v>
      </c>
    </row>
    <row r="732" spans="1:18" x14ac:dyDescent="0.3">
      <c r="A732" s="1">
        <v>45909</v>
      </c>
      <c r="B732" s="2" t="s">
        <v>2643</v>
      </c>
      <c r="C732" s="2" t="s">
        <v>2533</v>
      </c>
      <c r="D732" s="2" t="s">
        <v>2528</v>
      </c>
      <c r="E732" s="2" t="s">
        <v>2517</v>
      </c>
      <c r="F732" s="3">
        <v>27535</v>
      </c>
      <c r="G732" s="3">
        <v>1096</v>
      </c>
      <c r="H732" s="3">
        <v>102</v>
      </c>
      <c r="I732" s="4">
        <v>2110.41</v>
      </c>
      <c r="J732" s="4">
        <v>14556.7</v>
      </c>
      <c r="K732" s="3">
        <v>88</v>
      </c>
      <c r="L732" s="2" t="s">
        <v>2539</v>
      </c>
      <c r="M732" s="2" t="s">
        <v>2546</v>
      </c>
      <c r="N732" s="6">
        <f t="shared" si="44"/>
        <v>1</v>
      </c>
      <c r="O732" t="str">
        <f>IF(Tabla_control[[#This Row],[Control_duplicados]]&gt;1,"Duplicado","Unico")</f>
        <v>Unico</v>
      </c>
      <c r="P732" t="str">
        <f t="shared" si="45"/>
        <v>OK</v>
      </c>
      <c r="Q732" t="str">
        <f t="shared" si="46"/>
        <v>OK</v>
      </c>
      <c r="R732" t="str">
        <f t="shared" si="47"/>
        <v>OK</v>
      </c>
    </row>
    <row r="733" spans="1:18" x14ac:dyDescent="0.3">
      <c r="A733" s="1">
        <v>45770</v>
      </c>
      <c r="B733" s="2" t="s">
        <v>2625</v>
      </c>
      <c r="C733" s="2" t="s">
        <v>2543</v>
      </c>
      <c r="D733" s="2" t="s">
        <v>2528</v>
      </c>
      <c r="E733" s="2" t="s">
        <v>2534</v>
      </c>
      <c r="F733" s="3">
        <v>135863</v>
      </c>
      <c r="G733" s="3">
        <v>7737</v>
      </c>
      <c r="H733" s="3">
        <v>610</v>
      </c>
      <c r="I733" s="4">
        <v>3671.31</v>
      </c>
      <c r="J733" s="4">
        <v>102362.6</v>
      </c>
      <c r="K733" s="3">
        <v>296</v>
      </c>
      <c r="L733" s="2" t="s">
        <v>2539</v>
      </c>
      <c r="M733" s="2" t="s">
        <v>2537</v>
      </c>
      <c r="N733" s="6">
        <f t="shared" si="44"/>
        <v>1</v>
      </c>
      <c r="O733" t="str">
        <f>IF(Tabla_control[[#This Row],[Control_duplicados]]&gt;1,"Duplicado","Unico")</f>
        <v>Unico</v>
      </c>
      <c r="P733" t="str">
        <f t="shared" si="45"/>
        <v>OK</v>
      </c>
      <c r="Q733" t="str">
        <f t="shared" si="46"/>
        <v>OK</v>
      </c>
      <c r="R733" t="str">
        <f t="shared" si="47"/>
        <v>OK</v>
      </c>
    </row>
    <row r="734" spans="1:18" x14ac:dyDescent="0.3">
      <c r="A734" s="1">
        <v>45922</v>
      </c>
      <c r="B734" s="2" t="s">
        <v>2634</v>
      </c>
      <c r="C734" s="2" t="s">
        <v>2543</v>
      </c>
      <c r="D734" s="2" t="s">
        <v>2531</v>
      </c>
      <c r="E734" s="2" t="s">
        <v>2534</v>
      </c>
      <c r="F734" s="3">
        <v>65094</v>
      </c>
      <c r="G734" s="3">
        <v>1450</v>
      </c>
      <c r="H734" s="3">
        <v>191</v>
      </c>
      <c r="I734" s="4">
        <v>1850.3</v>
      </c>
      <c r="J734" s="4">
        <v>15422.98</v>
      </c>
      <c r="K734" s="3">
        <v>163</v>
      </c>
      <c r="L734" s="2" t="s">
        <v>2539</v>
      </c>
      <c r="M734" s="2" t="s">
        <v>2526</v>
      </c>
      <c r="N734" s="6">
        <f t="shared" si="44"/>
        <v>1</v>
      </c>
      <c r="O734" t="str">
        <f>IF(Tabla_control[[#This Row],[Control_duplicados]]&gt;1,"Duplicado","Unico")</f>
        <v>Unico</v>
      </c>
      <c r="P734" t="str">
        <f t="shared" si="45"/>
        <v>OK</v>
      </c>
      <c r="Q734" t="str">
        <f t="shared" si="46"/>
        <v>OK</v>
      </c>
      <c r="R734" t="str">
        <f t="shared" si="47"/>
        <v>OK</v>
      </c>
    </row>
    <row r="735" spans="1:18" x14ac:dyDescent="0.3">
      <c r="A735" s="1">
        <v>45956</v>
      </c>
      <c r="B735" s="2" t="s">
        <v>2639</v>
      </c>
      <c r="C735" s="2" t="s">
        <v>2541</v>
      </c>
      <c r="D735" s="2" t="s">
        <v>2516</v>
      </c>
      <c r="E735" s="2" t="s">
        <v>2534</v>
      </c>
      <c r="F735" s="3">
        <v>46578</v>
      </c>
      <c r="G735" s="3">
        <v>1781</v>
      </c>
      <c r="H735" s="3">
        <v>113</v>
      </c>
      <c r="I735" s="4">
        <v>3522.64</v>
      </c>
      <c r="J735" s="4">
        <v>10737.39</v>
      </c>
      <c r="K735" s="3">
        <v>66</v>
      </c>
      <c r="L735" s="2" t="s">
        <v>2518</v>
      </c>
      <c r="M735" s="2" t="s">
        <v>2519</v>
      </c>
      <c r="N735" s="6">
        <f t="shared" si="44"/>
        <v>1</v>
      </c>
      <c r="O735" t="str">
        <f>IF(Tabla_control[[#This Row],[Control_duplicados]]&gt;1,"Duplicado","Unico")</f>
        <v>Unico</v>
      </c>
      <c r="P735" t="str">
        <f t="shared" si="45"/>
        <v>OK</v>
      </c>
      <c r="Q735" t="str">
        <f t="shared" si="46"/>
        <v>OK</v>
      </c>
      <c r="R735" t="str">
        <f t="shared" si="47"/>
        <v>OK</v>
      </c>
    </row>
    <row r="736" spans="1:18" x14ac:dyDescent="0.3">
      <c r="A736" s="1">
        <v>45768</v>
      </c>
      <c r="B736" s="2" t="s">
        <v>2633</v>
      </c>
      <c r="C736" s="2" t="s">
        <v>2527</v>
      </c>
      <c r="D736" s="2" t="s">
        <v>2516</v>
      </c>
      <c r="E736" s="2" t="s">
        <v>2517</v>
      </c>
      <c r="F736" s="3">
        <v>49899</v>
      </c>
      <c r="G736" s="3">
        <v>1109</v>
      </c>
      <c r="H736" s="3">
        <v>37</v>
      </c>
      <c r="I736" s="4">
        <v>406.24</v>
      </c>
      <c r="J736" s="4">
        <v>989.68</v>
      </c>
      <c r="K736" s="3">
        <v>18</v>
      </c>
      <c r="L736" s="2" t="s">
        <v>2518</v>
      </c>
      <c r="M736" s="2" t="s">
        <v>2546</v>
      </c>
      <c r="N736" s="6">
        <f t="shared" si="44"/>
        <v>1</v>
      </c>
      <c r="O736" t="str">
        <f>IF(Tabla_control[[#This Row],[Control_duplicados]]&gt;1,"Duplicado","Unico")</f>
        <v>Unico</v>
      </c>
      <c r="P736" t="str">
        <f t="shared" si="45"/>
        <v>OK</v>
      </c>
      <c r="Q736" t="str">
        <f t="shared" si="46"/>
        <v>OK</v>
      </c>
      <c r="R736" t="str">
        <f t="shared" si="47"/>
        <v>OK</v>
      </c>
    </row>
    <row r="737" spans="1:18" x14ac:dyDescent="0.3">
      <c r="A737" s="1">
        <v>45801</v>
      </c>
      <c r="B737" s="2" t="s">
        <v>2635</v>
      </c>
      <c r="C737" s="2" t="s">
        <v>2533</v>
      </c>
      <c r="D737" s="2" t="s">
        <v>2516</v>
      </c>
      <c r="E737" s="2" t="s">
        <v>2517</v>
      </c>
      <c r="F737" s="3">
        <v>63818</v>
      </c>
      <c r="G737" s="3">
        <v>3546</v>
      </c>
      <c r="H737" s="3">
        <v>188</v>
      </c>
      <c r="I737" s="4">
        <v>5263.57</v>
      </c>
      <c r="J737" s="4">
        <v>12005.05</v>
      </c>
      <c r="K737" s="3">
        <v>135</v>
      </c>
      <c r="L737" s="2" t="s">
        <v>2523</v>
      </c>
      <c r="M737" s="2" t="s">
        <v>2524</v>
      </c>
      <c r="N737" s="6">
        <f t="shared" si="44"/>
        <v>1</v>
      </c>
      <c r="O737" t="str">
        <f>IF(Tabla_control[[#This Row],[Control_duplicados]]&gt;1,"Duplicado","Unico")</f>
        <v>Unico</v>
      </c>
      <c r="P737" t="str">
        <f t="shared" si="45"/>
        <v>OK</v>
      </c>
      <c r="Q737" t="str">
        <f t="shared" si="46"/>
        <v>OK</v>
      </c>
      <c r="R737" t="str">
        <f t="shared" si="47"/>
        <v>OK</v>
      </c>
    </row>
    <row r="738" spans="1:18" x14ac:dyDescent="0.3">
      <c r="A738" s="1">
        <v>45894</v>
      </c>
      <c r="B738" s="2" t="s">
        <v>2629</v>
      </c>
      <c r="C738" s="2" t="s">
        <v>2527</v>
      </c>
      <c r="D738" s="2" t="s">
        <v>2525</v>
      </c>
      <c r="E738" s="2" t="s">
        <v>2529</v>
      </c>
      <c r="F738" s="3">
        <v>30638</v>
      </c>
      <c r="G738" s="3">
        <v>532</v>
      </c>
      <c r="H738" s="3">
        <v>68</v>
      </c>
      <c r="I738" s="4">
        <v>1091.68</v>
      </c>
      <c r="J738" s="4">
        <v>13486.37</v>
      </c>
      <c r="K738" s="3">
        <v>55</v>
      </c>
      <c r="L738" s="2" t="s">
        <v>2539</v>
      </c>
      <c r="M738" s="2" t="s">
        <v>2524</v>
      </c>
      <c r="N738" s="6">
        <f t="shared" si="44"/>
        <v>1</v>
      </c>
      <c r="O738" t="str">
        <f>IF(Tabla_control[[#This Row],[Control_duplicados]]&gt;1,"Duplicado","Unico")</f>
        <v>Unico</v>
      </c>
      <c r="P738" t="str">
        <f t="shared" si="45"/>
        <v>OK</v>
      </c>
      <c r="Q738" t="str">
        <f t="shared" si="46"/>
        <v>OK</v>
      </c>
      <c r="R738" t="str">
        <f t="shared" si="47"/>
        <v>OK</v>
      </c>
    </row>
    <row r="739" spans="1:18" x14ac:dyDescent="0.3">
      <c r="A739" s="1">
        <v>46003</v>
      </c>
      <c r="B739" s="2" t="s">
        <v>2640</v>
      </c>
      <c r="C739" s="2" t="s">
        <v>2515</v>
      </c>
      <c r="D739" s="2" t="s">
        <v>2516</v>
      </c>
      <c r="E739" s="2" t="s">
        <v>2517</v>
      </c>
      <c r="F739" s="3">
        <v>16480</v>
      </c>
      <c r="G739" s="3">
        <v>1002</v>
      </c>
      <c r="H739" s="3">
        <v>103</v>
      </c>
      <c r="I739" s="4">
        <v>269.98</v>
      </c>
      <c r="J739" s="4">
        <v>20077.27</v>
      </c>
      <c r="K739" s="3">
        <v>67</v>
      </c>
      <c r="L739" s="2" t="s">
        <v>2523</v>
      </c>
      <c r="M739" s="2" t="s">
        <v>2546</v>
      </c>
      <c r="N739" s="6">
        <f t="shared" si="44"/>
        <v>1</v>
      </c>
      <c r="O739" t="str">
        <f>IF(Tabla_control[[#This Row],[Control_duplicados]]&gt;1,"Duplicado","Unico")</f>
        <v>Unico</v>
      </c>
      <c r="P739" t="str">
        <f t="shared" si="45"/>
        <v>OK</v>
      </c>
      <c r="Q739" t="str">
        <f t="shared" si="46"/>
        <v>OK</v>
      </c>
      <c r="R739" t="str">
        <f t="shared" si="47"/>
        <v>OK</v>
      </c>
    </row>
    <row r="740" spans="1:18" x14ac:dyDescent="0.3">
      <c r="A740" s="1">
        <v>45716</v>
      </c>
      <c r="B740" s="2" t="s">
        <v>2618</v>
      </c>
      <c r="C740" s="2" t="s">
        <v>2533</v>
      </c>
      <c r="D740" s="2" t="s">
        <v>2528</v>
      </c>
      <c r="E740" s="2" t="s">
        <v>2517</v>
      </c>
      <c r="F740" s="3">
        <v>119149</v>
      </c>
      <c r="G740" s="3">
        <v>1015</v>
      </c>
      <c r="H740" s="3">
        <v>118</v>
      </c>
      <c r="I740" s="4">
        <v>1161.76</v>
      </c>
      <c r="J740" s="4">
        <v>10503.91</v>
      </c>
      <c r="K740" s="3">
        <v>83</v>
      </c>
      <c r="L740" s="2" t="s">
        <v>2518</v>
      </c>
      <c r="M740" s="2" t="s">
        <v>2537</v>
      </c>
      <c r="N740" s="6">
        <f t="shared" si="44"/>
        <v>1</v>
      </c>
      <c r="O740" t="str">
        <f>IF(Tabla_control[[#This Row],[Control_duplicados]]&gt;1,"Duplicado","Unico")</f>
        <v>Unico</v>
      </c>
      <c r="P740" t="str">
        <f t="shared" si="45"/>
        <v>OK</v>
      </c>
      <c r="Q740" t="str">
        <f t="shared" si="46"/>
        <v>OK</v>
      </c>
      <c r="R740" t="str">
        <f t="shared" si="47"/>
        <v>OK</v>
      </c>
    </row>
    <row r="741" spans="1:18" x14ac:dyDescent="0.3">
      <c r="A741" s="1">
        <v>45871</v>
      </c>
      <c r="B741" s="2" t="s">
        <v>2632</v>
      </c>
      <c r="C741" s="2" t="s">
        <v>2541</v>
      </c>
      <c r="D741" s="2" t="s">
        <v>2516</v>
      </c>
      <c r="E741" s="2" t="s">
        <v>2517</v>
      </c>
      <c r="F741" s="3">
        <v>116079</v>
      </c>
      <c r="G741" s="3">
        <v>4906</v>
      </c>
      <c r="H741" s="3">
        <v>626</v>
      </c>
      <c r="I741" s="4">
        <v>6054.74</v>
      </c>
      <c r="J741" s="4">
        <v>33695.96</v>
      </c>
      <c r="K741" s="3">
        <v>411</v>
      </c>
      <c r="L741" s="2" t="s">
        <v>2518</v>
      </c>
      <c r="M741" s="2" t="s">
        <v>2537</v>
      </c>
      <c r="N741" s="6">
        <f t="shared" si="44"/>
        <v>1</v>
      </c>
      <c r="O741" t="str">
        <f>IF(Tabla_control[[#This Row],[Control_duplicados]]&gt;1,"Duplicado","Unico")</f>
        <v>Unico</v>
      </c>
      <c r="P741" t="str">
        <f t="shared" si="45"/>
        <v>OK</v>
      </c>
      <c r="Q741" t="str">
        <f t="shared" si="46"/>
        <v>OK</v>
      </c>
      <c r="R741" t="str">
        <f t="shared" si="47"/>
        <v>OK</v>
      </c>
    </row>
    <row r="742" spans="1:18" x14ac:dyDescent="0.3">
      <c r="A742" s="1">
        <v>45773</v>
      </c>
      <c r="B742" s="2" t="s">
        <v>2635</v>
      </c>
      <c r="C742" s="2" t="s">
        <v>2521</v>
      </c>
      <c r="D742" s="2" t="s">
        <v>2528</v>
      </c>
      <c r="E742" s="2" t="s">
        <v>2529</v>
      </c>
      <c r="F742" s="3">
        <v>163278</v>
      </c>
      <c r="G742" s="3">
        <v>6742</v>
      </c>
      <c r="H742" s="3">
        <v>120</v>
      </c>
      <c r="I742" s="4">
        <v>2803.16</v>
      </c>
      <c r="J742" s="4">
        <v>24446.27</v>
      </c>
      <c r="K742" s="3">
        <v>57</v>
      </c>
      <c r="L742" s="2" t="s">
        <v>2536</v>
      </c>
      <c r="M742" s="2" t="s">
        <v>2524</v>
      </c>
      <c r="N742" s="6">
        <f t="shared" si="44"/>
        <v>1</v>
      </c>
      <c r="O742" t="str">
        <f>IF(Tabla_control[[#This Row],[Control_duplicados]]&gt;1,"Duplicado","Unico")</f>
        <v>Unico</v>
      </c>
      <c r="P742" t="str">
        <f t="shared" si="45"/>
        <v>OK</v>
      </c>
      <c r="Q742" t="str">
        <f t="shared" si="46"/>
        <v>OK</v>
      </c>
      <c r="R742" t="str">
        <f t="shared" si="47"/>
        <v>OK</v>
      </c>
    </row>
    <row r="743" spans="1:18" x14ac:dyDescent="0.3">
      <c r="A743" s="1">
        <v>45681</v>
      </c>
      <c r="B743" s="2" t="s">
        <v>2626</v>
      </c>
      <c r="C743" s="2" t="s">
        <v>2541</v>
      </c>
      <c r="D743" s="2" t="s">
        <v>2522</v>
      </c>
      <c r="E743" s="2" t="s">
        <v>2517</v>
      </c>
      <c r="F743" s="3">
        <v>9002</v>
      </c>
      <c r="G743" s="3">
        <v>182</v>
      </c>
      <c r="H743" s="3">
        <v>2</v>
      </c>
      <c r="I743" s="4">
        <v>261.54000000000002</v>
      </c>
      <c r="J743" s="4">
        <v>116.36</v>
      </c>
      <c r="K743" s="3">
        <v>1</v>
      </c>
      <c r="L743" s="2" t="s">
        <v>2536</v>
      </c>
      <c r="M743" s="2" t="s">
        <v>2519</v>
      </c>
      <c r="N743" s="6">
        <f t="shared" si="44"/>
        <v>1</v>
      </c>
      <c r="O743" t="str">
        <f>IF(Tabla_control[[#This Row],[Control_duplicados]]&gt;1,"Duplicado","Unico")</f>
        <v>Unico</v>
      </c>
      <c r="P743" t="str">
        <f t="shared" si="45"/>
        <v>OK</v>
      </c>
      <c r="Q743" t="str">
        <f t="shared" si="46"/>
        <v>OK</v>
      </c>
      <c r="R743" t="str">
        <f t="shared" si="47"/>
        <v>OK</v>
      </c>
    </row>
    <row r="744" spans="1:18" x14ac:dyDescent="0.3">
      <c r="A744" s="1">
        <v>45954</v>
      </c>
      <c r="B744" s="2" t="s">
        <v>2628</v>
      </c>
      <c r="C744" s="2" t="s">
        <v>2543</v>
      </c>
      <c r="D744" s="2" t="s">
        <v>2528</v>
      </c>
      <c r="E744" s="2" t="s">
        <v>2529</v>
      </c>
      <c r="F744" s="3">
        <v>167184</v>
      </c>
      <c r="G744" s="3">
        <v>8796</v>
      </c>
      <c r="H744" s="3">
        <v>254</v>
      </c>
      <c r="I744" s="4">
        <v>7287.67</v>
      </c>
      <c r="J744" s="4">
        <v>52424.67</v>
      </c>
      <c r="K744" s="3">
        <v>165</v>
      </c>
      <c r="L744" s="2" t="s">
        <v>2539</v>
      </c>
      <c r="M744" s="2" t="s">
        <v>2526</v>
      </c>
      <c r="N744" s="6">
        <f t="shared" si="44"/>
        <v>1</v>
      </c>
      <c r="O744" t="str">
        <f>IF(Tabla_control[[#This Row],[Control_duplicados]]&gt;1,"Duplicado","Unico")</f>
        <v>Unico</v>
      </c>
      <c r="P744" t="str">
        <f t="shared" si="45"/>
        <v>OK</v>
      </c>
      <c r="Q744" t="str">
        <f t="shared" si="46"/>
        <v>OK</v>
      </c>
      <c r="R744" t="str">
        <f t="shared" si="47"/>
        <v>OK</v>
      </c>
    </row>
    <row r="745" spans="1:18" x14ac:dyDescent="0.3">
      <c r="A745" s="1">
        <v>45897</v>
      </c>
      <c r="B745" s="2" t="s">
        <v>2640</v>
      </c>
      <c r="C745" s="2" t="s">
        <v>2541</v>
      </c>
      <c r="D745" s="2" t="s">
        <v>2516</v>
      </c>
      <c r="E745" s="2" t="s">
        <v>2529</v>
      </c>
      <c r="F745" s="3">
        <v>165266</v>
      </c>
      <c r="G745" s="3">
        <v>12817</v>
      </c>
      <c r="H745" s="3">
        <v>101</v>
      </c>
      <c r="I745" s="4">
        <v>8409.6299999999992</v>
      </c>
      <c r="J745" s="4">
        <v>17234.509999999998</v>
      </c>
      <c r="K745" s="3">
        <v>74</v>
      </c>
      <c r="L745" s="2" t="s">
        <v>2539</v>
      </c>
      <c r="M745" s="2" t="s">
        <v>2519</v>
      </c>
      <c r="N745" s="6">
        <f t="shared" si="44"/>
        <v>1</v>
      </c>
      <c r="O745" t="str">
        <f>IF(Tabla_control[[#This Row],[Control_duplicados]]&gt;1,"Duplicado","Unico")</f>
        <v>Unico</v>
      </c>
      <c r="P745" t="str">
        <f t="shared" si="45"/>
        <v>OK</v>
      </c>
      <c r="Q745" t="str">
        <f t="shared" si="46"/>
        <v>OK</v>
      </c>
      <c r="R745" t="str">
        <f t="shared" si="47"/>
        <v>OK</v>
      </c>
    </row>
    <row r="746" spans="1:18" x14ac:dyDescent="0.3">
      <c r="A746" s="1">
        <v>45667</v>
      </c>
      <c r="B746" s="2" t="s">
        <v>2630</v>
      </c>
      <c r="C746" s="2" t="s">
        <v>2645</v>
      </c>
      <c r="D746" s="2" t="s">
        <v>2528</v>
      </c>
      <c r="E746" s="2" t="s">
        <v>2529</v>
      </c>
      <c r="F746" s="3">
        <v>151425</v>
      </c>
      <c r="G746" s="3">
        <v>6267</v>
      </c>
      <c r="H746" s="3">
        <v>732</v>
      </c>
      <c r="I746" s="4">
        <v>9867.48</v>
      </c>
      <c r="J746" s="4">
        <v>40433.919999999998</v>
      </c>
      <c r="K746" s="3">
        <v>512</v>
      </c>
      <c r="L746" s="2" t="s">
        <v>2518</v>
      </c>
      <c r="M746" s="2" t="s">
        <v>2526</v>
      </c>
      <c r="N746" s="6">
        <f t="shared" si="44"/>
        <v>1</v>
      </c>
      <c r="O746" t="str">
        <f>IF(Tabla_control[[#This Row],[Control_duplicados]]&gt;1,"Duplicado","Unico")</f>
        <v>Unico</v>
      </c>
      <c r="P746" t="str">
        <f t="shared" si="45"/>
        <v>OK</v>
      </c>
      <c r="Q746" t="str">
        <f t="shared" si="46"/>
        <v>OK</v>
      </c>
      <c r="R746" t="str">
        <f t="shared" si="47"/>
        <v>OK</v>
      </c>
    </row>
    <row r="747" spans="1:18" x14ac:dyDescent="0.3">
      <c r="A747" s="1">
        <v>45972</v>
      </c>
      <c r="B747" s="2" t="s">
        <v>2626</v>
      </c>
      <c r="C747" s="2" t="s">
        <v>2527</v>
      </c>
      <c r="D747" s="2" t="s">
        <v>2528</v>
      </c>
      <c r="E747" s="2" t="s">
        <v>2529</v>
      </c>
      <c r="F747" s="3">
        <v>54088</v>
      </c>
      <c r="G747" s="3">
        <v>790</v>
      </c>
      <c r="H747" s="3">
        <v>106</v>
      </c>
      <c r="I747" s="4">
        <v>732.9</v>
      </c>
      <c r="J747" s="4">
        <v>12409.69</v>
      </c>
      <c r="K747" s="3">
        <v>85</v>
      </c>
      <c r="L747" s="2" t="s">
        <v>2536</v>
      </c>
      <c r="M747" s="2" t="s">
        <v>2537</v>
      </c>
      <c r="N747" s="6">
        <f t="shared" si="44"/>
        <v>1</v>
      </c>
      <c r="O747" t="str">
        <f>IF(Tabla_control[[#This Row],[Control_duplicados]]&gt;1,"Duplicado","Unico")</f>
        <v>Unico</v>
      </c>
      <c r="P747" t="str">
        <f t="shared" si="45"/>
        <v>OK</v>
      </c>
      <c r="Q747" t="str">
        <f t="shared" si="46"/>
        <v>OK</v>
      </c>
      <c r="R747" t="str">
        <f t="shared" si="47"/>
        <v>OK</v>
      </c>
    </row>
    <row r="748" spans="1:18" x14ac:dyDescent="0.3">
      <c r="A748" s="1">
        <v>45752</v>
      </c>
      <c r="B748" s="2" t="s">
        <v>2625</v>
      </c>
      <c r="C748" s="2" t="s">
        <v>2533</v>
      </c>
      <c r="D748" s="2" t="s">
        <v>2516</v>
      </c>
      <c r="E748" s="2" t="s">
        <v>2517</v>
      </c>
      <c r="F748" s="3">
        <v>54678</v>
      </c>
      <c r="G748" s="3">
        <v>2415</v>
      </c>
      <c r="H748" s="3">
        <v>68</v>
      </c>
      <c r="I748" s="4">
        <v>2038.76</v>
      </c>
      <c r="J748" s="4">
        <v>5177.91</v>
      </c>
      <c r="K748" s="3">
        <v>36</v>
      </c>
      <c r="L748" s="2" t="s">
        <v>2518</v>
      </c>
      <c r="M748" s="2" t="s">
        <v>2537</v>
      </c>
      <c r="N748" s="6">
        <f t="shared" si="44"/>
        <v>1</v>
      </c>
      <c r="O748" t="str">
        <f>IF(Tabla_control[[#This Row],[Control_duplicados]]&gt;1,"Duplicado","Unico")</f>
        <v>Unico</v>
      </c>
      <c r="P748" t="str">
        <f t="shared" si="45"/>
        <v>OK</v>
      </c>
      <c r="Q748" t="str">
        <f t="shared" si="46"/>
        <v>OK</v>
      </c>
      <c r="R748" t="str">
        <f t="shared" si="47"/>
        <v>OK</v>
      </c>
    </row>
    <row r="749" spans="1:18" x14ac:dyDescent="0.3">
      <c r="A749" s="1">
        <v>46013</v>
      </c>
      <c r="B749" s="2" t="s">
        <v>2625</v>
      </c>
      <c r="C749" s="2" t="s">
        <v>2533</v>
      </c>
      <c r="D749" s="2" t="s">
        <v>2528</v>
      </c>
      <c r="E749" s="2" t="s">
        <v>2517</v>
      </c>
      <c r="F749" s="3">
        <v>65088</v>
      </c>
      <c r="G749" s="3">
        <v>3003</v>
      </c>
      <c r="H749" s="3">
        <v>21</v>
      </c>
      <c r="I749" s="4">
        <v>2878.21</v>
      </c>
      <c r="J749" s="4">
        <v>1777.93</v>
      </c>
      <c r="K749" s="3">
        <v>13</v>
      </c>
      <c r="L749" s="2" t="s">
        <v>2518</v>
      </c>
      <c r="M749" s="2" t="s">
        <v>2524</v>
      </c>
      <c r="N749" s="6">
        <f t="shared" si="44"/>
        <v>1</v>
      </c>
      <c r="O749" t="str">
        <f>IF(Tabla_control[[#This Row],[Control_duplicados]]&gt;1,"Duplicado","Unico")</f>
        <v>Unico</v>
      </c>
      <c r="P749" t="str">
        <f t="shared" si="45"/>
        <v>OK</v>
      </c>
      <c r="Q749" t="str">
        <f t="shared" si="46"/>
        <v>OK</v>
      </c>
      <c r="R749" t="str">
        <f t="shared" si="47"/>
        <v>OK</v>
      </c>
    </row>
    <row r="750" spans="1:18" x14ac:dyDescent="0.3">
      <c r="A750" s="1">
        <v>45714</v>
      </c>
      <c r="B750" s="2" t="s">
        <v>2641</v>
      </c>
      <c r="C750" s="2" t="s">
        <v>2541</v>
      </c>
      <c r="D750" s="2" t="s">
        <v>2525</v>
      </c>
      <c r="E750" s="2" t="s">
        <v>2529</v>
      </c>
      <c r="F750" s="3">
        <v>42796</v>
      </c>
      <c r="G750" s="3">
        <v>1696</v>
      </c>
      <c r="H750" s="3">
        <v>150</v>
      </c>
      <c r="I750" s="4">
        <v>3534.31</v>
      </c>
      <c r="J750" s="4">
        <v>32902.639999999999</v>
      </c>
      <c r="K750" s="3">
        <v>125</v>
      </c>
      <c r="L750" s="2" t="s">
        <v>2539</v>
      </c>
      <c r="M750" s="2" t="s">
        <v>2546</v>
      </c>
      <c r="N750" s="6">
        <f t="shared" si="44"/>
        <v>1</v>
      </c>
      <c r="O750" t="str">
        <f>IF(Tabla_control[[#This Row],[Control_duplicados]]&gt;1,"Duplicado","Unico")</f>
        <v>Unico</v>
      </c>
      <c r="P750" t="str">
        <f t="shared" si="45"/>
        <v>OK</v>
      </c>
      <c r="Q750" t="str">
        <f t="shared" si="46"/>
        <v>OK</v>
      </c>
      <c r="R750" t="str">
        <f t="shared" si="47"/>
        <v>OK</v>
      </c>
    </row>
    <row r="751" spans="1:18" x14ac:dyDescent="0.3">
      <c r="A751" s="1">
        <v>46012</v>
      </c>
      <c r="B751" s="2" t="s">
        <v>2638</v>
      </c>
      <c r="C751" s="2" t="s">
        <v>2533</v>
      </c>
      <c r="D751" s="2" t="s">
        <v>2522</v>
      </c>
      <c r="E751" s="2" t="s">
        <v>2517</v>
      </c>
      <c r="F751" s="3">
        <v>91944</v>
      </c>
      <c r="G751" s="3">
        <v>6325</v>
      </c>
      <c r="H751" s="3">
        <v>96</v>
      </c>
      <c r="I751" s="4">
        <v>4317.38</v>
      </c>
      <c r="J751" s="4">
        <v>11882.21</v>
      </c>
      <c r="K751" s="3">
        <v>47</v>
      </c>
      <c r="L751" s="2" t="s">
        <v>2518</v>
      </c>
      <c r="M751" s="2" t="s">
        <v>2526</v>
      </c>
      <c r="N751" s="6">
        <f t="shared" si="44"/>
        <v>1</v>
      </c>
      <c r="O751" t="str">
        <f>IF(Tabla_control[[#This Row],[Control_duplicados]]&gt;1,"Duplicado","Unico")</f>
        <v>Unico</v>
      </c>
      <c r="P751" t="str">
        <f t="shared" si="45"/>
        <v>OK</v>
      </c>
      <c r="Q751" t="str">
        <f t="shared" si="46"/>
        <v>OK</v>
      </c>
      <c r="R751" t="str">
        <f t="shared" si="47"/>
        <v>OK</v>
      </c>
    </row>
    <row r="752" spans="1:18" x14ac:dyDescent="0.3">
      <c r="A752" s="1">
        <v>45893</v>
      </c>
      <c r="B752" s="2" t="s">
        <v>2619</v>
      </c>
      <c r="C752" s="2" t="s">
        <v>2527</v>
      </c>
      <c r="D752" s="2" t="s">
        <v>2528</v>
      </c>
      <c r="E752" s="2" t="s">
        <v>2517</v>
      </c>
      <c r="F752" s="3">
        <v>82054</v>
      </c>
      <c r="G752" s="3">
        <v>7351</v>
      </c>
      <c r="H752" s="3">
        <v>551</v>
      </c>
      <c r="I752" s="4">
        <v>4641.66</v>
      </c>
      <c r="J752" s="4">
        <v>93199.89</v>
      </c>
      <c r="K752" s="3">
        <v>388</v>
      </c>
      <c r="L752" s="2" t="s">
        <v>2518</v>
      </c>
      <c r="M752" s="2" t="s">
        <v>2526</v>
      </c>
      <c r="N752" s="6">
        <f t="shared" si="44"/>
        <v>1</v>
      </c>
      <c r="O752" t="str">
        <f>IF(Tabla_control[[#This Row],[Control_duplicados]]&gt;1,"Duplicado","Unico")</f>
        <v>Unico</v>
      </c>
      <c r="P752" t="str">
        <f t="shared" si="45"/>
        <v>OK</v>
      </c>
      <c r="Q752" t="str">
        <f t="shared" si="46"/>
        <v>OK</v>
      </c>
      <c r="R752" t="str">
        <f t="shared" si="47"/>
        <v>OK</v>
      </c>
    </row>
    <row r="753" spans="1:18" x14ac:dyDescent="0.3">
      <c r="A753" s="1">
        <v>45743</v>
      </c>
      <c r="B753" s="2" t="s">
        <v>2635</v>
      </c>
      <c r="C753" s="2" t="s">
        <v>2515</v>
      </c>
      <c r="D753" s="2" t="s">
        <v>2528</v>
      </c>
      <c r="E753" s="2" t="s">
        <v>2529</v>
      </c>
      <c r="F753" s="3">
        <v>120467</v>
      </c>
      <c r="G753" s="3">
        <v>7430</v>
      </c>
      <c r="H753" s="3">
        <v>464</v>
      </c>
      <c r="I753" s="4">
        <v>8519.35</v>
      </c>
      <c r="J753" s="4">
        <v>89816.69</v>
      </c>
      <c r="K753" s="3">
        <v>240</v>
      </c>
      <c r="L753" s="2" t="s">
        <v>2539</v>
      </c>
      <c r="M753" s="2" t="s">
        <v>2519</v>
      </c>
      <c r="N753" s="6">
        <f t="shared" si="44"/>
        <v>1</v>
      </c>
      <c r="O753" t="str">
        <f>IF(Tabla_control[[#This Row],[Control_duplicados]]&gt;1,"Duplicado","Unico")</f>
        <v>Unico</v>
      </c>
      <c r="P753" t="str">
        <f t="shared" si="45"/>
        <v>OK</v>
      </c>
      <c r="Q753" t="str">
        <f t="shared" si="46"/>
        <v>OK</v>
      </c>
      <c r="R753" t="str">
        <f t="shared" si="47"/>
        <v>OK</v>
      </c>
    </row>
    <row r="754" spans="1:18" x14ac:dyDescent="0.3">
      <c r="A754" s="1">
        <v>45956</v>
      </c>
      <c r="B754" s="2" t="s">
        <v>2633</v>
      </c>
      <c r="C754" s="2" t="s">
        <v>2527</v>
      </c>
      <c r="D754" s="2" t="s">
        <v>2525</v>
      </c>
      <c r="E754" s="2" t="s">
        <v>2517</v>
      </c>
      <c r="F754" s="3">
        <v>102121</v>
      </c>
      <c r="G754" s="3">
        <v>3387</v>
      </c>
      <c r="H754" s="3">
        <v>80</v>
      </c>
      <c r="I754" s="4">
        <v>1947.51</v>
      </c>
      <c r="J754" s="4">
        <v>15005.61</v>
      </c>
      <c r="K754" s="3">
        <v>64</v>
      </c>
      <c r="L754" s="2" t="s">
        <v>2539</v>
      </c>
      <c r="M754" s="2" t="s">
        <v>2519</v>
      </c>
      <c r="N754" s="6">
        <f t="shared" si="44"/>
        <v>1</v>
      </c>
      <c r="O754" t="str">
        <f>IF(Tabla_control[[#This Row],[Control_duplicados]]&gt;1,"Duplicado","Unico")</f>
        <v>Unico</v>
      </c>
      <c r="P754" t="str">
        <f t="shared" si="45"/>
        <v>OK</v>
      </c>
      <c r="Q754" t="str">
        <f t="shared" si="46"/>
        <v>OK</v>
      </c>
      <c r="R754" t="str">
        <f t="shared" si="47"/>
        <v>OK</v>
      </c>
    </row>
    <row r="755" spans="1:18" x14ac:dyDescent="0.3">
      <c r="A755" s="1">
        <v>46013</v>
      </c>
      <c r="B755" s="2" t="s">
        <v>2621</v>
      </c>
      <c r="C755" s="2" t="s">
        <v>2515</v>
      </c>
      <c r="D755" s="2" t="s">
        <v>2528</v>
      </c>
      <c r="E755" s="2" t="s">
        <v>2517</v>
      </c>
      <c r="F755" s="3">
        <v>53461</v>
      </c>
      <c r="G755" s="3">
        <v>1511</v>
      </c>
      <c r="H755" s="3">
        <v>99</v>
      </c>
      <c r="I755" s="4">
        <v>1560.39</v>
      </c>
      <c r="J755" s="4">
        <v>3052.32</v>
      </c>
      <c r="K755" s="3">
        <v>64</v>
      </c>
      <c r="L755" s="2" t="s">
        <v>2518</v>
      </c>
      <c r="M755" s="2" t="s">
        <v>2526</v>
      </c>
      <c r="N755" s="6">
        <f t="shared" si="44"/>
        <v>1</v>
      </c>
      <c r="O755" t="str">
        <f>IF(Tabla_control[[#This Row],[Control_duplicados]]&gt;1,"Duplicado","Unico")</f>
        <v>Unico</v>
      </c>
      <c r="P755" t="str">
        <f t="shared" si="45"/>
        <v>OK</v>
      </c>
      <c r="Q755" t="str">
        <f t="shared" si="46"/>
        <v>OK</v>
      </c>
      <c r="R755" t="str">
        <f t="shared" si="47"/>
        <v>OK</v>
      </c>
    </row>
    <row r="756" spans="1:18" x14ac:dyDescent="0.3">
      <c r="A756" s="1">
        <v>45866</v>
      </c>
      <c r="B756" s="2" t="s">
        <v>2616</v>
      </c>
      <c r="C756" s="2" t="s">
        <v>2527</v>
      </c>
      <c r="D756" s="2" t="s">
        <v>2528</v>
      </c>
      <c r="E756" s="2" t="s">
        <v>2529</v>
      </c>
      <c r="F756" s="3">
        <v>22283</v>
      </c>
      <c r="G756" s="3">
        <v>888</v>
      </c>
      <c r="H756" s="3">
        <v>69</v>
      </c>
      <c r="I756" s="4">
        <v>1735.99</v>
      </c>
      <c r="J756" s="4">
        <v>14236.12</v>
      </c>
      <c r="K756" s="3">
        <v>45</v>
      </c>
      <c r="L756" s="2" t="s">
        <v>2539</v>
      </c>
      <c r="M756" s="2" t="s">
        <v>2519</v>
      </c>
      <c r="N756" s="6">
        <f t="shared" si="44"/>
        <v>1</v>
      </c>
      <c r="O756" t="str">
        <f>IF(Tabla_control[[#This Row],[Control_duplicados]]&gt;1,"Duplicado","Unico")</f>
        <v>Unico</v>
      </c>
      <c r="P756" t="str">
        <f t="shared" si="45"/>
        <v>OK</v>
      </c>
      <c r="Q756" t="str">
        <f t="shared" si="46"/>
        <v>OK</v>
      </c>
      <c r="R756" t="str">
        <f t="shared" si="47"/>
        <v>OK</v>
      </c>
    </row>
    <row r="757" spans="1:18" x14ac:dyDescent="0.3">
      <c r="A757" s="1">
        <v>45978</v>
      </c>
      <c r="B757" s="2" t="s">
        <v>2643</v>
      </c>
      <c r="C757" s="2" t="s">
        <v>2543</v>
      </c>
      <c r="D757" s="2" t="s">
        <v>2525</v>
      </c>
      <c r="E757" s="2" t="s">
        <v>2529</v>
      </c>
      <c r="F757" s="3">
        <v>28046</v>
      </c>
      <c r="G757" s="3">
        <v>765</v>
      </c>
      <c r="H757" s="3">
        <v>87</v>
      </c>
      <c r="I757" s="4">
        <v>1081.6199999999999</v>
      </c>
      <c r="J757" s="4">
        <v>10782.28</v>
      </c>
      <c r="K757" s="3">
        <v>76</v>
      </c>
      <c r="L757" s="2" t="s">
        <v>2518</v>
      </c>
      <c r="M757" s="2" t="s">
        <v>2519</v>
      </c>
      <c r="N757" s="6">
        <f t="shared" si="44"/>
        <v>1</v>
      </c>
      <c r="O757" t="str">
        <f>IF(Tabla_control[[#This Row],[Control_duplicados]]&gt;1,"Duplicado","Unico")</f>
        <v>Unico</v>
      </c>
      <c r="P757" t="str">
        <f t="shared" si="45"/>
        <v>OK</v>
      </c>
      <c r="Q757" t="str">
        <f t="shared" si="46"/>
        <v>OK</v>
      </c>
      <c r="R757" t="str">
        <f t="shared" si="47"/>
        <v>OK</v>
      </c>
    </row>
    <row r="758" spans="1:18" x14ac:dyDescent="0.3">
      <c r="A758" s="1">
        <v>45911</v>
      </c>
      <c r="B758" s="2" t="s">
        <v>2635</v>
      </c>
      <c r="C758" s="2" t="s">
        <v>2527</v>
      </c>
      <c r="D758" s="2" t="s">
        <v>2528</v>
      </c>
      <c r="E758" s="2" t="s">
        <v>2517</v>
      </c>
      <c r="F758" s="3">
        <v>27301</v>
      </c>
      <c r="G758" s="3">
        <v>2196</v>
      </c>
      <c r="H758" s="3">
        <v>18</v>
      </c>
      <c r="I758" s="4">
        <v>2795.96</v>
      </c>
      <c r="J758" s="4">
        <v>1053.48</v>
      </c>
      <c r="K758" s="3">
        <v>9</v>
      </c>
      <c r="L758" s="2" t="s">
        <v>2539</v>
      </c>
      <c r="M758" s="2" t="s">
        <v>2526</v>
      </c>
      <c r="N758" s="6">
        <f t="shared" si="44"/>
        <v>1</v>
      </c>
      <c r="O758" t="str">
        <f>IF(Tabla_control[[#This Row],[Control_duplicados]]&gt;1,"Duplicado","Unico")</f>
        <v>Unico</v>
      </c>
      <c r="P758" t="str">
        <f t="shared" si="45"/>
        <v>OK</v>
      </c>
      <c r="Q758" t="str">
        <f t="shared" si="46"/>
        <v>OK</v>
      </c>
      <c r="R758" t="str">
        <f t="shared" si="47"/>
        <v>OK</v>
      </c>
    </row>
    <row r="759" spans="1:18" x14ac:dyDescent="0.3">
      <c r="A759" s="1">
        <v>45911</v>
      </c>
      <c r="B759" s="2" t="s">
        <v>2615</v>
      </c>
      <c r="C759" s="2" t="s">
        <v>2543</v>
      </c>
      <c r="D759" s="2" t="s">
        <v>2525</v>
      </c>
      <c r="E759" s="2" t="s">
        <v>2529</v>
      </c>
      <c r="F759" s="3">
        <v>21900</v>
      </c>
      <c r="G759" s="3">
        <v>1871</v>
      </c>
      <c r="H759" s="3">
        <v>46</v>
      </c>
      <c r="I759" s="4">
        <v>3152.95</v>
      </c>
      <c r="J759" s="4">
        <v>2841.2</v>
      </c>
      <c r="K759" s="3">
        <v>35</v>
      </c>
      <c r="L759" s="2" t="s">
        <v>2536</v>
      </c>
      <c r="M759" s="2" t="s">
        <v>2546</v>
      </c>
      <c r="N759" s="6">
        <f t="shared" si="44"/>
        <v>1</v>
      </c>
      <c r="O759" t="str">
        <f>IF(Tabla_control[[#This Row],[Control_duplicados]]&gt;1,"Duplicado","Unico")</f>
        <v>Unico</v>
      </c>
      <c r="P759" t="str">
        <f t="shared" si="45"/>
        <v>OK</v>
      </c>
      <c r="Q759" t="str">
        <f t="shared" si="46"/>
        <v>OK</v>
      </c>
      <c r="R759" t="str">
        <f t="shared" si="47"/>
        <v>OK</v>
      </c>
    </row>
    <row r="760" spans="1:18" x14ac:dyDescent="0.3">
      <c r="A760" s="1">
        <v>45884</v>
      </c>
      <c r="B760" s="2" t="s">
        <v>2628</v>
      </c>
      <c r="C760" s="2" t="s">
        <v>2533</v>
      </c>
      <c r="D760" s="2" t="s">
        <v>2528</v>
      </c>
      <c r="E760" s="2" t="s">
        <v>2517</v>
      </c>
      <c r="F760" s="3">
        <v>21145</v>
      </c>
      <c r="G760" s="3">
        <v>312</v>
      </c>
      <c r="H760" s="3">
        <v>37</v>
      </c>
      <c r="I760" s="4">
        <v>95.27</v>
      </c>
      <c r="J760" s="4">
        <v>1987.06</v>
      </c>
      <c r="K760" s="3">
        <v>32</v>
      </c>
      <c r="L760" s="2" t="s">
        <v>2539</v>
      </c>
      <c r="M760" s="2" t="s">
        <v>2526</v>
      </c>
      <c r="N760" s="6">
        <f t="shared" si="44"/>
        <v>1</v>
      </c>
      <c r="O760" t="str">
        <f>IF(Tabla_control[[#This Row],[Control_duplicados]]&gt;1,"Duplicado","Unico")</f>
        <v>Unico</v>
      </c>
      <c r="P760" t="str">
        <f t="shared" si="45"/>
        <v>OK</v>
      </c>
      <c r="Q760" t="str">
        <f t="shared" si="46"/>
        <v>OK</v>
      </c>
      <c r="R760" t="str">
        <f t="shared" si="47"/>
        <v>OK</v>
      </c>
    </row>
    <row r="761" spans="1:18" x14ac:dyDescent="0.3">
      <c r="A761" s="1">
        <v>45985</v>
      </c>
      <c r="B761" s="2" t="s">
        <v>2622</v>
      </c>
      <c r="C761" s="2" t="s">
        <v>2541</v>
      </c>
      <c r="D761" s="2" t="s">
        <v>2528</v>
      </c>
      <c r="E761" s="2" t="s">
        <v>2529</v>
      </c>
      <c r="F761" s="3">
        <v>99270</v>
      </c>
      <c r="G761" s="3">
        <v>5091</v>
      </c>
      <c r="H761" s="3">
        <v>479</v>
      </c>
      <c r="I761" s="4">
        <v>9174.77</v>
      </c>
      <c r="J761" s="4">
        <v>95271.37</v>
      </c>
      <c r="K761" s="3">
        <v>300</v>
      </c>
      <c r="L761" s="2" t="s">
        <v>2536</v>
      </c>
      <c r="M761" s="2" t="s">
        <v>2537</v>
      </c>
      <c r="N761" s="6">
        <f t="shared" si="44"/>
        <v>1</v>
      </c>
      <c r="O761" t="str">
        <f>IF(Tabla_control[[#This Row],[Control_duplicados]]&gt;1,"Duplicado","Unico")</f>
        <v>Unico</v>
      </c>
      <c r="P761" t="str">
        <f t="shared" si="45"/>
        <v>OK</v>
      </c>
      <c r="Q761" t="str">
        <f t="shared" si="46"/>
        <v>OK</v>
      </c>
      <c r="R761" t="str">
        <f t="shared" si="47"/>
        <v>OK</v>
      </c>
    </row>
    <row r="762" spans="1:18" x14ac:dyDescent="0.3">
      <c r="A762" s="1">
        <v>45728</v>
      </c>
      <c r="B762" s="2" t="s">
        <v>2621</v>
      </c>
      <c r="C762" s="2" t="s">
        <v>2541</v>
      </c>
      <c r="D762" s="2" t="s">
        <v>2531</v>
      </c>
      <c r="E762" s="2" t="s">
        <v>2517</v>
      </c>
      <c r="F762" s="3">
        <v>34220</v>
      </c>
      <c r="G762" s="3">
        <v>1476</v>
      </c>
      <c r="H762" s="3">
        <v>119</v>
      </c>
      <c r="I762" s="4">
        <v>2550.65</v>
      </c>
      <c r="J762" s="4">
        <v>3059.4</v>
      </c>
      <c r="K762" s="3">
        <v>89</v>
      </c>
      <c r="L762" s="2" t="s">
        <v>2518</v>
      </c>
      <c r="M762" s="2" t="s">
        <v>2519</v>
      </c>
      <c r="N762" s="6">
        <f t="shared" si="44"/>
        <v>1</v>
      </c>
      <c r="O762" t="str">
        <f>IF(Tabla_control[[#This Row],[Control_duplicados]]&gt;1,"Duplicado","Unico")</f>
        <v>Unico</v>
      </c>
      <c r="P762" t="str">
        <f t="shared" si="45"/>
        <v>OK</v>
      </c>
      <c r="Q762" t="str">
        <f t="shared" si="46"/>
        <v>OK</v>
      </c>
      <c r="R762" t="str">
        <f t="shared" si="47"/>
        <v>OK</v>
      </c>
    </row>
    <row r="763" spans="1:18" x14ac:dyDescent="0.3">
      <c r="A763" s="1">
        <v>46013</v>
      </c>
      <c r="B763" s="2" t="s">
        <v>2622</v>
      </c>
      <c r="C763" s="2" t="s">
        <v>2543</v>
      </c>
      <c r="D763" s="2" t="s">
        <v>2531</v>
      </c>
      <c r="E763" s="2" t="s">
        <v>2529</v>
      </c>
      <c r="F763" s="3">
        <v>28165</v>
      </c>
      <c r="G763" s="3">
        <v>782</v>
      </c>
      <c r="H763" s="3">
        <v>82</v>
      </c>
      <c r="I763" s="4">
        <v>827.74</v>
      </c>
      <c r="J763" s="4">
        <v>12117.77</v>
      </c>
      <c r="K763" s="3">
        <v>41</v>
      </c>
      <c r="L763" s="2" t="s">
        <v>2539</v>
      </c>
      <c r="M763" s="2" t="s">
        <v>2546</v>
      </c>
      <c r="N763" s="6">
        <f t="shared" si="44"/>
        <v>1</v>
      </c>
      <c r="O763" t="str">
        <f>IF(Tabla_control[[#This Row],[Control_duplicados]]&gt;1,"Duplicado","Unico")</f>
        <v>Unico</v>
      </c>
      <c r="P763" t="str">
        <f t="shared" si="45"/>
        <v>OK</v>
      </c>
      <c r="Q763" t="str">
        <f t="shared" si="46"/>
        <v>OK</v>
      </c>
      <c r="R763" t="str">
        <f t="shared" si="47"/>
        <v>OK</v>
      </c>
    </row>
    <row r="764" spans="1:18" x14ac:dyDescent="0.3">
      <c r="A764" s="1">
        <v>45815</v>
      </c>
      <c r="B764" s="2" t="s">
        <v>2641</v>
      </c>
      <c r="C764" s="2" t="s">
        <v>2527</v>
      </c>
      <c r="D764" s="2" t="s">
        <v>2522</v>
      </c>
      <c r="E764" s="2" t="s">
        <v>2517</v>
      </c>
      <c r="F764" s="3">
        <v>160813</v>
      </c>
      <c r="G764" s="3">
        <v>11849</v>
      </c>
      <c r="H764" s="3">
        <v>1514</v>
      </c>
      <c r="I764" s="4">
        <v>20480.599999999999</v>
      </c>
      <c r="J764" s="4">
        <v>71723.09</v>
      </c>
      <c r="K764" s="3">
        <v>731</v>
      </c>
      <c r="L764" s="2" t="s">
        <v>2518</v>
      </c>
      <c r="M764" s="2" t="s">
        <v>2537</v>
      </c>
      <c r="N764" s="6">
        <f t="shared" si="44"/>
        <v>1</v>
      </c>
      <c r="O764" t="str">
        <f>IF(Tabla_control[[#This Row],[Control_duplicados]]&gt;1,"Duplicado","Unico")</f>
        <v>Unico</v>
      </c>
      <c r="P764" t="str">
        <f t="shared" si="45"/>
        <v>OK</v>
      </c>
      <c r="Q764" t="str">
        <f t="shared" si="46"/>
        <v>OK</v>
      </c>
      <c r="R764" t="str">
        <f t="shared" si="47"/>
        <v>OK</v>
      </c>
    </row>
    <row r="765" spans="1:18" x14ac:dyDescent="0.3">
      <c r="A765" s="1">
        <v>45662</v>
      </c>
      <c r="B765" s="2" t="s">
        <v>2643</v>
      </c>
      <c r="C765" s="2" t="s">
        <v>2521</v>
      </c>
      <c r="D765" s="2" t="s">
        <v>2516</v>
      </c>
      <c r="E765" s="2" t="s">
        <v>2517</v>
      </c>
      <c r="F765" s="3">
        <v>17559</v>
      </c>
      <c r="G765" s="3">
        <v>1552</v>
      </c>
      <c r="H765" s="3">
        <v>47</v>
      </c>
      <c r="I765" s="4">
        <v>2773.89</v>
      </c>
      <c r="J765" s="4">
        <v>7527.78</v>
      </c>
      <c r="K765" s="3">
        <v>21</v>
      </c>
      <c r="L765" s="2" t="s">
        <v>2518</v>
      </c>
      <c r="M765" s="2" t="s">
        <v>2524</v>
      </c>
      <c r="N765" s="6">
        <f t="shared" si="44"/>
        <v>1</v>
      </c>
      <c r="O765" t="str">
        <f>IF(Tabla_control[[#This Row],[Control_duplicados]]&gt;1,"Duplicado","Unico")</f>
        <v>Unico</v>
      </c>
      <c r="P765" t="str">
        <f t="shared" si="45"/>
        <v>OK</v>
      </c>
      <c r="Q765" t="str">
        <f t="shared" si="46"/>
        <v>OK</v>
      </c>
      <c r="R765" t="str">
        <f t="shared" si="47"/>
        <v>OK</v>
      </c>
    </row>
    <row r="766" spans="1:18" x14ac:dyDescent="0.3">
      <c r="A766" s="1">
        <v>45849</v>
      </c>
      <c r="B766" s="2" t="s">
        <v>2627</v>
      </c>
      <c r="C766" s="2" t="s">
        <v>2515</v>
      </c>
      <c r="D766" s="2" t="s">
        <v>2516</v>
      </c>
      <c r="E766" s="2" t="s">
        <v>2529</v>
      </c>
      <c r="F766" s="3">
        <v>31244</v>
      </c>
      <c r="G766" s="3">
        <v>1928</v>
      </c>
      <c r="H766" s="3">
        <v>121</v>
      </c>
      <c r="I766" s="4">
        <v>1116.72</v>
      </c>
      <c r="J766" s="4">
        <v>4479.5200000000004</v>
      </c>
      <c r="K766" s="3">
        <v>70</v>
      </c>
      <c r="L766" s="2" t="s">
        <v>2518</v>
      </c>
      <c r="M766" s="2" t="s">
        <v>2546</v>
      </c>
      <c r="N766" s="6">
        <f t="shared" si="44"/>
        <v>1</v>
      </c>
      <c r="O766" t="str">
        <f>IF(Tabla_control[[#This Row],[Control_duplicados]]&gt;1,"Duplicado","Unico")</f>
        <v>Unico</v>
      </c>
      <c r="P766" t="str">
        <f t="shared" si="45"/>
        <v>OK</v>
      </c>
      <c r="Q766" t="str">
        <f t="shared" si="46"/>
        <v>OK</v>
      </c>
      <c r="R766" t="str">
        <f t="shared" si="47"/>
        <v>OK</v>
      </c>
    </row>
    <row r="767" spans="1:18" x14ac:dyDescent="0.3">
      <c r="A767" s="1">
        <v>45949</v>
      </c>
      <c r="B767" s="2" t="s">
        <v>2644</v>
      </c>
      <c r="C767" s="2" t="s">
        <v>2541</v>
      </c>
      <c r="D767" s="2" t="s">
        <v>2528</v>
      </c>
      <c r="E767" s="2" t="s">
        <v>2517</v>
      </c>
      <c r="F767" s="3">
        <v>38829</v>
      </c>
      <c r="G767" s="3">
        <v>447</v>
      </c>
      <c r="H767" s="3">
        <v>61</v>
      </c>
      <c r="I767" s="4">
        <v>477.42</v>
      </c>
      <c r="J767" s="4">
        <v>8526.36</v>
      </c>
      <c r="K767" s="3">
        <v>53</v>
      </c>
      <c r="L767" s="2" t="s">
        <v>2518</v>
      </c>
      <c r="M767" s="2" t="s">
        <v>2524</v>
      </c>
      <c r="N767" s="6">
        <f t="shared" si="44"/>
        <v>1</v>
      </c>
      <c r="O767" t="str">
        <f>IF(Tabla_control[[#This Row],[Control_duplicados]]&gt;1,"Duplicado","Unico")</f>
        <v>Unico</v>
      </c>
      <c r="P767" t="str">
        <f t="shared" si="45"/>
        <v>OK</v>
      </c>
      <c r="Q767" t="str">
        <f t="shared" si="46"/>
        <v>OK</v>
      </c>
      <c r="R767" t="str">
        <f t="shared" si="47"/>
        <v>OK</v>
      </c>
    </row>
    <row r="768" spans="1:18" x14ac:dyDescent="0.3">
      <c r="A768" s="1">
        <v>45806</v>
      </c>
      <c r="B768" s="2" t="s">
        <v>2625</v>
      </c>
      <c r="C768" s="2" t="s">
        <v>2533</v>
      </c>
      <c r="D768" s="2" t="s">
        <v>2516</v>
      </c>
      <c r="E768" s="2" t="s">
        <v>2517</v>
      </c>
      <c r="F768" s="3">
        <v>92328</v>
      </c>
      <c r="G768" s="3">
        <v>620</v>
      </c>
      <c r="H768" s="3">
        <v>55</v>
      </c>
      <c r="I768" s="4">
        <v>813.04</v>
      </c>
      <c r="J768" s="4">
        <v>11242.87</v>
      </c>
      <c r="K768" s="3">
        <v>26</v>
      </c>
      <c r="L768" s="2" t="s">
        <v>2539</v>
      </c>
      <c r="M768" s="2" t="s">
        <v>2524</v>
      </c>
      <c r="N768" s="6">
        <f t="shared" si="44"/>
        <v>1</v>
      </c>
      <c r="O768" t="str">
        <f>IF(Tabla_control[[#This Row],[Control_duplicados]]&gt;1,"Duplicado","Unico")</f>
        <v>Unico</v>
      </c>
      <c r="P768" t="str">
        <f t="shared" si="45"/>
        <v>OK</v>
      </c>
      <c r="Q768" t="str">
        <f t="shared" si="46"/>
        <v>OK</v>
      </c>
      <c r="R768" t="str">
        <f t="shared" si="47"/>
        <v>OK</v>
      </c>
    </row>
    <row r="769" spans="1:18" x14ac:dyDescent="0.3">
      <c r="A769" s="1">
        <v>45908</v>
      </c>
      <c r="B769" s="2" t="s">
        <v>2629</v>
      </c>
      <c r="C769" s="2" t="s">
        <v>2541</v>
      </c>
      <c r="D769" s="2" t="s">
        <v>2531</v>
      </c>
      <c r="E769" s="2" t="s">
        <v>2529</v>
      </c>
      <c r="F769" s="3">
        <v>150675</v>
      </c>
      <c r="G769" s="3">
        <v>2762</v>
      </c>
      <c r="H769" s="3">
        <v>140</v>
      </c>
      <c r="I769" s="4">
        <v>4660.5600000000004</v>
      </c>
      <c r="J769" s="4">
        <v>21888.61</v>
      </c>
      <c r="K769" s="3">
        <v>89</v>
      </c>
      <c r="L769" s="2" t="s">
        <v>2523</v>
      </c>
      <c r="M769" s="2" t="s">
        <v>2519</v>
      </c>
      <c r="N769" s="6">
        <f t="shared" si="44"/>
        <v>1</v>
      </c>
      <c r="O769" t="str">
        <f>IF(Tabla_control[[#This Row],[Control_duplicados]]&gt;1,"Duplicado","Unico")</f>
        <v>Unico</v>
      </c>
      <c r="P769" t="str">
        <f t="shared" si="45"/>
        <v>OK</v>
      </c>
      <c r="Q769" t="str">
        <f t="shared" si="46"/>
        <v>OK</v>
      </c>
      <c r="R769" t="str">
        <f t="shared" si="47"/>
        <v>OK</v>
      </c>
    </row>
    <row r="770" spans="1:18" x14ac:dyDescent="0.3">
      <c r="A770" s="1">
        <v>45830</v>
      </c>
      <c r="B770" s="2" t="s">
        <v>2617</v>
      </c>
      <c r="C770" s="2" t="s">
        <v>2543</v>
      </c>
      <c r="D770" s="2" t="s">
        <v>2525</v>
      </c>
      <c r="E770" s="2" t="s">
        <v>2517</v>
      </c>
      <c r="F770" s="3">
        <v>150489</v>
      </c>
      <c r="G770" s="3">
        <v>12127</v>
      </c>
      <c r="H770" s="3">
        <v>1038</v>
      </c>
      <c r="I770" s="4">
        <v>14823.38</v>
      </c>
      <c r="J770" s="4">
        <v>147547.07</v>
      </c>
      <c r="K770" s="3">
        <v>817</v>
      </c>
      <c r="L770" s="2" t="s">
        <v>2539</v>
      </c>
      <c r="M770" s="2" t="s">
        <v>2524</v>
      </c>
      <c r="N770" s="6">
        <f t="shared" ref="N770:N833" si="48">COUNTIFS($A$2:$A$2536,A770,$B$2:$B$2536,B770,$C$2:$C$2536,C770,$D$2:$D$2536,D770,$E$2:$E$2536,E770,$F$2:$F$2536,F770,$G$2:$G$2536,G770,$H$2:$H$2536,H770,$I$2:$I$2536,I770,$J$2:$J$2536,J770,$K$2:$K$2536,K770,$L$2:$L$2536,L770,$M$2:$M$2536,M770)</f>
        <v>1</v>
      </c>
      <c r="O770" t="str">
        <f>IF(Tabla_control[[#This Row],[Control_duplicados]]&gt;1,"Duplicado","Unico")</f>
        <v>Unico</v>
      </c>
      <c r="P770" t="str">
        <f t="shared" ref="P770:P833" si="49">IF(OR(I770="",I770&lt;0),"ERROR","OK")</f>
        <v>OK</v>
      </c>
      <c r="Q770" t="str">
        <f t="shared" ref="Q770:Q833" si="50">IF(H770&gt;F770,"ERROR","OK")</f>
        <v>OK</v>
      </c>
      <c r="R770" t="str">
        <f t="shared" ref="R770:R833" si="51">IF(K770&gt;H770,"ERROR","OK")</f>
        <v>OK</v>
      </c>
    </row>
    <row r="771" spans="1:18" x14ac:dyDescent="0.3">
      <c r="A771" s="1">
        <v>45983</v>
      </c>
      <c r="B771" s="2" t="s">
        <v>2637</v>
      </c>
      <c r="C771" s="2" t="s">
        <v>2541</v>
      </c>
      <c r="D771" s="2" t="s">
        <v>2528</v>
      </c>
      <c r="E771" s="2" t="s">
        <v>2517</v>
      </c>
      <c r="F771" s="3">
        <v>8118</v>
      </c>
      <c r="G771" s="3">
        <v>86</v>
      </c>
      <c r="H771" s="3">
        <v>8</v>
      </c>
      <c r="I771" s="4">
        <v>47.61</v>
      </c>
      <c r="J771" s="4">
        <v>1384.94</v>
      </c>
      <c r="K771" s="3">
        <v>4</v>
      </c>
      <c r="L771" s="2" t="s">
        <v>2536</v>
      </c>
      <c r="M771" s="2" t="s">
        <v>2546</v>
      </c>
      <c r="N771" s="6">
        <f t="shared" si="48"/>
        <v>1</v>
      </c>
      <c r="O771" t="str">
        <f>IF(Tabla_control[[#This Row],[Control_duplicados]]&gt;1,"Duplicado","Unico")</f>
        <v>Unico</v>
      </c>
      <c r="P771" t="str">
        <f t="shared" si="49"/>
        <v>OK</v>
      </c>
      <c r="Q771" t="str">
        <f t="shared" si="50"/>
        <v>OK</v>
      </c>
      <c r="R771" t="str">
        <f t="shared" si="51"/>
        <v>OK</v>
      </c>
    </row>
    <row r="772" spans="1:18" x14ac:dyDescent="0.3">
      <c r="A772" s="1">
        <v>45737</v>
      </c>
      <c r="B772" s="2" t="s">
        <v>2633</v>
      </c>
      <c r="C772" s="2" t="s">
        <v>2543</v>
      </c>
      <c r="D772" s="2" t="s">
        <v>2525</v>
      </c>
      <c r="E772" s="2" t="s">
        <v>2529</v>
      </c>
      <c r="F772" s="3">
        <v>37879</v>
      </c>
      <c r="G772" s="3">
        <v>406</v>
      </c>
      <c r="H772" s="3">
        <v>40</v>
      </c>
      <c r="I772" s="4">
        <v>123.6</v>
      </c>
      <c r="J772" s="4">
        <v>975.87</v>
      </c>
      <c r="K772" s="3">
        <v>25</v>
      </c>
      <c r="L772" s="2" t="s">
        <v>2539</v>
      </c>
      <c r="M772" s="2" t="s">
        <v>2519</v>
      </c>
      <c r="N772" s="6">
        <f t="shared" si="48"/>
        <v>1</v>
      </c>
      <c r="O772" t="str">
        <f>IF(Tabla_control[[#This Row],[Control_duplicados]]&gt;1,"Duplicado","Unico")</f>
        <v>Unico</v>
      </c>
      <c r="P772" t="str">
        <f t="shared" si="49"/>
        <v>OK</v>
      </c>
      <c r="Q772" t="str">
        <f t="shared" si="50"/>
        <v>OK</v>
      </c>
      <c r="R772" t="str">
        <f t="shared" si="51"/>
        <v>OK</v>
      </c>
    </row>
    <row r="773" spans="1:18" x14ac:dyDescent="0.3">
      <c r="A773" s="1">
        <v>45663</v>
      </c>
      <c r="B773" s="2" t="s">
        <v>2622</v>
      </c>
      <c r="C773" s="2" t="s">
        <v>2521</v>
      </c>
      <c r="D773" s="2" t="s">
        <v>2528</v>
      </c>
      <c r="E773" s="2" t="s">
        <v>2529</v>
      </c>
      <c r="F773" s="3">
        <v>24633</v>
      </c>
      <c r="G773" s="3">
        <v>854</v>
      </c>
      <c r="H773" s="3">
        <v>43</v>
      </c>
      <c r="I773" s="4">
        <v>445.47</v>
      </c>
      <c r="J773" s="4">
        <v>9288.15</v>
      </c>
      <c r="K773" s="3">
        <v>25</v>
      </c>
      <c r="L773" s="2" t="s">
        <v>2518</v>
      </c>
      <c r="M773" s="2" t="s">
        <v>2546</v>
      </c>
      <c r="N773" s="6">
        <f t="shared" si="48"/>
        <v>1</v>
      </c>
      <c r="O773" t="str">
        <f>IF(Tabla_control[[#This Row],[Control_duplicados]]&gt;1,"Duplicado","Unico")</f>
        <v>Unico</v>
      </c>
      <c r="P773" t="str">
        <f t="shared" si="49"/>
        <v>OK</v>
      </c>
      <c r="Q773" t="str">
        <f t="shared" si="50"/>
        <v>OK</v>
      </c>
      <c r="R773" t="str">
        <f t="shared" si="51"/>
        <v>OK</v>
      </c>
    </row>
    <row r="774" spans="1:18" x14ac:dyDescent="0.3">
      <c r="A774" s="1">
        <v>45732</v>
      </c>
      <c r="B774" s="2" t="s">
        <v>2622</v>
      </c>
      <c r="C774" s="2" t="s">
        <v>2521</v>
      </c>
      <c r="D774" s="2" t="s">
        <v>2516</v>
      </c>
      <c r="E774" s="2" t="s">
        <v>2529</v>
      </c>
      <c r="F774" s="3">
        <v>49234</v>
      </c>
      <c r="G774" s="3">
        <v>1641</v>
      </c>
      <c r="H774" s="3">
        <v>150</v>
      </c>
      <c r="I774" s="4">
        <v>1635.05</v>
      </c>
      <c r="J774" s="4">
        <v>7538.28</v>
      </c>
      <c r="K774" s="3">
        <v>81</v>
      </c>
      <c r="L774" s="2" t="s">
        <v>2539</v>
      </c>
      <c r="M774" s="2" t="s">
        <v>2546</v>
      </c>
      <c r="N774" s="6">
        <f t="shared" si="48"/>
        <v>1</v>
      </c>
      <c r="O774" t="str">
        <f>IF(Tabla_control[[#This Row],[Control_duplicados]]&gt;1,"Duplicado","Unico")</f>
        <v>Unico</v>
      </c>
      <c r="P774" t="str">
        <f t="shared" si="49"/>
        <v>OK</v>
      </c>
      <c r="Q774" t="str">
        <f t="shared" si="50"/>
        <v>OK</v>
      </c>
      <c r="R774" t="str">
        <f t="shared" si="51"/>
        <v>OK</v>
      </c>
    </row>
    <row r="775" spans="1:18" x14ac:dyDescent="0.3">
      <c r="A775" s="1">
        <v>45920</v>
      </c>
      <c r="B775" s="2" t="s">
        <v>2621</v>
      </c>
      <c r="C775" s="2" t="s">
        <v>2541</v>
      </c>
      <c r="D775" s="2" t="s">
        <v>2528</v>
      </c>
      <c r="E775" s="2" t="s">
        <v>2529</v>
      </c>
      <c r="F775" s="3">
        <v>73196</v>
      </c>
      <c r="G775" s="3">
        <v>5815</v>
      </c>
      <c r="H775" s="3">
        <v>610</v>
      </c>
      <c r="I775" s="4">
        <v>10601.46</v>
      </c>
      <c r="J775" s="4">
        <v>11783.54</v>
      </c>
      <c r="K775" s="3">
        <v>372</v>
      </c>
      <c r="L775" s="2" t="s">
        <v>2539</v>
      </c>
      <c r="M775" s="2" t="s">
        <v>2546</v>
      </c>
      <c r="N775" s="6">
        <f t="shared" si="48"/>
        <v>1</v>
      </c>
      <c r="O775" t="str">
        <f>IF(Tabla_control[[#This Row],[Control_duplicados]]&gt;1,"Duplicado","Unico")</f>
        <v>Unico</v>
      </c>
      <c r="P775" t="str">
        <f t="shared" si="49"/>
        <v>OK</v>
      </c>
      <c r="Q775" t="str">
        <f t="shared" si="50"/>
        <v>OK</v>
      </c>
      <c r="R775" t="str">
        <f t="shared" si="51"/>
        <v>OK</v>
      </c>
    </row>
    <row r="776" spans="1:18" x14ac:dyDescent="0.3">
      <c r="A776" s="1">
        <v>45988</v>
      </c>
      <c r="B776" s="2" t="s">
        <v>2629</v>
      </c>
      <c r="C776" s="2" t="s">
        <v>2533</v>
      </c>
      <c r="D776" s="2" t="s">
        <v>2525</v>
      </c>
      <c r="E776" s="2" t="s">
        <v>2529</v>
      </c>
      <c r="F776" s="3">
        <v>101646</v>
      </c>
      <c r="G776" s="3">
        <v>5125</v>
      </c>
      <c r="H776" s="3">
        <v>653</v>
      </c>
      <c r="I776" s="4">
        <v>1100.9100000000001</v>
      </c>
      <c r="J776" s="4">
        <v>130268.63</v>
      </c>
      <c r="K776" s="3">
        <v>459</v>
      </c>
      <c r="L776" s="2" t="s">
        <v>2523</v>
      </c>
      <c r="M776" s="2" t="s">
        <v>2537</v>
      </c>
      <c r="N776" s="6">
        <f t="shared" si="48"/>
        <v>1</v>
      </c>
      <c r="O776" t="str">
        <f>IF(Tabla_control[[#This Row],[Control_duplicados]]&gt;1,"Duplicado","Unico")</f>
        <v>Unico</v>
      </c>
      <c r="P776" t="str">
        <f t="shared" si="49"/>
        <v>OK</v>
      </c>
      <c r="Q776" t="str">
        <f t="shared" si="50"/>
        <v>OK</v>
      </c>
      <c r="R776" t="str">
        <f t="shared" si="51"/>
        <v>OK</v>
      </c>
    </row>
    <row r="777" spans="1:18" x14ac:dyDescent="0.3">
      <c r="A777" s="1">
        <v>45859</v>
      </c>
      <c r="B777" s="2" t="s">
        <v>2622</v>
      </c>
      <c r="C777" s="2" t="s">
        <v>2521</v>
      </c>
      <c r="D777" s="2" t="s">
        <v>2516</v>
      </c>
      <c r="E777" s="2" t="s">
        <v>2529</v>
      </c>
      <c r="F777" s="3">
        <v>128452</v>
      </c>
      <c r="G777" s="3">
        <v>11301</v>
      </c>
      <c r="H777" s="3">
        <v>1108</v>
      </c>
      <c r="I777" s="4">
        <v>16753.939999999999</v>
      </c>
      <c r="J777" s="4">
        <v>173037.04</v>
      </c>
      <c r="K777" s="3">
        <v>674</v>
      </c>
      <c r="L777" s="2" t="s">
        <v>2518</v>
      </c>
      <c r="M777" s="2" t="s">
        <v>2524</v>
      </c>
      <c r="N777" s="6">
        <f t="shared" si="48"/>
        <v>1</v>
      </c>
      <c r="O777" t="str">
        <f>IF(Tabla_control[[#This Row],[Control_duplicados]]&gt;1,"Duplicado","Unico")</f>
        <v>Unico</v>
      </c>
      <c r="P777" t="str">
        <f t="shared" si="49"/>
        <v>OK</v>
      </c>
      <c r="Q777" t="str">
        <f t="shared" si="50"/>
        <v>OK</v>
      </c>
      <c r="R777" t="str">
        <f t="shared" si="51"/>
        <v>OK</v>
      </c>
    </row>
    <row r="778" spans="1:18" x14ac:dyDescent="0.3">
      <c r="A778" s="1">
        <v>45916</v>
      </c>
      <c r="B778" s="2" t="s">
        <v>2637</v>
      </c>
      <c r="C778" s="2" t="s">
        <v>2515</v>
      </c>
      <c r="D778" s="2" t="s">
        <v>2528</v>
      </c>
      <c r="E778" s="2" t="s">
        <v>2517</v>
      </c>
      <c r="F778" s="3">
        <v>85155</v>
      </c>
      <c r="G778" s="3">
        <v>6228</v>
      </c>
      <c r="H778" s="3">
        <v>491</v>
      </c>
      <c r="I778" s="4">
        <v>6653.61</v>
      </c>
      <c r="J778" s="4">
        <v>31486.41</v>
      </c>
      <c r="K778" s="3">
        <v>249</v>
      </c>
      <c r="L778" s="2" t="s">
        <v>2539</v>
      </c>
      <c r="M778" s="2" t="s">
        <v>2537</v>
      </c>
      <c r="N778" s="6">
        <f t="shared" si="48"/>
        <v>1</v>
      </c>
      <c r="O778" t="str">
        <f>IF(Tabla_control[[#This Row],[Control_duplicados]]&gt;1,"Duplicado","Unico")</f>
        <v>Unico</v>
      </c>
      <c r="P778" t="str">
        <f t="shared" si="49"/>
        <v>OK</v>
      </c>
      <c r="Q778" t="str">
        <f t="shared" si="50"/>
        <v>OK</v>
      </c>
      <c r="R778" t="str">
        <f t="shared" si="51"/>
        <v>OK</v>
      </c>
    </row>
    <row r="779" spans="1:18" x14ac:dyDescent="0.3">
      <c r="A779" s="1">
        <v>45832</v>
      </c>
      <c r="B779" s="2" t="s">
        <v>2633</v>
      </c>
      <c r="C779" s="2" t="s">
        <v>2527</v>
      </c>
      <c r="D779" s="2" t="s">
        <v>2528</v>
      </c>
      <c r="E779" s="2" t="s">
        <v>2529</v>
      </c>
      <c r="F779" s="3">
        <v>139134</v>
      </c>
      <c r="G779" s="3">
        <v>985</v>
      </c>
      <c r="H779" s="3">
        <v>9</v>
      </c>
      <c r="I779" s="4">
        <v>183.45</v>
      </c>
      <c r="J779" s="4">
        <v>641.09</v>
      </c>
      <c r="K779" s="3">
        <v>4</v>
      </c>
      <c r="L779" s="2" t="s">
        <v>2539</v>
      </c>
      <c r="M779" s="2" t="s">
        <v>2537</v>
      </c>
      <c r="N779" s="6">
        <f t="shared" si="48"/>
        <v>1</v>
      </c>
      <c r="O779" t="str">
        <f>IF(Tabla_control[[#This Row],[Control_duplicados]]&gt;1,"Duplicado","Unico")</f>
        <v>Unico</v>
      </c>
      <c r="P779" t="str">
        <f t="shared" si="49"/>
        <v>OK</v>
      </c>
      <c r="Q779" t="str">
        <f t="shared" si="50"/>
        <v>OK</v>
      </c>
      <c r="R779" t="str">
        <f t="shared" si="51"/>
        <v>OK</v>
      </c>
    </row>
    <row r="780" spans="1:18" x14ac:dyDescent="0.3">
      <c r="A780" s="1">
        <v>45691</v>
      </c>
      <c r="B780" s="2" t="s">
        <v>2616</v>
      </c>
      <c r="C780" s="2" t="s">
        <v>2541</v>
      </c>
      <c r="D780" s="2" t="s">
        <v>2528</v>
      </c>
      <c r="E780" s="2" t="s">
        <v>2517</v>
      </c>
      <c r="F780" s="3">
        <v>74707</v>
      </c>
      <c r="G780" s="3">
        <v>4255</v>
      </c>
      <c r="H780" s="3">
        <v>363</v>
      </c>
      <c r="I780" s="4">
        <v>7191.6</v>
      </c>
      <c r="J780" s="4">
        <v>66107.460000000006</v>
      </c>
      <c r="K780" s="3">
        <v>208</v>
      </c>
      <c r="L780" s="2" t="s">
        <v>2536</v>
      </c>
      <c r="M780" s="2" t="s">
        <v>2519</v>
      </c>
      <c r="N780" s="6">
        <f t="shared" si="48"/>
        <v>1</v>
      </c>
      <c r="O780" t="str">
        <f>IF(Tabla_control[[#This Row],[Control_duplicados]]&gt;1,"Duplicado","Unico")</f>
        <v>Unico</v>
      </c>
      <c r="P780" t="str">
        <f t="shared" si="49"/>
        <v>OK</v>
      </c>
      <c r="Q780" t="str">
        <f t="shared" si="50"/>
        <v>OK</v>
      </c>
      <c r="R780" t="str">
        <f t="shared" si="51"/>
        <v>OK</v>
      </c>
    </row>
    <row r="781" spans="1:18" x14ac:dyDescent="0.3">
      <c r="A781" s="1">
        <v>45731</v>
      </c>
      <c r="B781" s="2" t="s">
        <v>2619</v>
      </c>
      <c r="C781" s="2" t="s">
        <v>2541</v>
      </c>
      <c r="D781" s="2" t="s">
        <v>2528</v>
      </c>
      <c r="E781" s="2" t="s">
        <v>2529</v>
      </c>
      <c r="F781" s="3">
        <v>166112</v>
      </c>
      <c r="G781" s="3">
        <v>3732</v>
      </c>
      <c r="H781" s="3">
        <v>143</v>
      </c>
      <c r="I781" s="4">
        <v>490.92</v>
      </c>
      <c r="J781" s="4">
        <v>25789.09</v>
      </c>
      <c r="K781" s="3">
        <v>126</v>
      </c>
      <c r="L781" s="2" t="s">
        <v>2539</v>
      </c>
      <c r="M781" s="2" t="s">
        <v>2519</v>
      </c>
      <c r="N781" s="6">
        <f t="shared" si="48"/>
        <v>1</v>
      </c>
      <c r="O781" t="str">
        <f>IF(Tabla_control[[#This Row],[Control_duplicados]]&gt;1,"Duplicado","Unico")</f>
        <v>Unico</v>
      </c>
      <c r="P781" t="str">
        <f t="shared" si="49"/>
        <v>OK</v>
      </c>
      <c r="Q781" t="str">
        <f t="shared" si="50"/>
        <v>OK</v>
      </c>
      <c r="R781" t="str">
        <f t="shared" si="51"/>
        <v>OK</v>
      </c>
    </row>
    <row r="782" spans="1:18" x14ac:dyDescent="0.3">
      <c r="A782" s="1">
        <v>45827</v>
      </c>
      <c r="B782" s="2" t="s">
        <v>2629</v>
      </c>
      <c r="C782" s="2" t="s">
        <v>2543</v>
      </c>
      <c r="D782" s="2" t="s">
        <v>2516</v>
      </c>
      <c r="E782" s="2" t="s">
        <v>2517</v>
      </c>
      <c r="F782" s="3">
        <v>61091</v>
      </c>
      <c r="G782" s="3">
        <v>1135</v>
      </c>
      <c r="H782" s="3">
        <v>154</v>
      </c>
      <c r="I782" s="4">
        <v>1348.65</v>
      </c>
      <c r="J782" s="4">
        <v>18227.86</v>
      </c>
      <c r="K782" s="3">
        <v>123</v>
      </c>
      <c r="L782" s="2" t="s">
        <v>2536</v>
      </c>
      <c r="M782" s="2" t="s">
        <v>2524</v>
      </c>
      <c r="N782" s="6">
        <f t="shared" si="48"/>
        <v>1</v>
      </c>
      <c r="O782" t="str">
        <f>IF(Tabla_control[[#This Row],[Control_duplicados]]&gt;1,"Duplicado","Unico")</f>
        <v>Unico</v>
      </c>
      <c r="P782" t="str">
        <f t="shared" si="49"/>
        <v>OK</v>
      </c>
      <c r="Q782" t="str">
        <f t="shared" si="50"/>
        <v>OK</v>
      </c>
      <c r="R782" t="str">
        <f t="shared" si="51"/>
        <v>OK</v>
      </c>
    </row>
    <row r="783" spans="1:18" x14ac:dyDescent="0.3">
      <c r="A783" s="1">
        <v>45725</v>
      </c>
      <c r="B783" s="2" t="s">
        <v>2620</v>
      </c>
      <c r="C783" s="2" t="s">
        <v>2533</v>
      </c>
      <c r="D783" s="2" t="s">
        <v>2528</v>
      </c>
      <c r="E783" s="2" t="s">
        <v>2517</v>
      </c>
      <c r="F783" s="3">
        <v>90473</v>
      </c>
      <c r="G783" s="3">
        <v>7819</v>
      </c>
      <c r="H783" s="3">
        <v>864</v>
      </c>
      <c r="I783" s="4">
        <v>5021.29</v>
      </c>
      <c r="J783" s="4">
        <v>68341.570000000007</v>
      </c>
      <c r="K783" s="3">
        <v>390</v>
      </c>
      <c r="L783" s="2" t="s">
        <v>2523</v>
      </c>
      <c r="M783" s="2" t="s">
        <v>2524</v>
      </c>
      <c r="N783" s="6">
        <f t="shared" si="48"/>
        <v>1</v>
      </c>
      <c r="O783" t="str">
        <f>IF(Tabla_control[[#This Row],[Control_duplicados]]&gt;1,"Duplicado","Unico")</f>
        <v>Unico</v>
      </c>
      <c r="P783" t="str">
        <f t="shared" si="49"/>
        <v>OK</v>
      </c>
      <c r="Q783" t="str">
        <f t="shared" si="50"/>
        <v>OK</v>
      </c>
      <c r="R783" t="str">
        <f t="shared" si="51"/>
        <v>OK</v>
      </c>
    </row>
    <row r="784" spans="1:18" x14ac:dyDescent="0.3">
      <c r="A784" s="1">
        <v>46004</v>
      </c>
      <c r="B784" s="2" t="s">
        <v>2627</v>
      </c>
      <c r="C784" s="2" t="s">
        <v>2541</v>
      </c>
      <c r="D784" s="2" t="s">
        <v>2516</v>
      </c>
      <c r="E784" s="2" t="s">
        <v>2529</v>
      </c>
      <c r="F784" s="3">
        <v>23565</v>
      </c>
      <c r="G784" s="3">
        <v>1207</v>
      </c>
      <c r="H784" s="3">
        <v>136</v>
      </c>
      <c r="I784" s="4">
        <v>1109.26</v>
      </c>
      <c r="J784" s="4">
        <v>26944.22</v>
      </c>
      <c r="K784" s="3">
        <v>104</v>
      </c>
      <c r="L784" s="2" t="s">
        <v>2523</v>
      </c>
      <c r="M784" s="2" t="s">
        <v>2546</v>
      </c>
      <c r="N784" s="6">
        <f t="shared" si="48"/>
        <v>1</v>
      </c>
      <c r="O784" t="str">
        <f>IF(Tabla_control[[#This Row],[Control_duplicados]]&gt;1,"Duplicado","Unico")</f>
        <v>Unico</v>
      </c>
      <c r="P784" t="str">
        <f t="shared" si="49"/>
        <v>OK</v>
      </c>
      <c r="Q784" t="str">
        <f t="shared" si="50"/>
        <v>OK</v>
      </c>
      <c r="R784" t="str">
        <f t="shared" si="51"/>
        <v>OK</v>
      </c>
    </row>
    <row r="785" spans="1:18" x14ac:dyDescent="0.3">
      <c r="A785" s="1">
        <v>45745</v>
      </c>
      <c r="B785" s="2" t="s">
        <v>2638</v>
      </c>
      <c r="C785" s="2" t="s">
        <v>2521</v>
      </c>
      <c r="D785" s="2" t="s">
        <v>2528</v>
      </c>
      <c r="E785" s="2" t="s">
        <v>2517</v>
      </c>
      <c r="F785" s="3">
        <v>111367</v>
      </c>
      <c r="G785" s="3">
        <v>8081</v>
      </c>
      <c r="H785" s="3">
        <v>1093</v>
      </c>
      <c r="I785" s="4">
        <v>6697.16</v>
      </c>
      <c r="J785" s="4">
        <v>232412.6</v>
      </c>
      <c r="K785" s="3">
        <v>814</v>
      </c>
      <c r="L785" s="2" t="s">
        <v>2539</v>
      </c>
      <c r="M785" s="2" t="s">
        <v>2524</v>
      </c>
      <c r="N785" s="6">
        <f t="shared" si="48"/>
        <v>1</v>
      </c>
      <c r="O785" t="str">
        <f>IF(Tabla_control[[#This Row],[Control_duplicados]]&gt;1,"Duplicado","Unico")</f>
        <v>Unico</v>
      </c>
      <c r="P785" t="str">
        <f t="shared" si="49"/>
        <v>OK</v>
      </c>
      <c r="Q785" t="str">
        <f t="shared" si="50"/>
        <v>OK</v>
      </c>
      <c r="R785" t="str">
        <f t="shared" si="51"/>
        <v>OK</v>
      </c>
    </row>
    <row r="786" spans="1:18" x14ac:dyDescent="0.3">
      <c r="A786" s="1">
        <v>45675</v>
      </c>
      <c r="B786" s="2" t="s">
        <v>2623</v>
      </c>
      <c r="C786" s="2" t="s">
        <v>2515</v>
      </c>
      <c r="D786" s="2" t="s">
        <v>2522</v>
      </c>
      <c r="E786" s="2" t="s">
        <v>2517</v>
      </c>
      <c r="F786" s="3">
        <v>24110</v>
      </c>
      <c r="G786" s="3">
        <v>698</v>
      </c>
      <c r="H786" s="3">
        <v>66</v>
      </c>
      <c r="I786" s="4">
        <v>364.85</v>
      </c>
      <c r="J786" s="4">
        <v>11852.83</v>
      </c>
      <c r="K786" s="3">
        <v>58</v>
      </c>
      <c r="L786" s="2" t="s">
        <v>2539</v>
      </c>
      <c r="M786" s="2" t="s">
        <v>2519</v>
      </c>
      <c r="N786" s="6">
        <f t="shared" si="48"/>
        <v>1</v>
      </c>
      <c r="O786" t="str">
        <f>IF(Tabla_control[[#This Row],[Control_duplicados]]&gt;1,"Duplicado","Unico")</f>
        <v>Unico</v>
      </c>
      <c r="P786" t="str">
        <f t="shared" si="49"/>
        <v>OK</v>
      </c>
      <c r="Q786" t="str">
        <f t="shared" si="50"/>
        <v>OK</v>
      </c>
      <c r="R786" t="str">
        <f t="shared" si="51"/>
        <v>OK</v>
      </c>
    </row>
    <row r="787" spans="1:18" x14ac:dyDescent="0.3">
      <c r="A787" s="1">
        <v>45786</v>
      </c>
      <c r="B787" s="2" t="s">
        <v>2625</v>
      </c>
      <c r="C787" s="2" t="s">
        <v>2543</v>
      </c>
      <c r="D787" s="2" t="s">
        <v>2516</v>
      </c>
      <c r="E787" s="2" t="s">
        <v>2529</v>
      </c>
      <c r="F787" s="3">
        <v>44502</v>
      </c>
      <c r="G787" s="3">
        <v>3149</v>
      </c>
      <c r="H787" s="3">
        <v>411</v>
      </c>
      <c r="I787" s="4">
        <v>4510.66</v>
      </c>
      <c r="J787" s="4">
        <v>40680.639999999999</v>
      </c>
      <c r="K787" s="3">
        <v>349</v>
      </c>
      <c r="L787" s="2" t="s">
        <v>2518</v>
      </c>
      <c r="M787" s="2" t="s">
        <v>2519</v>
      </c>
      <c r="N787" s="6">
        <f t="shared" si="48"/>
        <v>1</v>
      </c>
      <c r="O787" t="str">
        <f>IF(Tabla_control[[#This Row],[Control_duplicados]]&gt;1,"Duplicado","Unico")</f>
        <v>Unico</v>
      </c>
      <c r="P787" t="str">
        <f t="shared" si="49"/>
        <v>OK</v>
      </c>
      <c r="Q787" t="str">
        <f t="shared" si="50"/>
        <v>OK</v>
      </c>
      <c r="R787" t="str">
        <f t="shared" si="51"/>
        <v>OK</v>
      </c>
    </row>
    <row r="788" spans="1:18" x14ac:dyDescent="0.3">
      <c r="A788" s="1">
        <v>45700</v>
      </c>
      <c r="B788" s="2" t="s">
        <v>2617</v>
      </c>
      <c r="C788" s="2" t="s">
        <v>2541</v>
      </c>
      <c r="D788" s="2" t="s">
        <v>2525</v>
      </c>
      <c r="E788" s="2" t="s">
        <v>2529</v>
      </c>
      <c r="F788" s="3">
        <v>140942</v>
      </c>
      <c r="G788" s="3">
        <v>11107</v>
      </c>
      <c r="H788" s="3">
        <v>185</v>
      </c>
      <c r="I788" s="4">
        <v>16890.669999999998</v>
      </c>
      <c r="J788" s="4">
        <v>12826</v>
      </c>
      <c r="K788" s="3">
        <v>115</v>
      </c>
      <c r="L788" s="2" t="s">
        <v>2518</v>
      </c>
      <c r="M788" s="2" t="s">
        <v>2526</v>
      </c>
      <c r="N788" s="6">
        <f t="shared" si="48"/>
        <v>1</v>
      </c>
      <c r="O788" t="str">
        <f>IF(Tabla_control[[#This Row],[Control_duplicados]]&gt;1,"Duplicado","Unico")</f>
        <v>Unico</v>
      </c>
      <c r="P788" t="str">
        <f t="shared" si="49"/>
        <v>OK</v>
      </c>
      <c r="Q788" t="str">
        <f t="shared" si="50"/>
        <v>OK</v>
      </c>
      <c r="R788" t="str">
        <f t="shared" si="51"/>
        <v>OK</v>
      </c>
    </row>
    <row r="789" spans="1:18" x14ac:dyDescent="0.3">
      <c r="A789" s="1">
        <v>45818</v>
      </c>
      <c r="B789" s="2" t="s">
        <v>2615</v>
      </c>
      <c r="C789" s="2" t="s">
        <v>2521</v>
      </c>
      <c r="D789" s="2" t="s">
        <v>2528</v>
      </c>
      <c r="E789" s="2" t="s">
        <v>2529</v>
      </c>
      <c r="F789" s="3">
        <v>44849</v>
      </c>
      <c r="G789" s="3">
        <v>2804</v>
      </c>
      <c r="H789" s="3">
        <v>187</v>
      </c>
      <c r="I789" s="4">
        <v>3166.17</v>
      </c>
      <c r="J789" s="4">
        <v>20693.62</v>
      </c>
      <c r="K789" s="3">
        <v>121</v>
      </c>
      <c r="L789" s="2" t="s">
        <v>2518</v>
      </c>
      <c r="M789" s="2" t="s">
        <v>2526</v>
      </c>
      <c r="N789" s="6">
        <f t="shared" si="48"/>
        <v>1</v>
      </c>
      <c r="O789" t="str">
        <f>IF(Tabla_control[[#This Row],[Control_duplicados]]&gt;1,"Duplicado","Unico")</f>
        <v>Unico</v>
      </c>
      <c r="P789" t="str">
        <f t="shared" si="49"/>
        <v>OK</v>
      </c>
      <c r="Q789" t="str">
        <f t="shared" si="50"/>
        <v>OK</v>
      </c>
      <c r="R789" t="str">
        <f t="shared" si="51"/>
        <v>OK</v>
      </c>
    </row>
    <row r="790" spans="1:18" x14ac:dyDescent="0.3">
      <c r="A790" s="1">
        <v>45757</v>
      </c>
      <c r="B790" s="2" t="s">
        <v>2623</v>
      </c>
      <c r="C790" s="2" t="s">
        <v>2541</v>
      </c>
      <c r="D790" s="2" t="s">
        <v>2528</v>
      </c>
      <c r="E790" s="2" t="s">
        <v>2529</v>
      </c>
      <c r="F790" s="3">
        <v>13075</v>
      </c>
      <c r="G790" s="3">
        <v>230</v>
      </c>
      <c r="H790" s="3">
        <v>8</v>
      </c>
      <c r="I790" s="4">
        <v>214.45</v>
      </c>
      <c r="J790" s="4">
        <v>1124.6099999999999</v>
      </c>
      <c r="K790" s="3">
        <v>6</v>
      </c>
      <c r="L790" s="2" t="s">
        <v>2536</v>
      </c>
      <c r="M790" s="2" t="s">
        <v>2526</v>
      </c>
      <c r="N790" s="6">
        <f t="shared" si="48"/>
        <v>1</v>
      </c>
      <c r="O790" t="str">
        <f>IF(Tabla_control[[#This Row],[Control_duplicados]]&gt;1,"Duplicado","Unico")</f>
        <v>Unico</v>
      </c>
      <c r="P790" t="str">
        <f t="shared" si="49"/>
        <v>OK</v>
      </c>
      <c r="Q790" t="str">
        <f t="shared" si="50"/>
        <v>OK</v>
      </c>
      <c r="R790" t="str">
        <f t="shared" si="51"/>
        <v>OK</v>
      </c>
    </row>
    <row r="791" spans="1:18" x14ac:dyDescent="0.3">
      <c r="A791" s="1">
        <v>45849</v>
      </c>
      <c r="B791" s="2" t="s">
        <v>2629</v>
      </c>
      <c r="C791" s="2" t="s">
        <v>2527</v>
      </c>
      <c r="D791" s="2" t="s">
        <v>2645</v>
      </c>
      <c r="E791" s="2" t="s">
        <v>2517</v>
      </c>
      <c r="F791" s="3">
        <v>22870</v>
      </c>
      <c r="G791" s="3">
        <v>214</v>
      </c>
      <c r="H791" s="3">
        <v>7</v>
      </c>
      <c r="I791" s="4">
        <v>349.93</v>
      </c>
      <c r="J791" s="4">
        <v>1066.1099999999999</v>
      </c>
      <c r="K791" s="3">
        <v>3</v>
      </c>
      <c r="L791" s="2" t="s">
        <v>2536</v>
      </c>
      <c r="M791" s="2" t="s">
        <v>2537</v>
      </c>
      <c r="N791" s="6">
        <f t="shared" si="48"/>
        <v>1</v>
      </c>
      <c r="O791" t="str">
        <f>IF(Tabla_control[[#This Row],[Control_duplicados]]&gt;1,"Duplicado","Unico")</f>
        <v>Unico</v>
      </c>
      <c r="P791" t="str">
        <f t="shared" si="49"/>
        <v>OK</v>
      </c>
      <c r="Q791" t="str">
        <f t="shared" si="50"/>
        <v>OK</v>
      </c>
      <c r="R791" t="str">
        <f t="shared" si="51"/>
        <v>OK</v>
      </c>
    </row>
    <row r="792" spans="1:18" x14ac:dyDescent="0.3">
      <c r="A792" s="1">
        <v>45982</v>
      </c>
      <c r="B792" s="2" t="s">
        <v>2644</v>
      </c>
      <c r="C792" s="2" t="s">
        <v>2515</v>
      </c>
      <c r="D792" s="2" t="s">
        <v>2528</v>
      </c>
      <c r="E792" s="2" t="s">
        <v>2529</v>
      </c>
      <c r="F792" s="3">
        <v>146245</v>
      </c>
      <c r="G792" s="3">
        <v>12457</v>
      </c>
      <c r="H792" s="3">
        <v>754</v>
      </c>
      <c r="I792" s="4">
        <v>12507.71</v>
      </c>
      <c r="J792" s="4">
        <v>28733.69</v>
      </c>
      <c r="K792" s="3">
        <v>530</v>
      </c>
      <c r="L792" s="2" t="s">
        <v>2523</v>
      </c>
      <c r="M792" s="2" t="s">
        <v>2519</v>
      </c>
      <c r="N792" s="6">
        <f t="shared" si="48"/>
        <v>1</v>
      </c>
      <c r="O792" t="str">
        <f>IF(Tabla_control[[#This Row],[Control_duplicados]]&gt;1,"Duplicado","Unico")</f>
        <v>Unico</v>
      </c>
      <c r="P792" t="str">
        <f t="shared" si="49"/>
        <v>OK</v>
      </c>
      <c r="Q792" t="str">
        <f t="shared" si="50"/>
        <v>OK</v>
      </c>
      <c r="R792" t="str">
        <f t="shared" si="51"/>
        <v>OK</v>
      </c>
    </row>
    <row r="793" spans="1:18" x14ac:dyDescent="0.3">
      <c r="A793" s="1">
        <v>45816</v>
      </c>
      <c r="B793" s="2" t="s">
        <v>2636</v>
      </c>
      <c r="C793" s="2" t="s">
        <v>2515</v>
      </c>
      <c r="D793" s="2" t="s">
        <v>2528</v>
      </c>
      <c r="E793" s="2" t="s">
        <v>2529</v>
      </c>
      <c r="F793" s="3">
        <v>166468</v>
      </c>
      <c r="G793" s="3">
        <v>13944</v>
      </c>
      <c r="H793" s="3">
        <v>634</v>
      </c>
      <c r="I793" s="4">
        <v>13976.1</v>
      </c>
      <c r="J793" s="4">
        <v>112922.56</v>
      </c>
      <c r="K793" s="3">
        <v>368</v>
      </c>
      <c r="L793" s="2" t="s">
        <v>2518</v>
      </c>
      <c r="M793" s="2" t="s">
        <v>2519</v>
      </c>
      <c r="N793" s="6">
        <f t="shared" si="48"/>
        <v>1</v>
      </c>
      <c r="O793" t="str">
        <f>IF(Tabla_control[[#This Row],[Control_duplicados]]&gt;1,"Duplicado","Unico")</f>
        <v>Unico</v>
      </c>
      <c r="P793" t="str">
        <f t="shared" si="49"/>
        <v>OK</v>
      </c>
      <c r="Q793" t="str">
        <f t="shared" si="50"/>
        <v>OK</v>
      </c>
      <c r="R793" t="str">
        <f t="shared" si="51"/>
        <v>OK</v>
      </c>
    </row>
    <row r="794" spans="1:18" x14ac:dyDescent="0.3">
      <c r="A794" s="1">
        <v>45979</v>
      </c>
      <c r="B794" s="2" t="s">
        <v>2636</v>
      </c>
      <c r="C794" s="2" t="s">
        <v>2541</v>
      </c>
      <c r="D794" s="2" t="s">
        <v>2522</v>
      </c>
      <c r="E794" s="2" t="s">
        <v>2529</v>
      </c>
      <c r="F794" s="3">
        <v>154129</v>
      </c>
      <c r="G794" s="3">
        <v>6600</v>
      </c>
      <c r="H794" s="3">
        <v>564</v>
      </c>
      <c r="I794" s="4">
        <v>7428.07</v>
      </c>
      <c r="J794" s="4">
        <v>31628.29</v>
      </c>
      <c r="K794" s="3">
        <v>454</v>
      </c>
      <c r="L794" s="2" t="s">
        <v>2539</v>
      </c>
      <c r="M794" s="2" t="s">
        <v>2546</v>
      </c>
      <c r="N794" s="6">
        <f t="shared" si="48"/>
        <v>1</v>
      </c>
      <c r="O794" t="str">
        <f>IF(Tabla_control[[#This Row],[Control_duplicados]]&gt;1,"Duplicado","Unico")</f>
        <v>Unico</v>
      </c>
      <c r="P794" t="str">
        <f t="shared" si="49"/>
        <v>OK</v>
      </c>
      <c r="Q794" t="str">
        <f t="shared" si="50"/>
        <v>OK</v>
      </c>
      <c r="R794" t="str">
        <f t="shared" si="51"/>
        <v>OK</v>
      </c>
    </row>
    <row r="795" spans="1:18" x14ac:dyDescent="0.3">
      <c r="A795" s="1">
        <v>45736</v>
      </c>
      <c r="B795" s="2" t="s">
        <v>2641</v>
      </c>
      <c r="C795" s="2" t="s">
        <v>2543</v>
      </c>
      <c r="D795" s="2" t="s">
        <v>2528</v>
      </c>
      <c r="E795" s="2" t="s">
        <v>2517</v>
      </c>
      <c r="F795" s="3">
        <v>33319</v>
      </c>
      <c r="G795" s="3">
        <v>2866</v>
      </c>
      <c r="H795" s="3">
        <v>202</v>
      </c>
      <c r="I795" s="4">
        <v>2578.2199999999998</v>
      </c>
      <c r="J795" s="4">
        <v>39447.24</v>
      </c>
      <c r="K795" s="3">
        <v>181</v>
      </c>
      <c r="L795" s="2" t="s">
        <v>2518</v>
      </c>
      <c r="M795" s="2" t="s">
        <v>2524</v>
      </c>
      <c r="N795" s="6">
        <f t="shared" si="48"/>
        <v>1</v>
      </c>
      <c r="O795" t="str">
        <f>IF(Tabla_control[[#This Row],[Control_duplicados]]&gt;1,"Duplicado","Unico")</f>
        <v>Unico</v>
      </c>
      <c r="P795" t="str">
        <f t="shared" si="49"/>
        <v>OK</v>
      </c>
      <c r="Q795" t="str">
        <f t="shared" si="50"/>
        <v>OK</v>
      </c>
      <c r="R795" t="str">
        <f t="shared" si="51"/>
        <v>OK</v>
      </c>
    </row>
    <row r="796" spans="1:18" x14ac:dyDescent="0.3">
      <c r="A796" s="1">
        <v>45976</v>
      </c>
      <c r="B796" s="2" t="s">
        <v>2624</v>
      </c>
      <c r="C796" s="2" t="s">
        <v>2543</v>
      </c>
      <c r="D796" s="2" t="s">
        <v>2525</v>
      </c>
      <c r="E796" s="2" t="s">
        <v>2534</v>
      </c>
      <c r="F796" s="3">
        <v>23608</v>
      </c>
      <c r="G796" s="3">
        <v>1929</v>
      </c>
      <c r="H796" s="3">
        <v>185</v>
      </c>
      <c r="I796" s="4">
        <v>1847.95</v>
      </c>
      <c r="J796" s="4">
        <v>11708.83</v>
      </c>
      <c r="K796" s="3">
        <v>148</v>
      </c>
      <c r="L796" s="2" t="s">
        <v>2539</v>
      </c>
      <c r="M796" s="2" t="s">
        <v>2546</v>
      </c>
      <c r="N796" s="6">
        <f t="shared" si="48"/>
        <v>1</v>
      </c>
      <c r="O796" t="str">
        <f>IF(Tabla_control[[#This Row],[Control_duplicados]]&gt;1,"Duplicado","Unico")</f>
        <v>Unico</v>
      </c>
      <c r="P796" t="str">
        <f t="shared" si="49"/>
        <v>OK</v>
      </c>
      <c r="Q796" t="str">
        <f t="shared" si="50"/>
        <v>OK</v>
      </c>
      <c r="R796" t="str">
        <f t="shared" si="51"/>
        <v>OK</v>
      </c>
    </row>
    <row r="797" spans="1:18" x14ac:dyDescent="0.3">
      <c r="A797" s="1">
        <v>45928</v>
      </c>
      <c r="B797" s="2" t="s">
        <v>2625</v>
      </c>
      <c r="C797" s="2" t="s">
        <v>2543</v>
      </c>
      <c r="D797" s="2" t="s">
        <v>2528</v>
      </c>
      <c r="E797" s="2" t="s">
        <v>2517</v>
      </c>
      <c r="F797" s="3">
        <v>131546</v>
      </c>
      <c r="G797" s="3">
        <v>3414</v>
      </c>
      <c r="H797" s="3">
        <v>30</v>
      </c>
      <c r="I797" s="4">
        <v>2943.15</v>
      </c>
      <c r="J797" s="4">
        <v>1661.82</v>
      </c>
      <c r="K797" s="3">
        <v>19</v>
      </c>
      <c r="L797" s="2" t="s">
        <v>2523</v>
      </c>
      <c r="M797" s="2" t="s">
        <v>2645</v>
      </c>
      <c r="N797" s="6">
        <f t="shared" si="48"/>
        <v>1</v>
      </c>
      <c r="O797" t="str">
        <f>IF(Tabla_control[[#This Row],[Control_duplicados]]&gt;1,"Duplicado","Unico")</f>
        <v>Unico</v>
      </c>
      <c r="P797" t="str">
        <f t="shared" si="49"/>
        <v>OK</v>
      </c>
      <c r="Q797" t="str">
        <f t="shared" si="50"/>
        <v>OK</v>
      </c>
      <c r="R797" t="str">
        <f t="shared" si="51"/>
        <v>OK</v>
      </c>
    </row>
    <row r="798" spans="1:18" x14ac:dyDescent="0.3">
      <c r="A798" s="1">
        <v>45749</v>
      </c>
      <c r="B798" s="2" t="s">
        <v>2636</v>
      </c>
      <c r="C798" s="2" t="s">
        <v>2515</v>
      </c>
      <c r="D798" s="2" t="s">
        <v>2522</v>
      </c>
      <c r="E798" s="2" t="s">
        <v>2517</v>
      </c>
      <c r="F798" s="3">
        <v>152028</v>
      </c>
      <c r="G798" s="3">
        <v>3505</v>
      </c>
      <c r="H798" s="3">
        <v>371</v>
      </c>
      <c r="I798" s="4">
        <v>5857.92</v>
      </c>
      <c r="J798" s="4">
        <v>78320.37</v>
      </c>
      <c r="K798" s="3">
        <v>299</v>
      </c>
      <c r="L798" s="2" t="s">
        <v>2518</v>
      </c>
      <c r="M798" s="2" t="s">
        <v>2524</v>
      </c>
      <c r="N798" s="6">
        <f t="shared" si="48"/>
        <v>1</v>
      </c>
      <c r="O798" t="str">
        <f>IF(Tabla_control[[#This Row],[Control_duplicados]]&gt;1,"Duplicado","Unico")</f>
        <v>Unico</v>
      </c>
      <c r="P798" t="str">
        <f t="shared" si="49"/>
        <v>OK</v>
      </c>
      <c r="Q798" t="str">
        <f t="shared" si="50"/>
        <v>OK</v>
      </c>
      <c r="R798" t="str">
        <f t="shared" si="51"/>
        <v>OK</v>
      </c>
    </row>
    <row r="799" spans="1:18" x14ac:dyDescent="0.3">
      <c r="A799" s="1">
        <v>45750</v>
      </c>
      <c r="B799" s="2" t="s">
        <v>2641</v>
      </c>
      <c r="C799" s="2" t="s">
        <v>2541</v>
      </c>
      <c r="D799" s="2" t="s">
        <v>2522</v>
      </c>
      <c r="E799" s="2" t="s">
        <v>2529</v>
      </c>
      <c r="F799" s="3">
        <v>131220</v>
      </c>
      <c r="G799" s="3">
        <v>6584</v>
      </c>
      <c r="H799" s="3">
        <v>662</v>
      </c>
      <c r="I799" s="4">
        <v>11019.72</v>
      </c>
      <c r="J799" s="4">
        <v>23343.39</v>
      </c>
      <c r="K799" s="3">
        <v>467</v>
      </c>
      <c r="L799" s="2" t="s">
        <v>2536</v>
      </c>
      <c r="M799" s="2" t="s">
        <v>2546</v>
      </c>
      <c r="N799" s="6">
        <f t="shared" si="48"/>
        <v>1</v>
      </c>
      <c r="O799" t="str">
        <f>IF(Tabla_control[[#This Row],[Control_duplicados]]&gt;1,"Duplicado","Unico")</f>
        <v>Unico</v>
      </c>
      <c r="P799" t="str">
        <f t="shared" si="49"/>
        <v>OK</v>
      </c>
      <c r="Q799" t="str">
        <f t="shared" si="50"/>
        <v>OK</v>
      </c>
      <c r="R799" t="str">
        <f t="shared" si="51"/>
        <v>OK</v>
      </c>
    </row>
    <row r="800" spans="1:18" x14ac:dyDescent="0.3">
      <c r="A800" s="1">
        <v>45982</v>
      </c>
      <c r="B800" s="2" t="s">
        <v>2616</v>
      </c>
      <c r="C800" s="2" t="s">
        <v>2543</v>
      </c>
      <c r="D800" s="2" t="s">
        <v>2516</v>
      </c>
      <c r="E800" s="2" t="s">
        <v>2517</v>
      </c>
      <c r="F800" s="3">
        <v>24772</v>
      </c>
      <c r="G800" s="3">
        <v>1537</v>
      </c>
      <c r="H800" s="3">
        <v>31</v>
      </c>
      <c r="I800" s="4">
        <v>2294.42</v>
      </c>
      <c r="J800" s="4">
        <v>5516.44</v>
      </c>
      <c r="K800" s="3">
        <v>21</v>
      </c>
      <c r="L800" s="2" t="s">
        <v>2518</v>
      </c>
      <c r="M800" s="2" t="s">
        <v>2524</v>
      </c>
      <c r="N800" s="6">
        <f t="shared" si="48"/>
        <v>1</v>
      </c>
      <c r="O800" t="str">
        <f>IF(Tabla_control[[#This Row],[Control_duplicados]]&gt;1,"Duplicado","Unico")</f>
        <v>Unico</v>
      </c>
      <c r="P800" t="str">
        <f t="shared" si="49"/>
        <v>OK</v>
      </c>
      <c r="Q800" t="str">
        <f t="shared" si="50"/>
        <v>OK</v>
      </c>
      <c r="R800" t="str">
        <f t="shared" si="51"/>
        <v>OK</v>
      </c>
    </row>
    <row r="801" spans="1:18" x14ac:dyDescent="0.3">
      <c r="A801" s="1">
        <v>45805</v>
      </c>
      <c r="B801" s="2" t="s">
        <v>2621</v>
      </c>
      <c r="C801" s="2" t="s">
        <v>2541</v>
      </c>
      <c r="D801" s="2" t="s">
        <v>2516</v>
      </c>
      <c r="E801" s="2" t="s">
        <v>2529</v>
      </c>
      <c r="F801" s="3">
        <v>120912</v>
      </c>
      <c r="G801" s="3">
        <v>8607</v>
      </c>
      <c r="H801" s="3">
        <v>534</v>
      </c>
      <c r="I801" s="4">
        <v>14050.5</v>
      </c>
      <c r="J801" s="4">
        <v>76264.33</v>
      </c>
      <c r="K801" s="3">
        <v>368</v>
      </c>
      <c r="L801" s="2" t="s">
        <v>2539</v>
      </c>
      <c r="M801" s="2" t="s">
        <v>2524</v>
      </c>
      <c r="N801" s="6">
        <f t="shared" si="48"/>
        <v>1</v>
      </c>
      <c r="O801" t="str">
        <f>IF(Tabla_control[[#This Row],[Control_duplicados]]&gt;1,"Duplicado","Unico")</f>
        <v>Unico</v>
      </c>
      <c r="P801" t="str">
        <f t="shared" si="49"/>
        <v>OK</v>
      </c>
      <c r="Q801" t="str">
        <f t="shared" si="50"/>
        <v>OK</v>
      </c>
      <c r="R801" t="str">
        <f t="shared" si="51"/>
        <v>OK</v>
      </c>
    </row>
    <row r="802" spans="1:18" x14ac:dyDescent="0.3">
      <c r="A802" s="1">
        <v>45688</v>
      </c>
      <c r="B802" s="2" t="s">
        <v>2615</v>
      </c>
      <c r="C802" s="2" t="s">
        <v>2515</v>
      </c>
      <c r="D802" s="2" t="s">
        <v>2528</v>
      </c>
      <c r="E802" s="2" t="s">
        <v>2529</v>
      </c>
      <c r="F802" s="3">
        <v>146442</v>
      </c>
      <c r="G802" s="3">
        <v>6907</v>
      </c>
      <c r="H802" s="3">
        <v>54</v>
      </c>
      <c r="I802" s="4">
        <v>3280.12</v>
      </c>
      <c r="J802" s="4">
        <v>1785.87</v>
      </c>
      <c r="K802" s="3">
        <v>42</v>
      </c>
      <c r="L802" s="2" t="s">
        <v>2539</v>
      </c>
      <c r="M802" s="2" t="s">
        <v>2519</v>
      </c>
      <c r="N802" s="6">
        <f t="shared" si="48"/>
        <v>1</v>
      </c>
      <c r="O802" t="str">
        <f>IF(Tabla_control[[#This Row],[Control_duplicados]]&gt;1,"Duplicado","Unico")</f>
        <v>Unico</v>
      </c>
      <c r="P802" t="str">
        <f t="shared" si="49"/>
        <v>OK</v>
      </c>
      <c r="Q802" t="str">
        <f t="shared" si="50"/>
        <v>OK</v>
      </c>
      <c r="R802" t="str">
        <f t="shared" si="51"/>
        <v>OK</v>
      </c>
    </row>
    <row r="803" spans="1:18" x14ac:dyDescent="0.3">
      <c r="A803" s="1">
        <v>45903</v>
      </c>
      <c r="B803" s="2" t="s">
        <v>2629</v>
      </c>
      <c r="C803" s="2" t="s">
        <v>2521</v>
      </c>
      <c r="D803" s="2" t="s">
        <v>2522</v>
      </c>
      <c r="E803" s="2" t="s">
        <v>2517</v>
      </c>
      <c r="F803" s="3">
        <v>128707</v>
      </c>
      <c r="G803" s="3">
        <v>900</v>
      </c>
      <c r="H803" s="3">
        <v>61</v>
      </c>
      <c r="I803" s="4">
        <v>874.97</v>
      </c>
      <c r="J803" s="4">
        <v>8820.36</v>
      </c>
      <c r="K803" s="3">
        <v>32</v>
      </c>
      <c r="L803" s="2" t="s">
        <v>2536</v>
      </c>
      <c r="M803" s="2" t="s">
        <v>2526</v>
      </c>
      <c r="N803" s="6">
        <f t="shared" si="48"/>
        <v>1</v>
      </c>
      <c r="O803" t="str">
        <f>IF(Tabla_control[[#This Row],[Control_duplicados]]&gt;1,"Duplicado","Unico")</f>
        <v>Unico</v>
      </c>
      <c r="P803" t="str">
        <f t="shared" si="49"/>
        <v>OK</v>
      </c>
      <c r="Q803" t="str">
        <f t="shared" si="50"/>
        <v>OK</v>
      </c>
      <c r="R803" t="str">
        <f t="shared" si="51"/>
        <v>OK</v>
      </c>
    </row>
    <row r="804" spans="1:18" x14ac:dyDescent="0.3">
      <c r="A804" s="1">
        <v>45785</v>
      </c>
      <c r="B804" s="2" t="s">
        <v>2628</v>
      </c>
      <c r="C804" s="2" t="s">
        <v>2543</v>
      </c>
      <c r="D804" s="2" t="s">
        <v>2528</v>
      </c>
      <c r="E804" s="2" t="s">
        <v>2517</v>
      </c>
      <c r="F804" s="3">
        <v>150475</v>
      </c>
      <c r="G804" s="3">
        <v>6716</v>
      </c>
      <c r="H804" s="3">
        <v>759</v>
      </c>
      <c r="I804" s="4">
        <v>4173.28</v>
      </c>
      <c r="J804" s="4">
        <v>114798.74</v>
      </c>
      <c r="K804" s="3">
        <v>607</v>
      </c>
      <c r="L804" s="2" t="s">
        <v>2539</v>
      </c>
      <c r="M804" s="2" t="s">
        <v>2546</v>
      </c>
      <c r="N804" s="6">
        <f t="shared" si="48"/>
        <v>1</v>
      </c>
      <c r="O804" t="str">
        <f>IF(Tabla_control[[#This Row],[Control_duplicados]]&gt;1,"Duplicado","Unico")</f>
        <v>Unico</v>
      </c>
      <c r="P804" t="str">
        <f t="shared" si="49"/>
        <v>OK</v>
      </c>
      <c r="Q804" t="str">
        <f t="shared" si="50"/>
        <v>OK</v>
      </c>
      <c r="R804" t="str">
        <f t="shared" si="51"/>
        <v>OK</v>
      </c>
    </row>
    <row r="805" spans="1:18" x14ac:dyDescent="0.3">
      <c r="A805" s="1">
        <v>45770</v>
      </c>
      <c r="B805" s="2" t="s">
        <v>2622</v>
      </c>
      <c r="C805" s="2" t="s">
        <v>2541</v>
      </c>
      <c r="D805" s="2" t="s">
        <v>2525</v>
      </c>
      <c r="E805" s="2" t="s">
        <v>2529</v>
      </c>
      <c r="F805" s="3">
        <v>60947</v>
      </c>
      <c r="G805" s="3">
        <v>3338</v>
      </c>
      <c r="H805" s="3">
        <v>85</v>
      </c>
      <c r="I805" s="4">
        <v>6638.56</v>
      </c>
      <c r="J805" s="4">
        <v>17689.5</v>
      </c>
      <c r="K805" s="3">
        <v>51</v>
      </c>
      <c r="L805" s="2" t="s">
        <v>2523</v>
      </c>
      <c r="M805" s="2" t="s">
        <v>2524</v>
      </c>
      <c r="N805" s="6">
        <f t="shared" si="48"/>
        <v>1</v>
      </c>
      <c r="O805" t="str">
        <f>IF(Tabla_control[[#This Row],[Control_duplicados]]&gt;1,"Duplicado","Unico")</f>
        <v>Unico</v>
      </c>
      <c r="P805" t="str">
        <f t="shared" si="49"/>
        <v>OK</v>
      </c>
      <c r="Q805" t="str">
        <f t="shared" si="50"/>
        <v>OK</v>
      </c>
      <c r="R805" t="str">
        <f t="shared" si="51"/>
        <v>OK</v>
      </c>
    </row>
    <row r="806" spans="1:18" x14ac:dyDescent="0.3">
      <c r="A806" s="1">
        <v>45672</v>
      </c>
      <c r="B806" s="2" t="s">
        <v>2617</v>
      </c>
      <c r="C806" s="2" t="s">
        <v>2515</v>
      </c>
      <c r="D806" s="2" t="s">
        <v>2525</v>
      </c>
      <c r="E806" s="2" t="s">
        <v>2529</v>
      </c>
      <c r="F806" s="3">
        <v>110843</v>
      </c>
      <c r="G806" s="3">
        <v>7620</v>
      </c>
      <c r="H806" s="3">
        <v>962</v>
      </c>
      <c r="I806" s="4">
        <v>11595.39</v>
      </c>
      <c r="J806" s="4">
        <v>122173.73</v>
      </c>
      <c r="K806" s="3">
        <v>692</v>
      </c>
      <c r="L806" s="2" t="s">
        <v>2539</v>
      </c>
      <c r="M806" s="2" t="s">
        <v>2526</v>
      </c>
      <c r="N806" s="6">
        <f t="shared" si="48"/>
        <v>1</v>
      </c>
      <c r="O806" t="str">
        <f>IF(Tabla_control[[#This Row],[Control_duplicados]]&gt;1,"Duplicado","Unico")</f>
        <v>Unico</v>
      </c>
      <c r="P806" t="str">
        <f t="shared" si="49"/>
        <v>OK</v>
      </c>
      <c r="Q806" t="str">
        <f t="shared" si="50"/>
        <v>OK</v>
      </c>
      <c r="R806" t="str">
        <f t="shared" si="51"/>
        <v>OK</v>
      </c>
    </row>
    <row r="807" spans="1:18" x14ac:dyDescent="0.3">
      <c r="A807" s="1">
        <v>45851</v>
      </c>
      <c r="B807" s="2" t="s">
        <v>2627</v>
      </c>
      <c r="C807" s="2" t="s">
        <v>2527</v>
      </c>
      <c r="D807" s="2" t="s">
        <v>2531</v>
      </c>
      <c r="E807" s="2" t="s">
        <v>2517</v>
      </c>
      <c r="F807" s="3">
        <v>62894</v>
      </c>
      <c r="G807" s="3">
        <v>4378</v>
      </c>
      <c r="H807" s="3">
        <v>36</v>
      </c>
      <c r="I807" s="4">
        <v>7185.74</v>
      </c>
      <c r="J807" s="4">
        <v>3293.5</v>
      </c>
      <c r="K807" s="3">
        <v>19</v>
      </c>
      <c r="L807" s="2" t="s">
        <v>2536</v>
      </c>
      <c r="M807" s="2" t="s">
        <v>2546</v>
      </c>
      <c r="N807" s="6">
        <f t="shared" si="48"/>
        <v>1</v>
      </c>
      <c r="O807" t="str">
        <f>IF(Tabla_control[[#This Row],[Control_duplicados]]&gt;1,"Duplicado","Unico")</f>
        <v>Unico</v>
      </c>
      <c r="P807" t="str">
        <f t="shared" si="49"/>
        <v>OK</v>
      </c>
      <c r="Q807" t="str">
        <f t="shared" si="50"/>
        <v>OK</v>
      </c>
      <c r="R807" t="str">
        <f t="shared" si="51"/>
        <v>OK</v>
      </c>
    </row>
    <row r="808" spans="1:18" x14ac:dyDescent="0.3">
      <c r="A808" s="1">
        <v>45757</v>
      </c>
      <c r="B808" s="2" t="s">
        <v>2616</v>
      </c>
      <c r="C808" s="2" t="s">
        <v>2515</v>
      </c>
      <c r="D808" s="2" t="s">
        <v>2516</v>
      </c>
      <c r="E808" s="2" t="s">
        <v>2517</v>
      </c>
      <c r="F808" s="3">
        <v>160226</v>
      </c>
      <c r="G808" s="3">
        <v>9087</v>
      </c>
      <c r="H808" s="3">
        <v>475</v>
      </c>
      <c r="I808" s="4">
        <v>2377.0100000000002</v>
      </c>
      <c r="J808" s="4">
        <v>98767.83</v>
      </c>
      <c r="K808" s="3">
        <v>331</v>
      </c>
      <c r="L808" s="2" t="s">
        <v>2539</v>
      </c>
      <c r="M808" s="2" t="s">
        <v>2519</v>
      </c>
      <c r="N808" s="6">
        <f t="shared" si="48"/>
        <v>1</v>
      </c>
      <c r="O808" t="str">
        <f>IF(Tabla_control[[#This Row],[Control_duplicados]]&gt;1,"Duplicado","Unico")</f>
        <v>Unico</v>
      </c>
      <c r="P808" t="str">
        <f t="shared" si="49"/>
        <v>OK</v>
      </c>
      <c r="Q808" t="str">
        <f t="shared" si="50"/>
        <v>OK</v>
      </c>
      <c r="R808" t="str">
        <f t="shared" si="51"/>
        <v>OK</v>
      </c>
    </row>
    <row r="809" spans="1:18" x14ac:dyDescent="0.3">
      <c r="A809" s="1">
        <v>45765</v>
      </c>
      <c r="B809" s="2" t="s">
        <v>2616</v>
      </c>
      <c r="C809" s="2" t="s">
        <v>2527</v>
      </c>
      <c r="D809" s="2" t="s">
        <v>2528</v>
      </c>
      <c r="E809" s="2" t="s">
        <v>2529</v>
      </c>
      <c r="F809" s="3">
        <v>143313</v>
      </c>
      <c r="G809" s="3">
        <v>3134</v>
      </c>
      <c r="H809" s="3">
        <v>221</v>
      </c>
      <c r="I809" s="4">
        <v>5028.5200000000004</v>
      </c>
      <c r="J809" s="4">
        <v>7892</v>
      </c>
      <c r="K809" s="3">
        <v>188</v>
      </c>
      <c r="L809" s="2" t="s">
        <v>2523</v>
      </c>
      <c r="M809" s="2" t="s">
        <v>2526</v>
      </c>
      <c r="N809" s="6">
        <f t="shared" si="48"/>
        <v>1</v>
      </c>
      <c r="O809" t="str">
        <f>IF(Tabla_control[[#This Row],[Control_duplicados]]&gt;1,"Duplicado","Unico")</f>
        <v>Unico</v>
      </c>
      <c r="P809" t="str">
        <f t="shared" si="49"/>
        <v>OK</v>
      </c>
      <c r="Q809" t="str">
        <f t="shared" si="50"/>
        <v>OK</v>
      </c>
      <c r="R809" t="str">
        <f t="shared" si="51"/>
        <v>OK</v>
      </c>
    </row>
    <row r="810" spans="1:18" x14ac:dyDescent="0.3">
      <c r="A810" s="1">
        <v>45945</v>
      </c>
      <c r="B810" s="2" t="s">
        <v>2632</v>
      </c>
      <c r="C810" s="2" t="s">
        <v>2533</v>
      </c>
      <c r="D810" s="2" t="s">
        <v>2531</v>
      </c>
      <c r="E810" s="2" t="s">
        <v>2529</v>
      </c>
      <c r="F810" s="3">
        <v>142471</v>
      </c>
      <c r="G810" s="3">
        <v>10962</v>
      </c>
      <c r="H810" s="3">
        <v>1448</v>
      </c>
      <c r="I810" s="4">
        <v>5700.32</v>
      </c>
      <c r="J810" s="4">
        <v>278741.78999999998</v>
      </c>
      <c r="K810" s="3">
        <v>657</v>
      </c>
      <c r="L810" s="2" t="s">
        <v>2536</v>
      </c>
      <c r="M810" s="2" t="s">
        <v>2524</v>
      </c>
      <c r="N810" s="6">
        <f t="shared" si="48"/>
        <v>1</v>
      </c>
      <c r="O810" t="str">
        <f>IF(Tabla_control[[#This Row],[Control_duplicados]]&gt;1,"Duplicado","Unico")</f>
        <v>Unico</v>
      </c>
      <c r="P810" t="str">
        <f t="shared" si="49"/>
        <v>OK</v>
      </c>
      <c r="Q810" t="str">
        <f t="shared" si="50"/>
        <v>OK</v>
      </c>
      <c r="R810" t="str">
        <f t="shared" si="51"/>
        <v>OK</v>
      </c>
    </row>
    <row r="811" spans="1:18" x14ac:dyDescent="0.3">
      <c r="A811" s="1">
        <v>46012</v>
      </c>
      <c r="B811" s="2" t="s">
        <v>2622</v>
      </c>
      <c r="C811" s="2" t="s">
        <v>2527</v>
      </c>
      <c r="D811" s="2" t="s">
        <v>2528</v>
      </c>
      <c r="E811" s="2" t="s">
        <v>2529</v>
      </c>
      <c r="F811" s="3">
        <v>122646</v>
      </c>
      <c r="G811" s="3">
        <v>8307</v>
      </c>
      <c r="H811" s="3">
        <v>862</v>
      </c>
      <c r="I811" s="4">
        <v>8828.2099999999991</v>
      </c>
      <c r="J811" s="4">
        <v>117170.78</v>
      </c>
      <c r="K811" s="3">
        <v>681</v>
      </c>
      <c r="L811" s="2" t="s">
        <v>2539</v>
      </c>
      <c r="M811" s="2" t="s">
        <v>2546</v>
      </c>
      <c r="N811" s="6">
        <f t="shared" si="48"/>
        <v>1</v>
      </c>
      <c r="O811" t="str">
        <f>IF(Tabla_control[[#This Row],[Control_duplicados]]&gt;1,"Duplicado","Unico")</f>
        <v>Unico</v>
      </c>
      <c r="P811" t="str">
        <f t="shared" si="49"/>
        <v>OK</v>
      </c>
      <c r="Q811" t="str">
        <f t="shared" si="50"/>
        <v>OK</v>
      </c>
      <c r="R811" t="str">
        <f t="shared" si="51"/>
        <v>OK</v>
      </c>
    </row>
    <row r="812" spans="1:18" x14ac:dyDescent="0.3">
      <c r="A812" s="1">
        <v>46017</v>
      </c>
      <c r="B812" s="2" t="s">
        <v>2628</v>
      </c>
      <c r="C812" s="2" t="s">
        <v>2541</v>
      </c>
      <c r="D812" s="2" t="s">
        <v>2528</v>
      </c>
      <c r="E812" s="2" t="s">
        <v>2517</v>
      </c>
      <c r="F812" s="3">
        <v>63278</v>
      </c>
      <c r="G812" s="3">
        <v>5025</v>
      </c>
      <c r="H812" s="3">
        <v>332</v>
      </c>
      <c r="I812" s="4">
        <v>6610</v>
      </c>
      <c r="J812" s="4">
        <v>67554.97</v>
      </c>
      <c r="K812" s="3">
        <v>297</v>
      </c>
      <c r="L812" s="2" t="s">
        <v>2518</v>
      </c>
      <c r="M812" s="2" t="s">
        <v>2537</v>
      </c>
      <c r="N812" s="6">
        <f t="shared" si="48"/>
        <v>1</v>
      </c>
      <c r="O812" t="str">
        <f>IF(Tabla_control[[#This Row],[Control_duplicados]]&gt;1,"Duplicado","Unico")</f>
        <v>Unico</v>
      </c>
      <c r="P812" t="str">
        <f t="shared" si="49"/>
        <v>OK</v>
      </c>
      <c r="Q812" t="str">
        <f t="shared" si="50"/>
        <v>OK</v>
      </c>
      <c r="R812" t="str">
        <f t="shared" si="51"/>
        <v>OK</v>
      </c>
    </row>
    <row r="813" spans="1:18" x14ac:dyDescent="0.3">
      <c r="A813" s="1">
        <v>45748</v>
      </c>
      <c r="B813" s="2" t="s">
        <v>2616</v>
      </c>
      <c r="C813" s="2" t="s">
        <v>2541</v>
      </c>
      <c r="D813" s="2" t="s">
        <v>2528</v>
      </c>
      <c r="E813" s="2" t="s">
        <v>2529</v>
      </c>
      <c r="F813" s="3">
        <v>174044</v>
      </c>
      <c r="G813" s="3">
        <v>14856</v>
      </c>
      <c r="H813" s="3">
        <v>405</v>
      </c>
      <c r="I813" s="4">
        <v>7078.96</v>
      </c>
      <c r="J813" s="4">
        <v>70701.649999999994</v>
      </c>
      <c r="K813" s="3">
        <v>319</v>
      </c>
      <c r="L813" s="2" t="s">
        <v>2523</v>
      </c>
      <c r="M813" s="2" t="s">
        <v>2537</v>
      </c>
      <c r="N813" s="6">
        <f t="shared" si="48"/>
        <v>1</v>
      </c>
      <c r="O813" t="str">
        <f>IF(Tabla_control[[#This Row],[Control_duplicados]]&gt;1,"Duplicado","Unico")</f>
        <v>Unico</v>
      </c>
      <c r="P813" t="str">
        <f t="shared" si="49"/>
        <v>OK</v>
      </c>
      <c r="Q813" t="str">
        <f t="shared" si="50"/>
        <v>OK</v>
      </c>
      <c r="R813" t="str">
        <f t="shared" si="51"/>
        <v>OK</v>
      </c>
    </row>
    <row r="814" spans="1:18" x14ac:dyDescent="0.3">
      <c r="A814" s="1">
        <v>45941</v>
      </c>
      <c r="B814" s="2" t="s">
        <v>2640</v>
      </c>
      <c r="C814" s="2" t="s">
        <v>2533</v>
      </c>
      <c r="D814" s="2" t="s">
        <v>2516</v>
      </c>
      <c r="E814" s="2" t="s">
        <v>2517</v>
      </c>
      <c r="F814" s="3">
        <v>59959</v>
      </c>
      <c r="G814" s="3">
        <v>931</v>
      </c>
      <c r="H814" s="3">
        <v>127</v>
      </c>
      <c r="I814" s="4">
        <v>262.22000000000003</v>
      </c>
      <c r="J814" s="4">
        <v>26172.18</v>
      </c>
      <c r="K814" s="3">
        <v>88</v>
      </c>
      <c r="L814" s="2" t="s">
        <v>2523</v>
      </c>
      <c r="M814" s="2" t="s">
        <v>2546</v>
      </c>
      <c r="N814" s="6">
        <f t="shared" si="48"/>
        <v>1</v>
      </c>
      <c r="O814" t="str">
        <f>IF(Tabla_control[[#This Row],[Control_duplicados]]&gt;1,"Duplicado","Unico")</f>
        <v>Unico</v>
      </c>
      <c r="P814" t="str">
        <f t="shared" si="49"/>
        <v>OK</v>
      </c>
      <c r="Q814" t="str">
        <f t="shared" si="50"/>
        <v>OK</v>
      </c>
      <c r="R814" t="str">
        <f t="shared" si="51"/>
        <v>OK</v>
      </c>
    </row>
    <row r="815" spans="1:18" x14ac:dyDescent="0.3">
      <c r="A815" s="1">
        <v>45934</v>
      </c>
      <c r="B815" s="2" t="s">
        <v>2630</v>
      </c>
      <c r="C815" s="2" t="s">
        <v>2541</v>
      </c>
      <c r="D815" s="2" t="s">
        <v>2525</v>
      </c>
      <c r="E815" s="2" t="s">
        <v>2529</v>
      </c>
      <c r="F815" s="3">
        <v>60952</v>
      </c>
      <c r="G815" s="3">
        <v>3572</v>
      </c>
      <c r="H815" s="3">
        <v>412</v>
      </c>
      <c r="I815" s="4">
        <v>1488.23</v>
      </c>
      <c r="J815" s="4">
        <v>78504.13</v>
      </c>
      <c r="K815" s="3">
        <v>370</v>
      </c>
      <c r="L815" s="2" t="s">
        <v>2539</v>
      </c>
      <c r="M815" s="2" t="s">
        <v>2519</v>
      </c>
      <c r="N815" s="6">
        <f t="shared" si="48"/>
        <v>1</v>
      </c>
      <c r="O815" t="str">
        <f>IF(Tabla_control[[#This Row],[Control_duplicados]]&gt;1,"Duplicado","Unico")</f>
        <v>Unico</v>
      </c>
      <c r="P815" t="str">
        <f t="shared" si="49"/>
        <v>OK</v>
      </c>
      <c r="Q815" t="str">
        <f t="shared" si="50"/>
        <v>OK</v>
      </c>
      <c r="R815" t="str">
        <f t="shared" si="51"/>
        <v>OK</v>
      </c>
    </row>
    <row r="816" spans="1:18" x14ac:dyDescent="0.3">
      <c r="A816" s="1">
        <v>45860</v>
      </c>
      <c r="B816" s="2" t="s">
        <v>2622</v>
      </c>
      <c r="C816" s="2" t="s">
        <v>2521</v>
      </c>
      <c r="D816" s="2" t="s">
        <v>2528</v>
      </c>
      <c r="E816" s="2" t="s">
        <v>2517</v>
      </c>
      <c r="F816" s="3">
        <v>166131</v>
      </c>
      <c r="G816" s="3">
        <v>1106</v>
      </c>
      <c r="H816" s="3">
        <v>143</v>
      </c>
      <c r="I816" s="4">
        <v>-1896.6</v>
      </c>
      <c r="J816" s="4">
        <v>10315.93</v>
      </c>
      <c r="K816" s="3">
        <v>88</v>
      </c>
      <c r="L816" s="2" t="s">
        <v>2536</v>
      </c>
      <c r="M816" s="2" t="s">
        <v>2546</v>
      </c>
      <c r="N816" s="6">
        <f t="shared" si="48"/>
        <v>1</v>
      </c>
      <c r="O816" t="str">
        <f>IF(Tabla_control[[#This Row],[Control_duplicados]]&gt;1,"Duplicado","Unico")</f>
        <v>Unico</v>
      </c>
      <c r="P816" t="str">
        <f t="shared" si="49"/>
        <v>ERROR</v>
      </c>
      <c r="Q816" t="str">
        <f t="shared" si="50"/>
        <v>OK</v>
      </c>
      <c r="R816" t="str">
        <f t="shared" si="51"/>
        <v>OK</v>
      </c>
    </row>
    <row r="817" spans="1:18" x14ac:dyDescent="0.3">
      <c r="A817" s="1">
        <v>45938</v>
      </c>
      <c r="B817" s="2" t="s">
        <v>2620</v>
      </c>
      <c r="C817" s="2" t="s">
        <v>2515</v>
      </c>
      <c r="D817" s="2" t="s">
        <v>2528</v>
      </c>
      <c r="E817" s="2" t="s">
        <v>2529</v>
      </c>
      <c r="F817" s="3">
        <v>34957</v>
      </c>
      <c r="G817" s="3">
        <v>399</v>
      </c>
      <c r="H817" s="3">
        <v>39</v>
      </c>
      <c r="I817" s="4">
        <v>238.01</v>
      </c>
      <c r="J817" s="4">
        <v>7306.67</v>
      </c>
      <c r="K817" s="3">
        <v>28</v>
      </c>
      <c r="L817" s="2" t="s">
        <v>2523</v>
      </c>
      <c r="M817" s="2" t="s">
        <v>2537</v>
      </c>
      <c r="N817" s="6">
        <f t="shared" si="48"/>
        <v>1</v>
      </c>
      <c r="O817" t="str">
        <f>IF(Tabla_control[[#This Row],[Control_duplicados]]&gt;1,"Duplicado","Unico")</f>
        <v>Unico</v>
      </c>
      <c r="P817" t="str">
        <f t="shared" si="49"/>
        <v>OK</v>
      </c>
      <c r="Q817" t="str">
        <f t="shared" si="50"/>
        <v>OK</v>
      </c>
      <c r="R817" t="str">
        <f t="shared" si="51"/>
        <v>OK</v>
      </c>
    </row>
    <row r="818" spans="1:18" x14ac:dyDescent="0.3">
      <c r="A818" s="1">
        <v>45719</v>
      </c>
      <c r="B818" s="2" t="s">
        <v>2644</v>
      </c>
      <c r="C818" s="2" t="s">
        <v>2541</v>
      </c>
      <c r="D818" s="2" t="s">
        <v>2528</v>
      </c>
      <c r="E818" s="2" t="s">
        <v>2529</v>
      </c>
      <c r="F818" s="3">
        <v>81329</v>
      </c>
      <c r="G818" s="3">
        <v>3572</v>
      </c>
      <c r="H818" s="3">
        <v>228</v>
      </c>
      <c r="I818" s="4">
        <v>5803.43</v>
      </c>
      <c r="J818" s="4">
        <v>12192.68</v>
      </c>
      <c r="K818" s="3">
        <v>164</v>
      </c>
      <c r="L818" s="2" t="s">
        <v>2536</v>
      </c>
      <c r="M818" s="2" t="s">
        <v>2524</v>
      </c>
      <c r="N818" s="6">
        <f t="shared" si="48"/>
        <v>1</v>
      </c>
      <c r="O818" t="str">
        <f>IF(Tabla_control[[#This Row],[Control_duplicados]]&gt;1,"Duplicado","Unico")</f>
        <v>Unico</v>
      </c>
      <c r="P818" t="str">
        <f t="shared" si="49"/>
        <v>OK</v>
      </c>
      <c r="Q818" t="str">
        <f t="shared" si="50"/>
        <v>OK</v>
      </c>
      <c r="R818" t="str">
        <f t="shared" si="51"/>
        <v>OK</v>
      </c>
    </row>
    <row r="819" spans="1:18" x14ac:dyDescent="0.3">
      <c r="A819" s="1">
        <v>45741</v>
      </c>
      <c r="B819" s="2" t="s">
        <v>2628</v>
      </c>
      <c r="C819" s="2" t="s">
        <v>2527</v>
      </c>
      <c r="D819" s="2" t="s">
        <v>2528</v>
      </c>
      <c r="E819" s="2" t="s">
        <v>2529</v>
      </c>
      <c r="F819" s="3">
        <v>34362</v>
      </c>
      <c r="G819" s="3">
        <v>213</v>
      </c>
      <c r="H819" s="3">
        <v>16</v>
      </c>
      <c r="I819" s="4">
        <v>60.36</v>
      </c>
      <c r="J819" s="4">
        <v>2183.71</v>
      </c>
      <c r="K819" s="3">
        <v>13</v>
      </c>
      <c r="L819" s="2" t="s">
        <v>2539</v>
      </c>
      <c r="M819" s="2" t="s">
        <v>2519</v>
      </c>
      <c r="N819" s="6">
        <f t="shared" si="48"/>
        <v>1</v>
      </c>
      <c r="O819" t="str">
        <f>IF(Tabla_control[[#This Row],[Control_duplicados]]&gt;1,"Duplicado","Unico")</f>
        <v>Unico</v>
      </c>
      <c r="P819" t="str">
        <f t="shared" si="49"/>
        <v>OK</v>
      </c>
      <c r="Q819" t="str">
        <f t="shared" si="50"/>
        <v>OK</v>
      </c>
      <c r="R819" t="str">
        <f t="shared" si="51"/>
        <v>OK</v>
      </c>
    </row>
    <row r="820" spans="1:18" x14ac:dyDescent="0.3">
      <c r="A820" s="1">
        <v>45942</v>
      </c>
      <c r="B820" s="2" t="s">
        <v>2641</v>
      </c>
      <c r="C820" s="2" t="s">
        <v>2521</v>
      </c>
      <c r="D820" s="2" t="s">
        <v>2516</v>
      </c>
      <c r="E820" s="2" t="s">
        <v>2529</v>
      </c>
      <c r="F820" s="3">
        <v>114352</v>
      </c>
      <c r="G820" s="3">
        <v>3496</v>
      </c>
      <c r="H820" s="3">
        <v>404</v>
      </c>
      <c r="I820" s="4">
        <v>4254.88</v>
      </c>
      <c r="J820" s="4">
        <v>24303.26</v>
      </c>
      <c r="K820" s="3">
        <v>311</v>
      </c>
      <c r="L820" s="2" t="s">
        <v>2518</v>
      </c>
      <c r="M820" s="2" t="s">
        <v>2537</v>
      </c>
      <c r="N820" s="6">
        <f t="shared" si="48"/>
        <v>1</v>
      </c>
      <c r="O820" t="str">
        <f>IF(Tabla_control[[#This Row],[Control_duplicados]]&gt;1,"Duplicado","Unico")</f>
        <v>Unico</v>
      </c>
      <c r="P820" t="str">
        <f t="shared" si="49"/>
        <v>OK</v>
      </c>
      <c r="Q820" t="str">
        <f t="shared" si="50"/>
        <v>OK</v>
      </c>
      <c r="R820" t="str">
        <f t="shared" si="51"/>
        <v>OK</v>
      </c>
    </row>
    <row r="821" spans="1:18" x14ac:dyDescent="0.3">
      <c r="A821" s="1">
        <v>45966</v>
      </c>
      <c r="B821" s="2" t="s">
        <v>2626</v>
      </c>
      <c r="C821" s="2" t="s">
        <v>2521</v>
      </c>
      <c r="D821" s="2" t="s">
        <v>2525</v>
      </c>
      <c r="E821" s="2" t="s">
        <v>2517</v>
      </c>
      <c r="F821" s="3">
        <v>10378</v>
      </c>
      <c r="G821" s="3">
        <v>865</v>
      </c>
      <c r="H821" s="3">
        <v>59</v>
      </c>
      <c r="I821" s="4">
        <v>1378.02</v>
      </c>
      <c r="J821" s="4">
        <v>1778.6</v>
      </c>
      <c r="K821" s="3">
        <v>44</v>
      </c>
      <c r="L821" s="2" t="s">
        <v>2536</v>
      </c>
      <c r="M821" s="2" t="s">
        <v>2526</v>
      </c>
      <c r="N821" s="6">
        <f t="shared" si="48"/>
        <v>1</v>
      </c>
      <c r="O821" t="str">
        <f>IF(Tabla_control[[#This Row],[Control_duplicados]]&gt;1,"Duplicado","Unico")</f>
        <v>Unico</v>
      </c>
      <c r="P821" t="str">
        <f t="shared" si="49"/>
        <v>OK</v>
      </c>
      <c r="Q821" t="str">
        <f t="shared" si="50"/>
        <v>OK</v>
      </c>
      <c r="R821" t="str">
        <f t="shared" si="51"/>
        <v>OK</v>
      </c>
    </row>
    <row r="822" spans="1:18" x14ac:dyDescent="0.3">
      <c r="A822" s="1">
        <v>45820</v>
      </c>
      <c r="B822" s="2" t="s">
        <v>2625</v>
      </c>
      <c r="C822" s="2" t="s">
        <v>2521</v>
      </c>
      <c r="D822" s="2" t="s">
        <v>2522</v>
      </c>
      <c r="E822" s="2" t="s">
        <v>2517</v>
      </c>
      <c r="F822" s="3">
        <v>116481</v>
      </c>
      <c r="G822" s="3">
        <v>9251</v>
      </c>
      <c r="H822" s="3">
        <v>1043</v>
      </c>
      <c r="I822" s="4">
        <v>7793.73</v>
      </c>
      <c r="J822" s="4">
        <v>46258.8</v>
      </c>
      <c r="K822" s="3">
        <v>854</v>
      </c>
      <c r="L822" s="2" t="s">
        <v>2523</v>
      </c>
      <c r="M822" s="2" t="s">
        <v>2537</v>
      </c>
      <c r="N822" s="6">
        <f t="shared" si="48"/>
        <v>1</v>
      </c>
      <c r="O822" t="str">
        <f>IF(Tabla_control[[#This Row],[Control_duplicados]]&gt;1,"Duplicado","Unico")</f>
        <v>Unico</v>
      </c>
      <c r="P822" t="str">
        <f t="shared" si="49"/>
        <v>OK</v>
      </c>
      <c r="Q822" t="str">
        <f t="shared" si="50"/>
        <v>OK</v>
      </c>
      <c r="R822" t="str">
        <f t="shared" si="51"/>
        <v>OK</v>
      </c>
    </row>
    <row r="823" spans="1:18" x14ac:dyDescent="0.3">
      <c r="A823" s="1">
        <v>45894</v>
      </c>
      <c r="B823" s="2" t="s">
        <v>2641</v>
      </c>
      <c r="C823" s="2" t="s">
        <v>2533</v>
      </c>
      <c r="D823" s="2" t="s">
        <v>2531</v>
      </c>
      <c r="E823" s="2" t="s">
        <v>2517</v>
      </c>
      <c r="F823" s="3">
        <v>149412</v>
      </c>
      <c r="G823" s="3">
        <v>8711</v>
      </c>
      <c r="H823" s="3">
        <v>724</v>
      </c>
      <c r="I823" s="4">
        <v>7475.95</v>
      </c>
      <c r="J823" s="4">
        <v>91341.68</v>
      </c>
      <c r="K823" s="3">
        <v>612</v>
      </c>
      <c r="L823" s="2" t="s">
        <v>2518</v>
      </c>
      <c r="M823" s="2" t="s">
        <v>2537</v>
      </c>
      <c r="N823" s="6">
        <f t="shared" si="48"/>
        <v>1</v>
      </c>
      <c r="O823" t="str">
        <f>IF(Tabla_control[[#This Row],[Control_duplicados]]&gt;1,"Duplicado","Unico")</f>
        <v>Unico</v>
      </c>
      <c r="P823" t="str">
        <f t="shared" si="49"/>
        <v>OK</v>
      </c>
      <c r="Q823" t="str">
        <f t="shared" si="50"/>
        <v>OK</v>
      </c>
      <c r="R823" t="str">
        <f t="shared" si="51"/>
        <v>OK</v>
      </c>
    </row>
    <row r="824" spans="1:18" x14ac:dyDescent="0.3">
      <c r="A824" s="1">
        <v>45726</v>
      </c>
      <c r="B824" s="2" t="s">
        <v>2615</v>
      </c>
      <c r="C824" s="2" t="s">
        <v>2533</v>
      </c>
      <c r="D824" s="2" t="s">
        <v>2516</v>
      </c>
      <c r="E824" s="2" t="s">
        <v>2534</v>
      </c>
      <c r="F824" s="3">
        <v>106161</v>
      </c>
      <c r="G824" s="3">
        <v>3887</v>
      </c>
      <c r="H824" s="3">
        <v>154</v>
      </c>
      <c r="I824" s="4">
        <v>5573.03</v>
      </c>
      <c r="J824" s="4">
        <v>23791.43</v>
      </c>
      <c r="K824" s="3">
        <v>81</v>
      </c>
      <c r="L824" s="2" t="s">
        <v>2539</v>
      </c>
      <c r="M824" s="2" t="s">
        <v>2546</v>
      </c>
      <c r="N824" s="6">
        <f t="shared" si="48"/>
        <v>1</v>
      </c>
      <c r="O824" t="str">
        <f>IF(Tabla_control[[#This Row],[Control_duplicados]]&gt;1,"Duplicado","Unico")</f>
        <v>Unico</v>
      </c>
      <c r="P824" t="str">
        <f t="shared" si="49"/>
        <v>OK</v>
      </c>
      <c r="Q824" t="str">
        <f t="shared" si="50"/>
        <v>OK</v>
      </c>
      <c r="R824" t="str">
        <f t="shared" si="51"/>
        <v>OK</v>
      </c>
    </row>
    <row r="825" spans="1:18" x14ac:dyDescent="0.3">
      <c r="A825" s="1">
        <v>45885</v>
      </c>
      <c r="B825" s="2" t="s">
        <v>2633</v>
      </c>
      <c r="C825" s="2" t="s">
        <v>2541</v>
      </c>
      <c r="D825" s="2" t="s">
        <v>2528</v>
      </c>
      <c r="E825" s="2" t="s">
        <v>2517</v>
      </c>
      <c r="F825" s="3">
        <v>169442</v>
      </c>
      <c r="G825" s="3">
        <v>12259</v>
      </c>
      <c r="H825" s="3">
        <v>183</v>
      </c>
      <c r="I825" s="4">
        <v>11671.66</v>
      </c>
      <c r="J825" s="4">
        <v>26088.82</v>
      </c>
      <c r="K825" s="3">
        <v>157</v>
      </c>
      <c r="L825" s="2" t="s">
        <v>2536</v>
      </c>
      <c r="M825" s="2" t="s">
        <v>2524</v>
      </c>
      <c r="N825" s="6">
        <f t="shared" si="48"/>
        <v>1</v>
      </c>
      <c r="O825" t="str">
        <f>IF(Tabla_control[[#This Row],[Control_duplicados]]&gt;1,"Duplicado","Unico")</f>
        <v>Unico</v>
      </c>
      <c r="P825" t="str">
        <f t="shared" si="49"/>
        <v>OK</v>
      </c>
      <c r="Q825" t="str">
        <f t="shared" si="50"/>
        <v>OK</v>
      </c>
      <c r="R825" t="str">
        <f t="shared" si="51"/>
        <v>OK</v>
      </c>
    </row>
    <row r="826" spans="1:18" x14ac:dyDescent="0.3">
      <c r="A826" s="1">
        <v>45983</v>
      </c>
      <c r="B826" s="2" t="s">
        <v>2626</v>
      </c>
      <c r="C826" s="2" t="s">
        <v>2515</v>
      </c>
      <c r="D826" s="2" t="s">
        <v>2528</v>
      </c>
      <c r="E826" s="2" t="s">
        <v>2529</v>
      </c>
      <c r="F826" s="3">
        <v>129396</v>
      </c>
      <c r="G826" s="3">
        <v>2635</v>
      </c>
      <c r="H826" s="3">
        <v>360</v>
      </c>
      <c r="I826" s="4">
        <v>4937.34</v>
      </c>
      <c r="J826" s="4">
        <v>67845.22</v>
      </c>
      <c r="K826" s="3">
        <v>221</v>
      </c>
      <c r="L826" s="2" t="s">
        <v>2523</v>
      </c>
      <c r="M826" s="2" t="s">
        <v>2526</v>
      </c>
      <c r="N826" s="6">
        <f t="shared" si="48"/>
        <v>1</v>
      </c>
      <c r="O826" t="str">
        <f>IF(Tabla_control[[#This Row],[Control_duplicados]]&gt;1,"Duplicado","Unico")</f>
        <v>Unico</v>
      </c>
      <c r="P826" t="str">
        <f t="shared" si="49"/>
        <v>OK</v>
      </c>
      <c r="Q826" t="str">
        <f t="shared" si="50"/>
        <v>OK</v>
      </c>
      <c r="R826" t="str">
        <f t="shared" si="51"/>
        <v>OK</v>
      </c>
    </row>
    <row r="827" spans="1:18" x14ac:dyDescent="0.3">
      <c r="A827" s="1">
        <v>45720</v>
      </c>
      <c r="B827" s="2" t="s">
        <v>2623</v>
      </c>
      <c r="C827" s="2" t="s">
        <v>2515</v>
      </c>
      <c r="D827" s="2" t="s">
        <v>2528</v>
      </c>
      <c r="E827" s="2" t="s">
        <v>2529</v>
      </c>
      <c r="F827" s="3">
        <v>77325</v>
      </c>
      <c r="G827" s="3">
        <v>6145</v>
      </c>
      <c r="H827" s="3">
        <v>61</v>
      </c>
      <c r="I827" s="4">
        <v>8498.1299999999992</v>
      </c>
      <c r="J827" s="4">
        <v>12125.94</v>
      </c>
      <c r="K827" s="3">
        <v>34</v>
      </c>
      <c r="L827" s="2" t="s">
        <v>2523</v>
      </c>
      <c r="M827" s="2" t="s">
        <v>2519</v>
      </c>
      <c r="N827" s="6">
        <f t="shared" si="48"/>
        <v>1</v>
      </c>
      <c r="O827" t="str">
        <f>IF(Tabla_control[[#This Row],[Control_duplicados]]&gt;1,"Duplicado","Unico")</f>
        <v>Unico</v>
      </c>
      <c r="P827" t="str">
        <f t="shared" si="49"/>
        <v>OK</v>
      </c>
      <c r="Q827" t="str">
        <f t="shared" si="50"/>
        <v>OK</v>
      </c>
      <c r="R827" t="str">
        <f t="shared" si="51"/>
        <v>OK</v>
      </c>
    </row>
    <row r="828" spans="1:18" x14ac:dyDescent="0.3">
      <c r="A828" s="1">
        <v>45769</v>
      </c>
      <c r="B828" s="2" t="s">
        <v>2644</v>
      </c>
      <c r="C828" s="2" t="s">
        <v>2533</v>
      </c>
      <c r="D828" s="2" t="s">
        <v>2528</v>
      </c>
      <c r="E828" s="2" t="s">
        <v>2517</v>
      </c>
      <c r="F828" s="3">
        <v>108296</v>
      </c>
      <c r="G828" s="3">
        <v>3870</v>
      </c>
      <c r="H828" s="3">
        <v>198</v>
      </c>
      <c r="I828" s="4">
        <v>708.28</v>
      </c>
      <c r="J828" s="4">
        <v>38705.94</v>
      </c>
      <c r="K828" s="3">
        <v>167</v>
      </c>
      <c r="L828" s="2" t="s">
        <v>2518</v>
      </c>
      <c r="M828" s="2" t="s">
        <v>2519</v>
      </c>
      <c r="N828" s="6">
        <f t="shared" si="48"/>
        <v>1</v>
      </c>
      <c r="O828" t="str">
        <f>IF(Tabla_control[[#This Row],[Control_duplicados]]&gt;1,"Duplicado","Unico")</f>
        <v>Unico</v>
      </c>
      <c r="P828" t="str">
        <f t="shared" si="49"/>
        <v>OK</v>
      </c>
      <c r="Q828" t="str">
        <f t="shared" si="50"/>
        <v>OK</v>
      </c>
      <c r="R828" t="str">
        <f t="shared" si="51"/>
        <v>OK</v>
      </c>
    </row>
    <row r="829" spans="1:18" x14ac:dyDescent="0.3">
      <c r="A829" s="1">
        <v>45881</v>
      </c>
      <c r="B829" s="2" t="s">
        <v>2629</v>
      </c>
      <c r="C829" s="2" t="s">
        <v>2515</v>
      </c>
      <c r="D829" s="2" t="s">
        <v>2528</v>
      </c>
      <c r="E829" s="2" t="s">
        <v>2534</v>
      </c>
      <c r="F829" s="3">
        <v>92190</v>
      </c>
      <c r="G829" s="3">
        <v>3343</v>
      </c>
      <c r="H829" s="3">
        <v>101</v>
      </c>
      <c r="I829" s="4">
        <v>6911.16</v>
      </c>
      <c r="J829" s="4">
        <v>18808.75</v>
      </c>
      <c r="K829" s="3">
        <v>76</v>
      </c>
      <c r="L829" s="2" t="s">
        <v>2539</v>
      </c>
      <c r="M829" s="2" t="s">
        <v>2526</v>
      </c>
      <c r="N829" s="6">
        <f t="shared" si="48"/>
        <v>1</v>
      </c>
      <c r="O829" t="str">
        <f>IF(Tabla_control[[#This Row],[Control_duplicados]]&gt;1,"Duplicado","Unico")</f>
        <v>Unico</v>
      </c>
      <c r="P829" t="str">
        <f t="shared" si="49"/>
        <v>OK</v>
      </c>
      <c r="Q829" t="str">
        <f t="shared" si="50"/>
        <v>OK</v>
      </c>
      <c r="R829" t="str">
        <f t="shared" si="51"/>
        <v>OK</v>
      </c>
    </row>
    <row r="830" spans="1:18" x14ac:dyDescent="0.3">
      <c r="A830" s="1">
        <v>45960</v>
      </c>
      <c r="B830" s="2" t="s">
        <v>2626</v>
      </c>
      <c r="C830" s="2" t="s">
        <v>2521</v>
      </c>
      <c r="D830" s="2" t="s">
        <v>2528</v>
      </c>
      <c r="E830" s="2" t="s">
        <v>2529</v>
      </c>
      <c r="F830" s="3">
        <v>145614</v>
      </c>
      <c r="G830" s="3">
        <v>11489</v>
      </c>
      <c r="H830" s="3">
        <v>673</v>
      </c>
      <c r="I830" s="4">
        <v>18880.11</v>
      </c>
      <c r="J830" s="4">
        <v>76757.77</v>
      </c>
      <c r="K830" s="3">
        <v>354</v>
      </c>
      <c r="L830" s="2" t="s">
        <v>2518</v>
      </c>
      <c r="M830" s="2" t="s">
        <v>2526</v>
      </c>
      <c r="N830" s="6">
        <f t="shared" si="48"/>
        <v>2</v>
      </c>
      <c r="O830" t="str">
        <f>IF(Tabla_control[[#This Row],[Control_duplicados]]&gt;1,"Duplicado","Unico")</f>
        <v>Duplicado</v>
      </c>
      <c r="P830" t="str">
        <f t="shared" si="49"/>
        <v>OK</v>
      </c>
      <c r="Q830" t="str">
        <f t="shared" si="50"/>
        <v>OK</v>
      </c>
      <c r="R830" t="str">
        <f t="shared" si="51"/>
        <v>OK</v>
      </c>
    </row>
    <row r="831" spans="1:18" x14ac:dyDescent="0.3">
      <c r="A831" s="1">
        <v>45685</v>
      </c>
      <c r="B831" s="2" t="s">
        <v>2640</v>
      </c>
      <c r="C831" s="2" t="s">
        <v>2521</v>
      </c>
      <c r="D831" s="2" t="s">
        <v>2528</v>
      </c>
      <c r="E831" s="2" t="s">
        <v>2517</v>
      </c>
      <c r="F831" s="3">
        <v>109628</v>
      </c>
      <c r="G831" s="3">
        <v>5201</v>
      </c>
      <c r="H831" s="3">
        <v>666</v>
      </c>
      <c r="I831" s="4">
        <v>7105.83</v>
      </c>
      <c r="J831" s="4">
        <v>14306.76</v>
      </c>
      <c r="K831" s="3">
        <v>594</v>
      </c>
      <c r="L831" s="2" t="s">
        <v>2536</v>
      </c>
      <c r="M831" s="2" t="s">
        <v>2537</v>
      </c>
      <c r="N831" s="6">
        <f t="shared" si="48"/>
        <v>1</v>
      </c>
      <c r="O831" t="str">
        <f>IF(Tabla_control[[#This Row],[Control_duplicados]]&gt;1,"Duplicado","Unico")</f>
        <v>Unico</v>
      </c>
      <c r="P831" t="str">
        <f t="shared" si="49"/>
        <v>OK</v>
      </c>
      <c r="Q831" t="str">
        <f t="shared" si="50"/>
        <v>OK</v>
      </c>
      <c r="R831" t="str">
        <f t="shared" si="51"/>
        <v>OK</v>
      </c>
    </row>
    <row r="832" spans="1:18" x14ac:dyDescent="0.3">
      <c r="A832" s="1">
        <v>45777</v>
      </c>
      <c r="B832" s="2" t="s">
        <v>2636</v>
      </c>
      <c r="C832" s="2" t="s">
        <v>2533</v>
      </c>
      <c r="D832" s="2" t="s">
        <v>2525</v>
      </c>
      <c r="E832" s="2" t="s">
        <v>2517</v>
      </c>
      <c r="F832" s="3">
        <v>158005</v>
      </c>
      <c r="G832" s="3">
        <v>10564</v>
      </c>
      <c r="H832" s="3">
        <v>875</v>
      </c>
      <c r="I832" s="4">
        <v>20563.59</v>
      </c>
      <c r="J832" s="4">
        <v>136576.22</v>
      </c>
      <c r="K832" s="3">
        <v>596</v>
      </c>
      <c r="L832" s="2" t="s">
        <v>2523</v>
      </c>
      <c r="M832" s="2" t="s">
        <v>2526</v>
      </c>
      <c r="N832" s="6">
        <f t="shared" si="48"/>
        <v>1</v>
      </c>
      <c r="O832" t="str">
        <f>IF(Tabla_control[[#This Row],[Control_duplicados]]&gt;1,"Duplicado","Unico")</f>
        <v>Unico</v>
      </c>
      <c r="P832" t="str">
        <f t="shared" si="49"/>
        <v>OK</v>
      </c>
      <c r="Q832" t="str">
        <f t="shared" si="50"/>
        <v>OK</v>
      </c>
      <c r="R832" t="str">
        <f t="shared" si="51"/>
        <v>OK</v>
      </c>
    </row>
    <row r="833" spans="1:18" x14ac:dyDescent="0.3">
      <c r="A833" s="1">
        <v>45805</v>
      </c>
      <c r="B833" s="2" t="s">
        <v>2624</v>
      </c>
      <c r="C833" s="2" t="s">
        <v>2527</v>
      </c>
      <c r="D833" s="2" t="s">
        <v>2528</v>
      </c>
      <c r="E833" s="2" t="s">
        <v>2517</v>
      </c>
      <c r="F833" s="3">
        <v>126790</v>
      </c>
      <c r="G833" s="3">
        <v>5145</v>
      </c>
      <c r="H833" s="3">
        <v>349</v>
      </c>
      <c r="I833" s="4">
        <v>5111.76</v>
      </c>
      <c r="J833" s="4">
        <v>19216.990000000002</v>
      </c>
      <c r="K833" s="3">
        <v>167</v>
      </c>
      <c r="L833" s="2" t="s">
        <v>2536</v>
      </c>
      <c r="M833" s="2" t="s">
        <v>2524</v>
      </c>
      <c r="N833" s="6">
        <f t="shared" si="48"/>
        <v>1</v>
      </c>
      <c r="O833" t="str">
        <f>IF(Tabla_control[[#This Row],[Control_duplicados]]&gt;1,"Duplicado","Unico")</f>
        <v>Unico</v>
      </c>
      <c r="P833" t="str">
        <f t="shared" si="49"/>
        <v>OK</v>
      </c>
      <c r="Q833" t="str">
        <f t="shared" si="50"/>
        <v>OK</v>
      </c>
      <c r="R833" t="str">
        <f t="shared" si="51"/>
        <v>OK</v>
      </c>
    </row>
    <row r="834" spans="1:18" x14ac:dyDescent="0.3">
      <c r="A834" s="1">
        <v>45711</v>
      </c>
      <c r="B834" s="2" t="s">
        <v>2627</v>
      </c>
      <c r="C834" s="2" t="s">
        <v>2515</v>
      </c>
      <c r="D834" s="2" t="s">
        <v>2516</v>
      </c>
      <c r="E834" s="2" t="s">
        <v>2529</v>
      </c>
      <c r="F834" s="3">
        <v>26134</v>
      </c>
      <c r="G834" s="3">
        <v>1126</v>
      </c>
      <c r="H834" s="3">
        <v>35</v>
      </c>
      <c r="I834" s="4">
        <v>1107.51</v>
      </c>
      <c r="J834" s="4">
        <v>819.26</v>
      </c>
      <c r="K834" s="3">
        <v>29</v>
      </c>
      <c r="L834" s="2" t="s">
        <v>2518</v>
      </c>
      <c r="M834" s="2" t="s">
        <v>2546</v>
      </c>
      <c r="N834" s="6">
        <f t="shared" ref="N834:N897" si="52">COUNTIFS($A$2:$A$2536,A834,$B$2:$B$2536,B834,$C$2:$C$2536,C834,$D$2:$D$2536,D834,$E$2:$E$2536,E834,$F$2:$F$2536,F834,$G$2:$G$2536,G834,$H$2:$H$2536,H834,$I$2:$I$2536,I834,$J$2:$J$2536,J834,$K$2:$K$2536,K834,$L$2:$L$2536,L834,$M$2:$M$2536,M834)</f>
        <v>1</v>
      </c>
      <c r="O834" t="str">
        <f>IF(Tabla_control[[#This Row],[Control_duplicados]]&gt;1,"Duplicado","Unico")</f>
        <v>Unico</v>
      </c>
      <c r="P834" t="str">
        <f t="shared" ref="P834:P897" si="53">IF(OR(I834="",I834&lt;0),"ERROR","OK")</f>
        <v>OK</v>
      </c>
      <c r="Q834" t="str">
        <f t="shared" ref="Q834:Q897" si="54">IF(H834&gt;F834,"ERROR","OK")</f>
        <v>OK</v>
      </c>
      <c r="R834" t="str">
        <f t="shared" ref="R834:R897" si="55">IF(K834&gt;H834,"ERROR","OK")</f>
        <v>OK</v>
      </c>
    </row>
    <row r="835" spans="1:18" x14ac:dyDescent="0.3">
      <c r="A835" s="1">
        <v>45771</v>
      </c>
      <c r="B835" s="2" t="s">
        <v>2634</v>
      </c>
      <c r="C835" s="2" t="s">
        <v>2527</v>
      </c>
      <c r="D835" s="2" t="s">
        <v>2528</v>
      </c>
      <c r="E835" s="2" t="s">
        <v>2529</v>
      </c>
      <c r="F835" s="3">
        <v>23511</v>
      </c>
      <c r="G835" s="3">
        <v>1184</v>
      </c>
      <c r="H835" s="3">
        <v>148</v>
      </c>
      <c r="I835" s="4">
        <v>2090.86</v>
      </c>
      <c r="J835" s="4">
        <v>11158.78</v>
      </c>
      <c r="K835" s="3">
        <v>131</v>
      </c>
      <c r="L835" s="2" t="s">
        <v>2518</v>
      </c>
      <c r="M835" s="2" t="s">
        <v>2526</v>
      </c>
      <c r="N835" s="6">
        <f t="shared" si="52"/>
        <v>1</v>
      </c>
      <c r="O835" t="str">
        <f>IF(Tabla_control[[#This Row],[Control_duplicados]]&gt;1,"Duplicado","Unico")</f>
        <v>Unico</v>
      </c>
      <c r="P835" t="str">
        <f t="shared" si="53"/>
        <v>OK</v>
      </c>
      <c r="Q835" t="str">
        <f t="shared" si="54"/>
        <v>OK</v>
      </c>
      <c r="R835" t="str">
        <f t="shared" si="55"/>
        <v>OK</v>
      </c>
    </row>
    <row r="836" spans="1:18" x14ac:dyDescent="0.3">
      <c r="A836" s="1">
        <v>45899</v>
      </c>
      <c r="B836" s="2" t="s">
        <v>2624</v>
      </c>
      <c r="C836" s="2" t="s">
        <v>2521</v>
      </c>
      <c r="D836" s="2" t="s">
        <v>2516</v>
      </c>
      <c r="E836" s="2" t="s">
        <v>2517</v>
      </c>
      <c r="F836" s="3">
        <v>30910</v>
      </c>
      <c r="G836" s="3">
        <v>1883</v>
      </c>
      <c r="H836" s="3">
        <v>138</v>
      </c>
      <c r="I836" s="4">
        <v>2608.61</v>
      </c>
      <c r="J836" s="4">
        <v>28008.3</v>
      </c>
      <c r="K836" s="3">
        <v>81</v>
      </c>
      <c r="L836" s="2" t="s">
        <v>2539</v>
      </c>
      <c r="M836" s="2" t="s">
        <v>2526</v>
      </c>
      <c r="N836" s="6">
        <f t="shared" si="52"/>
        <v>1</v>
      </c>
      <c r="O836" t="str">
        <f>IF(Tabla_control[[#This Row],[Control_duplicados]]&gt;1,"Duplicado","Unico")</f>
        <v>Unico</v>
      </c>
      <c r="P836" t="str">
        <f t="shared" si="53"/>
        <v>OK</v>
      </c>
      <c r="Q836" t="str">
        <f t="shared" si="54"/>
        <v>OK</v>
      </c>
      <c r="R836" t="str">
        <f t="shared" si="55"/>
        <v>OK</v>
      </c>
    </row>
    <row r="837" spans="1:18" x14ac:dyDescent="0.3">
      <c r="A837" s="1">
        <v>45816</v>
      </c>
      <c r="B837" s="2" t="s">
        <v>2634</v>
      </c>
      <c r="C837" s="2" t="s">
        <v>2521</v>
      </c>
      <c r="D837" s="2" t="s">
        <v>2525</v>
      </c>
      <c r="E837" s="2" t="s">
        <v>2529</v>
      </c>
      <c r="F837" s="3">
        <v>149544</v>
      </c>
      <c r="G837" s="3">
        <v>10208</v>
      </c>
      <c r="H837" s="3">
        <v>1016</v>
      </c>
      <c r="I837" s="4">
        <v>13261.09</v>
      </c>
      <c r="J837" s="4">
        <v>51645.3</v>
      </c>
      <c r="K837" s="3">
        <v>486</v>
      </c>
      <c r="L837" s="2" t="s">
        <v>2518</v>
      </c>
      <c r="M837" s="2" t="s">
        <v>2537</v>
      </c>
      <c r="N837" s="6">
        <f t="shared" si="52"/>
        <v>1</v>
      </c>
      <c r="O837" t="str">
        <f>IF(Tabla_control[[#This Row],[Control_duplicados]]&gt;1,"Duplicado","Unico")</f>
        <v>Unico</v>
      </c>
      <c r="P837" t="str">
        <f t="shared" si="53"/>
        <v>OK</v>
      </c>
      <c r="Q837" t="str">
        <f t="shared" si="54"/>
        <v>OK</v>
      </c>
      <c r="R837" t="str">
        <f t="shared" si="55"/>
        <v>OK</v>
      </c>
    </row>
    <row r="838" spans="1:18" x14ac:dyDescent="0.3">
      <c r="A838" s="1">
        <v>45927</v>
      </c>
      <c r="B838" s="2" t="s">
        <v>2629</v>
      </c>
      <c r="C838" s="2" t="s">
        <v>2543</v>
      </c>
      <c r="D838" s="2" t="s">
        <v>2522</v>
      </c>
      <c r="E838" s="2" t="s">
        <v>2529</v>
      </c>
      <c r="F838" s="3">
        <v>14381</v>
      </c>
      <c r="G838" s="3">
        <v>927</v>
      </c>
      <c r="H838" s="3">
        <v>91</v>
      </c>
      <c r="I838" s="4">
        <v>1659.73</v>
      </c>
      <c r="J838" s="4">
        <v>13029.68</v>
      </c>
      <c r="K838" s="3">
        <v>48</v>
      </c>
      <c r="L838" s="2" t="s">
        <v>2518</v>
      </c>
      <c r="M838" s="2" t="s">
        <v>2546</v>
      </c>
      <c r="N838" s="6">
        <f t="shared" si="52"/>
        <v>1</v>
      </c>
      <c r="O838" t="str">
        <f>IF(Tabla_control[[#This Row],[Control_duplicados]]&gt;1,"Duplicado","Unico")</f>
        <v>Unico</v>
      </c>
      <c r="P838" t="str">
        <f t="shared" si="53"/>
        <v>OK</v>
      </c>
      <c r="Q838" t="str">
        <f t="shared" si="54"/>
        <v>OK</v>
      </c>
      <c r="R838" t="str">
        <f t="shared" si="55"/>
        <v>OK</v>
      </c>
    </row>
    <row r="839" spans="1:18" x14ac:dyDescent="0.3">
      <c r="A839" s="1">
        <v>45735</v>
      </c>
      <c r="B839" s="2" t="s">
        <v>2625</v>
      </c>
      <c r="C839" s="2" t="s">
        <v>2543</v>
      </c>
      <c r="D839" s="2" t="s">
        <v>2528</v>
      </c>
      <c r="E839" s="2" t="s">
        <v>2517</v>
      </c>
      <c r="F839" s="3">
        <v>111545</v>
      </c>
      <c r="G839" s="3">
        <v>8352</v>
      </c>
      <c r="H839" s="3">
        <v>1004</v>
      </c>
      <c r="I839" s="4">
        <v>4492.0200000000004</v>
      </c>
      <c r="J839" s="4">
        <v>71953.429999999993</v>
      </c>
      <c r="K839" s="3">
        <v>566</v>
      </c>
      <c r="L839" s="2" t="s">
        <v>2518</v>
      </c>
      <c r="M839" s="2" t="s">
        <v>2526</v>
      </c>
      <c r="N839" s="6">
        <f t="shared" si="52"/>
        <v>1</v>
      </c>
      <c r="O839" t="str">
        <f>IF(Tabla_control[[#This Row],[Control_duplicados]]&gt;1,"Duplicado","Unico")</f>
        <v>Unico</v>
      </c>
      <c r="P839" t="str">
        <f t="shared" si="53"/>
        <v>OK</v>
      </c>
      <c r="Q839" t="str">
        <f t="shared" si="54"/>
        <v>OK</v>
      </c>
      <c r="R839" t="str">
        <f t="shared" si="55"/>
        <v>OK</v>
      </c>
    </row>
    <row r="840" spans="1:18" x14ac:dyDescent="0.3">
      <c r="A840" s="1">
        <v>45807</v>
      </c>
      <c r="B840" s="2" t="s">
        <v>2630</v>
      </c>
      <c r="C840" s="2" t="s">
        <v>2515</v>
      </c>
      <c r="D840" s="2" t="s">
        <v>2531</v>
      </c>
      <c r="E840" s="2" t="s">
        <v>2517</v>
      </c>
      <c r="F840" s="3">
        <v>119496</v>
      </c>
      <c r="G840" s="3">
        <v>1559</v>
      </c>
      <c r="H840" s="3">
        <v>62</v>
      </c>
      <c r="I840" s="4">
        <v>506.81</v>
      </c>
      <c r="J840" s="4">
        <v>1201.55</v>
      </c>
      <c r="K840" s="3">
        <v>47</v>
      </c>
      <c r="L840" s="2" t="s">
        <v>2523</v>
      </c>
      <c r="M840" s="2" t="s">
        <v>2537</v>
      </c>
      <c r="N840" s="6">
        <f t="shared" si="52"/>
        <v>1</v>
      </c>
      <c r="O840" t="str">
        <f>IF(Tabla_control[[#This Row],[Control_duplicados]]&gt;1,"Duplicado","Unico")</f>
        <v>Unico</v>
      </c>
      <c r="P840" t="str">
        <f t="shared" si="53"/>
        <v>OK</v>
      </c>
      <c r="Q840" t="str">
        <f t="shared" si="54"/>
        <v>OK</v>
      </c>
      <c r="R840" t="str">
        <f t="shared" si="55"/>
        <v>OK</v>
      </c>
    </row>
    <row r="841" spans="1:18" x14ac:dyDescent="0.3">
      <c r="A841" s="1">
        <v>45756</v>
      </c>
      <c r="B841" s="2" t="s">
        <v>2638</v>
      </c>
      <c r="C841" s="2" t="s">
        <v>2515</v>
      </c>
      <c r="D841" s="2" t="s">
        <v>2531</v>
      </c>
      <c r="E841" s="2" t="s">
        <v>2517</v>
      </c>
      <c r="F841" s="3">
        <v>118451</v>
      </c>
      <c r="G841" s="3">
        <v>5581</v>
      </c>
      <c r="H841" s="3">
        <v>768</v>
      </c>
      <c r="I841" s="4">
        <v>822.81</v>
      </c>
      <c r="J841" s="4">
        <v>23073.84</v>
      </c>
      <c r="K841" s="3">
        <v>669</v>
      </c>
      <c r="L841" s="2" t="s">
        <v>2523</v>
      </c>
      <c r="M841" s="2" t="s">
        <v>2524</v>
      </c>
      <c r="N841" s="6">
        <f t="shared" si="52"/>
        <v>1</v>
      </c>
      <c r="O841" t="str">
        <f>IF(Tabla_control[[#This Row],[Control_duplicados]]&gt;1,"Duplicado","Unico")</f>
        <v>Unico</v>
      </c>
      <c r="P841" t="str">
        <f t="shared" si="53"/>
        <v>OK</v>
      </c>
      <c r="Q841" t="str">
        <f t="shared" si="54"/>
        <v>OK</v>
      </c>
      <c r="R841" t="str">
        <f t="shared" si="55"/>
        <v>OK</v>
      </c>
    </row>
    <row r="842" spans="1:18" x14ac:dyDescent="0.3">
      <c r="A842" s="1">
        <v>46015</v>
      </c>
      <c r="B842" s="2" t="s">
        <v>2624</v>
      </c>
      <c r="C842" s="2" t="s">
        <v>2515</v>
      </c>
      <c r="D842" s="2" t="s">
        <v>2531</v>
      </c>
      <c r="E842" s="2" t="s">
        <v>2529</v>
      </c>
      <c r="F842" s="3">
        <v>90953</v>
      </c>
      <c r="G842" s="3">
        <v>5395</v>
      </c>
      <c r="H842" s="3">
        <v>715</v>
      </c>
      <c r="I842" s="4">
        <v>11158.91</v>
      </c>
      <c r="J842" s="4">
        <v>37462.21</v>
      </c>
      <c r="K842" s="3">
        <v>639</v>
      </c>
      <c r="L842" s="2" t="s">
        <v>2536</v>
      </c>
      <c r="M842" s="2" t="s">
        <v>2526</v>
      </c>
      <c r="N842" s="6">
        <f t="shared" si="52"/>
        <v>1</v>
      </c>
      <c r="O842" t="str">
        <f>IF(Tabla_control[[#This Row],[Control_duplicados]]&gt;1,"Duplicado","Unico")</f>
        <v>Unico</v>
      </c>
      <c r="P842" t="str">
        <f t="shared" si="53"/>
        <v>OK</v>
      </c>
      <c r="Q842" t="str">
        <f t="shared" si="54"/>
        <v>OK</v>
      </c>
      <c r="R842" t="str">
        <f t="shared" si="55"/>
        <v>OK</v>
      </c>
    </row>
    <row r="843" spans="1:18" x14ac:dyDescent="0.3">
      <c r="A843" s="1">
        <v>45777</v>
      </c>
      <c r="B843" s="2" t="s">
        <v>2619</v>
      </c>
      <c r="C843" s="2" t="s">
        <v>2515</v>
      </c>
      <c r="D843" s="2" t="s">
        <v>2531</v>
      </c>
      <c r="E843" s="2" t="s">
        <v>2517</v>
      </c>
      <c r="F843" s="3">
        <v>136154</v>
      </c>
      <c r="G843" s="3">
        <v>11781</v>
      </c>
      <c r="H843" s="3">
        <v>1109</v>
      </c>
      <c r="I843" s="4">
        <v>13673.61</v>
      </c>
      <c r="J843" s="4">
        <v>227706.76</v>
      </c>
      <c r="K843" s="3">
        <v>554</v>
      </c>
      <c r="L843" s="2" t="s">
        <v>2539</v>
      </c>
      <c r="M843" s="2" t="s">
        <v>2526</v>
      </c>
      <c r="N843" s="6">
        <f t="shared" si="52"/>
        <v>1</v>
      </c>
      <c r="O843" t="str">
        <f>IF(Tabla_control[[#This Row],[Control_duplicados]]&gt;1,"Duplicado","Unico")</f>
        <v>Unico</v>
      </c>
      <c r="P843" t="str">
        <f t="shared" si="53"/>
        <v>OK</v>
      </c>
      <c r="Q843" t="str">
        <f t="shared" si="54"/>
        <v>OK</v>
      </c>
      <c r="R843" t="str">
        <f t="shared" si="55"/>
        <v>OK</v>
      </c>
    </row>
    <row r="844" spans="1:18" x14ac:dyDescent="0.3">
      <c r="A844" s="1">
        <v>46005</v>
      </c>
      <c r="B844" s="2" t="s">
        <v>2632</v>
      </c>
      <c r="C844" s="2" t="s">
        <v>2515</v>
      </c>
      <c r="D844" s="2" t="s">
        <v>2528</v>
      </c>
      <c r="E844" s="2" t="s">
        <v>2517</v>
      </c>
      <c r="F844" s="3">
        <v>36173</v>
      </c>
      <c r="G844" s="3">
        <v>2830</v>
      </c>
      <c r="H844" s="3">
        <v>67</v>
      </c>
      <c r="I844" s="4">
        <v>2190.9299999999998</v>
      </c>
      <c r="J844" s="4">
        <v>13302.99</v>
      </c>
      <c r="K844" s="3">
        <v>45</v>
      </c>
      <c r="L844" s="2" t="s">
        <v>2536</v>
      </c>
      <c r="M844" s="2" t="s">
        <v>2537</v>
      </c>
      <c r="N844" s="6">
        <f t="shared" si="52"/>
        <v>1</v>
      </c>
      <c r="O844" t="str">
        <f>IF(Tabla_control[[#This Row],[Control_duplicados]]&gt;1,"Duplicado","Unico")</f>
        <v>Unico</v>
      </c>
      <c r="P844" t="str">
        <f t="shared" si="53"/>
        <v>OK</v>
      </c>
      <c r="Q844" t="str">
        <f t="shared" si="54"/>
        <v>OK</v>
      </c>
      <c r="R844" t="str">
        <f t="shared" si="55"/>
        <v>OK</v>
      </c>
    </row>
    <row r="845" spans="1:18" x14ac:dyDescent="0.3">
      <c r="A845" s="1">
        <v>45893</v>
      </c>
      <c r="B845" s="2" t="s">
        <v>2617</v>
      </c>
      <c r="C845" s="2" t="s">
        <v>2521</v>
      </c>
      <c r="D845" s="2" t="s">
        <v>2522</v>
      </c>
      <c r="E845" s="2" t="s">
        <v>2529</v>
      </c>
      <c r="F845" s="3">
        <v>11146</v>
      </c>
      <c r="G845" s="3">
        <v>296</v>
      </c>
      <c r="H845" s="3">
        <v>35</v>
      </c>
      <c r="I845" s="4">
        <v>276.81</v>
      </c>
      <c r="J845" s="4">
        <v>1864.13</v>
      </c>
      <c r="K845" s="3">
        <v>24</v>
      </c>
      <c r="L845" s="2" t="s">
        <v>2518</v>
      </c>
      <c r="M845" s="2" t="s">
        <v>2537</v>
      </c>
      <c r="N845" s="6">
        <f t="shared" si="52"/>
        <v>1</v>
      </c>
      <c r="O845" t="str">
        <f>IF(Tabla_control[[#This Row],[Control_duplicados]]&gt;1,"Duplicado","Unico")</f>
        <v>Unico</v>
      </c>
      <c r="P845" t="str">
        <f t="shared" si="53"/>
        <v>OK</v>
      </c>
      <c r="Q845" t="str">
        <f t="shared" si="54"/>
        <v>OK</v>
      </c>
      <c r="R845" t="str">
        <f t="shared" si="55"/>
        <v>OK</v>
      </c>
    </row>
    <row r="846" spans="1:18" x14ac:dyDescent="0.3">
      <c r="A846" s="1">
        <v>45798</v>
      </c>
      <c r="B846" s="2" t="s">
        <v>2617</v>
      </c>
      <c r="C846" s="2" t="s">
        <v>2543</v>
      </c>
      <c r="D846" s="2" t="s">
        <v>2531</v>
      </c>
      <c r="E846" s="2" t="s">
        <v>2517</v>
      </c>
      <c r="F846" s="3">
        <v>66119</v>
      </c>
      <c r="G846" s="3">
        <v>3177</v>
      </c>
      <c r="H846" s="3">
        <v>153</v>
      </c>
      <c r="I846" s="4">
        <v>897.84</v>
      </c>
      <c r="J846" s="4">
        <v>14228.85</v>
      </c>
      <c r="K846" s="3">
        <v>117</v>
      </c>
      <c r="L846" s="2" t="s">
        <v>2518</v>
      </c>
      <c r="M846" s="2" t="s">
        <v>2546</v>
      </c>
      <c r="N846" s="6">
        <f t="shared" si="52"/>
        <v>1</v>
      </c>
      <c r="O846" t="str">
        <f>IF(Tabla_control[[#This Row],[Control_duplicados]]&gt;1,"Duplicado","Unico")</f>
        <v>Unico</v>
      </c>
      <c r="P846" t="str">
        <f t="shared" si="53"/>
        <v>OK</v>
      </c>
      <c r="Q846" t="str">
        <f t="shared" si="54"/>
        <v>OK</v>
      </c>
      <c r="R846" t="str">
        <f t="shared" si="55"/>
        <v>OK</v>
      </c>
    </row>
    <row r="847" spans="1:18" x14ac:dyDescent="0.3">
      <c r="A847" s="1">
        <v>45950</v>
      </c>
      <c r="B847" s="2" t="s">
        <v>2615</v>
      </c>
      <c r="C847" s="2" t="s">
        <v>2533</v>
      </c>
      <c r="D847" s="2" t="s">
        <v>2516</v>
      </c>
      <c r="E847" s="2" t="s">
        <v>2517</v>
      </c>
      <c r="F847" s="3">
        <v>1675</v>
      </c>
      <c r="G847" s="3">
        <v>59</v>
      </c>
      <c r="H847" s="3">
        <v>3</v>
      </c>
      <c r="I847" s="4">
        <v>17.07</v>
      </c>
      <c r="J847" s="4">
        <v>592.82000000000005</v>
      </c>
      <c r="K847" s="3">
        <v>2</v>
      </c>
      <c r="L847" s="2" t="s">
        <v>2523</v>
      </c>
      <c r="M847" s="2" t="s">
        <v>2645</v>
      </c>
      <c r="N847" s="6">
        <f t="shared" si="52"/>
        <v>1</v>
      </c>
      <c r="O847" t="str">
        <f>IF(Tabla_control[[#This Row],[Control_duplicados]]&gt;1,"Duplicado","Unico")</f>
        <v>Unico</v>
      </c>
      <c r="P847" t="str">
        <f t="shared" si="53"/>
        <v>OK</v>
      </c>
      <c r="Q847" t="str">
        <f t="shared" si="54"/>
        <v>OK</v>
      </c>
      <c r="R847" t="str">
        <f t="shared" si="55"/>
        <v>OK</v>
      </c>
    </row>
    <row r="848" spans="1:18" x14ac:dyDescent="0.3">
      <c r="A848" s="1">
        <v>45818</v>
      </c>
      <c r="B848" s="2" t="s">
        <v>2617</v>
      </c>
      <c r="C848" s="2" t="s">
        <v>2527</v>
      </c>
      <c r="D848" s="2" t="s">
        <v>2531</v>
      </c>
      <c r="E848" s="2" t="s">
        <v>2517</v>
      </c>
      <c r="F848" s="3">
        <v>77309</v>
      </c>
      <c r="G848" s="3">
        <v>3137</v>
      </c>
      <c r="H848" s="3">
        <v>244</v>
      </c>
      <c r="I848" s="4">
        <v>5708.27</v>
      </c>
      <c r="J848" s="4">
        <v>8405.91</v>
      </c>
      <c r="K848" s="3">
        <v>138</v>
      </c>
      <c r="L848" s="2" t="s">
        <v>2523</v>
      </c>
      <c r="M848" s="2" t="s">
        <v>2519</v>
      </c>
      <c r="N848" s="6">
        <f t="shared" si="52"/>
        <v>1</v>
      </c>
      <c r="O848" t="str">
        <f>IF(Tabla_control[[#This Row],[Control_duplicados]]&gt;1,"Duplicado","Unico")</f>
        <v>Unico</v>
      </c>
      <c r="P848" t="str">
        <f t="shared" si="53"/>
        <v>OK</v>
      </c>
      <c r="Q848" t="str">
        <f t="shared" si="54"/>
        <v>OK</v>
      </c>
      <c r="R848" t="str">
        <f t="shared" si="55"/>
        <v>OK</v>
      </c>
    </row>
    <row r="849" spans="1:18" x14ac:dyDescent="0.3">
      <c r="A849" s="1">
        <v>45722</v>
      </c>
      <c r="B849" s="2" t="s">
        <v>2629</v>
      </c>
      <c r="C849" s="2" t="s">
        <v>2543</v>
      </c>
      <c r="D849" s="2" t="s">
        <v>2528</v>
      </c>
      <c r="E849" s="2" t="s">
        <v>2529</v>
      </c>
      <c r="F849" s="3">
        <v>88180</v>
      </c>
      <c r="G849" s="3">
        <v>6410</v>
      </c>
      <c r="H849" s="3">
        <v>757</v>
      </c>
      <c r="I849" s="4">
        <v>6071.06</v>
      </c>
      <c r="J849" s="4">
        <v>97118.14</v>
      </c>
      <c r="K849" s="3">
        <v>610</v>
      </c>
      <c r="L849" s="2" t="s">
        <v>2536</v>
      </c>
      <c r="M849" s="2" t="s">
        <v>2524</v>
      </c>
      <c r="N849" s="6">
        <f t="shared" si="52"/>
        <v>1</v>
      </c>
      <c r="O849" t="str">
        <f>IF(Tabla_control[[#This Row],[Control_duplicados]]&gt;1,"Duplicado","Unico")</f>
        <v>Unico</v>
      </c>
      <c r="P849" t="str">
        <f t="shared" si="53"/>
        <v>OK</v>
      </c>
      <c r="Q849" t="str">
        <f t="shared" si="54"/>
        <v>OK</v>
      </c>
      <c r="R849" t="str">
        <f t="shared" si="55"/>
        <v>OK</v>
      </c>
    </row>
    <row r="850" spans="1:18" x14ac:dyDescent="0.3">
      <c r="A850" s="1">
        <v>45900</v>
      </c>
      <c r="B850" s="2" t="s">
        <v>2632</v>
      </c>
      <c r="C850" s="2" t="s">
        <v>2541</v>
      </c>
      <c r="D850" s="2" t="s">
        <v>2522</v>
      </c>
      <c r="E850" s="2" t="s">
        <v>2529</v>
      </c>
      <c r="F850" s="3">
        <v>37982</v>
      </c>
      <c r="G850" s="3">
        <v>1902</v>
      </c>
      <c r="H850" s="3">
        <v>150</v>
      </c>
      <c r="I850" s="4">
        <v>1068.92</v>
      </c>
      <c r="J850" s="4">
        <v>16097.51</v>
      </c>
      <c r="K850" s="3">
        <v>92</v>
      </c>
      <c r="L850" s="2" t="s">
        <v>2523</v>
      </c>
      <c r="M850" s="2" t="s">
        <v>2645</v>
      </c>
      <c r="N850" s="6">
        <f t="shared" si="52"/>
        <v>1</v>
      </c>
      <c r="O850" t="str">
        <f>IF(Tabla_control[[#This Row],[Control_duplicados]]&gt;1,"Duplicado","Unico")</f>
        <v>Unico</v>
      </c>
      <c r="P850" t="str">
        <f t="shared" si="53"/>
        <v>OK</v>
      </c>
      <c r="Q850" t="str">
        <f t="shared" si="54"/>
        <v>OK</v>
      </c>
      <c r="R850" t="str">
        <f t="shared" si="55"/>
        <v>OK</v>
      </c>
    </row>
    <row r="851" spans="1:18" x14ac:dyDescent="0.3">
      <c r="A851" s="1">
        <v>45724</v>
      </c>
      <c r="B851" s="2" t="s">
        <v>2620</v>
      </c>
      <c r="C851" s="2" t="s">
        <v>2527</v>
      </c>
      <c r="D851" s="2" t="s">
        <v>2528</v>
      </c>
      <c r="E851" s="2" t="s">
        <v>2529</v>
      </c>
      <c r="F851" s="3">
        <v>9246</v>
      </c>
      <c r="G851" s="3">
        <v>562</v>
      </c>
      <c r="H851" s="3">
        <v>42</v>
      </c>
      <c r="I851" s="4">
        <v>1126.03</v>
      </c>
      <c r="J851" s="4">
        <v>3841.58</v>
      </c>
      <c r="K851" s="3">
        <v>28</v>
      </c>
      <c r="L851" s="2" t="s">
        <v>2539</v>
      </c>
      <c r="M851" s="2" t="s">
        <v>2537</v>
      </c>
      <c r="N851" s="6">
        <f t="shared" si="52"/>
        <v>1</v>
      </c>
      <c r="O851" t="str">
        <f>IF(Tabla_control[[#This Row],[Control_duplicados]]&gt;1,"Duplicado","Unico")</f>
        <v>Unico</v>
      </c>
      <c r="P851" t="str">
        <f t="shared" si="53"/>
        <v>OK</v>
      </c>
      <c r="Q851" t="str">
        <f t="shared" si="54"/>
        <v>OK</v>
      </c>
      <c r="R851" t="str">
        <f t="shared" si="55"/>
        <v>OK</v>
      </c>
    </row>
    <row r="852" spans="1:18" x14ac:dyDescent="0.3">
      <c r="A852" s="1">
        <v>45762</v>
      </c>
      <c r="B852" s="2" t="s">
        <v>2644</v>
      </c>
      <c r="C852" s="2" t="s">
        <v>2543</v>
      </c>
      <c r="D852" s="2" t="s">
        <v>2516</v>
      </c>
      <c r="E852" s="2" t="s">
        <v>2529</v>
      </c>
      <c r="F852" s="3">
        <v>44820</v>
      </c>
      <c r="G852" s="3">
        <v>1043</v>
      </c>
      <c r="H852" s="3">
        <v>139</v>
      </c>
      <c r="I852" s="4">
        <v>1558.12</v>
      </c>
      <c r="J852" s="4">
        <v>10402.969999999999</v>
      </c>
      <c r="K852" s="3">
        <v>77</v>
      </c>
      <c r="L852" s="2" t="s">
        <v>2536</v>
      </c>
      <c r="M852" s="2" t="s">
        <v>2519</v>
      </c>
      <c r="N852" s="6">
        <f t="shared" si="52"/>
        <v>1</v>
      </c>
      <c r="O852" t="str">
        <f>IF(Tabla_control[[#This Row],[Control_duplicados]]&gt;1,"Duplicado","Unico")</f>
        <v>Unico</v>
      </c>
      <c r="P852" t="str">
        <f t="shared" si="53"/>
        <v>OK</v>
      </c>
      <c r="Q852" t="str">
        <f t="shared" si="54"/>
        <v>OK</v>
      </c>
      <c r="R852" t="str">
        <f t="shared" si="55"/>
        <v>OK</v>
      </c>
    </row>
    <row r="853" spans="1:18" x14ac:dyDescent="0.3">
      <c r="A853" s="1">
        <v>45832</v>
      </c>
      <c r="B853" s="2" t="s">
        <v>2621</v>
      </c>
      <c r="C853" s="2" t="s">
        <v>2543</v>
      </c>
      <c r="D853" s="2" t="s">
        <v>2528</v>
      </c>
      <c r="E853" s="2" t="s">
        <v>2529</v>
      </c>
      <c r="F853" s="3">
        <v>54112</v>
      </c>
      <c r="G853" s="3">
        <v>1455</v>
      </c>
      <c r="H853" s="3">
        <v>50</v>
      </c>
      <c r="I853" s="4">
        <v>1043.8699999999999</v>
      </c>
      <c r="J853" s="4">
        <v>7731.54</v>
      </c>
      <c r="K853" s="3">
        <v>23</v>
      </c>
      <c r="L853" s="2" t="s">
        <v>2536</v>
      </c>
      <c r="M853" s="2" t="s">
        <v>2546</v>
      </c>
      <c r="N853" s="6">
        <f t="shared" si="52"/>
        <v>1</v>
      </c>
      <c r="O853" t="str">
        <f>IF(Tabla_control[[#This Row],[Control_duplicados]]&gt;1,"Duplicado","Unico")</f>
        <v>Unico</v>
      </c>
      <c r="P853" t="str">
        <f t="shared" si="53"/>
        <v>OK</v>
      </c>
      <c r="Q853" t="str">
        <f t="shared" si="54"/>
        <v>OK</v>
      </c>
      <c r="R853" t="str">
        <f t="shared" si="55"/>
        <v>OK</v>
      </c>
    </row>
    <row r="854" spans="1:18" x14ac:dyDescent="0.3">
      <c r="A854" s="1">
        <v>45791</v>
      </c>
      <c r="B854" s="2" t="s">
        <v>2623</v>
      </c>
      <c r="C854" s="2" t="s">
        <v>2543</v>
      </c>
      <c r="D854" s="2" t="s">
        <v>2522</v>
      </c>
      <c r="E854" s="2" t="s">
        <v>2517</v>
      </c>
      <c r="F854" s="3">
        <v>131864</v>
      </c>
      <c r="G854" s="3">
        <v>1760</v>
      </c>
      <c r="H854" s="3">
        <v>141</v>
      </c>
      <c r="I854" s="4">
        <v>1242.8599999999999</v>
      </c>
      <c r="J854" s="4">
        <v>10347.379999999999</v>
      </c>
      <c r="K854" s="3">
        <v>65</v>
      </c>
      <c r="L854" s="2" t="s">
        <v>2523</v>
      </c>
      <c r="M854" s="2" t="s">
        <v>2519</v>
      </c>
      <c r="N854" s="6">
        <f t="shared" si="52"/>
        <v>1</v>
      </c>
      <c r="O854" t="str">
        <f>IF(Tabla_control[[#This Row],[Control_duplicados]]&gt;1,"Duplicado","Unico")</f>
        <v>Unico</v>
      </c>
      <c r="P854" t="str">
        <f t="shared" si="53"/>
        <v>OK</v>
      </c>
      <c r="Q854" t="str">
        <f t="shared" si="54"/>
        <v>OK</v>
      </c>
      <c r="R854" t="str">
        <f t="shared" si="55"/>
        <v>OK</v>
      </c>
    </row>
    <row r="855" spans="1:18" x14ac:dyDescent="0.3">
      <c r="A855" s="1">
        <v>46009</v>
      </c>
      <c r="B855" s="2" t="s">
        <v>2628</v>
      </c>
      <c r="C855" s="2" t="s">
        <v>2521</v>
      </c>
      <c r="D855" s="2" t="s">
        <v>2525</v>
      </c>
      <c r="E855" s="2" t="s">
        <v>2517</v>
      </c>
      <c r="F855" s="3">
        <v>4759</v>
      </c>
      <c r="G855" s="3">
        <v>234</v>
      </c>
      <c r="H855" s="3">
        <v>22</v>
      </c>
      <c r="I855" s="4">
        <v>333.25</v>
      </c>
      <c r="J855" s="4">
        <v>2425.61</v>
      </c>
      <c r="K855" s="3">
        <v>13</v>
      </c>
      <c r="L855" s="2" t="s">
        <v>2523</v>
      </c>
      <c r="M855" s="2" t="s">
        <v>2546</v>
      </c>
      <c r="N855" s="6">
        <f t="shared" si="52"/>
        <v>2</v>
      </c>
      <c r="O855" t="str">
        <f>IF(Tabla_control[[#This Row],[Control_duplicados]]&gt;1,"Duplicado","Unico")</f>
        <v>Duplicado</v>
      </c>
      <c r="P855" t="str">
        <f t="shared" si="53"/>
        <v>OK</v>
      </c>
      <c r="Q855" t="str">
        <f t="shared" si="54"/>
        <v>OK</v>
      </c>
      <c r="R855" t="str">
        <f t="shared" si="55"/>
        <v>OK</v>
      </c>
    </row>
    <row r="856" spans="1:18" x14ac:dyDescent="0.3">
      <c r="A856" s="1">
        <v>45975</v>
      </c>
      <c r="B856" s="2" t="s">
        <v>2623</v>
      </c>
      <c r="C856" s="2" t="s">
        <v>2515</v>
      </c>
      <c r="D856" s="2" t="s">
        <v>2531</v>
      </c>
      <c r="E856" s="2" t="s">
        <v>2517</v>
      </c>
      <c r="F856" s="3">
        <v>19051</v>
      </c>
      <c r="G856" s="3">
        <v>1662</v>
      </c>
      <c r="H856" s="3">
        <v>166</v>
      </c>
      <c r="I856" s="4">
        <v>2489.13</v>
      </c>
      <c r="J856" s="4">
        <v>29045.29</v>
      </c>
      <c r="K856" s="3">
        <v>91</v>
      </c>
      <c r="L856" s="2" t="s">
        <v>2539</v>
      </c>
      <c r="M856" s="2" t="s">
        <v>2519</v>
      </c>
      <c r="N856" s="6">
        <f t="shared" si="52"/>
        <v>1</v>
      </c>
      <c r="O856" t="str">
        <f>IF(Tabla_control[[#This Row],[Control_duplicados]]&gt;1,"Duplicado","Unico")</f>
        <v>Unico</v>
      </c>
      <c r="P856" t="str">
        <f t="shared" si="53"/>
        <v>OK</v>
      </c>
      <c r="Q856" t="str">
        <f t="shared" si="54"/>
        <v>OK</v>
      </c>
      <c r="R856" t="str">
        <f t="shared" si="55"/>
        <v>OK</v>
      </c>
    </row>
    <row r="857" spans="1:18" x14ac:dyDescent="0.3">
      <c r="A857" s="1">
        <v>45904</v>
      </c>
      <c r="B857" s="2" t="s">
        <v>2631</v>
      </c>
      <c r="C857" s="2" t="s">
        <v>2543</v>
      </c>
      <c r="D857" s="2" t="s">
        <v>2528</v>
      </c>
      <c r="E857" s="2" t="s">
        <v>2517</v>
      </c>
      <c r="F857" s="3">
        <v>57687</v>
      </c>
      <c r="G857" s="3">
        <v>5019</v>
      </c>
      <c r="H857" s="3">
        <v>428</v>
      </c>
      <c r="I857" s="4">
        <v>5643.36</v>
      </c>
      <c r="J857" s="4">
        <v>53885.3</v>
      </c>
      <c r="K857" s="3">
        <v>220</v>
      </c>
      <c r="L857" s="2" t="s">
        <v>2518</v>
      </c>
      <c r="M857" s="2" t="s">
        <v>2537</v>
      </c>
      <c r="N857" s="6">
        <f t="shared" si="52"/>
        <v>1</v>
      </c>
      <c r="O857" t="str">
        <f>IF(Tabla_control[[#This Row],[Control_duplicados]]&gt;1,"Duplicado","Unico")</f>
        <v>Unico</v>
      </c>
      <c r="P857" t="str">
        <f t="shared" si="53"/>
        <v>OK</v>
      </c>
      <c r="Q857" t="str">
        <f t="shared" si="54"/>
        <v>OK</v>
      </c>
      <c r="R857" t="str">
        <f t="shared" si="55"/>
        <v>OK</v>
      </c>
    </row>
    <row r="858" spans="1:18" x14ac:dyDescent="0.3">
      <c r="A858" s="1">
        <v>46016</v>
      </c>
      <c r="B858" s="2" t="s">
        <v>2625</v>
      </c>
      <c r="C858" s="2" t="s">
        <v>2515</v>
      </c>
      <c r="D858" s="2" t="s">
        <v>2528</v>
      </c>
      <c r="E858" s="2" t="s">
        <v>2517</v>
      </c>
      <c r="F858" s="3">
        <v>33775</v>
      </c>
      <c r="G858" s="3">
        <v>1718</v>
      </c>
      <c r="H858" s="3">
        <v>33</v>
      </c>
      <c r="I858" s="4">
        <v>3476.24</v>
      </c>
      <c r="J858" s="4">
        <v>5848.22</v>
      </c>
      <c r="K858" s="3">
        <v>29</v>
      </c>
      <c r="L858" s="2" t="s">
        <v>2518</v>
      </c>
      <c r="M858" s="2" t="s">
        <v>2546</v>
      </c>
      <c r="N858" s="6">
        <f t="shared" si="52"/>
        <v>1</v>
      </c>
      <c r="O858" t="str">
        <f>IF(Tabla_control[[#This Row],[Control_duplicados]]&gt;1,"Duplicado","Unico")</f>
        <v>Unico</v>
      </c>
      <c r="P858" t="str">
        <f t="shared" si="53"/>
        <v>OK</v>
      </c>
      <c r="Q858" t="str">
        <f t="shared" si="54"/>
        <v>OK</v>
      </c>
      <c r="R858" t="str">
        <f t="shared" si="55"/>
        <v>OK</v>
      </c>
    </row>
    <row r="859" spans="1:18" x14ac:dyDescent="0.3">
      <c r="A859" s="1">
        <v>45729</v>
      </c>
      <c r="B859" s="2" t="s">
        <v>2616</v>
      </c>
      <c r="C859" s="2" t="s">
        <v>2527</v>
      </c>
      <c r="D859" s="2" t="s">
        <v>2516</v>
      </c>
      <c r="E859" s="2" t="s">
        <v>2517</v>
      </c>
      <c r="F859" s="3">
        <v>38937</v>
      </c>
      <c r="G859" s="3">
        <v>1630</v>
      </c>
      <c r="H859" s="3">
        <v>140</v>
      </c>
      <c r="I859" s="4">
        <v>1328.45</v>
      </c>
      <c r="J859" s="4">
        <v>6274.01</v>
      </c>
      <c r="K859" s="3">
        <v>104</v>
      </c>
      <c r="L859" s="2" t="s">
        <v>2523</v>
      </c>
      <c r="M859" s="2" t="s">
        <v>2524</v>
      </c>
      <c r="N859" s="6">
        <f t="shared" si="52"/>
        <v>1</v>
      </c>
      <c r="O859" t="str">
        <f>IF(Tabla_control[[#This Row],[Control_duplicados]]&gt;1,"Duplicado","Unico")</f>
        <v>Unico</v>
      </c>
      <c r="P859" t="str">
        <f t="shared" si="53"/>
        <v>OK</v>
      </c>
      <c r="Q859" t="str">
        <f t="shared" si="54"/>
        <v>OK</v>
      </c>
      <c r="R859" t="str">
        <f t="shared" si="55"/>
        <v>OK</v>
      </c>
    </row>
    <row r="860" spans="1:18" x14ac:dyDescent="0.3">
      <c r="A860" s="1">
        <v>45865</v>
      </c>
      <c r="B860" s="2" t="s">
        <v>2638</v>
      </c>
      <c r="C860" s="2" t="s">
        <v>2527</v>
      </c>
      <c r="D860" s="2" t="s">
        <v>2522</v>
      </c>
      <c r="E860" s="2" t="s">
        <v>2534</v>
      </c>
      <c r="F860" s="3">
        <v>147535</v>
      </c>
      <c r="G860" s="3">
        <v>3996</v>
      </c>
      <c r="H860" s="3">
        <v>335</v>
      </c>
      <c r="I860" s="4">
        <v>3653.16</v>
      </c>
      <c r="J860" s="4">
        <v>29614.720000000001</v>
      </c>
      <c r="K860" s="3">
        <v>165</v>
      </c>
      <c r="L860" s="2" t="s">
        <v>2523</v>
      </c>
      <c r="M860" s="2" t="s">
        <v>2526</v>
      </c>
      <c r="N860" s="6">
        <f t="shared" si="52"/>
        <v>1</v>
      </c>
      <c r="O860" t="str">
        <f>IF(Tabla_control[[#This Row],[Control_duplicados]]&gt;1,"Duplicado","Unico")</f>
        <v>Unico</v>
      </c>
      <c r="P860" t="str">
        <f t="shared" si="53"/>
        <v>OK</v>
      </c>
      <c r="Q860" t="str">
        <f t="shared" si="54"/>
        <v>OK</v>
      </c>
      <c r="R860" t="str">
        <f t="shared" si="55"/>
        <v>OK</v>
      </c>
    </row>
    <row r="861" spans="1:18" x14ac:dyDescent="0.3">
      <c r="A861" s="1">
        <v>45791</v>
      </c>
      <c r="B861" s="2" t="s">
        <v>2619</v>
      </c>
      <c r="C861" s="2" t="s">
        <v>2543</v>
      </c>
      <c r="D861" s="2" t="s">
        <v>2528</v>
      </c>
      <c r="E861" s="2" t="s">
        <v>2517</v>
      </c>
      <c r="F861" s="3">
        <v>178702</v>
      </c>
      <c r="G861" s="3">
        <v>6034</v>
      </c>
      <c r="H861" s="3">
        <v>164</v>
      </c>
      <c r="I861" s="4">
        <v>11602.18</v>
      </c>
      <c r="J861" s="4">
        <v>8990.69</v>
      </c>
      <c r="K861" s="3">
        <v>104</v>
      </c>
      <c r="L861" s="2" t="s">
        <v>2539</v>
      </c>
      <c r="M861" s="2" t="s">
        <v>2537</v>
      </c>
      <c r="N861" s="6">
        <f t="shared" si="52"/>
        <v>1</v>
      </c>
      <c r="O861" t="str">
        <f>IF(Tabla_control[[#This Row],[Control_duplicados]]&gt;1,"Duplicado","Unico")</f>
        <v>Unico</v>
      </c>
      <c r="P861" t="str">
        <f t="shared" si="53"/>
        <v>OK</v>
      </c>
      <c r="Q861" t="str">
        <f t="shared" si="54"/>
        <v>OK</v>
      </c>
      <c r="R861" t="str">
        <f t="shared" si="55"/>
        <v>OK</v>
      </c>
    </row>
    <row r="862" spans="1:18" x14ac:dyDescent="0.3">
      <c r="A862" s="1">
        <v>45871</v>
      </c>
      <c r="B862" s="2" t="s">
        <v>2633</v>
      </c>
      <c r="C862" s="2" t="s">
        <v>2533</v>
      </c>
      <c r="D862" s="2" t="s">
        <v>2528</v>
      </c>
      <c r="E862" s="2" t="s">
        <v>2534</v>
      </c>
      <c r="F862" s="3">
        <v>154858</v>
      </c>
      <c r="G862" s="3">
        <v>2889</v>
      </c>
      <c r="H862" s="3">
        <v>362</v>
      </c>
      <c r="I862" s="4">
        <v>5689.72</v>
      </c>
      <c r="J862" s="4">
        <v>62113.33</v>
      </c>
      <c r="K862" s="3">
        <v>295</v>
      </c>
      <c r="L862" s="2" t="s">
        <v>2539</v>
      </c>
      <c r="M862" s="2" t="s">
        <v>2526</v>
      </c>
      <c r="N862" s="6">
        <f t="shared" si="52"/>
        <v>1</v>
      </c>
      <c r="O862" t="str">
        <f>IF(Tabla_control[[#This Row],[Control_duplicados]]&gt;1,"Duplicado","Unico")</f>
        <v>Unico</v>
      </c>
      <c r="P862" t="str">
        <f t="shared" si="53"/>
        <v>OK</v>
      </c>
      <c r="Q862" t="str">
        <f t="shared" si="54"/>
        <v>OK</v>
      </c>
      <c r="R862" t="str">
        <f t="shared" si="55"/>
        <v>OK</v>
      </c>
    </row>
    <row r="863" spans="1:18" x14ac:dyDescent="0.3">
      <c r="A863" s="1">
        <v>45836</v>
      </c>
      <c r="B863" s="2" t="s">
        <v>2624</v>
      </c>
      <c r="C863" s="2" t="s">
        <v>2527</v>
      </c>
      <c r="D863" s="2" t="s">
        <v>2525</v>
      </c>
      <c r="E863" s="2" t="s">
        <v>2534</v>
      </c>
      <c r="F863" s="3">
        <v>66071</v>
      </c>
      <c r="G863" s="3">
        <v>336</v>
      </c>
      <c r="H863" s="3">
        <v>25</v>
      </c>
      <c r="I863" s="4">
        <v>508.95</v>
      </c>
      <c r="J863" s="4">
        <v>1467.86</v>
      </c>
      <c r="K863" s="3">
        <v>21</v>
      </c>
      <c r="L863" s="2" t="s">
        <v>2518</v>
      </c>
      <c r="M863" s="2" t="s">
        <v>2519</v>
      </c>
      <c r="N863" s="6">
        <f t="shared" si="52"/>
        <v>1</v>
      </c>
      <c r="O863" t="str">
        <f>IF(Tabla_control[[#This Row],[Control_duplicados]]&gt;1,"Duplicado","Unico")</f>
        <v>Unico</v>
      </c>
      <c r="P863" t="str">
        <f t="shared" si="53"/>
        <v>OK</v>
      </c>
      <c r="Q863" t="str">
        <f t="shared" si="54"/>
        <v>OK</v>
      </c>
      <c r="R863" t="str">
        <f t="shared" si="55"/>
        <v>OK</v>
      </c>
    </row>
    <row r="864" spans="1:18" x14ac:dyDescent="0.3">
      <c r="A864" s="1">
        <v>45748</v>
      </c>
      <c r="B864" s="2" t="s">
        <v>2616</v>
      </c>
      <c r="C864" s="2" t="s">
        <v>2527</v>
      </c>
      <c r="D864" s="2" t="s">
        <v>2531</v>
      </c>
      <c r="E864" s="2" t="s">
        <v>2534</v>
      </c>
      <c r="F864" s="3">
        <v>42619</v>
      </c>
      <c r="G864" s="3">
        <v>2924</v>
      </c>
      <c r="H864" s="3">
        <v>260</v>
      </c>
      <c r="I864" s="4">
        <v>4454.91</v>
      </c>
      <c r="J864" s="4">
        <v>26043.49</v>
      </c>
      <c r="K864" s="3">
        <v>201</v>
      </c>
      <c r="L864" s="2" t="s">
        <v>2523</v>
      </c>
      <c r="M864" s="2" t="s">
        <v>2526</v>
      </c>
      <c r="N864" s="6">
        <f t="shared" si="52"/>
        <v>1</v>
      </c>
      <c r="O864" t="str">
        <f>IF(Tabla_control[[#This Row],[Control_duplicados]]&gt;1,"Duplicado","Unico")</f>
        <v>Unico</v>
      </c>
      <c r="P864" t="str">
        <f t="shared" si="53"/>
        <v>OK</v>
      </c>
      <c r="Q864" t="str">
        <f t="shared" si="54"/>
        <v>OK</v>
      </c>
      <c r="R864" t="str">
        <f t="shared" si="55"/>
        <v>OK</v>
      </c>
    </row>
    <row r="865" spans="1:18" x14ac:dyDescent="0.3">
      <c r="A865" s="1">
        <v>45985</v>
      </c>
      <c r="B865" s="2" t="s">
        <v>2617</v>
      </c>
      <c r="C865" s="2" t="s">
        <v>2527</v>
      </c>
      <c r="D865" s="2" t="s">
        <v>2525</v>
      </c>
      <c r="E865" s="2" t="s">
        <v>2529</v>
      </c>
      <c r="F865" s="3">
        <v>121158</v>
      </c>
      <c r="G865" s="3">
        <v>7911</v>
      </c>
      <c r="H865" s="3">
        <v>118</v>
      </c>
      <c r="I865" s="4">
        <v>16233.36</v>
      </c>
      <c r="J865" s="4">
        <v>5614.42</v>
      </c>
      <c r="K865" s="3">
        <v>72</v>
      </c>
      <c r="L865" s="2" t="s">
        <v>2518</v>
      </c>
      <c r="M865" s="2" t="s">
        <v>2526</v>
      </c>
      <c r="N865" s="6">
        <f t="shared" si="52"/>
        <v>1</v>
      </c>
      <c r="O865" t="str">
        <f>IF(Tabla_control[[#This Row],[Control_duplicados]]&gt;1,"Duplicado","Unico")</f>
        <v>Unico</v>
      </c>
      <c r="P865" t="str">
        <f t="shared" si="53"/>
        <v>OK</v>
      </c>
      <c r="Q865" t="str">
        <f t="shared" si="54"/>
        <v>OK</v>
      </c>
      <c r="R865" t="str">
        <f t="shared" si="55"/>
        <v>OK</v>
      </c>
    </row>
    <row r="866" spans="1:18" x14ac:dyDescent="0.3">
      <c r="A866" s="1">
        <v>45914</v>
      </c>
      <c r="B866" s="2" t="s">
        <v>2635</v>
      </c>
      <c r="C866" s="2" t="s">
        <v>2541</v>
      </c>
      <c r="D866" s="2" t="s">
        <v>2528</v>
      </c>
      <c r="E866" s="2" t="s">
        <v>2517</v>
      </c>
      <c r="F866" s="3">
        <v>147443</v>
      </c>
      <c r="G866" s="3">
        <v>8139</v>
      </c>
      <c r="H866" s="3">
        <v>136</v>
      </c>
      <c r="I866" s="4">
        <v>15875.64</v>
      </c>
      <c r="J866" s="4">
        <v>22015.39</v>
      </c>
      <c r="K866" s="3">
        <v>84</v>
      </c>
      <c r="L866" s="2" t="s">
        <v>2523</v>
      </c>
      <c r="M866" s="2" t="s">
        <v>2537</v>
      </c>
      <c r="N866" s="6">
        <f t="shared" si="52"/>
        <v>1</v>
      </c>
      <c r="O866" t="str">
        <f>IF(Tabla_control[[#This Row],[Control_duplicados]]&gt;1,"Duplicado","Unico")</f>
        <v>Unico</v>
      </c>
      <c r="P866" t="str">
        <f t="shared" si="53"/>
        <v>OK</v>
      </c>
      <c r="Q866" t="str">
        <f t="shared" si="54"/>
        <v>OK</v>
      </c>
      <c r="R866" t="str">
        <f t="shared" si="55"/>
        <v>OK</v>
      </c>
    </row>
    <row r="867" spans="1:18" x14ac:dyDescent="0.3">
      <c r="A867" s="1">
        <v>46017</v>
      </c>
      <c r="B867" s="2" t="s">
        <v>2635</v>
      </c>
      <c r="C867" s="2" t="s">
        <v>2521</v>
      </c>
      <c r="D867" s="2" t="s">
        <v>2528</v>
      </c>
      <c r="E867" s="2" t="s">
        <v>2529</v>
      </c>
      <c r="F867" s="3">
        <v>125507</v>
      </c>
      <c r="G867" s="3">
        <v>3304</v>
      </c>
      <c r="H867" s="3">
        <v>184</v>
      </c>
      <c r="I867" s="4">
        <v>2361.98</v>
      </c>
      <c r="J867" s="4">
        <v>33066.79</v>
      </c>
      <c r="K867" s="3">
        <v>123</v>
      </c>
      <c r="L867" s="2" t="s">
        <v>2539</v>
      </c>
      <c r="M867" s="2" t="s">
        <v>2519</v>
      </c>
      <c r="N867" s="6">
        <f t="shared" si="52"/>
        <v>1</v>
      </c>
      <c r="O867" t="str">
        <f>IF(Tabla_control[[#This Row],[Control_duplicados]]&gt;1,"Duplicado","Unico")</f>
        <v>Unico</v>
      </c>
      <c r="P867" t="str">
        <f t="shared" si="53"/>
        <v>OK</v>
      </c>
      <c r="Q867" t="str">
        <f t="shared" si="54"/>
        <v>OK</v>
      </c>
      <c r="R867" t="str">
        <f t="shared" si="55"/>
        <v>OK</v>
      </c>
    </row>
    <row r="868" spans="1:18" x14ac:dyDescent="0.3">
      <c r="A868" s="1">
        <v>45706</v>
      </c>
      <c r="B868" s="2" t="s">
        <v>2638</v>
      </c>
      <c r="C868" s="2" t="s">
        <v>2533</v>
      </c>
      <c r="D868" s="2" t="s">
        <v>2522</v>
      </c>
      <c r="E868" s="2" t="s">
        <v>2529</v>
      </c>
      <c r="F868" s="3">
        <v>111274</v>
      </c>
      <c r="G868" s="3">
        <v>501</v>
      </c>
      <c r="H868" s="3">
        <v>51</v>
      </c>
      <c r="I868" s="4">
        <v>716.03</v>
      </c>
      <c r="J868" s="4">
        <v>8260.9699999999993</v>
      </c>
      <c r="K868" s="3">
        <v>41</v>
      </c>
      <c r="L868" s="2" t="s">
        <v>2539</v>
      </c>
      <c r="M868" s="2" t="s">
        <v>2546</v>
      </c>
      <c r="N868" s="6">
        <f t="shared" si="52"/>
        <v>2</v>
      </c>
      <c r="O868" t="str">
        <f>IF(Tabla_control[[#This Row],[Control_duplicados]]&gt;1,"Duplicado","Unico")</f>
        <v>Duplicado</v>
      </c>
      <c r="P868" t="str">
        <f t="shared" si="53"/>
        <v>OK</v>
      </c>
      <c r="Q868" t="str">
        <f t="shared" si="54"/>
        <v>OK</v>
      </c>
      <c r="R868" t="str">
        <f t="shared" si="55"/>
        <v>OK</v>
      </c>
    </row>
    <row r="869" spans="1:18" x14ac:dyDescent="0.3">
      <c r="A869" s="1">
        <v>45736</v>
      </c>
      <c r="B869" s="2" t="s">
        <v>2630</v>
      </c>
      <c r="C869" s="2" t="s">
        <v>2527</v>
      </c>
      <c r="D869" s="2" t="s">
        <v>2525</v>
      </c>
      <c r="E869" s="2" t="s">
        <v>2517</v>
      </c>
      <c r="F869" s="3">
        <v>101070</v>
      </c>
      <c r="G869" s="3">
        <v>3692</v>
      </c>
      <c r="H869" s="3">
        <v>323</v>
      </c>
      <c r="I869" s="4">
        <v>1152.3</v>
      </c>
      <c r="J869" s="4">
        <v>41834.160000000003</v>
      </c>
      <c r="K869" s="3">
        <v>190</v>
      </c>
      <c r="L869" s="2" t="s">
        <v>2536</v>
      </c>
      <c r="M869" s="2" t="s">
        <v>2526</v>
      </c>
      <c r="N869" s="6">
        <f t="shared" si="52"/>
        <v>1</v>
      </c>
      <c r="O869" t="str">
        <f>IF(Tabla_control[[#This Row],[Control_duplicados]]&gt;1,"Duplicado","Unico")</f>
        <v>Unico</v>
      </c>
      <c r="P869" t="str">
        <f t="shared" si="53"/>
        <v>OK</v>
      </c>
      <c r="Q869" t="str">
        <f t="shared" si="54"/>
        <v>OK</v>
      </c>
      <c r="R869" t="str">
        <f t="shared" si="55"/>
        <v>OK</v>
      </c>
    </row>
    <row r="870" spans="1:18" x14ac:dyDescent="0.3">
      <c r="A870" s="1">
        <v>45759</v>
      </c>
      <c r="B870" s="2" t="s">
        <v>2615</v>
      </c>
      <c r="C870" s="2" t="s">
        <v>2543</v>
      </c>
      <c r="D870" s="2" t="s">
        <v>2528</v>
      </c>
      <c r="E870" s="2" t="s">
        <v>2529</v>
      </c>
      <c r="F870" s="3">
        <v>84771</v>
      </c>
      <c r="G870" s="3">
        <v>85082</v>
      </c>
      <c r="H870" s="3">
        <v>72</v>
      </c>
      <c r="I870" s="4">
        <v>1261.51</v>
      </c>
      <c r="J870" s="4">
        <v>13755.87</v>
      </c>
      <c r="K870" s="3">
        <v>45</v>
      </c>
      <c r="L870" s="2" t="s">
        <v>2539</v>
      </c>
      <c r="M870" s="2" t="s">
        <v>2526</v>
      </c>
      <c r="N870" s="6">
        <f t="shared" si="52"/>
        <v>1</v>
      </c>
      <c r="O870" t="str">
        <f>IF(Tabla_control[[#This Row],[Control_duplicados]]&gt;1,"Duplicado","Unico")</f>
        <v>Unico</v>
      </c>
      <c r="P870" t="str">
        <f t="shared" si="53"/>
        <v>OK</v>
      </c>
      <c r="Q870" t="str">
        <f t="shared" si="54"/>
        <v>OK</v>
      </c>
      <c r="R870" t="str">
        <f t="shared" si="55"/>
        <v>OK</v>
      </c>
    </row>
    <row r="871" spans="1:18" x14ac:dyDescent="0.3">
      <c r="A871" s="1">
        <v>45811</v>
      </c>
      <c r="B871" s="2" t="s">
        <v>2615</v>
      </c>
      <c r="C871" s="2" t="s">
        <v>2533</v>
      </c>
      <c r="D871" s="2" t="s">
        <v>2531</v>
      </c>
      <c r="E871" s="2" t="s">
        <v>2529</v>
      </c>
      <c r="F871" s="3">
        <v>112075</v>
      </c>
      <c r="G871" s="3">
        <v>5382</v>
      </c>
      <c r="H871" s="3">
        <v>570</v>
      </c>
      <c r="I871" s="4">
        <v>9300.31</v>
      </c>
      <c r="J871" s="4">
        <v>94507.98</v>
      </c>
      <c r="K871" s="3">
        <v>419</v>
      </c>
      <c r="L871" s="2" t="s">
        <v>2523</v>
      </c>
      <c r="M871" s="2" t="s">
        <v>2526</v>
      </c>
      <c r="N871" s="6">
        <f t="shared" si="52"/>
        <v>1</v>
      </c>
      <c r="O871" t="str">
        <f>IF(Tabla_control[[#This Row],[Control_duplicados]]&gt;1,"Duplicado","Unico")</f>
        <v>Unico</v>
      </c>
      <c r="P871" t="str">
        <f t="shared" si="53"/>
        <v>OK</v>
      </c>
      <c r="Q871" t="str">
        <f t="shared" si="54"/>
        <v>OK</v>
      </c>
      <c r="R871" t="str">
        <f t="shared" si="55"/>
        <v>OK</v>
      </c>
    </row>
    <row r="872" spans="1:18" x14ac:dyDescent="0.3">
      <c r="A872" s="1">
        <v>45813</v>
      </c>
      <c r="B872" s="2" t="s">
        <v>2643</v>
      </c>
      <c r="C872" s="2" t="s">
        <v>2543</v>
      </c>
      <c r="D872" s="2" t="s">
        <v>2528</v>
      </c>
      <c r="E872" s="2" t="s">
        <v>2517</v>
      </c>
      <c r="F872" s="3">
        <v>32250</v>
      </c>
      <c r="G872" s="3">
        <v>811</v>
      </c>
      <c r="H872" s="3">
        <v>28</v>
      </c>
      <c r="I872" s="4">
        <v>1091.82</v>
      </c>
      <c r="J872" s="4">
        <v>4038.89</v>
      </c>
      <c r="K872" s="3">
        <v>14</v>
      </c>
      <c r="L872" s="2" t="s">
        <v>2523</v>
      </c>
      <c r="M872" s="2" t="s">
        <v>2546</v>
      </c>
      <c r="N872" s="6">
        <f t="shared" si="52"/>
        <v>1</v>
      </c>
      <c r="O872" t="str">
        <f>IF(Tabla_control[[#This Row],[Control_duplicados]]&gt;1,"Duplicado","Unico")</f>
        <v>Unico</v>
      </c>
      <c r="P872" t="str">
        <f t="shared" si="53"/>
        <v>OK</v>
      </c>
      <c r="Q872" t="str">
        <f t="shared" si="54"/>
        <v>OK</v>
      </c>
      <c r="R872" t="str">
        <f t="shared" si="55"/>
        <v>OK</v>
      </c>
    </row>
    <row r="873" spans="1:18" x14ac:dyDescent="0.3">
      <c r="A873" s="1">
        <v>45939</v>
      </c>
      <c r="B873" s="2" t="s">
        <v>2631</v>
      </c>
      <c r="C873" s="2" t="s">
        <v>2527</v>
      </c>
      <c r="D873" s="2" t="s">
        <v>2525</v>
      </c>
      <c r="E873" s="2" t="s">
        <v>2517</v>
      </c>
      <c r="F873" s="3">
        <v>47345</v>
      </c>
      <c r="G873" s="3">
        <v>787</v>
      </c>
      <c r="H873" s="3">
        <v>16</v>
      </c>
      <c r="I873" s="4">
        <v>501.39</v>
      </c>
      <c r="J873" s="4">
        <v>2941.71</v>
      </c>
      <c r="K873" s="3">
        <v>10</v>
      </c>
      <c r="L873" s="2" t="s">
        <v>2523</v>
      </c>
      <c r="M873" s="2" t="s">
        <v>2526</v>
      </c>
      <c r="N873" s="6">
        <f t="shared" si="52"/>
        <v>1</v>
      </c>
      <c r="O873" t="str">
        <f>IF(Tabla_control[[#This Row],[Control_duplicados]]&gt;1,"Duplicado","Unico")</f>
        <v>Unico</v>
      </c>
      <c r="P873" t="str">
        <f t="shared" si="53"/>
        <v>OK</v>
      </c>
      <c r="Q873" t="str">
        <f t="shared" si="54"/>
        <v>OK</v>
      </c>
      <c r="R873" t="str">
        <f t="shared" si="55"/>
        <v>OK</v>
      </c>
    </row>
    <row r="874" spans="1:18" x14ac:dyDescent="0.3">
      <c r="A874" s="1">
        <v>45756</v>
      </c>
      <c r="B874" s="2" t="s">
        <v>2618</v>
      </c>
      <c r="C874" s="2" t="s">
        <v>2543</v>
      </c>
      <c r="D874" s="2" t="s">
        <v>2516</v>
      </c>
      <c r="E874" s="2" t="s">
        <v>2529</v>
      </c>
      <c r="F874" s="3">
        <v>170369</v>
      </c>
      <c r="G874" s="3">
        <v>11510</v>
      </c>
      <c r="H874" s="3">
        <v>1080</v>
      </c>
      <c r="I874" s="4">
        <v>4435.8999999999996</v>
      </c>
      <c r="J874" s="4">
        <v>74907.839999999997</v>
      </c>
      <c r="K874" s="3">
        <v>689</v>
      </c>
      <c r="L874" s="2" t="s">
        <v>2536</v>
      </c>
      <c r="M874" s="2" t="s">
        <v>2537</v>
      </c>
      <c r="N874" s="6">
        <f t="shared" si="52"/>
        <v>1</v>
      </c>
      <c r="O874" t="str">
        <f>IF(Tabla_control[[#This Row],[Control_duplicados]]&gt;1,"Duplicado","Unico")</f>
        <v>Unico</v>
      </c>
      <c r="P874" t="str">
        <f t="shared" si="53"/>
        <v>OK</v>
      </c>
      <c r="Q874" t="str">
        <f t="shared" si="54"/>
        <v>OK</v>
      </c>
      <c r="R874" t="str">
        <f t="shared" si="55"/>
        <v>OK</v>
      </c>
    </row>
    <row r="875" spans="1:18" x14ac:dyDescent="0.3">
      <c r="A875" s="1">
        <v>45658</v>
      </c>
      <c r="B875" s="2" t="s">
        <v>2622</v>
      </c>
      <c r="C875" s="2" t="s">
        <v>2533</v>
      </c>
      <c r="D875" s="2" t="s">
        <v>2528</v>
      </c>
      <c r="E875" s="2" t="s">
        <v>2517</v>
      </c>
      <c r="F875" s="3">
        <v>37988</v>
      </c>
      <c r="G875" s="3">
        <v>2755</v>
      </c>
      <c r="H875" s="3">
        <v>108</v>
      </c>
      <c r="I875" s="4">
        <v>4772.68</v>
      </c>
      <c r="J875" s="4">
        <v>16713.490000000002</v>
      </c>
      <c r="K875" s="3">
        <v>75</v>
      </c>
      <c r="L875" s="2" t="s">
        <v>2536</v>
      </c>
      <c r="M875" s="2" t="s">
        <v>2546</v>
      </c>
      <c r="N875" s="6">
        <f t="shared" si="52"/>
        <v>1</v>
      </c>
      <c r="O875" t="str">
        <f>IF(Tabla_control[[#This Row],[Control_duplicados]]&gt;1,"Duplicado","Unico")</f>
        <v>Unico</v>
      </c>
      <c r="P875" t="str">
        <f t="shared" si="53"/>
        <v>OK</v>
      </c>
      <c r="Q875" t="str">
        <f t="shared" si="54"/>
        <v>OK</v>
      </c>
      <c r="R875" t="str">
        <f t="shared" si="55"/>
        <v>OK</v>
      </c>
    </row>
    <row r="876" spans="1:18" x14ac:dyDescent="0.3">
      <c r="A876" s="1">
        <v>45946</v>
      </c>
      <c r="B876" s="2" t="s">
        <v>2638</v>
      </c>
      <c r="C876" s="2" t="s">
        <v>2521</v>
      </c>
      <c r="D876" s="2" t="s">
        <v>2531</v>
      </c>
      <c r="E876" s="2" t="s">
        <v>2534</v>
      </c>
      <c r="F876" s="3">
        <v>174433</v>
      </c>
      <c r="G876" s="3">
        <v>5788</v>
      </c>
      <c r="H876" s="3">
        <v>203</v>
      </c>
      <c r="I876" s="4">
        <v>2419.35</v>
      </c>
      <c r="J876" s="4">
        <v>18187.61</v>
      </c>
      <c r="K876" s="3">
        <v>140</v>
      </c>
      <c r="L876" s="2" t="s">
        <v>2523</v>
      </c>
      <c r="M876" s="2" t="s">
        <v>2546</v>
      </c>
      <c r="N876" s="6">
        <f t="shared" si="52"/>
        <v>1</v>
      </c>
      <c r="O876" t="str">
        <f>IF(Tabla_control[[#This Row],[Control_duplicados]]&gt;1,"Duplicado","Unico")</f>
        <v>Unico</v>
      </c>
      <c r="P876" t="str">
        <f t="shared" si="53"/>
        <v>OK</v>
      </c>
      <c r="Q876" t="str">
        <f t="shared" si="54"/>
        <v>OK</v>
      </c>
      <c r="R876" t="str">
        <f t="shared" si="55"/>
        <v>OK</v>
      </c>
    </row>
    <row r="877" spans="1:18" x14ac:dyDescent="0.3">
      <c r="A877" s="1">
        <v>45742</v>
      </c>
      <c r="B877" s="2" t="s">
        <v>2617</v>
      </c>
      <c r="C877" s="2" t="s">
        <v>2543</v>
      </c>
      <c r="D877" s="2" t="s">
        <v>2528</v>
      </c>
      <c r="E877" s="2" t="s">
        <v>2534</v>
      </c>
      <c r="F877" s="3">
        <v>135956</v>
      </c>
      <c r="G877" s="3">
        <v>11039</v>
      </c>
      <c r="H877" s="3">
        <v>1530</v>
      </c>
      <c r="I877" s="4">
        <v>13536.84</v>
      </c>
      <c r="J877" s="4">
        <v>266167.69</v>
      </c>
      <c r="K877" s="3">
        <v>1090</v>
      </c>
      <c r="L877" s="2" t="s">
        <v>2536</v>
      </c>
      <c r="M877" s="2" t="s">
        <v>2546</v>
      </c>
      <c r="N877" s="6">
        <f t="shared" si="52"/>
        <v>1</v>
      </c>
      <c r="O877" t="str">
        <f>IF(Tabla_control[[#This Row],[Control_duplicados]]&gt;1,"Duplicado","Unico")</f>
        <v>Unico</v>
      </c>
      <c r="P877" t="str">
        <f t="shared" si="53"/>
        <v>OK</v>
      </c>
      <c r="Q877" t="str">
        <f t="shared" si="54"/>
        <v>OK</v>
      </c>
      <c r="R877" t="str">
        <f t="shared" si="55"/>
        <v>OK</v>
      </c>
    </row>
    <row r="878" spans="1:18" x14ac:dyDescent="0.3">
      <c r="A878" s="1">
        <v>45881</v>
      </c>
      <c r="B878" s="2" t="s">
        <v>2619</v>
      </c>
      <c r="C878" s="2" t="s">
        <v>2521</v>
      </c>
      <c r="D878" s="2" t="s">
        <v>2528</v>
      </c>
      <c r="E878" s="2" t="s">
        <v>2529</v>
      </c>
      <c r="F878" s="3">
        <v>144620</v>
      </c>
      <c r="G878" s="3">
        <v>7523</v>
      </c>
      <c r="H878" s="3">
        <v>393</v>
      </c>
      <c r="I878" s="4">
        <v>2867.27</v>
      </c>
      <c r="J878" s="4">
        <v>51533.42</v>
      </c>
      <c r="K878" s="3">
        <v>279</v>
      </c>
      <c r="L878" s="2" t="s">
        <v>2518</v>
      </c>
      <c r="M878" s="2" t="s">
        <v>2537</v>
      </c>
      <c r="N878" s="6">
        <f t="shared" si="52"/>
        <v>1</v>
      </c>
      <c r="O878" t="str">
        <f>IF(Tabla_control[[#This Row],[Control_duplicados]]&gt;1,"Duplicado","Unico")</f>
        <v>Unico</v>
      </c>
      <c r="P878" t="str">
        <f t="shared" si="53"/>
        <v>OK</v>
      </c>
      <c r="Q878" t="str">
        <f t="shared" si="54"/>
        <v>OK</v>
      </c>
      <c r="R878" t="str">
        <f t="shared" si="55"/>
        <v>OK</v>
      </c>
    </row>
    <row r="879" spans="1:18" x14ac:dyDescent="0.3">
      <c r="A879" s="1">
        <v>45883</v>
      </c>
      <c r="B879" s="2" t="s">
        <v>2640</v>
      </c>
      <c r="C879" s="2" t="s">
        <v>2541</v>
      </c>
      <c r="D879" s="2" t="s">
        <v>2516</v>
      </c>
      <c r="E879" s="2" t="s">
        <v>2517</v>
      </c>
      <c r="F879" s="3">
        <v>40244</v>
      </c>
      <c r="G879" s="3">
        <v>2878</v>
      </c>
      <c r="H879" s="3">
        <v>351</v>
      </c>
      <c r="I879" s="4">
        <v>4327.83</v>
      </c>
      <c r="J879" s="4">
        <v>76803.34</v>
      </c>
      <c r="K879" s="3">
        <v>278</v>
      </c>
      <c r="L879" s="2" t="s">
        <v>2518</v>
      </c>
      <c r="M879" s="2" t="s">
        <v>2546</v>
      </c>
      <c r="N879" s="6">
        <f t="shared" si="52"/>
        <v>1</v>
      </c>
      <c r="O879" t="str">
        <f>IF(Tabla_control[[#This Row],[Control_duplicados]]&gt;1,"Duplicado","Unico")</f>
        <v>Unico</v>
      </c>
      <c r="P879" t="str">
        <f t="shared" si="53"/>
        <v>OK</v>
      </c>
      <c r="Q879" t="str">
        <f t="shared" si="54"/>
        <v>OK</v>
      </c>
      <c r="R879" t="str">
        <f t="shared" si="55"/>
        <v>OK</v>
      </c>
    </row>
    <row r="880" spans="1:18" x14ac:dyDescent="0.3">
      <c r="A880" s="1">
        <v>45939</v>
      </c>
      <c r="B880" s="2" t="s">
        <v>2621</v>
      </c>
      <c r="C880" s="2" t="s">
        <v>2527</v>
      </c>
      <c r="D880" s="2" t="s">
        <v>2525</v>
      </c>
      <c r="E880" s="2" t="s">
        <v>2517</v>
      </c>
      <c r="F880" s="3">
        <v>139912</v>
      </c>
      <c r="G880" s="3">
        <v>10432</v>
      </c>
      <c r="H880" s="3">
        <v>1290</v>
      </c>
      <c r="I880" s="4">
        <v>4170.63</v>
      </c>
      <c r="J880" s="4">
        <v>111491.1</v>
      </c>
      <c r="K880" s="3">
        <v>1099</v>
      </c>
      <c r="L880" s="2" t="s">
        <v>2518</v>
      </c>
      <c r="M880" s="2" t="s">
        <v>2537</v>
      </c>
      <c r="N880" s="6">
        <f t="shared" si="52"/>
        <v>1</v>
      </c>
      <c r="O880" t="str">
        <f>IF(Tabla_control[[#This Row],[Control_duplicados]]&gt;1,"Duplicado","Unico")</f>
        <v>Unico</v>
      </c>
      <c r="P880" t="str">
        <f t="shared" si="53"/>
        <v>OK</v>
      </c>
      <c r="Q880" t="str">
        <f t="shared" si="54"/>
        <v>OK</v>
      </c>
      <c r="R880" t="str">
        <f t="shared" si="55"/>
        <v>OK</v>
      </c>
    </row>
    <row r="881" spans="1:18" x14ac:dyDescent="0.3">
      <c r="A881" s="1">
        <v>45926</v>
      </c>
      <c r="B881" s="2" t="s">
        <v>2634</v>
      </c>
      <c r="C881" s="2" t="s">
        <v>2515</v>
      </c>
      <c r="D881" s="2" t="s">
        <v>2516</v>
      </c>
      <c r="E881" s="2" t="s">
        <v>2529</v>
      </c>
      <c r="F881" s="3">
        <v>131083</v>
      </c>
      <c r="G881" s="3">
        <v>8065</v>
      </c>
      <c r="H881" s="3">
        <v>195</v>
      </c>
      <c r="I881" s="4">
        <v>4988.8999999999996</v>
      </c>
      <c r="J881" s="4">
        <v>21649.29</v>
      </c>
      <c r="K881" s="3">
        <v>148</v>
      </c>
      <c r="L881" s="2" t="s">
        <v>2518</v>
      </c>
      <c r="M881" s="2" t="s">
        <v>2519</v>
      </c>
      <c r="N881" s="6">
        <f t="shared" si="52"/>
        <v>1</v>
      </c>
      <c r="O881" t="str">
        <f>IF(Tabla_control[[#This Row],[Control_duplicados]]&gt;1,"Duplicado","Unico")</f>
        <v>Unico</v>
      </c>
      <c r="P881" t="str">
        <f t="shared" si="53"/>
        <v>OK</v>
      </c>
      <c r="Q881" t="str">
        <f t="shared" si="54"/>
        <v>OK</v>
      </c>
      <c r="R881" t="str">
        <f t="shared" si="55"/>
        <v>OK</v>
      </c>
    </row>
    <row r="882" spans="1:18" x14ac:dyDescent="0.3">
      <c r="A882" s="1">
        <v>45857</v>
      </c>
      <c r="B882" s="2" t="s">
        <v>2643</v>
      </c>
      <c r="C882" s="2" t="s">
        <v>2533</v>
      </c>
      <c r="D882" s="2" t="s">
        <v>2528</v>
      </c>
      <c r="E882" s="2" t="s">
        <v>2534</v>
      </c>
      <c r="F882" s="3">
        <v>133441</v>
      </c>
      <c r="G882" s="3">
        <v>8231</v>
      </c>
      <c r="H882" s="3">
        <v>1073</v>
      </c>
      <c r="I882" s="4">
        <v>11903.41</v>
      </c>
      <c r="J882" s="4">
        <v>21680.87</v>
      </c>
      <c r="K882" s="3">
        <v>803</v>
      </c>
      <c r="L882" s="2" t="s">
        <v>2518</v>
      </c>
      <c r="M882" s="2" t="s">
        <v>2537</v>
      </c>
      <c r="N882" s="6">
        <f t="shared" si="52"/>
        <v>1</v>
      </c>
      <c r="O882" t="str">
        <f>IF(Tabla_control[[#This Row],[Control_duplicados]]&gt;1,"Duplicado","Unico")</f>
        <v>Unico</v>
      </c>
      <c r="P882" t="str">
        <f t="shared" si="53"/>
        <v>OK</v>
      </c>
      <c r="Q882" t="str">
        <f t="shared" si="54"/>
        <v>OK</v>
      </c>
      <c r="R882" t="str">
        <f t="shared" si="55"/>
        <v>OK</v>
      </c>
    </row>
    <row r="883" spans="1:18" x14ac:dyDescent="0.3">
      <c r="A883" s="1">
        <v>45721</v>
      </c>
      <c r="B883" s="2" t="s">
        <v>2637</v>
      </c>
      <c r="C883" s="2" t="s">
        <v>2527</v>
      </c>
      <c r="D883" s="2" t="s">
        <v>2525</v>
      </c>
      <c r="E883" s="2" t="s">
        <v>2529</v>
      </c>
      <c r="F883" s="3">
        <v>165722</v>
      </c>
      <c r="G883" s="3">
        <v>12887</v>
      </c>
      <c r="H883" s="3">
        <v>1523</v>
      </c>
      <c r="I883" s="4">
        <v>22763.51</v>
      </c>
      <c r="J883" s="4">
        <v>68647.350000000006</v>
      </c>
      <c r="K883" s="3">
        <v>891</v>
      </c>
      <c r="L883" s="2" t="s">
        <v>2518</v>
      </c>
      <c r="M883" s="2" t="s">
        <v>2526</v>
      </c>
      <c r="N883" s="6">
        <f t="shared" si="52"/>
        <v>1</v>
      </c>
      <c r="O883" t="str">
        <f>IF(Tabla_control[[#This Row],[Control_duplicados]]&gt;1,"Duplicado","Unico")</f>
        <v>Unico</v>
      </c>
      <c r="P883" t="str">
        <f t="shared" si="53"/>
        <v>OK</v>
      </c>
      <c r="Q883" t="str">
        <f t="shared" si="54"/>
        <v>OK</v>
      </c>
      <c r="R883" t="str">
        <f t="shared" si="55"/>
        <v>OK</v>
      </c>
    </row>
    <row r="884" spans="1:18" x14ac:dyDescent="0.3">
      <c r="A884" s="1">
        <v>45696</v>
      </c>
      <c r="B884" s="2" t="s">
        <v>2639</v>
      </c>
      <c r="C884" s="2" t="s">
        <v>2527</v>
      </c>
      <c r="D884" s="2" t="s">
        <v>2516</v>
      </c>
      <c r="E884" s="2" t="s">
        <v>2529</v>
      </c>
      <c r="F884" s="3">
        <v>69940</v>
      </c>
      <c r="G884" s="3">
        <v>489</v>
      </c>
      <c r="H884" s="3">
        <v>48</v>
      </c>
      <c r="I884" s="4">
        <v>635.96</v>
      </c>
      <c r="J884" s="4">
        <v>2811.83</v>
      </c>
      <c r="K884" s="3">
        <v>37</v>
      </c>
      <c r="L884" s="2" t="s">
        <v>2539</v>
      </c>
      <c r="M884" s="2" t="s">
        <v>2526</v>
      </c>
      <c r="N884" s="6">
        <f t="shared" si="52"/>
        <v>1</v>
      </c>
      <c r="O884" t="str">
        <f>IF(Tabla_control[[#This Row],[Control_duplicados]]&gt;1,"Duplicado","Unico")</f>
        <v>Unico</v>
      </c>
      <c r="P884" t="str">
        <f t="shared" si="53"/>
        <v>OK</v>
      </c>
      <c r="Q884" t="str">
        <f t="shared" si="54"/>
        <v>OK</v>
      </c>
      <c r="R884" t="str">
        <f t="shared" si="55"/>
        <v>OK</v>
      </c>
    </row>
    <row r="885" spans="1:18" x14ac:dyDescent="0.3">
      <c r="A885" s="1">
        <v>45983</v>
      </c>
      <c r="B885" s="2" t="s">
        <v>2618</v>
      </c>
      <c r="C885" s="2" t="s">
        <v>2533</v>
      </c>
      <c r="D885" s="2" t="s">
        <v>2528</v>
      </c>
      <c r="E885" s="2" t="s">
        <v>2529</v>
      </c>
      <c r="F885" s="3">
        <v>24125</v>
      </c>
      <c r="G885" s="3">
        <v>782</v>
      </c>
      <c r="H885" s="3">
        <v>97</v>
      </c>
      <c r="I885" s="4">
        <v>902.64</v>
      </c>
      <c r="J885" s="4">
        <v>15290.48</v>
      </c>
      <c r="K885" s="3">
        <v>60</v>
      </c>
      <c r="L885" s="2" t="s">
        <v>2539</v>
      </c>
      <c r="M885" s="2" t="s">
        <v>2519</v>
      </c>
      <c r="N885" s="6">
        <f t="shared" si="52"/>
        <v>1</v>
      </c>
      <c r="O885" t="str">
        <f>IF(Tabla_control[[#This Row],[Control_duplicados]]&gt;1,"Duplicado","Unico")</f>
        <v>Unico</v>
      </c>
      <c r="P885" t="str">
        <f t="shared" si="53"/>
        <v>OK</v>
      </c>
      <c r="Q885" t="str">
        <f t="shared" si="54"/>
        <v>OK</v>
      </c>
      <c r="R885" t="str">
        <f t="shared" si="55"/>
        <v>OK</v>
      </c>
    </row>
    <row r="886" spans="1:18" x14ac:dyDescent="0.3">
      <c r="A886" s="1">
        <v>45779</v>
      </c>
      <c r="B886" s="2" t="s">
        <v>2625</v>
      </c>
      <c r="C886" s="2" t="s">
        <v>2515</v>
      </c>
      <c r="D886" s="2" t="s">
        <v>2516</v>
      </c>
      <c r="E886" s="2" t="s">
        <v>2517</v>
      </c>
      <c r="F886" s="3">
        <v>50091</v>
      </c>
      <c r="G886" s="3">
        <v>4205</v>
      </c>
      <c r="H886" s="3">
        <v>204</v>
      </c>
      <c r="I886" s="4">
        <v>2534</v>
      </c>
      <c r="J886" s="4">
        <v>36782.6</v>
      </c>
      <c r="K886" s="3">
        <v>139</v>
      </c>
      <c r="L886" s="2" t="s">
        <v>2518</v>
      </c>
      <c r="M886" s="2" t="s">
        <v>2519</v>
      </c>
      <c r="N886" s="6">
        <f t="shared" si="52"/>
        <v>1</v>
      </c>
      <c r="O886" t="str">
        <f>IF(Tabla_control[[#This Row],[Control_duplicados]]&gt;1,"Duplicado","Unico")</f>
        <v>Unico</v>
      </c>
      <c r="P886" t="str">
        <f t="shared" si="53"/>
        <v>OK</v>
      </c>
      <c r="Q886" t="str">
        <f t="shared" si="54"/>
        <v>OK</v>
      </c>
      <c r="R886" t="str">
        <f t="shared" si="55"/>
        <v>OK</v>
      </c>
    </row>
    <row r="887" spans="1:18" x14ac:dyDescent="0.3">
      <c r="A887" s="1">
        <v>45679</v>
      </c>
      <c r="B887" s="2" t="s">
        <v>2644</v>
      </c>
      <c r="C887" s="2" t="s">
        <v>2527</v>
      </c>
      <c r="D887" s="2" t="s">
        <v>2528</v>
      </c>
      <c r="E887" s="2" t="s">
        <v>2517</v>
      </c>
      <c r="F887" s="3">
        <v>173256</v>
      </c>
      <c r="G887" s="3">
        <v>7586</v>
      </c>
      <c r="H887" s="3">
        <v>652</v>
      </c>
      <c r="I887" s="4">
        <v>11764.93</v>
      </c>
      <c r="J887" s="4">
        <v>30093.16</v>
      </c>
      <c r="K887" s="3">
        <v>559</v>
      </c>
      <c r="L887" s="2" t="s">
        <v>2518</v>
      </c>
      <c r="M887" s="2" t="s">
        <v>2526</v>
      </c>
      <c r="N887" s="6">
        <f t="shared" si="52"/>
        <v>1</v>
      </c>
      <c r="O887" t="str">
        <f>IF(Tabla_control[[#This Row],[Control_duplicados]]&gt;1,"Duplicado","Unico")</f>
        <v>Unico</v>
      </c>
      <c r="P887" t="str">
        <f t="shared" si="53"/>
        <v>OK</v>
      </c>
      <c r="Q887" t="str">
        <f t="shared" si="54"/>
        <v>OK</v>
      </c>
      <c r="R887" t="str">
        <f t="shared" si="55"/>
        <v>OK</v>
      </c>
    </row>
    <row r="888" spans="1:18" x14ac:dyDescent="0.3">
      <c r="A888" s="1">
        <v>46016</v>
      </c>
      <c r="B888" s="2" t="s">
        <v>2636</v>
      </c>
      <c r="C888" s="2" t="s">
        <v>2533</v>
      </c>
      <c r="D888" s="2" t="s">
        <v>2525</v>
      </c>
      <c r="E888" s="2" t="s">
        <v>2529</v>
      </c>
      <c r="F888" s="3">
        <v>39456</v>
      </c>
      <c r="G888" s="3">
        <v>975</v>
      </c>
      <c r="H888" s="3">
        <v>121</v>
      </c>
      <c r="I888" s="4">
        <v>1770.75</v>
      </c>
      <c r="J888" s="4">
        <v>25361.75</v>
      </c>
      <c r="K888" s="3">
        <v>92</v>
      </c>
      <c r="L888" s="2" t="s">
        <v>2518</v>
      </c>
      <c r="M888" s="2" t="s">
        <v>2519</v>
      </c>
      <c r="N888" s="6">
        <f t="shared" si="52"/>
        <v>2</v>
      </c>
      <c r="O888" t="str">
        <f>IF(Tabla_control[[#This Row],[Control_duplicados]]&gt;1,"Duplicado","Unico")</f>
        <v>Duplicado</v>
      </c>
      <c r="P888" t="str">
        <f t="shared" si="53"/>
        <v>OK</v>
      </c>
      <c r="Q888" t="str">
        <f t="shared" si="54"/>
        <v>OK</v>
      </c>
      <c r="R888" t="str">
        <f t="shared" si="55"/>
        <v>OK</v>
      </c>
    </row>
    <row r="889" spans="1:18" x14ac:dyDescent="0.3">
      <c r="A889" s="1">
        <v>45780</v>
      </c>
      <c r="B889" s="2" t="s">
        <v>2641</v>
      </c>
      <c r="C889" s="2" t="s">
        <v>2541</v>
      </c>
      <c r="D889" s="2" t="s">
        <v>2528</v>
      </c>
      <c r="E889" s="2" t="s">
        <v>2517</v>
      </c>
      <c r="F889" s="3">
        <v>57755</v>
      </c>
      <c r="G889" s="3">
        <v>3798</v>
      </c>
      <c r="H889" s="3">
        <v>154</v>
      </c>
      <c r="I889" s="4">
        <v>2098.4499999999998</v>
      </c>
      <c r="J889" s="4">
        <v>28133.58</v>
      </c>
      <c r="K889" s="3">
        <v>79</v>
      </c>
      <c r="L889" s="2" t="s">
        <v>2518</v>
      </c>
      <c r="M889" s="2" t="s">
        <v>2519</v>
      </c>
      <c r="N889" s="6">
        <f t="shared" si="52"/>
        <v>1</v>
      </c>
      <c r="O889" t="str">
        <f>IF(Tabla_control[[#This Row],[Control_duplicados]]&gt;1,"Duplicado","Unico")</f>
        <v>Unico</v>
      </c>
      <c r="P889" t="str">
        <f t="shared" si="53"/>
        <v>OK</v>
      </c>
      <c r="Q889" t="str">
        <f t="shared" si="54"/>
        <v>OK</v>
      </c>
      <c r="R889" t="str">
        <f t="shared" si="55"/>
        <v>OK</v>
      </c>
    </row>
    <row r="890" spans="1:18" x14ac:dyDescent="0.3">
      <c r="A890" s="1">
        <v>45796</v>
      </c>
      <c r="B890" s="2" t="s">
        <v>2641</v>
      </c>
      <c r="C890" s="2" t="s">
        <v>2543</v>
      </c>
      <c r="D890" s="2" t="s">
        <v>2522</v>
      </c>
      <c r="E890" s="2" t="s">
        <v>2529</v>
      </c>
      <c r="F890" s="3">
        <v>103561</v>
      </c>
      <c r="G890" s="3">
        <v>2641</v>
      </c>
      <c r="H890" s="3">
        <v>329</v>
      </c>
      <c r="I890" s="4">
        <v>4108.5</v>
      </c>
      <c r="J890" s="4">
        <v>67225.850000000006</v>
      </c>
      <c r="K890" s="3">
        <v>212</v>
      </c>
      <c r="L890" s="2" t="s">
        <v>2536</v>
      </c>
      <c r="M890" s="2" t="s">
        <v>2519</v>
      </c>
      <c r="N890" s="6">
        <f t="shared" si="52"/>
        <v>1</v>
      </c>
      <c r="O890" t="str">
        <f>IF(Tabla_control[[#This Row],[Control_duplicados]]&gt;1,"Duplicado","Unico")</f>
        <v>Unico</v>
      </c>
      <c r="P890" t="str">
        <f t="shared" si="53"/>
        <v>OK</v>
      </c>
      <c r="Q890" t="str">
        <f t="shared" si="54"/>
        <v>OK</v>
      </c>
      <c r="R890" t="str">
        <f t="shared" si="55"/>
        <v>OK</v>
      </c>
    </row>
    <row r="891" spans="1:18" x14ac:dyDescent="0.3">
      <c r="A891" s="1">
        <v>45671</v>
      </c>
      <c r="B891" s="2" t="s">
        <v>2639</v>
      </c>
      <c r="C891" s="2" t="s">
        <v>2521</v>
      </c>
      <c r="D891" s="2" t="s">
        <v>2528</v>
      </c>
      <c r="E891" s="2" t="s">
        <v>2529</v>
      </c>
      <c r="F891" s="3">
        <v>41693</v>
      </c>
      <c r="G891" s="3">
        <v>1507</v>
      </c>
      <c r="H891" s="3">
        <v>75</v>
      </c>
      <c r="I891" s="4">
        <v>184.82</v>
      </c>
      <c r="J891" s="4">
        <v>14243.84</v>
      </c>
      <c r="K891" s="3">
        <v>64</v>
      </c>
      <c r="L891" s="2" t="s">
        <v>2539</v>
      </c>
      <c r="M891" s="2" t="s">
        <v>2524</v>
      </c>
      <c r="N891" s="6">
        <f t="shared" si="52"/>
        <v>1</v>
      </c>
      <c r="O891" t="str">
        <f>IF(Tabla_control[[#This Row],[Control_duplicados]]&gt;1,"Duplicado","Unico")</f>
        <v>Unico</v>
      </c>
      <c r="P891" t="str">
        <f t="shared" si="53"/>
        <v>OK</v>
      </c>
      <c r="Q891" t="str">
        <f t="shared" si="54"/>
        <v>OK</v>
      </c>
      <c r="R891" t="str">
        <f t="shared" si="55"/>
        <v>OK</v>
      </c>
    </row>
    <row r="892" spans="1:18" x14ac:dyDescent="0.3">
      <c r="A892" s="1">
        <v>45788</v>
      </c>
      <c r="B892" s="2" t="s">
        <v>2623</v>
      </c>
      <c r="C892" s="2" t="s">
        <v>2527</v>
      </c>
      <c r="D892" s="2" t="s">
        <v>2522</v>
      </c>
      <c r="E892" s="2" t="s">
        <v>2529</v>
      </c>
      <c r="F892" s="3">
        <v>125464</v>
      </c>
      <c r="G892" s="3">
        <v>4355</v>
      </c>
      <c r="H892" s="3">
        <v>209</v>
      </c>
      <c r="I892" s="4">
        <v>8971.16</v>
      </c>
      <c r="J892" s="4">
        <v>23296.400000000001</v>
      </c>
      <c r="K892" s="3">
        <v>101</v>
      </c>
      <c r="L892" s="2" t="s">
        <v>2539</v>
      </c>
      <c r="M892" s="2" t="s">
        <v>2524</v>
      </c>
      <c r="N892" s="6">
        <f t="shared" si="52"/>
        <v>1</v>
      </c>
      <c r="O892" t="str">
        <f>IF(Tabla_control[[#This Row],[Control_duplicados]]&gt;1,"Duplicado","Unico")</f>
        <v>Unico</v>
      </c>
      <c r="P892" t="str">
        <f t="shared" si="53"/>
        <v>OK</v>
      </c>
      <c r="Q892" t="str">
        <f t="shared" si="54"/>
        <v>OK</v>
      </c>
      <c r="R892" t="str">
        <f t="shared" si="55"/>
        <v>OK</v>
      </c>
    </row>
    <row r="893" spans="1:18" x14ac:dyDescent="0.3">
      <c r="A893" s="1">
        <v>45742</v>
      </c>
      <c r="B893" s="2" t="s">
        <v>2638</v>
      </c>
      <c r="C893" s="2" t="s">
        <v>2527</v>
      </c>
      <c r="D893" s="2" t="s">
        <v>2528</v>
      </c>
      <c r="E893" s="2" t="s">
        <v>2529</v>
      </c>
      <c r="F893" s="3">
        <v>3407</v>
      </c>
      <c r="G893" s="3">
        <v>263</v>
      </c>
      <c r="H893" s="3">
        <v>28</v>
      </c>
      <c r="I893" s="4">
        <v>538.49</v>
      </c>
      <c r="J893" s="4">
        <v>3168.29</v>
      </c>
      <c r="K893" s="3">
        <v>13</v>
      </c>
      <c r="L893" s="2" t="s">
        <v>2539</v>
      </c>
      <c r="M893" s="2" t="s">
        <v>2524</v>
      </c>
      <c r="N893" s="6">
        <f t="shared" si="52"/>
        <v>1</v>
      </c>
      <c r="O893" t="str">
        <f>IF(Tabla_control[[#This Row],[Control_duplicados]]&gt;1,"Duplicado","Unico")</f>
        <v>Unico</v>
      </c>
      <c r="P893" t="str">
        <f t="shared" si="53"/>
        <v>OK</v>
      </c>
      <c r="Q893" t="str">
        <f t="shared" si="54"/>
        <v>OK</v>
      </c>
      <c r="R893" t="str">
        <f t="shared" si="55"/>
        <v>OK</v>
      </c>
    </row>
    <row r="894" spans="1:18" x14ac:dyDescent="0.3">
      <c r="A894" s="1">
        <v>45930</v>
      </c>
      <c r="B894" s="2" t="s">
        <v>2642</v>
      </c>
      <c r="C894" s="2" t="s">
        <v>2527</v>
      </c>
      <c r="D894" s="2" t="s">
        <v>2528</v>
      </c>
      <c r="E894" s="2" t="s">
        <v>2517</v>
      </c>
      <c r="F894" s="3">
        <v>53660</v>
      </c>
      <c r="G894" s="3">
        <v>1329</v>
      </c>
      <c r="H894" s="3">
        <v>38</v>
      </c>
      <c r="I894" s="4">
        <v>165.94</v>
      </c>
      <c r="J894" s="4">
        <v>1833.31</v>
      </c>
      <c r="K894" s="3">
        <v>33</v>
      </c>
      <c r="L894" s="2" t="s">
        <v>2536</v>
      </c>
      <c r="M894" s="2" t="s">
        <v>2526</v>
      </c>
      <c r="N894" s="6">
        <f t="shared" si="52"/>
        <v>1</v>
      </c>
      <c r="O894" t="str">
        <f>IF(Tabla_control[[#This Row],[Control_duplicados]]&gt;1,"Duplicado","Unico")</f>
        <v>Unico</v>
      </c>
      <c r="P894" t="str">
        <f t="shared" si="53"/>
        <v>OK</v>
      </c>
      <c r="Q894" t="str">
        <f t="shared" si="54"/>
        <v>OK</v>
      </c>
      <c r="R894" t="str">
        <f t="shared" si="55"/>
        <v>OK</v>
      </c>
    </row>
    <row r="895" spans="1:18" x14ac:dyDescent="0.3">
      <c r="A895" s="1">
        <v>45960</v>
      </c>
      <c r="B895" s="2" t="s">
        <v>2629</v>
      </c>
      <c r="C895" s="2" t="s">
        <v>2521</v>
      </c>
      <c r="D895" s="2" t="s">
        <v>2522</v>
      </c>
      <c r="E895" s="2" t="s">
        <v>2529</v>
      </c>
      <c r="F895" s="3">
        <v>67113</v>
      </c>
      <c r="G895" s="3">
        <v>5250</v>
      </c>
      <c r="H895" s="3">
        <v>27</v>
      </c>
      <c r="I895" s="4">
        <v>1943.68</v>
      </c>
      <c r="J895" s="4">
        <v>3153.04</v>
      </c>
      <c r="K895" s="3">
        <v>14</v>
      </c>
      <c r="L895" s="2" t="s">
        <v>2518</v>
      </c>
      <c r="M895" s="2" t="s">
        <v>2519</v>
      </c>
      <c r="N895" s="6">
        <f t="shared" si="52"/>
        <v>1</v>
      </c>
      <c r="O895" t="str">
        <f>IF(Tabla_control[[#This Row],[Control_duplicados]]&gt;1,"Duplicado","Unico")</f>
        <v>Unico</v>
      </c>
      <c r="P895" t="str">
        <f t="shared" si="53"/>
        <v>OK</v>
      </c>
      <c r="Q895" t="str">
        <f t="shared" si="54"/>
        <v>OK</v>
      </c>
      <c r="R895" t="str">
        <f t="shared" si="55"/>
        <v>OK</v>
      </c>
    </row>
    <row r="896" spans="1:18" x14ac:dyDescent="0.3">
      <c r="A896" s="1">
        <v>45804</v>
      </c>
      <c r="B896" s="2" t="s">
        <v>2644</v>
      </c>
      <c r="C896" s="2" t="s">
        <v>2533</v>
      </c>
      <c r="D896" s="2" t="s">
        <v>2528</v>
      </c>
      <c r="E896" s="2" t="s">
        <v>2529</v>
      </c>
      <c r="F896" s="3">
        <v>12994</v>
      </c>
      <c r="G896" s="3">
        <v>1084</v>
      </c>
      <c r="H896" s="3">
        <v>106</v>
      </c>
      <c r="I896" s="4">
        <v>335.52</v>
      </c>
      <c r="J896" s="4">
        <v>1740.41</v>
      </c>
      <c r="K896" s="3">
        <v>80</v>
      </c>
      <c r="L896" s="2" t="s">
        <v>2523</v>
      </c>
      <c r="M896" s="2" t="s">
        <v>2526</v>
      </c>
      <c r="N896" s="6">
        <f t="shared" si="52"/>
        <v>1</v>
      </c>
      <c r="O896" t="str">
        <f>IF(Tabla_control[[#This Row],[Control_duplicados]]&gt;1,"Duplicado","Unico")</f>
        <v>Unico</v>
      </c>
      <c r="P896" t="str">
        <f t="shared" si="53"/>
        <v>OK</v>
      </c>
      <c r="Q896" t="str">
        <f t="shared" si="54"/>
        <v>OK</v>
      </c>
      <c r="R896" t="str">
        <f t="shared" si="55"/>
        <v>OK</v>
      </c>
    </row>
    <row r="897" spans="1:18" x14ac:dyDescent="0.3">
      <c r="A897" s="1">
        <v>45687</v>
      </c>
      <c r="B897" s="2" t="s">
        <v>2636</v>
      </c>
      <c r="C897" s="2" t="s">
        <v>2521</v>
      </c>
      <c r="D897" s="2" t="s">
        <v>2528</v>
      </c>
      <c r="E897" s="2" t="s">
        <v>2529</v>
      </c>
      <c r="F897" s="3">
        <v>160257</v>
      </c>
      <c r="G897" s="3">
        <v>5835</v>
      </c>
      <c r="H897" s="3">
        <v>732</v>
      </c>
      <c r="I897" s="4">
        <v>11258.43</v>
      </c>
      <c r="J897" s="4">
        <v>68587.91</v>
      </c>
      <c r="K897" s="3">
        <v>376</v>
      </c>
      <c r="L897" s="2" t="s">
        <v>2539</v>
      </c>
      <c r="M897" s="2" t="s">
        <v>2524</v>
      </c>
      <c r="N897" s="6">
        <f t="shared" si="52"/>
        <v>1</v>
      </c>
      <c r="O897" t="str">
        <f>IF(Tabla_control[[#This Row],[Control_duplicados]]&gt;1,"Duplicado","Unico")</f>
        <v>Unico</v>
      </c>
      <c r="P897" t="str">
        <f t="shared" si="53"/>
        <v>OK</v>
      </c>
      <c r="Q897" t="str">
        <f t="shared" si="54"/>
        <v>OK</v>
      </c>
      <c r="R897" t="str">
        <f t="shared" si="55"/>
        <v>OK</v>
      </c>
    </row>
    <row r="898" spans="1:18" x14ac:dyDescent="0.3">
      <c r="A898" s="1">
        <v>45975</v>
      </c>
      <c r="B898" s="2" t="s">
        <v>2626</v>
      </c>
      <c r="C898" s="2" t="s">
        <v>2521</v>
      </c>
      <c r="D898" s="2" t="s">
        <v>2528</v>
      </c>
      <c r="E898" s="2" t="s">
        <v>2534</v>
      </c>
      <c r="F898" s="3">
        <v>16244</v>
      </c>
      <c r="G898" s="3">
        <v>1329</v>
      </c>
      <c r="H898" s="3">
        <v>30</v>
      </c>
      <c r="I898" s="4">
        <v>1386.6</v>
      </c>
      <c r="J898" s="4">
        <v>5550.58</v>
      </c>
      <c r="K898" s="3">
        <v>23</v>
      </c>
      <c r="L898" s="2" t="s">
        <v>2536</v>
      </c>
      <c r="M898" s="2" t="s">
        <v>2537</v>
      </c>
      <c r="N898" s="6">
        <f t="shared" ref="N898:N961" si="56">COUNTIFS($A$2:$A$2536,A898,$B$2:$B$2536,B898,$C$2:$C$2536,C898,$D$2:$D$2536,D898,$E$2:$E$2536,E898,$F$2:$F$2536,F898,$G$2:$G$2536,G898,$H$2:$H$2536,H898,$I$2:$I$2536,I898,$J$2:$J$2536,J898,$K$2:$K$2536,K898,$L$2:$L$2536,L898,$M$2:$M$2536,M898)</f>
        <v>1</v>
      </c>
      <c r="O898" t="str">
        <f>IF(Tabla_control[[#This Row],[Control_duplicados]]&gt;1,"Duplicado","Unico")</f>
        <v>Unico</v>
      </c>
      <c r="P898" t="str">
        <f t="shared" ref="P898:P961" si="57">IF(OR(I898="",I898&lt;0),"ERROR","OK")</f>
        <v>OK</v>
      </c>
      <c r="Q898" t="str">
        <f t="shared" ref="Q898:Q961" si="58">IF(H898&gt;F898,"ERROR","OK")</f>
        <v>OK</v>
      </c>
      <c r="R898" t="str">
        <f t="shared" ref="R898:R961" si="59">IF(K898&gt;H898,"ERROR","OK")</f>
        <v>OK</v>
      </c>
    </row>
    <row r="899" spans="1:18" x14ac:dyDescent="0.3">
      <c r="A899" s="1">
        <v>45893</v>
      </c>
      <c r="B899" s="2" t="s">
        <v>2616</v>
      </c>
      <c r="C899" s="2" t="s">
        <v>2521</v>
      </c>
      <c r="D899" s="2" t="s">
        <v>2528</v>
      </c>
      <c r="E899" s="2" t="s">
        <v>2517</v>
      </c>
      <c r="F899" s="3">
        <v>6619</v>
      </c>
      <c r="G899" s="3">
        <v>50</v>
      </c>
      <c r="H899" s="3">
        <v>1</v>
      </c>
      <c r="I899" s="4">
        <v>22.64</v>
      </c>
      <c r="J899" s="4">
        <v>61.86</v>
      </c>
      <c r="K899" s="3">
        <v>0</v>
      </c>
      <c r="L899" s="2" t="s">
        <v>2523</v>
      </c>
      <c r="M899" s="2" t="s">
        <v>2526</v>
      </c>
      <c r="N899" s="6">
        <f t="shared" si="56"/>
        <v>1</v>
      </c>
      <c r="O899" t="str">
        <f>IF(Tabla_control[[#This Row],[Control_duplicados]]&gt;1,"Duplicado","Unico")</f>
        <v>Unico</v>
      </c>
      <c r="P899" t="str">
        <f t="shared" si="57"/>
        <v>OK</v>
      </c>
      <c r="Q899" t="str">
        <f t="shared" si="58"/>
        <v>OK</v>
      </c>
      <c r="R899" t="str">
        <f t="shared" si="59"/>
        <v>OK</v>
      </c>
    </row>
    <row r="900" spans="1:18" x14ac:dyDescent="0.3">
      <c r="A900" s="1">
        <v>45875</v>
      </c>
      <c r="B900" s="2" t="s">
        <v>2622</v>
      </c>
      <c r="C900" s="2" t="s">
        <v>2515</v>
      </c>
      <c r="D900" s="2" t="s">
        <v>2531</v>
      </c>
      <c r="E900" s="2" t="s">
        <v>2517</v>
      </c>
      <c r="F900" s="3">
        <v>151208</v>
      </c>
      <c r="G900" s="3">
        <v>3658</v>
      </c>
      <c r="H900" s="3">
        <v>101</v>
      </c>
      <c r="I900" s="4">
        <v>5920.5</v>
      </c>
      <c r="J900" s="4">
        <v>10129.379999999999</v>
      </c>
      <c r="K900" s="3">
        <v>53</v>
      </c>
      <c r="L900" s="2" t="s">
        <v>2536</v>
      </c>
      <c r="M900" s="2" t="s">
        <v>2524</v>
      </c>
      <c r="N900" s="6">
        <f t="shared" si="56"/>
        <v>1</v>
      </c>
      <c r="O900" t="str">
        <f>IF(Tabla_control[[#This Row],[Control_duplicados]]&gt;1,"Duplicado","Unico")</f>
        <v>Unico</v>
      </c>
      <c r="P900" t="str">
        <f t="shared" si="57"/>
        <v>OK</v>
      </c>
      <c r="Q900" t="str">
        <f t="shared" si="58"/>
        <v>OK</v>
      </c>
      <c r="R900" t="str">
        <f t="shared" si="59"/>
        <v>OK</v>
      </c>
    </row>
    <row r="901" spans="1:18" x14ac:dyDescent="0.3">
      <c r="A901" s="1">
        <v>45723</v>
      </c>
      <c r="B901" s="2" t="s">
        <v>2636</v>
      </c>
      <c r="C901" s="2" t="s">
        <v>2543</v>
      </c>
      <c r="D901" s="2" t="s">
        <v>2531</v>
      </c>
      <c r="E901" s="2" t="s">
        <v>2517</v>
      </c>
      <c r="F901" s="3">
        <v>10518</v>
      </c>
      <c r="G901" s="3">
        <v>228</v>
      </c>
      <c r="H901" s="3">
        <v>4</v>
      </c>
      <c r="I901" s="4">
        <v>456.54</v>
      </c>
      <c r="J901" s="4">
        <v>592.45000000000005</v>
      </c>
      <c r="K901" s="3">
        <v>2</v>
      </c>
      <c r="L901" s="2" t="s">
        <v>2518</v>
      </c>
      <c r="M901" s="2" t="s">
        <v>2519</v>
      </c>
      <c r="N901" s="6">
        <f t="shared" si="56"/>
        <v>1</v>
      </c>
      <c r="O901" t="str">
        <f>IF(Tabla_control[[#This Row],[Control_duplicados]]&gt;1,"Duplicado","Unico")</f>
        <v>Unico</v>
      </c>
      <c r="P901" t="str">
        <f t="shared" si="57"/>
        <v>OK</v>
      </c>
      <c r="Q901" t="str">
        <f t="shared" si="58"/>
        <v>OK</v>
      </c>
      <c r="R901" t="str">
        <f t="shared" si="59"/>
        <v>OK</v>
      </c>
    </row>
    <row r="902" spans="1:18" x14ac:dyDescent="0.3">
      <c r="A902" s="1">
        <v>45860</v>
      </c>
      <c r="B902" s="2" t="s">
        <v>2622</v>
      </c>
      <c r="C902" s="2" t="s">
        <v>2541</v>
      </c>
      <c r="D902" s="2" t="s">
        <v>2522</v>
      </c>
      <c r="E902" s="2" t="s">
        <v>2529</v>
      </c>
      <c r="F902" s="3">
        <v>57099</v>
      </c>
      <c r="G902" s="3">
        <v>4595</v>
      </c>
      <c r="H902" s="3">
        <v>242</v>
      </c>
      <c r="I902" s="4">
        <v>8110.22</v>
      </c>
      <c r="J902" s="4">
        <v>21665.16</v>
      </c>
      <c r="K902" s="3">
        <v>121</v>
      </c>
      <c r="L902" s="2" t="s">
        <v>2536</v>
      </c>
      <c r="M902" s="2" t="s">
        <v>2519</v>
      </c>
      <c r="N902" s="6">
        <f t="shared" si="56"/>
        <v>2</v>
      </c>
      <c r="O902" t="str">
        <f>IF(Tabla_control[[#This Row],[Control_duplicados]]&gt;1,"Duplicado","Unico")</f>
        <v>Duplicado</v>
      </c>
      <c r="P902" t="str">
        <f t="shared" si="57"/>
        <v>OK</v>
      </c>
      <c r="Q902" t="str">
        <f t="shared" si="58"/>
        <v>OK</v>
      </c>
      <c r="R902" t="str">
        <f t="shared" si="59"/>
        <v>OK</v>
      </c>
    </row>
    <row r="903" spans="1:18" x14ac:dyDescent="0.3">
      <c r="A903" s="1">
        <v>45983</v>
      </c>
      <c r="B903" s="2" t="s">
        <v>2621</v>
      </c>
      <c r="C903" s="2" t="s">
        <v>2533</v>
      </c>
      <c r="D903" s="2" t="s">
        <v>2528</v>
      </c>
      <c r="E903" s="2" t="s">
        <v>2529</v>
      </c>
      <c r="F903" s="3">
        <v>126702</v>
      </c>
      <c r="G903" s="3">
        <v>8077</v>
      </c>
      <c r="H903" s="3">
        <v>468</v>
      </c>
      <c r="I903" s="4">
        <v>10547.52</v>
      </c>
      <c r="J903" s="4">
        <v>41953.11</v>
      </c>
      <c r="K903" s="3">
        <v>301</v>
      </c>
      <c r="L903" s="2" t="s">
        <v>2536</v>
      </c>
      <c r="M903" s="2" t="s">
        <v>2519</v>
      </c>
      <c r="N903" s="6">
        <f t="shared" si="56"/>
        <v>1</v>
      </c>
      <c r="O903" t="str">
        <f>IF(Tabla_control[[#This Row],[Control_duplicados]]&gt;1,"Duplicado","Unico")</f>
        <v>Unico</v>
      </c>
      <c r="P903" t="str">
        <f t="shared" si="57"/>
        <v>OK</v>
      </c>
      <c r="Q903" t="str">
        <f t="shared" si="58"/>
        <v>OK</v>
      </c>
      <c r="R903" t="str">
        <f t="shared" si="59"/>
        <v>OK</v>
      </c>
    </row>
    <row r="904" spans="1:18" x14ac:dyDescent="0.3">
      <c r="A904" s="1">
        <v>45768</v>
      </c>
      <c r="B904" s="2" t="s">
        <v>2628</v>
      </c>
      <c r="C904" s="2" t="s">
        <v>2527</v>
      </c>
      <c r="D904" s="2" t="s">
        <v>2516</v>
      </c>
      <c r="E904" s="2" t="s">
        <v>2529</v>
      </c>
      <c r="F904" s="3">
        <v>146066</v>
      </c>
      <c r="G904" s="3">
        <v>9997</v>
      </c>
      <c r="H904" s="3">
        <v>668</v>
      </c>
      <c r="I904" s="4">
        <v>1639.59</v>
      </c>
      <c r="J904" s="4">
        <v>60687.9</v>
      </c>
      <c r="K904" s="3">
        <v>501</v>
      </c>
      <c r="L904" s="2" t="s">
        <v>2539</v>
      </c>
      <c r="M904" s="2" t="s">
        <v>2524</v>
      </c>
      <c r="N904" s="6">
        <f t="shared" si="56"/>
        <v>1</v>
      </c>
      <c r="O904" t="str">
        <f>IF(Tabla_control[[#This Row],[Control_duplicados]]&gt;1,"Duplicado","Unico")</f>
        <v>Unico</v>
      </c>
      <c r="P904" t="str">
        <f t="shared" si="57"/>
        <v>OK</v>
      </c>
      <c r="Q904" t="str">
        <f t="shared" si="58"/>
        <v>OK</v>
      </c>
      <c r="R904" t="str">
        <f t="shared" si="59"/>
        <v>OK</v>
      </c>
    </row>
    <row r="905" spans="1:18" x14ac:dyDescent="0.3">
      <c r="A905" s="1">
        <v>45748</v>
      </c>
      <c r="B905" s="2" t="s">
        <v>2628</v>
      </c>
      <c r="C905" s="2" t="s">
        <v>2521</v>
      </c>
      <c r="D905" s="2" t="s">
        <v>2528</v>
      </c>
      <c r="E905" s="2" t="s">
        <v>2529</v>
      </c>
      <c r="F905" s="3">
        <v>55512</v>
      </c>
      <c r="G905" s="3">
        <v>393</v>
      </c>
      <c r="H905" s="3">
        <v>9</v>
      </c>
      <c r="I905" s="4">
        <v>530.29999999999995</v>
      </c>
      <c r="J905" s="4">
        <v>1904.01</v>
      </c>
      <c r="K905" s="3">
        <v>7</v>
      </c>
      <c r="L905" s="2" t="s">
        <v>2523</v>
      </c>
      <c r="M905" s="2" t="s">
        <v>2537</v>
      </c>
      <c r="N905" s="6">
        <f t="shared" si="56"/>
        <v>1</v>
      </c>
      <c r="O905" t="str">
        <f>IF(Tabla_control[[#This Row],[Control_duplicados]]&gt;1,"Duplicado","Unico")</f>
        <v>Unico</v>
      </c>
      <c r="P905" t="str">
        <f t="shared" si="57"/>
        <v>OK</v>
      </c>
      <c r="Q905" t="str">
        <f t="shared" si="58"/>
        <v>OK</v>
      </c>
      <c r="R905" t="str">
        <f t="shared" si="59"/>
        <v>OK</v>
      </c>
    </row>
    <row r="906" spans="1:18" x14ac:dyDescent="0.3">
      <c r="A906" s="1">
        <v>45761</v>
      </c>
      <c r="B906" s="2" t="s">
        <v>2615</v>
      </c>
      <c r="C906" s="2" t="s">
        <v>2533</v>
      </c>
      <c r="D906" s="2" t="s">
        <v>2528</v>
      </c>
      <c r="E906" s="2" t="s">
        <v>2529</v>
      </c>
      <c r="F906" s="3">
        <v>110027</v>
      </c>
      <c r="G906" s="3">
        <v>4061</v>
      </c>
      <c r="H906" s="3">
        <v>356</v>
      </c>
      <c r="I906" s="4">
        <v>7120.13</v>
      </c>
      <c r="J906" s="4">
        <v>66660.7</v>
      </c>
      <c r="K906" s="3">
        <v>243</v>
      </c>
      <c r="L906" s="2" t="s">
        <v>2523</v>
      </c>
      <c r="M906" s="2" t="s">
        <v>2524</v>
      </c>
      <c r="N906" s="6">
        <f t="shared" si="56"/>
        <v>1</v>
      </c>
      <c r="O906" t="str">
        <f>IF(Tabla_control[[#This Row],[Control_duplicados]]&gt;1,"Duplicado","Unico")</f>
        <v>Unico</v>
      </c>
      <c r="P906" t="str">
        <f t="shared" si="57"/>
        <v>OK</v>
      </c>
      <c r="Q906" t="str">
        <f t="shared" si="58"/>
        <v>OK</v>
      </c>
      <c r="R906" t="str">
        <f t="shared" si="59"/>
        <v>OK</v>
      </c>
    </row>
    <row r="907" spans="1:18" x14ac:dyDescent="0.3">
      <c r="A907" s="1">
        <v>45661</v>
      </c>
      <c r="B907" s="2" t="s">
        <v>2621</v>
      </c>
      <c r="C907" s="2" t="s">
        <v>2543</v>
      </c>
      <c r="D907" s="2" t="s">
        <v>2522</v>
      </c>
      <c r="E907" s="2" t="s">
        <v>2529</v>
      </c>
      <c r="F907" s="3">
        <v>176961</v>
      </c>
      <c r="G907" s="3">
        <v>7019</v>
      </c>
      <c r="H907" s="3">
        <v>901</v>
      </c>
      <c r="I907" s="4">
        <v>3594.73</v>
      </c>
      <c r="J907" s="4">
        <v>131335.76</v>
      </c>
      <c r="K907" s="3">
        <v>613</v>
      </c>
      <c r="L907" s="2" t="s">
        <v>2536</v>
      </c>
      <c r="M907" s="2" t="s">
        <v>2537</v>
      </c>
      <c r="N907" s="6">
        <f t="shared" si="56"/>
        <v>1</v>
      </c>
      <c r="O907" t="str">
        <f>IF(Tabla_control[[#This Row],[Control_duplicados]]&gt;1,"Duplicado","Unico")</f>
        <v>Unico</v>
      </c>
      <c r="P907" t="str">
        <f t="shared" si="57"/>
        <v>OK</v>
      </c>
      <c r="Q907" t="str">
        <f t="shared" si="58"/>
        <v>OK</v>
      </c>
      <c r="R907" t="str">
        <f t="shared" si="59"/>
        <v>OK</v>
      </c>
    </row>
    <row r="908" spans="1:18" x14ac:dyDescent="0.3">
      <c r="A908" s="1">
        <v>45789</v>
      </c>
      <c r="B908" s="2" t="s">
        <v>2621</v>
      </c>
      <c r="C908" s="2" t="s">
        <v>2645</v>
      </c>
      <c r="D908" s="2" t="s">
        <v>2528</v>
      </c>
      <c r="E908" s="2" t="s">
        <v>2517</v>
      </c>
      <c r="F908" s="3">
        <v>178864</v>
      </c>
      <c r="G908" s="3">
        <v>7632</v>
      </c>
      <c r="H908" s="3">
        <v>550</v>
      </c>
      <c r="I908" s="4">
        <v>14618.85</v>
      </c>
      <c r="J908" s="4">
        <v>117026.47</v>
      </c>
      <c r="K908" s="3">
        <v>373</v>
      </c>
      <c r="L908" s="2" t="s">
        <v>2539</v>
      </c>
      <c r="M908" s="2" t="s">
        <v>2526</v>
      </c>
      <c r="N908" s="6">
        <f t="shared" si="56"/>
        <v>1</v>
      </c>
      <c r="O908" t="str">
        <f>IF(Tabla_control[[#This Row],[Control_duplicados]]&gt;1,"Duplicado","Unico")</f>
        <v>Unico</v>
      </c>
      <c r="P908" t="str">
        <f t="shared" si="57"/>
        <v>OK</v>
      </c>
      <c r="Q908" t="str">
        <f t="shared" si="58"/>
        <v>OK</v>
      </c>
      <c r="R908" t="str">
        <f t="shared" si="59"/>
        <v>OK</v>
      </c>
    </row>
    <row r="909" spans="1:18" x14ac:dyDescent="0.3">
      <c r="A909" s="1">
        <v>45822</v>
      </c>
      <c r="B909" s="2" t="s">
        <v>2642</v>
      </c>
      <c r="C909" s="2" t="s">
        <v>2533</v>
      </c>
      <c r="D909" s="2" t="s">
        <v>2528</v>
      </c>
      <c r="E909" s="2" t="s">
        <v>2529</v>
      </c>
      <c r="F909" s="3">
        <v>53750</v>
      </c>
      <c r="G909" s="3">
        <v>405</v>
      </c>
      <c r="H909" s="3">
        <v>48</v>
      </c>
      <c r="I909" s="4">
        <v>484.88</v>
      </c>
      <c r="J909" s="4">
        <v>5727.46</v>
      </c>
      <c r="K909" s="3">
        <v>33</v>
      </c>
      <c r="L909" s="2" t="s">
        <v>2518</v>
      </c>
      <c r="M909" s="2" t="s">
        <v>2546</v>
      </c>
      <c r="N909" s="6">
        <f t="shared" si="56"/>
        <v>1</v>
      </c>
      <c r="O909" t="str">
        <f>IF(Tabla_control[[#This Row],[Control_duplicados]]&gt;1,"Duplicado","Unico")</f>
        <v>Unico</v>
      </c>
      <c r="P909" t="str">
        <f t="shared" si="57"/>
        <v>OK</v>
      </c>
      <c r="Q909" t="str">
        <f t="shared" si="58"/>
        <v>OK</v>
      </c>
      <c r="R909" t="str">
        <f t="shared" si="59"/>
        <v>OK</v>
      </c>
    </row>
    <row r="910" spans="1:18" x14ac:dyDescent="0.3">
      <c r="A910" s="1">
        <v>45909</v>
      </c>
      <c r="B910" s="2" t="s">
        <v>2634</v>
      </c>
      <c r="C910" s="2" t="s">
        <v>2527</v>
      </c>
      <c r="D910" s="2" t="s">
        <v>2516</v>
      </c>
      <c r="E910" s="2" t="s">
        <v>2529</v>
      </c>
      <c r="F910" s="3">
        <v>45842</v>
      </c>
      <c r="G910" s="3">
        <v>2244</v>
      </c>
      <c r="H910" s="3">
        <v>156</v>
      </c>
      <c r="I910" s="4">
        <v>4483.9399999999996</v>
      </c>
      <c r="J910" s="4">
        <v>32579.8</v>
      </c>
      <c r="K910" s="3">
        <v>127</v>
      </c>
      <c r="L910" s="2" t="s">
        <v>2539</v>
      </c>
      <c r="M910" s="2" t="s">
        <v>2546</v>
      </c>
      <c r="N910" s="6">
        <f t="shared" si="56"/>
        <v>1</v>
      </c>
      <c r="O910" t="str">
        <f>IF(Tabla_control[[#This Row],[Control_duplicados]]&gt;1,"Duplicado","Unico")</f>
        <v>Unico</v>
      </c>
      <c r="P910" t="str">
        <f t="shared" si="57"/>
        <v>OK</v>
      </c>
      <c r="Q910" t="str">
        <f t="shared" si="58"/>
        <v>OK</v>
      </c>
      <c r="R910" t="str">
        <f t="shared" si="59"/>
        <v>OK</v>
      </c>
    </row>
    <row r="911" spans="1:18" x14ac:dyDescent="0.3">
      <c r="A911" s="1">
        <v>45841</v>
      </c>
      <c r="B911" s="2" t="s">
        <v>2625</v>
      </c>
      <c r="C911" s="2" t="s">
        <v>2515</v>
      </c>
      <c r="D911" s="2" t="s">
        <v>2528</v>
      </c>
      <c r="E911" s="2" t="s">
        <v>2517</v>
      </c>
      <c r="F911" s="3">
        <v>29592</v>
      </c>
      <c r="G911" s="3">
        <v>386</v>
      </c>
      <c r="H911" s="3">
        <v>43</v>
      </c>
      <c r="I911" s="4">
        <v>349.73</v>
      </c>
      <c r="J911" s="4">
        <v>1037.7</v>
      </c>
      <c r="K911" s="3">
        <v>36</v>
      </c>
      <c r="L911" s="2" t="s">
        <v>2536</v>
      </c>
      <c r="M911" s="2" t="s">
        <v>2546</v>
      </c>
      <c r="N911" s="6">
        <f t="shared" si="56"/>
        <v>1</v>
      </c>
      <c r="O911" t="str">
        <f>IF(Tabla_control[[#This Row],[Control_duplicados]]&gt;1,"Duplicado","Unico")</f>
        <v>Unico</v>
      </c>
      <c r="P911" t="str">
        <f t="shared" si="57"/>
        <v>OK</v>
      </c>
      <c r="Q911" t="str">
        <f t="shared" si="58"/>
        <v>OK</v>
      </c>
      <c r="R911" t="str">
        <f t="shared" si="59"/>
        <v>OK</v>
      </c>
    </row>
    <row r="912" spans="1:18" x14ac:dyDescent="0.3">
      <c r="A912" s="1">
        <v>45690</v>
      </c>
      <c r="B912" s="2" t="s">
        <v>2616</v>
      </c>
      <c r="C912" s="2" t="s">
        <v>2533</v>
      </c>
      <c r="D912" s="2" t="s">
        <v>2516</v>
      </c>
      <c r="E912" s="2" t="s">
        <v>2517</v>
      </c>
      <c r="F912" s="3">
        <v>1939</v>
      </c>
      <c r="G912" s="3">
        <v>61</v>
      </c>
      <c r="H912" s="3">
        <v>7</v>
      </c>
      <c r="I912" s="4">
        <v>27.37</v>
      </c>
      <c r="J912" s="4">
        <v>717.61</v>
      </c>
      <c r="K912" s="3">
        <v>5</v>
      </c>
      <c r="L912" s="2" t="s">
        <v>2523</v>
      </c>
      <c r="M912" s="2" t="s">
        <v>2537</v>
      </c>
      <c r="N912" s="6">
        <f t="shared" si="56"/>
        <v>1</v>
      </c>
      <c r="O912" t="str">
        <f>IF(Tabla_control[[#This Row],[Control_duplicados]]&gt;1,"Duplicado","Unico")</f>
        <v>Unico</v>
      </c>
      <c r="P912" t="str">
        <f t="shared" si="57"/>
        <v>OK</v>
      </c>
      <c r="Q912" t="str">
        <f t="shared" si="58"/>
        <v>OK</v>
      </c>
      <c r="R912" t="str">
        <f t="shared" si="59"/>
        <v>OK</v>
      </c>
    </row>
    <row r="913" spans="1:18" x14ac:dyDescent="0.3">
      <c r="A913" s="1">
        <v>45908</v>
      </c>
      <c r="B913" s="2" t="s">
        <v>2630</v>
      </c>
      <c r="C913" s="2" t="s">
        <v>2515</v>
      </c>
      <c r="D913" s="2" t="s">
        <v>2516</v>
      </c>
      <c r="E913" s="2" t="s">
        <v>2529</v>
      </c>
      <c r="F913" s="3">
        <v>67678</v>
      </c>
      <c r="G913" s="3">
        <v>5109</v>
      </c>
      <c r="H913" s="3">
        <v>365</v>
      </c>
      <c r="I913" s="4">
        <v>5524.71</v>
      </c>
      <c r="J913" s="4">
        <v>60169.55</v>
      </c>
      <c r="K913" s="3">
        <v>187</v>
      </c>
      <c r="L913" s="2" t="s">
        <v>2539</v>
      </c>
      <c r="M913" s="2" t="s">
        <v>2524</v>
      </c>
      <c r="N913" s="6">
        <f t="shared" si="56"/>
        <v>1</v>
      </c>
      <c r="O913" t="str">
        <f>IF(Tabla_control[[#This Row],[Control_duplicados]]&gt;1,"Duplicado","Unico")</f>
        <v>Unico</v>
      </c>
      <c r="P913" t="str">
        <f t="shared" si="57"/>
        <v>OK</v>
      </c>
      <c r="Q913" t="str">
        <f t="shared" si="58"/>
        <v>OK</v>
      </c>
      <c r="R913" t="str">
        <f t="shared" si="59"/>
        <v>OK</v>
      </c>
    </row>
    <row r="914" spans="1:18" x14ac:dyDescent="0.3">
      <c r="A914" s="1">
        <v>45820</v>
      </c>
      <c r="B914" s="2" t="s">
        <v>2623</v>
      </c>
      <c r="C914" s="2" t="s">
        <v>2533</v>
      </c>
      <c r="D914" s="2" t="s">
        <v>2528</v>
      </c>
      <c r="E914" s="2" t="s">
        <v>2517</v>
      </c>
      <c r="F914" s="3">
        <v>108168</v>
      </c>
      <c r="G914" s="3">
        <v>2481</v>
      </c>
      <c r="H914" s="3">
        <v>241</v>
      </c>
      <c r="I914" s="4">
        <v>4824.9799999999996</v>
      </c>
      <c r="J914" s="4">
        <v>18509.439999999999</v>
      </c>
      <c r="K914" s="3">
        <v>149</v>
      </c>
      <c r="L914" s="2" t="s">
        <v>2523</v>
      </c>
      <c r="M914" s="2" t="s">
        <v>2526</v>
      </c>
      <c r="N914" s="6">
        <f t="shared" si="56"/>
        <v>1</v>
      </c>
      <c r="O914" t="str">
        <f>IF(Tabla_control[[#This Row],[Control_duplicados]]&gt;1,"Duplicado","Unico")</f>
        <v>Unico</v>
      </c>
      <c r="P914" t="str">
        <f t="shared" si="57"/>
        <v>OK</v>
      </c>
      <c r="Q914" t="str">
        <f t="shared" si="58"/>
        <v>OK</v>
      </c>
      <c r="R914" t="str">
        <f t="shared" si="59"/>
        <v>OK</v>
      </c>
    </row>
    <row r="915" spans="1:18" x14ac:dyDescent="0.3">
      <c r="A915" s="1">
        <v>45953</v>
      </c>
      <c r="B915" s="2" t="s">
        <v>2636</v>
      </c>
      <c r="C915" s="2" t="s">
        <v>2541</v>
      </c>
      <c r="D915" s="2" t="s">
        <v>2522</v>
      </c>
      <c r="E915" s="2" t="s">
        <v>2517</v>
      </c>
      <c r="F915" s="3">
        <v>43572</v>
      </c>
      <c r="G915" s="3">
        <v>855</v>
      </c>
      <c r="H915" s="3">
        <v>27</v>
      </c>
      <c r="I915" s="4">
        <v>541.9</v>
      </c>
      <c r="J915" s="4">
        <v>745.3</v>
      </c>
      <c r="K915" s="3">
        <v>12</v>
      </c>
      <c r="L915" s="2" t="s">
        <v>2536</v>
      </c>
      <c r="M915" s="2" t="s">
        <v>2519</v>
      </c>
      <c r="N915" s="6">
        <f t="shared" si="56"/>
        <v>1</v>
      </c>
      <c r="O915" t="str">
        <f>IF(Tabla_control[[#This Row],[Control_duplicados]]&gt;1,"Duplicado","Unico")</f>
        <v>Unico</v>
      </c>
      <c r="P915" t="str">
        <f t="shared" si="57"/>
        <v>OK</v>
      </c>
      <c r="Q915" t="str">
        <f t="shared" si="58"/>
        <v>OK</v>
      </c>
      <c r="R915" t="str">
        <f t="shared" si="59"/>
        <v>OK</v>
      </c>
    </row>
    <row r="916" spans="1:18" x14ac:dyDescent="0.3">
      <c r="A916" s="1">
        <v>45748</v>
      </c>
      <c r="B916" s="2" t="s">
        <v>2625</v>
      </c>
      <c r="C916" s="2" t="s">
        <v>2515</v>
      </c>
      <c r="D916" s="2" t="s">
        <v>2531</v>
      </c>
      <c r="E916" s="2" t="s">
        <v>2529</v>
      </c>
      <c r="F916" s="3">
        <v>16376</v>
      </c>
      <c r="G916" s="3">
        <v>747</v>
      </c>
      <c r="H916" s="3">
        <v>95</v>
      </c>
      <c r="I916" s="4">
        <v>1162.71</v>
      </c>
      <c r="J916" s="4">
        <v>4441.5</v>
      </c>
      <c r="K916" s="3">
        <v>51</v>
      </c>
      <c r="L916" s="2" t="s">
        <v>2518</v>
      </c>
      <c r="M916" s="2" t="s">
        <v>2519</v>
      </c>
      <c r="N916" s="6">
        <f t="shared" si="56"/>
        <v>1</v>
      </c>
      <c r="O916" t="str">
        <f>IF(Tabla_control[[#This Row],[Control_duplicados]]&gt;1,"Duplicado","Unico")</f>
        <v>Unico</v>
      </c>
      <c r="P916" t="str">
        <f t="shared" si="57"/>
        <v>OK</v>
      </c>
      <c r="Q916" t="str">
        <f t="shared" si="58"/>
        <v>OK</v>
      </c>
      <c r="R916" t="str">
        <f t="shared" si="59"/>
        <v>OK</v>
      </c>
    </row>
    <row r="917" spans="1:18" x14ac:dyDescent="0.3">
      <c r="A917" s="1">
        <v>45664</v>
      </c>
      <c r="B917" s="2" t="s">
        <v>2631</v>
      </c>
      <c r="C917" s="2" t="s">
        <v>2521</v>
      </c>
      <c r="D917" s="2" t="s">
        <v>2528</v>
      </c>
      <c r="E917" s="2" t="s">
        <v>2529</v>
      </c>
      <c r="F917" s="3">
        <v>135844</v>
      </c>
      <c r="G917" s="3">
        <v>5901</v>
      </c>
      <c r="H917" s="3">
        <v>428</v>
      </c>
      <c r="I917" s="4">
        <v>6080.53</v>
      </c>
      <c r="J917" s="4">
        <v>83659.13</v>
      </c>
      <c r="K917" s="3">
        <v>336</v>
      </c>
      <c r="L917" s="2" t="s">
        <v>2539</v>
      </c>
      <c r="M917" s="2" t="s">
        <v>2524</v>
      </c>
      <c r="N917" s="6">
        <f t="shared" si="56"/>
        <v>1</v>
      </c>
      <c r="O917" t="str">
        <f>IF(Tabla_control[[#This Row],[Control_duplicados]]&gt;1,"Duplicado","Unico")</f>
        <v>Unico</v>
      </c>
      <c r="P917" t="str">
        <f t="shared" si="57"/>
        <v>OK</v>
      </c>
      <c r="Q917" t="str">
        <f t="shared" si="58"/>
        <v>OK</v>
      </c>
      <c r="R917" t="str">
        <f t="shared" si="59"/>
        <v>OK</v>
      </c>
    </row>
    <row r="918" spans="1:18" x14ac:dyDescent="0.3">
      <c r="A918" s="1">
        <v>46015</v>
      </c>
      <c r="B918" s="2" t="s">
        <v>2629</v>
      </c>
      <c r="C918" s="2" t="s">
        <v>2533</v>
      </c>
      <c r="D918" s="2" t="s">
        <v>2528</v>
      </c>
      <c r="E918" s="2" t="s">
        <v>2517</v>
      </c>
      <c r="F918" s="3">
        <v>119856</v>
      </c>
      <c r="G918" s="3">
        <v>4321</v>
      </c>
      <c r="H918" s="3">
        <v>120</v>
      </c>
      <c r="I918" s="4">
        <v>3274.3</v>
      </c>
      <c r="J918" s="4">
        <v>25285.24</v>
      </c>
      <c r="K918" s="3">
        <v>93</v>
      </c>
      <c r="L918" s="2" t="s">
        <v>2518</v>
      </c>
      <c r="M918" s="2" t="s">
        <v>2519</v>
      </c>
      <c r="N918" s="6">
        <f t="shared" si="56"/>
        <v>1</v>
      </c>
      <c r="O918" t="str">
        <f>IF(Tabla_control[[#This Row],[Control_duplicados]]&gt;1,"Duplicado","Unico")</f>
        <v>Unico</v>
      </c>
      <c r="P918" t="str">
        <f t="shared" si="57"/>
        <v>OK</v>
      </c>
      <c r="Q918" t="str">
        <f t="shared" si="58"/>
        <v>OK</v>
      </c>
      <c r="R918" t="str">
        <f t="shared" si="59"/>
        <v>OK</v>
      </c>
    </row>
    <row r="919" spans="1:18" x14ac:dyDescent="0.3">
      <c r="A919" s="1">
        <v>45720</v>
      </c>
      <c r="B919" s="2" t="s">
        <v>2642</v>
      </c>
      <c r="C919" s="2" t="s">
        <v>2533</v>
      </c>
      <c r="D919" s="2" t="s">
        <v>2522</v>
      </c>
      <c r="E919" s="2" t="s">
        <v>2517</v>
      </c>
      <c r="F919" s="3">
        <v>56129</v>
      </c>
      <c r="G919" s="3">
        <v>2143</v>
      </c>
      <c r="H919" s="3">
        <v>276</v>
      </c>
      <c r="I919" s="4">
        <v>1240.8399999999999</v>
      </c>
      <c r="J919" s="4">
        <v>33875.72</v>
      </c>
      <c r="K919" s="3">
        <v>233</v>
      </c>
      <c r="L919" s="2" t="s">
        <v>2523</v>
      </c>
      <c r="M919" s="2" t="s">
        <v>2519</v>
      </c>
      <c r="N919" s="6">
        <f t="shared" si="56"/>
        <v>1</v>
      </c>
      <c r="O919" t="str">
        <f>IF(Tabla_control[[#This Row],[Control_duplicados]]&gt;1,"Duplicado","Unico")</f>
        <v>Unico</v>
      </c>
      <c r="P919" t="str">
        <f t="shared" si="57"/>
        <v>OK</v>
      </c>
      <c r="Q919" t="str">
        <f t="shared" si="58"/>
        <v>OK</v>
      </c>
      <c r="R919" t="str">
        <f t="shared" si="59"/>
        <v>OK</v>
      </c>
    </row>
    <row r="920" spans="1:18" x14ac:dyDescent="0.3">
      <c r="A920" s="1">
        <v>45972</v>
      </c>
      <c r="B920" s="2" t="s">
        <v>2631</v>
      </c>
      <c r="C920" s="2" t="s">
        <v>2521</v>
      </c>
      <c r="D920" s="2" t="s">
        <v>2516</v>
      </c>
      <c r="E920" s="2" t="s">
        <v>2517</v>
      </c>
      <c r="F920" s="3">
        <v>102749</v>
      </c>
      <c r="G920" s="3">
        <v>2923</v>
      </c>
      <c r="H920" s="3">
        <v>174</v>
      </c>
      <c r="I920" s="4">
        <v>2753.92</v>
      </c>
      <c r="J920" s="4">
        <v>19133.05</v>
      </c>
      <c r="K920" s="3">
        <v>121</v>
      </c>
      <c r="L920" s="2" t="s">
        <v>2539</v>
      </c>
      <c r="M920" s="2" t="s">
        <v>2546</v>
      </c>
      <c r="N920" s="6">
        <f t="shared" si="56"/>
        <v>1</v>
      </c>
      <c r="O920" t="str">
        <f>IF(Tabla_control[[#This Row],[Control_duplicados]]&gt;1,"Duplicado","Unico")</f>
        <v>Unico</v>
      </c>
      <c r="P920" t="str">
        <f t="shared" si="57"/>
        <v>OK</v>
      </c>
      <c r="Q920" t="str">
        <f t="shared" si="58"/>
        <v>OK</v>
      </c>
      <c r="R920" t="str">
        <f t="shared" si="59"/>
        <v>OK</v>
      </c>
    </row>
    <row r="921" spans="1:18" x14ac:dyDescent="0.3">
      <c r="A921" s="1">
        <v>45816</v>
      </c>
      <c r="B921" s="2" t="s">
        <v>2622</v>
      </c>
      <c r="C921" s="2" t="s">
        <v>2543</v>
      </c>
      <c r="D921" s="2" t="s">
        <v>2528</v>
      </c>
      <c r="E921" s="2" t="s">
        <v>2529</v>
      </c>
      <c r="F921" s="3">
        <v>65327</v>
      </c>
      <c r="G921" s="3">
        <v>853</v>
      </c>
      <c r="H921" s="3">
        <v>68</v>
      </c>
      <c r="I921" s="4">
        <v>299.35000000000002</v>
      </c>
      <c r="J921" s="4">
        <v>2223.89</v>
      </c>
      <c r="K921" s="3">
        <v>33</v>
      </c>
      <c r="L921" s="2" t="s">
        <v>2523</v>
      </c>
      <c r="M921" s="2" t="s">
        <v>2519</v>
      </c>
      <c r="N921" s="6">
        <f t="shared" si="56"/>
        <v>1</v>
      </c>
      <c r="O921" t="str">
        <f>IF(Tabla_control[[#This Row],[Control_duplicados]]&gt;1,"Duplicado","Unico")</f>
        <v>Unico</v>
      </c>
      <c r="P921" t="str">
        <f t="shared" si="57"/>
        <v>OK</v>
      </c>
      <c r="Q921" t="str">
        <f t="shared" si="58"/>
        <v>OK</v>
      </c>
      <c r="R921" t="str">
        <f t="shared" si="59"/>
        <v>OK</v>
      </c>
    </row>
    <row r="922" spans="1:18" x14ac:dyDescent="0.3">
      <c r="A922" s="1">
        <v>45827</v>
      </c>
      <c r="B922" s="2" t="s">
        <v>2636</v>
      </c>
      <c r="C922" s="2" t="s">
        <v>2543</v>
      </c>
      <c r="D922" s="2" t="s">
        <v>2522</v>
      </c>
      <c r="E922" s="2" t="s">
        <v>2529</v>
      </c>
      <c r="F922" s="3">
        <v>20180</v>
      </c>
      <c r="G922" s="3">
        <v>1525</v>
      </c>
      <c r="H922" s="3">
        <v>134</v>
      </c>
      <c r="I922" s="4">
        <v>1631.74</v>
      </c>
      <c r="J922" s="4">
        <v>5491.03</v>
      </c>
      <c r="K922" s="3">
        <v>88</v>
      </c>
      <c r="L922" s="2" t="s">
        <v>2536</v>
      </c>
      <c r="M922" s="2" t="s">
        <v>2524</v>
      </c>
      <c r="N922" s="6">
        <f t="shared" si="56"/>
        <v>1</v>
      </c>
      <c r="O922" t="str">
        <f>IF(Tabla_control[[#This Row],[Control_duplicados]]&gt;1,"Duplicado","Unico")</f>
        <v>Unico</v>
      </c>
      <c r="P922" t="str">
        <f t="shared" si="57"/>
        <v>OK</v>
      </c>
      <c r="Q922" t="str">
        <f t="shared" si="58"/>
        <v>OK</v>
      </c>
      <c r="R922" t="str">
        <f t="shared" si="59"/>
        <v>OK</v>
      </c>
    </row>
    <row r="923" spans="1:18" x14ac:dyDescent="0.3">
      <c r="A923" s="1">
        <v>45686</v>
      </c>
      <c r="B923" s="2" t="s">
        <v>2626</v>
      </c>
      <c r="C923" s="2" t="s">
        <v>2533</v>
      </c>
      <c r="D923" s="2" t="s">
        <v>2516</v>
      </c>
      <c r="E923" s="2" t="s">
        <v>2529</v>
      </c>
      <c r="F923" s="3">
        <v>127695</v>
      </c>
      <c r="G923" s="3">
        <v>2682</v>
      </c>
      <c r="H923" s="3">
        <v>371</v>
      </c>
      <c r="I923" s="4">
        <v>2925.87</v>
      </c>
      <c r="J923" s="4">
        <v>79919.12</v>
      </c>
      <c r="K923" s="3">
        <v>184</v>
      </c>
      <c r="L923" s="2" t="s">
        <v>2523</v>
      </c>
      <c r="M923" s="2" t="s">
        <v>2519</v>
      </c>
      <c r="N923" s="6">
        <f t="shared" si="56"/>
        <v>1</v>
      </c>
      <c r="O923" t="str">
        <f>IF(Tabla_control[[#This Row],[Control_duplicados]]&gt;1,"Duplicado","Unico")</f>
        <v>Unico</v>
      </c>
      <c r="P923" t="str">
        <f t="shared" si="57"/>
        <v>OK</v>
      </c>
      <c r="Q923" t="str">
        <f t="shared" si="58"/>
        <v>OK</v>
      </c>
      <c r="R923" t="str">
        <f t="shared" si="59"/>
        <v>OK</v>
      </c>
    </row>
    <row r="924" spans="1:18" x14ac:dyDescent="0.3">
      <c r="A924" s="1">
        <v>45967</v>
      </c>
      <c r="B924" s="2" t="s">
        <v>2644</v>
      </c>
      <c r="C924" s="2" t="s">
        <v>2527</v>
      </c>
      <c r="D924" s="2" t="s">
        <v>2516</v>
      </c>
      <c r="E924" s="2" t="s">
        <v>2529</v>
      </c>
      <c r="F924" s="3">
        <v>43676</v>
      </c>
      <c r="G924" s="3">
        <v>502</v>
      </c>
      <c r="H924" s="3">
        <v>49</v>
      </c>
      <c r="I924" s="4">
        <v>1034.0899999999999</v>
      </c>
      <c r="J924" s="4">
        <v>5107.08</v>
      </c>
      <c r="K924" s="3">
        <v>39</v>
      </c>
      <c r="L924" s="2" t="s">
        <v>2539</v>
      </c>
      <c r="M924" s="2" t="s">
        <v>2546</v>
      </c>
      <c r="N924" s="6">
        <f t="shared" si="56"/>
        <v>1</v>
      </c>
      <c r="O924" t="str">
        <f>IF(Tabla_control[[#This Row],[Control_duplicados]]&gt;1,"Duplicado","Unico")</f>
        <v>Unico</v>
      </c>
      <c r="P924" t="str">
        <f t="shared" si="57"/>
        <v>OK</v>
      </c>
      <c r="Q924" t="str">
        <f t="shared" si="58"/>
        <v>OK</v>
      </c>
      <c r="R924" t="str">
        <f t="shared" si="59"/>
        <v>OK</v>
      </c>
    </row>
    <row r="925" spans="1:18" x14ac:dyDescent="0.3">
      <c r="A925" s="1">
        <v>45714</v>
      </c>
      <c r="B925" s="2" t="s">
        <v>2640</v>
      </c>
      <c r="C925" s="2" t="s">
        <v>2541</v>
      </c>
      <c r="D925" s="2" t="s">
        <v>2525</v>
      </c>
      <c r="E925" s="2" t="s">
        <v>2517</v>
      </c>
      <c r="F925" s="3">
        <v>118766</v>
      </c>
      <c r="G925" s="3">
        <v>4593</v>
      </c>
      <c r="H925" s="3">
        <v>520</v>
      </c>
      <c r="I925" s="4">
        <v>4356.34</v>
      </c>
      <c r="J925" s="4">
        <v>89118.87</v>
      </c>
      <c r="K925" s="3">
        <v>320</v>
      </c>
      <c r="L925" s="2" t="s">
        <v>2536</v>
      </c>
      <c r="M925" s="2" t="s">
        <v>2524</v>
      </c>
      <c r="N925" s="6">
        <f t="shared" si="56"/>
        <v>1</v>
      </c>
      <c r="O925" t="str">
        <f>IF(Tabla_control[[#This Row],[Control_duplicados]]&gt;1,"Duplicado","Unico")</f>
        <v>Unico</v>
      </c>
      <c r="P925" t="str">
        <f t="shared" si="57"/>
        <v>OK</v>
      </c>
      <c r="Q925" t="str">
        <f t="shared" si="58"/>
        <v>OK</v>
      </c>
      <c r="R925" t="str">
        <f t="shared" si="59"/>
        <v>OK</v>
      </c>
    </row>
    <row r="926" spans="1:18" x14ac:dyDescent="0.3">
      <c r="A926" s="1">
        <v>45768</v>
      </c>
      <c r="B926" s="2" t="s">
        <v>2626</v>
      </c>
      <c r="C926" s="2" t="s">
        <v>2527</v>
      </c>
      <c r="D926" s="2" t="s">
        <v>2516</v>
      </c>
      <c r="E926" s="2" t="s">
        <v>2529</v>
      </c>
      <c r="F926" s="3">
        <v>84095</v>
      </c>
      <c r="G926" s="3">
        <v>6867</v>
      </c>
      <c r="H926" s="3">
        <v>237</v>
      </c>
      <c r="I926" s="4">
        <v>5383.68</v>
      </c>
      <c r="J926" s="4">
        <v>5268.54</v>
      </c>
      <c r="K926" s="3">
        <v>138</v>
      </c>
      <c r="L926" s="2" t="s">
        <v>2539</v>
      </c>
      <c r="M926" s="2" t="s">
        <v>2526</v>
      </c>
      <c r="N926" s="6">
        <f t="shared" si="56"/>
        <v>1</v>
      </c>
      <c r="O926" t="str">
        <f>IF(Tabla_control[[#This Row],[Control_duplicados]]&gt;1,"Duplicado","Unico")</f>
        <v>Unico</v>
      </c>
      <c r="P926" t="str">
        <f t="shared" si="57"/>
        <v>OK</v>
      </c>
      <c r="Q926" t="str">
        <f t="shared" si="58"/>
        <v>OK</v>
      </c>
      <c r="R926" t="str">
        <f t="shared" si="59"/>
        <v>OK</v>
      </c>
    </row>
    <row r="927" spans="1:18" x14ac:dyDescent="0.3">
      <c r="A927" s="1">
        <v>45829</v>
      </c>
      <c r="B927" s="2" t="s">
        <v>2639</v>
      </c>
      <c r="C927" s="2" t="s">
        <v>2521</v>
      </c>
      <c r="D927" s="2" t="s">
        <v>2525</v>
      </c>
      <c r="E927" s="2" t="s">
        <v>2517</v>
      </c>
      <c r="F927" s="3">
        <v>135724</v>
      </c>
      <c r="G927" s="3">
        <v>9134</v>
      </c>
      <c r="H927" s="3">
        <v>795</v>
      </c>
      <c r="I927" s="4">
        <v>11725.82</v>
      </c>
      <c r="J927" s="4">
        <v>82149.09</v>
      </c>
      <c r="K927" s="3">
        <v>663</v>
      </c>
      <c r="L927" s="2" t="s">
        <v>2518</v>
      </c>
      <c r="M927" s="2" t="s">
        <v>2537</v>
      </c>
      <c r="N927" s="6">
        <f t="shared" si="56"/>
        <v>1</v>
      </c>
      <c r="O927" t="str">
        <f>IF(Tabla_control[[#This Row],[Control_duplicados]]&gt;1,"Duplicado","Unico")</f>
        <v>Unico</v>
      </c>
      <c r="P927" t="str">
        <f t="shared" si="57"/>
        <v>OK</v>
      </c>
      <c r="Q927" t="str">
        <f t="shared" si="58"/>
        <v>OK</v>
      </c>
      <c r="R927" t="str">
        <f t="shared" si="59"/>
        <v>OK</v>
      </c>
    </row>
    <row r="928" spans="1:18" x14ac:dyDescent="0.3">
      <c r="A928" s="1">
        <v>46004</v>
      </c>
      <c r="B928" s="2" t="s">
        <v>2636</v>
      </c>
      <c r="C928" s="2" t="s">
        <v>2543</v>
      </c>
      <c r="D928" s="2" t="s">
        <v>2528</v>
      </c>
      <c r="E928" s="2" t="s">
        <v>2517</v>
      </c>
      <c r="F928" s="3">
        <v>16260</v>
      </c>
      <c r="G928" s="3">
        <v>600</v>
      </c>
      <c r="H928" s="3">
        <v>62</v>
      </c>
      <c r="I928" s="4">
        <v>564.33000000000004</v>
      </c>
      <c r="J928" s="4">
        <v>2334.1</v>
      </c>
      <c r="K928" s="3">
        <v>47</v>
      </c>
      <c r="L928" s="2" t="s">
        <v>2539</v>
      </c>
      <c r="M928" s="2" t="s">
        <v>2524</v>
      </c>
      <c r="N928" s="6">
        <f t="shared" si="56"/>
        <v>1</v>
      </c>
      <c r="O928" t="str">
        <f>IF(Tabla_control[[#This Row],[Control_duplicados]]&gt;1,"Duplicado","Unico")</f>
        <v>Unico</v>
      </c>
      <c r="P928" t="str">
        <f t="shared" si="57"/>
        <v>OK</v>
      </c>
      <c r="Q928" t="str">
        <f t="shared" si="58"/>
        <v>OK</v>
      </c>
      <c r="R928" t="str">
        <f t="shared" si="59"/>
        <v>OK</v>
      </c>
    </row>
    <row r="929" spans="1:18" x14ac:dyDescent="0.3">
      <c r="A929" s="1">
        <v>45997</v>
      </c>
      <c r="B929" s="2" t="s">
        <v>2634</v>
      </c>
      <c r="C929" s="2" t="s">
        <v>2541</v>
      </c>
      <c r="D929" s="2" t="s">
        <v>2531</v>
      </c>
      <c r="E929" s="2" t="s">
        <v>2517</v>
      </c>
      <c r="F929" s="3">
        <v>67299</v>
      </c>
      <c r="G929" s="3">
        <v>4163</v>
      </c>
      <c r="H929" s="3">
        <v>551</v>
      </c>
      <c r="I929" s="4">
        <v>6208.27</v>
      </c>
      <c r="J929" s="4">
        <v>105171.1</v>
      </c>
      <c r="K929" s="3">
        <v>380</v>
      </c>
      <c r="L929" s="2" t="s">
        <v>2523</v>
      </c>
      <c r="M929" s="2" t="s">
        <v>2526</v>
      </c>
      <c r="N929" s="6">
        <f t="shared" si="56"/>
        <v>1</v>
      </c>
      <c r="O929" t="str">
        <f>IF(Tabla_control[[#This Row],[Control_duplicados]]&gt;1,"Duplicado","Unico")</f>
        <v>Unico</v>
      </c>
      <c r="P929" t="str">
        <f t="shared" si="57"/>
        <v>OK</v>
      </c>
      <c r="Q929" t="str">
        <f t="shared" si="58"/>
        <v>OK</v>
      </c>
      <c r="R929" t="str">
        <f t="shared" si="59"/>
        <v>OK</v>
      </c>
    </row>
    <row r="930" spans="1:18" x14ac:dyDescent="0.3">
      <c r="A930" s="1">
        <v>45904</v>
      </c>
      <c r="B930" s="2" t="s">
        <v>2621</v>
      </c>
      <c r="C930" s="2" t="s">
        <v>2521</v>
      </c>
      <c r="D930" s="2" t="s">
        <v>2525</v>
      </c>
      <c r="E930" s="2" t="s">
        <v>2517</v>
      </c>
      <c r="F930" s="3">
        <v>145595</v>
      </c>
      <c r="G930" s="3">
        <v>10086</v>
      </c>
      <c r="H930" s="3">
        <v>289</v>
      </c>
      <c r="I930" s="4">
        <v>11230.84</v>
      </c>
      <c r="J930" s="4">
        <v>51346.75</v>
      </c>
      <c r="K930" s="3">
        <v>206</v>
      </c>
      <c r="L930" s="2" t="s">
        <v>2536</v>
      </c>
      <c r="M930" s="2" t="s">
        <v>2524</v>
      </c>
      <c r="N930" s="6">
        <f t="shared" si="56"/>
        <v>1</v>
      </c>
      <c r="O930" t="str">
        <f>IF(Tabla_control[[#This Row],[Control_duplicados]]&gt;1,"Duplicado","Unico")</f>
        <v>Unico</v>
      </c>
      <c r="P930" t="str">
        <f t="shared" si="57"/>
        <v>OK</v>
      </c>
      <c r="Q930" t="str">
        <f t="shared" si="58"/>
        <v>OK</v>
      </c>
      <c r="R930" t="str">
        <f t="shared" si="59"/>
        <v>OK</v>
      </c>
    </row>
    <row r="931" spans="1:18" x14ac:dyDescent="0.3">
      <c r="A931" s="1">
        <v>45831</v>
      </c>
      <c r="B931" s="2" t="s">
        <v>2615</v>
      </c>
      <c r="C931" s="2" t="s">
        <v>2527</v>
      </c>
      <c r="D931" s="2" t="s">
        <v>2516</v>
      </c>
      <c r="E931" s="2" t="s">
        <v>2529</v>
      </c>
      <c r="F931" s="3">
        <v>43054</v>
      </c>
      <c r="G931" s="3">
        <v>3746</v>
      </c>
      <c r="H931" s="3">
        <v>329</v>
      </c>
      <c r="I931" s="4">
        <v>1758.72</v>
      </c>
      <c r="J931" s="4">
        <v>34222.61</v>
      </c>
      <c r="K931" s="3">
        <v>241</v>
      </c>
      <c r="L931" s="2" t="s">
        <v>2518</v>
      </c>
      <c r="M931" s="2" t="s">
        <v>2519</v>
      </c>
      <c r="N931" s="6">
        <f t="shared" si="56"/>
        <v>1</v>
      </c>
      <c r="O931" t="str">
        <f>IF(Tabla_control[[#This Row],[Control_duplicados]]&gt;1,"Duplicado","Unico")</f>
        <v>Unico</v>
      </c>
      <c r="P931" t="str">
        <f t="shared" si="57"/>
        <v>OK</v>
      </c>
      <c r="Q931" t="str">
        <f t="shared" si="58"/>
        <v>OK</v>
      </c>
      <c r="R931" t="str">
        <f t="shared" si="59"/>
        <v>OK</v>
      </c>
    </row>
    <row r="932" spans="1:18" x14ac:dyDescent="0.3">
      <c r="A932" s="1">
        <v>46019</v>
      </c>
      <c r="B932" s="2" t="s">
        <v>2633</v>
      </c>
      <c r="C932" s="2" t="s">
        <v>2515</v>
      </c>
      <c r="D932" s="2" t="s">
        <v>2528</v>
      </c>
      <c r="E932" s="2" t="s">
        <v>2517</v>
      </c>
      <c r="F932" s="3">
        <v>86400</v>
      </c>
      <c r="G932" s="3">
        <v>5532</v>
      </c>
      <c r="H932" s="3">
        <v>49</v>
      </c>
      <c r="I932" s="4">
        <v>7536.52</v>
      </c>
      <c r="J932" s="4">
        <v>875.85</v>
      </c>
      <c r="K932" s="3">
        <v>38</v>
      </c>
      <c r="L932" s="2" t="s">
        <v>2536</v>
      </c>
      <c r="M932" s="2" t="s">
        <v>2524</v>
      </c>
      <c r="N932" s="6">
        <f t="shared" si="56"/>
        <v>1</v>
      </c>
      <c r="O932" t="str">
        <f>IF(Tabla_control[[#This Row],[Control_duplicados]]&gt;1,"Duplicado","Unico")</f>
        <v>Unico</v>
      </c>
      <c r="P932" t="str">
        <f t="shared" si="57"/>
        <v>OK</v>
      </c>
      <c r="Q932" t="str">
        <f t="shared" si="58"/>
        <v>OK</v>
      </c>
      <c r="R932" t="str">
        <f t="shared" si="59"/>
        <v>OK</v>
      </c>
    </row>
    <row r="933" spans="1:18" x14ac:dyDescent="0.3">
      <c r="A933" s="1">
        <v>45859</v>
      </c>
      <c r="B933" s="2" t="s">
        <v>2632</v>
      </c>
      <c r="C933" s="2" t="s">
        <v>2533</v>
      </c>
      <c r="D933" s="2" t="s">
        <v>2525</v>
      </c>
      <c r="E933" s="2" t="s">
        <v>2517</v>
      </c>
      <c r="F933" s="3">
        <v>28562</v>
      </c>
      <c r="G933" s="3">
        <v>288</v>
      </c>
      <c r="H933" s="3">
        <v>38</v>
      </c>
      <c r="I933" s="4">
        <v>92.28</v>
      </c>
      <c r="J933" s="4">
        <v>7097.44</v>
      </c>
      <c r="K933" s="3">
        <v>29</v>
      </c>
      <c r="L933" s="2" t="s">
        <v>2536</v>
      </c>
      <c r="M933" s="2" t="s">
        <v>2524</v>
      </c>
      <c r="N933" s="6">
        <f t="shared" si="56"/>
        <v>1</v>
      </c>
      <c r="O933" t="str">
        <f>IF(Tabla_control[[#This Row],[Control_duplicados]]&gt;1,"Duplicado","Unico")</f>
        <v>Unico</v>
      </c>
      <c r="P933" t="str">
        <f t="shared" si="57"/>
        <v>OK</v>
      </c>
      <c r="Q933" t="str">
        <f t="shared" si="58"/>
        <v>OK</v>
      </c>
      <c r="R933" t="str">
        <f t="shared" si="59"/>
        <v>OK</v>
      </c>
    </row>
    <row r="934" spans="1:18" x14ac:dyDescent="0.3">
      <c r="A934" s="1">
        <v>45915</v>
      </c>
      <c r="B934" s="2" t="s">
        <v>2635</v>
      </c>
      <c r="C934" s="2" t="s">
        <v>2515</v>
      </c>
      <c r="D934" s="2" t="s">
        <v>2516</v>
      </c>
      <c r="E934" s="2" t="s">
        <v>2517</v>
      </c>
      <c r="F934" s="3">
        <v>27834</v>
      </c>
      <c r="G934" s="3">
        <v>124</v>
      </c>
      <c r="H934" s="3">
        <v>3</v>
      </c>
      <c r="I934" s="4">
        <v>68.680000000000007</v>
      </c>
      <c r="J934" s="4">
        <v>329.74</v>
      </c>
      <c r="K934" s="3">
        <v>2</v>
      </c>
      <c r="L934" s="2" t="s">
        <v>2518</v>
      </c>
      <c r="M934" s="2" t="s">
        <v>2524</v>
      </c>
      <c r="N934" s="6">
        <f t="shared" si="56"/>
        <v>1</v>
      </c>
      <c r="O934" t="str">
        <f>IF(Tabla_control[[#This Row],[Control_duplicados]]&gt;1,"Duplicado","Unico")</f>
        <v>Unico</v>
      </c>
      <c r="P934" t="str">
        <f t="shared" si="57"/>
        <v>OK</v>
      </c>
      <c r="Q934" t="str">
        <f t="shared" si="58"/>
        <v>OK</v>
      </c>
      <c r="R934" t="str">
        <f t="shared" si="59"/>
        <v>OK</v>
      </c>
    </row>
    <row r="935" spans="1:18" x14ac:dyDescent="0.3">
      <c r="A935" s="1">
        <v>45990</v>
      </c>
      <c r="B935" s="2" t="s">
        <v>2616</v>
      </c>
      <c r="C935" s="2" t="s">
        <v>2515</v>
      </c>
      <c r="D935" s="2" t="s">
        <v>2531</v>
      </c>
      <c r="E935" s="2" t="s">
        <v>2517</v>
      </c>
      <c r="F935" s="3">
        <v>126225</v>
      </c>
      <c r="G935" s="3">
        <v>2091</v>
      </c>
      <c r="H935" s="3">
        <v>78</v>
      </c>
      <c r="I935" s="4">
        <v>309.26</v>
      </c>
      <c r="J935" s="4">
        <v>15427.43</v>
      </c>
      <c r="K935" s="3">
        <v>44</v>
      </c>
      <c r="L935" s="2" t="s">
        <v>2539</v>
      </c>
      <c r="M935" s="2" t="s">
        <v>2526</v>
      </c>
      <c r="N935" s="6">
        <f t="shared" si="56"/>
        <v>1</v>
      </c>
      <c r="O935" t="str">
        <f>IF(Tabla_control[[#This Row],[Control_duplicados]]&gt;1,"Duplicado","Unico")</f>
        <v>Unico</v>
      </c>
      <c r="P935" t="str">
        <f t="shared" si="57"/>
        <v>OK</v>
      </c>
      <c r="Q935" t="str">
        <f t="shared" si="58"/>
        <v>OK</v>
      </c>
      <c r="R935" t="str">
        <f t="shared" si="59"/>
        <v>OK</v>
      </c>
    </row>
    <row r="936" spans="1:18" x14ac:dyDescent="0.3">
      <c r="A936" s="1">
        <v>45675</v>
      </c>
      <c r="B936" s="2" t="s">
        <v>2622</v>
      </c>
      <c r="C936" s="2" t="s">
        <v>2515</v>
      </c>
      <c r="D936" s="2" t="s">
        <v>2528</v>
      </c>
      <c r="E936" s="2" t="s">
        <v>2517</v>
      </c>
      <c r="F936" s="3">
        <v>43543</v>
      </c>
      <c r="G936" s="3">
        <v>407</v>
      </c>
      <c r="H936" s="3">
        <v>11</v>
      </c>
      <c r="I936" s="4">
        <v>209.21</v>
      </c>
      <c r="J936" s="4">
        <v>1788.62</v>
      </c>
      <c r="K936" s="3">
        <v>7</v>
      </c>
      <c r="L936" s="2" t="s">
        <v>2536</v>
      </c>
      <c r="M936" s="2" t="s">
        <v>2519</v>
      </c>
      <c r="N936" s="6">
        <f t="shared" si="56"/>
        <v>1</v>
      </c>
      <c r="O936" t="str">
        <f>IF(Tabla_control[[#This Row],[Control_duplicados]]&gt;1,"Duplicado","Unico")</f>
        <v>Unico</v>
      </c>
      <c r="P936" t="str">
        <f t="shared" si="57"/>
        <v>OK</v>
      </c>
      <c r="Q936" t="str">
        <f t="shared" si="58"/>
        <v>OK</v>
      </c>
      <c r="R936" t="str">
        <f t="shared" si="59"/>
        <v>OK</v>
      </c>
    </row>
    <row r="937" spans="1:18" x14ac:dyDescent="0.3">
      <c r="A937" s="1">
        <v>45731</v>
      </c>
      <c r="B937" s="2" t="s">
        <v>2640</v>
      </c>
      <c r="C937" s="2" t="s">
        <v>2527</v>
      </c>
      <c r="D937" s="2" t="s">
        <v>2531</v>
      </c>
      <c r="E937" s="2" t="s">
        <v>2517</v>
      </c>
      <c r="F937" s="3">
        <v>87149</v>
      </c>
      <c r="G937" s="3">
        <v>3476</v>
      </c>
      <c r="H937" s="3">
        <v>87</v>
      </c>
      <c r="I937" s="4">
        <v>664.47</v>
      </c>
      <c r="J937" s="4">
        <v>18720.68</v>
      </c>
      <c r="K937" s="3">
        <v>49</v>
      </c>
      <c r="L937" s="2" t="s">
        <v>2539</v>
      </c>
      <c r="M937" s="2" t="s">
        <v>2524</v>
      </c>
      <c r="N937" s="6">
        <f t="shared" si="56"/>
        <v>1</v>
      </c>
      <c r="O937" t="str">
        <f>IF(Tabla_control[[#This Row],[Control_duplicados]]&gt;1,"Duplicado","Unico")</f>
        <v>Unico</v>
      </c>
      <c r="P937" t="str">
        <f t="shared" si="57"/>
        <v>OK</v>
      </c>
      <c r="Q937" t="str">
        <f t="shared" si="58"/>
        <v>OK</v>
      </c>
      <c r="R937" t="str">
        <f t="shared" si="59"/>
        <v>OK</v>
      </c>
    </row>
    <row r="938" spans="1:18" x14ac:dyDescent="0.3">
      <c r="A938" s="1">
        <v>45790</v>
      </c>
      <c r="B938" s="2" t="s">
        <v>2621</v>
      </c>
      <c r="C938" s="2" t="s">
        <v>2543</v>
      </c>
      <c r="D938" s="2" t="s">
        <v>2531</v>
      </c>
      <c r="E938" s="2" t="s">
        <v>2529</v>
      </c>
      <c r="F938" s="3">
        <v>150274</v>
      </c>
      <c r="G938" s="3">
        <v>5376</v>
      </c>
      <c r="H938" s="3">
        <v>284</v>
      </c>
      <c r="I938" s="4">
        <v>8397.02</v>
      </c>
      <c r="J938" s="4">
        <v>9422.52</v>
      </c>
      <c r="K938" s="3">
        <v>237</v>
      </c>
      <c r="L938" s="2" t="s">
        <v>2523</v>
      </c>
      <c r="M938" s="2" t="s">
        <v>2546</v>
      </c>
      <c r="N938" s="6">
        <f t="shared" si="56"/>
        <v>1</v>
      </c>
      <c r="O938" t="str">
        <f>IF(Tabla_control[[#This Row],[Control_duplicados]]&gt;1,"Duplicado","Unico")</f>
        <v>Unico</v>
      </c>
      <c r="P938" t="str">
        <f t="shared" si="57"/>
        <v>OK</v>
      </c>
      <c r="Q938" t="str">
        <f t="shared" si="58"/>
        <v>OK</v>
      </c>
      <c r="R938" t="str">
        <f t="shared" si="59"/>
        <v>OK</v>
      </c>
    </row>
    <row r="939" spans="1:18" x14ac:dyDescent="0.3">
      <c r="A939" s="1">
        <v>45779</v>
      </c>
      <c r="B939" s="2" t="s">
        <v>2616</v>
      </c>
      <c r="C939" s="2" t="s">
        <v>2521</v>
      </c>
      <c r="D939" s="2" t="s">
        <v>2522</v>
      </c>
      <c r="E939" s="2" t="s">
        <v>2517</v>
      </c>
      <c r="F939" s="3">
        <v>50677</v>
      </c>
      <c r="G939" s="3">
        <v>4047</v>
      </c>
      <c r="H939" s="3">
        <v>409</v>
      </c>
      <c r="I939" s="4">
        <v>6481.73</v>
      </c>
      <c r="J939" s="4">
        <v>65100.85</v>
      </c>
      <c r="K939" s="3">
        <v>249</v>
      </c>
      <c r="L939" s="2" t="s">
        <v>2523</v>
      </c>
      <c r="M939" s="2" t="s">
        <v>2524</v>
      </c>
      <c r="N939" s="6">
        <f t="shared" si="56"/>
        <v>2</v>
      </c>
      <c r="O939" t="str">
        <f>IF(Tabla_control[[#This Row],[Control_duplicados]]&gt;1,"Duplicado","Unico")</f>
        <v>Duplicado</v>
      </c>
      <c r="P939" t="str">
        <f t="shared" si="57"/>
        <v>OK</v>
      </c>
      <c r="Q939" t="str">
        <f t="shared" si="58"/>
        <v>OK</v>
      </c>
      <c r="R939" t="str">
        <f t="shared" si="59"/>
        <v>OK</v>
      </c>
    </row>
    <row r="940" spans="1:18" x14ac:dyDescent="0.3">
      <c r="A940" s="1">
        <v>46008</v>
      </c>
      <c r="B940" s="2" t="s">
        <v>2631</v>
      </c>
      <c r="C940" s="2" t="s">
        <v>2521</v>
      </c>
      <c r="D940" s="2" t="s">
        <v>2531</v>
      </c>
      <c r="E940" s="2" t="s">
        <v>2517</v>
      </c>
      <c r="F940" s="3">
        <v>70942</v>
      </c>
      <c r="G940" s="3">
        <v>5234</v>
      </c>
      <c r="H940" s="3">
        <v>164</v>
      </c>
      <c r="I940" s="4">
        <v>5681.36</v>
      </c>
      <c r="J940" s="4">
        <v>29659.279999999999</v>
      </c>
      <c r="K940" s="3">
        <v>117</v>
      </c>
      <c r="L940" s="2" t="s">
        <v>2536</v>
      </c>
      <c r="M940" s="2" t="s">
        <v>2537</v>
      </c>
      <c r="N940" s="6">
        <f t="shared" si="56"/>
        <v>1</v>
      </c>
      <c r="O940" t="str">
        <f>IF(Tabla_control[[#This Row],[Control_duplicados]]&gt;1,"Duplicado","Unico")</f>
        <v>Unico</v>
      </c>
      <c r="P940" t="str">
        <f t="shared" si="57"/>
        <v>OK</v>
      </c>
      <c r="Q940" t="str">
        <f t="shared" si="58"/>
        <v>OK</v>
      </c>
      <c r="R940" t="str">
        <f t="shared" si="59"/>
        <v>OK</v>
      </c>
    </row>
    <row r="941" spans="1:18" x14ac:dyDescent="0.3">
      <c r="A941" s="1">
        <v>45721</v>
      </c>
      <c r="B941" s="2" t="s">
        <v>2640</v>
      </c>
      <c r="C941" s="2" t="s">
        <v>2533</v>
      </c>
      <c r="D941" s="2" t="s">
        <v>2522</v>
      </c>
      <c r="E941" s="2" t="s">
        <v>2529</v>
      </c>
      <c r="F941" s="3">
        <v>178176</v>
      </c>
      <c r="G941" s="3">
        <v>8003</v>
      </c>
      <c r="H941" s="3">
        <v>267</v>
      </c>
      <c r="I941" s="4">
        <v>14030.13</v>
      </c>
      <c r="J941" s="4">
        <v>8134.46</v>
      </c>
      <c r="K941" s="3">
        <v>188</v>
      </c>
      <c r="L941" s="2" t="s">
        <v>2536</v>
      </c>
      <c r="M941" s="2" t="s">
        <v>2546</v>
      </c>
      <c r="N941" s="6">
        <f t="shared" si="56"/>
        <v>1</v>
      </c>
      <c r="O941" t="str">
        <f>IF(Tabla_control[[#This Row],[Control_duplicados]]&gt;1,"Duplicado","Unico")</f>
        <v>Unico</v>
      </c>
      <c r="P941" t="str">
        <f t="shared" si="57"/>
        <v>OK</v>
      </c>
      <c r="Q941" t="str">
        <f t="shared" si="58"/>
        <v>OK</v>
      </c>
      <c r="R941" t="str">
        <f t="shared" si="59"/>
        <v>OK</v>
      </c>
    </row>
    <row r="942" spans="1:18" x14ac:dyDescent="0.3">
      <c r="A942" s="1">
        <v>45870</v>
      </c>
      <c r="B942" s="2" t="s">
        <v>2632</v>
      </c>
      <c r="C942" s="2" t="s">
        <v>2533</v>
      </c>
      <c r="D942" s="2" t="s">
        <v>2516</v>
      </c>
      <c r="E942" s="2" t="s">
        <v>2517</v>
      </c>
      <c r="F942" s="3">
        <v>77656</v>
      </c>
      <c r="G942" s="3">
        <v>4164</v>
      </c>
      <c r="H942" s="3">
        <v>568</v>
      </c>
      <c r="I942" s="4">
        <v>539.6</v>
      </c>
      <c r="J942" s="4">
        <v>19345.48</v>
      </c>
      <c r="K942" s="3">
        <v>364</v>
      </c>
      <c r="L942" s="2" t="s">
        <v>2523</v>
      </c>
      <c r="M942" s="2" t="s">
        <v>2526</v>
      </c>
      <c r="N942" s="6">
        <f t="shared" si="56"/>
        <v>1</v>
      </c>
      <c r="O942" t="str">
        <f>IF(Tabla_control[[#This Row],[Control_duplicados]]&gt;1,"Duplicado","Unico")</f>
        <v>Unico</v>
      </c>
      <c r="P942" t="str">
        <f t="shared" si="57"/>
        <v>OK</v>
      </c>
      <c r="Q942" t="str">
        <f t="shared" si="58"/>
        <v>OK</v>
      </c>
      <c r="R942" t="str">
        <f t="shared" si="59"/>
        <v>OK</v>
      </c>
    </row>
    <row r="943" spans="1:18" x14ac:dyDescent="0.3">
      <c r="A943" s="1">
        <v>45686</v>
      </c>
      <c r="B943" s="2" t="s">
        <v>2616</v>
      </c>
      <c r="C943" s="2" t="s">
        <v>2533</v>
      </c>
      <c r="D943" s="2" t="s">
        <v>2525</v>
      </c>
      <c r="E943" s="2" t="s">
        <v>2534</v>
      </c>
      <c r="F943" s="3">
        <v>75147</v>
      </c>
      <c r="G943" s="3">
        <v>2390</v>
      </c>
      <c r="H943" s="3">
        <v>163</v>
      </c>
      <c r="I943" s="4">
        <v>1813.95</v>
      </c>
      <c r="J943" s="4">
        <v>25154.79</v>
      </c>
      <c r="K943" s="3">
        <v>88</v>
      </c>
      <c r="L943" s="2" t="s">
        <v>2539</v>
      </c>
      <c r="M943" s="2" t="s">
        <v>2519</v>
      </c>
      <c r="N943" s="6">
        <f t="shared" si="56"/>
        <v>1</v>
      </c>
      <c r="O943" t="str">
        <f>IF(Tabla_control[[#This Row],[Control_duplicados]]&gt;1,"Duplicado","Unico")</f>
        <v>Unico</v>
      </c>
      <c r="P943" t="str">
        <f t="shared" si="57"/>
        <v>OK</v>
      </c>
      <c r="Q943" t="str">
        <f t="shared" si="58"/>
        <v>OK</v>
      </c>
      <c r="R943" t="str">
        <f t="shared" si="59"/>
        <v>OK</v>
      </c>
    </row>
    <row r="944" spans="1:18" x14ac:dyDescent="0.3">
      <c r="A944" s="1">
        <v>45799</v>
      </c>
      <c r="B944" s="2" t="s">
        <v>2626</v>
      </c>
      <c r="C944" s="2" t="s">
        <v>2521</v>
      </c>
      <c r="D944" s="2" t="s">
        <v>2516</v>
      </c>
      <c r="E944" s="2" t="s">
        <v>2517</v>
      </c>
      <c r="F944" s="3">
        <v>138906</v>
      </c>
      <c r="G944" s="3">
        <v>11944</v>
      </c>
      <c r="H944" s="3">
        <v>1399</v>
      </c>
      <c r="I944" s="4">
        <v>2275.11</v>
      </c>
      <c r="J944" s="4">
        <v>255622.71</v>
      </c>
      <c r="K944" s="3">
        <v>961</v>
      </c>
      <c r="L944" s="2" t="s">
        <v>2536</v>
      </c>
      <c r="M944" s="2" t="s">
        <v>2524</v>
      </c>
      <c r="N944" s="6">
        <f t="shared" si="56"/>
        <v>1</v>
      </c>
      <c r="O944" t="str">
        <f>IF(Tabla_control[[#This Row],[Control_duplicados]]&gt;1,"Duplicado","Unico")</f>
        <v>Unico</v>
      </c>
      <c r="P944" t="str">
        <f t="shared" si="57"/>
        <v>OK</v>
      </c>
      <c r="Q944" t="str">
        <f t="shared" si="58"/>
        <v>OK</v>
      </c>
      <c r="R944" t="str">
        <f t="shared" si="59"/>
        <v>OK</v>
      </c>
    </row>
    <row r="945" spans="1:18" x14ac:dyDescent="0.3">
      <c r="A945" s="1">
        <v>45796</v>
      </c>
      <c r="B945" s="2" t="s">
        <v>2629</v>
      </c>
      <c r="C945" s="2" t="s">
        <v>2541</v>
      </c>
      <c r="D945" s="2" t="s">
        <v>2528</v>
      </c>
      <c r="E945" s="2" t="s">
        <v>2534</v>
      </c>
      <c r="F945" s="3">
        <v>27552</v>
      </c>
      <c r="G945" s="3">
        <v>1563</v>
      </c>
      <c r="H945" s="3">
        <v>90</v>
      </c>
      <c r="I945" s="4">
        <v>2811.63</v>
      </c>
      <c r="J945" s="4">
        <v>4791.62</v>
      </c>
      <c r="K945" s="3">
        <v>54</v>
      </c>
      <c r="L945" s="2" t="s">
        <v>2536</v>
      </c>
      <c r="M945" s="2" t="s">
        <v>2524</v>
      </c>
      <c r="N945" s="6">
        <f t="shared" si="56"/>
        <v>1</v>
      </c>
      <c r="O945" t="str">
        <f>IF(Tabla_control[[#This Row],[Control_duplicados]]&gt;1,"Duplicado","Unico")</f>
        <v>Unico</v>
      </c>
      <c r="P945" t="str">
        <f t="shared" si="57"/>
        <v>OK</v>
      </c>
      <c r="Q945" t="str">
        <f t="shared" si="58"/>
        <v>OK</v>
      </c>
      <c r="R945" t="str">
        <f t="shared" si="59"/>
        <v>OK</v>
      </c>
    </row>
    <row r="946" spans="1:18" x14ac:dyDescent="0.3">
      <c r="A946" s="1">
        <v>45923</v>
      </c>
      <c r="B946" s="2" t="s">
        <v>2630</v>
      </c>
      <c r="C946" s="2" t="s">
        <v>2541</v>
      </c>
      <c r="D946" s="2" t="s">
        <v>2528</v>
      </c>
      <c r="E946" s="2" t="s">
        <v>2529</v>
      </c>
      <c r="F946" s="3">
        <v>70005</v>
      </c>
      <c r="G946" s="3">
        <v>6221</v>
      </c>
      <c r="H946" s="3">
        <v>224</v>
      </c>
      <c r="I946" s="4">
        <v>2607.3200000000002</v>
      </c>
      <c r="J946" s="4">
        <v>23165.439999999999</v>
      </c>
      <c r="K946" s="3">
        <v>111</v>
      </c>
      <c r="L946" s="2" t="s">
        <v>2536</v>
      </c>
      <c r="M946" s="2" t="s">
        <v>2519</v>
      </c>
      <c r="N946" s="6">
        <f t="shared" si="56"/>
        <v>2</v>
      </c>
      <c r="O946" t="str">
        <f>IF(Tabla_control[[#This Row],[Control_duplicados]]&gt;1,"Duplicado","Unico")</f>
        <v>Duplicado</v>
      </c>
      <c r="P946" t="str">
        <f t="shared" si="57"/>
        <v>OK</v>
      </c>
      <c r="Q946" t="str">
        <f t="shared" si="58"/>
        <v>OK</v>
      </c>
      <c r="R946" t="str">
        <f t="shared" si="59"/>
        <v>OK</v>
      </c>
    </row>
    <row r="947" spans="1:18" x14ac:dyDescent="0.3">
      <c r="A947" s="1">
        <v>45866</v>
      </c>
      <c r="B947" s="2" t="s">
        <v>2637</v>
      </c>
      <c r="C947" s="2" t="s">
        <v>2527</v>
      </c>
      <c r="D947" s="2" t="s">
        <v>2516</v>
      </c>
      <c r="E947" s="2" t="s">
        <v>2529</v>
      </c>
      <c r="F947" s="3">
        <v>61333</v>
      </c>
      <c r="G947" s="3">
        <v>2373</v>
      </c>
      <c r="H947" s="3">
        <v>162</v>
      </c>
      <c r="I947" s="4">
        <v>3720.1</v>
      </c>
      <c r="J947" s="4">
        <v>14095.28</v>
      </c>
      <c r="K947" s="3">
        <v>73</v>
      </c>
      <c r="L947" s="2" t="s">
        <v>2518</v>
      </c>
      <c r="M947" s="2" t="s">
        <v>2526</v>
      </c>
      <c r="N947" s="6">
        <f t="shared" si="56"/>
        <v>1</v>
      </c>
      <c r="O947" t="str">
        <f>IF(Tabla_control[[#This Row],[Control_duplicados]]&gt;1,"Duplicado","Unico")</f>
        <v>Unico</v>
      </c>
      <c r="P947" t="str">
        <f t="shared" si="57"/>
        <v>OK</v>
      </c>
      <c r="Q947" t="str">
        <f t="shared" si="58"/>
        <v>OK</v>
      </c>
      <c r="R947" t="str">
        <f t="shared" si="59"/>
        <v>OK</v>
      </c>
    </row>
    <row r="948" spans="1:18" x14ac:dyDescent="0.3">
      <c r="A948" s="1">
        <v>45716</v>
      </c>
      <c r="B948" s="2" t="s">
        <v>2616</v>
      </c>
      <c r="C948" s="2" t="s">
        <v>2533</v>
      </c>
      <c r="D948" s="2" t="s">
        <v>2528</v>
      </c>
      <c r="E948" s="2" t="s">
        <v>2529</v>
      </c>
      <c r="F948" s="3">
        <v>117292</v>
      </c>
      <c r="G948" s="3">
        <v>3980</v>
      </c>
      <c r="H948" s="3">
        <v>140</v>
      </c>
      <c r="I948" s="4">
        <v>4881.1499999999996</v>
      </c>
      <c r="J948" s="4">
        <v>3084.06</v>
      </c>
      <c r="K948" s="3">
        <v>81</v>
      </c>
      <c r="L948" s="2" t="s">
        <v>2536</v>
      </c>
      <c r="M948" s="2" t="s">
        <v>2537</v>
      </c>
      <c r="N948" s="6">
        <f t="shared" si="56"/>
        <v>1</v>
      </c>
      <c r="O948" t="str">
        <f>IF(Tabla_control[[#This Row],[Control_duplicados]]&gt;1,"Duplicado","Unico")</f>
        <v>Unico</v>
      </c>
      <c r="P948" t="str">
        <f t="shared" si="57"/>
        <v>OK</v>
      </c>
      <c r="Q948" t="str">
        <f t="shared" si="58"/>
        <v>OK</v>
      </c>
      <c r="R948" t="str">
        <f t="shared" si="59"/>
        <v>OK</v>
      </c>
    </row>
    <row r="949" spans="1:18" x14ac:dyDescent="0.3">
      <c r="A949" s="1">
        <v>45968</v>
      </c>
      <c r="B949" s="2" t="s">
        <v>2626</v>
      </c>
      <c r="C949" s="2" t="s">
        <v>2521</v>
      </c>
      <c r="D949" s="2" t="s">
        <v>2528</v>
      </c>
      <c r="E949" s="2" t="s">
        <v>2529</v>
      </c>
      <c r="F949" s="3">
        <v>7017</v>
      </c>
      <c r="G949" s="3">
        <v>630</v>
      </c>
      <c r="H949" s="3">
        <v>58</v>
      </c>
      <c r="I949" s="4">
        <v>1147.25</v>
      </c>
      <c r="J949" s="4">
        <v>10975.82</v>
      </c>
      <c r="K949" s="3">
        <v>39</v>
      </c>
      <c r="L949" s="2" t="s">
        <v>2539</v>
      </c>
      <c r="M949" s="2" t="s">
        <v>2546</v>
      </c>
      <c r="N949" s="6">
        <f t="shared" si="56"/>
        <v>1</v>
      </c>
      <c r="O949" t="str">
        <f>IF(Tabla_control[[#This Row],[Control_duplicados]]&gt;1,"Duplicado","Unico")</f>
        <v>Unico</v>
      </c>
      <c r="P949" t="str">
        <f t="shared" si="57"/>
        <v>OK</v>
      </c>
      <c r="Q949" t="str">
        <f t="shared" si="58"/>
        <v>OK</v>
      </c>
      <c r="R949" t="str">
        <f t="shared" si="59"/>
        <v>OK</v>
      </c>
    </row>
    <row r="950" spans="1:18" x14ac:dyDescent="0.3">
      <c r="A950" s="1">
        <v>45855</v>
      </c>
      <c r="B950" s="2" t="s">
        <v>2626</v>
      </c>
      <c r="C950" s="2" t="s">
        <v>2645</v>
      </c>
      <c r="D950" s="2" t="s">
        <v>2528</v>
      </c>
      <c r="E950" s="2" t="s">
        <v>2517</v>
      </c>
      <c r="F950" s="3">
        <v>22879</v>
      </c>
      <c r="G950" s="3">
        <v>753</v>
      </c>
      <c r="H950" s="3">
        <v>31</v>
      </c>
      <c r="I950" s="4">
        <v>700.49</v>
      </c>
      <c r="J950" s="4">
        <v>2212.31</v>
      </c>
      <c r="K950" s="3">
        <v>14</v>
      </c>
      <c r="L950" s="2" t="s">
        <v>2523</v>
      </c>
      <c r="M950" s="2" t="s">
        <v>2526</v>
      </c>
      <c r="N950" s="6">
        <f t="shared" si="56"/>
        <v>1</v>
      </c>
      <c r="O950" t="str">
        <f>IF(Tabla_control[[#This Row],[Control_duplicados]]&gt;1,"Duplicado","Unico")</f>
        <v>Unico</v>
      </c>
      <c r="P950" t="str">
        <f t="shared" si="57"/>
        <v>OK</v>
      </c>
      <c r="Q950" t="str">
        <f t="shared" si="58"/>
        <v>OK</v>
      </c>
      <c r="R950" t="str">
        <f t="shared" si="59"/>
        <v>OK</v>
      </c>
    </row>
    <row r="951" spans="1:18" x14ac:dyDescent="0.3">
      <c r="A951" s="1">
        <v>45980</v>
      </c>
      <c r="B951" s="2" t="s">
        <v>2637</v>
      </c>
      <c r="C951" s="2" t="s">
        <v>2527</v>
      </c>
      <c r="D951" s="2" t="s">
        <v>2528</v>
      </c>
      <c r="E951" s="2" t="s">
        <v>2529</v>
      </c>
      <c r="F951" s="3">
        <v>114981</v>
      </c>
      <c r="G951" s="3">
        <v>5986</v>
      </c>
      <c r="H951" s="3">
        <v>324</v>
      </c>
      <c r="I951" s="4">
        <v>698.84</v>
      </c>
      <c r="J951" s="4">
        <v>22195.9</v>
      </c>
      <c r="K951" s="3">
        <v>212</v>
      </c>
      <c r="L951" s="2" t="s">
        <v>2539</v>
      </c>
      <c r="M951" s="2" t="s">
        <v>2524</v>
      </c>
      <c r="N951" s="6">
        <f t="shared" si="56"/>
        <v>1</v>
      </c>
      <c r="O951" t="str">
        <f>IF(Tabla_control[[#This Row],[Control_duplicados]]&gt;1,"Duplicado","Unico")</f>
        <v>Unico</v>
      </c>
      <c r="P951" t="str">
        <f t="shared" si="57"/>
        <v>OK</v>
      </c>
      <c r="Q951" t="str">
        <f t="shared" si="58"/>
        <v>OK</v>
      </c>
      <c r="R951" t="str">
        <f t="shared" si="59"/>
        <v>OK</v>
      </c>
    </row>
    <row r="952" spans="1:18" x14ac:dyDescent="0.3">
      <c r="A952" s="1">
        <v>45682</v>
      </c>
      <c r="B952" s="2" t="s">
        <v>2629</v>
      </c>
      <c r="C952" s="2" t="s">
        <v>2541</v>
      </c>
      <c r="D952" s="2" t="s">
        <v>2528</v>
      </c>
      <c r="E952" s="2" t="s">
        <v>2517</v>
      </c>
      <c r="F952" s="3">
        <v>153369</v>
      </c>
      <c r="G952" s="3">
        <v>4205</v>
      </c>
      <c r="H952" s="3">
        <v>533</v>
      </c>
      <c r="I952" s="4">
        <v>8684.3700000000008</v>
      </c>
      <c r="J952" s="4">
        <v>68269.070000000007</v>
      </c>
      <c r="K952" s="3">
        <v>420</v>
      </c>
      <c r="L952" s="2" t="s">
        <v>2518</v>
      </c>
      <c r="M952" s="2" t="s">
        <v>2546</v>
      </c>
      <c r="N952" s="6">
        <f t="shared" si="56"/>
        <v>1</v>
      </c>
      <c r="O952" t="str">
        <f>IF(Tabla_control[[#This Row],[Control_duplicados]]&gt;1,"Duplicado","Unico")</f>
        <v>Unico</v>
      </c>
      <c r="P952" t="str">
        <f t="shared" si="57"/>
        <v>OK</v>
      </c>
      <c r="Q952" t="str">
        <f t="shared" si="58"/>
        <v>OK</v>
      </c>
      <c r="R952" t="str">
        <f t="shared" si="59"/>
        <v>OK</v>
      </c>
    </row>
    <row r="953" spans="1:18" x14ac:dyDescent="0.3">
      <c r="A953" s="1">
        <v>45759</v>
      </c>
      <c r="B953" s="2" t="s">
        <v>2644</v>
      </c>
      <c r="C953" s="2" t="s">
        <v>2527</v>
      </c>
      <c r="D953" s="2" t="s">
        <v>2525</v>
      </c>
      <c r="E953" s="2" t="s">
        <v>2529</v>
      </c>
      <c r="F953" s="3">
        <v>42978</v>
      </c>
      <c r="G953" s="3">
        <v>1265</v>
      </c>
      <c r="H953" s="3">
        <v>122</v>
      </c>
      <c r="I953" s="4">
        <v>891.33</v>
      </c>
      <c r="J953" s="4">
        <v>11583.09</v>
      </c>
      <c r="K953" s="3">
        <v>102</v>
      </c>
      <c r="L953" s="2" t="s">
        <v>2523</v>
      </c>
      <c r="M953" s="2" t="s">
        <v>2524</v>
      </c>
      <c r="N953" s="6">
        <f t="shared" si="56"/>
        <v>1</v>
      </c>
      <c r="O953" t="str">
        <f>IF(Tabla_control[[#This Row],[Control_duplicados]]&gt;1,"Duplicado","Unico")</f>
        <v>Unico</v>
      </c>
      <c r="P953" t="str">
        <f t="shared" si="57"/>
        <v>OK</v>
      </c>
      <c r="Q953" t="str">
        <f t="shared" si="58"/>
        <v>OK</v>
      </c>
      <c r="R953" t="str">
        <f t="shared" si="59"/>
        <v>OK</v>
      </c>
    </row>
    <row r="954" spans="1:18" x14ac:dyDescent="0.3">
      <c r="A954" s="1">
        <v>45674</v>
      </c>
      <c r="B954" s="2" t="s">
        <v>2642</v>
      </c>
      <c r="C954" s="2" t="s">
        <v>2521</v>
      </c>
      <c r="D954" s="2" t="s">
        <v>2525</v>
      </c>
      <c r="E954" s="2" t="s">
        <v>2517</v>
      </c>
      <c r="F954" s="3">
        <v>113235</v>
      </c>
      <c r="G954" s="3">
        <v>10181</v>
      </c>
      <c r="H954" s="3">
        <v>1348</v>
      </c>
      <c r="I954" s="4">
        <v>10894.13</v>
      </c>
      <c r="J954" s="4">
        <v>109441.22</v>
      </c>
      <c r="K954" s="3">
        <v>1073</v>
      </c>
      <c r="L954" s="2" t="s">
        <v>2539</v>
      </c>
      <c r="M954" s="2" t="s">
        <v>2526</v>
      </c>
      <c r="N954" s="6">
        <f t="shared" si="56"/>
        <v>1</v>
      </c>
      <c r="O954" t="str">
        <f>IF(Tabla_control[[#This Row],[Control_duplicados]]&gt;1,"Duplicado","Unico")</f>
        <v>Unico</v>
      </c>
      <c r="P954" t="str">
        <f t="shared" si="57"/>
        <v>OK</v>
      </c>
      <c r="Q954" t="str">
        <f t="shared" si="58"/>
        <v>OK</v>
      </c>
      <c r="R954" t="str">
        <f t="shared" si="59"/>
        <v>OK</v>
      </c>
    </row>
    <row r="955" spans="1:18" x14ac:dyDescent="0.3">
      <c r="A955" s="1">
        <v>45768</v>
      </c>
      <c r="B955" s="2" t="s">
        <v>2621</v>
      </c>
      <c r="C955" s="2" t="s">
        <v>2541</v>
      </c>
      <c r="D955" s="2" t="s">
        <v>2522</v>
      </c>
      <c r="E955" s="2" t="s">
        <v>2529</v>
      </c>
      <c r="F955" s="3">
        <v>149933</v>
      </c>
      <c r="G955" s="3">
        <v>6105</v>
      </c>
      <c r="H955" s="3">
        <v>335</v>
      </c>
      <c r="I955" s="4">
        <v>7198.49</v>
      </c>
      <c r="J955" s="4">
        <v>9974.27</v>
      </c>
      <c r="K955" s="3">
        <v>249</v>
      </c>
      <c r="L955" s="2" t="s">
        <v>2518</v>
      </c>
      <c r="M955" s="2" t="s">
        <v>2546</v>
      </c>
      <c r="N955" s="6">
        <f t="shared" si="56"/>
        <v>1</v>
      </c>
      <c r="O955" t="str">
        <f>IF(Tabla_control[[#This Row],[Control_duplicados]]&gt;1,"Duplicado","Unico")</f>
        <v>Unico</v>
      </c>
      <c r="P955" t="str">
        <f t="shared" si="57"/>
        <v>OK</v>
      </c>
      <c r="Q955" t="str">
        <f t="shared" si="58"/>
        <v>OK</v>
      </c>
      <c r="R955" t="str">
        <f t="shared" si="59"/>
        <v>OK</v>
      </c>
    </row>
    <row r="956" spans="1:18" x14ac:dyDescent="0.3">
      <c r="A956" s="1">
        <v>45802</v>
      </c>
      <c r="B956" s="2" t="s">
        <v>2643</v>
      </c>
      <c r="C956" s="2" t="s">
        <v>2527</v>
      </c>
      <c r="D956" s="2" t="s">
        <v>2516</v>
      </c>
      <c r="E956" s="2" t="s">
        <v>2529</v>
      </c>
      <c r="F956" s="3">
        <v>141585</v>
      </c>
      <c r="G956" s="3">
        <v>8738</v>
      </c>
      <c r="H956" s="3">
        <v>301</v>
      </c>
      <c r="I956" s="4">
        <v>2263.98</v>
      </c>
      <c r="J956" s="4">
        <v>28737.24</v>
      </c>
      <c r="K956" s="3">
        <v>190</v>
      </c>
      <c r="L956" s="2" t="s">
        <v>2536</v>
      </c>
      <c r="M956" s="2" t="s">
        <v>2526</v>
      </c>
      <c r="N956" s="6">
        <f t="shared" si="56"/>
        <v>1</v>
      </c>
      <c r="O956" t="str">
        <f>IF(Tabla_control[[#This Row],[Control_duplicados]]&gt;1,"Duplicado","Unico")</f>
        <v>Unico</v>
      </c>
      <c r="P956" t="str">
        <f t="shared" si="57"/>
        <v>OK</v>
      </c>
      <c r="Q956" t="str">
        <f t="shared" si="58"/>
        <v>OK</v>
      </c>
      <c r="R956" t="str">
        <f t="shared" si="59"/>
        <v>OK</v>
      </c>
    </row>
    <row r="957" spans="1:18" x14ac:dyDescent="0.3">
      <c r="A957" s="1">
        <v>45660</v>
      </c>
      <c r="B957" s="2" t="s">
        <v>2640</v>
      </c>
      <c r="C957" s="2" t="s">
        <v>2541</v>
      </c>
      <c r="D957" s="2" t="s">
        <v>2528</v>
      </c>
      <c r="E957" s="2" t="s">
        <v>2534</v>
      </c>
      <c r="F957" s="3">
        <v>125414</v>
      </c>
      <c r="G957" s="3">
        <v>5316</v>
      </c>
      <c r="H957" s="3">
        <v>367</v>
      </c>
      <c r="I957" s="4">
        <v>9936.66</v>
      </c>
      <c r="J957" s="4">
        <v>59884.19</v>
      </c>
      <c r="K957" s="3">
        <v>227</v>
      </c>
      <c r="L957" s="2" t="s">
        <v>2523</v>
      </c>
      <c r="M957" s="2" t="s">
        <v>2546</v>
      </c>
      <c r="N957" s="6">
        <f t="shared" si="56"/>
        <v>1</v>
      </c>
      <c r="O957" t="str">
        <f>IF(Tabla_control[[#This Row],[Control_duplicados]]&gt;1,"Duplicado","Unico")</f>
        <v>Unico</v>
      </c>
      <c r="P957" t="str">
        <f t="shared" si="57"/>
        <v>OK</v>
      </c>
      <c r="Q957" t="str">
        <f t="shared" si="58"/>
        <v>OK</v>
      </c>
      <c r="R957" t="str">
        <f t="shared" si="59"/>
        <v>OK</v>
      </c>
    </row>
    <row r="958" spans="1:18" x14ac:dyDescent="0.3">
      <c r="A958" s="1">
        <v>45961</v>
      </c>
      <c r="B958" s="2" t="s">
        <v>2624</v>
      </c>
      <c r="C958" s="2" t="s">
        <v>2533</v>
      </c>
      <c r="D958" s="2" t="s">
        <v>2528</v>
      </c>
      <c r="E958" s="2" t="s">
        <v>2529</v>
      </c>
      <c r="F958" s="3">
        <v>158564</v>
      </c>
      <c r="G958" s="3">
        <v>12147</v>
      </c>
      <c r="H958" s="3">
        <v>1678</v>
      </c>
      <c r="I958" s="4">
        <v>24917.15</v>
      </c>
      <c r="J958" s="4">
        <v>96038.14</v>
      </c>
      <c r="K958" s="3">
        <v>1344</v>
      </c>
      <c r="L958" s="2" t="s">
        <v>2523</v>
      </c>
      <c r="M958" s="2" t="s">
        <v>2524</v>
      </c>
      <c r="N958" s="6">
        <f t="shared" si="56"/>
        <v>1</v>
      </c>
      <c r="O958" t="str">
        <f>IF(Tabla_control[[#This Row],[Control_duplicados]]&gt;1,"Duplicado","Unico")</f>
        <v>Unico</v>
      </c>
      <c r="P958" t="str">
        <f t="shared" si="57"/>
        <v>OK</v>
      </c>
      <c r="Q958" t="str">
        <f t="shared" si="58"/>
        <v>OK</v>
      </c>
      <c r="R958" t="str">
        <f t="shared" si="59"/>
        <v>OK</v>
      </c>
    </row>
    <row r="959" spans="1:18" x14ac:dyDescent="0.3">
      <c r="A959" s="1">
        <v>45797</v>
      </c>
      <c r="B959" s="2" t="s">
        <v>2627</v>
      </c>
      <c r="C959" s="2" t="s">
        <v>2515</v>
      </c>
      <c r="D959" s="2" t="s">
        <v>2531</v>
      </c>
      <c r="E959" s="2" t="s">
        <v>2529</v>
      </c>
      <c r="F959" s="3">
        <v>25667</v>
      </c>
      <c r="G959" s="3">
        <v>26332</v>
      </c>
      <c r="H959" s="3">
        <v>79</v>
      </c>
      <c r="I959" s="4">
        <v>1625.98</v>
      </c>
      <c r="J959" s="4">
        <v>15788.62</v>
      </c>
      <c r="K959" s="3">
        <v>61</v>
      </c>
      <c r="L959" s="2" t="s">
        <v>2523</v>
      </c>
      <c r="M959" s="2" t="s">
        <v>2537</v>
      </c>
      <c r="N959" s="6">
        <f t="shared" si="56"/>
        <v>1</v>
      </c>
      <c r="O959" t="str">
        <f>IF(Tabla_control[[#This Row],[Control_duplicados]]&gt;1,"Duplicado","Unico")</f>
        <v>Unico</v>
      </c>
      <c r="P959" t="str">
        <f t="shared" si="57"/>
        <v>OK</v>
      </c>
      <c r="Q959" t="str">
        <f t="shared" si="58"/>
        <v>OK</v>
      </c>
      <c r="R959" t="str">
        <f t="shared" si="59"/>
        <v>OK</v>
      </c>
    </row>
    <row r="960" spans="1:18" x14ac:dyDescent="0.3">
      <c r="A960" s="1">
        <v>45685</v>
      </c>
      <c r="B960" s="2" t="s">
        <v>2643</v>
      </c>
      <c r="C960" s="2" t="s">
        <v>2527</v>
      </c>
      <c r="D960" s="2" t="s">
        <v>2528</v>
      </c>
      <c r="E960" s="2" t="s">
        <v>2529</v>
      </c>
      <c r="F960" s="3">
        <v>67722</v>
      </c>
      <c r="G960" s="3">
        <v>3921</v>
      </c>
      <c r="H960" s="3">
        <v>38</v>
      </c>
      <c r="I960" s="4">
        <v>7115.12</v>
      </c>
      <c r="J960" s="4">
        <v>4910.17</v>
      </c>
      <c r="K960" s="3">
        <v>30</v>
      </c>
      <c r="L960" s="2" t="s">
        <v>2536</v>
      </c>
      <c r="M960" s="2" t="s">
        <v>2537</v>
      </c>
      <c r="N960" s="6">
        <f t="shared" si="56"/>
        <v>1</v>
      </c>
      <c r="O960" t="str">
        <f>IF(Tabla_control[[#This Row],[Control_duplicados]]&gt;1,"Duplicado","Unico")</f>
        <v>Unico</v>
      </c>
      <c r="P960" t="str">
        <f t="shared" si="57"/>
        <v>OK</v>
      </c>
      <c r="Q960" t="str">
        <f t="shared" si="58"/>
        <v>OK</v>
      </c>
      <c r="R960" t="str">
        <f t="shared" si="59"/>
        <v>OK</v>
      </c>
    </row>
    <row r="961" spans="1:18" x14ac:dyDescent="0.3">
      <c r="A961" s="1">
        <v>45777</v>
      </c>
      <c r="B961" s="2" t="s">
        <v>2642</v>
      </c>
      <c r="C961" s="2" t="s">
        <v>2515</v>
      </c>
      <c r="D961" s="2" t="s">
        <v>2516</v>
      </c>
      <c r="E961" s="2" t="s">
        <v>2529</v>
      </c>
      <c r="F961" s="3">
        <v>173242</v>
      </c>
      <c r="G961" s="3">
        <v>9662</v>
      </c>
      <c r="H961" s="3">
        <v>509</v>
      </c>
      <c r="I961" s="4">
        <v>10139.700000000001</v>
      </c>
      <c r="J961" s="4">
        <v>111269.03</v>
      </c>
      <c r="K961" s="3">
        <v>354</v>
      </c>
      <c r="L961" s="2" t="s">
        <v>2523</v>
      </c>
      <c r="M961" s="2" t="s">
        <v>2537</v>
      </c>
      <c r="N961" s="6">
        <f t="shared" si="56"/>
        <v>1</v>
      </c>
      <c r="O961" t="str">
        <f>IF(Tabla_control[[#This Row],[Control_duplicados]]&gt;1,"Duplicado","Unico")</f>
        <v>Unico</v>
      </c>
      <c r="P961" t="str">
        <f t="shared" si="57"/>
        <v>OK</v>
      </c>
      <c r="Q961" t="str">
        <f t="shared" si="58"/>
        <v>OK</v>
      </c>
      <c r="R961" t="str">
        <f t="shared" si="59"/>
        <v>OK</v>
      </c>
    </row>
    <row r="962" spans="1:18" x14ac:dyDescent="0.3">
      <c r="A962" s="1">
        <v>45936</v>
      </c>
      <c r="B962" s="2" t="s">
        <v>2627</v>
      </c>
      <c r="C962" s="2" t="s">
        <v>2533</v>
      </c>
      <c r="D962" s="2" t="s">
        <v>2522</v>
      </c>
      <c r="E962" s="2" t="s">
        <v>2529</v>
      </c>
      <c r="F962" s="3">
        <v>175185</v>
      </c>
      <c r="G962" s="3">
        <v>10397</v>
      </c>
      <c r="H962" s="3">
        <v>184</v>
      </c>
      <c r="I962" s="4">
        <v>13503.21</v>
      </c>
      <c r="J962" s="4">
        <v>24319.54</v>
      </c>
      <c r="K962" s="3">
        <v>93</v>
      </c>
      <c r="L962" s="2" t="s">
        <v>2518</v>
      </c>
      <c r="M962" s="2" t="s">
        <v>2524</v>
      </c>
      <c r="N962" s="6">
        <f t="shared" ref="N962:N1025" si="60">COUNTIFS($A$2:$A$2536,A962,$B$2:$B$2536,B962,$C$2:$C$2536,C962,$D$2:$D$2536,D962,$E$2:$E$2536,E962,$F$2:$F$2536,F962,$G$2:$G$2536,G962,$H$2:$H$2536,H962,$I$2:$I$2536,I962,$J$2:$J$2536,J962,$K$2:$K$2536,K962,$L$2:$L$2536,L962,$M$2:$M$2536,M962)</f>
        <v>1</v>
      </c>
      <c r="O962" t="str">
        <f>IF(Tabla_control[[#This Row],[Control_duplicados]]&gt;1,"Duplicado","Unico")</f>
        <v>Unico</v>
      </c>
      <c r="P962" t="str">
        <f t="shared" ref="P962:P1025" si="61">IF(OR(I962="",I962&lt;0),"ERROR","OK")</f>
        <v>OK</v>
      </c>
      <c r="Q962" t="str">
        <f t="shared" ref="Q962:Q1025" si="62">IF(H962&gt;F962,"ERROR","OK")</f>
        <v>OK</v>
      </c>
      <c r="R962" t="str">
        <f t="shared" ref="R962:R1025" si="63">IF(K962&gt;H962,"ERROR","OK")</f>
        <v>OK</v>
      </c>
    </row>
    <row r="963" spans="1:18" x14ac:dyDescent="0.3">
      <c r="A963" s="1">
        <v>45777</v>
      </c>
      <c r="B963" s="2" t="s">
        <v>2616</v>
      </c>
      <c r="C963" s="2" t="s">
        <v>2521</v>
      </c>
      <c r="D963" s="2" t="s">
        <v>2528</v>
      </c>
      <c r="E963" s="2" t="s">
        <v>2529</v>
      </c>
      <c r="F963" s="3">
        <v>66646</v>
      </c>
      <c r="G963" s="3">
        <v>5081</v>
      </c>
      <c r="H963" s="3">
        <v>658</v>
      </c>
      <c r="I963" s="4">
        <v>2266.14</v>
      </c>
      <c r="J963" s="4">
        <v>143817.25</v>
      </c>
      <c r="K963" s="3">
        <v>348</v>
      </c>
      <c r="L963" s="2" t="s">
        <v>2518</v>
      </c>
      <c r="M963" s="2" t="s">
        <v>2524</v>
      </c>
      <c r="N963" s="6">
        <f t="shared" si="60"/>
        <v>1</v>
      </c>
      <c r="O963" t="str">
        <f>IF(Tabla_control[[#This Row],[Control_duplicados]]&gt;1,"Duplicado","Unico")</f>
        <v>Unico</v>
      </c>
      <c r="P963" t="str">
        <f t="shared" si="61"/>
        <v>OK</v>
      </c>
      <c r="Q963" t="str">
        <f t="shared" si="62"/>
        <v>OK</v>
      </c>
      <c r="R963" t="str">
        <f t="shared" si="63"/>
        <v>OK</v>
      </c>
    </row>
    <row r="964" spans="1:18" x14ac:dyDescent="0.3">
      <c r="A964" s="1">
        <v>45723</v>
      </c>
      <c r="B964" s="2" t="s">
        <v>2627</v>
      </c>
      <c r="C964" s="2" t="s">
        <v>2521</v>
      </c>
      <c r="D964" s="2" t="s">
        <v>2528</v>
      </c>
      <c r="E964" s="2" t="s">
        <v>2517</v>
      </c>
      <c r="F964" s="3">
        <v>139339</v>
      </c>
      <c r="G964" s="3">
        <v>592</v>
      </c>
      <c r="H964" s="3">
        <v>78</v>
      </c>
      <c r="I964" s="4">
        <v>1077.8399999999999</v>
      </c>
      <c r="J964" s="4">
        <v>5217.87</v>
      </c>
      <c r="K964" s="3">
        <v>55</v>
      </c>
      <c r="L964" s="2" t="s">
        <v>2539</v>
      </c>
      <c r="M964" s="2" t="s">
        <v>2524</v>
      </c>
      <c r="N964" s="6">
        <f t="shared" si="60"/>
        <v>1</v>
      </c>
      <c r="O964" t="str">
        <f>IF(Tabla_control[[#This Row],[Control_duplicados]]&gt;1,"Duplicado","Unico")</f>
        <v>Unico</v>
      </c>
      <c r="P964" t="str">
        <f t="shared" si="61"/>
        <v>OK</v>
      </c>
      <c r="Q964" t="str">
        <f t="shared" si="62"/>
        <v>OK</v>
      </c>
      <c r="R964" t="str">
        <f t="shared" si="63"/>
        <v>OK</v>
      </c>
    </row>
    <row r="965" spans="1:18" x14ac:dyDescent="0.3">
      <c r="A965" s="1">
        <v>45724</v>
      </c>
      <c r="B965" s="2" t="s">
        <v>2638</v>
      </c>
      <c r="C965" s="2" t="s">
        <v>2543</v>
      </c>
      <c r="D965" s="2" t="s">
        <v>2522</v>
      </c>
      <c r="E965" s="2" t="s">
        <v>2517</v>
      </c>
      <c r="F965" s="3">
        <v>95755</v>
      </c>
      <c r="G965" s="3">
        <v>5999</v>
      </c>
      <c r="H965" s="3">
        <v>696</v>
      </c>
      <c r="I965" s="4">
        <v>9288.7800000000007</v>
      </c>
      <c r="J965" s="4">
        <v>71878.91</v>
      </c>
      <c r="K965" s="3">
        <v>318</v>
      </c>
      <c r="L965" s="2" t="s">
        <v>2539</v>
      </c>
      <c r="M965" s="2" t="s">
        <v>2526</v>
      </c>
      <c r="N965" s="6">
        <f t="shared" si="60"/>
        <v>1</v>
      </c>
      <c r="O965" t="str">
        <f>IF(Tabla_control[[#This Row],[Control_duplicados]]&gt;1,"Duplicado","Unico")</f>
        <v>Unico</v>
      </c>
      <c r="P965" t="str">
        <f t="shared" si="61"/>
        <v>OK</v>
      </c>
      <c r="Q965" t="str">
        <f t="shared" si="62"/>
        <v>OK</v>
      </c>
      <c r="R965" t="str">
        <f t="shared" si="63"/>
        <v>OK</v>
      </c>
    </row>
    <row r="966" spans="1:18" x14ac:dyDescent="0.3">
      <c r="A966" s="1">
        <v>45966</v>
      </c>
      <c r="B966" s="2" t="s">
        <v>2621</v>
      </c>
      <c r="C966" s="2" t="s">
        <v>2527</v>
      </c>
      <c r="D966" s="2" t="s">
        <v>2516</v>
      </c>
      <c r="E966" s="2" t="s">
        <v>2529</v>
      </c>
      <c r="F966" s="3">
        <v>165468</v>
      </c>
      <c r="G966" s="3">
        <v>4552</v>
      </c>
      <c r="H966" s="3">
        <v>568</v>
      </c>
      <c r="I966" s="4">
        <v>6701.5</v>
      </c>
      <c r="J966" s="4">
        <v>114457.35</v>
      </c>
      <c r="K966" s="3">
        <v>362</v>
      </c>
      <c r="L966" s="2" t="s">
        <v>2518</v>
      </c>
      <c r="M966" s="2" t="s">
        <v>2526</v>
      </c>
      <c r="N966" s="6">
        <f t="shared" si="60"/>
        <v>1</v>
      </c>
      <c r="O966" t="str">
        <f>IF(Tabla_control[[#This Row],[Control_duplicados]]&gt;1,"Duplicado","Unico")</f>
        <v>Unico</v>
      </c>
      <c r="P966" t="str">
        <f t="shared" si="61"/>
        <v>OK</v>
      </c>
      <c r="Q966" t="str">
        <f t="shared" si="62"/>
        <v>OK</v>
      </c>
      <c r="R966" t="str">
        <f t="shared" si="63"/>
        <v>OK</v>
      </c>
    </row>
    <row r="967" spans="1:18" x14ac:dyDescent="0.3">
      <c r="A967" s="1">
        <v>45844</v>
      </c>
      <c r="B967" s="2" t="s">
        <v>2637</v>
      </c>
      <c r="C967" s="2" t="s">
        <v>2515</v>
      </c>
      <c r="D967" s="2" t="s">
        <v>2528</v>
      </c>
      <c r="E967" s="2" t="s">
        <v>2517</v>
      </c>
      <c r="F967" s="3">
        <v>150758</v>
      </c>
      <c r="G967" s="3">
        <v>4211</v>
      </c>
      <c r="H967" s="3">
        <v>4231</v>
      </c>
      <c r="I967" s="4">
        <v>5305.71</v>
      </c>
      <c r="J967" s="4">
        <v>50159.19</v>
      </c>
      <c r="K967" s="3">
        <v>274</v>
      </c>
      <c r="L967" s="2" t="s">
        <v>2536</v>
      </c>
      <c r="M967" s="2" t="s">
        <v>2537</v>
      </c>
      <c r="N967" s="6">
        <f t="shared" si="60"/>
        <v>1</v>
      </c>
      <c r="O967" t="str">
        <f>IF(Tabla_control[[#This Row],[Control_duplicados]]&gt;1,"Duplicado","Unico")</f>
        <v>Unico</v>
      </c>
      <c r="P967" t="str">
        <f t="shared" si="61"/>
        <v>OK</v>
      </c>
      <c r="Q967" t="str">
        <f t="shared" si="62"/>
        <v>OK</v>
      </c>
      <c r="R967" t="str">
        <f t="shared" si="63"/>
        <v>OK</v>
      </c>
    </row>
    <row r="968" spans="1:18" x14ac:dyDescent="0.3">
      <c r="A968" s="1">
        <v>45744</v>
      </c>
      <c r="B968" s="2" t="s">
        <v>2631</v>
      </c>
      <c r="C968" s="2" t="s">
        <v>2543</v>
      </c>
      <c r="D968" s="2" t="s">
        <v>2522</v>
      </c>
      <c r="E968" s="2" t="s">
        <v>2529</v>
      </c>
      <c r="F968" s="3">
        <v>3951</v>
      </c>
      <c r="G968" s="3">
        <v>260</v>
      </c>
      <c r="H968" s="3">
        <v>24</v>
      </c>
      <c r="I968" s="4">
        <v>151.44999999999999</v>
      </c>
      <c r="J968" s="4">
        <v>4153.43</v>
      </c>
      <c r="K968" s="3">
        <v>18</v>
      </c>
      <c r="L968" s="2" t="s">
        <v>2523</v>
      </c>
      <c r="M968" s="2" t="s">
        <v>2526</v>
      </c>
      <c r="N968" s="6">
        <f t="shared" si="60"/>
        <v>1</v>
      </c>
      <c r="O968" t="str">
        <f>IF(Tabla_control[[#This Row],[Control_duplicados]]&gt;1,"Duplicado","Unico")</f>
        <v>Unico</v>
      </c>
      <c r="P968" t="str">
        <f t="shared" si="61"/>
        <v>OK</v>
      </c>
      <c r="Q968" t="str">
        <f t="shared" si="62"/>
        <v>OK</v>
      </c>
      <c r="R968" t="str">
        <f t="shared" si="63"/>
        <v>OK</v>
      </c>
    </row>
    <row r="969" spans="1:18" x14ac:dyDescent="0.3">
      <c r="A969" s="1">
        <v>45861</v>
      </c>
      <c r="B969" s="2" t="s">
        <v>2635</v>
      </c>
      <c r="C969" s="2" t="s">
        <v>2541</v>
      </c>
      <c r="D969" s="2" t="s">
        <v>2528</v>
      </c>
      <c r="E969" s="2" t="s">
        <v>2517</v>
      </c>
      <c r="F969" s="3">
        <v>107742</v>
      </c>
      <c r="G969" s="3">
        <v>6360</v>
      </c>
      <c r="H969" s="3">
        <v>705</v>
      </c>
      <c r="I969" s="4">
        <v>11310.42</v>
      </c>
      <c r="J969" s="4">
        <v>93089.67</v>
      </c>
      <c r="K969" s="3">
        <v>620</v>
      </c>
      <c r="L969" s="2" t="s">
        <v>2539</v>
      </c>
      <c r="M969" s="2" t="s">
        <v>2546</v>
      </c>
      <c r="N969" s="6">
        <f t="shared" si="60"/>
        <v>1</v>
      </c>
      <c r="O969" t="str">
        <f>IF(Tabla_control[[#This Row],[Control_duplicados]]&gt;1,"Duplicado","Unico")</f>
        <v>Unico</v>
      </c>
      <c r="P969" t="str">
        <f t="shared" si="61"/>
        <v>OK</v>
      </c>
      <c r="Q969" t="str">
        <f t="shared" si="62"/>
        <v>OK</v>
      </c>
      <c r="R969" t="str">
        <f t="shared" si="63"/>
        <v>OK</v>
      </c>
    </row>
    <row r="970" spans="1:18" x14ac:dyDescent="0.3">
      <c r="A970" s="1">
        <v>46015</v>
      </c>
      <c r="B970" s="2" t="s">
        <v>2640</v>
      </c>
      <c r="C970" s="2" t="s">
        <v>2541</v>
      </c>
      <c r="D970" s="2" t="s">
        <v>2528</v>
      </c>
      <c r="E970" s="2" t="s">
        <v>2529</v>
      </c>
      <c r="F970" s="3">
        <v>132835</v>
      </c>
      <c r="G970" s="3">
        <v>1233</v>
      </c>
      <c r="H970" s="3">
        <v>82</v>
      </c>
      <c r="I970" s="4">
        <v>245.2</v>
      </c>
      <c r="J970" s="4">
        <v>16361.65</v>
      </c>
      <c r="K970" s="3">
        <v>43</v>
      </c>
      <c r="L970" s="2" t="s">
        <v>2539</v>
      </c>
      <c r="M970" s="2" t="s">
        <v>2519</v>
      </c>
      <c r="N970" s="6">
        <f t="shared" si="60"/>
        <v>1</v>
      </c>
      <c r="O970" t="str">
        <f>IF(Tabla_control[[#This Row],[Control_duplicados]]&gt;1,"Duplicado","Unico")</f>
        <v>Unico</v>
      </c>
      <c r="P970" t="str">
        <f t="shared" si="61"/>
        <v>OK</v>
      </c>
      <c r="Q970" t="str">
        <f t="shared" si="62"/>
        <v>OK</v>
      </c>
      <c r="R970" t="str">
        <f t="shared" si="63"/>
        <v>OK</v>
      </c>
    </row>
    <row r="971" spans="1:18" x14ac:dyDescent="0.3">
      <c r="A971" s="1">
        <v>45820</v>
      </c>
      <c r="B971" s="2" t="s">
        <v>2635</v>
      </c>
      <c r="C971" s="2" t="s">
        <v>2515</v>
      </c>
      <c r="D971" s="2" t="s">
        <v>2516</v>
      </c>
      <c r="E971" s="2" t="s">
        <v>2517</v>
      </c>
      <c r="F971" s="3">
        <v>150871</v>
      </c>
      <c r="G971" s="3">
        <v>7101</v>
      </c>
      <c r="H971" s="3">
        <v>791</v>
      </c>
      <c r="I971" s="4">
        <v>2403.79</v>
      </c>
      <c r="J971" s="4">
        <v>104718.28</v>
      </c>
      <c r="K971" s="3">
        <v>424</v>
      </c>
      <c r="L971" s="2" t="s">
        <v>2536</v>
      </c>
      <c r="M971" s="2" t="s">
        <v>2519</v>
      </c>
      <c r="N971" s="6">
        <f t="shared" si="60"/>
        <v>1</v>
      </c>
      <c r="O971" t="str">
        <f>IF(Tabla_control[[#This Row],[Control_duplicados]]&gt;1,"Duplicado","Unico")</f>
        <v>Unico</v>
      </c>
      <c r="P971" t="str">
        <f t="shared" si="61"/>
        <v>OK</v>
      </c>
      <c r="Q971" t="str">
        <f t="shared" si="62"/>
        <v>OK</v>
      </c>
      <c r="R971" t="str">
        <f t="shared" si="63"/>
        <v>OK</v>
      </c>
    </row>
    <row r="972" spans="1:18" x14ac:dyDescent="0.3">
      <c r="A972" s="1">
        <v>46001</v>
      </c>
      <c r="B972" s="2" t="s">
        <v>2635</v>
      </c>
      <c r="C972" s="2" t="s">
        <v>2521</v>
      </c>
      <c r="D972" s="2" t="s">
        <v>2528</v>
      </c>
      <c r="E972" s="2" t="s">
        <v>2517</v>
      </c>
      <c r="F972" s="3">
        <v>2564</v>
      </c>
      <c r="G972" s="3">
        <v>66</v>
      </c>
      <c r="H972" s="3">
        <v>4</v>
      </c>
      <c r="I972" s="4">
        <v>88.3</v>
      </c>
      <c r="J972" s="4">
        <v>193.69</v>
      </c>
      <c r="K972" s="3">
        <v>2</v>
      </c>
      <c r="L972" s="2" t="s">
        <v>2536</v>
      </c>
      <c r="M972" s="2" t="s">
        <v>2526</v>
      </c>
      <c r="N972" s="6">
        <f t="shared" si="60"/>
        <v>1</v>
      </c>
      <c r="O972" t="str">
        <f>IF(Tabla_control[[#This Row],[Control_duplicados]]&gt;1,"Duplicado","Unico")</f>
        <v>Unico</v>
      </c>
      <c r="P972" t="str">
        <f t="shared" si="61"/>
        <v>OK</v>
      </c>
      <c r="Q972" t="str">
        <f t="shared" si="62"/>
        <v>OK</v>
      </c>
      <c r="R972" t="str">
        <f t="shared" si="63"/>
        <v>OK</v>
      </c>
    </row>
    <row r="973" spans="1:18" x14ac:dyDescent="0.3">
      <c r="A973" s="1">
        <v>45796</v>
      </c>
      <c r="B973" s="2" t="s">
        <v>2632</v>
      </c>
      <c r="C973" s="2" t="s">
        <v>2521</v>
      </c>
      <c r="D973" s="2" t="s">
        <v>2528</v>
      </c>
      <c r="E973" s="2" t="s">
        <v>2529</v>
      </c>
      <c r="F973" s="3">
        <v>79569</v>
      </c>
      <c r="G973" s="3">
        <v>1264</v>
      </c>
      <c r="H973" s="3">
        <v>10</v>
      </c>
      <c r="I973" s="4">
        <v>1490.3</v>
      </c>
      <c r="J973" s="4">
        <v>1901.6</v>
      </c>
      <c r="K973" s="3">
        <v>5</v>
      </c>
      <c r="L973" s="2" t="s">
        <v>2539</v>
      </c>
      <c r="M973" s="2" t="s">
        <v>2537</v>
      </c>
      <c r="N973" s="6">
        <f t="shared" si="60"/>
        <v>1</v>
      </c>
      <c r="O973" t="str">
        <f>IF(Tabla_control[[#This Row],[Control_duplicados]]&gt;1,"Duplicado","Unico")</f>
        <v>Unico</v>
      </c>
      <c r="P973" t="str">
        <f t="shared" si="61"/>
        <v>OK</v>
      </c>
      <c r="Q973" t="str">
        <f t="shared" si="62"/>
        <v>OK</v>
      </c>
      <c r="R973" t="str">
        <f t="shared" si="63"/>
        <v>OK</v>
      </c>
    </row>
    <row r="974" spans="1:18" x14ac:dyDescent="0.3">
      <c r="A974" s="1">
        <v>45840</v>
      </c>
      <c r="B974" s="2" t="s">
        <v>2621</v>
      </c>
      <c r="C974" s="2" t="s">
        <v>2541</v>
      </c>
      <c r="D974" s="2" t="s">
        <v>2516</v>
      </c>
      <c r="E974" s="2" t="s">
        <v>2517</v>
      </c>
      <c r="F974" s="3">
        <v>104766</v>
      </c>
      <c r="G974" s="3">
        <v>633</v>
      </c>
      <c r="H974" s="3">
        <v>18</v>
      </c>
      <c r="I974" s="4">
        <v>1035.1099999999999</v>
      </c>
      <c r="J974" s="4">
        <v>2385.5</v>
      </c>
      <c r="K974" s="3">
        <v>15</v>
      </c>
      <c r="L974" s="2" t="s">
        <v>2539</v>
      </c>
      <c r="M974" s="2" t="s">
        <v>2537</v>
      </c>
      <c r="N974" s="6">
        <f t="shared" si="60"/>
        <v>1</v>
      </c>
      <c r="O974" t="str">
        <f>IF(Tabla_control[[#This Row],[Control_duplicados]]&gt;1,"Duplicado","Unico")</f>
        <v>Unico</v>
      </c>
      <c r="P974" t="str">
        <f t="shared" si="61"/>
        <v>OK</v>
      </c>
      <c r="Q974" t="str">
        <f t="shared" si="62"/>
        <v>OK</v>
      </c>
      <c r="R974" t="str">
        <f t="shared" si="63"/>
        <v>OK</v>
      </c>
    </row>
    <row r="975" spans="1:18" x14ac:dyDescent="0.3">
      <c r="A975" s="1">
        <v>45744</v>
      </c>
      <c r="B975" s="2" t="s">
        <v>2626</v>
      </c>
      <c r="C975" s="2" t="s">
        <v>2543</v>
      </c>
      <c r="D975" s="2" t="s">
        <v>2525</v>
      </c>
      <c r="E975" s="2" t="s">
        <v>2517</v>
      </c>
      <c r="F975" s="3">
        <v>66823</v>
      </c>
      <c r="G975" s="3">
        <v>582</v>
      </c>
      <c r="H975" s="3">
        <v>68</v>
      </c>
      <c r="I975" s="4">
        <v>1021.65</v>
      </c>
      <c r="J975" s="4">
        <v>1059.55</v>
      </c>
      <c r="K975" s="3">
        <v>48</v>
      </c>
      <c r="L975" s="2" t="s">
        <v>2523</v>
      </c>
      <c r="M975" s="2" t="s">
        <v>2526</v>
      </c>
      <c r="N975" s="6">
        <f t="shared" si="60"/>
        <v>1</v>
      </c>
      <c r="O975" t="str">
        <f>IF(Tabla_control[[#This Row],[Control_duplicados]]&gt;1,"Duplicado","Unico")</f>
        <v>Unico</v>
      </c>
      <c r="P975" t="str">
        <f t="shared" si="61"/>
        <v>OK</v>
      </c>
      <c r="Q975" t="str">
        <f t="shared" si="62"/>
        <v>OK</v>
      </c>
      <c r="R975" t="str">
        <f t="shared" si="63"/>
        <v>OK</v>
      </c>
    </row>
    <row r="976" spans="1:18" x14ac:dyDescent="0.3">
      <c r="A976" s="1">
        <v>45856</v>
      </c>
      <c r="B976" s="2" t="s">
        <v>2644</v>
      </c>
      <c r="C976" s="2" t="s">
        <v>2527</v>
      </c>
      <c r="D976" s="2" t="s">
        <v>2531</v>
      </c>
      <c r="E976" s="2" t="s">
        <v>2517</v>
      </c>
      <c r="F976" s="3">
        <v>128897</v>
      </c>
      <c r="G976" s="3">
        <v>8402</v>
      </c>
      <c r="H976" s="3">
        <v>326</v>
      </c>
      <c r="I976" s="4">
        <v>2532.1799999999998</v>
      </c>
      <c r="J976" s="4">
        <v>33859.339999999997</v>
      </c>
      <c r="K976" s="3">
        <v>236</v>
      </c>
      <c r="L976" s="2" t="s">
        <v>2518</v>
      </c>
      <c r="M976" s="2" t="s">
        <v>2524</v>
      </c>
      <c r="N976" s="6">
        <f t="shared" si="60"/>
        <v>1</v>
      </c>
      <c r="O976" t="str">
        <f>IF(Tabla_control[[#This Row],[Control_duplicados]]&gt;1,"Duplicado","Unico")</f>
        <v>Unico</v>
      </c>
      <c r="P976" t="str">
        <f t="shared" si="61"/>
        <v>OK</v>
      </c>
      <c r="Q976" t="str">
        <f t="shared" si="62"/>
        <v>OK</v>
      </c>
      <c r="R976" t="str">
        <f t="shared" si="63"/>
        <v>OK</v>
      </c>
    </row>
    <row r="977" spans="1:18" x14ac:dyDescent="0.3">
      <c r="A977" s="1">
        <v>45982</v>
      </c>
      <c r="B977" s="2" t="s">
        <v>2627</v>
      </c>
      <c r="C977" s="2" t="s">
        <v>2521</v>
      </c>
      <c r="D977" s="2" t="s">
        <v>2528</v>
      </c>
      <c r="E977" s="2" t="s">
        <v>2529</v>
      </c>
      <c r="F977" s="3">
        <v>15348</v>
      </c>
      <c r="G977" s="3">
        <v>330</v>
      </c>
      <c r="H977" s="3">
        <v>20</v>
      </c>
      <c r="I977" s="4">
        <v>270.88</v>
      </c>
      <c r="J977" s="4">
        <v>2997.12</v>
      </c>
      <c r="K977" s="3">
        <v>11</v>
      </c>
      <c r="L977" s="2" t="s">
        <v>2518</v>
      </c>
      <c r="M977" s="2" t="s">
        <v>2526</v>
      </c>
      <c r="N977" s="6">
        <f t="shared" si="60"/>
        <v>1</v>
      </c>
      <c r="O977" t="str">
        <f>IF(Tabla_control[[#This Row],[Control_duplicados]]&gt;1,"Duplicado","Unico")</f>
        <v>Unico</v>
      </c>
      <c r="P977" t="str">
        <f t="shared" si="61"/>
        <v>OK</v>
      </c>
      <c r="Q977" t="str">
        <f t="shared" si="62"/>
        <v>OK</v>
      </c>
      <c r="R977" t="str">
        <f t="shared" si="63"/>
        <v>OK</v>
      </c>
    </row>
    <row r="978" spans="1:18" x14ac:dyDescent="0.3">
      <c r="A978" s="1">
        <v>45756</v>
      </c>
      <c r="B978" s="2" t="s">
        <v>2634</v>
      </c>
      <c r="C978" s="2" t="s">
        <v>2541</v>
      </c>
      <c r="D978" s="2" t="s">
        <v>2528</v>
      </c>
      <c r="E978" s="2" t="s">
        <v>2529</v>
      </c>
      <c r="F978" s="3">
        <v>160691</v>
      </c>
      <c r="G978" s="3">
        <v>13134</v>
      </c>
      <c r="H978" s="3">
        <v>1464</v>
      </c>
      <c r="I978" s="4">
        <v>26381.86</v>
      </c>
      <c r="J978" s="4">
        <v>272818.65999999997</v>
      </c>
      <c r="K978" s="3">
        <v>1027</v>
      </c>
      <c r="L978" s="2" t="s">
        <v>2518</v>
      </c>
      <c r="M978" s="2" t="s">
        <v>2524</v>
      </c>
      <c r="N978" s="6">
        <f t="shared" si="60"/>
        <v>1</v>
      </c>
      <c r="O978" t="str">
        <f>IF(Tabla_control[[#This Row],[Control_duplicados]]&gt;1,"Duplicado","Unico")</f>
        <v>Unico</v>
      </c>
      <c r="P978" t="str">
        <f t="shared" si="61"/>
        <v>OK</v>
      </c>
      <c r="Q978" t="str">
        <f t="shared" si="62"/>
        <v>OK</v>
      </c>
      <c r="R978" t="str">
        <f t="shared" si="63"/>
        <v>OK</v>
      </c>
    </row>
    <row r="979" spans="1:18" x14ac:dyDescent="0.3">
      <c r="A979" s="1">
        <v>45892</v>
      </c>
      <c r="B979" s="2" t="s">
        <v>2616</v>
      </c>
      <c r="C979" s="2" t="s">
        <v>2533</v>
      </c>
      <c r="D979" s="2" t="s">
        <v>2525</v>
      </c>
      <c r="E979" s="2" t="s">
        <v>2529</v>
      </c>
      <c r="F979" s="3">
        <v>83680</v>
      </c>
      <c r="G979" s="3">
        <v>5220</v>
      </c>
      <c r="H979" s="3">
        <v>498</v>
      </c>
      <c r="I979" s="4">
        <v>4579.9799999999996</v>
      </c>
      <c r="J979" s="4">
        <v>107752.71</v>
      </c>
      <c r="K979" s="3">
        <v>241</v>
      </c>
      <c r="L979" s="2" t="s">
        <v>2523</v>
      </c>
      <c r="M979" s="2" t="s">
        <v>2546</v>
      </c>
      <c r="N979" s="6">
        <f t="shared" si="60"/>
        <v>1</v>
      </c>
      <c r="O979" t="str">
        <f>IF(Tabla_control[[#This Row],[Control_duplicados]]&gt;1,"Duplicado","Unico")</f>
        <v>Unico</v>
      </c>
      <c r="P979" t="str">
        <f t="shared" si="61"/>
        <v>OK</v>
      </c>
      <c r="Q979" t="str">
        <f t="shared" si="62"/>
        <v>OK</v>
      </c>
      <c r="R979" t="str">
        <f t="shared" si="63"/>
        <v>OK</v>
      </c>
    </row>
    <row r="980" spans="1:18" x14ac:dyDescent="0.3">
      <c r="A980" s="1">
        <v>45758</v>
      </c>
      <c r="B980" s="2" t="s">
        <v>2625</v>
      </c>
      <c r="C980" s="2" t="s">
        <v>2527</v>
      </c>
      <c r="D980" s="2" t="s">
        <v>2516</v>
      </c>
      <c r="E980" s="2" t="s">
        <v>2534</v>
      </c>
      <c r="F980" s="3">
        <v>178605</v>
      </c>
      <c r="G980" s="3">
        <v>12653</v>
      </c>
      <c r="H980" s="3">
        <v>783</v>
      </c>
      <c r="I980" s="4">
        <v>3726.37</v>
      </c>
      <c r="J980" s="4">
        <v>48503.65</v>
      </c>
      <c r="K980" s="3">
        <v>484</v>
      </c>
      <c r="L980" s="2" t="s">
        <v>2518</v>
      </c>
      <c r="M980" s="2" t="s">
        <v>2524</v>
      </c>
      <c r="N980" s="6">
        <f t="shared" si="60"/>
        <v>1</v>
      </c>
      <c r="O980" t="str">
        <f>IF(Tabla_control[[#This Row],[Control_duplicados]]&gt;1,"Duplicado","Unico")</f>
        <v>Unico</v>
      </c>
      <c r="P980" t="str">
        <f t="shared" si="61"/>
        <v>OK</v>
      </c>
      <c r="Q980" t="str">
        <f t="shared" si="62"/>
        <v>OK</v>
      </c>
      <c r="R980" t="str">
        <f t="shared" si="63"/>
        <v>OK</v>
      </c>
    </row>
    <row r="981" spans="1:18" x14ac:dyDescent="0.3">
      <c r="A981" s="1">
        <v>46016</v>
      </c>
      <c r="B981" s="2" t="s">
        <v>2616</v>
      </c>
      <c r="C981" s="2" t="s">
        <v>2527</v>
      </c>
      <c r="D981" s="2" t="s">
        <v>2531</v>
      </c>
      <c r="E981" s="2" t="s">
        <v>2517</v>
      </c>
      <c r="F981" s="3">
        <v>123430</v>
      </c>
      <c r="G981" s="3">
        <v>11014</v>
      </c>
      <c r="H981" s="3">
        <v>1442</v>
      </c>
      <c r="I981" s="4">
        <v>21349.39</v>
      </c>
      <c r="J981" s="4">
        <v>94430.74</v>
      </c>
      <c r="K981" s="3">
        <v>864</v>
      </c>
      <c r="L981" s="2" t="s">
        <v>2536</v>
      </c>
      <c r="M981" s="2" t="s">
        <v>2537</v>
      </c>
      <c r="N981" s="6">
        <f t="shared" si="60"/>
        <v>1</v>
      </c>
      <c r="O981" t="str">
        <f>IF(Tabla_control[[#This Row],[Control_duplicados]]&gt;1,"Duplicado","Unico")</f>
        <v>Unico</v>
      </c>
      <c r="P981" t="str">
        <f t="shared" si="61"/>
        <v>OK</v>
      </c>
      <c r="Q981" t="str">
        <f t="shared" si="62"/>
        <v>OK</v>
      </c>
      <c r="R981" t="str">
        <f t="shared" si="63"/>
        <v>OK</v>
      </c>
    </row>
    <row r="982" spans="1:18" x14ac:dyDescent="0.3">
      <c r="A982" s="1">
        <v>45969</v>
      </c>
      <c r="B982" s="2" t="s">
        <v>2637</v>
      </c>
      <c r="C982" s="2" t="s">
        <v>2515</v>
      </c>
      <c r="D982" s="2" t="s">
        <v>2525</v>
      </c>
      <c r="E982" s="2" t="s">
        <v>2529</v>
      </c>
      <c r="F982" s="3">
        <v>87769</v>
      </c>
      <c r="G982" s="3">
        <v>6894</v>
      </c>
      <c r="H982" s="3">
        <v>765</v>
      </c>
      <c r="I982" s="4">
        <v>2989.98</v>
      </c>
      <c r="J982" s="4">
        <v>158117.46</v>
      </c>
      <c r="K982" s="3">
        <v>627</v>
      </c>
      <c r="L982" s="2" t="s">
        <v>2518</v>
      </c>
      <c r="M982" s="2" t="s">
        <v>2546</v>
      </c>
      <c r="N982" s="6">
        <f t="shared" si="60"/>
        <v>1</v>
      </c>
      <c r="O982" t="str">
        <f>IF(Tabla_control[[#This Row],[Control_duplicados]]&gt;1,"Duplicado","Unico")</f>
        <v>Unico</v>
      </c>
      <c r="P982" t="str">
        <f t="shared" si="61"/>
        <v>OK</v>
      </c>
      <c r="Q982" t="str">
        <f t="shared" si="62"/>
        <v>OK</v>
      </c>
      <c r="R982" t="str">
        <f t="shared" si="63"/>
        <v>OK</v>
      </c>
    </row>
    <row r="983" spans="1:18" x14ac:dyDescent="0.3">
      <c r="A983" s="1">
        <v>45978</v>
      </c>
      <c r="B983" s="2" t="s">
        <v>2616</v>
      </c>
      <c r="C983" s="2" t="s">
        <v>2515</v>
      </c>
      <c r="D983" s="2" t="s">
        <v>2528</v>
      </c>
      <c r="E983" s="2" t="s">
        <v>2517</v>
      </c>
      <c r="F983" s="3">
        <v>116741</v>
      </c>
      <c r="G983" s="3">
        <v>7116</v>
      </c>
      <c r="H983" s="3">
        <v>429</v>
      </c>
      <c r="I983" s="4">
        <v>3398.98</v>
      </c>
      <c r="J983" s="4">
        <v>47069.04</v>
      </c>
      <c r="K983" s="3">
        <v>333</v>
      </c>
      <c r="L983" s="2" t="s">
        <v>2539</v>
      </c>
      <c r="M983" s="2" t="s">
        <v>2524</v>
      </c>
      <c r="N983" s="6">
        <f t="shared" si="60"/>
        <v>1</v>
      </c>
      <c r="O983" t="str">
        <f>IF(Tabla_control[[#This Row],[Control_duplicados]]&gt;1,"Duplicado","Unico")</f>
        <v>Unico</v>
      </c>
      <c r="P983" t="str">
        <f t="shared" si="61"/>
        <v>OK</v>
      </c>
      <c r="Q983" t="str">
        <f t="shared" si="62"/>
        <v>OK</v>
      </c>
      <c r="R983" t="str">
        <f t="shared" si="63"/>
        <v>OK</v>
      </c>
    </row>
    <row r="984" spans="1:18" x14ac:dyDescent="0.3">
      <c r="A984" s="1">
        <v>45821</v>
      </c>
      <c r="B984" s="2" t="s">
        <v>2630</v>
      </c>
      <c r="C984" s="2" t="s">
        <v>2515</v>
      </c>
      <c r="D984" s="2" t="s">
        <v>2531</v>
      </c>
      <c r="E984" s="2" t="s">
        <v>2517</v>
      </c>
      <c r="F984" s="3">
        <v>75891</v>
      </c>
      <c r="G984" s="3">
        <v>4887</v>
      </c>
      <c r="H984" s="3">
        <v>625</v>
      </c>
      <c r="I984" s="4">
        <v>4117.8599999999997</v>
      </c>
      <c r="J984" s="4">
        <v>109906.16</v>
      </c>
      <c r="K984" s="3">
        <v>477</v>
      </c>
      <c r="L984" s="2" t="s">
        <v>2523</v>
      </c>
      <c r="M984" s="2" t="s">
        <v>2526</v>
      </c>
      <c r="N984" s="6">
        <f t="shared" si="60"/>
        <v>1</v>
      </c>
      <c r="O984" t="str">
        <f>IF(Tabla_control[[#This Row],[Control_duplicados]]&gt;1,"Duplicado","Unico")</f>
        <v>Unico</v>
      </c>
      <c r="P984" t="str">
        <f t="shared" si="61"/>
        <v>OK</v>
      </c>
      <c r="Q984" t="str">
        <f t="shared" si="62"/>
        <v>OK</v>
      </c>
      <c r="R984" t="str">
        <f t="shared" si="63"/>
        <v>OK</v>
      </c>
    </row>
    <row r="985" spans="1:18" x14ac:dyDescent="0.3">
      <c r="A985" s="1">
        <v>45841</v>
      </c>
      <c r="B985" s="2" t="s">
        <v>2640</v>
      </c>
      <c r="C985" s="2" t="s">
        <v>2543</v>
      </c>
      <c r="D985" s="2" t="s">
        <v>2528</v>
      </c>
      <c r="E985" s="2" t="s">
        <v>2529</v>
      </c>
      <c r="F985" s="3">
        <v>136270</v>
      </c>
      <c r="G985" s="3">
        <v>670</v>
      </c>
      <c r="H985" s="3">
        <v>39</v>
      </c>
      <c r="I985" s="4">
        <v>786.45</v>
      </c>
      <c r="J985" s="4">
        <v>6409.71</v>
      </c>
      <c r="K985" s="3">
        <v>30</v>
      </c>
      <c r="L985" s="2" t="s">
        <v>2539</v>
      </c>
      <c r="M985" s="2" t="s">
        <v>2519</v>
      </c>
      <c r="N985" s="6">
        <f t="shared" si="60"/>
        <v>1</v>
      </c>
      <c r="O985" t="str">
        <f>IF(Tabla_control[[#This Row],[Control_duplicados]]&gt;1,"Duplicado","Unico")</f>
        <v>Unico</v>
      </c>
      <c r="P985" t="str">
        <f t="shared" si="61"/>
        <v>OK</v>
      </c>
      <c r="Q985" t="str">
        <f t="shared" si="62"/>
        <v>OK</v>
      </c>
      <c r="R985" t="str">
        <f t="shared" si="63"/>
        <v>OK</v>
      </c>
    </row>
    <row r="986" spans="1:18" x14ac:dyDescent="0.3">
      <c r="A986" s="1">
        <v>45692</v>
      </c>
      <c r="B986" s="2" t="s">
        <v>2622</v>
      </c>
      <c r="C986" s="2" t="s">
        <v>2527</v>
      </c>
      <c r="D986" s="2" t="s">
        <v>2522</v>
      </c>
      <c r="E986" s="2" t="s">
        <v>2517</v>
      </c>
      <c r="F986" s="3">
        <v>26309</v>
      </c>
      <c r="G986" s="3">
        <v>1703</v>
      </c>
      <c r="H986" s="3">
        <v>47</v>
      </c>
      <c r="I986" s="4">
        <v>1152.47</v>
      </c>
      <c r="J986" s="4">
        <v>4195.67</v>
      </c>
      <c r="K986" s="3">
        <v>31</v>
      </c>
      <c r="L986" s="2" t="s">
        <v>2536</v>
      </c>
      <c r="M986" s="2" t="s">
        <v>2524</v>
      </c>
      <c r="N986" s="6">
        <f t="shared" si="60"/>
        <v>1</v>
      </c>
      <c r="O986" t="str">
        <f>IF(Tabla_control[[#This Row],[Control_duplicados]]&gt;1,"Duplicado","Unico")</f>
        <v>Unico</v>
      </c>
      <c r="P986" t="str">
        <f t="shared" si="61"/>
        <v>OK</v>
      </c>
      <c r="Q986" t="str">
        <f t="shared" si="62"/>
        <v>OK</v>
      </c>
      <c r="R986" t="str">
        <f t="shared" si="63"/>
        <v>OK</v>
      </c>
    </row>
    <row r="987" spans="1:18" x14ac:dyDescent="0.3">
      <c r="A987" s="1">
        <v>45739</v>
      </c>
      <c r="B987" s="2" t="s">
        <v>2623</v>
      </c>
      <c r="C987" s="2" t="s">
        <v>2527</v>
      </c>
      <c r="D987" s="2" t="s">
        <v>2516</v>
      </c>
      <c r="E987" s="2" t="s">
        <v>2517</v>
      </c>
      <c r="F987" s="3">
        <v>104636</v>
      </c>
      <c r="G987" s="3">
        <v>5983</v>
      </c>
      <c r="H987" s="3">
        <v>172</v>
      </c>
      <c r="I987" s="4">
        <v>7422.32</v>
      </c>
      <c r="J987" s="4">
        <v>6415.62</v>
      </c>
      <c r="K987" s="3">
        <v>122</v>
      </c>
      <c r="L987" s="2" t="s">
        <v>2518</v>
      </c>
      <c r="M987" s="2" t="s">
        <v>2526</v>
      </c>
      <c r="N987" s="6">
        <f t="shared" si="60"/>
        <v>1</v>
      </c>
      <c r="O987" t="str">
        <f>IF(Tabla_control[[#This Row],[Control_duplicados]]&gt;1,"Duplicado","Unico")</f>
        <v>Unico</v>
      </c>
      <c r="P987" t="str">
        <f t="shared" si="61"/>
        <v>OK</v>
      </c>
      <c r="Q987" t="str">
        <f t="shared" si="62"/>
        <v>OK</v>
      </c>
      <c r="R987" t="str">
        <f t="shared" si="63"/>
        <v>OK</v>
      </c>
    </row>
    <row r="988" spans="1:18" x14ac:dyDescent="0.3">
      <c r="A988" s="1">
        <v>45829</v>
      </c>
      <c r="B988" s="2" t="s">
        <v>2630</v>
      </c>
      <c r="C988" s="2" t="s">
        <v>2533</v>
      </c>
      <c r="D988" s="2" t="s">
        <v>2522</v>
      </c>
      <c r="E988" s="2" t="s">
        <v>2517</v>
      </c>
      <c r="F988" s="3">
        <v>81817</v>
      </c>
      <c r="G988" s="3">
        <v>1192</v>
      </c>
      <c r="H988" s="3">
        <v>104</v>
      </c>
      <c r="I988" s="4">
        <v>2213.25</v>
      </c>
      <c r="J988" s="4">
        <v>6526.38</v>
      </c>
      <c r="K988" s="3">
        <v>66</v>
      </c>
      <c r="L988" s="2" t="s">
        <v>2539</v>
      </c>
      <c r="M988" s="2" t="s">
        <v>2524</v>
      </c>
      <c r="N988" s="6">
        <f t="shared" si="60"/>
        <v>1</v>
      </c>
      <c r="O988" t="str">
        <f>IF(Tabla_control[[#This Row],[Control_duplicados]]&gt;1,"Duplicado","Unico")</f>
        <v>Unico</v>
      </c>
      <c r="P988" t="str">
        <f t="shared" si="61"/>
        <v>OK</v>
      </c>
      <c r="Q988" t="str">
        <f t="shared" si="62"/>
        <v>OK</v>
      </c>
      <c r="R988" t="str">
        <f t="shared" si="63"/>
        <v>OK</v>
      </c>
    </row>
    <row r="989" spans="1:18" x14ac:dyDescent="0.3">
      <c r="A989" s="1">
        <v>45658</v>
      </c>
      <c r="B989" s="2" t="s">
        <v>2628</v>
      </c>
      <c r="C989" s="2" t="s">
        <v>2541</v>
      </c>
      <c r="D989" s="2" t="s">
        <v>2528</v>
      </c>
      <c r="E989" s="2" t="s">
        <v>2517</v>
      </c>
      <c r="F989" s="3">
        <v>110409</v>
      </c>
      <c r="G989" s="3">
        <v>9365</v>
      </c>
      <c r="H989" s="3">
        <v>559</v>
      </c>
      <c r="I989" s="4">
        <v>18551.97</v>
      </c>
      <c r="J989" s="4">
        <v>110464.95</v>
      </c>
      <c r="K989" s="3">
        <v>254</v>
      </c>
      <c r="L989" s="2" t="s">
        <v>2523</v>
      </c>
      <c r="M989" s="2" t="s">
        <v>2537</v>
      </c>
      <c r="N989" s="6">
        <f t="shared" si="60"/>
        <v>1</v>
      </c>
      <c r="O989" t="str">
        <f>IF(Tabla_control[[#This Row],[Control_duplicados]]&gt;1,"Duplicado","Unico")</f>
        <v>Unico</v>
      </c>
      <c r="P989" t="str">
        <f t="shared" si="61"/>
        <v>OK</v>
      </c>
      <c r="Q989" t="str">
        <f t="shared" si="62"/>
        <v>OK</v>
      </c>
      <c r="R989" t="str">
        <f t="shared" si="63"/>
        <v>OK</v>
      </c>
    </row>
    <row r="990" spans="1:18" x14ac:dyDescent="0.3">
      <c r="A990" s="1">
        <v>45928</v>
      </c>
      <c r="B990" s="2" t="s">
        <v>2631</v>
      </c>
      <c r="C990" s="2" t="s">
        <v>2543</v>
      </c>
      <c r="D990" s="2" t="s">
        <v>2531</v>
      </c>
      <c r="E990" s="2" t="s">
        <v>2517</v>
      </c>
      <c r="F990" s="3">
        <v>85211</v>
      </c>
      <c r="G990" s="3">
        <v>1105</v>
      </c>
      <c r="H990" s="3">
        <v>39</v>
      </c>
      <c r="I990" s="4">
        <v>2200.96</v>
      </c>
      <c r="J990" s="4">
        <v>4903.47</v>
      </c>
      <c r="K990" s="3">
        <v>22</v>
      </c>
      <c r="L990" s="2" t="s">
        <v>2523</v>
      </c>
      <c r="M990" s="2" t="s">
        <v>2519</v>
      </c>
      <c r="N990" s="6">
        <f t="shared" si="60"/>
        <v>1</v>
      </c>
      <c r="O990" t="str">
        <f>IF(Tabla_control[[#This Row],[Control_duplicados]]&gt;1,"Duplicado","Unico")</f>
        <v>Unico</v>
      </c>
      <c r="P990" t="str">
        <f t="shared" si="61"/>
        <v>OK</v>
      </c>
      <c r="Q990" t="str">
        <f t="shared" si="62"/>
        <v>OK</v>
      </c>
      <c r="R990" t="str">
        <f t="shared" si="63"/>
        <v>OK</v>
      </c>
    </row>
    <row r="991" spans="1:18" x14ac:dyDescent="0.3">
      <c r="A991" s="1">
        <v>45834</v>
      </c>
      <c r="B991" s="2" t="s">
        <v>2630</v>
      </c>
      <c r="C991" s="2" t="s">
        <v>2521</v>
      </c>
      <c r="D991" s="2" t="s">
        <v>2528</v>
      </c>
      <c r="E991" s="2" t="s">
        <v>2529</v>
      </c>
      <c r="F991" s="3">
        <v>57555</v>
      </c>
      <c r="G991" s="3">
        <v>954</v>
      </c>
      <c r="H991" s="3">
        <v>126</v>
      </c>
      <c r="I991" s="4">
        <v>844.02</v>
      </c>
      <c r="J991" s="4">
        <v>2411.37</v>
      </c>
      <c r="K991" s="3">
        <v>69</v>
      </c>
      <c r="L991" s="2" t="s">
        <v>2518</v>
      </c>
      <c r="M991" s="2" t="s">
        <v>2524</v>
      </c>
      <c r="N991" s="6">
        <f t="shared" si="60"/>
        <v>1</v>
      </c>
      <c r="O991" t="str">
        <f>IF(Tabla_control[[#This Row],[Control_duplicados]]&gt;1,"Duplicado","Unico")</f>
        <v>Unico</v>
      </c>
      <c r="P991" t="str">
        <f t="shared" si="61"/>
        <v>OK</v>
      </c>
      <c r="Q991" t="str">
        <f t="shared" si="62"/>
        <v>OK</v>
      </c>
      <c r="R991" t="str">
        <f t="shared" si="63"/>
        <v>OK</v>
      </c>
    </row>
    <row r="992" spans="1:18" x14ac:dyDescent="0.3">
      <c r="A992" s="1">
        <v>45870</v>
      </c>
      <c r="B992" s="2" t="s">
        <v>2624</v>
      </c>
      <c r="C992" s="2" t="s">
        <v>2541</v>
      </c>
      <c r="D992" s="2" t="s">
        <v>2528</v>
      </c>
      <c r="E992" s="2" t="s">
        <v>2529</v>
      </c>
      <c r="F992" s="3">
        <v>168745</v>
      </c>
      <c r="G992" s="3">
        <v>8736</v>
      </c>
      <c r="H992" s="3">
        <v>450</v>
      </c>
      <c r="I992" s="4">
        <v>2774.46</v>
      </c>
      <c r="J992" s="4">
        <v>48249.9</v>
      </c>
      <c r="K992" s="3">
        <v>278</v>
      </c>
      <c r="L992" s="2" t="s">
        <v>2523</v>
      </c>
      <c r="M992" s="2" t="s">
        <v>2524</v>
      </c>
      <c r="N992" s="6">
        <f t="shared" si="60"/>
        <v>1</v>
      </c>
      <c r="O992" t="str">
        <f>IF(Tabla_control[[#This Row],[Control_duplicados]]&gt;1,"Duplicado","Unico")</f>
        <v>Unico</v>
      </c>
      <c r="P992" t="str">
        <f t="shared" si="61"/>
        <v>OK</v>
      </c>
      <c r="Q992" t="str">
        <f t="shared" si="62"/>
        <v>OK</v>
      </c>
      <c r="R992" t="str">
        <f t="shared" si="63"/>
        <v>OK</v>
      </c>
    </row>
    <row r="993" spans="1:18" x14ac:dyDescent="0.3">
      <c r="A993" s="1">
        <v>45892</v>
      </c>
      <c r="B993" s="2" t="s">
        <v>2628</v>
      </c>
      <c r="C993" s="2" t="s">
        <v>2543</v>
      </c>
      <c r="D993" s="2" t="s">
        <v>2516</v>
      </c>
      <c r="E993" s="2" t="s">
        <v>2517</v>
      </c>
      <c r="F993" s="3">
        <v>23363</v>
      </c>
      <c r="G993" s="3">
        <v>559</v>
      </c>
      <c r="H993" s="3">
        <v>3</v>
      </c>
      <c r="I993" s="4">
        <v>232.93</v>
      </c>
      <c r="J993" s="4">
        <v>571.92999999999995</v>
      </c>
      <c r="K993" s="3">
        <v>2</v>
      </c>
      <c r="L993" s="2" t="s">
        <v>2523</v>
      </c>
      <c r="M993" s="2" t="s">
        <v>2526</v>
      </c>
      <c r="N993" s="6">
        <f t="shared" si="60"/>
        <v>1</v>
      </c>
      <c r="O993" t="str">
        <f>IF(Tabla_control[[#This Row],[Control_duplicados]]&gt;1,"Duplicado","Unico")</f>
        <v>Unico</v>
      </c>
      <c r="P993" t="str">
        <f t="shared" si="61"/>
        <v>OK</v>
      </c>
      <c r="Q993" t="str">
        <f t="shared" si="62"/>
        <v>OK</v>
      </c>
      <c r="R993" t="str">
        <f t="shared" si="63"/>
        <v>OK</v>
      </c>
    </row>
    <row r="994" spans="1:18" x14ac:dyDescent="0.3">
      <c r="A994" s="1">
        <v>45720</v>
      </c>
      <c r="B994" s="2" t="s">
        <v>2626</v>
      </c>
      <c r="C994" s="2" t="s">
        <v>2541</v>
      </c>
      <c r="D994" s="2" t="s">
        <v>2528</v>
      </c>
      <c r="E994" s="2" t="s">
        <v>2529</v>
      </c>
      <c r="F994" s="3">
        <v>79688</v>
      </c>
      <c r="G994" s="3">
        <v>1162</v>
      </c>
      <c r="H994" s="3">
        <v>69</v>
      </c>
      <c r="I994" s="4">
        <v>164.67</v>
      </c>
      <c r="J994" s="4">
        <v>4512.41</v>
      </c>
      <c r="K994" s="3">
        <v>42</v>
      </c>
      <c r="L994" s="2" t="s">
        <v>2523</v>
      </c>
      <c r="M994" s="2" t="s">
        <v>2519</v>
      </c>
      <c r="N994" s="6">
        <f t="shared" si="60"/>
        <v>1</v>
      </c>
      <c r="O994" t="str">
        <f>IF(Tabla_control[[#This Row],[Control_duplicados]]&gt;1,"Duplicado","Unico")</f>
        <v>Unico</v>
      </c>
      <c r="P994" t="str">
        <f t="shared" si="61"/>
        <v>OK</v>
      </c>
      <c r="Q994" t="str">
        <f t="shared" si="62"/>
        <v>OK</v>
      </c>
      <c r="R994" t="str">
        <f t="shared" si="63"/>
        <v>OK</v>
      </c>
    </row>
    <row r="995" spans="1:18" x14ac:dyDescent="0.3">
      <c r="A995" s="1">
        <v>45768</v>
      </c>
      <c r="B995" s="2" t="s">
        <v>2618</v>
      </c>
      <c r="C995" s="2" t="s">
        <v>2543</v>
      </c>
      <c r="D995" s="2" t="s">
        <v>2528</v>
      </c>
      <c r="E995" s="2" t="s">
        <v>2534</v>
      </c>
      <c r="F995" s="3">
        <v>47716</v>
      </c>
      <c r="G995" s="3">
        <v>2054</v>
      </c>
      <c r="H995" s="3">
        <v>220</v>
      </c>
      <c r="I995" s="4">
        <v>2473.4499999999998</v>
      </c>
      <c r="J995" s="4">
        <v>29414</v>
      </c>
      <c r="K995" s="3">
        <v>163</v>
      </c>
      <c r="L995" s="2" t="s">
        <v>2523</v>
      </c>
      <c r="M995" s="2" t="s">
        <v>2524</v>
      </c>
      <c r="N995" s="6">
        <f t="shared" si="60"/>
        <v>1</v>
      </c>
      <c r="O995" t="str">
        <f>IF(Tabla_control[[#This Row],[Control_duplicados]]&gt;1,"Duplicado","Unico")</f>
        <v>Unico</v>
      </c>
      <c r="P995" t="str">
        <f t="shared" si="61"/>
        <v>OK</v>
      </c>
      <c r="Q995" t="str">
        <f t="shared" si="62"/>
        <v>OK</v>
      </c>
      <c r="R995" t="str">
        <f t="shared" si="63"/>
        <v>OK</v>
      </c>
    </row>
    <row r="996" spans="1:18" x14ac:dyDescent="0.3">
      <c r="A996" s="1">
        <v>45741</v>
      </c>
      <c r="B996" s="2" t="s">
        <v>2621</v>
      </c>
      <c r="C996" s="2" t="s">
        <v>2645</v>
      </c>
      <c r="D996" s="2" t="s">
        <v>2516</v>
      </c>
      <c r="E996" s="2" t="s">
        <v>2529</v>
      </c>
      <c r="F996" s="3">
        <v>115691</v>
      </c>
      <c r="G996" s="3">
        <v>4297</v>
      </c>
      <c r="H996" s="3">
        <v>466</v>
      </c>
      <c r="I996" s="4">
        <v>3908.17</v>
      </c>
      <c r="J996" s="4">
        <v>91499.65</v>
      </c>
      <c r="K996" s="3">
        <v>323</v>
      </c>
      <c r="L996" s="2" t="s">
        <v>2536</v>
      </c>
      <c r="M996" s="2" t="s">
        <v>2537</v>
      </c>
      <c r="N996" s="6">
        <f t="shared" si="60"/>
        <v>1</v>
      </c>
      <c r="O996" t="str">
        <f>IF(Tabla_control[[#This Row],[Control_duplicados]]&gt;1,"Duplicado","Unico")</f>
        <v>Unico</v>
      </c>
      <c r="P996" t="str">
        <f t="shared" si="61"/>
        <v>OK</v>
      </c>
      <c r="Q996" t="str">
        <f t="shared" si="62"/>
        <v>OK</v>
      </c>
      <c r="R996" t="str">
        <f t="shared" si="63"/>
        <v>OK</v>
      </c>
    </row>
    <row r="997" spans="1:18" x14ac:dyDescent="0.3">
      <c r="A997" s="1">
        <v>45859</v>
      </c>
      <c r="B997" s="2" t="s">
        <v>2632</v>
      </c>
      <c r="C997" s="2" t="s">
        <v>2645</v>
      </c>
      <c r="D997" s="2" t="s">
        <v>2522</v>
      </c>
      <c r="E997" s="2" t="s">
        <v>2517</v>
      </c>
      <c r="F997" s="3">
        <v>59275</v>
      </c>
      <c r="G997" s="3">
        <v>1012</v>
      </c>
      <c r="H997" s="3">
        <v>41</v>
      </c>
      <c r="I997" s="4">
        <v>197.08</v>
      </c>
      <c r="J997" s="4">
        <v>5609.18</v>
      </c>
      <c r="K997" s="3">
        <v>30</v>
      </c>
      <c r="L997" s="2" t="s">
        <v>2518</v>
      </c>
      <c r="M997" s="2" t="s">
        <v>2526</v>
      </c>
      <c r="N997" s="6">
        <f t="shared" si="60"/>
        <v>1</v>
      </c>
      <c r="O997" t="str">
        <f>IF(Tabla_control[[#This Row],[Control_duplicados]]&gt;1,"Duplicado","Unico")</f>
        <v>Unico</v>
      </c>
      <c r="P997" t="str">
        <f t="shared" si="61"/>
        <v>OK</v>
      </c>
      <c r="Q997" t="str">
        <f t="shared" si="62"/>
        <v>OK</v>
      </c>
      <c r="R997" t="str">
        <f t="shared" si="63"/>
        <v>OK</v>
      </c>
    </row>
    <row r="998" spans="1:18" x14ac:dyDescent="0.3">
      <c r="A998" s="1">
        <v>45797</v>
      </c>
      <c r="B998" s="2" t="s">
        <v>2642</v>
      </c>
      <c r="C998" s="2" t="s">
        <v>2541</v>
      </c>
      <c r="D998" s="2" t="s">
        <v>2528</v>
      </c>
      <c r="E998" s="2" t="s">
        <v>2517</v>
      </c>
      <c r="F998" s="3">
        <v>40440</v>
      </c>
      <c r="G998" s="3">
        <v>2315</v>
      </c>
      <c r="H998" s="3">
        <v>181</v>
      </c>
      <c r="I998" s="4">
        <v>3457.49</v>
      </c>
      <c r="J998" s="4">
        <v>11670.72</v>
      </c>
      <c r="K998" s="3">
        <v>120</v>
      </c>
      <c r="L998" s="2" t="s">
        <v>2536</v>
      </c>
      <c r="M998" s="2" t="s">
        <v>2526</v>
      </c>
      <c r="N998" s="6">
        <f t="shared" si="60"/>
        <v>1</v>
      </c>
      <c r="O998" t="str">
        <f>IF(Tabla_control[[#This Row],[Control_duplicados]]&gt;1,"Duplicado","Unico")</f>
        <v>Unico</v>
      </c>
      <c r="P998" t="str">
        <f t="shared" si="61"/>
        <v>OK</v>
      </c>
      <c r="Q998" t="str">
        <f t="shared" si="62"/>
        <v>OK</v>
      </c>
      <c r="R998" t="str">
        <f t="shared" si="63"/>
        <v>OK</v>
      </c>
    </row>
    <row r="999" spans="1:18" x14ac:dyDescent="0.3">
      <c r="A999" s="1">
        <v>45801</v>
      </c>
      <c r="B999" s="2" t="s">
        <v>2636</v>
      </c>
      <c r="C999" s="2" t="s">
        <v>2543</v>
      </c>
      <c r="D999" s="2" t="s">
        <v>2525</v>
      </c>
      <c r="E999" s="2" t="s">
        <v>2529</v>
      </c>
      <c r="F999" s="3">
        <v>137348</v>
      </c>
      <c r="G999" s="3">
        <v>10190</v>
      </c>
      <c r="H999" s="3">
        <v>700</v>
      </c>
      <c r="I999" s="4">
        <v>15445.47</v>
      </c>
      <c r="J999" s="4">
        <v>56834.55</v>
      </c>
      <c r="K999" s="3">
        <v>595</v>
      </c>
      <c r="L999" s="2" t="s">
        <v>2536</v>
      </c>
      <c r="M999" s="2" t="s">
        <v>2524</v>
      </c>
      <c r="N999" s="6">
        <f t="shared" si="60"/>
        <v>1</v>
      </c>
      <c r="O999" t="str">
        <f>IF(Tabla_control[[#This Row],[Control_duplicados]]&gt;1,"Duplicado","Unico")</f>
        <v>Unico</v>
      </c>
      <c r="P999" t="str">
        <f t="shared" si="61"/>
        <v>OK</v>
      </c>
      <c r="Q999" t="str">
        <f t="shared" si="62"/>
        <v>OK</v>
      </c>
      <c r="R999" t="str">
        <f t="shared" si="63"/>
        <v>OK</v>
      </c>
    </row>
    <row r="1000" spans="1:18" x14ac:dyDescent="0.3">
      <c r="A1000" s="1">
        <v>45970</v>
      </c>
      <c r="B1000" s="2" t="s">
        <v>2632</v>
      </c>
      <c r="C1000" s="2" t="s">
        <v>2527</v>
      </c>
      <c r="D1000" s="2" t="s">
        <v>2531</v>
      </c>
      <c r="E1000" s="2" t="s">
        <v>2534</v>
      </c>
      <c r="F1000" s="3">
        <v>93484</v>
      </c>
      <c r="G1000" s="3">
        <v>7730</v>
      </c>
      <c r="H1000" s="3">
        <v>796</v>
      </c>
      <c r="I1000" s="4">
        <v>8103.71</v>
      </c>
      <c r="J1000" s="4">
        <v>44460.06</v>
      </c>
      <c r="K1000" s="3">
        <v>602</v>
      </c>
      <c r="L1000" s="2" t="s">
        <v>2536</v>
      </c>
      <c r="M1000" s="2" t="s">
        <v>2537</v>
      </c>
      <c r="N1000" s="6">
        <f t="shared" si="60"/>
        <v>1</v>
      </c>
      <c r="O1000" t="str">
        <f>IF(Tabla_control[[#This Row],[Control_duplicados]]&gt;1,"Duplicado","Unico")</f>
        <v>Unico</v>
      </c>
      <c r="P1000" t="str">
        <f t="shared" si="61"/>
        <v>OK</v>
      </c>
      <c r="Q1000" t="str">
        <f t="shared" si="62"/>
        <v>OK</v>
      </c>
      <c r="R1000" t="str">
        <f t="shared" si="63"/>
        <v>OK</v>
      </c>
    </row>
    <row r="1001" spans="1:18" x14ac:dyDescent="0.3">
      <c r="A1001" s="1">
        <v>45704</v>
      </c>
      <c r="B1001" s="2" t="s">
        <v>2632</v>
      </c>
      <c r="C1001" s="2" t="s">
        <v>2541</v>
      </c>
      <c r="D1001" s="2" t="s">
        <v>2516</v>
      </c>
      <c r="E1001" s="2" t="s">
        <v>2529</v>
      </c>
      <c r="F1001" s="3">
        <v>146627</v>
      </c>
      <c r="G1001" s="3">
        <v>4232</v>
      </c>
      <c r="H1001" s="3">
        <v>390</v>
      </c>
      <c r="I1001" s="4">
        <v>964.12</v>
      </c>
      <c r="J1001" s="4">
        <v>68528.31</v>
      </c>
      <c r="K1001" s="3">
        <v>266</v>
      </c>
      <c r="L1001" s="2" t="s">
        <v>2539</v>
      </c>
      <c r="M1001" s="2" t="s">
        <v>2519</v>
      </c>
      <c r="N1001" s="6">
        <f t="shared" si="60"/>
        <v>1</v>
      </c>
      <c r="O1001" t="str">
        <f>IF(Tabla_control[[#This Row],[Control_duplicados]]&gt;1,"Duplicado","Unico")</f>
        <v>Unico</v>
      </c>
      <c r="P1001" t="str">
        <f t="shared" si="61"/>
        <v>OK</v>
      </c>
      <c r="Q1001" t="str">
        <f t="shared" si="62"/>
        <v>OK</v>
      </c>
      <c r="R1001" t="str">
        <f t="shared" si="63"/>
        <v>OK</v>
      </c>
    </row>
    <row r="1002" spans="1:18" x14ac:dyDescent="0.3">
      <c r="A1002" s="1">
        <v>45909</v>
      </c>
      <c r="B1002" s="2" t="s">
        <v>2630</v>
      </c>
      <c r="C1002" s="2" t="s">
        <v>2543</v>
      </c>
      <c r="D1002" s="2" t="s">
        <v>2522</v>
      </c>
      <c r="E1002" s="2" t="s">
        <v>2529</v>
      </c>
      <c r="F1002" s="3">
        <v>21568</v>
      </c>
      <c r="G1002" s="3">
        <v>447</v>
      </c>
      <c r="H1002" s="3">
        <v>4</v>
      </c>
      <c r="I1002" s="4">
        <v>228.5</v>
      </c>
      <c r="J1002" s="4">
        <v>415.24</v>
      </c>
      <c r="K1002" s="3">
        <v>2</v>
      </c>
      <c r="L1002" s="2" t="s">
        <v>2523</v>
      </c>
      <c r="M1002" s="2" t="s">
        <v>2519</v>
      </c>
      <c r="N1002" s="6">
        <f t="shared" si="60"/>
        <v>1</v>
      </c>
      <c r="O1002" t="str">
        <f>IF(Tabla_control[[#This Row],[Control_duplicados]]&gt;1,"Duplicado","Unico")</f>
        <v>Unico</v>
      </c>
      <c r="P1002" t="str">
        <f t="shared" si="61"/>
        <v>OK</v>
      </c>
      <c r="Q1002" t="str">
        <f t="shared" si="62"/>
        <v>OK</v>
      </c>
      <c r="R1002" t="str">
        <f t="shared" si="63"/>
        <v>OK</v>
      </c>
    </row>
    <row r="1003" spans="1:18" x14ac:dyDescent="0.3">
      <c r="A1003" s="1">
        <v>45967</v>
      </c>
      <c r="B1003" s="2" t="s">
        <v>2639</v>
      </c>
      <c r="C1003" s="2" t="s">
        <v>2533</v>
      </c>
      <c r="D1003" s="2" t="s">
        <v>2531</v>
      </c>
      <c r="E1003" s="2" t="s">
        <v>2529</v>
      </c>
      <c r="F1003" s="3">
        <v>88614</v>
      </c>
      <c r="G1003" s="3">
        <v>2787</v>
      </c>
      <c r="H1003" s="3">
        <v>216</v>
      </c>
      <c r="I1003" s="4">
        <v>5386.79</v>
      </c>
      <c r="J1003" s="4">
        <v>7164.93</v>
      </c>
      <c r="K1003" s="3">
        <v>117</v>
      </c>
      <c r="L1003" s="2" t="s">
        <v>2518</v>
      </c>
      <c r="M1003" s="2" t="s">
        <v>2524</v>
      </c>
      <c r="N1003" s="6">
        <f t="shared" si="60"/>
        <v>1</v>
      </c>
      <c r="O1003" t="str">
        <f>IF(Tabla_control[[#This Row],[Control_duplicados]]&gt;1,"Duplicado","Unico")</f>
        <v>Unico</v>
      </c>
      <c r="P1003" t="str">
        <f t="shared" si="61"/>
        <v>OK</v>
      </c>
      <c r="Q1003" t="str">
        <f t="shared" si="62"/>
        <v>OK</v>
      </c>
      <c r="R1003" t="str">
        <f t="shared" si="63"/>
        <v>OK</v>
      </c>
    </row>
    <row r="1004" spans="1:18" x14ac:dyDescent="0.3">
      <c r="A1004" s="1">
        <v>45836</v>
      </c>
      <c r="B1004" s="2" t="s">
        <v>2621</v>
      </c>
      <c r="C1004" s="2" t="s">
        <v>2521</v>
      </c>
      <c r="D1004" s="2" t="s">
        <v>2525</v>
      </c>
      <c r="E1004" s="2" t="s">
        <v>2534</v>
      </c>
      <c r="F1004" s="3">
        <v>34572</v>
      </c>
      <c r="G1004" s="3">
        <v>576</v>
      </c>
      <c r="H1004" s="3">
        <v>48</v>
      </c>
      <c r="I1004" s="4">
        <v>386.89</v>
      </c>
      <c r="J1004" s="4">
        <v>8015.47</v>
      </c>
      <c r="K1004" s="3">
        <v>30</v>
      </c>
      <c r="L1004" s="2" t="s">
        <v>2523</v>
      </c>
      <c r="M1004" s="2" t="s">
        <v>2546</v>
      </c>
      <c r="N1004" s="6">
        <f t="shared" si="60"/>
        <v>2</v>
      </c>
      <c r="O1004" t="str">
        <f>IF(Tabla_control[[#This Row],[Control_duplicados]]&gt;1,"Duplicado","Unico")</f>
        <v>Duplicado</v>
      </c>
      <c r="P1004" t="str">
        <f t="shared" si="61"/>
        <v>OK</v>
      </c>
      <c r="Q1004" t="str">
        <f t="shared" si="62"/>
        <v>OK</v>
      </c>
      <c r="R1004" t="str">
        <f t="shared" si="63"/>
        <v>OK</v>
      </c>
    </row>
    <row r="1005" spans="1:18" x14ac:dyDescent="0.3">
      <c r="A1005" s="1">
        <v>45939</v>
      </c>
      <c r="B1005" s="2" t="s">
        <v>2616</v>
      </c>
      <c r="C1005" s="2" t="s">
        <v>2541</v>
      </c>
      <c r="D1005" s="2" t="s">
        <v>2528</v>
      </c>
      <c r="E1005" s="2" t="s">
        <v>2529</v>
      </c>
      <c r="F1005" s="3">
        <v>137155</v>
      </c>
      <c r="G1005" s="3">
        <v>9053</v>
      </c>
      <c r="H1005" s="3">
        <v>486</v>
      </c>
      <c r="I1005" s="4">
        <v>14717.34</v>
      </c>
      <c r="J1005" s="4">
        <v>92117.79</v>
      </c>
      <c r="K1005" s="3">
        <v>236</v>
      </c>
      <c r="L1005" s="2" t="s">
        <v>2523</v>
      </c>
      <c r="M1005" s="2" t="s">
        <v>2546</v>
      </c>
      <c r="N1005" s="6">
        <f t="shared" si="60"/>
        <v>1</v>
      </c>
      <c r="O1005" t="str">
        <f>IF(Tabla_control[[#This Row],[Control_duplicados]]&gt;1,"Duplicado","Unico")</f>
        <v>Unico</v>
      </c>
      <c r="P1005" t="str">
        <f t="shared" si="61"/>
        <v>OK</v>
      </c>
      <c r="Q1005" t="str">
        <f t="shared" si="62"/>
        <v>OK</v>
      </c>
      <c r="R1005" t="str">
        <f t="shared" si="63"/>
        <v>OK</v>
      </c>
    </row>
    <row r="1006" spans="1:18" x14ac:dyDescent="0.3">
      <c r="A1006" s="1">
        <v>45738</v>
      </c>
      <c r="B1006" s="2" t="s">
        <v>2620</v>
      </c>
      <c r="C1006" s="2" t="s">
        <v>2533</v>
      </c>
      <c r="D1006" s="2" t="s">
        <v>2528</v>
      </c>
      <c r="E1006" s="2" t="s">
        <v>2517</v>
      </c>
      <c r="F1006" s="3">
        <v>77768</v>
      </c>
      <c r="G1006" s="3">
        <v>3477</v>
      </c>
      <c r="H1006" s="3">
        <v>241</v>
      </c>
      <c r="I1006" s="4">
        <v>2650.64</v>
      </c>
      <c r="J1006" s="4">
        <v>26385.71</v>
      </c>
      <c r="K1006" s="3">
        <v>216</v>
      </c>
      <c r="L1006" s="2" t="s">
        <v>2518</v>
      </c>
      <c r="M1006" s="2" t="s">
        <v>2537</v>
      </c>
      <c r="N1006" s="6">
        <f t="shared" si="60"/>
        <v>1</v>
      </c>
      <c r="O1006" t="str">
        <f>IF(Tabla_control[[#This Row],[Control_duplicados]]&gt;1,"Duplicado","Unico")</f>
        <v>Unico</v>
      </c>
      <c r="P1006" t="str">
        <f t="shared" si="61"/>
        <v>OK</v>
      </c>
      <c r="Q1006" t="str">
        <f t="shared" si="62"/>
        <v>OK</v>
      </c>
      <c r="R1006" t="str">
        <f t="shared" si="63"/>
        <v>OK</v>
      </c>
    </row>
    <row r="1007" spans="1:18" x14ac:dyDescent="0.3">
      <c r="A1007" s="1">
        <v>45927</v>
      </c>
      <c r="B1007" s="2" t="s">
        <v>2642</v>
      </c>
      <c r="C1007" s="2" t="s">
        <v>2533</v>
      </c>
      <c r="D1007" s="2" t="s">
        <v>2522</v>
      </c>
      <c r="E1007" s="2" t="s">
        <v>2529</v>
      </c>
      <c r="F1007" s="3">
        <v>41555</v>
      </c>
      <c r="G1007" s="3">
        <v>3734</v>
      </c>
      <c r="H1007" s="3">
        <v>406</v>
      </c>
      <c r="I1007" s="4">
        <v>5396.3</v>
      </c>
      <c r="J1007" s="4">
        <v>24339.39</v>
      </c>
      <c r="K1007" s="3">
        <v>340</v>
      </c>
      <c r="L1007" s="2" t="s">
        <v>2539</v>
      </c>
      <c r="M1007" s="2" t="s">
        <v>2519</v>
      </c>
      <c r="N1007" s="6">
        <f t="shared" si="60"/>
        <v>1</v>
      </c>
      <c r="O1007" t="str">
        <f>IF(Tabla_control[[#This Row],[Control_duplicados]]&gt;1,"Duplicado","Unico")</f>
        <v>Unico</v>
      </c>
      <c r="P1007" t="str">
        <f t="shared" si="61"/>
        <v>OK</v>
      </c>
      <c r="Q1007" t="str">
        <f t="shared" si="62"/>
        <v>OK</v>
      </c>
      <c r="R1007" t="str">
        <f t="shared" si="63"/>
        <v>OK</v>
      </c>
    </row>
    <row r="1008" spans="1:18" x14ac:dyDescent="0.3">
      <c r="A1008" s="1">
        <v>45972</v>
      </c>
      <c r="B1008" s="2" t="s">
        <v>2639</v>
      </c>
      <c r="C1008" s="2" t="s">
        <v>2515</v>
      </c>
      <c r="D1008" s="2" t="s">
        <v>2528</v>
      </c>
      <c r="E1008" s="2" t="s">
        <v>2529</v>
      </c>
      <c r="F1008" s="3">
        <v>158040</v>
      </c>
      <c r="G1008" s="3">
        <v>5300</v>
      </c>
      <c r="H1008" s="3">
        <v>643</v>
      </c>
      <c r="I1008" s="4">
        <v>3699.69</v>
      </c>
      <c r="J1008" s="4">
        <v>52503.24</v>
      </c>
      <c r="K1008" s="3">
        <v>415</v>
      </c>
      <c r="L1008" s="2" t="s">
        <v>2518</v>
      </c>
      <c r="M1008" s="2" t="s">
        <v>2537</v>
      </c>
      <c r="N1008" s="6">
        <f t="shared" si="60"/>
        <v>1</v>
      </c>
      <c r="O1008" t="str">
        <f>IF(Tabla_control[[#This Row],[Control_duplicados]]&gt;1,"Duplicado","Unico")</f>
        <v>Unico</v>
      </c>
      <c r="P1008" t="str">
        <f t="shared" si="61"/>
        <v>OK</v>
      </c>
      <c r="Q1008" t="str">
        <f t="shared" si="62"/>
        <v>OK</v>
      </c>
      <c r="R1008" t="str">
        <f t="shared" si="63"/>
        <v>OK</v>
      </c>
    </row>
    <row r="1009" spans="1:18" x14ac:dyDescent="0.3">
      <c r="A1009" s="1">
        <v>46013</v>
      </c>
      <c r="B1009" s="2" t="s">
        <v>2632</v>
      </c>
      <c r="C1009" s="2" t="s">
        <v>2533</v>
      </c>
      <c r="D1009" s="2" t="s">
        <v>2525</v>
      </c>
      <c r="E1009" s="2" t="s">
        <v>2529</v>
      </c>
      <c r="F1009" s="3">
        <v>67067</v>
      </c>
      <c r="G1009" s="3">
        <v>4075</v>
      </c>
      <c r="H1009" s="3">
        <v>469</v>
      </c>
      <c r="I1009" s="4">
        <v>3644.6</v>
      </c>
      <c r="J1009" s="4">
        <v>29998.53</v>
      </c>
      <c r="K1009" s="3">
        <v>246</v>
      </c>
      <c r="L1009" s="2" t="s">
        <v>2536</v>
      </c>
      <c r="M1009" s="2" t="s">
        <v>2546</v>
      </c>
      <c r="N1009" s="6">
        <f t="shared" si="60"/>
        <v>1</v>
      </c>
      <c r="O1009" t="str">
        <f>IF(Tabla_control[[#This Row],[Control_duplicados]]&gt;1,"Duplicado","Unico")</f>
        <v>Unico</v>
      </c>
      <c r="P1009" t="str">
        <f t="shared" si="61"/>
        <v>OK</v>
      </c>
      <c r="Q1009" t="str">
        <f t="shared" si="62"/>
        <v>OK</v>
      </c>
      <c r="R1009" t="str">
        <f t="shared" si="63"/>
        <v>OK</v>
      </c>
    </row>
    <row r="1010" spans="1:18" x14ac:dyDescent="0.3">
      <c r="A1010" s="1">
        <v>45961</v>
      </c>
      <c r="B1010" s="2" t="s">
        <v>2634</v>
      </c>
      <c r="C1010" s="2" t="s">
        <v>2515</v>
      </c>
      <c r="D1010" s="2" t="s">
        <v>2528</v>
      </c>
      <c r="E1010" s="2" t="s">
        <v>2529</v>
      </c>
      <c r="F1010" s="3">
        <v>24120</v>
      </c>
      <c r="G1010" s="3">
        <v>2104</v>
      </c>
      <c r="H1010" s="3">
        <v>284</v>
      </c>
      <c r="I1010" s="4">
        <v>2152.62</v>
      </c>
      <c r="J1010" s="4">
        <v>53347.32</v>
      </c>
      <c r="K1010" s="3">
        <v>192</v>
      </c>
      <c r="L1010" s="2" t="s">
        <v>2518</v>
      </c>
      <c r="M1010" s="2" t="s">
        <v>2546</v>
      </c>
      <c r="N1010" s="6">
        <f t="shared" si="60"/>
        <v>1</v>
      </c>
      <c r="O1010" t="str">
        <f>IF(Tabla_control[[#This Row],[Control_duplicados]]&gt;1,"Duplicado","Unico")</f>
        <v>Unico</v>
      </c>
      <c r="P1010" t="str">
        <f t="shared" si="61"/>
        <v>OK</v>
      </c>
      <c r="Q1010" t="str">
        <f t="shared" si="62"/>
        <v>OK</v>
      </c>
      <c r="R1010" t="str">
        <f t="shared" si="63"/>
        <v>OK</v>
      </c>
    </row>
    <row r="1011" spans="1:18" x14ac:dyDescent="0.3">
      <c r="A1011" s="1">
        <v>45905</v>
      </c>
      <c r="B1011" s="2" t="s">
        <v>2623</v>
      </c>
      <c r="C1011" s="2" t="s">
        <v>2521</v>
      </c>
      <c r="D1011" s="2" t="s">
        <v>2528</v>
      </c>
      <c r="E1011" s="2" t="s">
        <v>2517</v>
      </c>
      <c r="F1011" s="3">
        <v>50790</v>
      </c>
      <c r="G1011" s="3">
        <v>1730</v>
      </c>
      <c r="H1011" s="3">
        <v>63</v>
      </c>
      <c r="I1011" s="4">
        <v>3511.97</v>
      </c>
      <c r="J1011" s="4">
        <v>7150.79</v>
      </c>
      <c r="K1011" s="3">
        <v>29</v>
      </c>
      <c r="L1011" s="2" t="s">
        <v>2518</v>
      </c>
      <c r="M1011" s="2" t="s">
        <v>2519</v>
      </c>
      <c r="N1011" s="6">
        <f t="shared" si="60"/>
        <v>1</v>
      </c>
      <c r="O1011" t="str">
        <f>IF(Tabla_control[[#This Row],[Control_duplicados]]&gt;1,"Duplicado","Unico")</f>
        <v>Unico</v>
      </c>
      <c r="P1011" t="str">
        <f t="shared" si="61"/>
        <v>OK</v>
      </c>
      <c r="Q1011" t="str">
        <f t="shared" si="62"/>
        <v>OK</v>
      </c>
      <c r="R1011" t="str">
        <f t="shared" si="63"/>
        <v>OK</v>
      </c>
    </row>
    <row r="1012" spans="1:18" x14ac:dyDescent="0.3">
      <c r="A1012" s="1">
        <v>45873</v>
      </c>
      <c r="B1012" s="2" t="s">
        <v>2630</v>
      </c>
      <c r="C1012" s="2" t="s">
        <v>2543</v>
      </c>
      <c r="D1012" s="2" t="s">
        <v>2531</v>
      </c>
      <c r="E1012" s="2" t="s">
        <v>2529</v>
      </c>
      <c r="F1012" s="3">
        <v>84018</v>
      </c>
      <c r="G1012" s="3">
        <v>1899</v>
      </c>
      <c r="H1012" s="3">
        <v>225</v>
      </c>
      <c r="I1012" s="4">
        <v>1804.78</v>
      </c>
      <c r="J1012" s="4">
        <v>6499.81</v>
      </c>
      <c r="K1012" s="3">
        <v>189</v>
      </c>
      <c r="L1012" s="2" t="s">
        <v>2518</v>
      </c>
      <c r="M1012" s="2" t="s">
        <v>2519</v>
      </c>
      <c r="N1012" s="6">
        <f t="shared" si="60"/>
        <v>1</v>
      </c>
      <c r="O1012" t="str">
        <f>IF(Tabla_control[[#This Row],[Control_duplicados]]&gt;1,"Duplicado","Unico")</f>
        <v>Unico</v>
      </c>
      <c r="P1012" t="str">
        <f t="shared" si="61"/>
        <v>OK</v>
      </c>
      <c r="Q1012" t="str">
        <f t="shared" si="62"/>
        <v>OK</v>
      </c>
      <c r="R1012" t="str">
        <f t="shared" si="63"/>
        <v>OK</v>
      </c>
    </row>
    <row r="1013" spans="1:18" x14ac:dyDescent="0.3">
      <c r="A1013" s="1">
        <v>45823</v>
      </c>
      <c r="B1013" s="2" t="s">
        <v>2628</v>
      </c>
      <c r="C1013" s="2" t="s">
        <v>2521</v>
      </c>
      <c r="D1013" s="2" t="s">
        <v>2525</v>
      </c>
      <c r="E1013" s="2" t="s">
        <v>2529</v>
      </c>
      <c r="F1013" s="3">
        <v>49479</v>
      </c>
      <c r="G1013" s="3">
        <v>4264</v>
      </c>
      <c r="H1013" s="3">
        <v>34</v>
      </c>
      <c r="I1013" s="4">
        <v>8570.36</v>
      </c>
      <c r="J1013" s="4">
        <v>665.5</v>
      </c>
      <c r="K1013" s="3">
        <v>26</v>
      </c>
      <c r="L1013" s="2" t="s">
        <v>2518</v>
      </c>
      <c r="M1013" s="2" t="s">
        <v>2526</v>
      </c>
      <c r="N1013" s="6">
        <f t="shared" si="60"/>
        <v>1</v>
      </c>
      <c r="O1013" t="str">
        <f>IF(Tabla_control[[#This Row],[Control_duplicados]]&gt;1,"Duplicado","Unico")</f>
        <v>Unico</v>
      </c>
      <c r="P1013" t="str">
        <f t="shared" si="61"/>
        <v>OK</v>
      </c>
      <c r="Q1013" t="str">
        <f t="shared" si="62"/>
        <v>OK</v>
      </c>
      <c r="R1013" t="str">
        <f t="shared" si="63"/>
        <v>OK</v>
      </c>
    </row>
    <row r="1014" spans="1:18" x14ac:dyDescent="0.3">
      <c r="A1014" s="1">
        <v>45704</v>
      </c>
      <c r="B1014" s="2" t="s">
        <v>2615</v>
      </c>
      <c r="C1014" s="2" t="s">
        <v>2521</v>
      </c>
      <c r="D1014" s="2" t="s">
        <v>2531</v>
      </c>
      <c r="E1014" s="2" t="s">
        <v>2529</v>
      </c>
      <c r="F1014" s="3">
        <v>135898</v>
      </c>
      <c r="G1014" s="3">
        <v>11029</v>
      </c>
      <c r="H1014" s="3">
        <v>341</v>
      </c>
      <c r="I1014" s="4">
        <v>10182.02</v>
      </c>
      <c r="J1014" s="4">
        <v>57607.519999999997</v>
      </c>
      <c r="K1014" s="3">
        <v>252</v>
      </c>
      <c r="L1014" s="2" t="s">
        <v>2536</v>
      </c>
      <c r="M1014" s="2" t="s">
        <v>2546</v>
      </c>
      <c r="N1014" s="6">
        <f t="shared" si="60"/>
        <v>1</v>
      </c>
      <c r="O1014" t="str">
        <f>IF(Tabla_control[[#This Row],[Control_duplicados]]&gt;1,"Duplicado","Unico")</f>
        <v>Unico</v>
      </c>
      <c r="P1014" t="str">
        <f t="shared" si="61"/>
        <v>OK</v>
      </c>
      <c r="Q1014" t="str">
        <f t="shared" si="62"/>
        <v>OK</v>
      </c>
      <c r="R1014" t="str">
        <f t="shared" si="63"/>
        <v>OK</v>
      </c>
    </row>
    <row r="1015" spans="1:18" x14ac:dyDescent="0.3">
      <c r="A1015" s="1">
        <v>45734</v>
      </c>
      <c r="B1015" s="2" t="s">
        <v>2632</v>
      </c>
      <c r="C1015" s="2" t="s">
        <v>2521</v>
      </c>
      <c r="D1015" s="2" t="s">
        <v>2516</v>
      </c>
      <c r="E1015" s="2" t="s">
        <v>2517</v>
      </c>
      <c r="F1015" s="3">
        <v>53396</v>
      </c>
      <c r="G1015" s="3">
        <v>2714</v>
      </c>
      <c r="H1015" s="3">
        <v>91</v>
      </c>
      <c r="I1015" s="4">
        <v>2052.33</v>
      </c>
      <c r="J1015" s="4">
        <v>7483.75</v>
      </c>
      <c r="K1015" s="3">
        <v>59</v>
      </c>
      <c r="L1015" s="2" t="s">
        <v>2518</v>
      </c>
      <c r="M1015" s="2" t="s">
        <v>2526</v>
      </c>
      <c r="N1015" s="6">
        <f t="shared" si="60"/>
        <v>1</v>
      </c>
      <c r="O1015" t="str">
        <f>IF(Tabla_control[[#This Row],[Control_duplicados]]&gt;1,"Duplicado","Unico")</f>
        <v>Unico</v>
      </c>
      <c r="P1015" t="str">
        <f t="shared" si="61"/>
        <v>OK</v>
      </c>
      <c r="Q1015" t="str">
        <f t="shared" si="62"/>
        <v>OK</v>
      </c>
      <c r="R1015" t="str">
        <f t="shared" si="63"/>
        <v>OK</v>
      </c>
    </row>
    <row r="1016" spans="1:18" x14ac:dyDescent="0.3">
      <c r="A1016" s="1">
        <v>45973</v>
      </c>
      <c r="B1016" s="2" t="s">
        <v>2615</v>
      </c>
      <c r="C1016" s="2" t="s">
        <v>2527</v>
      </c>
      <c r="D1016" s="2" t="s">
        <v>2528</v>
      </c>
      <c r="E1016" s="2" t="s">
        <v>2517</v>
      </c>
      <c r="F1016" s="3">
        <v>64063</v>
      </c>
      <c r="G1016" s="3">
        <v>65037</v>
      </c>
      <c r="H1016" s="3">
        <v>92</v>
      </c>
      <c r="I1016" s="4">
        <v>5526.32</v>
      </c>
      <c r="J1016" s="4">
        <v>11954.8</v>
      </c>
      <c r="K1016" s="3">
        <v>60</v>
      </c>
      <c r="L1016" s="2" t="s">
        <v>2536</v>
      </c>
      <c r="M1016" s="2" t="s">
        <v>2537</v>
      </c>
      <c r="N1016" s="6">
        <f t="shared" si="60"/>
        <v>1</v>
      </c>
      <c r="O1016" t="str">
        <f>IF(Tabla_control[[#This Row],[Control_duplicados]]&gt;1,"Duplicado","Unico")</f>
        <v>Unico</v>
      </c>
      <c r="P1016" t="str">
        <f t="shared" si="61"/>
        <v>OK</v>
      </c>
      <c r="Q1016" t="str">
        <f t="shared" si="62"/>
        <v>OK</v>
      </c>
      <c r="R1016" t="str">
        <f t="shared" si="63"/>
        <v>OK</v>
      </c>
    </row>
    <row r="1017" spans="1:18" x14ac:dyDescent="0.3">
      <c r="A1017" s="1">
        <v>45838</v>
      </c>
      <c r="B1017" s="2" t="s">
        <v>2615</v>
      </c>
      <c r="C1017" s="2" t="s">
        <v>2541</v>
      </c>
      <c r="D1017" s="2" t="s">
        <v>2528</v>
      </c>
      <c r="E1017" s="2" t="s">
        <v>2529</v>
      </c>
      <c r="F1017" s="3">
        <v>10447</v>
      </c>
      <c r="G1017" s="3">
        <v>663</v>
      </c>
      <c r="H1017" s="3">
        <v>23</v>
      </c>
      <c r="I1017" s="4">
        <v>995.72</v>
      </c>
      <c r="J1017" s="4">
        <v>3015.39</v>
      </c>
      <c r="K1017" s="3">
        <v>17</v>
      </c>
      <c r="L1017" s="2" t="s">
        <v>2536</v>
      </c>
      <c r="M1017" s="2" t="s">
        <v>2524</v>
      </c>
      <c r="N1017" s="6">
        <f t="shared" si="60"/>
        <v>1</v>
      </c>
      <c r="O1017" t="str">
        <f>IF(Tabla_control[[#This Row],[Control_duplicados]]&gt;1,"Duplicado","Unico")</f>
        <v>Unico</v>
      </c>
      <c r="P1017" t="str">
        <f t="shared" si="61"/>
        <v>OK</v>
      </c>
      <c r="Q1017" t="str">
        <f t="shared" si="62"/>
        <v>OK</v>
      </c>
      <c r="R1017" t="str">
        <f t="shared" si="63"/>
        <v>OK</v>
      </c>
    </row>
    <row r="1018" spans="1:18" x14ac:dyDescent="0.3">
      <c r="A1018" s="1">
        <v>45915</v>
      </c>
      <c r="B1018" s="2" t="s">
        <v>2620</v>
      </c>
      <c r="C1018" s="2" t="s">
        <v>2533</v>
      </c>
      <c r="D1018" s="2" t="s">
        <v>2522</v>
      </c>
      <c r="E1018" s="2" t="s">
        <v>2517</v>
      </c>
      <c r="F1018" s="3">
        <v>72023</v>
      </c>
      <c r="G1018" s="3">
        <v>5074</v>
      </c>
      <c r="H1018" s="3">
        <v>170</v>
      </c>
      <c r="I1018" s="4">
        <v>1589.75</v>
      </c>
      <c r="J1018" s="4">
        <v>12513.31</v>
      </c>
      <c r="K1018" s="3">
        <v>103</v>
      </c>
      <c r="L1018" s="2" t="s">
        <v>2523</v>
      </c>
      <c r="M1018" s="2" t="s">
        <v>2526</v>
      </c>
      <c r="N1018" s="6">
        <f t="shared" si="60"/>
        <v>1</v>
      </c>
      <c r="O1018" t="str">
        <f>IF(Tabla_control[[#This Row],[Control_duplicados]]&gt;1,"Duplicado","Unico")</f>
        <v>Unico</v>
      </c>
      <c r="P1018" t="str">
        <f t="shared" si="61"/>
        <v>OK</v>
      </c>
      <c r="Q1018" t="str">
        <f t="shared" si="62"/>
        <v>OK</v>
      </c>
      <c r="R1018" t="str">
        <f t="shared" si="63"/>
        <v>OK</v>
      </c>
    </row>
    <row r="1019" spans="1:18" x14ac:dyDescent="0.3">
      <c r="A1019" s="1">
        <v>45934</v>
      </c>
      <c r="B1019" s="2" t="s">
        <v>2620</v>
      </c>
      <c r="C1019" s="2" t="s">
        <v>2527</v>
      </c>
      <c r="D1019" s="2" t="s">
        <v>2531</v>
      </c>
      <c r="E1019" s="2" t="s">
        <v>2517</v>
      </c>
      <c r="F1019" s="3">
        <v>44007</v>
      </c>
      <c r="G1019" s="3">
        <v>1585</v>
      </c>
      <c r="H1019" s="3">
        <v>146</v>
      </c>
      <c r="I1019" s="4">
        <v>2086.08</v>
      </c>
      <c r="J1019" s="4">
        <v>30913.98</v>
      </c>
      <c r="K1019" s="3">
        <v>76</v>
      </c>
      <c r="L1019" s="2" t="s">
        <v>2539</v>
      </c>
      <c r="M1019" s="2" t="s">
        <v>2546</v>
      </c>
      <c r="N1019" s="6">
        <f t="shared" si="60"/>
        <v>1</v>
      </c>
      <c r="O1019" t="str">
        <f>IF(Tabla_control[[#This Row],[Control_duplicados]]&gt;1,"Duplicado","Unico")</f>
        <v>Unico</v>
      </c>
      <c r="P1019" t="str">
        <f t="shared" si="61"/>
        <v>OK</v>
      </c>
      <c r="Q1019" t="str">
        <f t="shared" si="62"/>
        <v>OK</v>
      </c>
      <c r="R1019" t="str">
        <f t="shared" si="63"/>
        <v>OK</v>
      </c>
    </row>
    <row r="1020" spans="1:18" x14ac:dyDescent="0.3">
      <c r="A1020" s="1">
        <v>45970</v>
      </c>
      <c r="B1020" s="2" t="s">
        <v>2642</v>
      </c>
      <c r="C1020" s="2" t="s">
        <v>2541</v>
      </c>
      <c r="D1020" s="2" t="s">
        <v>2525</v>
      </c>
      <c r="E1020" s="2" t="s">
        <v>2534</v>
      </c>
      <c r="F1020" s="3">
        <v>59084</v>
      </c>
      <c r="G1020" s="3">
        <v>761</v>
      </c>
      <c r="H1020" s="3">
        <v>86</v>
      </c>
      <c r="I1020" s="4">
        <v>443.84</v>
      </c>
      <c r="J1020" s="4">
        <v>7295.11</v>
      </c>
      <c r="K1020" s="3">
        <v>58</v>
      </c>
      <c r="L1020" s="2" t="s">
        <v>2539</v>
      </c>
      <c r="M1020" s="2" t="s">
        <v>2537</v>
      </c>
      <c r="N1020" s="6">
        <f t="shared" si="60"/>
        <v>1</v>
      </c>
      <c r="O1020" t="str">
        <f>IF(Tabla_control[[#This Row],[Control_duplicados]]&gt;1,"Duplicado","Unico")</f>
        <v>Unico</v>
      </c>
      <c r="P1020" t="str">
        <f t="shared" si="61"/>
        <v>OK</v>
      </c>
      <c r="Q1020" t="str">
        <f t="shared" si="62"/>
        <v>OK</v>
      </c>
      <c r="R1020" t="str">
        <f t="shared" si="63"/>
        <v>OK</v>
      </c>
    </row>
    <row r="1021" spans="1:18" x14ac:dyDescent="0.3">
      <c r="A1021" s="1">
        <v>45945</v>
      </c>
      <c r="B1021" s="2" t="s">
        <v>2644</v>
      </c>
      <c r="C1021" s="2" t="s">
        <v>2543</v>
      </c>
      <c r="D1021" s="2" t="s">
        <v>2528</v>
      </c>
      <c r="E1021" s="2" t="s">
        <v>2517</v>
      </c>
      <c r="F1021" s="3">
        <v>100871</v>
      </c>
      <c r="G1021" s="3">
        <v>3780</v>
      </c>
      <c r="H1021" s="3">
        <v>114</v>
      </c>
      <c r="I1021" s="4">
        <v>3300.77</v>
      </c>
      <c r="J1021" s="4">
        <v>24063.17</v>
      </c>
      <c r="K1021" s="3">
        <v>96</v>
      </c>
      <c r="L1021" s="2" t="s">
        <v>2523</v>
      </c>
      <c r="M1021" s="2" t="s">
        <v>2526</v>
      </c>
      <c r="N1021" s="6">
        <f t="shared" si="60"/>
        <v>1</v>
      </c>
      <c r="O1021" t="str">
        <f>IF(Tabla_control[[#This Row],[Control_duplicados]]&gt;1,"Duplicado","Unico")</f>
        <v>Unico</v>
      </c>
      <c r="P1021" t="str">
        <f t="shared" si="61"/>
        <v>OK</v>
      </c>
      <c r="Q1021" t="str">
        <f t="shared" si="62"/>
        <v>OK</v>
      </c>
      <c r="R1021" t="str">
        <f t="shared" si="63"/>
        <v>OK</v>
      </c>
    </row>
    <row r="1022" spans="1:18" x14ac:dyDescent="0.3">
      <c r="A1022" s="1">
        <v>45874</v>
      </c>
      <c r="B1022" s="2" t="s">
        <v>2620</v>
      </c>
      <c r="C1022" s="2" t="s">
        <v>2533</v>
      </c>
      <c r="D1022" s="2" t="s">
        <v>2522</v>
      </c>
      <c r="E1022" s="2" t="s">
        <v>2517</v>
      </c>
      <c r="F1022" s="3">
        <v>111376</v>
      </c>
      <c r="G1022" s="3">
        <v>2750</v>
      </c>
      <c r="H1022" s="3">
        <v>119</v>
      </c>
      <c r="I1022" s="4">
        <v>5315.88</v>
      </c>
      <c r="J1022" s="4">
        <v>5031.13</v>
      </c>
      <c r="K1022" s="3">
        <v>80</v>
      </c>
      <c r="L1022" s="2" t="s">
        <v>2523</v>
      </c>
      <c r="M1022" s="2" t="s">
        <v>2546</v>
      </c>
      <c r="N1022" s="6">
        <f t="shared" si="60"/>
        <v>1</v>
      </c>
      <c r="O1022" t="str">
        <f>IF(Tabla_control[[#This Row],[Control_duplicados]]&gt;1,"Duplicado","Unico")</f>
        <v>Unico</v>
      </c>
      <c r="P1022" t="str">
        <f t="shared" si="61"/>
        <v>OK</v>
      </c>
      <c r="Q1022" t="str">
        <f t="shared" si="62"/>
        <v>OK</v>
      </c>
      <c r="R1022" t="str">
        <f t="shared" si="63"/>
        <v>OK</v>
      </c>
    </row>
    <row r="1023" spans="1:18" x14ac:dyDescent="0.3">
      <c r="A1023" s="1">
        <v>45804</v>
      </c>
      <c r="B1023" s="2" t="s">
        <v>2642</v>
      </c>
      <c r="C1023" s="2" t="s">
        <v>2527</v>
      </c>
      <c r="D1023" s="2" t="s">
        <v>2528</v>
      </c>
      <c r="E1023" s="2" t="s">
        <v>2534</v>
      </c>
      <c r="F1023" s="3">
        <v>5456</v>
      </c>
      <c r="G1023" s="3">
        <v>150</v>
      </c>
      <c r="H1023" s="3">
        <v>9</v>
      </c>
      <c r="I1023" s="4">
        <v>16.22</v>
      </c>
      <c r="J1023" s="4">
        <v>622.11</v>
      </c>
      <c r="K1023" s="3">
        <v>4</v>
      </c>
      <c r="L1023" s="2" t="s">
        <v>2536</v>
      </c>
      <c r="M1023" s="2" t="s">
        <v>2524</v>
      </c>
      <c r="N1023" s="6">
        <f t="shared" si="60"/>
        <v>1</v>
      </c>
      <c r="O1023" t="str">
        <f>IF(Tabla_control[[#This Row],[Control_duplicados]]&gt;1,"Duplicado","Unico")</f>
        <v>Unico</v>
      </c>
      <c r="P1023" t="str">
        <f t="shared" si="61"/>
        <v>OK</v>
      </c>
      <c r="Q1023" t="str">
        <f t="shared" si="62"/>
        <v>OK</v>
      </c>
      <c r="R1023" t="str">
        <f t="shared" si="63"/>
        <v>OK</v>
      </c>
    </row>
    <row r="1024" spans="1:18" x14ac:dyDescent="0.3">
      <c r="A1024" s="1">
        <v>45898</v>
      </c>
      <c r="B1024" s="2" t="s">
        <v>2635</v>
      </c>
      <c r="C1024" s="2" t="s">
        <v>2541</v>
      </c>
      <c r="D1024" s="2" t="s">
        <v>2528</v>
      </c>
      <c r="E1024" s="2" t="s">
        <v>2529</v>
      </c>
      <c r="F1024" s="3">
        <v>33954</v>
      </c>
      <c r="G1024" s="3">
        <v>238</v>
      </c>
      <c r="H1024" s="3">
        <v>19</v>
      </c>
      <c r="I1024" s="4">
        <v>324.16000000000003</v>
      </c>
      <c r="J1024" s="4">
        <v>572.46</v>
      </c>
      <c r="K1024" s="3">
        <v>11</v>
      </c>
      <c r="L1024" s="2" t="s">
        <v>2523</v>
      </c>
      <c r="M1024" s="2" t="s">
        <v>2519</v>
      </c>
      <c r="N1024" s="6">
        <f t="shared" si="60"/>
        <v>1</v>
      </c>
      <c r="O1024" t="str">
        <f>IF(Tabla_control[[#This Row],[Control_duplicados]]&gt;1,"Duplicado","Unico")</f>
        <v>Unico</v>
      </c>
      <c r="P1024" t="str">
        <f t="shared" si="61"/>
        <v>OK</v>
      </c>
      <c r="Q1024" t="str">
        <f t="shared" si="62"/>
        <v>OK</v>
      </c>
      <c r="R1024" t="str">
        <f t="shared" si="63"/>
        <v>OK</v>
      </c>
    </row>
    <row r="1025" spans="1:18" x14ac:dyDescent="0.3">
      <c r="A1025" s="1">
        <v>45914</v>
      </c>
      <c r="B1025" s="2" t="s">
        <v>2619</v>
      </c>
      <c r="C1025" s="2" t="s">
        <v>2533</v>
      </c>
      <c r="D1025" s="2" t="s">
        <v>2528</v>
      </c>
      <c r="E1025" s="2" t="s">
        <v>2529</v>
      </c>
      <c r="F1025" s="3">
        <v>101921</v>
      </c>
      <c r="G1025" s="3">
        <v>5523</v>
      </c>
      <c r="H1025" s="3">
        <v>729</v>
      </c>
      <c r="I1025" s="4">
        <v>5460.95</v>
      </c>
      <c r="J1025" s="4">
        <v>95264.39</v>
      </c>
      <c r="K1025" s="3">
        <v>600</v>
      </c>
      <c r="L1025" s="2" t="s">
        <v>2518</v>
      </c>
      <c r="M1025" s="2" t="s">
        <v>2537</v>
      </c>
      <c r="N1025" s="6">
        <f t="shared" si="60"/>
        <v>1</v>
      </c>
      <c r="O1025" t="str">
        <f>IF(Tabla_control[[#This Row],[Control_duplicados]]&gt;1,"Duplicado","Unico")</f>
        <v>Unico</v>
      </c>
      <c r="P1025" t="str">
        <f t="shared" si="61"/>
        <v>OK</v>
      </c>
      <c r="Q1025" t="str">
        <f t="shared" si="62"/>
        <v>OK</v>
      </c>
      <c r="R1025" t="str">
        <f t="shared" si="63"/>
        <v>OK</v>
      </c>
    </row>
    <row r="1026" spans="1:18" x14ac:dyDescent="0.3">
      <c r="A1026" s="1">
        <v>45919</v>
      </c>
      <c r="B1026" s="2" t="s">
        <v>2636</v>
      </c>
      <c r="C1026" s="2" t="s">
        <v>2543</v>
      </c>
      <c r="D1026" s="2" t="s">
        <v>2525</v>
      </c>
      <c r="E1026" s="2" t="s">
        <v>2517</v>
      </c>
      <c r="F1026" s="3">
        <v>107165</v>
      </c>
      <c r="G1026" s="3">
        <v>6279</v>
      </c>
      <c r="H1026" s="3">
        <v>96</v>
      </c>
      <c r="I1026" s="4">
        <v>11935.31</v>
      </c>
      <c r="J1026" s="4">
        <v>6865.66</v>
      </c>
      <c r="K1026" s="3">
        <v>49</v>
      </c>
      <c r="L1026" s="2" t="s">
        <v>2539</v>
      </c>
      <c r="M1026" s="2" t="s">
        <v>2524</v>
      </c>
      <c r="N1026" s="6">
        <f t="shared" ref="N1026:N1089" si="64">COUNTIFS($A$2:$A$2536,A1026,$B$2:$B$2536,B1026,$C$2:$C$2536,C1026,$D$2:$D$2536,D1026,$E$2:$E$2536,E1026,$F$2:$F$2536,F1026,$G$2:$G$2536,G1026,$H$2:$H$2536,H1026,$I$2:$I$2536,I1026,$J$2:$J$2536,J1026,$K$2:$K$2536,K1026,$L$2:$L$2536,L1026,$M$2:$M$2536,M1026)</f>
        <v>1</v>
      </c>
      <c r="O1026" t="str">
        <f>IF(Tabla_control[[#This Row],[Control_duplicados]]&gt;1,"Duplicado","Unico")</f>
        <v>Unico</v>
      </c>
      <c r="P1026" t="str">
        <f t="shared" ref="P1026:P1089" si="65">IF(OR(I1026="",I1026&lt;0),"ERROR","OK")</f>
        <v>OK</v>
      </c>
      <c r="Q1026" t="str">
        <f t="shared" ref="Q1026:Q1089" si="66">IF(H1026&gt;F1026,"ERROR","OK")</f>
        <v>OK</v>
      </c>
      <c r="R1026" t="str">
        <f t="shared" ref="R1026:R1089" si="67">IF(K1026&gt;H1026,"ERROR","OK")</f>
        <v>OK</v>
      </c>
    </row>
    <row r="1027" spans="1:18" x14ac:dyDescent="0.3">
      <c r="A1027" s="1">
        <v>45737</v>
      </c>
      <c r="B1027" s="2" t="s">
        <v>2627</v>
      </c>
      <c r="C1027" s="2" t="s">
        <v>2521</v>
      </c>
      <c r="D1027" s="2" t="s">
        <v>2528</v>
      </c>
      <c r="E1027" s="2" t="s">
        <v>2529</v>
      </c>
      <c r="F1027" s="3">
        <v>155213</v>
      </c>
      <c r="G1027" s="3">
        <v>835</v>
      </c>
      <c r="H1027" s="3">
        <v>29</v>
      </c>
      <c r="I1027" s="4">
        <v>1531.41</v>
      </c>
      <c r="J1027" s="4">
        <v>5761.45</v>
      </c>
      <c r="K1027" s="3">
        <v>13</v>
      </c>
      <c r="L1027" s="2" t="s">
        <v>2523</v>
      </c>
      <c r="M1027" s="2" t="s">
        <v>2537</v>
      </c>
      <c r="N1027" s="6">
        <f t="shared" si="64"/>
        <v>1</v>
      </c>
      <c r="O1027" t="str">
        <f>IF(Tabla_control[[#This Row],[Control_duplicados]]&gt;1,"Duplicado","Unico")</f>
        <v>Unico</v>
      </c>
      <c r="P1027" t="str">
        <f t="shared" si="65"/>
        <v>OK</v>
      </c>
      <c r="Q1027" t="str">
        <f t="shared" si="66"/>
        <v>OK</v>
      </c>
      <c r="R1027" t="str">
        <f t="shared" si="67"/>
        <v>OK</v>
      </c>
    </row>
    <row r="1028" spans="1:18" x14ac:dyDescent="0.3">
      <c r="A1028" s="1">
        <v>45889</v>
      </c>
      <c r="B1028" s="2" t="s">
        <v>2620</v>
      </c>
      <c r="C1028" s="2" t="s">
        <v>2543</v>
      </c>
      <c r="D1028" s="2" t="s">
        <v>2525</v>
      </c>
      <c r="E1028" s="2" t="s">
        <v>2517</v>
      </c>
      <c r="F1028" s="3">
        <v>59595</v>
      </c>
      <c r="G1028" s="3">
        <v>2773</v>
      </c>
      <c r="H1028" s="3">
        <v>37</v>
      </c>
      <c r="I1028" s="4">
        <v>2321</v>
      </c>
      <c r="J1028" s="4">
        <v>7160.45</v>
      </c>
      <c r="K1028" s="3">
        <v>19</v>
      </c>
      <c r="L1028" s="2" t="s">
        <v>2518</v>
      </c>
      <c r="M1028" s="2" t="s">
        <v>2537</v>
      </c>
      <c r="N1028" s="6">
        <f t="shared" si="64"/>
        <v>1</v>
      </c>
      <c r="O1028" t="str">
        <f>IF(Tabla_control[[#This Row],[Control_duplicados]]&gt;1,"Duplicado","Unico")</f>
        <v>Unico</v>
      </c>
      <c r="P1028" t="str">
        <f t="shared" si="65"/>
        <v>OK</v>
      </c>
      <c r="Q1028" t="str">
        <f t="shared" si="66"/>
        <v>OK</v>
      </c>
      <c r="R1028" t="str">
        <f t="shared" si="67"/>
        <v>OK</v>
      </c>
    </row>
    <row r="1029" spans="1:18" x14ac:dyDescent="0.3">
      <c r="A1029" s="1">
        <v>45729</v>
      </c>
      <c r="B1029" s="2" t="s">
        <v>2625</v>
      </c>
      <c r="C1029" s="2" t="s">
        <v>2541</v>
      </c>
      <c r="D1029" s="2" t="s">
        <v>2528</v>
      </c>
      <c r="E1029" s="2" t="s">
        <v>2517</v>
      </c>
      <c r="F1029" s="3">
        <v>21538</v>
      </c>
      <c r="G1029" s="3">
        <v>840</v>
      </c>
      <c r="H1029" s="3">
        <v>26</v>
      </c>
      <c r="I1029" s="4">
        <v>1026</v>
      </c>
      <c r="J1029" s="4">
        <v>4557.84</v>
      </c>
      <c r="K1029" s="3">
        <v>12</v>
      </c>
      <c r="L1029" s="2" t="s">
        <v>2518</v>
      </c>
      <c r="M1029" s="2" t="s">
        <v>2546</v>
      </c>
      <c r="N1029" s="6">
        <f t="shared" si="64"/>
        <v>1</v>
      </c>
      <c r="O1029" t="str">
        <f>IF(Tabla_control[[#This Row],[Control_duplicados]]&gt;1,"Duplicado","Unico")</f>
        <v>Unico</v>
      </c>
      <c r="P1029" t="str">
        <f t="shared" si="65"/>
        <v>OK</v>
      </c>
      <c r="Q1029" t="str">
        <f t="shared" si="66"/>
        <v>OK</v>
      </c>
      <c r="R1029" t="str">
        <f t="shared" si="67"/>
        <v>OK</v>
      </c>
    </row>
    <row r="1030" spans="1:18" x14ac:dyDescent="0.3">
      <c r="A1030" s="1">
        <v>45839</v>
      </c>
      <c r="B1030" s="2" t="s">
        <v>2620</v>
      </c>
      <c r="C1030" s="2" t="s">
        <v>2533</v>
      </c>
      <c r="D1030" s="2" t="s">
        <v>2525</v>
      </c>
      <c r="E1030" s="2" t="s">
        <v>2517</v>
      </c>
      <c r="F1030" s="3">
        <v>158720</v>
      </c>
      <c r="G1030" s="3">
        <v>6006</v>
      </c>
      <c r="H1030" s="3">
        <v>322</v>
      </c>
      <c r="I1030" s="4">
        <v>5511.04</v>
      </c>
      <c r="J1030" s="4">
        <v>63861.56</v>
      </c>
      <c r="K1030" s="3">
        <v>238</v>
      </c>
      <c r="L1030" s="2" t="s">
        <v>2523</v>
      </c>
      <c r="M1030" s="2" t="s">
        <v>2524</v>
      </c>
      <c r="N1030" s="6">
        <f t="shared" si="64"/>
        <v>1</v>
      </c>
      <c r="O1030" t="str">
        <f>IF(Tabla_control[[#This Row],[Control_duplicados]]&gt;1,"Duplicado","Unico")</f>
        <v>Unico</v>
      </c>
      <c r="P1030" t="str">
        <f t="shared" si="65"/>
        <v>OK</v>
      </c>
      <c r="Q1030" t="str">
        <f t="shared" si="66"/>
        <v>OK</v>
      </c>
      <c r="R1030" t="str">
        <f t="shared" si="67"/>
        <v>OK</v>
      </c>
    </row>
    <row r="1031" spans="1:18" x14ac:dyDescent="0.3">
      <c r="A1031" s="1">
        <v>45688</v>
      </c>
      <c r="B1031" s="2" t="s">
        <v>2621</v>
      </c>
      <c r="C1031" s="2" t="s">
        <v>2541</v>
      </c>
      <c r="D1031" s="2" t="s">
        <v>2525</v>
      </c>
      <c r="E1031" s="2" t="s">
        <v>2517</v>
      </c>
      <c r="F1031" s="3">
        <v>81630</v>
      </c>
      <c r="G1031" s="3">
        <v>5513</v>
      </c>
      <c r="H1031" s="3">
        <v>380</v>
      </c>
      <c r="I1031" s="4">
        <v>4046.19</v>
      </c>
      <c r="J1031" s="4">
        <v>68048.12</v>
      </c>
      <c r="K1031" s="3">
        <v>328</v>
      </c>
      <c r="L1031" s="2" t="s">
        <v>2523</v>
      </c>
      <c r="M1031" s="2" t="s">
        <v>2519</v>
      </c>
      <c r="N1031" s="6">
        <f t="shared" si="64"/>
        <v>1</v>
      </c>
      <c r="O1031" t="str">
        <f>IF(Tabla_control[[#This Row],[Control_duplicados]]&gt;1,"Duplicado","Unico")</f>
        <v>Unico</v>
      </c>
      <c r="P1031" t="str">
        <f t="shared" si="65"/>
        <v>OK</v>
      </c>
      <c r="Q1031" t="str">
        <f t="shared" si="66"/>
        <v>OK</v>
      </c>
      <c r="R1031" t="str">
        <f t="shared" si="67"/>
        <v>OK</v>
      </c>
    </row>
    <row r="1032" spans="1:18" x14ac:dyDescent="0.3">
      <c r="A1032" s="1">
        <v>45861</v>
      </c>
      <c r="B1032" s="2" t="s">
        <v>2616</v>
      </c>
      <c r="C1032" s="2" t="s">
        <v>2521</v>
      </c>
      <c r="D1032" s="2" t="s">
        <v>2528</v>
      </c>
      <c r="E1032" s="2" t="s">
        <v>2517</v>
      </c>
      <c r="F1032" s="3">
        <v>57908</v>
      </c>
      <c r="G1032" s="3">
        <v>1711</v>
      </c>
      <c r="H1032" s="3">
        <v>95</v>
      </c>
      <c r="I1032" s="4">
        <v>962.21</v>
      </c>
      <c r="J1032" s="4">
        <v>19085.830000000002</v>
      </c>
      <c r="K1032" s="3">
        <v>45</v>
      </c>
      <c r="L1032" s="2" t="s">
        <v>2539</v>
      </c>
      <c r="M1032" s="2" t="s">
        <v>2524</v>
      </c>
      <c r="N1032" s="6">
        <f t="shared" si="64"/>
        <v>1</v>
      </c>
      <c r="O1032" t="str">
        <f>IF(Tabla_control[[#This Row],[Control_duplicados]]&gt;1,"Duplicado","Unico")</f>
        <v>Unico</v>
      </c>
      <c r="P1032" t="str">
        <f t="shared" si="65"/>
        <v>OK</v>
      </c>
      <c r="Q1032" t="str">
        <f t="shared" si="66"/>
        <v>OK</v>
      </c>
      <c r="R1032" t="str">
        <f t="shared" si="67"/>
        <v>OK</v>
      </c>
    </row>
    <row r="1033" spans="1:18" x14ac:dyDescent="0.3">
      <c r="A1033" s="1">
        <v>45992</v>
      </c>
      <c r="B1033" s="2" t="s">
        <v>2622</v>
      </c>
      <c r="C1033" s="2" t="s">
        <v>2527</v>
      </c>
      <c r="D1033" s="2" t="s">
        <v>2516</v>
      </c>
      <c r="E1033" s="2" t="s">
        <v>2529</v>
      </c>
      <c r="F1033" s="3">
        <v>9303</v>
      </c>
      <c r="G1033" s="3">
        <v>516</v>
      </c>
      <c r="H1033" s="3">
        <v>32</v>
      </c>
      <c r="I1033" s="4">
        <v>359.81</v>
      </c>
      <c r="J1033" s="4">
        <v>4431.95</v>
      </c>
      <c r="K1033" s="3">
        <v>28</v>
      </c>
      <c r="L1033" s="2" t="s">
        <v>2523</v>
      </c>
      <c r="M1033" s="2" t="s">
        <v>2524</v>
      </c>
      <c r="N1033" s="6">
        <f t="shared" si="64"/>
        <v>1</v>
      </c>
      <c r="O1033" t="str">
        <f>IF(Tabla_control[[#This Row],[Control_duplicados]]&gt;1,"Duplicado","Unico")</f>
        <v>Unico</v>
      </c>
      <c r="P1033" t="str">
        <f t="shared" si="65"/>
        <v>OK</v>
      </c>
      <c r="Q1033" t="str">
        <f t="shared" si="66"/>
        <v>OK</v>
      </c>
      <c r="R1033" t="str">
        <f t="shared" si="67"/>
        <v>OK</v>
      </c>
    </row>
    <row r="1034" spans="1:18" x14ac:dyDescent="0.3">
      <c r="A1034" s="1">
        <v>45758</v>
      </c>
      <c r="B1034" s="2" t="s">
        <v>2624</v>
      </c>
      <c r="C1034" s="2" t="s">
        <v>2541</v>
      </c>
      <c r="D1034" s="2" t="s">
        <v>2522</v>
      </c>
      <c r="E1034" s="2" t="s">
        <v>2517</v>
      </c>
      <c r="F1034" s="3">
        <v>175964</v>
      </c>
      <c r="G1034" s="3">
        <v>15152</v>
      </c>
      <c r="H1034" s="3">
        <v>162</v>
      </c>
      <c r="I1034" s="4">
        <v>5445.96</v>
      </c>
      <c r="J1034" s="4">
        <v>14353.45</v>
      </c>
      <c r="K1034" s="3">
        <v>114</v>
      </c>
      <c r="L1034" s="2" t="s">
        <v>2539</v>
      </c>
      <c r="M1034" s="2" t="s">
        <v>2524</v>
      </c>
      <c r="N1034" s="6">
        <f t="shared" si="64"/>
        <v>1</v>
      </c>
      <c r="O1034" t="str">
        <f>IF(Tabla_control[[#This Row],[Control_duplicados]]&gt;1,"Duplicado","Unico")</f>
        <v>Unico</v>
      </c>
      <c r="P1034" t="str">
        <f t="shared" si="65"/>
        <v>OK</v>
      </c>
      <c r="Q1034" t="str">
        <f t="shared" si="66"/>
        <v>OK</v>
      </c>
      <c r="R1034" t="str">
        <f t="shared" si="67"/>
        <v>OK</v>
      </c>
    </row>
    <row r="1035" spans="1:18" x14ac:dyDescent="0.3">
      <c r="A1035" s="1">
        <v>46003</v>
      </c>
      <c r="B1035" s="2" t="s">
        <v>2617</v>
      </c>
      <c r="C1035" s="2" t="s">
        <v>2541</v>
      </c>
      <c r="D1035" s="2" t="s">
        <v>2528</v>
      </c>
      <c r="E1035" s="2" t="s">
        <v>2517</v>
      </c>
      <c r="F1035" s="3">
        <v>38061</v>
      </c>
      <c r="G1035" s="3">
        <v>2140</v>
      </c>
      <c r="H1035" s="3">
        <v>38</v>
      </c>
      <c r="I1035" s="4">
        <v>1551.97</v>
      </c>
      <c r="J1035" s="4">
        <v>2846.51</v>
      </c>
      <c r="K1035" s="3">
        <v>25</v>
      </c>
      <c r="L1035" s="2" t="s">
        <v>2518</v>
      </c>
      <c r="M1035" s="2" t="s">
        <v>2519</v>
      </c>
      <c r="N1035" s="6">
        <f t="shared" si="64"/>
        <v>1</v>
      </c>
      <c r="O1035" t="str">
        <f>IF(Tabla_control[[#This Row],[Control_duplicados]]&gt;1,"Duplicado","Unico")</f>
        <v>Unico</v>
      </c>
      <c r="P1035" t="str">
        <f t="shared" si="65"/>
        <v>OK</v>
      </c>
      <c r="Q1035" t="str">
        <f t="shared" si="66"/>
        <v>OK</v>
      </c>
      <c r="R1035" t="str">
        <f t="shared" si="67"/>
        <v>OK</v>
      </c>
    </row>
    <row r="1036" spans="1:18" x14ac:dyDescent="0.3">
      <c r="A1036" s="1">
        <v>45940</v>
      </c>
      <c r="B1036" s="2" t="s">
        <v>2632</v>
      </c>
      <c r="C1036" s="2" t="s">
        <v>2521</v>
      </c>
      <c r="D1036" s="2" t="s">
        <v>2528</v>
      </c>
      <c r="E1036" s="2" t="s">
        <v>2517</v>
      </c>
      <c r="F1036" s="3">
        <v>120062</v>
      </c>
      <c r="G1036" s="3">
        <v>6021</v>
      </c>
      <c r="H1036" s="3">
        <v>339</v>
      </c>
      <c r="I1036" s="4">
        <v>2374.61</v>
      </c>
      <c r="J1036" s="4">
        <v>23962</v>
      </c>
      <c r="K1036" s="3">
        <v>285</v>
      </c>
      <c r="L1036" s="2" t="s">
        <v>2536</v>
      </c>
      <c r="M1036" s="2" t="s">
        <v>2519</v>
      </c>
      <c r="N1036" s="6">
        <f t="shared" si="64"/>
        <v>1</v>
      </c>
      <c r="O1036" t="str">
        <f>IF(Tabla_control[[#This Row],[Control_duplicados]]&gt;1,"Duplicado","Unico")</f>
        <v>Unico</v>
      </c>
      <c r="P1036" t="str">
        <f t="shared" si="65"/>
        <v>OK</v>
      </c>
      <c r="Q1036" t="str">
        <f t="shared" si="66"/>
        <v>OK</v>
      </c>
      <c r="R1036" t="str">
        <f t="shared" si="67"/>
        <v>OK</v>
      </c>
    </row>
    <row r="1037" spans="1:18" x14ac:dyDescent="0.3">
      <c r="A1037" s="1">
        <v>45742</v>
      </c>
      <c r="B1037" s="2" t="s">
        <v>2632</v>
      </c>
      <c r="C1037" s="2" t="s">
        <v>2541</v>
      </c>
      <c r="D1037" s="2" t="s">
        <v>2528</v>
      </c>
      <c r="E1037" s="2" t="s">
        <v>2534</v>
      </c>
      <c r="F1037" s="3">
        <v>6031</v>
      </c>
      <c r="G1037" s="3">
        <v>70</v>
      </c>
      <c r="H1037" s="3">
        <v>7</v>
      </c>
      <c r="I1037" s="4">
        <v>35.159999999999997</v>
      </c>
      <c r="J1037" s="4">
        <v>1414.16</v>
      </c>
      <c r="K1037" s="3">
        <v>5</v>
      </c>
      <c r="L1037" s="2" t="s">
        <v>2536</v>
      </c>
      <c r="M1037" s="2" t="s">
        <v>2546</v>
      </c>
      <c r="N1037" s="6">
        <f t="shared" si="64"/>
        <v>1</v>
      </c>
      <c r="O1037" t="str">
        <f>IF(Tabla_control[[#This Row],[Control_duplicados]]&gt;1,"Duplicado","Unico")</f>
        <v>Unico</v>
      </c>
      <c r="P1037" t="str">
        <f t="shared" si="65"/>
        <v>OK</v>
      </c>
      <c r="Q1037" t="str">
        <f t="shared" si="66"/>
        <v>OK</v>
      </c>
      <c r="R1037" t="str">
        <f t="shared" si="67"/>
        <v>OK</v>
      </c>
    </row>
    <row r="1038" spans="1:18" x14ac:dyDescent="0.3">
      <c r="A1038" s="1">
        <v>45945</v>
      </c>
      <c r="B1038" s="2" t="s">
        <v>2635</v>
      </c>
      <c r="C1038" s="2" t="s">
        <v>2543</v>
      </c>
      <c r="D1038" s="2" t="s">
        <v>2522</v>
      </c>
      <c r="E1038" s="2" t="s">
        <v>2517</v>
      </c>
      <c r="F1038" s="3">
        <v>26682</v>
      </c>
      <c r="G1038" s="3">
        <v>1175</v>
      </c>
      <c r="H1038" s="3">
        <v>164</v>
      </c>
      <c r="I1038" s="4">
        <v>2044.65</v>
      </c>
      <c r="J1038" s="4">
        <v>6246.89</v>
      </c>
      <c r="K1038" s="3">
        <v>74</v>
      </c>
      <c r="L1038" s="2" t="s">
        <v>2518</v>
      </c>
      <c r="M1038" s="2" t="s">
        <v>2519</v>
      </c>
      <c r="N1038" s="6">
        <f t="shared" si="64"/>
        <v>1</v>
      </c>
      <c r="O1038" t="str">
        <f>IF(Tabla_control[[#This Row],[Control_duplicados]]&gt;1,"Duplicado","Unico")</f>
        <v>Unico</v>
      </c>
      <c r="P1038" t="str">
        <f t="shared" si="65"/>
        <v>OK</v>
      </c>
      <c r="Q1038" t="str">
        <f t="shared" si="66"/>
        <v>OK</v>
      </c>
      <c r="R1038" t="str">
        <f t="shared" si="67"/>
        <v>OK</v>
      </c>
    </row>
    <row r="1039" spans="1:18" x14ac:dyDescent="0.3">
      <c r="A1039" s="1">
        <v>46015</v>
      </c>
      <c r="B1039" s="2" t="s">
        <v>2640</v>
      </c>
      <c r="C1039" s="2" t="s">
        <v>2543</v>
      </c>
      <c r="D1039" s="2" t="s">
        <v>2525</v>
      </c>
      <c r="E1039" s="2" t="s">
        <v>2517</v>
      </c>
      <c r="F1039" s="3">
        <v>54337</v>
      </c>
      <c r="G1039" s="3">
        <v>1083</v>
      </c>
      <c r="H1039" s="3">
        <v>8</v>
      </c>
      <c r="I1039" s="4">
        <v>1985.77</v>
      </c>
      <c r="J1039" s="4">
        <v>1744.14</v>
      </c>
      <c r="K1039" s="3">
        <v>4</v>
      </c>
      <c r="L1039" s="2" t="s">
        <v>2536</v>
      </c>
      <c r="M1039" s="2" t="s">
        <v>2537</v>
      </c>
      <c r="N1039" s="6">
        <f t="shared" si="64"/>
        <v>1</v>
      </c>
      <c r="O1039" t="str">
        <f>IF(Tabla_control[[#This Row],[Control_duplicados]]&gt;1,"Duplicado","Unico")</f>
        <v>Unico</v>
      </c>
      <c r="P1039" t="str">
        <f t="shared" si="65"/>
        <v>OK</v>
      </c>
      <c r="Q1039" t="str">
        <f t="shared" si="66"/>
        <v>OK</v>
      </c>
      <c r="R1039" t="str">
        <f t="shared" si="67"/>
        <v>OK</v>
      </c>
    </row>
    <row r="1040" spans="1:18" x14ac:dyDescent="0.3">
      <c r="A1040" s="1">
        <v>45684</v>
      </c>
      <c r="B1040" s="2" t="s">
        <v>2631</v>
      </c>
      <c r="C1040" s="2" t="s">
        <v>2515</v>
      </c>
      <c r="D1040" s="2" t="s">
        <v>2516</v>
      </c>
      <c r="E1040" s="2" t="s">
        <v>2529</v>
      </c>
      <c r="F1040" s="3">
        <v>13176</v>
      </c>
      <c r="G1040" s="3">
        <v>555</v>
      </c>
      <c r="H1040" s="3">
        <v>5</v>
      </c>
      <c r="I1040" s="4">
        <v>549.78</v>
      </c>
      <c r="J1040" s="4">
        <v>631.83000000000004</v>
      </c>
      <c r="K1040" s="3">
        <v>3</v>
      </c>
      <c r="L1040" s="2" t="s">
        <v>2536</v>
      </c>
      <c r="M1040" s="2" t="s">
        <v>2546</v>
      </c>
      <c r="N1040" s="6">
        <f t="shared" si="64"/>
        <v>1</v>
      </c>
      <c r="O1040" t="str">
        <f>IF(Tabla_control[[#This Row],[Control_duplicados]]&gt;1,"Duplicado","Unico")</f>
        <v>Unico</v>
      </c>
      <c r="P1040" t="str">
        <f t="shared" si="65"/>
        <v>OK</v>
      </c>
      <c r="Q1040" t="str">
        <f t="shared" si="66"/>
        <v>OK</v>
      </c>
      <c r="R1040" t="str">
        <f t="shared" si="67"/>
        <v>OK</v>
      </c>
    </row>
    <row r="1041" spans="1:18" x14ac:dyDescent="0.3">
      <c r="A1041" s="1">
        <v>45668</v>
      </c>
      <c r="B1041" s="2" t="s">
        <v>2627</v>
      </c>
      <c r="C1041" s="2" t="s">
        <v>2515</v>
      </c>
      <c r="D1041" s="2" t="s">
        <v>2528</v>
      </c>
      <c r="E1041" s="2" t="s">
        <v>2517</v>
      </c>
      <c r="F1041" s="3">
        <v>12534</v>
      </c>
      <c r="G1041" s="3">
        <v>184</v>
      </c>
      <c r="H1041" s="3">
        <v>2</v>
      </c>
      <c r="I1041" s="4">
        <v>301.64</v>
      </c>
      <c r="J1041" s="4">
        <v>247.54</v>
      </c>
      <c r="K1041" s="3">
        <v>1</v>
      </c>
      <c r="L1041" s="2" t="s">
        <v>2539</v>
      </c>
      <c r="M1041" s="2" t="s">
        <v>2546</v>
      </c>
      <c r="N1041" s="6">
        <f t="shared" si="64"/>
        <v>1</v>
      </c>
      <c r="O1041" t="str">
        <f>IF(Tabla_control[[#This Row],[Control_duplicados]]&gt;1,"Duplicado","Unico")</f>
        <v>Unico</v>
      </c>
      <c r="P1041" t="str">
        <f t="shared" si="65"/>
        <v>OK</v>
      </c>
      <c r="Q1041" t="str">
        <f t="shared" si="66"/>
        <v>OK</v>
      </c>
      <c r="R1041" t="str">
        <f t="shared" si="67"/>
        <v>OK</v>
      </c>
    </row>
    <row r="1042" spans="1:18" x14ac:dyDescent="0.3">
      <c r="A1042" s="1">
        <v>46017</v>
      </c>
      <c r="B1042" s="2" t="s">
        <v>2623</v>
      </c>
      <c r="C1042" s="2" t="s">
        <v>2527</v>
      </c>
      <c r="D1042" s="2" t="s">
        <v>2516</v>
      </c>
      <c r="E1042" s="2" t="s">
        <v>2517</v>
      </c>
      <c r="F1042" s="3">
        <v>58798</v>
      </c>
      <c r="G1042" s="3">
        <v>3542</v>
      </c>
      <c r="H1042" s="3">
        <v>395</v>
      </c>
      <c r="I1042" s="4">
        <v>3713.96</v>
      </c>
      <c r="J1042" s="4">
        <v>13858.82</v>
      </c>
      <c r="K1042" s="3">
        <v>285</v>
      </c>
      <c r="L1042" s="2" t="s">
        <v>2523</v>
      </c>
      <c r="M1042" s="2" t="s">
        <v>2519</v>
      </c>
      <c r="N1042" s="6">
        <f t="shared" si="64"/>
        <v>1</v>
      </c>
      <c r="O1042" t="str">
        <f>IF(Tabla_control[[#This Row],[Control_duplicados]]&gt;1,"Duplicado","Unico")</f>
        <v>Unico</v>
      </c>
      <c r="P1042" t="str">
        <f t="shared" si="65"/>
        <v>OK</v>
      </c>
      <c r="Q1042" t="str">
        <f t="shared" si="66"/>
        <v>OK</v>
      </c>
      <c r="R1042" t="str">
        <f t="shared" si="67"/>
        <v>OK</v>
      </c>
    </row>
    <row r="1043" spans="1:18" x14ac:dyDescent="0.3">
      <c r="A1043" s="1">
        <v>45980</v>
      </c>
      <c r="B1043" s="2" t="s">
        <v>2617</v>
      </c>
      <c r="C1043" s="2" t="s">
        <v>2521</v>
      </c>
      <c r="D1043" s="2" t="s">
        <v>2528</v>
      </c>
      <c r="E1043" s="2" t="s">
        <v>2529</v>
      </c>
      <c r="F1043" s="3">
        <v>151157</v>
      </c>
      <c r="G1043" s="3">
        <v>8550</v>
      </c>
      <c r="H1043" s="3">
        <v>532</v>
      </c>
      <c r="I1043" s="4">
        <v>15989.44</v>
      </c>
      <c r="J1043" s="4">
        <v>75598.52</v>
      </c>
      <c r="K1043" s="3">
        <v>363</v>
      </c>
      <c r="L1043" s="2" t="s">
        <v>2523</v>
      </c>
      <c r="M1043" s="2" t="s">
        <v>2524</v>
      </c>
      <c r="N1043" s="6">
        <f t="shared" si="64"/>
        <v>1</v>
      </c>
      <c r="O1043" t="str">
        <f>IF(Tabla_control[[#This Row],[Control_duplicados]]&gt;1,"Duplicado","Unico")</f>
        <v>Unico</v>
      </c>
      <c r="P1043" t="str">
        <f t="shared" si="65"/>
        <v>OK</v>
      </c>
      <c r="Q1043" t="str">
        <f t="shared" si="66"/>
        <v>OK</v>
      </c>
      <c r="R1043" t="str">
        <f t="shared" si="67"/>
        <v>OK</v>
      </c>
    </row>
    <row r="1044" spans="1:18" x14ac:dyDescent="0.3">
      <c r="A1044" s="1">
        <v>45833</v>
      </c>
      <c r="B1044" s="2" t="s">
        <v>2635</v>
      </c>
      <c r="C1044" s="2" t="s">
        <v>2515</v>
      </c>
      <c r="D1044" s="2" t="s">
        <v>2528</v>
      </c>
      <c r="E1044" s="2" t="s">
        <v>2517</v>
      </c>
      <c r="F1044" s="3">
        <v>66303</v>
      </c>
      <c r="G1044" s="3">
        <v>1148</v>
      </c>
      <c r="H1044" s="3">
        <v>37</v>
      </c>
      <c r="I1044" s="4">
        <v>1277.9000000000001</v>
      </c>
      <c r="J1044" s="4">
        <v>1031.99</v>
      </c>
      <c r="K1044" s="3">
        <v>18</v>
      </c>
      <c r="L1044" s="2" t="s">
        <v>2523</v>
      </c>
      <c r="M1044" s="2" t="s">
        <v>2524</v>
      </c>
      <c r="N1044" s="6">
        <f t="shared" si="64"/>
        <v>1</v>
      </c>
      <c r="O1044" t="str">
        <f>IF(Tabla_control[[#This Row],[Control_duplicados]]&gt;1,"Duplicado","Unico")</f>
        <v>Unico</v>
      </c>
      <c r="P1044" t="str">
        <f t="shared" si="65"/>
        <v>OK</v>
      </c>
      <c r="Q1044" t="str">
        <f t="shared" si="66"/>
        <v>OK</v>
      </c>
      <c r="R1044" t="str">
        <f t="shared" si="67"/>
        <v>OK</v>
      </c>
    </row>
    <row r="1045" spans="1:18" x14ac:dyDescent="0.3">
      <c r="A1045" s="1">
        <v>45681</v>
      </c>
      <c r="B1045" s="2" t="s">
        <v>2626</v>
      </c>
      <c r="C1045" s="2" t="s">
        <v>2541</v>
      </c>
      <c r="D1045" s="2" t="s">
        <v>2528</v>
      </c>
      <c r="E1045" s="2" t="s">
        <v>2534</v>
      </c>
      <c r="F1045" s="3">
        <v>140709</v>
      </c>
      <c r="G1045" s="3">
        <v>7129</v>
      </c>
      <c r="H1045" s="3">
        <v>182</v>
      </c>
      <c r="I1045" s="4">
        <v>2386.96</v>
      </c>
      <c r="J1045" s="4">
        <v>21092.59</v>
      </c>
      <c r="K1045" s="3">
        <v>150</v>
      </c>
      <c r="L1045" s="2" t="s">
        <v>2518</v>
      </c>
      <c r="M1045" s="2" t="s">
        <v>2519</v>
      </c>
      <c r="N1045" s="6">
        <f t="shared" si="64"/>
        <v>1</v>
      </c>
      <c r="O1045" t="str">
        <f>IF(Tabla_control[[#This Row],[Control_duplicados]]&gt;1,"Duplicado","Unico")</f>
        <v>Unico</v>
      </c>
      <c r="P1045" t="str">
        <f t="shared" si="65"/>
        <v>OK</v>
      </c>
      <c r="Q1045" t="str">
        <f t="shared" si="66"/>
        <v>OK</v>
      </c>
      <c r="R1045" t="str">
        <f t="shared" si="67"/>
        <v>OK</v>
      </c>
    </row>
    <row r="1046" spans="1:18" x14ac:dyDescent="0.3">
      <c r="A1046" s="1">
        <v>45954</v>
      </c>
      <c r="B1046" s="2" t="s">
        <v>2617</v>
      </c>
      <c r="C1046" s="2" t="s">
        <v>2543</v>
      </c>
      <c r="D1046" s="2" t="s">
        <v>2528</v>
      </c>
      <c r="E1046" s="2" t="s">
        <v>2534</v>
      </c>
      <c r="F1046" s="3">
        <v>88162</v>
      </c>
      <c r="G1046" s="3">
        <v>5652</v>
      </c>
      <c r="H1046" s="3">
        <v>335</v>
      </c>
      <c r="I1046" s="4">
        <v>8104.04</v>
      </c>
      <c r="J1046" s="4">
        <v>15790.43</v>
      </c>
      <c r="K1046" s="3">
        <v>208</v>
      </c>
      <c r="L1046" s="2" t="s">
        <v>2518</v>
      </c>
      <c r="M1046" s="2" t="s">
        <v>2519</v>
      </c>
      <c r="N1046" s="6">
        <f t="shared" si="64"/>
        <v>1</v>
      </c>
      <c r="O1046" t="str">
        <f>IF(Tabla_control[[#This Row],[Control_duplicados]]&gt;1,"Duplicado","Unico")</f>
        <v>Unico</v>
      </c>
      <c r="P1046" t="str">
        <f t="shared" si="65"/>
        <v>OK</v>
      </c>
      <c r="Q1046" t="str">
        <f t="shared" si="66"/>
        <v>OK</v>
      </c>
      <c r="R1046" t="str">
        <f t="shared" si="67"/>
        <v>OK</v>
      </c>
    </row>
    <row r="1047" spans="1:18" x14ac:dyDescent="0.3">
      <c r="A1047" s="1">
        <v>45791</v>
      </c>
      <c r="B1047" s="2" t="s">
        <v>2643</v>
      </c>
      <c r="C1047" s="2" t="s">
        <v>2527</v>
      </c>
      <c r="D1047" s="2" t="s">
        <v>2528</v>
      </c>
      <c r="E1047" s="2" t="s">
        <v>2529</v>
      </c>
      <c r="F1047" s="3">
        <v>30292</v>
      </c>
      <c r="G1047" s="3">
        <v>2272</v>
      </c>
      <c r="H1047" s="3">
        <v>96</v>
      </c>
      <c r="I1047" s="4">
        <v>3811.78</v>
      </c>
      <c r="J1047" s="4">
        <v>3314.2</v>
      </c>
      <c r="K1047" s="3">
        <v>70</v>
      </c>
      <c r="L1047" s="2" t="s">
        <v>2523</v>
      </c>
      <c r="M1047" s="2" t="s">
        <v>2546</v>
      </c>
      <c r="N1047" s="6">
        <f t="shared" si="64"/>
        <v>1</v>
      </c>
      <c r="O1047" t="str">
        <f>IF(Tabla_control[[#This Row],[Control_duplicados]]&gt;1,"Duplicado","Unico")</f>
        <v>Unico</v>
      </c>
      <c r="P1047" t="str">
        <f t="shared" si="65"/>
        <v>OK</v>
      </c>
      <c r="Q1047" t="str">
        <f t="shared" si="66"/>
        <v>OK</v>
      </c>
      <c r="R1047" t="str">
        <f t="shared" si="67"/>
        <v>OK</v>
      </c>
    </row>
    <row r="1048" spans="1:18" x14ac:dyDescent="0.3">
      <c r="A1048" s="1">
        <v>46014</v>
      </c>
      <c r="B1048" s="2" t="s">
        <v>2617</v>
      </c>
      <c r="C1048" s="2" t="s">
        <v>2543</v>
      </c>
      <c r="D1048" s="2" t="s">
        <v>2516</v>
      </c>
      <c r="E1048" s="2" t="s">
        <v>2517</v>
      </c>
      <c r="F1048" s="3">
        <v>64096</v>
      </c>
      <c r="G1048" s="3">
        <v>998</v>
      </c>
      <c r="H1048" s="3">
        <v>98</v>
      </c>
      <c r="I1048" s="4">
        <v>1261.94</v>
      </c>
      <c r="J1048" s="4">
        <v>10285.290000000001</v>
      </c>
      <c r="K1048" s="3">
        <v>71</v>
      </c>
      <c r="L1048" s="2" t="s">
        <v>2523</v>
      </c>
      <c r="M1048" s="2" t="s">
        <v>2524</v>
      </c>
      <c r="N1048" s="6">
        <f t="shared" si="64"/>
        <v>1</v>
      </c>
      <c r="O1048" t="str">
        <f>IF(Tabla_control[[#This Row],[Control_duplicados]]&gt;1,"Duplicado","Unico")</f>
        <v>Unico</v>
      </c>
      <c r="P1048" t="str">
        <f t="shared" si="65"/>
        <v>OK</v>
      </c>
      <c r="Q1048" t="str">
        <f t="shared" si="66"/>
        <v>OK</v>
      </c>
      <c r="R1048" t="str">
        <f t="shared" si="67"/>
        <v>OK</v>
      </c>
    </row>
    <row r="1049" spans="1:18" x14ac:dyDescent="0.3">
      <c r="A1049" s="1">
        <v>46001</v>
      </c>
      <c r="B1049" s="2" t="s">
        <v>2621</v>
      </c>
      <c r="C1049" s="2" t="s">
        <v>2515</v>
      </c>
      <c r="D1049" s="2" t="s">
        <v>2516</v>
      </c>
      <c r="E1049" s="2" t="s">
        <v>2529</v>
      </c>
      <c r="F1049" s="3">
        <v>46248</v>
      </c>
      <c r="G1049" s="3">
        <v>2689</v>
      </c>
      <c r="H1049" s="3">
        <v>211</v>
      </c>
      <c r="I1049" s="4">
        <v>2592.69</v>
      </c>
      <c r="J1049" s="4">
        <v>27366.49</v>
      </c>
      <c r="K1049" s="3">
        <v>166</v>
      </c>
      <c r="L1049" s="2" t="s">
        <v>2536</v>
      </c>
      <c r="M1049" s="2" t="s">
        <v>2546</v>
      </c>
      <c r="N1049" s="6">
        <f t="shared" si="64"/>
        <v>1</v>
      </c>
      <c r="O1049" t="str">
        <f>IF(Tabla_control[[#This Row],[Control_duplicados]]&gt;1,"Duplicado","Unico")</f>
        <v>Unico</v>
      </c>
      <c r="P1049" t="str">
        <f t="shared" si="65"/>
        <v>OK</v>
      </c>
      <c r="Q1049" t="str">
        <f t="shared" si="66"/>
        <v>OK</v>
      </c>
      <c r="R1049" t="str">
        <f t="shared" si="67"/>
        <v>OK</v>
      </c>
    </row>
    <row r="1050" spans="1:18" x14ac:dyDescent="0.3">
      <c r="A1050" s="1">
        <v>45681</v>
      </c>
      <c r="B1050" s="2" t="s">
        <v>2637</v>
      </c>
      <c r="C1050" s="2" t="s">
        <v>2527</v>
      </c>
      <c r="D1050" s="2" t="s">
        <v>2528</v>
      </c>
      <c r="E1050" s="2" t="s">
        <v>2529</v>
      </c>
      <c r="F1050" s="3">
        <v>10708</v>
      </c>
      <c r="G1050" s="3">
        <v>45</v>
      </c>
      <c r="H1050" s="3">
        <v>1</v>
      </c>
      <c r="I1050" s="4">
        <v>34.369999999999997</v>
      </c>
      <c r="J1050" s="4">
        <v>16.84</v>
      </c>
      <c r="K1050" s="3">
        <v>0</v>
      </c>
      <c r="L1050" s="2" t="s">
        <v>2536</v>
      </c>
      <c r="M1050" s="2" t="s">
        <v>2526</v>
      </c>
      <c r="N1050" s="6">
        <f t="shared" si="64"/>
        <v>1</v>
      </c>
      <c r="O1050" t="str">
        <f>IF(Tabla_control[[#This Row],[Control_duplicados]]&gt;1,"Duplicado","Unico")</f>
        <v>Unico</v>
      </c>
      <c r="P1050" t="str">
        <f t="shared" si="65"/>
        <v>OK</v>
      </c>
      <c r="Q1050" t="str">
        <f t="shared" si="66"/>
        <v>OK</v>
      </c>
      <c r="R1050" t="str">
        <f t="shared" si="67"/>
        <v>OK</v>
      </c>
    </row>
    <row r="1051" spans="1:18" x14ac:dyDescent="0.3">
      <c r="A1051" s="1">
        <v>45665</v>
      </c>
      <c r="B1051" s="2" t="s">
        <v>2620</v>
      </c>
      <c r="C1051" s="2" t="s">
        <v>2521</v>
      </c>
      <c r="D1051" s="2" t="s">
        <v>2528</v>
      </c>
      <c r="E1051" s="2" t="s">
        <v>2517</v>
      </c>
      <c r="F1051" s="3">
        <v>144570</v>
      </c>
      <c r="G1051" s="3">
        <v>12150</v>
      </c>
      <c r="H1051" s="3">
        <v>1039</v>
      </c>
      <c r="I1051" s="4">
        <v>20749.13</v>
      </c>
      <c r="J1051" s="4">
        <v>164072.95999999999</v>
      </c>
      <c r="K1051" s="3">
        <v>853</v>
      </c>
      <c r="L1051" s="2" t="s">
        <v>2523</v>
      </c>
      <c r="M1051" s="2" t="s">
        <v>2526</v>
      </c>
      <c r="N1051" s="6">
        <f t="shared" si="64"/>
        <v>1</v>
      </c>
      <c r="O1051" t="str">
        <f>IF(Tabla_control[[#This Row],[Control_duplicados]]&gt;1,"Duplicado","Unico")</f>
        <v>Unico</v>
      </c>
      <c r="P1051" t="str">
        <f t="shared" si="65"/>
        <v>OK</v>
      </c>
      <c r="Q1051" t="str">
        <f t="shared" si="66"/>
        <v>OK</v>
      </c>
      <c r="R1051" t="str">
        <f t="shared" si="67"/>
        <v>OK</v>
      </c>
    </row>
    <row r="1052" spans="1:18" x14ac:dyDescent="0.3">
      <c r="A1052" s="1">
        <v>45870</v>
      </c>
      <c r="B1052" s="2" t="s">
        <v>2637</v>
      </c>
      <c r="C1052" s="2" t="s">
        <v>2533</v>
      </c>
      <c r="D1052" s="2" t="s">
        <v>2516</v>
      </c>
      <c r="E1052" s="2" t="s">
        <v>2529</v>
      </c>
      <c r="F1052" s="3">
        <v>160712</v>
      </c>
      <c r="G1052" s="3">
        <v>1782</v>
      </c>
      <c r="H1052" s="3">
        <v>115</v>
      </c>
      <c r="I1052" s="4">
        <v>1709.02</v>
      </c>
      <c r="J1052" s="4">
        <v>22142.66</v>
      </c>
      <c r="K1052" s="3">
        <v>91</v>
      </c>
      <c r="L1052" s="2" t="s">
        <v>2518</v>
      </c>
      <c r="M1052" s="2" t="s">
        <v>2524</v>
      </c>
      <c r="N1052" s="6">
        <f t="shared" si="64"/>
        <v>1</v>
      </c>
      <c r="O1052" t="str">
        <f>IF(Tabla_control[[#This Row],[Control_duplicados]]&gt;1,"Duplicado","Unico")</f>
        <v>Unico</v>
      </c>
      <c r="P1052" t="str">
        <f t="shared" si="65"/>
        <v>OK</v>
      </c>
      <c r="Q1052" t="str">
        <f t="shared" si="66"/>
        <v>OK</v>
      </c>
      <c r="R1052" t="str">
        <f t="shared" si="67"/>
        <v>OK</v>
      </c>
    </row>
    <row r="1053" spans="1:18" x14ac:dyDescent="0.3">
      <c r="A1053" s="1">
        <v>45886</v>
      </c>
      <c r="B1053" s="2" t="s">
        <v>2640</v>
      </c>
      <c r="C1053" s="2" t="s">
        <v>2533</v>
      </c>
      <c r="D1053" s="2" t="s">
        <v>2528</v>
      </c>
      <c r="E1053" s="2" t="s">
        <v>2529</v>
      </c>
      <c r="F1053" s="3">
        <v>62910</v>
      </c>
      <c r="G1053" s="3">
        <v>4106</v>
      </c>
      <c r="H1053" s="3">
        <v>378</v>
      </c>
      <c r="I1053" s="4">
        <v>4598.8</v>
      </c>
      <c r="J1053" s="4">
        <v>78128.38</v>
      </c>
      <c r="K1053" s="3">
        <v>250</v>
      </c>
      <c r="L1053" s="2" t="s">
        <v>2523</v>
      </c>
      <c r="M1053" s="2" t="s">
        <v>2524</v>
      </c>
      <c r="N1053" s="6">
        <f t="shared" si="64"/>
        <v>1</v>
      </c>
      <c r="O1053" t="str">
        <f>IF(Tabla_control[[#This Row],[Control_duplicados]]&gt;1,"Duplicado","Unico")</f>
        <v>Unico</v>
      </c>
      <c r="P1053" t="str">
        <f t="shared" si="65"/>
        <v>OK</v>
      </c>
      <c r="Q1053" t="str">
        <f t="shared" si="66"/>
        <v>OK</v>
      </c>
      <c r="R1053" t="str">
        <f t="shared" si="67"/>
        <v>OK</v>
      </c>
    </row>
    <row r="1054" spans="1:18" x14ac:dyDescent="0.3">
      <c r="A1054" s="1">
        <v>45866</v>
      </c>
      <c r="B1054" s="2" t="s">
        <v>2622</v>
      </c>
      <c r="C1054" s="2" t="s">
        <v>2543</v>
      </c>
      <c r="D1054" s="2" t="s">
        <v>2528</v>
      </c>
      <c r="E1054" s="2" t="s">
        <v>2529</v>
      </c>
      <c r="F1054" s="3">
        <v>42096</v>
      </c>
      <c r="G1054" s="3">
        <v>3647</v>
      </c>
      <c r="H1054" s="3">
        <v>78</v>
      </c>
      <c r="I1054" s="4">
        <v>5955.06</v>
      </c>
      <c r="J1054" s="4">
        <v>8670.44</v>
      </c>
      <c r="K1054" s="3">
        <v>62</v>
      </c>
      <c r="L1054" s="2" t="s">
        <v>2518</v>
      </c>
      <c r="M1054" s="2" t="s">
        <v>2526</v>
      </c>
      <c r="N1054" s="6">
        <f t="shared" si="64"/>
        <v>1</v>
      </c>
      <c r="O1054" t="str">
        <f>IF(Tabla_control[[#This Row],[Control_duplicados]]&gt;1,"Duplicado","Unico")</f>
        <v>Unico</v>
      </c>
      <c r="P1054" t="str">
        <f t="shared" si="65"/>
        <v>OK</v>
      </c>
      <c r="Q1054" t="str">
        <f t="shared" si="66"/>
        <v>OK</v>
      </c>
      <c r="R1054" t="str">
        <f t="shared" si="67"/>
        <v>OK</v>
      </c>
    </row>
    <row r="1055" spans="1:18" x14ac:dyDescent="0.3">
      <c r="A1055" s="1">
        <v>45978</v>
      </c>
      <c r="B1055" s="2" t="s">
        <v>2629</v>
      </c>
      <c r="C1055" s="2" t="s">
        <v>2541</v>
      </c>
      <c r="D1055" s="2" t="s">
        <v>2522</v>
      </c>
      <c r="E1055" s="2" t="s">
        <v>2534</v>
      </c>
      <c r="F1055" s="3">
        <v>49353</v>
      </c>
      <c r="G1055" s="3">
        <v>475</v>
      </c>
      <c r="H1055" s="3">
        <v>14</v>
      </c>
      <c r="I1055" s="4">
        <v>276.64999999999998</v>
      </c>
      <c r="J1055" s="4">
        <v>2505.61</v>
      </c>
      <c r="K1055" s="3">
        <v>7</v>
      </c>
      <c r="L1055" s="2" t="s">
        <v>2536</v>
      </c>
      <c r="M1055" s="2" t="s">
        <v>2526</v>
      </c>
      <c r="N1055" s="6">
        <f t="shared" si="64"/>
        <v>1</v>
      </c>
      <c r="O1055" t="str">
        <f>IF(Tabla_control[[#This Row],[Control_duplicados]]&gt;1,"Duplicado","Unico")</f>
        <v>Unico</v>
      </c>
      <c r="P1055" t="str">
        <f t="shared" si="65"/>
        <v>OK</v>
      </c>
      <c r="Q1055" t="str">
        <f t="shared" si="66"/>
        <v>OK</v>
      </c>
      <c r="R1055" t="str">
        <f t="shared" si="67"/>
        <v>OK</v>
      </c>
    </row>
    <row r="1056" spans="1:18" x14ac:dyDescent="0.3">
      <c r="A1056" s="1">
        <v>45905</v>
      </c>
      <c r="B1056" s="2" t="s">
        <v>2621</v>
      </c>
      <c r="C1056" s="2" t="s">
        <v>2521</v>
      </c>
      <c r="D1056" s="2" t="s">
        <v>2528</v>
      </c>
      <c r="E1056" s="2" t="s">
        <v>2529</v>
      </c>
      <c r="F1056" s="3">
        <v>134045</v>
      </c>
      <c r="G1056" s="3">
        <v>10884</v>
      </c>
      <c r="H1056" s="3">
        <v>836</v>
      </c>
      <c r="I1056" s="4">
        <v>20466.03</v>
      </c>
      <c r="J1056" s="4">
        <v>48704.19</v>
      </c>
      <c r="K1056" s="3">
        <v>635</v>
      </c>
      <c r="L1056" s="2" t="s">
        <v>2518</v>
      </c>
      <c r="M1056" s="2" t="s">
        <v>2519</v>
      </c>
      <c r="N1056" s="6">
        <f t="shared" si="64"/>
        <v>1</v>
      </c>
      <c r="O1056" t="str">
        <f>IF(Tabla_control[[#This Row],[Control_duplicados]]&gt;1,"Duplicado","Unico")</f>
        <v>Unico</v>
      </c>
      <c r="P1056" t="str">
        <f t="shared" si="65"/>
        <v>OK</v>
      </c>
      <c r="Q1056" t="str">
        <f t="shared" si="66"/>
        <v>OK</v>
      </c>
      <c r="R1056" t="str">
        <f t="shared" si="67"/>
        <v>OK</v>
      </c>
    </row>
    <row r="1057" spans="1:18" x14ac:dyDescent="0.3">
      <c r="A1057" s="1">
        <v>45967</v>
      </c>
      <c r="B1057" s="2" t="s">
        <v>2634</v>
      </c>
      <c r="C1057" s="2" t="s">
        <v>2533</v>
      </c>
      <c r="D1057" s="2" t="s">
        <v>2528</v>
      </c>
      <c r="E1057" s="2" t="s">
        <v>2534</v>
      </c>
      <c r="F1057" s="3">
        <v>135125</v>
      </c>
      <c r="G1057" s="3">
        <v>8640</v>
      </c>
      <c r="H1057" s="3">
        <v>554</v>
      </c>
      <c r="I1057" s="4">
        <v>14429.25</v>
      </c>
      <c r="J1057" s="4">
        <v>48903.64</v>
      </c>
      <c r="K1057" s="3">
        <v>258</v>
      </c>
      <c r="L1057" s="2" t="s">
        <v>2539</v>
      </c>
      <c r="M1057" s="2" t="s">
        <v>2526</v>
      </c>
      <c r="N1057" s="6">
        <f t="shared" si="64"/>
        <v>1</v>
      </c>
      <c r="O1057" t="str">
        <f>IF(Tabla_control[[#This Row],[Control_duplicados]]&gt;1,"Duplicado","Unico")</f>
        <v>Unico</v>
      </c>
      <c r="P1057" t="str">
        <f t="shared" si="65"/>
        <v>OK</v>
      </c>
      <c r="Q1057" t="str">
        <f t="shared" si="66"/>
        <v>OK</v>
      </c>
      <c r="R1057" t="str">
        <f t="shared" si="67"/>
        <v>OK</v>
      </c>
    </row>
    <row r="1058" spans="1:18" x14ac:dyDescent="0.3">
      <c r="A1058" s="1">
        <v>46004</v>
      </c>
      <c r="B1058" s="2" t="s">
        <v>2619</v>
      </c>
      <c r="C1058" s="2" t="s">
        <v>2541</v>
      </c>
      <c r="D1058" s="2" t="s">
        <v>2528</v>
      </c>
      <c r="E1058" s="2" t="s">
        <v>2529</v>
      </c>
      <c r="F1058" s="3">
        <v>109440</v>
      </c>
      <c r="G1058" s="3">
        <v>783</v>
      </c>
      <c r="H1058" s="3">
        <v>73</v>
      </c>
      <c r="I1058" s="4">
        <v>1438.35</v>
      </c>
      <c r="J1058" s="4">
        <v>8688.39</v>
      </c>
      <c r="K1058" s="3">
        <v>39</v>
      </c>
      <c r="L1058" s="2" t="s">
        <v>2536</v>
      </c>
      <c r="M1058" s="2" t="s">
        <v>2524</v>
      </c>
      <c r="N1058" s="6">
        <f t="shared" si="64"/>
        <v>1</v>
      </c>
      <c r="O1058" t="str">
        <f>IF(Tabla_control[[#This Row],[Control_duplicados]]&gt;1,"Duplicado","Unico")</f>
        <v>Unico</v>
      </c>
      <c r="P1058" t="str">
        <f t="shared" si="65"/>
        <v>OK</v>
      </c>
      <c r="Q1058" t="str">
        <f t="shared" si="66"/>
        <v>OK</v>
      </c>
      <c r="R1058" t="str">
        <f t="shared" si="67"/>
        <v>OK</v>
      </c>
    </row>
    <row r="1059" spans="1:18" x14ac:dyDescent="0.3">
      <c r="A1059" s="1">
        <v>45705</v>
      </c>
      <c r="B1059" s="2" t="s">
        <v>2636</v>
      </c>
      <c r="C1059" s="2" t="s">
        <v>2543</v>
      </c>
      <c r="D1059" s="2" t="s">
        <v>2528</v>
      </c>
      <c r="E1059" s="2" t="s">
        <v>2529</v>
      </c>
      <c r="F1059" s="3">
        <v>27274</v>
      </c>
      <c r="G1059" s="3">
        <v>831</v>
      </c>
      <c r="H1059" s="3">
        <v>66</v>
      </c>
      <c r="I1059" s="4">
        <v>1614.63</v>
      </c>
      <c r="J1059" s="4">
        <v>5071.88</v>
      </c>
      <c r="K1059" s="3">
        <v>33</v>
      </c>
      <c r="L1059" s="2" t="s">
        <v>2518</v>
      </c>
      <c r="M1059" s="2" t="s">
        <v>2526</v>
      </c>
      <c r="N1059" s="6">
        <f t="shared" si="64"/>
        <v>1</v>
      </c>
      <c r="O1059" t="str">
        <f>IF(Tabla_control[[#This Row],[Control_duplicados]]&gt;1,"Duplicado","Unico")</f>
        <v>Unico</v>
      </c>
      <c r="P1059" t="str">
        <f t="shared" si="65"/>
        <v>OK</v>
      </c>
      <c r="Q1059" t="str">
        <f t="shared" si="66"/>
        <v>OK</v>
      </c>
      <c r="R1059" t="str">
        <f t="shared" si="67"/>
        <v>OK</v>
      </c>
    </row>
    <row r="1060" spans="1:18" x14ac:dyDescent="0.3">
      <c r="A1060" s="1">
        <v>45939</v>
      </c>
      <c r="B1060" s="2" t="s">
        <v>2636</v>
      </c>
      <c r="C1060" s="2" t="s">
        <v>2533</v>
      </c>
      <c r="D1060" s="2" t="s">
        <v>2525</v>
      </c>
      <c r="E1060" s="2" t="s">
        <v>2534</v>
      </c>
      <c r="F1060" s="3">
        <v>104628</v>
      </c>
      <c r="G1060" s="3">
        <v>3857</v>
      </c>
      <c r="H1060" s="3">
        <v>35</v>
      </c>
      <c r="I1060" s="4">
        <v>3005.29</v>
      </c>
      <c r="J1060" s="4">
        <v>6410.53</v>
      </c>
      <c r="K1060" s="3">
        <v>24</v>
      </c>
      <c r="L1060" s="2" t="s">
        <v>2539</v>
      </c>
      <c r="M1060" s="2" t="s">
        <v>2524</v>
      </c>
      <c r="N1060" s="6">
        <f t="shared" si="64"/>
        <v>1</v>
      </c>
      <c r="O1060" t="str">
        <f>IF(Tabla_control[[#This Row],[Control_duplicados]]&gt;1,"Duplicado","Unico")</f>
        <v>Unico</v>
      </c>
      <c r="P1060" t="str">
        <f t="shared" si="65"/>
        <v>OK</v>
      </c>
      <c r="Q1060" t="str">
        <f t="shared" si="66"/>
        <v>OK</v>
      </c>
      <c r="R1060" t="str">
        <f t="shared" si="67"/>
        <v>OK</v>
      </c>
    </row>
    <row r="1061" spans="1:18" x14ac:dyDescent="0.3">
      <c r="A1061" s="1">
        <v>45833</v>
      </c>
      <c r="B1061" s="2" t="s">
        <v>2623</v>
      </c>
      <c r="C1061" s="2" t="s">
        <v>2533</v>
      </c>
      <c r="D1061" s="2" t="s">
        <v>2525</v>
      </c>
      <c r="E1061" s="2" t="s">
        <v>2529</v>
      </c>
      <c r="F1061" s="3">
        <v>136847</v>
      </c>
      <c r="G1061" s="3">
        <v>11153</v>
      </c>
      <c r="H1061" s="3">
        <v>941</v>
      </c>
      <c r="I1061" s="4">
        <v>17823.189999999999</v>
      </c>
      <c r="J1061" s="4">
        <v>169319.93</v>
      </c>
      <c r="K1061" s="3">
        <v>701</v>
      </c>
      <c r="L1061" s="2" t="s">
        <v>2518</v>
      </c>
      <c r="M1061" s="2" t="s">
        <v>2526</v>
      </c>
      <c r="N1061" s="6">
        <f t="shared" si="64"/>
        <v>1</v>
      </c>
      <c r="O1061" t="str">
        <f>IF(Tabla_control[[#This Row],[Control_duplicados]]&gt;1,"Duplicado","Unico")</f>
        <v>Unico</v>
      </c>
      <c r="P1061" t="str">
        <f t="shared" si="65"/>
        <v>OK</v>
      </c>
      <c r="Q1061" t="str">
        <f t="shared" si="66"/>
        <v>OK</v>
      </c>
      <c r="R1061" t="str">
        <f t="shared" si="67"/>
        <v>OK</v>
      </c>
    </row>
    <row r="1062" spans="1:18" x14ac:dyDescent="0.3">
      <c r="A1062" s="1">
        <v>46007</v>
      </c>
      <c r="B1062" s="2" t="s">
        <v>2632</v>
      </c>
      <c r="C1062" s="2" t="s">
        <v>2541</v>
      </c>
      <c r="D1062" s="2" t="s">
        <v>2522</v>
      </c>
      <c r="E1062" s="2" t="s">
        <v>2517</v>
      </c>
      <c r="F1062" s="3">
        <v>63159</v>
      </c>
      <c r="G1062" s="3">
        <v>4633</v>
      </c>
      <c r="H1062" s="3">
        <v>602</v>
      </c>
      <c r="I1062" s="4">
        <v>7360.46</v>
      </c>
      <c r="J1062" s="4">
        <v>90967.67</v>
      </c>
      <c r="K1062" s="3">
        <v>534</v>
      </c>
      <c r="L1062" s="2" t="s">
        <v>2539</v>
      </c>
      <c r="M1062" s="2" t="s">
        <v>2519</v>
      </c>
      <c r="N1062" s="6">
        <f t="shared" si="64"/>
        <v>1</v>
      </c>
      <c r="O1062" t="str">
        <f>IF(Tabla_control[[#This Row],[Control_duplicados]]&gt;1,"Duplicado","Unico")</f>
        <v>Unico</v>
      </c>
      <c r="P1062" t="str">
        <f t="shared" si="65"/>
        <v>OK</v>
      </c>
      <c r="Q1062" t="str">
        <f t="shared" si="66"/>
        <v>OK</v>
      </c>
      <c r="R1062" t="str">
        <f t="shared" si="67"/>
        <v>OK</v>
      </c>
    </row>
    <row r="1063" spans="1:18" x14ac:dyDescent="0.3">
      <c r="A1063" s="1">
        <v>45963</v>
      </c>
      <c r="B1063" s="2" t="s">
        <v>2627</v>
      </c>
      <c r="C1063" s="2" t="s">
        <v>2527</v>
      </c>
      <c r="D1063" s="2" t="s">
        <v>2528</v>
      </c>
      <c r="E1063" s="2" t="s">
        <v>2517</v>
      </c>
      <c r="F1063" s="3">
        <v>161425</v>
      </c>
      <c r="G1063" s="3">
        <v>6911</v>
      </c>
      <c r="H1063" s="3">
        <v>83</v>
      </c>
      <c r="I1063" s="4">
        <v>3341.48</v>
      </c>
      <c r="J1063" s="4">
        <v>18156.060000000001</v>
      </c>
      <c r="K1063" s="3">
        <v>49</v>
      </c>
      <c r="L1063" s="2" t="s">
        <v>2539</v>
      </c>
      <c r="M1063" s="2" t="s">
        <v>2526</v>
      </c>
      <c r="N1063" s="6">
        <f t="shared" si="64"/>
        <v>1</v>
      </c>
      <c r="O1063" t="str">
        <f>IF(Tabla_control[[#This Row],[Control_duplicados]]&gt;1,"Duplicado","Unico")</f>
        <v>Unico</v>
      </c>
      <c r="P1063" t="str">
        <f t="shared" si="65"/>
        <v>OK</v>
      </c>
      <c r="Q1063" t="str">
        <f t="shared" si="66"/>
        <v>OK</v>
      </c>
      <c r="R1063" t="str">
        <f t="shared" si="67"/>
        <v>OK</v>
      </c>
    </row>
    <row r="1064" spans="1:18" x14ac:dyDescent="0.3">
      <c r="A1064" s="1">
        <v>45948</v>
      </c>
      <c r="B1064" s="2" t="s">
        <v>2638</v>
      </c>
      <c r="C1064" s="2" t="s">
        <v>2515</v>
      </c>
      <c r="D1064" s="2" t="s">
        <v>2528</v>
      </c>
      <c r="E1064" s="2" t="s">
        <v>2517</v>
      </c>
      <c r="F1064" s="3">
        <v>7883</v>
      </c>
      <c r="G1064" s="3">
        <v>479</v>
      </c>
      <c r="H1064" s="3">
        <v>65</v>
      </c>
      <c r="I1064" s="4">
        <v>701.18</v>
      </c>
      <c r="J1064" s="4">
        <v>11032.03</v>
      </c>
      <c r="K1064" s="3">
        <v>57</v>
      </c>
      <c r="L1064" s="2" t="s">
        <v>2536</v>
      </c>
      <c r="M1064" s="2" t="s">
        <v>2526</v>
      </c>
      <c r="N1064" s="6">
        <f t="shared" si="64"/>
        <v>1</v>
      </c>
      <c r="O1064" t="str">
        <f>IF(Tabla_control[[#This Row],[Control_duplicados]]&gt;1,"Duplicado","Unico")</f>
        <v>Unico</v>
      </c>
      <c r="P1064" t="str">
        <f t="shared" si="65"/>
        <v>OK</v>
      </c>
      <c r="Q1064" t="str">
        <f t="shared" si="66"/>
        <v>OK</v>
      </c>
      <c r="R1064" t="str">
        <f t="shared" si="67"/>
        <v>OK</v>
      </c>
    </row>
    <row r="1065" spans="1:18" x14ac:dyDescent="0.3">
      <c r="A1065" s="1">
        <v>45675</v>
      </c>
      <c r="B1065" s="2" t="s">
        <v>2620</v>
      </c>
      <c r="C1065" s="2" t="s">
        <v>2533</v>
      </c>
      <c r="D1065" s="2" t="s">
        <v>2516</v>
      </c>
      <c r="E1065" s="2" t="s">
        <v>2529</v>
      </c>
      <c r="F1065" s="3">
        <v>168985</v>
      </c>
      <c r="G1065" s="3">
        <v>10515</v>
      </c>
      <c r="H1065" s="3">
        <v>778</v>
      </c>
      <c r="I1065" s="4">
        <v>12412.09</v>
      </c>
      <c r="J1065" s="4">
        <v>85237.28</v>
      </c>
      <c r="K1065" s="3">
        <v>511</v>
      </c>
      <c r="L1065" s="2" t="s">
        <v>2523</v>
      </c>
      <c r="M1065" s="2" t="s">
        <v>2526</v>
      </c>
      <c r="N1065" s="6">
        <f t="shared" si="64"/>
        <v>1</v>
      </c>
      <c r="O1065" t="str">
        <f>IF(Tabla_control[[#This Row],[Control_duplicados]]&gt;1,"Duplicado","Unico")</f>
        <v>Unico</v>
      </c>
      <c r="P1065" t="str">
        <f t="shared" si="65"/>
        <v>OK</v>
      </c>
      <c r="Q1065" t="str">
        <f t="shared" si="66"/>
        <v>OK</v>
      </c>
      <c r="R1065" t="str">
        <f t="shared" si="67"/>
        <v>OK</v>
      </c>
    </row>
    <row r="1066" spans="1:18" x14ac:dyDescent="0.3">
      <c r="A1066" s="1">
        <v>45697</v>
      </c>
      <c r="B1066" s="2" t="s">
        <v>2642</v>
      </c>
      <c r="C1066" s="2" t="s">
        <v>2543</v>
      </c>
      <c r="D1066" s="2" t="s">
        <v>2528</v>
      </c>
      <c r="E1066" s="2" t="s">
        <v>2529</v>
      </c>
      <c r="F1066" s="3">
        <v>12074</v>
      </c>
      <c r="G1066" s="3">
        <v>1071</v>
      </c>
      <c r="H1066" s="3">
        <v>146</v>
      </c>
      <c r="I1066" s="4">
        <v>1617.16</v>
      </c>
      <c r="J1066" s="4">
        <v>8383.6299999999992</v>
      </c>
      <c r="K1066" s="3">
        <v>101</v>
      </c>
      <c r="L1066" s="2" t="s">
        <v>2523</v>
      </c>
      <c r="M1066" s="2" t="s">
        <v>2526</v>
      </c>
      <c r="N1066" s="6">
        <f t="shared" si="64"/>
        <v>1</v>
      </c>
      <c r="O1066" t="str">
        <f>IF(Tabla_control[[#This Row],[Control_duplicados]]&gt;1,"Duplicado","Unico")</f>
        <v>Unico</v>
      </c>
      <c r="P1066" t="str">
        <f t="shared" si="65"/>
        <v>OK</v>
      </c>
      <c r="Q1066" t="str">
        <f t="shared" si="66"/>
        <v>OK</v>
      </c>
      <c r="R1066" t="str">
        <f t="shared" si="67"/>
        <v>OK</v>
      </c>
    </row>
    <row r="1067" spans="1:18" x14ac:dyDescent="0.3">
      <c r="A1067" s="1">
        <v>45784</v>
      </c>
      <c r="B1067" s="2" t="s">
        <v>2637</v>
      </c>
      <c r="C1067" s="2" t="s">
        <v>2533</v>
      </c>
      <c r="D1067" s="2" t="s">
        <v>2516</v>
      </c>
      <c r="E1067" s="2" t="s">
        <v>2534</v>
      </c>
      <c r="F1067" s="3">
        <v>99525</v>
      </c>
      <c r="G1067" s="3">
        <v>8517</v>
      </c>
      <c r="H1067" s="3">
        <v>824</v>
      </c>
      <c r="I1067" s="4">
        <v>3855.04</v>
      </c>
      <c r="J1067" s="4">
        <v>177573.71</v>
      </c>
      <c r="K1067" s="3">
        <v>648</v>
      </c>
      <c r="L1067" s="2" t="s">
        <v>2523</v>
      </c>
      <c r="M1067" s="2" t="s">
        <v>2537</v>
      </c>
      <c r="N1067" s="6">
        <f t="shared" si="64"/>
        <v>1</v>
      </c>
      <c r="O1067" t="str">
        <f>IF(Tabla_control[[#This Row],[Control_duplicados]]&gt;1,"Duplicado","Unico")</f>
        <v>Unico</v>
      </c>
      <c r="P1067" t="str">
        <f t="shared" si="65"/>
        <v>OK</v>
      </c>
      <c r="Q1067" t="str">
        <f t="shared" si="66"/>
        <v>OK</v>
      </c>
      <c r="R1067" t="str">
        <f t="shared" si="67"/>
        <v>OK</v>
      </c>
    </row>
    <row r="1068" spans="1:18" x14ac:dyDescent="0.3">
      <c r="A1068" s="1">
        <v>46012</v>
      </c>
      <c r="B1068" s="2" t="s">
        <v>2640</v>
      </c>
      <c r="C1068" s="2" t="s">
        <v>2533</v>
      </c>
      <c r="D1068" s="2" t="s">
        <v>2528</v>
      </c>
      <c r="E1068" s="2" t="s">
        <v>2517</v>
      </c>
      <c r="F1068" s="3">
        <v>69381</v>
      </c>
      <c r="G1068" s="3">
        <v>4401</v>
      </c>
      <c r="H1068" s="3">
        <v>78</v>
      </c>
      <c r="I1068" s="4">
        <v>2851.17</v>
      </c>
      <c r="J1068" s="4">
        <v>12998.06</v>
      </c>
      <c r="K1068" s="3">
        <v>66</v>
      </c>
      <c r="L1068" s="2" t="s">
        <v>2539</v>
      </c>
      <c r="M1068" s="2" t="s">
        <v>2526</v>
      </c>
      <c r="N1068" s="6">
        <f t="shared" si="64"/>
        <v>1</v>
      </c>
      <c r="O1068" t="str">
        <f>IF(Tabla_control[[#This Row],[Control_duplicados]]&gt;1,"Duplicado","Unico")</f>
        <v>Unico</v>
      </c>
      <c r="P1068" t="str">
        <f t="shared" si="65"/>
        <v>OK</v>
      </c>
      <c r="Q1068" t="str">
        <f t="shared" si="66"/>
        <v>OK</v>
      </c>
      <c r="R1068" t="str">
        <f t="shared" si="67"/>
        <v>OK</v>
      </c>
    </row>
    <row r="1069" spans="1:18" x14ac:dyDescent="0.3">
      <c r="A1069" s="1">
        <v>45690</v>
      </c>
      <c r="B1069" s="2" t="s">
        <v>2626</v>
      </c>
      <c r="C1069" s="2" t="s">
        <v>2541</v>
      </c>
      <c r="D1069" s="2" t="s">
        <v>2531</v>
      </c>
      <c r="E1069" s="2" t="s">
        <v>2529</v>
      </c>
      <c r="F1069" s="3">
        <v>23326</v>
      </c>
      <c r="G1069" s="3">
        <v>1858</v>
      </c>
      <c r="H1069" s="3">
        <v>117</v>
      </c>
      <c r="I1069" s="4">
        <v>3642.46</v>
      </c>
      <c r="J1069" s="4">
        <v>8802.01</v>
      </c>
      <c r="K1069" s="3">
        <v>88</v>
      </c>
      <c r="L1069" s="2" t="s">
        <v>2539</v>
      </c>
      <c r="M1069" s="2" t="s">
        <v>2524</v>
      </c>
      <c r="N1069" s="6">
        <f t="shared" si="64"/>
        <v>1</v>
      </c>
      <c r="O1069" t="str">
        <f>IF(Tabla_control[[#This Row],[Control_duplicados]]&gt;1,"Duplicado","Unico")</f>
        <v>Unico</v>
      </c>
      <c r="P1069" t="str">
        <f t="shared" si="65"/>
        <v>OK</v>
      </c>
      <c r="Q1069" t="str">
        <f t="shared" si="66"/>
        <v>OK</v>
      </c>
      <c r="R1069" t="str">
        <f t="shared" si="67"/>
        <v>OK</v>
      </c>
    </row>
    <row r="1070" spans="1:18" x14ac:dyDescent="0.3">
      <c r="A1070" s="1">
        <v>45852</v>
      </c>
      <c r="B1070" s="2" t="s">
        <v>2626</v>
      </c>
      <c r="C1070" s="2" t="s">
        <v>2543</v>
      </c>
      <c r="D1070" s="2" t="s">
        <v>2528</v>
      </c>
      <c r="E1070" s="2" t="s">
        <v>2529</v>
      </c>
      <c r="F1070" s="3">
        <v>9969</v>
      </c>
      <c r="G1070" s="3">
        <v>363</v>
      </c>
      <c r="H1070" s="3">
        <v>21</v>
      </c>
      <c r="I1070" s="4">
        <v>172.4</v>
      </c>
      <c r="J1070" s="4">
        <v>1554.11</v>
      </c>
      <c r="K1070" s="3">
        <v>10</v>
      </c>
      <c r="L1070" s="2" t="s">
        <v>2523</v>
      </c>
      <c r="M1070" s="2" t="s">
        <v>2546</v>
      </c>
      <c r="N1070" s="6">
        <f t="shared" si="64"/>
        <v>1</v>
      </c>
      <c r="O1070" t="str">
        <f>IF(Tabla_control[[#This Row],[Control_duplicados]]&gt;1,"Duplicado","Unico")</f>
        <v>Unico</v>
      </c>
      <c r="P1070" t="str">
        <f t="shared" si="65"/>
        <v>OK</v>
      </c>
      <c r="Q1070" t="str">
        <f t="shared" si="66"/>
        <v>OK</v>
      </c>
      <c r="R1070" t="str">
        <f t="shared" si="67"/>
        <v>OK</v>
      </c>
    </row>
    <row r="1071" spans="1:18" x14ac:dyDescent="0.3">
      <c r="A1071" s="1">
        <v>46017</v>
      </c>
      <c r="B1071" s="2" t="s">
        <v>2641</v>
      </c>
      <c r="C1071" s="2" t="s">
        <v>2533</v>
      </c>
      <c r="D1071" s="2" t="s">
        <v>2528</v>
      </c>
      <c r="E1071" s="2" t="s">
        <v>2517</v>
      </c>
      <c r="F1071" s="3">
        <v>124208</v>
      </c>
      <c r="G1071" s="3">
        <v>4203</v>
      </c>
      <c r="H1071" s="3">
        <v>194</v>
      </c>
      <c r="I1071" s="4">
        <v>2093.17</v>
      </c>
      <c r="J1071" s="4">
        <v>5084.1000000000004</v>
      </c>
      <c r="K1071" s="3">
        <v>156</v>
      </c>
      <c r="L1071" s="2" t="s">
        <v>2518</v>
      </c>
      <c r="M1071" s="2" t="s">
        <v>2524</v>
      </c>
      <c r="N1071" s="6">
        <f t="shared" si="64"/>
        <v>1</v>
      </c>
      <c r="O1071" t="str">
        <f>IF(Tabla_control[[#This Row],[Control_duplicados]]&gt;1,"Duplicado","Unico")</f>
        <v>Unico</v>
      </c>
      <c r="P1071" t="str">
        <f t="shared" si="65"/>
        <v>OK</v>
      </c>
      <c r="Q1071" t="str">
        <f t="shared" si="66"/>
        <v>OK</v>
      </c>
      <c r="R1071" t="str">
        <f t="shared" si="67"/>
        <v>OK</v>
      </c>
    </row>
    <row r="1072" spans="1:18" x14ac:dyDescent="0.3">
      <c r="A1072" s="1">
        <v>45843</v>
      </c>
      <c r="B1072" s="2" t="s">
        <v>2637</v>
      </c>
      <c r="C1072" s="2" t="s">
        <v>2521</v>
      </c>
      <c r="D1072" s="2" t="s">
        <v>2525</v>
      </c>
      <c r="E1072" s="2" t="s">
        <v>2517</v>
      </c>
      <c r="F1072" s="3">
        <v>121896</v>
      </c>
      <c r="G1072" s="3">
        <v>7110</v>
      </c>
      <c r="H1072" s="3">
        <v>880</v>
      </c>
      <c r="I1072" s="4">
        <v>5445.71</v>
      </c>
      <c r="J1072" s="4">
        <v>148674.01</v>
      </c>
      <c r="K1072" s="3">
        <v>408</v>
      </c>
      <c r="L1072" s="2" t="s">
        <v>2536</v>
      </c>
      <c r="M1072" s="2" t="s">
        <v>2524</v>
      </c>
      <c r="N1072" s="6">
        <f t="shared" si="64"/>
        <v>1</v>
      </c>
      <c r="O1072" t="str">
        <f>IF(Tabla_control[[#This Row],[Control_duplicados]]&gt;1,"Duplicado","Unico")</f>
        <v>Unico</v>
      </c>
      <c r="P1072" t="str">
        <f t="shared" si="65"/>
        <v>OK</v>
      </c>
      <c r="Q1072" t="str">
        <f t="shared" si="66"/>
        <v>OK</v>
      </c>
      <c r="R1072" t="str">
        <f t="shared" si="67"/>
        <v>OK</v>
      </c>
    </row>
    <row r="1073" spans="1:18" x14ac:dyDescent="0.3">
      <c r="A1073" s="1">
        <v>45850</v>
      </c>
      <c r="B1073" s="2" t="s">
        <v>2643</v>
      </c>
      <c r="C1073" s="2" t="s">
        <v>2521</v>
      </c>
      <c r="D1073" s="2" t="s">
        <v>2528</v>
      </c>
      <c r="E1073" s="2" t="s">
        <v>2517</v>
      </c>
      <c r="F1073" s="3">
        <v>72303</v>
      </c>
      <c r="G1073" s="3">
        <v>4165</v>
      </c>
      <c r="H1073" s="3">
        <v>268</v>
      </c>
      <c r="I1073" s="4">
        <v>5536.73</v>
      </c>
      <c r="J1073" s="4">
        <v>23073.54</v>
      </c>
      <c r="K1073" s="3">
        <v>211</v>
      </c>
      <c r="L1073" s="2" t="s">
        <v>2536</v>
      </c>
      <c r="M1073" s="2" t="s">
        <v>2519</v>
      </c>
      <c r="N1073" s="6">
        <f t="shared" si="64"/>
        <v>1</v>
      </c>
      <c r="O1073" t="str">
        <f>IF(Tabla_control[[#This Row],[Control_duplicados]]&gt;1,"Duplicado","Unico")</f>
        <v>Unico</v>
      </c>
      <c r="P1073" t="str">
        <f t="shared" si="65"/>
        <v>OK</v>
      </c>
      <c r="Q1073" t="str">
        <f t="shared" si="66"/>
        <v>OK</v>
      </c>
      <c r="R1073" t="str">
        <f t="shared" si="67"/>
        <v>OK</v>
      </c>
    </row>
    <row r="1074" spans="1:18" x14ac:dyDescent="0.3">
      <c r="A1074" s="1">
        <v>45938</v>
      </c>
      <c r="B1074" s="2" t="s">
        <v>2630</v>
      </c>
      <c r="C1074" s="2" t="s">
        <v>2533</v>
      </c>
      <c r="D1074" s="2" t="s">
        <v>2522</v>
      </c>
      <c r="E1074" s="2" t="s">
        <v>2517</v>
      </c>
      <c r="F1074" s="3">
        <v>124225</v>
      </c>
      <c r="G1074" s="3">
        <v>2420</v>
      </c>
      <c r="H1074" s="3">
        <v>336</v>
      </c>
      <c r="I1074" s="4">
        <v>4242.41</v>
      </c>
      <c r="J1074" s="4">
        <v>63473.66</v>
      </c>
      <c r="K1074" s="3">
        <v>230</v>
      </c>
      <c r="L1074" s="2" t="s">
        <v>2518</v>
      </c>
      <c r="M1074" s="2" t="s">
        <v>2524</v>
      </c>
      <c r="N1074" s="6">
        <f t="shared" si="64"/>
        <v>1</v>
      </c>
      <c r="O1074" t="str">
        <f>IF(Tabla_control[[#This Row],[Control_duplicados]]&gt;1,"Duplicado","Unico")</f>
        <v>Unico</v>
      </c>
      <c r="P1074" t="str">
        <f t="shared" si="65"/>
        <v>OK</v>
      </c>
      <c r="Q1074" t="str">
        <f t="shared" si="66"/>
        <v>OK</v>
      </c>
      <c r="R1074" t="str">
        <f t="shared" si="67"/>
        <v>OK</v>
      </c>
    </row>
    <row r="1075" spans="1:18" x14ac:dyDescent="0.3">
      <c r="A1075" s="1">
        <v>45926</v>
      </c>
      <c r="B1075" s="2" t="s">
        <v>2628</v>
      </c>
      <c r="C1075" s="2" t="s">
        <v>2527</v>
      </c>
      <c r="D1075" s="2" t="s">
        <v>2528</v>
      </c>
      <c r="E1075" s="2" t="s">
        <v>2529</v>
      </c>
      <c r="F1075" s="3">
        <v>60641</v>
      </c>
      <c r="G1075" s="3">
        <v>3681</v>
      </c>
      <c r="H1075" s="3">
        <v>511</v>
      </c>
      <c r="I1075" s="4">
        <v>5436.83</v>
      </c>
      <c r="J1075" s="4">
        <v>52077.760000000002</v>
      </c>
      <c r="K1075" s="3">
        <v>293</v>
      </c>
      <c r="L1075" s="2" t="s">
        <v>2536</v>
      </c>
      <c r="M1075" s="2" t="s">
        <v>2526</v>
      </c>
      <c r="N1075" s="6">
        <f t="shared" si="64"/>
        <v>1</v>
      </c>
      <c r="O1075" t="str">
        <f>IF(Tabla_control[[#This Row],[Control_duplicados]]&gt;1,"Duplicado","Unico")</f>
        <v>Unico</v>
      </c>
      <c r="P1075" t="str">
        <f t="shared" si="65"/>
        <v>OK</v>
      </c>
      <c r="Q1075" t="str">
        <f t="shared" si="66"/>
        <v>OK</v>
      </c>
      <c r="R1075" t="str">
        <f t="shared" si="67"/>
        <v>OK</v>
      </c>
    </row>
    <row r="1076" spans="1:18" x14ac:dyDescent="0.3">
      <c r="A1076" s="1">
        <v>45758</v>
      </c>
      <c r="B1076" s="2" t="s">
        <v>2633</v>
      </c>
      <c r="C1076" s="2" t="s">
        <v>2543</v>
      </c>
      <c r="D1076" s="2" t="s">
        <v>2522</v>
      </c>
      <c r="E1076" s="2" t="s">
        <v>2529</v>
      </c>
      <c r="F1076" s="3">
        <v>144686</v>
      </c>
      <c r="G1076" s="3">
        <v>12540</v>
      </c>
      <c r="H1076" s="3">
        <v>935</v>
      </c>
      <c r="I1076" s="4">
        <v>11842.52</v>
      </c>
      <c r="J1076" s="4">
        <v>39892.870000000003</v>
      </c>
      <c r="K1076" s="3">
        <v>717</v>
      </c>
      <c r="L1076" s="2" t="s">
        <v>2536</v>
      </c>
      <c r="M1076" s="2" t="s">
        <v>2546</v>
      </c>
      <c r="N1076" s="6">
        <f t="shared" si="64"/>
        <v>1</v>
      </c>
      <c r="O1076" t="str">
        <f>IF(Tabla_control[[#This Row],[Control_duplicados]]&gt;1,"Duplicado","Unico")</f>
        <v>Unico</v>
      </c>
      <c r="P1076" t="str">
        <f t="shared" si="65"/>
        <v>OK</v>
      </c>
      <c r="Q1076" t="str">
        <f t="shared" si="66"/>
        <v>OK</v>
      </c>
      <c r="R1076" t="str">
        <f t="shared" si="67"/>
        <v>OK</v>
      </c>
    </row>
    <row r="1077" spans="1:18" x14ac:dyDescent="0.3">
      <c r="A1077" s="1">
        <v>45896</v>
      </c>
      <c r="B1077" s="2" t="s">
        <v>2636</v>
      </c>
      <c r="C1077" s="2" t="s">
        <v>2521</v>
      </c>
      <c r="D1077" s="2" t="s">
        <v>2531</v>
      </c>
      <c r="E1077" s="2" t="s">
        <v>2517</v>
      </c>
      <c r="F1077" s="3">
        <v>95829</v>
      </c>
      <c r="G1077" s="3">
        <v>943</v>
      </c>
      <c r="H1077" s="3">
        <v>69</v>
      </c>
      <c r="I1077" s="4">
        <v>1119.92</v>
      </c>
      <c r="J1077" s="4">
        <v>8834.7800000000007</v>
      </c>
      <c r="K1077" s="3">
        <v>42</v>
      </c>
      <c r="L1077" s="2" t="s">
        <v>2539</v>
      </c>
      <c r="M1077" s="2" t="s">
        <v>2524</v>
      </c>
      <c r="N1077" s="6">
        <f t="shared" si="64"/>
        <v>1</v>
      </c>
      <c r="O1077" t="str">
        <f>IF(Tabla_control[[#This Row],[Control_duplicados]]&gt;1,"Duplicado","Unico")</f>
        <v>Unico</v>
      </c>
      <c r="P1077" t="str">
        <f t="shared" si="65"/>
        <v>OK</v>
      </c>
      <c r="Q1077" t="str">
        <f t="shared" si="66"/>
        <v>OK</v>
      </c>
      <c r="R1077" t="str">
        <f t="shared" si="67"/>
        <v>OK</v>
      </c>
    </row>
    <row r="1078" spans="1:18" x14ac:dyDescent="0.3">
      <c r="A1078" s="1">
        <v>45729</v>
      </c>
      <c r="B1078" s="2" t="s">
        <v>2642</v>
      </c>
      <c r="C1078" s="2" t="s">
        <v>2515</v>
      </c>
      <c r="D1078" s="2" t="s">
        <v>2525</v>
      </c>
      <c r="E1078" s="2" t="s">
        <v>2517</v>
      </c>
      <c r="F1078" s="3">
        <v>97169</v>
      </c>
      <c r="G1078" s="3">
        <v>958</v>
      </c>
      <c r="H1078" s="3">
        <v>92</v>
      </c>
      <c r="I1078" s="4">
        <v>406.13</v>
      </c>
      <c r="J1078" s="4">
        <v>11926.35</v>
      </c>
      <c r="K1078" s="3">
        <v>46</v>
      </c>
      <c r="L1078" s="2" t="s">
        <v>2539</v>
      </c>
      <c r="M1078" s="2" t="s">
        <v>2519</v>
      </c>
      <c r="N1078" s="6">
        <f t="shared" si="64"/>
        <v>2</v>
      </c>
      <c r="O1078" t="str">
        <f>IF(Tabla_control[[#This Row],[Control_duplicados]]&gt;1,"Duplicado","Unico")</f>
        <v>Duplicado</v>
      </c>
      <c r="P1078" t="str">
        <f t="shared" si="65"/>
        <v>OK</v>
      </c>
      <c r="Q1078" t="str">
        <f t="shared" si="66"/>
        <v>OK</v>
      </c>
      <c r="R1078" t="str">
        <f t="shared" si="67"/>
        <v>OK</v>
      </c>
    </row>
    <row r="1079" spans="1:18" x14ac:dyDescent="0.3">
      <c r="A1079" s="1">
        <v>45739</v>
      </c>
      <c r="B1079" s="2" t="s">
        <v>2619</v>
      </c>
      <c r="C1079" s="2" t="s">
        <v>2533</v>
      </c>
      <c r="D1079" s="2" t="s">
        <v>2525</v>
      </c>
      <c r="E1079" s="2" t="s">
        <v>2517</v>
      </c>
      <c r="F1079" s="3">
        <v>5485</v>
      </c>
      <c r="G1079" s="3">
        <v>216</v>
      </c>
      <c r="H1079" s="3">
        <v>19</v>
      </c>
      <c r="I1079" s="4">
        <v>157.79</v>
      </c>
      <c r="J1079" s="4">
        <v>1726.93</v>
      </c>
      <c r="K1079" s="3">
        <v>9</v>
      </c>
      <c r="L1079" s="2" t="s">
        <v>2539</v>
      </c>
      <c r="M1079" s="2" t="s">
        <v>2537</v>
      </c>
      <c r="N1079" s="6">
        <f t="shared" si="64"/>
        <v>2</v>
      </c>
      <c r="O1079" t="str">
        <f>IF(Tabla_control[[#This Row],[Control_duplicados]]&gt;1,"Duplicado","Unico")</f>
        <v>Duplicado</v>
      </c>
      <c r="P1079" t="str">
        <f t="shared" si="65"/>
        <v>OK</v>
      </c>
      <c r="Q1079" t="str">
        <f t="shared" si="66"/>
        <v>OK</v>
      </c>
      <c r="R1079" t="str">
        <f t="shared" si="67"/>
        <v>OK</v>
      </c>
    </row>
    <row r="1080" spans="1:18" x14ac:dyDescent="0.3">
      <c r="A1080" s="1">
        <v>45802</v>
      </c>
      <c r="B1080" s="2" t="s">
        <v>2642</v>
      </c>
      <c r="C1080" s="2" t="s">
        <v>2533</v>
      </c>
      <c r="D1080" s="2" t="s">
        <v>2531</v>
      </c>
      <c r="E1080" s="2" t="s">
        <v>2517</v>
      </c>
      <c r="F1080" s="3">
        <v>114156</v>
      </c>
      <c r="G1080" s="3">
        <v>2762</v>
      </c>
      <c r="H1080" s="3">
        <v>141</v>
      </c>
      <c r="I1080" s="4">
        <v>3471.55</v>
      </c>
      <c r="J1080" s="4">
        <v>23260.31</v>
      </c>
      <c r="K1080" s="3">
        <v>106</v>
      </c>
      <c r="L1080" s="2" t="s">
        <v>2539</v>
      </c>
      <c r="M1080" s="2" t="s">
        <v>2537</v>
      </c>
      <c r="N1080" s="6">
        <f t="shared" si="64"/>
        <v>1</v>
      </c>
      <c r="O1080" t="str">
        <f>IF(Tabla_control[[#This Row],[Control_duplicados]]&gt;1,"Duplicado","Unico")</f>
        <v>Unico</v>
      </c>
      <c r="P1080" t="str">
        <f t="shared" si="65"/>
        <v>OK</v>
      </c>
      <c r="Q1080" t="str">
        <f t="shared" si="66"/>
        <v>OK</v>
      </c>
      <c r="R1080" t="str">
        <f t="shared" si="67"/>
        <v>OK</v>
      </c>
    </row>
    <row r="1081" spans="1:18" x14ac:dyDescent="0.3">
      <c r="A1081" s="1">
        <v>45820</v>
      </c>
      <c r="B1081" s="2" t="s">
        <v>2636</v>
      </c>
      <c r="C1081" s="2" t="s">
        <v>2521</v>
      </c>
      <c r="D1081" s="2" t="s">
        <v>2528</v>
      </c>
      <c r="E1081" s="2" t="s">
        <v>2529</v>
      </c>
      <c r="F1081" s="3">
        <v>142601</v>
      </c>
      <c r="G1081" s="3">
        <v>12780</v>
      </c>
      <c r="H1081" s="3">
        <v>590</v>
      </c>
      <c r="I1081" s="4">
        <v>13766.92</v>
      </c>
      <c r="J1081" s="4">
        <v>104812.85</v>
      </c>
      <c r="K1081" s="3">
        <v>493</v>
      </c>
      <c r="L1081" s="2" t="s">
        <v>2518</v>
      </c>
      <c r="M1081" s="2" t="s">
        <v>2546</v>
      </c>
      <c r="N1081" s="6">
        <f t="shared" si="64"/>
        <v>1</v>
      </c>
      <c r="O1081" t="str">
        <f>IF(Tabla_control[[#This Row],[Control_duplicados]]&gt;1,"Duplicado","Unico")</f>
        <v>Unico</v>
      </c>
      <c r="P1081" t="str">
        <f t="shared" si="65"/>
        <v>OK</v>
      </c>
      <c r="Q1081" t="str">
        <f t="shared" si="66"/>
        <v>OK</v>
      </c>
      <c r="R1081" t="str">
        <f t="shared" si="67"/>
        <v>OK</v>
      </c>
    </row>
    <row r="1082" spans="1:18" x14ac:dyDescent="0.3">
      <c r="A1082" s="1">
        <v>46016</v>
      </c>
      <c r="B1082" s="2" t="s">
        <v>2636</v>
      </c>
      <c r="C1082" s="2" t="s">
        <v>2533</v>
      </c>
      <c r="D1082" s="2" t="s">
        <v>2525</v>
      </c>
      <c r="E1082" s="2" t="s">
        <v>2529</v>
      </c>
      <c r="F1082" s="3">
        <v>39456</v>
      </c>
      <c r="G1082" s="3">
        <v>975</v>
      </c>
      <c r="H1082" s="3">
        <v>121</v>
      </c>
      <c r="I1082" s="4">
        <v>1770.75</v>
      </c>
      <c r="J1082" s="4">
        <v>25361.75</v>
      </c>
      <c r="K1082" s="3">
        <v>92</v>
      </c>
      <c r="L1082" s="2" t="s">
        <v>2518</v>
      </c>
      <c r="M1082" s="2" t="s">
        <v>2519</v>
      </c>
      <c r="N1082" s="6">
        <f t="shared" si="64"/>
        <v>2</v>
      </c>
      <c r="O1082" t="str">
        <f>IF(Tabla_control[[#This Row],[Control_duplicados]]&gt;1,"Duplicado","Unico")</f>
        <v>Duplicado</v>
      </c>
      <c r="P1082" t="str">
        <f t="shared" si="65"/>
        <v>OK</v>
      </c>
      <c r="Q1082" t="str">
        <f t="shared" si="66"/>
        <v>OK</v>
      </c>
      <c r="R1082" t="str">
        <f t="shared" si="67"/>
        <v>OK</v>
      </c>
    </row>
    <row r="1083" spans="1:18" x14ac:dyDescent="0.3">
      <c r="A1083" s="1">
        <v>45961</v>
      </c>
      <c r="B1083" s="2" t="s">
        <v>2620</v>
      </c>
      <c r="C1083" s="2" t="s">
        <v>2533</v>
      </c>
      <c r="D1083" s="2" t="s">
        <v>2525</v>
      </c>
      <c r="E1083" s="2" t="s">
        <v>2529</v>
      </c>
      <c r="F1083" s="3">
        <v>17021</v>
      </c>
      <c r="G1083" s="3">
        <v>638</v>
      </c>
      <c r="H1083" s="3">
        <v>66</v>
      </c>
      <c r="I1083" s="4">
        <v>619.58000000000004</v>
      </c>
      <c r="J1083" s="4">
        <v>10698.09</v>
      </c>
      <c r="K1083" s="3">
        <v>35</v>
      </c>
      <c r="L1083" s="2" t="s">
        <v>2523</v>
      </c>
      <c r="M1083" s="2" t="s">
        <v>2526</v>
      </c>
      <c r="N1083" s="6">
        <f t="shared" si="64"/>
        <v>2</v>
      </c>
      <c r="O1083" t="str">
        <f>IF(Tabla_control[[#This Row],[Control_duplicados]]&gt;1,"Duplicado","Unico")</f>
        <v>Duplicado</v>
      </c>
      <c r="P1083" t="str">
        <f t="shared" si="65"/>
        <v>OK</v>
      </c>
      <c r="Q1083" t="str">
        <f t="shared" si="66"/>
        <v>OK</v>
      </c>
      <c r="R1083" t="str">
        <f t="shared" si="67"/>
        <v>OK</v>
      </c>
    </row>
    <row r="1084" spans="1:18" x14ac:dyDescent="0.3">
      <c r="A1084" s="1">
        <v>45658</v>
      </c>
      <c r="B1084" s="2" t="s">
        <v>2638</v>
      </c>
      <c r="C1084" s="2" t="s">
        <v>2527</v>
      </c>
      <c r="D1084" s="2" t="s">
        <v>2528</v>
      </c>
      <c r="E1084" s="2" t="s">
        <v>2534</v>
      </c>
      <c r="F1084" s="3">
        <v>41287</v>
      </c>
      <c r="G1084" s="3">
        <v>2407</v>
      </c>
      <c r="H1084" s="3">
        <v>190</v>
      </c>
      <c r="I1084" s="4">
        <v>4851.4399999999996</v>
      </c>
      <c r="J1084" s="4">
        <v>21327.06</v>
      </c>
      <c r="K1084" s="3">
        <v>147</v>
      </c>
      <c r="L1084" s="2" t="s">
        <v>2518</v>
      </c>
      <c r="M1084" s="2" t="s">
        <v>2537</v>
      </c>
      <c r="N1084" s="6">
        <f t="shared" si="64"/>
        <v>1</v>
      </c>
      <c r="O1084" t="str">
        <f>IF(Tabla_control[[#This Row],[Control_duplicados]]&gt;1,"Duplicado","Unico")</f>
        <v>Unico</v>
      </c>
      <c r="P1084" t="str">
        <f t="shared" si="65"/>
        <v>OK</v>
      </c>
      <c r="Q1084" t="str">
        <f t="shared" si="66"/>
        <v>OK</v>
      </c>
      <c r="R1084" t="str">
        <f t="shared" si="67"/>
        <v>OK</v>
      </c>
    </row>
    <row r="1085" spans="1:18" x14ac:dyDescent="0.3">
      <c r="A1085" s="1">
        <v>45926</v>
      </c>
      <c r="B1085" s="2" t="s">
        <v>2632</v>
      </c>
      <c r="C1085" s="2" t="s">
        <v>2521</v>
      </c>
      <c r="D1085" s="2" t="s">
        <v>2528</v>
      </c>
      <c r="E1085" s="2" t="s">
        <v>2529</v>
      </c>
      <c r="F1085" s="3">
        <v>51078</v>
      </c>
      <c r="G1085" s="3">
        <v>2397</v>
      </c>
      <c r="H1085" s="3">
        <v>160</v>
      </c>
      <c r="I1085" s="4">
        <v>3264.04</v>
      </c>
      <c r="J1085" s="4">
        <v>27109.7</v>
      </c>
      <c r="K1085" s="3">
        <v>130</v>
      </c>
      <c r="L1085" s="2" t="s">
        <v>2539</v>
      </c>
      <c r="M1085" s="2" t="s">
        <v>2537</v>
      </c>
      <c r="N1085" s="6">
        <f t="shared" si="64"/>
        <v>1</v>
      </c>
      <c r="O1085" t="str">
        <f>IF(Tabla_control[[#This Row],[Control_duplicados]]&gt;1,"Duplicado","Unico")</f>
        <v>Unico</v>
      </c>
      <c r="P1085" t="str">
        <f t="shared" si="65"/>
        <v>OK</v>
      </c>
      <c r="Q1085" t="str">
        <f t="shared" si="66"/>
        <v>OK</v>
      </c>
      <c r="R1085" t="str">
        <f t="shared" si="67"/>
        <v>OK</v>
      </c>
    </row>
    <row r="1086" spans="1:18" x14ac:dyDescent="0.3">
      <c r="A1086" s="1">
        <v>45952</v>
      </c>
      <c r="B1086" s="2" t="s">
        <v>2640</v>
      </c>
      <c r="C1086" s="2" t="s">
        <v>2515</v>
      </c>
      <c r="D1086" s="2" t="s">
        <v>2525</v>
      </c>
      <c r="E1086" s="2" t="s">
        <v>2517</v>
      </c>
      <c r="F1086" s="3">
        <v>167623</v>
      </c>
      <c r="G1086" s="3">
        <v>14312</v>
      </c>
      <c r="H1086" s="3">
        <v>1404</v>
      </c>
      <c r="I1086" s="4">
        <v>13255.99</v>
      </c>
      <c r="J1086" s="4">
        <v>32852.46</v>
      </c>
      <c r="K1086" s="3">
        <v>1130</v>
      </c>
      <c r="L1086" s="2" t="s">
        <v>2536</v>
      </c>
      <c r="M1086" s="2" t="s">
        <v>2524</v>
      </c>
      <c r="N1086" s="6">
        <f t="shared" si="64"/>
        <v>1</v>
      </c>
      <c r="O1086" t="str">
        <f>IF(Tabla_control[[#This Row],[Control_duplicados]]&gt;1,"Duplicado","Unico")</f>
        <v>Unico</v>
      </c>
      <c r="P1086" t="str">
        <f t="shared" si="65"/>
        <v>OK</v>
      </c>
      <c r="Q1086" t="str">
        <f t="shared" si="66"/>
        <v>OK</v>
      </c>
      <c r="R1086" t="str">
        <f t="shared" si="67"/>
        <v>OK</v>
      </c>
    </row>
    <row r="1087" spans="1:18" x14ac:dyDescent="0.3">
      <c r="A1087" s="1">
        <v>45750</v>
      </c>
      <c r="B1087" s="2" t="s">
        <v>2641</v>
      </c>
      <c r="C1087" s="2" t="s">
        <v>2515</v>
      </c>
      <c r="D1087" s="2" t="s">
        <v>2528</v>
      </c>
      <c r="E1087" s="2" t="s">
        <v>2517</v>
      </c>
      <c r="F1087" s="3">
        <v>70603</v>
      </c>
      <c r="G1087" s="3">
        <v>6342</v>
      </c>
      <c r="H1087" s="3">
        <v>825</v>
      </c>
      <c r="I1087" s="4">
        <v>868.44</v>
      </c>
      <c r="J1087" s="4">
        <v>176068.4</v>
      </c>
      <c r="K1087" s="3">
        <v>439</v>
      </c>
      <c r="L1087" s="2" t="s">
        <v>2539</v>
      </c>
      <c r="M1087" s="2" t="s">
        <v>2526</v>
      </c>
      <c r="N1087" s="6">
        <f t="shared" si="64"/>
        <v>1</v>
      </c>
      <c r="O1087" t="str">
        <f>IF(Tabla_control[[#This Row],[Control_duplicados]]&gt;1,"Duplicado","Unico")</f>
        <v>Unico</v>
      </c>
      <c r="P1087" t="str">
        <f t="shared" si="65"/>
        <v>OK</v>
      </c>
      <c r="Q1087" t="str">
        <f t="shared" si="66"/>
        <v>OK</v>
      </c>
      <c r="R1087" t="str">
        <f t="shared" si="67"/>
        <v>OK</v>
      </c>
    </row>
    <row r="1088" spans="1:18" x14ac:dyDescent="0.3">
      <c r="A1088" s="1">
        <v>45903</v>
      </c>
      <c r="B1088" s="2" t="s">
        <v>2616</v>
      </c>
      <c r="C1088" s="2" t="s">
        <v>2541</v>
      </c>
      <c r="D1088" s="2" t="s">
        <v>2522</v>
      </c>
      <c r="E1088" s="2" t="s">
        <v>2517</v>
      </c>
      <c r="F1088" s="3">
        <v>133096</v>
      </c>
      <c r="G1088" s="3">
        <v>10617</v>
      </c>
      <c r="H1088" s="3">
        <v>1139</v>
      </c>
      <c r="I1088" s="4">
        <v>20580.93</v>
      </c>
      <c r="J1088" s="4">
        <v>76496.22</v>
      </c>
      <c r="K1088" s="3">
        <v>731</v>
      </c>
      <c r="L1088" s="2" t="s">
        <v>2518</v>
      </c>
      <c r="M1088" s="2" t="s">
        <v>2546</v>
      </c>
      <c r="N1088" s="6">
        <f t="shared" si="64"/>
        <v>1</v>
      </c>
      <c r="O1088" t="str">
        <f>IF(Tabla_control[[#This Row],[Control_duplicados]]&gt;1,"Duplicado","Unico")</f>
        <v>Unico</v>
      </c>
      <c r="P1088" t="str">
        <f t="shared" si="65"/>
        <v>OK</v>
      </c>
      <c r="Q1088" t="str">
        <f t="shared" si="66"/>
        <v>OK</v>
      </c>
      <c r="R1088" t="str">
        <f t="shared" si="67"/>
        <v>OK</v>
      </c>
    </row>
    <row r="1089" spans="1:18" x14ac:dyDescent="0.3">
      <c r="A1089" s="1">
        <v>45871</v>
      </c>
      <c r="B1089" s="2" t="s">
        <v>2638</v>
      </c>
      <c r="C1089" s="2" t="s">
        <v>2521</v>
      </c>
      <c r="D1089" s="2" t="s">
        <v>2531</v>
      </c>
      <c r="E1089" s="2" t="s">
        <v>2529</v>
      </c>
      <c r="F1089" s="3">
        <v>98564</v>
      </c>
      <c r="G1089" s="3">
        <v>7334</v>
      </c>
      <c r="H1089" s="3">
        <v>494</v>
      </c>
      <c r="I1089" s="4">
        <v>14958.13</v>
      </c>
      <c r="J1089" s="4">
        <v>52240.41</v>
      </c>
      <c r="K1089" s="3">
        <v>283</v>
      </c>
      <c r="L1089" s="2" t="s">
        <v>2539</v>
      </c>
      <c r="M1089" s="2" t="s">
        <v>2524</v>
      </c>
      <c r="N1089" s="6">
        <f t="shared" si="64"/>
        <v>1</v>
      </c>
      <c r="O1089" t="str">
        <f>IF(Tabla_control[[#This Row],[Control_duplicados]]&gt;1,"Duplicado","Unico")</f>
        <v>Unico</v>
      </c>
      <c r="P1089" t="str">
        <f t="shared" si="65"/>
        <v>OK</v>
      </c>
      <c r="Q1089" t="str">
        <f t="shared" si="66"/>
        <v>OK</v>
      </c>
      <c r="R1089" t="str">
        <f t="shared" si="67"/>
        <v>OK</v>
      </c>
    </row>
    <row r="1090" spans="1:18" x14ac:dyDescent="0.3">
      <c r="A1090" s="1">
        <v>45781</v>
      </c>
      <c r="B1090" s="2" t="s">
        <v>2640</v>
      </c>
      <c r="C1090" s="2" t="s">
        <v>2533</v>
      </c>
      <c r="D1090" s="2" t="s">
        <v>2528</v>
      </c>
      <c r="E1090" s="2" t="s">
        <v>2529</v>
      </c>
      <c r="F1090" s="3">
        <v>78349</v>
      </c>
      <c r="G1090" s="3">
        <v>6006</v>
      </c>
      <c r="H1090" s="3">
        <v>801</v>
      </c>
      <c r="I1090" s="4">
        <v>1219.1099999999999</v>
      </c>
      <c r="J1090" s="4">
        <v>131056.92</v>
      </c>
      <c r="K1090" s="3">
        <v>547</v>
      </c>
      <c r="L1090" s="2" t="s">
        <v>2536</v>
      </c>
      <c r="M1090" s="2" t="s">
        <v>2537</v>
      </c>
      <c r="N1090" s="6">
        <f t="shared" ref="N1090:N1153" si="68">COUNTIFS($A$2:$A$2536,A1090,$B$2:$B$2536,B1090,$C$2:$C$2536,C1090,$D$2:$D$2536,D1090,$E$2:$E$2536,E1090,$F$2:$F$2536,F1090,$G$2:$G$2536,G1090,$H$2:$H$2536,H1090,$I$2:$I$2536,I1090,$J$2:$J$2536,J1090,$K$2:$K$2536,K1090,$L$2:$L$2536,L1090,$M$2:$M$2536,M1090)</f>
        <v>1</v>
      </c>
      <c r="O1090" t="str">
        <f>IF(Tabla_control[[#This Row],[Control_duplicados]]&gt;1,"Duplicado","Unico")</f>
        <v>Unico</v>
      </c>
      <c r="P1090" t="str">
        <f t="shared" ref="P1090:P1153" si="69">IF(OR(I1090="",I1090&lt;0),"ERROR","OK")</f>
        <v>OK</v>
      </c>
      <c r="Q1090" t="str">
        <f t="shared" ref="Q1090:Q1153" si="70">IF(H1090&gt;F1090,"ERROR","OK")</f>
        <v>OK</v>
      </c>
      <c r="R1090" t="str">
        <f t="shared" ref="R1090:R1153" si="71">IF(K1090&gt;H1090,"ERROR","OK")</f>
        <v>OK</v>
      </c>
    </row>
    <row r="1091" spans="1:18" x14ac:dyDescent="0.3">
      <c r="A1091" s="1">
        <v>45772</v>
      </c>
      <c r="B1091" s="2" t="s">
        <v>2632</v>
      </c>
      <c r="C1091" s="2" t="s">
        <v>2527</v>
      </c>
      <c r="D1091" s="2" t="s">
        <v>2528</v>
      </c>
      <c r="E1091" s="2" t="s">
        <v>2529</v>
      </c>
      <c r="F1091" s="3">
        <v>86935</v>
      </c>
      <c r="G1091" s="3">
        <v>798</v>
      </c>
      <c r="H1091" s="3">
        <v>52</v>
      </c>
      <c r="I1091" s="4">
        <v>572.33000000000004</v>
      </c>
      <c r="J1091" s="4">
        <v>5109.24</v>
      </c>
      <c r="K1091" s="3">
        <v>28</v>
      </c>
      <c r="L1091" s="2" t="s">
        <v>2518</v>
      </c>
      <c r="M1091" s="2" t="s">
        <v>2524</v>
      </c>
      <c r="N1091" s="6">
        <f t="shared" si="68"/>
        <v>1</v>
      </c>
      <c r="O1091" t="str">
        <f>IF(Tabla_control[[#This Row],[Control_duplicados]]&gt;1,"Duplicado","Unico")</f>
        <v>Unico</v>
      </c>
      <c r="P1091" t="str">
        <f t="shared" si="69"/>
        <v>OK</v>
      </c>
      <c r="Q1091" t="str">
        <f t="shared" si="70"/>
        <v>OK</v>
      </c>
      <c r="R1091" t="str">
        <f t="shared" si="71"/>
        <v>OK</v>
      </c>
    </row>
    <row r="1092" spans="1:18" x14ac:dyDescent="0.3">
      <c r="A1092" s="1">
        <v>45899</v>
      </c>
      <c r="B1092" s="2" t="s">
        <v>2626</v>
      </c>
      <c r="C1092" s="2" t="s">
        <v>2541</v>
      </c>
      <c r="D1092" s="2" t="s">
        <v>2531</v>
      </c>
      <c r="E1092" s="2" t="s">
        <v>2529</v>
      </c>
      <c r="F1092" s="3">
        <v>94800</v>
      </c>
      <c r="G1092" s="3">
        <v>5840</v>
      </c>
      <c r="H1092" s="3">
        <v>747</v>
      </c>
      <c r="I1092" s="4">
        <v>8439.92</v>
      </c>
      <c r="J1092" s="4">
        <v>89848.06</v>
      </c>
      <c r="K1092" s="3">
        <v>606</v>
      </c>
      <c r="L1092" s="2" t="s">
        <v>2518</v>
      </c>
      <c r="M1092" s="2" t="s">
        <v>2537</v>
      </c>
      <c r="N1092" s="6">
        <f t="shared" si="68"/>
        <v>1</v>
      </c>
      <c r="O1092" t="str">
        <f>IF(Tabla_control[[#This Row],[Control_duplicados]]&gt;1,"Duplicado","Unico")</f>
        <v>Unico</v>
      </c>
      <c r="P1092" t="str">
        <f t="shared" si="69"/>
        <v>OK</v>
      </c>
      <c r="Q1092" t="str">
        <f t="shared" si="70"/>
        <v>OK</v>
      </c>
      <c r="R1092" t="str">
        <f t="shared" si="71"/>
        <v>OK</v>
      </c>
    </row>
    <row r="1093" spans="1:18" x14ac:dyDescent="0.3">
      <c r="A1093" s="1">
        <v>45801</v>
      </c>
      <c r="B1093" s="2" t="s">
        <v>2619</v>
      </c>
      <c r="C1093" s="2" t="s">
        <v>2521</v>
      </c>
      <c r="D1093" s="2" t="s">
        <v>2522</v>
      </c>
      <c r="E1093" s="2" t="s">
        <v>2517</v>
      </c>
      <c r="F1093" s="3">
        <v>17014</v>
      </c>
      <c r="G1093" s="3">
        <v>229</v>
      </c>
      <c r="H1093" s="3">
        <v>26</v>
      </c>
      <c r="I1093" s="4">
        <v>83.48</v>
      </c>
      <c r="J1093" s="4">
        <v>3639.85</v>
      </c>
      <c r="K1093" s="3">
        <v>20</v>
      </c>
      <c r="L1093" s="2" t="s">
        <v>2536</v>
      </c>
      <c r="M1093" s="2" t="s">
        <v>2519</v>
      </c>
      <c r="N1093" s="6">
        <f t="shared" si="68"/>
        <v>1</v>
      </c>
      <c r="O1093" t="str">
        <f>IF(Tabla_control[[#This Row],[Control_duplicados]]&gt;1,"Duplicado","Unico")</f>
        <v>Unico</v>
      </c>
      <c r="P1093" t="str">
        <f t="shared" si="69"/>
        <v>OK</v>
      </c>
      <c r="Q1093" t="str">
        <f t="shared" si="70"/>
        <v>OK</v>
      </c>
      <c r="R1093" t="str">
        <f t="shared" si="71"/>
        <v>OK</v>
      </c>
    </row>
    <row r="1094" spans="1:18" x14ac:dyDescent="0.3">
      <c r="A1094" s="1">
        <v>46007</v>
      </c>
      <c r="B1094" s="2" t="s">
        <v>2625</v>
      </c>
      <c r="C1094" s="2" t="s">
        <v>2527</v>
      </c>
      <c r="D1094" s="2" t="s">
        <v>2525</v>
      </c>
      <c r="E1094" s="2" t="s">
        <v>2529</v>
      </c>
      <c r="F1094" s="3">
        <v>124073</v>
      </c>
      <c r="G1094" s="3">
        <v>8384</v>
      </c>
      <c r="H1094" s="3">
        <v>522</v>
      </c>
      <c r="I1094" s="4">
        <v>9807.1200000000008</v>
      </c>
      <c r="J1094" s="4">
        <v>44087.18</v>
      </c>
      <c r="K1094" s="3">
        <v>437</v>
      </c>
      <c r="L1094" s="2" t="s">
        <v>2523</v>
      </c>
      <c r="M1094" s="2" t="s">
        <v>2537</v>
      </c>
      <c r="N1094" s="6">
        <f t="shared" si="68"/>
        <v>1</v>
      </c>
      <c r="O1094" t="str">
        <f>IF(Tabla_control[[#This Row],[Control_duplicados]]&gt;1,"Duplicado","Unico")</f>
        <v>Unico</v>
      </c>
      <c r="P1094" t="str">
        <f t="shared" si="69"/>
        <v>OK</v>
      </c>
      <c r="Q1094" t="str">
        <f t="shared" si="70"/>
        <v>OK</v>
      </c>
      <c r="R1094" t="str">
        <f t="shared" si="71"/>
        <v>OK</v>
      </c>
    </row>
    <row r="1095" spans="1:18" x14ac:dyDescent="0.3">
      <c r="A1095" s="1">
        <v>45791</v>
      </c>
      <c r="B1095" s="2" t="s">
        <v>2617</v>
      </c>
      <c r="C1095" s="2" t="s">
        <v>2541</v>
      </c>
      <c r="D1095" s="2" t="s">
        <v>2522</v>
      </c>
      <c r="E1095" s="2" t="s">
        <v>2529</v>
      </c>
      <c r="F1095" s="3">
        <v>20323</v>
      </c>
      <c r="G1095" s="3">
        <v>1234</v>
      </c>
      <c r="H1095" s="3">
        <v>147</v>
      </c>
      <c r="I1095" s="4">
        <v>1120.03</v>
      </c>
      <c r="J1095" s="4">
        <v>20864.39</v>
      </c>
      <c r="K1095" s="3">
        <v>121</v>
      </c>
      <c r="L1095" s="2" t="s">
        <v>2536</v>
      </c>
      <c r="M1095" s="2" t="s">
        <v>2537</v>
      </c>
      <c r="N1095" s="6">
        <f t="shared" si="68"/>
        <v>1</v>
      </c>
      <c r="O1095" t="str">
        <f>IF(Tabla_control[[#This Row],[Control_duplicados]]&gt;1,"Duplicado","Unico")</f>
        <v>Unico</v>
      </c>
      <c r="P1095" t="str">
        <f t="shared" si="69"/>
        <v>OK</v>
      </c>
      <c r="Q1095" t="str">
        <f t="shared" si="70"/>
        <v>OK</v>
      </c>
      <c r="R1095" t="str">
        <f t="shared" si="71"/>
        <v>OK</v>
      </c>
    </row>
    <row r="1096" spans="1:18" x14ac:dyDescent="0.3">
      <c r="A1096" s="1">
        <v>45735</v>
      </c>
      <c r="B1096" s="2" t="s">
        <v>2633</v>
      </c>
      <c r="C1096" s="2" t="s">
        <v>2521</v>
      </c>
      <c r="D1096" s="2" t="s">
        <v>2528</v>
      </c>
      <c r="E1096" s="2" t="s">
        <v>2529</v>
      </c>
      <c r="F1096" s="3">
        <v>168419</v>
      </c>
      <c r="G1096" s="3">
        <v>11813</v>
      </c>
      <c r="H1096" s="3">
        <v>227</v>
      </c>
      <c r="I1096" s="4">
        <v>22459.919999999998</v>
      </c>
      <c r="J1096" s="4">
        <v>27768.49</v>
      </c>
      <c r="K1096" s="3">
        <v>141</v>
      </c>
      <c r="L1096" s="2" t="s">
        <v>2518</v>
      </c>
      <c r="M1096" s="2" t="s">
        <v>2519</v>
      </c>
      <c r="N1096" s="6">
        <f t="shared" si="68"/>
        <v>1</v>
      </c>
      <c r="O1096" t="str">
        <f>IF(Tabla_control[[#This Row],[Control_duplicados]]&gt;1,"Duplicado","Unico")</f>
        <v>Unico</v>
      </c>
      <c r="P1096" t="str">
        <f t="shared" si="69"/>
        <v>OK</v>
      </c>
      <c r="Q1096" t="str">
        <f t="shared" si="70"/>
        <v>OK</v>
      </c>
      <c r="R1096" t="str">
        <f t="shared" si="71"/>
        <v>OK</v>
      </c>
    </row>
    <row r="1097" spans="1:18" x14ac:dyDescent="0.3">
      <c r="A1097" s="1">
        <v>45677</v>
      </c>
      <c r="B1097" s="2" t="s">
        <v>2633</v>
      </c>
      <c r="C1097" s="2" t="s">
        <v>2527</v>
      </c>
      <c r="D1097" s="2" t="s">
        <v>2528</v>
      </c>
      <c r="E1097" s="2" t="s">
        <v>2517</v>
      </c>
      <c r="F1097" s="3">
        <v>172364</v>
      </c>
      <c r="G1097" s="3">
        <v>7896</v>
      </c>
      <c r="H1097" s="3">
        <v>745</v>
      </c>
      <c r="I1097" s="4">
        <v>3865.44</v>
      </c>
      <c r="J1097" s="4">
        <v>152652.1</v>
      </c>
      <c r="K1097" s="3">
        <v>474</v>
      </c>
      <c r="L1097" s="2" t="s">
        <v>2518</v>
      </c>
      <c r="M1097" s="2" t="s">
        <v>2537</v>
      </c>
      <c r="N1097" s="6">
        <f t="shared" si="68"/>
        <v>1</v>
      </c>
      <c r="O1097" t="str">
        <f>IF(Tabla_control[[#This Row],[Control_duplicados]]&gt;1,"Duplicado","Unico")</f>
        <v>Unico</v>
      </c>
      <c r="P1097" t="str">
        <f t="shared" si="69"/>
        <v>OK</v>
      </c>
      <c r="Q1097" t="str">
        <f t="shared" si="70"/>
        <v>OK</v>
      </c>
      <c r="R1097" t="str">
        <f t="shared" si="71"/>
        <v>OK</v>
      </c>
    </row>
    <row r="1098" spans="1:18" x14ac:dyDescent="0.3">
      <c r="A1098" s="1">
        <v>45708</v>
      </c>
      <c r="B1098" s="2" t="s">
        <v>2628</v>
      </c>
      <c r="C1098" s="2" t="s">
        <v>2527</v>
      </c>
      <c r="D1098" s="2" t="s">
        <v>2528</v>
      </c>
      <c r="E1098" s="2" t="s">
        <v>2529</v>
      </c>
      <c r="F1098" s="3">
        <v>19329</v>
      </c>
      <c r="G1098" s="3">
        <v>1171</v>
      </c>
      <c r="H1098" s="3">
        <v>82</v>
      </c>
      <c r="I1098" s="4">
        <v>2019.65</v>
      </c>
      <c r="J1098" s="4">
        <v>9064.18</v>
      </c>
      <c r="K1098" s="3">
        <v>37</v>
      </c>
      <c r="L1098" s="2" t="s">
        <v>2536</v>
      </c>
      <c r="M1098" s="2" t="s">
        <v>2519</v>
      </c>
      <c r="N1098" s="6">
        <f t="shared" si="68"/>
        <v>1</v>
      </c>
      <c r="O1098" t="str">
        <f>IF(Tabla_control[[#This Row],[Control_duplicados]]&gt;1,"Duplicado","Unico")</f>
        <v>Unico</v>
      </c>
      <c r="P1098" t="str">
        <f t="shared" si="69"/>
        <v>OK</v>
      </c>
      <c r="Q1098" t="str">
        <f t="shared" si="70"/>
        <v>OK</v>
      </c>
      <c r="R1098" t="str">
        <f t="shared" si="71"/>
        <v>OK</v>
      </c>
    </row>
    <row r="1099" spans="1:18" x14ac:dyDescent="0.3">
      <c r="A1099" s="1">
        <v>46006</v>
      </c>
      <c r="B1099" s="2" t="s">
        <v>2621</v>
      </c>
      <c r="C1099" s="2" t="s">
        <v>2543</v>
      </c>
      <c r="D1099" s="2" t="s">
        <v>2516</v>
      </c>
      <c r="E1099" s="2" t="s">
        <v>2529</v>
      </c>
      <c r="F1099" s="3">
        <v>163068</v>
      </c>
      <c r="G1099" s="3">
        <v>4623</v>
      </c>
      <c r="H1099" s="3">
        <v>595</v>
      </c>
      <c r="I1099" s="4">
        <v>6407.64</v>
      </c>
      <c r="J1099" s="4">
        <v>38969.129999999997</v>
      </c>
      <c r="K1099" s="3">
        <v>376</v>
      </c>
      <c r="L1099" s="2" t="s">
        <v>2539</v>
      </c>
      <c r="M1099" s="2" t="s">
        <v>2546</v>
      </c>
      <c r="N1099" s="6">
        <f t="shared" si="68"/>
        <v>1</v>
      </c>
      <c r="O1099" t="str">
        <f>IF(Tabla_control[[#This Row],[Control_duplicados]]&gt;1,"Duplicado","Unico")</f>
        <v>Unico</v>
      </c>
      <c r="P1099" t="str">
        <f t="shared" si="69"/>
        <v>OK</v>
      </c>
      <c r="Q1099" t="str">
        <f t="shared" si="70"/>
        <v>OK</v>
      </c>
      <c r="R1099" t="str">
        <f t="shared" si="71"/>
        <v>OK</v>
      </c>
    </row>
    <row r="1100" spans="1:18" x14ac:dyDescent="0.3">
      <c r="A1100" s="1">
        <v>45735</v>
      </c>
      <c r="B1100" s="2" t="s">
        <v>2643</v>
      </c>
      <c r="C1100" s="2" t="s">
        <v>2521</v>
      </c>
      <c r="D1100" s="2" t="s">
        <v>2516</v>
      </c>
      <c r="E1100" s="2" t="s">
        <v>2534</v>
      </c>
      <c r="F1100" s="3">
        <v>16454</v>
      </c>
      <c r="G1100" s="3">
        <v>409</v>
      </c>
      <c r="H1100" s="3">
        <v>30</v>
      </c>
      <c r="I1100" s="4">
        <v>177.86</v>
      </c>
      <c r="J1100" s="4">
        <v>2319.94</v>
      </c>
      <c r="K1100" s="3">
        <v>16</v>
      </c>
      <c r="L1100" s="2" t="s">
        <v>2536</v>
      </c>
      <c r="M1100" s="2" t="s">
        <v>2524</v>
      </c>
      <c r="N1100" s="6">
        <f t="shared" si="68"/>
        <v>1</v>
      </c>
      <c r="O1100" t="str">
        <f>IF(Tabla_control[[#This Row],[Control_duplicados]]&gt;1,"Duplicado","Unico")</f>
        <v>Unico</v>
      </c>
      <c r="P1100" t="str">
        <f t="shared" si="69"/>
        <v>OK</v>
      </c>
      <c r="Q1100" t="str">
        <f t="shared" si="70"/>
        <v>OK</v>
      </c>
      <c r="R1100" t="str">
        <f t="shared" si="71"/>
        <v>OK</v>
      </c>
    </row>
    <row r="1101" spans="1:18" x14ac:dyDescent="0.3">
      <c r="A1101" s="1">
        <v>46008</v>
      </c>
      <c r="B1101" s="2" t="s">
        <v>2634</v>
      </c>
      <c r="C1101" s="2" t="s">
        <v>2533</v>
      </c>
      <c r="D1101" s="2" t="s">
        <v>2528</v>
      </c>
      <c r="E1101" s="2" t="s">
        <v>2529</v>
      </c>
      <c r="F1101" s="3">
        <v>179844</v>
      </c>
      <c r="G1101" s="3">
        <v>8689</v>
      </c>
      <c r="H1101" s="3">
        <v>979</v>
      </c>
      <c r="I1101" s="4">
        <v>10451.719999999999</v>
      </c>
      <c r="J1101" s="4">
        <v>27464.99</v>
      </c>
      <c r="K1101" s="3">
        <v>652</v>
      </c>
      <c r="L1101" s="2" t="s">
        <v>2523</v>
      </c>
      <c r="M1101" s="2" t="s">
        <v>2526</v>
      </c>
      <c r="N1101" s="6">
        <f t="shared" si="68"/>
        <v>1</v>
      </c>
      <c r="O1101" t="str">
        <f>IF(Tabla_control[[#This Row],[Control_duplicados]]&gt;1,"Duplicado","Unico")</f>
        <v>Unico</v>
      </c>
      <c r="P1101" t="str">
        <f t="shared" si="69"/>
        <v>OK</v>
      </c>
      <c r="Q1101" t="str">
        <f t="shared" si="70"/>
        <v>OK</v>
      </c>
      <c r="R1101" t="str">
        <f t="shared" si="71"/>
        <v>OK</v>
      </c>
    </row>
    <row r="1102" spans="1:18" x14ac:dyDescent="0.3">
      <c r="A1102" s="1">
        <v>46002</v>
      </c>
      <c r="B1102" s="2" t="s">
        <v>2644</v>
      </c>
      <c r="C1102" s="2" t="s">
        <v>2527</v>
      </c>
      <c r="D1102" s="2" t="s">
        <v>2525</v>
      </c>
      <c r="E1102" s="2" t="s">
        <v>2517</v>
      </c>
      <c r="F1102" s="3">
        <v>152204</v>
      </c>
      <c r="G1102" s="3">
        <v>5362</v>
      </c>
      <c r="H1102" s="3">
        <v>158</v>
      </c>
      <c r="I1102" s="4">
        <v>6820.84</v>
      </c>
      <c r="J1102" s="4">
        <v>14317.49</v>
      </c>
      <c r="K1102" s="3">
        <v>106</v>
      </c>
      <c r="L1102" s="2" t="s">
        <v>2523</v>
      </c>
      <c r="M1102" s="2" t="s">
        <v>2546</v>
      </c>
      <c r="N1102" s="6">
        <f t="shared" si="68"/>
        <v>1</v>
      </c>
      <c r="O1102" t="str">
        <f>IF(Tabla_control[[#This Row],[Control_duplicados]]&gt;1,"Duplicado","Unico")</f>
        <v>Unico</v>
      </c>
      <c r="P1102" t="str">
        <f t="shared" si="69"/>
        <v>OK</v>
      </c>
      <c r="Q1102" t="str">
        <f t="shared" si="70"/>
        <v>OK</v>
      </c>
      <c r="R1102" t="str">
        <f t="shared" si="71"/>
        <v>OK</v>
      </c>
    </row>
    <row r="1103" spans="1:18" x14ac:dyDescent="0.3">
      <c r="A1103" s="1">
        <v>45938</v>
      </c>
      <c r="B1103" s="2" t="s">
        <v>2639</v>
      </c>
      <c r="C1103" s="2" t="s">
        <v>2541</v>
      </c>
      <c r="D1103" s="2" t="s">
        <v>2525</v>
      </c>
      <c r="E1103" s="2" t="s">
        <v>2534</v>
      </c>
      <c r="F1103" s="3">
        <v>51205</v>
      </c>
      <c r="G1103" s="3">
        <v>673</v>
      </c>
      <c r="H1103" s="3">
        <v>47</v>
      </c>
      <c r="I1103" s="4">
        <v>1200.73</v>
      </c>
      <c r="J1103" s="4">
        <v>9597.81</v>
      </c>
      <c r="K1103" s="3">
        <v>41</v>
      </c>
      <c r="L1103" s="2" t="s">
        <v>2523</v>
      </c>
      <c r="M1103" s="2" t="s">
        <v>2524</v>
      </c>
      <c r="N1103" s="6">
        <f t="shared" si="68"/>
        <v>1</v>
      </c>
      <c r="O1103" t="str">
        <f>IF(Tabla_control[[#This Row],[Control_duplicados]]&gt;1,"Duplicado","Unico")</f>
        <v>Unico</v>
      </c>
      <c r="P1103" t="str">
        <f t="shared" si="69"/>
        <v>OK</v>
      </c>
      <c r="Q1103" t="str">
        <f t="shared" si="70"/>
        <v>OK</v>
      </c>
      <c r="R1103" t="str">
        <f t="shared" si="71"/>
        <v>OK</v>
      </c>
    </row>
    <row r="1104" spans="1:18" x14ac:dyDescent="0.3">
      <c r="A1104" s="1">
        <v>45700</v>
      </c>
      <c r="B1104" s="2" t="s">
        <v>2617</v>
      </c>
      <c r="C1104" s="2" t="s">
        <v>2533</v>
      </c>
      <c r="D1104" s="2" t="s">
        <v>2528</v>
      </c>
      <c r="E1104" s="2" t="s">
        <v>2529</v>
      </c>
      <c r="F1104" s="3">
        <v>134420</v>
      </c>
      <c r="G1104" s="3">
        <v>10832</v>
      </c>
      <c r="H1104" s="3">
        <v>1451</v>
      </c>
      <c r="I1104" s="4">
        <v>13208.77</v>
      </c>
      <c r="J1104" s="4">
        <v>124506.66</v>
      </c>
      <c r="K1104" s="3">
        <v>1138</v>
      </c>
      <c r="L1104" s="2" t="s">
        <v>2518</v>
      </c>
      <c r="M1104" s="2" t="s">
        <v>2524</v>
      </c>
      <c r="N1104" s="6">
        <f t="shared" si="68"/>
        <v>1</v>
      </c>
      <c r="O1104" t="str">
        <f>IF(Tabla_control[[#This Row],[Control_duplicados]]&gt;1,"Duplicado","Unico")</f>
        <v>Unico</v>
      </c>
      <c r="P1104" t="str">
        <f t="shared" si="69"/>
        <v>OK</v>
      </c>
      <c r="Q1104" t="str">
        <f t="shared" si="70"/>
        <v>OK</v>
      </c>
      <c r="R1104" t="str">
        <f t="shared" si="71"/>
        <v>OK</v>
      </c>
    </row>
    <row r="1105" spans="1:18" x14ac:dyDescent="0.3">
      <c r="A1105" s="1">
        <v>45744</v>
      </c>
      <c r="B1105" s="2" t="s">
        <v>2629</v>
      </c>
      <c r="C1105" s="2" t="s">
        <v>2515</v>
      </c>
      <c r="D1105" s="2" t="s">
        <v>2528</v>
      </c>
      <c r="E1105" s="2" t="s">
        <v>2529</v>
      </c>
      <c r="F1105" s="3">
        <v>66543</v>
      </c>
      <c r="G1105" s="3">
        <v>2075</v>
      </c>
      <c r="H1105" s="3">
        <v>38</v>
      </c>
      <c r="I1105" s="4">
        <v>2775.31</v>
      </c>
      <c r="J1105" s="4">
        <v>7919.9</v>
      </c>
      <c r="K1105" s="3">
        <v>28</v>
      </c>
      <c r="L1105" s="2" t="s">
        <v>2536</v>
      </c>
      <c r="M1105" s="2" t="s">
        <v>2519</v>
      </c>
      <c r="N1105" s="6">
        <f t="shared" si="68"/>
        <v>1</v>
      </c>
      <c r="O1105" t="str">
        <f>IF(Tabla_control[[#This Row],[Control_duplicados]]&gt;1,"Duplicado","Unico")</f>
        <v>Unico</v>
      </c>
      <c r="P1105" t="str">
        <f t="shared" si="69"/>
        <v>OK</v>
      </c>
      <c r="Q1105" t="str">
        <f t="shared" si="70"/>
        <v>OK</v>
      </c>
      <c r="R1105" t="str">
        <f t="shared" si="71"/>
        <v>OK</v>
      </c>
    </row>
    <row r="1106" spans="1:18" x14ac:dyDescent="0.3">
      <c r="A1106" s="1">
        <v>45862</v>
      </c>
      <c r="B1106" s="2" t="s">
        <v>2638</v>
      </c>
      <c r="C1106" s="2" t="s">
        <v>2515</v>
      </c>
      <c r="D1106" s="2" t="s">
        <v>2525</v>
      </c>
      <c r="E1106" s="2" t="s">
        <v>2529</v>
      </c>
      <c r="F1106" s="3">
        <v>73536</v>
      </c>
      <c r="G1106" s="3">
        <v>5231</v>
      </c>
      <c r="H1106" s="3">
        <v>395</v>
      </c>
      <c r="I1106" s="4">
        <v>9855.4599999999991</v>
      </c>
      <c r="J1106" s="4">
        <v>74326.789999999994</v>
      </c>
      <c r="K1106" s="3">
        <v>254</v>
      </c>
      <c r="L1106" s="2" t="s">
        <v>2523</v>
      </c>
      <c r="M1106" s="2" t="s">
        <v>2546</v>
      </c>
      <c r="N1106" s="6">
        <f t="shared" si="68"/>
        <v>1</v>
      </c>
      <c r="O1106" t="str">
        <f>IF(Tabla_control[[#This Row],[Control_duplicados]]&gt;1,"Duplicado","Unico")</f>
        <v>Unico</v>
      </c>
      <c r="P1106" t="str">
        <f t="shared" si="69"/>
        <v>OK</v>
      </c>
      <c r="Q1106" t="str">
        <f t="shared" si="70"/>
        <v>OK</v>
      </c>
      <c r="R1106" t="str">
        <f t="shared" si="71"/>
        <v>OK</v>
      </c>
    </row>
    <row r="1107" spans="1:18" x14ac:dyDescent="0.3">
      <c r="A1107" s="1">
        <v>45798</v>
      </c>
      <c r="B1107" s="2" t="s">
        <v>2632</v>
      </c>
      <c r="C1107" s="2" t="s">
        <v>2543</v>
      </c>
      <c r="D1107" s="2" t="s">
        <v>2525</v>
      </c>
      <c r="E1107" s="2" t="s">
        <v>2529</v>
      </c>
      <c r="F1107" s="3">
        <v>93873</v>
      </c>
      <c r="G1107" s="3">
        <v>6249</v>
      </c>
      <c r="H1107" s="3">
        <v>691</v>
      </c>
      <c r="I1107" s="4">
        <v>2364.0700000000002</v>
      </c>
      <c r="J1107" s="4">
        <v>57502.02</v>
      </c>
      <c r="K1107" s="3">
        <v>507</v>
      </c>
      <c r="L1107" s="2" t="s">
        <v>2518</v>
      </c>
      <c r="M1107" s="2" t="s">
        <v>2524</v>
      </c>
      <c r="N1107" s="6">
        <f t="shared" si="68"/>
        <v>1</v>
      </c>
      <c r="O1107" t="str">
        <f>IF(Tabla_control[[#This Row],[Control_duplicados]]&gt;1,"Duplicado","Unico")</f>
        <v>Unico</v>
      </c>
      <c r="P1107" t="str">
        <f t="shared" si="69"/>
        <v>OK</v>
      </c>
      <c r="Q1107" t="str">
        <f t="shared" si="70"/>
        <v>OK</v>
      </c>
      <c r="R1107" t="str">
        <f t="shared" si="71"/>
        <v>OK</v>
      </c>
    </row>
    <row r="1108" spans="1:18" x14ac:dyDescent="0.3">
      <c r="A1108" s="1">
        <v>45836</v>
      </c>
      <c r="B1108" s="2" t="s">
        <v>2640</v>
      </c>
      <c r="C1108" s="2" t="s">
        <v>2533</v>
      </c>
      <c r="D1108" s="2" t="s">
        <v>2528</v>
      </c>
      <c r="E1108" s="2" t="s">
        <v>2529</v>
      </c>
      <c r="F1108" s="3">
        <v>173129</v>
      </c>
      <c r="G1108" s="3">
        <v>8028</v>
      </c>
      <c r="H1108" s="3">
        <v>1015</v>
      </c>
      <c r="I1108" s="4">
        <v>990.11</v>
      </c>
      <c r="J1108" s="4">
        <v>196743.7</v>
      </c>
      <c r="K1108" s="3">
        <v>893</v>
      </c>
      <c r="L1108" s="2" t="s">
        <v>2536</v>
      </c>
      <c r="M1108" s="2" t="s">
        <v>2537</v>
      </c>
      <c r="N1108" s="6">
        <f t="shared" si="68"/>
        <v>1</v>
      </c>
      <c r="O1108" t="str">
        <f>IF(Tabla_control[[#This Row],[Control_duplicados]]&gt;1,"Duplicado","Unico")</f>
        <v>Unico</v>
      </c>
      <c r="P1108" t="str">
        <f t="shared" si="69"/>
        <v>OK</v>
      </c>
      <c r="Q1108" t="str">
        <f t="shared" si="70"/>
        <v>OK</v>
      </c>
      <c r="R1108" t="str">
        <f t="shared" si="71"/>
        <v>OK</v>
      </c>
    </row>
    <row r="1109" spans="1:18" x14ac:dyDescent="0.3">
      <c r="A1109" s="1">
        <v>45781</v>
      </c>
      <c r="B1109" s="2" t="s">
        <v>2637</v>
      </c>
      <c r="C1109" s="2" t="s">
        <v>2541</v>
      </c>
      <c r="D1109" s="2" t="s">
        <v>2528</v>
      </c>
      <c r="E1109" s="2" t="s">
        <v>2517</v>
      </c>
      <c r="F1109" s="3">
        <v>131267</v>
      </c>
      <c r="G1109" s="3">
        <v>1387</v>
      </c>
      <c r="H1109" s="3">
        <v>163</v>
      </c>
      <c r="I1109" s="4">
        <v>946.67</v>
      </c>
      <c r="J1109" s="4">
        <v>18259.77</v>
      </c>
      <c r="K1109" s="3">
        <v>75</v>
      </c>
      <c r="L1109" s="2" t="s">
        <v>2518</v>
      </c>
      <c r="M1109" s="2" t="s">
        <v>2537</v>
      </c>
      <c r="N1109" s="6">
        <f t="shared" si="68"/>
        <v>1</v>
      </c>
      <c r="O1109" t="str">
        <f>IF(Tabla_control[[#This Row],[Control_duplicados]]&gt;1,"Duplicado","Unico")</f>
        <v>Unico</v>
      </c>
      <c r="P1109" t="str">
        <f t="shared" si="69"/>
        <v>OK</v>
      </c>
      <c r="Q1109" t="str">
        <f t="shared" si="70"/>
        <v>OK</v>
      </c>
      <c r="R1109" t="str">
        <f t="shared" si="71"/>
        <v>OK</v>
      </c>
    </row>
    <row r="1110" spans="1:18" x14ac:dyDescent="0.3">
      <c r="A1110" s="1">
        <v>45738</v>
      </c>
      <c r="B1110" s="2" t="s">
        <v>2627</v>
      </c>
      <c r="C1110" s="2" t="s">
        <v>2533</v>
      </c>
      <c r="D1110" s="2" t="s">
        <v>2528</v>
      </c>
      <c r="E1110" s="2" t="s">
        <v>2529</v>
      </c>
      <c r="F1110" s="3">
        <v>18996</v>
      </c>
      <c r="G1110" s="3">
        <v>552</v>
      </c>
      <c r="H1110" s="3">
        <v>76</v>
      </c>
      <c r="I1110" s="4">
        <v>1025.57</v>
      </c>
      <c r="J1110" s="4">
        <v>16139.37</v>
      </c>
      <c r="K1110" s="3">
        <v>50</v>
      </c>
      <c r="L1110" s="2" t="s">
        <v>2539</v>
      </c>
      <c r="M1110" s="2" t="s">
        <v>2519</v>
      </c>
      <c r="N1110" s="6">
        <f t="shared" si="68"/>
        <v>1</v>
      </c>
      <c r="O1110" t="str">
        <f>IF(Tabla_control[[#This Row],[Control_duplicados]]&gt;1,"Duplicado","Unico")</f>
        <v>Unico</v>
      </c>
      <c r="P1110" t="str">
        <f t="shared" si="69"/>
        <v>OK</v>
      </c>
      <c r="Q1110" t="str">
        <f t="shared" si="70"/>
        <v>OK</v>
      </c>
      <c r="R1110" t="str">
        <f t="shared" si="71"/>
        <v>OK</v>
      </c>
    </row>
    <row r="1111" spans="1:18" x14ac:dyDescent="0.3">
      <c r="A1111" s="1">
        <v>45701</v>
      </c>
      <c r="B1111" s="2" t="s">
        <v>2636</v>
      </c>
      <c r="C1111" s="2" t="s">
        <v>2543</v>
      </c>
      <c r="D1111" s="2" t="s">
        <v>2645</v>
      </c>
      <c r="E1111" s="2" t="s">
        <v>2529</v>
      </c>
      <c r="F1111" s="3">
        <v>22382</v>
      </c>
      <c r="G1111" s="3">
        <v>551</v>
      </c>
      <c r="H1111" s="3">
        <v>66</v>
      </c>
      <c r="I1111" s="4">
        <v>152.49</v>
      </c>
      <c r="J1111" s="4">
        <v>8581.93</v>
      </c>
      <c r="K1111" s="3">
        <v>48</v>
      </c>
      <c r="L1111" s="2" t="s">
        <v>2523</v>
      </c>
      <c r="M1111" s="2" t="s">
        <v>2519</v>
      </c>
      <c r="N1111" s="6">
        <f t="shared" si="68"/>
        <v>1</v>
      </c>
      <c r="O1111" t="str">
        <f>IF(Tabla_control[[#This Row],[Control_duplicados]]&gt;1,"Duplicado","Unico")</f>
        <v>Unico</v>
      </c>
      <c r="P1111" t="str">
        <f t="shared" si="69"/>
        <v>OK</v>
      </c>
      <c r="Q1111" t="str">
        <f t="shared" si="70"/>
        <v>OK</v>
      </c>
      <c r="R1111" t="str">
        <f t="shared" si="71"/>
        <v>OK</v>
      </c>
    </row>
    <row r="1112" spans="1:18" x14ac:dyDescent="0.3">
      <c r="A1112" s="1">
        <v>45761</v>
      </c>
      <c r="B1112" s="2" t="s">
        <v>2634</v>
      </c>
      <c r="C1112" s="2" t="s">
        <v>2527</v>
      </c>
      <c r="D1112" s="2" t="s">
        <v>2528</v>
      </c>
      <c r="E1112" s="2" t="s">
        <v>2529</v>
      </c>
      <c r="F1112" s="3">
        <v>99665</v>
      </c>
      <c r="G1112" s="3">
        <v>7730</v>
      </c>
      <c r="H1112" s="3">
        <v>988</v>
      </c>
      <c r="I1112" s="4">
        <v>8693.48</v>
      </c>
      <c r="J1112" s="4">
        <v>120059.43</v>
      </c>
      <c r="K1112" s="3">
        <v>797</v>
      </c>
      <c r="L1112" s="2" t="s">
        <v>2523</v>
      </c>
      <c r="M1112" s="2" t="s">
        <v>2537</v>
      </c>
      <c r="N1112" s="6">
        <f t="shared" si="68"/>
        <v>1</v>
      </c>
      <c r="O1112" t="str">
        <f>IF(Tabla_control[[#This Row],[Control_duplicados]]&gt;1,"Duplicado","Unico")</f>
        <v>Unico</v>
      </c>
      <c r="P1112" t="str">
        <f t="shared" si="69"/>
        <v>OK</v>
      </c>
      <c r="Q1112" t="str">
        <f t="shared" si="70"/>
        <v>OK</v>
      </c>
      <c r="R1112" t="str">
        <f t="shared" si="71"/>
        <v>OK</v>
      </c>
    </row>
    <row r="1113" spans="1:18" x14ac:dyDescent="0.3">
      <c r="A1113" s="1">
        <v>45962</v>
      </c>
      <c r="B1113" s="2" t="s">
        <v>2641</v>
      </c>
      <c r="C1113" s="2" t="s">
        <v>2521</v>
      </c>
      <c r="D1113" s="2" t="s">
        <v>2525</v>
      </c>
      <c r="E1113" s="2" t="s">
        <v>2529</v>
      </c>
      <c r="F1113" s="3">
        <v>13986</v>
      </c>
      <c r="G1113" s="3">
        <v>377</v>
      </c>
      <c r="H1113" s="3">
        <v>42</v>
      </c>
      <c r="I1113" s="4">
        <v>463.74</v>
      </c>
      <c r="J1113" s="4">
        <v>9132.08</v>
      </c>
      <c r="K1113" s="3">
        <v>30</v>
      </c>
      <c r="L1113" s="2" t="s">
        <v>2539</v>
      </c>
      <c r="M1113" s="2" t="s">
        <v>2537</v>
      </c>
      <c r="N1113" s="6">
        <f t="shared" si="68"/>
        <v>1</v>
      </c>
      <c r="O1113" t="str">
        <f>IF(Tabla_control[[#This Row],[Control_duplicados]]&gt;1,"Duplicado","Unico")</f>
        <v>Unico</v>
      </c>
      <c r="P1113" t="str">
        <f t="shared" si="69"/>
        <v>OK</v>
      </c>
      <c r="Q1113" t="str">
        <f t="shared" si="70"/>
        <v>OK</v>
      </c>
      <c r="R1113" t="str">
        <f t="shared" si="71"/>
        <v>OK</v>
      </c>
    </row>
    <row r="1114" spans="1:18" x14ac:dyDescent="0.3">
      <c r="A1114" s="1">
        <v>46011</v>
      </c>
      <c r="B1114" s="2" t="s">
        <v>2629</v>
      </c>
      <c r="C1114" s="2" t="s">
        <v>2543</v>
      </c>
      <c r="D1114" s="2" t="s">
        <v>2525</v>
      </c>
      <c r="E1114" s="2" t="s">
        <v>2529</v>
      </c>
      <c r="F1114" s="3">
        <v>162853</v>
      </c>
      <c r="G1114" s="3">
        <v>3389</v>
      </c>
      <c r="H1114" s="3">
        <v>358</v>
      </c>
      <c r="I1114" s="4">
        <v>1434.85</v>
      </c>
      <c r="J1114" s="4">
        <v>50286.080000000002</v>
      </c>
      <c r="K1114" s="3">
        <v>237</v>
      </c>
      <c r="L1114" s="2" t="s">
        <v>2518</v>
      </c>
      <c r="M1114" s="2" t="s">
        <v>2537</v>
      </c>
      <c r="N1114" s="6">
        <f t="shared" si="68"/>
        <v>1</v>
      </c>
      <c r="O1114" t="str">
        <f>IF(Tabla_control[[#This Row],[Control_duplicados]]&gt;1,"Duplicado","Unico")</f>
        <v>Unico</v>
      </c>
      <c r="P1114" t="str">
        <f t="shared" si="69"/>
        <v>OK</v>
      </c>
      <c r="Q1114" t="str">
        <f t="shared" si="70"/>
        <v>OK</v>
      </c>
      <c r="R1114" t="str">
        <f t="shared" si="71"/>
        <v>OK</v>
      </c>
    </row>
    <row r="1115" spans="1:18" x14ac:dyDescent="0.3">
      <c r="A1115" s="1">
        <v>45818</v>
      </c>
      <c r="B1115" s="2" t="s">
        <v>2640</v>
      </c>
      <c r="C1115" s="2" t="s">
        <v>2541</v>
      </c>
      <c r="D1115" s="2" t="s">
        <v>2525</v>
      </c>
      <c r="E1115" s="2" t="s">
        <v>2529</v>
      </c>
      <c r="F1115" s="3">
        <v>91560</v>
      </c>
      <c r="G1115" s="3">
        <v>5364</v>
      </c>
      <c r="H1115" s="3">
        <v>201</v>
      </c>
      <c r="I1115" s="4">
        <v>8949.08</v>
      </c>
      <c r="J1115" s="4">
        <v>12606.8</v>
      </c>
      <c r="K1115" s="3">
        <v>93</v>
      </c>
      <c r="L1115" s="2" t="s">
        <v>2518</v>
      </c>
      <c r="M1115" s="2" t="s">
        <v>2519</v>
      </c>
      <c r="N1115" s="6">
        <f t="shared" si="68"/>
        <v>1</v>
      </c>
      <c r="O1115" t="str">
        <f>IF(Tabla_control[[#This Row],[Control_duplicados]]&gt;1,"Duplicado","Unico")</f>
        <v>Unico</v>
      </c>
      <c r="P1115" t="str">
        <f t="shared" si="69"/>
        <v>OK</v>
      </c>
      <c r="Q1115" t="str">
        <f t="shared" si="70"/>
        <v>OK</v>
      </c>
      <c r="R1115" t="str">
        <f t="shared" si="71"/>
        <v>OK</v>
      </c>
    </row>
    <row r="1116" spans="1:18" x14ac:dyDescent="0.3">
      <c r="A1116" s="1">
        <v>46001</v>
      </c>
      <c r="B1116" s="2" t="s">
        <v>2629</v>
      </c>
      <c r="C1116" s="2" t="s">
        <v>2527</v>
      </c>
      <c r="D1116" s="2" t="s">
        <v>2522</v>
      </c>
      <c r="E1116" s="2" t="s">
        <v>2529</v>
      </c>
      <c r="F1116" s="3">
        <v>139901</v>
      </c>
      <c r="G1116" s="3">
        <v>5114</v>
      </c>
      <c r="H1116" s="3">
        <v>70</v>
      </c>
      <c r="I1116" s="4">
        <v>5775.04</v>
      </c>
      <c r="J1116" s="4">
        <v>13004.54</v>
      </c>
      <c r="K1116" s="3">
        <v>40</v>
      </c>
      <c r="L1116" s="2" t="s">
        <v>2523</v>
      </c>
      <c r="M1116" s="2" t="s">
        <v>2524</v>
      </c>
      <c r="N1116" s="6">
        <f t="shared" si="68"/>
        <v>1</v>
      </c>
      <c r="O1116" t="str">
        <f>IF(Tabla_control[[#This Row],[Control_duplicados]]&gt;1,"Duplicado","Unico")</f>
        <v>Unico</v>
      </c>
      <c r="P1116" t="str">
        <f t="shared" si="69"/>
        <v>OK</v>
      </c>
      <c r="Q1116" t="str">
        <f t="shared" si="70"/>
        <v>OK</v>
      </c>
      <c r="R1116" t="str">
        <f t="shared" si="71"/>
        <v>OK</v>
      </c>
    </row>
    <row r="1117" spans="1:18" x14ac:dyDescent="0.3">
      <c r="A1117" s="1">
        <v>45933</v>
      </c>
      <c r="B1117" s="2" t="s">
        <v>2640</v>
      </c>
      <c r="C1117" s="2" t="s">
        <v>2527</v>
      </c>
      <c r="D1117" s="2" t="s">
        <v>2528</v>
      </c>
      <c r="E1117" s="2" t="s">
        <v>2517</v>
      </c>
      <c r="F1117" s="3">
        <v>23453</v>
      </c>
      <c r="G1117" s="3">
        <v>768</v>
      </c>
      <c r="H1117" s="3">
        <v>25</v>
      </c>
      <c r="I1117" s="4">
        <v>750.47</v>
      </c>
      <c r="J1117" s="4">
        <v>4247.25</v>
      </c>
      <c r="K1117" s="3">
        <v>17</v>
      </c>
      <c r="L1117" s="2" t="s">
        <v>2539</v>
      </c>
      <c r="M1117" s="2" t="s">
        <v>2537</v>
      </c>
      <c r="N1117" s="6">
        <f t="shared" si="68"/>
        <v>1</v>
      </c>
      <c r="O1117" t="str">
        <f>IF(Tabla_control[[#This Row],[Control_duplicados]]&gt;1,"Duplicado","Unico")</f>
        <v>Unico</v>
      </c>
      <c r="P1117" t="str">
        <f t="shared" si="69"/>
        <v>OK</v>
      </c>
      <c r="Q1117" t="str">
        <f t="shared" si="70"/>
        <v>OK</v>
      </c>
      <c r="R1117" t="str">
        <f t="shared" si="71"/>
        <v>OK</v>
      </c>
    </row>
    <row r="1118" spans="1:18" x14ac:dyDescent="0.3">
      <c r="A1118" s="1">
        <v>45739</v>
      </c>
      <c r="B1118" s="2" t="s">
        <v>2619</v>
      </c>
      <c r="C1118" s="2" t="s">
        <v>2533</v>
      </c>
      <c r="D1118" s="2" t="s">
        <v>2525</v>
      </c>
      <c r="E1118" s="2" t="s">
        <v>2517</v>
      </c>
      <c r="F1118" s="3">
        <v>5485</v>
      </c>
      <c r="G1118" s="3">
        <v>216</v>
      </c>
      <c r="H1118" s="3">
        <v>19</v>
      </c>
      <c r="I1118" s="4">
        <v>157.79</v>
      </c>
      <c r="J1118" s="4">
        <v>1726.93</v>
      </c>
      <c r="K1118" s="3">
        <v>9</v>
      </c>
      <c r="L1118" s="2" t="s">
        <v>2539</v>
      </c>
      <c r="M1118" s="2" t="s">
        <v>2537</v>
      </c>
      <c r="N1118" s="6">
        <f t="shared" si="68"/>
        <v>2</v>
      </c>
      <c r="O1118" t="str">
        <f>IF(Tabla_control[[#This Row],[Control_duplicados]]&gt;1,"Duplicado","Unico")</f>
        <v>Duplicado</v>
      </c>
      <c r="P1118" t="str">
        <f t="shared" si="69"/>
        <v>OK</v>
      </c>
      <c r="Q1118" t="str">
        <f t="shared" si="70"/>
        <v>OK</v>
      </c>
      <c r="R1118" t="str">
        <f t="shared" si="71"/>
        <v>OK</v>
      </c>
    </row>
    <row r="1119" spans="1:18" x14ac:dyDescent="0.3">
      <c r="A1119" s="1">
        <v>45838</v>
      </c>
      <c r="B1119" s="2" t="s">
        <v>2626</v>
      </c>
      <c r="C1119" s="2" t="s">
        <v>2515</v>
      </c>
      <c r="D1119" s="2" t="s">
        <v>2531</v>
      </c>
      <c r="E1119" s="2" t="s">
        <v>2529</v>
      </c>
      <c r="F1119" s="3">
        <v>39029</v>
      </c>
      <c r="G1119" s="3">
        <v>462</v>
      </c>
      <c r="H1119" s="3">
        <v>16</v>
      </c>
      <c r="I1119" s="4">
        <v>411.52</v>
      </c>
      <c r="J1119" s="4">
        <v>2854.52</v>
      </c>
      <c r="K1119" s="3">
        <v>9</v>
      </c>
      <c r="L1119" s="2" t="s">
        <v>2518</v>
      </c>
      <c r="M1119" s="2" t="s">
        <v>2546</v>
      </c>
      <c r="N1119" s="6">
        <f t="shared" si="68"/>
        <v>1</v>
      </c>
      <c r="O1119" t="str">
        <f>IF(Tabla_control[[#This Row],[Control_duplicados]]&gt;1,"Duplicado","Unico")</f>
        <v>Unico</v>
      </c>
      <c r="P1119" t="str">
        <f t="shared" si="69"/>
        <v>OK</v>
      </c>
      <c r="Q1119" t="str">
        <f t="shared" si="70"/>
        <v>OK</v>
      </c>
      <c r="R1119" t="str">
        <f t="shared" si="71"/>
        <v>OK</v>
      </c>
    </row>
    <row r="1120" spans="1:18" x14ac:dyDescent="0.3">
      <c r="A1120" s="1">
        <v>45678</v>
      </c>
      <c r="B1120" s="2" t="s">
        <v>2627</v>
      </c>
      <c r="C1120" s="2" t="s">
        <v>2521</v>
      </c>
      <c r="D1120" s="2" t="s">
        <v>2528</v>
      </c>
      <c r="E1120" s="2" t="s">
        <v>2529</v>
      </c>
      <c r="F1120" s="3">
        <v>4001</v>
      </c>
      <c r="G1120" s="3">
        <v>61</v>
      </c>
      <c r="H1120" s="3">
        <v>1</v>
      </c>
      <c r="I1120" s="4">
        <v>85.15</v>
      </c>
      <c r="J1120" s="4">
        <v>165.55</v>
      </c>
      <c r="K1120" s="3">
        <v>0</v>
      </c>
      <c r="L1120" s="2" t="s">
        <v>2536</v>
      </c>
      <c r="M1120" s="2" t="s">
        <v>2519</v>
      </c>
      <c r="N1120" s="6">
        <f t="shared" si="68"/>
        <v>1</v>
      </c>
      <c r="O1120" t="str">
        <f>IF(Tabla_control[[#This Row],[Control_duplicados]]&gt;1,"Duplicado","Unico")</f>
        <v>Unico</v>
      </c>
      <c r="P1120" t="str">
        <f t="shared" si="69"/>
        <v>OK</v>
      </c>
      <c r="Q1120" t="str">
        <f t="shared" si="70"/>
        <v>OK</v>
      </c>
      <c r="R1120" t="str">
        <f t="shared" si="71"/>
        <v>OK</v>
      </c>
    </row>
    <row r="1121" spans="1:18" x14ac:dyDescent="0.3">
      <c r="A1121" s="1">
        <v>45959</v>
      </c>
      <c r="B1121" s="2" t="s">
        <v>2619</v>
      </c>
      <c r="C1121" s="2" t="s">
        <v>2527</v>
      </c>
      <c r="D1121" s="2" t="s">
        <v>2531</v>
      </c>
      <c r="E1121" s="2" t="s">
        <v>2517</v>
      </c>
      <c r="F1121" s="3">
        <v>53807</v>
      </c>
      <c r="G1121" s="3">
        <v>1510</v>
      </c>
      <c r="H1121" s="3">
        <v>112</v>
      </c>
      <c r="I1121" s="4">
        <v>599.79999999999995</v>
      </c>
      <c r="J1121" s="4">
        <v>12534.38</v>
      </c>
      <c r="K1121" s="3">
        <v>76</v>
      </c>
      <c r="L1121" s="2" t="s">
        <v>2518</v>
      </c>
      <c r="M1121" s="2" t="s">
        <v>2526</v>
      </c>
      <c r="N1121" s="6">
        <f t="shared" si="68"/>
        <v>1</v>
      </c>
      <c r="O1121" t="str">
        <f>IF(Tabla_control[[#This Row],[Control_duplicados]]&gt;1,"Duplicado","Unico")</f>
        <v>Unico</v>
      </c>
      <c r="P1121" t="str">
        <f t="shared" si="69"/>
        <v>OK</v>
      </c>
      <c r="Q1121" t="str">
        <f t="shared" si="70"/>
        <v>OK</v>
      </c>
      <c r="R1121" t="str">
        <f t="shared" si="71"/>
        <v>OK</v>
      </c>
    </row>
    <row r="1122" spans="1:18" x14ac:dyDescent="0.3">
      <c r="A1122" s="1">
        <v>45895</v>
      </c>
      <c r="B1122" s="2" t="s">
        <v>2632</v>
      </c>
      <c r="C1122" s="2" t="s">
        <v>2527</v>
      </c>
      <c r="D1122" s="2" t="s">
        <v>2525</v>
      </c>
      <c r="E1122" s="2" t="s">
        <v>2529</v>
      </c>
      <c r="F1122" s="3">
        <v>173827</v>
      </c>
      <c r="G1122" s="3">
        <v>15467</v>
      </c>
      <c r="H1122" s="3">
        <v>1090</v>
      </c>
      <c r="I1122" s="4">
        <v>31379.62</v>
      </c>
      <c r="J1122" s="4">
        <v>85507.33</v>
      </c>
      <c r="K1122" s="3">
        <v>954</v>
      </c>
      <c r="L1122" s="2" t="s">
        <v>2523</v>
      </c>
      <c r="M1122" s="2" t="s">
        <v>2546</v>
      </c>
      <c r="N1122" s="6">
        <f t="shared" si="68"/>
        <v>1</v>
      </c>
      <c r="O1122" t="str">
        <f>IF(Tabla_control[[#This Row],[Control_duplicados]]&gt;1,"Duplicado","Unico")</f>
        <v>Unico</v>
      </c>
      <c r="P1122" t="str">
        <f t="shared" si="69"/>
        <v>OK</v>
      </c>
      <c r="Q1122" t="str">
        <f t="shared" si="70"/>
        <v>OK</v>
      </c>
      <c r="R1122" t="str">
        <f t="shared" si="71"/>
        <v>OK</v>
      </c>
    </row>
    <row r="1123" spans="1:18" x14ac:dyDescent="0.3">
      <c r="A1123" s="1">
        <v>45769</v>
      </c>
      <c r="B1123" s="2" t="s">
        <v>2644</v>
      </c>
      <c r="C1123" s="2" t="s">
        <v>2543</v>
      </c>
      <c r="D1123" s="2" t="s">
        <v>2531</v>
      </c>
      <c r="E1123" s="2" t="s">
        <v>2517</v>
      </c>
      <c r="F1123" s="3">
        <v>153892</v>
      </c>
      <c r="G1123" s="3">
        <v>4351</v>
      </c>
      <c r="H1123" s="3">
        <v>592</v>
      </c>
      <c r="I1123" s="4">
        <v>2324.62</v>
      </c>
      <c r="J1123" s="4">
        <v>112479.99</v>
      </c>
      <c r="K1123" s="3">
        <v>342</v>
      </c>
      <c r="L1123" s="2" t="s">
        <v>2539</v>
      </c>
      <c r="M1123" s="2" t="s">
        <v>2519</v>
      </c>
      <c r="N1123" s="6">
        <f t="shared" si="68"/>
        <v>1</v>
      </c>
      <c r="O1123" t="str">
        <f>IF(Tabla_control[[#This Row],[Control_duplicados]]&gt;1,"Duplicado","Unico")</f>
        <v>Unico</v>
      </c>
      <c r="P1123" t="str">
        <f t="shared" si="69"/>
        <v>OK</v>
      </c>
      <c r="Q1123" t="str">
        <f t="shared" si="70"/>
        <v>OK</v>
      </c>
      <c r="R1123" t="str">
        <f t="shared" si="71"/>
        <v>OK</v>
      </c>
    </row>
    <row r="1124" spans="1:18" x14ac:dyDescent="0.3">
      <c r="A1124" s="1">
        <v>45697</v>
      </c>
      <c r="B1124" s="2" t="s">
        <v>2621</v>
      </c>
      <c r="C1124" s="2" t="s">
        <v>2515</v>
      </c>
      <c r="D1124" s="2" t="s">
        <v>2528</v>
      </c>
      <c r="E1124" s="2" t="s">
        <v>2529</v>
      </c>
      <c r="F1124" s="3">
        <v>120267</v>
      </c>
      <c r="G1124" s="3">
        <v>5706</v>
      </c>
      <c r="H1124" s="3">
        <v>39</v>
      </c>
      <c r="I1124" s="4">
        <v>4394.7</v>
      </c>
      <c r="J1124" s="4">
        <v>6467.84</v>
      </c>
      <c r="K1124" s="3">
        <v>30</v>
      </c>
      <c r="L1124" s="2" t="s">
        <v>2518</v>
      </c>
      <c r="M1124" s="2" t="s">
        <v>2519</v>
      </c>
      <c r="N1124" s="6">
        <f t="shared" si="68"/>
        <v>1</v>
      </c>
      <c r="O1124" t="str">
        <f>IF(Tabla_control[[#This Row],[Control_duplicados]]&gt;1,"Duplicado","Unico")</f>
        <v>Unico</v>
      </c>
      <c r="P1124" t="str">
        <f t="shared" si="69"/>
        <v>OK</v>
      </c>
      <c r="Q1124" t="str">
        <f t="shared" si="70"/>
        <v>OK</v>
      </c>
      <c r="R1124" t="str">
        <f t="shared" si="71"/>
        <v>OK</v>
      </c>
    </row>
    <row r="1125" spans="1:18" x14ac:dyDescent="0.3">
      <c r="A1125" s="1">
        <v>45669</v>
      </c>
      <c r="B1125" s="2" t="s">
        <v>2628</v>
      </c>
      <c r="C1125" s="2" t="s">
        <v>2541</v>
      </c>
      <c r="D1125" s="2" t="s">
        <v>2528</v>
      </c>
      <c r="E1125" s="2" t="s">
        <v>2517</v>
      </c>
      <c r="F1125" s="3">
        <v>165467</v>
      </c>
      <c r="G1125" s="3">
        <v>12688</v>
      </c>
      <c r="H1125" s="3">
        <v>614</v>
      </c>
      <c r="I1125" s="4">
        <v>1724.43</v>
      </c>
      <c r="J1125" s="4">
        <v>86264.88</v>
      </c>
      <c r="K1125" s="3">
        <v>399</v>
      </c>
      <c r="L1125" s="2" t="s">
        <v>2536</v>
      </c>
      <c r="M1125" s="2" t="s">
        <v>2537</v>
      </c>
      <c r="N1125" s="6">
        <f t="shared" si="68"/>
        <v>1</v>
      </c>
      <c r="O1125" t="str">
        <f>IF(Tabla_control[[#This Row],[Control_duplicados]]&gt;1,"Duplicado","Unico")</f>
        <v>Unico</v>
      </c>
      <c r="P1125" t="str">
        <f t="shared" si="69"/>
        <v>OK</v>
      </c>
      <c r="Q1125" t="str">
        <f t="shared" si="70"/>
        <v>OK</v>
      </c>
      <c r="R1125" t="str">
        <f t="shared" si="71"/>
        <v>OK</v>
      </c>
    </row>
    <row r="1126" spans="1:18" x14ac:dyDescent="0.3">
      <c r="A1126" s="1">
        <v>45690</v>
      </c>
      <c r="B1126" s="2" t="s">
        <v>2628</v>
      </c>
      <c r="C1126" s="2" t="s">
        <v>2541</v>
      </c>
      <c r="D1126" s="2" t="s">
        <v>2525</v>
      </c>
      <c r="E1126" s="2" t="s">
        <v>2517</v>
      </c>
      <c r="F1126" s="3">
        <v>37891</v>
      </c>
      <c r="G1126" s="3">
        <v>2758</v>
      </c>
      <c r="H1126" s="3">
        <v>181</v>
      </c>
      <c r="I1126" s="4">
        <v>5207.95</v>
      </c>
      <c r="J1126" s="4">
        <v>5831.83</v>
      </c>
      <c r="K1126" s="3">
        <v>157</v>
      </c>
      <c r="L1126" s="2" t="s">
        <v>2536</v>
      </c>
      <c r="M1126" s="2" t="s">
        <v>2537</v>
      </c>
      <c r="N1126" s="6">
        <f t="shared" si="68"/>
        <v>1</v>
      </c>
      <c r="O1126" t="str">
        <f>IF(Tabla_control[[#This Row],[Control_duplicados]]&gt;1,"Duplicado","Unico")</f>
        <v>Unico</v>
      </c>
      <c r="P1126" t="str">
        <f t="shared" si="69"/>
        <v>OK</v>
      </c>
      <c r="Q1126" t="str">
        <f t="shared" si="70"/>
        <v>OK</v>
      </c>
      <c r="R1126" t="str">
        <f t="shared" si="71"/>
        <v>OK</v>
      </c>
    </row>
    <row r="1127" spans="1:18" x14ac:dyDescent="0.3">
      <c r="A1127" s="1">
        <v>45896</v>
      </c>
      <c r="B1127" s="2" t="s">
        <v>2633</v>
      </c>
      <c r="C1127" s="2" t="s">
        <v>2527</v>
      </c>
      <c r="D1127" s="2" t="s">
        <v>2516</v>
      </c>
      <c r="E1127" s="2" t="s">
        <v>2517</v>
      </c>
      <c r="F1127" s="3">
        <v>24161</v>
      </c>
      <c r="G1127" s="3">
        <v>262</v>
      </c>
      <c r="H1127" s="3">
        <v>18</v>
      </c>
      <c r="I1127" s="4">
        <v>37.49</v>
      </c>
      <c r="J1127" s="4">
        <v>2225.7600000000002</v>
      </c>
      <c r="K1127" s="3">
        <v>10</v>
      </c>
      <c r="L1127" s="2" t="s">
        <v>2518</v>
      </c>
      <c r="M1127" s="2" t="s">
        <v>2537</v>
      </c>
      <c r="N1127" s="6">
        <f t="shared" si="68"/>
        <v>1</v>
      </c>
      <c r="O1127" t="str">
        <f>IF(Tabla_control[[#This Row],[Control_duplicados]]&gt;1,"Duplicado","Unico")</f>
        <v>Unico</v>
      </c>
      <c r="P1127" t="str">
        <f t="shared" si="69"/>
        <v>OK</v>
      </c>
      <c r="Q1127" t="str">
        <f t="shared" si="70"/>
        <v>OK</v>
      </c>
      <c r="R1127" t="str">
        <f t="shared" si="71"/>
        <v>OK</v>
      </c>
    </row>
    <row r="1128" spans="1:18" x14ac:dyDescent="0.3">
      <c r="A1128" s="1">
        <v>45725</v>
      </c>
      <c r="B1128" s="2" t="s">
        <v>2635</v>
      </c>
      <c r="C1128" s="2" t="s">
        <v>2543</v>
      </c>
      <c r="D1128" s="2" t="s">
        <v>2528</v>
      </c>
      <c r="E1128" s="2" t="s">
        <v>2529</v>
      </c>
      <c r="F1128" s="3">
        <v>40760</v>
      </c>
      <c r="G1128" s="3">
        <v>2082</v>
      </c>
      <c r="H1128" s="3">
        <v>161</v>
      </c>
      <c r="I1128" s="4">
        <v>1279.8800000000001</v>
      </c>
      <c r="J1128" s="4">
        <v>16700.439999999999</v>
      </c>
      <c r="K1128" s="3">
        <v>113</v>
      </c>
      <c r="L1128" s="2" t="s">
        <v>2536</v>
      </c>
      <c r="M1128" s="2" t="s">
        <v>2519</v>
      </c>
      <c r="N1128" s="6">
        <f t="shared" si="68"/>
        <v>1</v>
      </c>
      <c r="O1128" t="str">
        <f>IF(Tabla_control[[#This Row],[Control_duplicados]]&gt;1,"Duplicado","Unico")</f>
        <v>Unico</v>
      </c>
      <c r="P1128" t="str">
        <f t="shared" si="69"/>
        <v>OK</v>
      </c>
      <c r="Q1128" t="str">
        <f t="shared" si="70"/>
        <v>OK</v>
      </c>
      <c r="R1128" t="str">
        <f t="shared" si="71"/>
        <v>OK</v>
      </c>
    </row>
    <row r="1129" spans="1:18" x14ac:dyDescent="0.3">
      <c r="A1129" s="1">
        <v>45801</v>
      </c>
      <c r="B1129" s="2" t="s">
        <v>2644</v>
      </c>
      <c r="C1129" s="2" t="s">
        <v>2543</v>
      </c>
      <c r="D1129" s="2" t="s">
        <v>2528</v>
      </c>
      <c r="E1129" s="2" t="s">
        <v>2529</v>
      </c>
      <c r="F1129" s="3">
        <v>92634</v>
      </c>
      <c r="G1129" s="3">
        <v>511</v>
      </c>
      <c r="H1129" s="3">
        <v>27</v>
      </c>
      <c r="I1129" s="4">
        <v>631.42999999999995</v>
      </c>
      <c r="J1129" s="4">
        <v>3473.7</v>
      </c>
      <c r="K1129" s="3">
        <v>19</v>
      </c>
      <c r="L1129" s="2" t="s">
        <v>2523</v>
      </c>
      <c r="M1129" s="2" t="s">
        <v>2537</v>
      </c>
      <c r="N1129" s="6">
        <f t="shared" si="68"/>
        <v>1</v>
      </c>
      <c r="O1129" t="str">
        <f>IF(Tabla_control[[#This Row],[Control_duplicados]]&gt;1,"Duplicado","Unico")</f>
        <v>Unico</v>
      </c>
      <c r="P1129" t="str">
        <f t="shared" si="69"/>
        <v>OK</v>
      </c>
      <c r="Q1129" t="str">
        <f t="shared" si="70"/>
        <v>OK</v>
      </c>
      <c r="R1129" t="str">
        <f t="shared" si="71"/>
        <v>OK</v>
      </c>
    </row>
    <row r="1130" spans="1:18" x14ac:dyDescent="0.3">
      <c r="A1130" s="1">
        <v>45890</v>
      </c>
      <c r="B1130" s="2" t="s">
        <v>2618</v>
      </c>
      <c r="C1130" s="2" t="s">
        <v>2543</v>
      </c>
      <c r="D1130" s="2" t="s">
        <v>2528</v>
      </c>
      <c r="E1130" s="2" t="s">
        <v>2517</v>
      </c>
      <c r="F1130" s="3">
        <v>140978</v>
      </c>
      <c r="G1130" s="3">
        <v>783</v>
      </c>
      <c r="H1130" s="3">
        <v>6</v>
      </c>
      <c r="I1130" s="4">
        <v>1039.4000000000001</v>
      </c>
      <c r="J1130" s="4">
        <v>903.5</v>
      </c>
      <c r="K1130" s="3">
        <v>3</v>
      </c>
      <c r="L1130" s="2" t="s">
        <v>2536</v>
      </c>
      <c r="M1130" s="2" t="s">
        <v>2524</v>
      </c>
      <c r="N1130" s="6">
        <f t="shared" si="68"/>
        <v>1</v>
      </c>
      <c r="O1130" t="str">
        <f>IF(Tabla_control[[#This Row],[Control_duplicados]]&gt;1,"Duplicado","Unico")</f>
        <v>Unico</v>
      </c>
      <c r="P1130" t="str">
        <f t="shared" si="69"/>
        <v>OK</v>
      </c>
      <c r="Q1130" t="str">
        <f t="shared" si="70"/>
        <v>OK</v>
      </c>
      <c r="R1130" t="str">
        <f t="shared" si="71"/>
        <v>OK</v>
      </c>
    </row>
    <row r="1131" spans="1:18" x14ac:dyDescent="0.3">
      <c r="A1131" s="1">
        <v>45672</v>
      </c>
      <c r="B1131" s="2" t="s">
        <v>2638</v>
      </c>
      <c r="C1131" s="2" t="s">
        <v>2541</v>
      </c>
      <c r="D1131" s="2" t="s">
        <v>2525</v>
      </c>
      <c r="E1131" s="2" t="s">
        <v>2529</v>
      </c>
      <c r="F1131" s="3">
        <v>21672</v>
      </c>
      <c r="G1131" s="3">
        <v>842</v>
      </c>
      <c r="H1131" s="3">
        <v>102</v>
      </c>
      <c r="I1131" s="4">
        <v>1127.49</v>
      </c>
      <c r="J1131" s="4">
        <v>3576.72</v>
      </c>
      <c r="K1131" s="3">
        <v>73</v>
      </c>
      <c r="L1131" s="2" t="s">
        <v>2523</v>
      </c>
      <c r="M1131" s="2" t="s">
        <v>2546</v>
      </c>
      <c r="N1131" s="6">
        <f t="shared" si="68"/>
        <v>1</v>
      </c>
      <c r="O1131" t="str">
        <f>IF(Tabla_control[[#This Row],[Control_duplicados]]&gt;1,"Duplicado","Unico")</f>
        <v>Unico</v>
      </c>
      <c r="P1131" t="str">
        <f t="shared" si="69"/>
        <v>OK</v>
      </c>
      <c r="Q1131" t="str">
        <f t="shared" si="70"/>
        <v>OK</v>
      </c>
      <c r="R1131" t="str">
        <f t="shared" si="71"/>
        <v>OK</v>
      </c>
    </row>
    <row r="1132" spans="1:18" x14ac:dyDescent="0.3">
      <c r="A1132" s="1">
        <v>45753</v>
      </c>
      <c r="B1132" s="2" t="s">
        <v>2624</v>
      </c>
      <c r="C1132" s="2" t="s">
        <v>2533</v>
      </c>
      <c r="D1132" s="2" t="s">
        <v>2528</v>
      </c>
      <c r="E1132" s="2" t="s">
        <v>2517</v>
      </c>
      <c r="F1132" s="3">
        <v>149238</v>
      </c>
      <c r="G1132" s="3">
        <v>3909</v>
      </c>
      <c r="H1132" s="3">
        <v>479</v>
      </c>
      <c r="I1132" s="4">
        <v>5288.3</v>
      </c>
      <c r="J1132" s="4">
        <v>13907.99</v>
      </c>
      <c r="K1132" s="3">
        <v>269</v>
      </c>
      <c r="L1132" s="2" t="s">
        <v>2539</v>
      </c>
      <c r="M1132" s="2" t="s">
        <v>2524</v>
      </c>
      <c r="N1132" s="6">
        <f t="shared" si="68"/>
        <v>1</v>
      </c>
      <c r="O1132" t="str">
        <f>IF(Tabla_control[[#This Row],[Control_duplicados]]&gt;1,"Duplicado","Unico")</f>
        <v>Unico</v>
      </c>
      <c r="P1132" t="str">
        <f t="shared" si="69"/>
        <v>OK</v>
      </c>
      <c r="Q1132" t="str">
        <f t="shared" si="70"/>
        <v>OK</v>
      </c>
      <c r="R1132" t="str">
        <f t="shared" si="71"/>
        <v>OK</v>
      </c>
    </row>
    <row r="1133" spans="1:18" x14ac:dyDescent="0.3">
      <c r="A1133" s="1">
        <v>45933</v>
      </c>
      <c r="B1133" s="2" t="s">
        <v>2639</v>
      </c>
      <c r="C1133" s="2" t="s">
        <v>2541</v>
      </c>
      <c r="D1133" s="2" t="s">
        <v>2525</v>
      </c>
      <c r="E1133" s="2" t="s">
        <v>2529</v>
      </c>
      <c r="F1133" s="3">
        <v>7179</v>
      </c>
      <c r="G1133" s="3">
        <v>345</v>
      </c>
      <c r="H1133" s="3">
        <v>28</v>
      </c>
      <c r="I1133" s="4">
        <v>57.28</v>
      </c>
      <c r="J1133" s="4">
        <v>3805.99</v>
      </c>
      <c r="K1133" s="3">
        <v>23</v>
      </c>
      <c r="L1133" s="2" t="s">
        <v>2523</v>
      </c>
      <c r="M1133" s="2" t="s">
        <v>2526</v>
      </c>
      <c r="N1133" s="6">
        <f t="shared" si="68"/>
        <v>1</v>
      </c>
      <c r="O1133" t="str">
        <f>IF(Tabla_control[[#This Row],[Control_duplicados]]&gt;1,"Duplicado","Unico")</f>
        <v>Unico</v>
      </c>
      <c r="P1133" t="str">
        <f t="shared" si="69"/>
        <v>OK</v>
      </c>
      <c r="Q1133" t="str">
        <f t="shared" si="70"/>
        <v>OK</v>
      </c>
      <c r="R1133" t="str">
        <f t="shared" si="71"/>
        <v>OK</v>
      </c>
    </row>
    <row r="1134" spans="1:18" x14ac:dyDescent="0.3">
      <c r="A1134" s="1">
        <v>45928</v>
      </c>
      <c r="B1134" s="2" t="s">
        <v>2642</v>
      </c>
      <c r="C1134" s="2" t="s">
        <v>2543</v>
      </c>
      <c r="D1134" s="2" t="s">
        <v>2528</v>
      </c>
      <c r="E1134" s="2" t="s">
        <v>2517</v>
      </c>
      <c r="F1134" s="3">
        <v>145285</v>
      </c>
      <c r="G1134" s="3">
        <v>9434</v>
      </c>
      <c r="H1134" s="3">
        <v>268</v>
      </c>
      <c r="I1134" s="4">
        <v>5133.46</v>
      </c>
      <c r="J1134" s="4">
        <v>18332.810000000001</v>
      </c>
      <c r="K1134" s="3">
        <v>129</v>
      </c>
      <c r="L1134" s="2" t="s">
        <v>2523</v>
      </c>
      <c r="M1134" s="2" t="s">
        <v>2524</v>
      </c>
      <c r="N1134" s="6">
        <f t="shared" si="68"/>
        <v>1</v>
      </c>
      <c r="O1134" t="str">
        <f>IF(Tabla_control[[#This Row],[Control_duplicados]]&gt;1,"Duplicado","Unico")</f>
        <v>Unico</v>
      </c>
      <c r="P1134" t="str">
        <f t="shared" si="69"/>
        <v>OK</v>
      </c>
      <c r="Q1134" t="str">
        <f t="shared" si="70"/>
        <v>OK</v>
      </c>
      <c r="R1134" t="str">
        <f t="shared" si="71"/>
        <v>OK</v>
      </c>
    </row>
    <row r="1135" spans="1:18" x14ac:dyDescent="0.3">
      <c r="A1135" s="1">
        <v>45693</v>
      </c>
      <c r="B1135" s="2" t="s">
        <v>2641</v>
      </c>
      <c r="C1135" s="2" t="s">
        <v>2527</v>
      </c>
      <c r="D1135" s="2" t="s">
        <v>2528</v>
      </c>
      <c r="E1135" s="2" t="s">
        <v>2517</v>
      </c>
      <c r="F1135" s="3">
        <v>107252</v>
      </c>
      <c r="G1135" s="3">
        <v>2414</v>
      </c>
      <c r="H1135" s="3">
        <v>272</v>
      </c>
      <c r="I1135" s="4">
        <v>3505.07</v>
      </c>
      <c r="J1135" s="4">
        <v>35706</v>
      </c>
      <c r="K1135" s="3">
        <v>192</v>
      </c>
      <c r="L1135" s="2" t="s">
        <v>2518</v>
      </c>
      <c r="M1135" s="2" t="s">
        <v>2524</v>
      </c>
      <c r="N1135" s="6">
        <f t="shared" si="68"/>
        <v>1</v>
      </c>
      <c r="O1135" t="str">
        <f>IF(Tabla_control[[#This Row],[Control_duplicados]]&gt;1,"Duplicado","Unico")</f>
        <v>Unico</v>
      </c>
      <c r="P1135" t="str">
        <f t="shared" si="69"/>
        <v>OK</v>
      </c>
      <c r="Q1135" t="str">
        <f t="shared" si="70"/>
        <v>OK</v>
      </c>
      <c r="R1135" t="str">
        <f t="shared" si="71"/>
        <v>OK</v>
      </c>
    </row>
    <row r="1136" spans="1:18" x14ac:dyDescent="0.3">
      <c r="A1136" s="1">
        <v>45875</v>
      </c>
      <c r="B1136" s="2" t="s">
        <v>2632</v>
      </c>
      <c r="C1136" s="2" t="s">
        <v>2533</v>
      </c>
      <c r="D1136" s="2" t="s">
        <v>2528</v>
      </c>
      <c r="E1136" s="2" t="s">
        <v>2517</v>
      </c>
      <c r="F1136" s="3">
        <v>58840</v>
      </c>
      <c r="G1136" s="3">
        <v>485</v>
      </c>
      <c r="H1136" s="3">
        <v>13</v>
      </c>
      <c r="I1136" s="4">
        <v>425.56</v>
      </c>
      <c r="J1136" s="4">
        <v>1537.81</v>
      </c>
      <c r="K1136" s="3">
        <v>7</v>
      </c>
      <c r="L1136" s="2" t="s">
        <v>2523</v>
      </c>
      <c r="M1136" s="2" t="s">
        <v>2526</v>
      </c>
      <c r="N1136" s="6">
        <f t="shared" si="68"/>
        <v>1</v>
      </c>
      <c r="O1136" t="str">
        <f>IF(Tabla_control[[#This Row],[Control_duplicados]]&gt;1,"Duplicado","Unico")</f>
        <v>Unico</v>
      </c>
      <c r="P1136" t="str">
        <f t="shared" si="69"/>
        <v>OK</v>
      </c>
      <c r="Q1136" t="str">
        <f t="shared" si="70"/>
        <v>OK</v>
      </c>
      <c r="R1136" t="str">
        <f t="shared" si="71"/>
        <v>OK</v>
      </c>
    </row>
    <row r="1137" spans="1:18" x14ac:dyDescent="0.3">
      <c r="A1137" s="1">
        <v>45941</v>
      </c>
      <c r="B1137" s="2" t="s">
        <v>2640</v>
      </c>
      <c r="C1137" s="2" t="s">
        <v>2527</v>
      </c>
      <c r="D1137" s="2" t="s">
        <v>2522</v>
      </c>
      <c r="E1137" s="2" t="s">
        <v>2534</v>
      </c>
      <c r="F1137" s="3">
        <v>118665</v>
      </c>
      <c r="G1137" s="3">
        <v>3137</v>
      </c>
      <c r="H1137" s="3">
        <v>260</v>
      </c>
      <c r="I1137" s="4">
        <v>1348.47</v>
      </c>
      <c r="J1137" s="4">
        <v>26446.23</v>
      </c>
      <c r="K1137" s="3">
        <v>186</v>
      </c>
      <c r="L1137" s="2" t="s">
        <v>2539</v>
      </c>
      <c r="M1137" s="2" t="s">
        <v>2526</v>
      </c>
      <c r="N1137" s="6">
        <f t="shared" si="68"/>
        <v>1</v>
      </c>
      <c r="O1137" t="str">
        <f>IF(Tabla_control[[#This Row],[Control_duplicados]]&gt;1,"Duplicado","Unico")</f>
        <v>Unico</v>
      </c>
      <c r="P1137" t="str">
        <f t="shared" si="69"/>
        <v>OK</v>
      </c>
      <c r="Q1137" t="str">
        <f t="shared" si="70"/>
        <v>OK</v>
      </c>
      <c r="R1137" t="str">
        <f t="shared" si="71"/>
        <v>OK</v>
      </c>
    </row>
    <row r="1138" spans="1:18" x14ac:dyDescent="0.3">
      <c r="A1138" s="1">
        <v>45828</v>
      </c>
      <c r="B1138" s="2" t="s">
        <v>2634</v>
      </c>
      <c r="C1138" s="2" t="s">
        <v>2515</v>
      </c>
      <c r="D1138" s="2" t="s">
        <v>2528</v>
      </c>
      <c r="E1138" s="2" t="s">
        <v>2517</v>
      </c>
      <c r="F1138" s="3">
        <v>4363</v>
      </c>
      <c r="G1138" s="3">
        <v>84</v>
      </c>
      <c r="H1138" s="3">
        <v>1</v>
      </c>
      <c r="I1138" s="4">
        <v>79.75</v>
      </c>
      <c r="J1138" s="4">
        <v>71.88</v>
      </c>
      <c r="K1138" s="3">
        <v>0</v>
      </c>
      <c r="L1138" s="2" t="s">
        <v>2518</v>
      </c>
      <c r="M1138" s="2" t="s">
        <v>2537</v>
      </c>
      <c r="N1138" s="6">
        <f t="shared" si="68"/>
        <v>1</v>
      </c>
      <c r="O1138" t="str">
        <f>IF(Tabla_control[[#This Row],[Control_duplicados]]&gt;1,"Duplicado","Unico")</f>
        <v>Unico</v>
      </c>
      <c r="P1138" t="str">
        <f t="shared" si="69"/>
        <v>OK</v>
      </c>
      <c r="Q1138" t="str">
        <f t="shared" si="70"/>
        <v>OK</v>
      </c>
      <c r="R1138" t="str">
        <f t="shared" si="71"/>
        <v>OK</v>
      </c>
    </row>
    <row r="1139" spans="1:18" x14ac:dyDescent="0.3">
      <c r="A1139" s="1">
        <v>45740</v>
      </c>
      <c r="B1139" s="2" t="s">
        <v>2618</v>
      </c>
      <c r="C1139" s="2" t="s">
        <v>2533</v>
      </c>
      <c r="D1139" s="2" t="s">
        <v>2528</v>
      </c>
      <c r="E1139" s="2" t="s">
        <v>2529</v>
      </c>
      <c r="F1139" s="3">
        <v>3454</v>
      </c>
      <c r="G1139" s="3">
        <v>92</v>
      </c>
      <c r="H1139" s="3">
        <v>4</v>
      </c>
      <c r="I1139" s="4">
        <v>162.02000000000001</v>
      </c>
      <c r="J1139" s="4">
        <v>431.58</v>
      </c>
      <c r="K1139" s="3">
        <v>2</v>
      </c>
      <c r="L1139" s="2" t="s">
        <v>2523</v>
      </c>
      <c r="M1139" s="2" t="s">
        <v>2519</v>
      </c>
      <c r="N1139" s="6">
        <f t="shared" si="68"/>
        <v>1</v>
      </c>
      <c r="O1139" t="str">
        <f>IF(Tabla_control[[#This Row],[Control_duplicados]]&gt;1,"Duplicado","Unico")</f>
        <v>Unico</v>
      </c>
      <c r="P1139" t="str">
        <f t="shared" si="69"/>
        <v>OK</v>
      </c>
      <c r="Q1139" t="str">
        <f t="shared" si="70"/>
        <v>OK</v>
      </c>
      <c r="R1139" t="str">
        <f t="shared" si="71"/>
        <v>OK</v>
      </c>
    </row>
    <row r="1140" spans="1:18" x14ac:dyDescent="0.3">
      <c r="A1140" s="1">
        <v>45748</v>
      </c>
      <c r="B1140" s="2" t="s">
        <v>2620</v>
      </c>
      <c r="C1140" s="2" t="s">
        <v>2527</v>
      </c>
      <c r="D1140" s="2" t="s">
        <v>2531</v>
      </c>
      <c r="E1140" s="2" t="s">
        <v>2517</v>
      </c>
      <c r="F1140" s="3">
        <v>12402</v>
      </c>
      <c r="G1140" s="3">
        <v>919</v>
      </c>
      <c r="H1140" s="3">
        <v>106</v>
      </c>
      <c r="I1140" s="4">
        <v>301.26</v>
      </c>
      <c r="J1140" s="4">
        <v>15680.68</v>
      </c>
      <c r="K1140" s="3">
        <v>55</v>
      </c>
      <c r="L1140" s="2" t="s">
        <v>2518</v>
      </c>
      <c r="M1140" s="2" t="s">
        <v>2526</v>
      </c>
      <c r="N1140" s="6">
        <f t="shared" si="68"/>
        <v>1</v>
      </c>
      <c r="O1140" t="str">
        <f>IF(Tabla_control[[#This Row],[Control_duplicados]]&gt;1,"Duplicado","Unico")</f>
        <v>Unico</v>
      </c>
      <c r="P1140" t="str">
        <f t="shared" si="69"/>
        <v>OK</v>
      </c>
      <c r="Q1140" t="str">
        <f t="shared" si="70"/>
        <v>OK</v>
      </c>
      <c r="R1140" t="str">
        <f t="shared" si="71"/>
        <v>OK</v>
      </c>
    </row>
    <row r="1141" spans="1:18" x14ac:dyDescent="0.3">
      <c r="A1141" s="1">
        <v>45919</v>
      </c>
      <c r="B1141" s="2" t="s">
        <v>2638</v>
      </c>
      <c r="C1141" s="2" t="s">
        <v>2515</v>
      </c>
      <c r="D1141" s="2" t="s">
        <v>2528</v>
      </c>
      <c r="E1141" s="2" t="s">
        <v>2517</v>
      </c>
      <c r="F1141" s="3">
        <v>72807</v>
      </c>
      <c r="G1141" s="3">
        <v>5574</v>
      </c>
      <c r="H1141" s="3">
        <v>118</v>
      </c>
      <c r="I1141" s="4">
        <v>6156.75</v>
      </c>
      <c r="J1141" s="4">
        <v>21779.55</v>
      </c>
      <c r="K1141" s="3">
        <v>93</v>
      </c>
      <c r="L1141" s="2" t="s">
        <v>2539</v>
      </c>
      <c r="M1141" s="2" t="s">
        <v>2537</v>
      </c>
      <c r="N1141" s="6">
        <f t="shared" si="68"/>
        <v>1</v>
      </c>
      <c r="O1141" t="str">
        <f>IF(Tabla_control[[#This Row],[Control_duplicados]]&gt;1,"Duplicado","Unico")</f>
        <v>Unico</v>
      </c>
      <c r="P1141" t="str">
        <f t="shared" si="69"/>
        <v>OK</v>
      </c>
      <c r="Q1141" t="str">
        <f t="shared" si="70"/>
        <v>OK</v>
      </c>
      <c r="R1141" t="str">
        <f t="shared" si="71"/>
        <v>OK</v>
      </c>
    </row>
    <row r="1142" spans="1:18" x14ac:dyDescent="0.3">
      <c r="A1142" s="1">
        <v>45784</v>
      </c>
      <c r="B1142" s="2" t="s">
        <v>2629</v>
      </c>
      <c r="C1142" s="2" t="s">
        <v>2543</v>
      </c>
      <c r="D1142" s="2" t="s">
        <v>2528</v>
      </c>
      <c r="E1142" s="2" t="s">
        <v>2517</v>
      </c>
      <c r="F1142" s="3">
        <v>151759</v>
      </c>
      <c r="G1142" s="3">
        <v>3242</v>
      </c>
      <c r="H1142" s="3">
        <v>45</v>
      </c>
      <c r="I1142" s="4">
        <v>3986.26</v>
      </c>
      <c r="J1142" s="4">
        <v>6754.16</v>
      </c>
      <c r="K1142" s="3">
        <v>21</v>
      </c>
      <c r="L1142" s="2" t="s">
        <v>2523</v>
      </c>
      <c r="M1142" s="2" t="s">
        <v>2524</v>
      </c>
      <c r="N1142" s="6">
        <f t="shared" si="68"/>
        <v>1</v>
      </c>
      <c r="O1142" t="str">
        <f>IF(Tabla_control[[#This Row],[Control_duplicados]]&gt;1,"Duplicado","Unico")</f>
        <v>Unico</v>
      </c>
      <c r="P1142" t="str">
        <f t="shared" si="69"/>
        <v>OK</v>
      </c>
      <c r="Q1142" t="str">
        <f t="shared" si="70"/>
        <v>OK</v>
      </c>
      <c r="R1142" t="str">
        <f t="shared" si="71"/>
        <v>OK</v>
      </c>
    </row>
    <row r="1143" spans="1:18" x14ac:dyDescent="0.3">
      <c r="A1143" s="1">
        <v>45764</v>
      </c>
      <c r="B1143" s="2" t="s">
        <v>2615</v>
      </c>
      <c r="C1143" s="2" t="s">
        <v>2541</v>
      </c>
      <c r="D1143" s="2" t="s">
        <v>2525</v>
      </c>
      <c r="E1143" s="2" t="s">
        <v>2517</v>
      </c>
      <c r="F1143" s="3">
        <v>4855</v>
      </c>
      <c r="G1143" s="3">
        <v>95</v>
      </c>
      <c r="H1143" s="3">
        <v>7</v>
      </c>
      <c r="I1143" s="4">
        <v>121.78</v>
      </c>
      <c r="J1143" s="4">
        <v>1283.22</v>
      </c>
      <c r="K1143" s="3">
        <v>4</v>
      </c>
      <c r="L1143" s="2" t="s">
        <v>2539</v>
      </c>
      <c r="M1143" s="2" t="s">
        <v>2546</v>
      </c>
      <c r="N1143" s="6">
        <f t="shared" si="68"/>
        <v>1</v>
      </c>
      <c r="O1143" t="str">
        <f>IF(Tabla_control[[#This Row],[Control_duplicados]]&gt;1,"Duplicado","Unico")</f>
        <v>Unico</v>
      </c>
      <c r="P1143" t="str">
        <f t="shared" si="69"/>
        <v>OK</v>
      </c>
      <c r="Q1143" t="str">
        <f t="shared" si="70"/>
        <v>OK</v>
      </c>
      <c r="R1143" t="str">
        <f t="shared" si="71"/>
        <v>OK</v>
      </c>
    </row>
    <row r="1144" spans="1:18" x14ac:dyDescent="0.3">
      <c r="A1144" s="1">
        <v>45717</v>
      </c>
      <c r="B1144" s="2" t="s">
        <v>2632</v>
      </c>
      <c r="C1144" s="2" t="s">
        <v>2543</v>
      </c>
      <c r="D1144" s="2" t="s">
        <v>2525</v>
      </c>
      <c r="E1144" s="2" t="s">
        <v>2517</v>
      </c>
      <c r="F1144" s="3">
        <v>50699</v>
      </c>
      <c r="G1144" s="3">
        <v>1473</v>
      </c>
      <c r="H1144" s="3">
        <v>50</v>
      </c>
      <c r="I1144" s="4">
        <v>3083.9</v>
      </c>
      <c r="J1144" s="4">
        <v>2983.83</v>
      </c>
      <c r="K1144" s="3">
        <v>40</v>
      </c>
      <c r="L1144" s="2" t="s">
        <v>2536</v>
      </c>
      <c r="M1144" s="2" t="s">
        <v>2537</v>
      </c>
      <c r="N1144" s="6">
        <f t="shared" si="68"/>
        <v>1</v>
      </c>
      <c r="O1144" t="str">
        <f>IF(Tabla_control[[#This Row],[Control_duplicados]]&gt;1,"Duplicado","Unico")</f>
        <v>Unico</v>
      </c>
      <c r="P1144" t="str">
        <f t="shared" si="69"/>
        <v>OK</v>
      </c>
      <c r="Q1144" t="str">
        <f t="shared" si="70"/>
        <v>OK</v>
      </c>
      <c r="R1144" t="str">
        <f t="shared" si="71"/>
        <v>OK</v>
      </c>
    </row>
    <row r="1145" spans="1:18" x14ac:dyDescent="0.3">
      <c r="A1145" s="1">
        <v>45883</v>
      </c>
      <c r="B1145" s="2" t="s">
        <v>2632</v>
      </c>
      <c r="C1145" s="2" t="s">
        <v>2533</v>
      </c>
      <c r="D1145" s="2" t="s">
        <v>2528</v>
      </c>
      <c r="E1145" s="2" t="s">
        <v>2534</v>
      </c>
      <c r="F1145" s="3">
        <v>121666</v>
      </c>
      <c r="G1145" s="3">
        <v>3931</v>
      </c>
      <c r="H1145" s="3">
        <v>302</v>
      </c>
      <c r="I1145" s="4">
        <v>6983.02</v>
      </c>
      <c r="J1145" s="4">
        <v>9569.41</v>
      </c>
      <c r="K1145" s="3">
        <v>147</v>
      </c>
      <c r="L1145" s="2" t="s">
        <v>2518</v>
      </c>
      <c r="M1145" s="2" t="s">
        <v>2526</v>
      </c>
      <c r="N1145" s="6">
        <f t="shared" si="68"/>
        <v>1</v>
      </c>
      <c r="O1145" t="str">
        <f>IF(Tabla_control[[#This Row],[Control_duplicados]]&gt;1,"Duplicado","Unico")</f>
        <v>Unico</v>
      </c>
      <c r="P1145" t="str">
        <f t="shared" si="69"/>
        <v>OK</v>
      </c>
      <c r="Q1145" t="str">
        <f t="shared" si="70"/>
        <v>OK</v>
      </c>
      <c r="R1145" t="str">
        <f t="shared" si="71"/>
        <v>OK</v>
      </c>
    </row>
    <row r="1146" spans="1:18" x14ac:dyDescent="0.3">
      <c r="A1146" s="1">
        <v>45811</v>
      </c>
      <c r="B1146" s="2" t="s">
        <v>2631</v>
      </c>
      <c r="C1146" s="2" t="s">
        <v>2527</v>
      </c>
      <c r="D1146" s="2" t="s">
        <v>2528</v>
      </c>
      <c r="E1146" s="2" t="s">
        <v>2529</v>
      </c>
      <c r="F1146" s="3">
        <v>139061</v>
      </c>
      <c r="G1146" s="3">
        <v>8846</v>
      </c>
      <c r="H1146" s="3">
        <v>952</v>
      </c>
      <c r="I1146" s="4">
        <v>2056.54</v>
      </c>
      <c r="J1146" s="4">
        <v>120820.71</v>
      </c>
      <c r="K1146" s="3">
        <v>653</v>
      </c>
      <c r="L1146" s="2" t="s">
        <v>2539</v>
      </c>
      <c r="M1146" s="2" t="s">
        <v>2546</v>
      </c>
      <c r="N1146" s="6">
        <f t="shared" si="68"/>
        <v>1</v>
      </c>
      <c r="O1146" t="str">
        <f>IF(Tabla_control[[#This Row],[Control_duplicados]]&gt;1,"Duplicado","Unico")</f>
        <v>Unico</v>
      </c>
      <c r="P1146" t="str">
        <f t="shared" si="69"/>
        <v>OK</v>
      </c>
      <c r="Q1146" t="str">
        <f t="shared" si="70"/>
        <v>OK</v>
      </c>
      <c r="R1146" t="str">
        <f t="shared" si="71"/>
        <v>OK</v>
      </c>
    </row>
    <row r="1147" spans="1:18" x14ac:dyDescent="0.3">
      <c r="A1147" s="1">
        <v>45944</v>
      </c>
      <c r="B1147" s="2" t="s">
        <v>2620</v>
      </c>
      <c r="C1147" s="2" t="s">
        <v>2515</v>
      </c>
      <c r="D1147" s="2" t="s">
        <v>2528</v>
      </c>
      <c r="E1147" s="2" t="s">
        <v>2529</v>
      </c>
      <c r="F1147" s="3">
        <v>37754</v>
      </c>
      <c r="G1147" s="3">
        <v>629</v>
      </c>
      <c r="H1147" s="3">
        <v>5</v>
      </c>
      <c r="I1147" s="4">
        <v>233.22</v>
      </c>
      <c r="J1147" s="4">
        <v>734.19</v>
      </c>
      <c r="K1147" s="3">
        <v>4</v>
      </c>
      <c r="L1147" s="2" t="s">
        <v>2523</v>
      </c>
      <c r="M1147" s="2" t="s">
        <v>2546</v>
      </c>
      <c r="N1147" s="6">
        <f t="shared" si="68"/>
        <v>1</v>
      </c>
      <c r="O1147" t="str">
        <f>IF(Tabla_control[[#This Row],[Control_duplicados]]&gt;1,"Duplicado","Unico")</f>
        <v>Unico</v>
      </c>
      <c r="P1147" t="str">
        <f t="shared" si="69"/>
        <v>OK</v>
      </c>
      <c r="Q1147" t="str">
        <f t="shared" si="70"/>
        <v>OK</v>
      </c>
      <c r="R1147" t="str">
        <f t="shared" si="71"/>
        <v>OK</v>
      </c>
    </row>
    <row r="1148" spans="1:18" x14ac:dyDescent="0.3">
      <c r="A1148" s="1">
        <v>45844</v>
      </c>
      <c r="B1148" s="2" t="s">
        <v>2625</v>
      </c>
      <c r="C1148" s="2" t="s">
        <v>2533</v>
      </c>
      <c r="D1148" s="2" t="s">
        <v>2522</v>
      </c>
      <c r="E1148" s="2" t="s">
        <v>2529</v>
      </c>
      <c r="F1148" s="3">
        <v>55877</v>
      </c>
      <c r="G1148" s="3">
        <v>4902</v>
      </c>
      <c r="H1148" s="3">
        <v>466</v>
      </c>
      <c r="I1148" s="4">
        <v>3259.6</v>
      </c>
      <c r="J1148" s="4">
        <v>36907.08</v>
      </c>
      <c r="K1148" s="3">
        <v>243</v>
      </c>
      <c r="L1148" s="2" t="s">
        <v>2539</v>
      </c>
      <c r="M1148" s="2" t="s">
        <v>2524</v>
      </c>
      <c r="N1148" s="6">
        <f t="shared" si="68"/>
        <v>1</v>
      </c>
      <c r="O1148" t="str">
        <f>IF(Tabla_control[[#This Row],[Control_duplicados]]&gt;1,"Duplicado","Unico")</f>
        <v>Unico</v>
      </c>
      <c r="P1148" t="str">
        <f t="shared" si="69"/>
        <v>OK</v>
      </c>
      <c r="Q1148" t="str">
        <f t="shared" si="70"/>
        <v>OK</v>
      </c>
      <c r="R1148" t="str">
        <f t="shared" si="71"/>
        <v>OK</v>
      </c>
    </row>
    <row r="1149" spans="1:18" x14ac:dyDescent="0.3">
      <c r="A1149" s="1">
        <v>45720</v>
      </c>
      <c r="B1149" s="2" t="s">
        <v>2629</v>
      </c>
      <c r="C1149" s="2" t="s">
        <v>2515</v>
      </c>
      <c r="D1149" s="2" t="s">
        <v>2528</v>
      </c>
      <c r="E1149" s="2" t="s">
        <v>2529</v>
      </c>
      <c r="F1149" s="3">
        <v>90163</v>
      </c>
      <c r="G1149" s="3">
        <v>4268</v>
      </c>
      <c r="H1149" s="3">
        <v>443</v>
      </c>
      <c r="I1149" s="4">
        <v>7429.3</v>
      </c>
      <c r="J1149" s="4">
        <v>31552.81</v>
      </c>
      <c r="K1149" s="3">
        <v>231</v>
      </c>
      <c r="L1149" s="2" t="s">
        <v>2539</v>
      </c>
      <c r="M1149" s="2" t="s">
        <v>2526</v>
      </c>
      <c r="N1149" s="6">
        <f t="shared" si="68"/>
        <v>1</v>
      </c>
      <c r="O1149" t="str">
        <f>IF(Tabla_control[[#This Row],[Control_duplicados]]&gt;1,"Duplicado","Unico")</f>
        <v>Unico</v>
      </c>
      <c r="P1149" t="str">
        <f t="shared" si="69"/>
        <v>OK</v>
      </c>
      <c r="Q1149" t="str">
        <f t="shared" si="70"/>
        <v>OK</v>
      </c>
      <c r="R1149" t="str">
        <f t="shared" si="71"/>
        <v>OK</v>
      </c>
    </row>
    <row r="1150" spans="1:18" x14ac:dyDescent="0.3">
      <c r="A1150" s="1">
        <v>45929</v>
      </c>
      <c r="B1150" s="2" t="s">
        <v>2639</v>
      </c>
      <c r="C1150" s="2" t="s">
        <v>2533</v>
      </c>
      <c r="D1150" s="2" t="s">
        <v>2531</v>
      </c>
      <c r="E1150" s="2" t="s">
        <v>2529</v>
      </c>
      <c r="F1150" s="3">
        <v>8746</v>
      </c>
      <c r="G1150" s="3">
        <v>581</v>
      </c>
      <c r="H1150" s="3">
        <v>9</v>
      </c>
      <c r="I1150" s="4">
        <v>777.55</v>
      </c>
      <c r="J1150" s="4">
        <v>1248.27</v>
      </c>
      <c r="K1150" s="3">
        <v>4</v>
      </c>
      <c r="L1150" s="2" t="s">
        <v>2518</v>
      </c>
      <c r="M1150" s="2" t="s">
        <v>2526</v>
      </c>
      <c r="N1150" s="6">
        <f t="shared" si="68"/>
        <v>1</v>
      </c>
      <c r="O1150" t="str">
        <f>IF(Tabla_control[[#This Row],[Control_duplicados]]&gt;1,"Duplicado","Unico")</f>
        <v>Unico</v>
      </c>
      <c r="P1150" t="str">
        <f t="shared" si="69"/>
        <v>OK</v>
      </c>
      <c r="Q1150" t="str">
        <f t="shared" si="70"/>
        <v>OK</v>
      </c>
      <c r="R1150" t="str">
        <f t="shared" si="71"/>
        <v>OK</v>
      </c>
    </row>
    <row r="1151" spans="1:18" x14ac:dyDescent="0.3">
      <c r="A1151" s="1">
        <v>45720</v>
      </c>
      <c r="B1151" s="2" t="s">
        <v>2641</v>
      </c>
      <c r="C1151" s="2" t="s">
        <v>2521</v>
      </c>
      <c r="D1151" s="2" t="s">
        <v>2528</v>
      </c>
      <c r="E1151" s="2" t="s">
        <v>2517</v>
      </c>
      <c r="F1151" s="3">
        <v>33293</v>
      </c>
      <c r="G1151" s="3">
        <v>553</v>
      </c>
      <c r="H1151" s="3">
        <v>74</v>
      </c>
      <c r="I1151" s="4">
        <v>465.04</v>
      </c>
      <c r="J1151" s="4">
        <v>11335.61</v>
      </c>
      <c r="K1151" s="3">
        <v>43</v>
      </c>
      <c r="L1151" s="2" t="s">
        <v>2518</v>
      </c>
      <c r="M1151" s="2" t="s">
        <v>2519</v>
      </c>
      <c r="N1151" s="6">
        <f t="shared" si="68"/>
        <v>1</v>
      </c>
      <c r="O1151" t="str">
        <f>IF(Tabla_control[[#This Row],[Control_duplicados]]&gt;1,"Duplicado","Unico")</f>
        <v>Unico</v>
      </c>
      <c r="P1151" t="str">
        <f t="shared" si="69"/>
        <v>OK</v>
      </c>
      <c r="Q1151" t="str">
        <f t="shared" si="70"/>
        <v>OK</v>
      </c>
      <c r="R1151" t="str">
        <f t="shared" si="71"/>
        <v>OK</v>
      </c>
    </row>
    <row r="1152" spans="1:18" x14ac:dyDescent="0.3">
      <c r="A1152" s="1">
        <v>45983</v>
      </c>
      <c r="B1152" s="2" t="s">
        <v>2643</v>
      </c>
      <c r="C1152" s="2" t="s">
        <v>2527</v>
      </c>
      <c r="D1152" s="2" t="s">
        <v>2528</v>
      </c>
      <c r="E1152" s="2" t="s">
        <v>2517</v>
      </c>
      <c r="F1152" s="3">
        <v>88575</v>
      </c>
      <c r="G1152" s="3">
        <v>3863</v>
      </c>
      <c r="H1152" s="3">
        <v>144</v>
      </c>
      <c r="I1152" s="4">
        <v>5128.53</v>
      </c>
      <c r="J1152" s="4">
        <v>14704.61</v>
      </c>
      <c r="K1152" s="3">
        <v>84</v>
      </c>
      <c r="L1152" s="2" t="s">
        <v>2539</v>
      </c>
      <c r="M1152" s="2" t="s">
        <v>2524</v>
      </c>
      <c r="N1152" s="6">
        <f t="shared" si="68"/>
        <v>1</v>
      </c>
      <c r="O1152" t="str">
        <f>IF(Tabla_control[[#This Row],[Control_duplicados]]&gt;1,"Duplicado","Unico")</f>
        <v>Unico</v>
      </c>
      <c r="P1152" t="str">
        <f t="shared" si="69"/>
        <v>OK</v>
      </c>
      <c r="Q1152" t="str">
        <f t="shared" si="70"/>
        <v>OK</v>
      </c>
      <c r="R1152" t="str">
        <f t="shared" si="71"/>
        <v>OK</v>
      </c>
    </row>
    <row r="1153" spans="1:18" x14ac:dyDescent="0.3">
      <c r="A1153" s="1">
        <v>45680</v>
      </c>
      <c r="B1153" s="2" t="s">
        <v>2641</v>
      </c>
      <c r="C1153" s="2" t="s">
        <v>2541</v>
      </c>
      <c r="D1153" s="2" t="s">
        <v>2528</v>
      </c>
      <c r="E1153" s="2" t="s">
        <v>2517</v>
      </c>
      <c r="F1153" s="3">
        <v>67641</v>
      </c>
      <c r="G1153" s="3">
        <v>5862</v>
      </c>
      <c r="H1153" s="3">
        <v>41</v>
      </c>
      <c r="I1153" s="4">
        <v>1462.11</v>
      </c>
      <c r="J1153" s="4">
        <v>8431.9500000000007</v>
      </c>
      <c r="K1153" s="3">
        <v>27</v>
      </c>
      <c r="L1153" s="2" t="s">
        <v>2539</v>
      </c>
      <c r="M1153" s="2" t="s">
        <v>2526</v>
      </c>
      <c r="N1153" s="6">
        <f t="shared" si="68"/>
        <v>1</v>
      </c>
      <c r="O1153" t="str">
        <f>IF(Tabla_control[[#This Row],[Control_duplicados]]&gt;1,"Duplicado","Unico")</f>
        <v>Unico</v>
      </c>
      <c r="P1153" t="str">
        <f t="shared" si="69"/>
        <v>OK</v>
      </c>
      <c r="Q1153" t="str">
        <f t="shared" si="70"/>
        <v>OK</v>
      </c>
      <c r="R1153" t="str">
        <f t="shared" si="71"/>
        <v>OK</v>
      </c>
    </row>
    <row r="1154" spans="1:18" x14ac:dyDescent="0.3">
      <c r="A1154" s="1">
        <v>45763</v>
      </c>
      <c r="B1154" s="2" t="s">
        <v>2626</v>
      </c>
      <c r="C1154" s="2" t="s">
        <v>2527</v>
      </c>
      <c r="D1154" s="2" t="s">
        <v>2528</v>
      </c>
      <c r="E1154" s="2" t="s">
        <v>2517</v>
      </c>
      <c r="F1154" s="3">
        <v>172623</v>
      </c>
      <c r="G1154" s="3">
        <v>10575</v>
      </c>
      <c r="H1154" s="3">
        <v>759</v>
      </c>
      <c r="I1154" s="4">
        <v>7207.13</v>
      </c>
      <c r="J1154" s="4">
        <v>117323.77</v>
      </c>
      <c r="K1154" s="3">
        <v>468</v>
      </c>
      <c r="L1154" s="2" t="s">
        <v>2539</v>
      </c>
      <c r="M1154" s="2" t="s">
        <v>2526</v>
      </c>
      <c r="N1154" s="6">
        <f t="shared" ref="N1154:N1217" si="72">COUNTIFS($A$2:$A$2536,A1154,$B$2:$B$2536,B1154,$C$2:$C$2536,C1154,$D$2:$D$2536,D1154,$E$2:$E$2536,E1154,$F$2:$F$2536,F1154,$G$2:$G$2536,G1154,$H$2:$H$2536,H1154,$I$2:$I$2536,I1154,$J$2:$J$2536,J1154,$K$2:$K$2536,K1154,$L$2:$L$2536,L1154,$M$2:$M$2536,M1154)</f>
        <v>1</v>
      </c>
      <c r="O1154" t="str">
        <f>IF(Tabla_control[[#This Row],[Control_duplicados]]&gt;1,"Duplicado","Unico")</f>
        <v>Unico</v>
      </c>
      <c r="P1154" t="str">
        <f t="shared" ref="P1154:P1217" si="73">IF(OR(I1154="",I1154&lt;0),"ERROR","OK")</f>
        <v>OK</v>
      </c>
      <c r="Q1154" t="str">
        <f t="shared" ref="Q1154:Q1217" si="74">IF(H1154&gt;F1154,"ERROR","OK")</f>
        <v>OK</v>
      </c>
      <c r="R1154" t="str">
        <f t="shared" ref="R1154:R1217" si="75">IF(K1154&gt;H1154,"ERROR","OK")</f>
        <v>OK</v>
      </c>
    </row>
    <row r="1155" spans="1:18" x14ac:dyDescent="0.3">
      <c r="A1155" s="1">
        <v>45874</v>
      </c>
      <c r="B1155" s="2" t="s">
        <v>2618</v>
      </c>
      <c r="C1155" s="2" t="s">
        <v>2533</v>
      </c>
      <c r="D1155" s="2" t="s">
        <v>2525</v>
      </c>
      <c r="E1155" s="2" t="s">
        <v>2529</v>
      </c>
      <c r="F1155" s="3">
        <v>18518</v>
      </c>
      <c r="G1155" s="3">
        <v>1160</v>
      </c>
      <c r="H1155" s="3">
        <v>158</v>
      </c>
      <c r="I1155" s="4">
        <v>689.01</v>
      </c>
      <c r="J1155" s="4">
        <v>3396.64</v>
      </c>
      <c r="K1155" s="3">
        <v>101</v>
      </c>
      <c r="L1155" s="2" t="s">
        <v>2523</v>
      </c>
      <c r="M1155" s="2" t="s">
        <v>2546</v>
      </c>
      <c r="N1155" s="6">
        <f t="shared" si="72"/>
        <v>1</v>
      </c>
      <c r="O1155" t="str">
        <f>IF(Tabla_control[[#This Row],[Control_duplicados]]&gt;1,"Duplicado","Unico")</f>
        <v>Unico</v>
      </c>
      <c r="P1155" t="str">
        <f t="shared" si="73"/>
        <v>OK</v>
      </c>
      <c r="Q1155" t="str">
        <f t="shared" si="74"/>
        <v>OK</v>
      </c>
      <c r="R1155" t="str">
        <f t="shared" si="75"/>
        <v>OK</v>
      </c>
    </row>
    <row r="1156" spans="1:18" x14ac:dyDescent="0.3">
      <c r="A1156" s="1">
        <v>45888</v>
      </c>
      <c r="B1156" s="2" t="s">
        <v>2631</v>
      </c>
      <c r="C1156" s="2" t="s">
        <v>2543</v>
      </c>
      <c r="D1156" s="2" t="s">
        <v>2528</v>
      </c>
      <c r="E1156" s="2" t="s">
        <v>2529</v>
      </c>
      <c r="F1156" s="3">
        <v>130067</v>
      </c>
      <c r="G1156" s="3">
        <v>10650</v>
      </c>
      <c r="H1156" s="3">
        <v>1025</v>
      </c>
      <c r="I1156" s="4">
        <v>4595.96</v>
      </c>
      <c r="J1156" s="4">
        <v>137379.29999999999</v>
      </c>
      <c r="K1156" s="3">
        <v>680</v>
      </c>
      <c r="L1156" s="2" t="s">
        <v>2539</v>
      </c>
      <c r="M1156" s="2" t="s">
        <v>2519</v>
      </c>
      <c r="N1156" s="6">
        <f t="shared" si="72"/>
        <v>1</v>
      </c>
      <c r="O1156" t="str">
        <f>IF(Tabla_control[[#This Row],[Control_duplicados]]&gt;1,"Duplicado","Unico")</f>
        <v>Unico</v>
      </c>
      <c r="P1156" t="str">
        <f t="shared" si="73"/>
        <v>OK</v>
      </c>
      <c r="Q1156" t="str">
        <f t="shared" si="74"/>
        <v>OK</v>
      </c>
      <c r="R1156" t="str">
        <f t="shared" si="75"/>
        <v>OK</v>
      </c>
    </row>
    <row r="1157" spans="1:18" x14ac:dyDescent="0.3">
      <c r="A1157" s="1">
        <v>45672</v>
      </c>
      <c r="B1157" s="2" t="s">
        <v>2640</v>
      </c>
      <c r="C1157" s="2" t="s">
        <v>2543</v>
      </c>
      <c r="D1157" s="2" t="s">
        <v>2528</v>
      </c>
      <c r="E1157" s="2" t="s">
        <v>2534</v>
      </c>
      <c r="F1157" s="3">
        <v>177703</v>
      </c>
      <c r="G1157" s="3">
        <v>14067</v>
      </c>
      <c r="H1157" s="3">
        <v>1465</v>
      </c>
      <c r="I1157" s="4">
        <v>13486.04</v>
      </c>
      <c r="J1157" s="4">
        <v>126597.44</v>
      </c>
      <c r="K1157" s="3">
        <v>1181</v>
      </c>
      <c r="L1157" s="2" t="s">
        <v>2523</v>
      </c>
      <c r="M1157" s="2" t="s">
        <v>2519</v>
      </c>
      <c r="N1157" s="6">
        <f t="shared" si="72"/>
        <v>1</v>
      </c>
      <c r="O1157" t="str">
        <f>IF(Tabla_control[[#This Row],[Control_duplicados]]&gt;1,"Duplicado","Unico")</f>
        <v>Unico</v>
      </c>
      <c r="P1157" t="str">
        <f t="shared" si="73"/>
        <v>OK</v>
      </c>
      <c r="Q1157" t="str">
        <f t="shared" si="74"/>
        <v>OK</v>
      </c>
      <c r="R1157" t="str">
        <f t="shared" si="75"/>
        <v>OK</v>
      </c>
    </row>
    <row r="1158" spans="1:18" x14ac:dyDescent="0.3">
      <c r="A1158" s="1">
        <v>45788</v>
      </c>
      <c r="B1158" s="2" t="s">
        <v>2637</v>
      </c>
      <c r="C1158" s="2" t="s">
        <v>2515</v>
      </c>
      <c r="D1158" s="2" t="s">
        <v>2516</v>
      </c>
      <c r="E1158" s="2" t="s">
        <v>2529</v>
      </c>
      <c r="F1158" s="3">
        <v>68139</v>
      </c>
      <c r="G1158" s="3">
        <v>2369</v>
      </c>
      <c r="H1158" s="3">
        <v>258</v>
      </c>
      <c r="I1158" s="4">
        <v>4436.49</v>
      </c>
      <c r="J1158" s="4">
        <v>49978.66</v>
      </c>
      <c r="K1158" s="3">
        <v>219</v>
      </c>
      <c r="L1158" s="2" t="s">
        <v>2518</v>
      </c>
      <c r="M1158" s="2" t="s">
        <v>2546</v>
      </c>
      <c r="N1158" s="6">
        <f t="shared" si="72"/>
        <v>1</v>
      </c>
      <c r="O1158" t="str">
        <f>IF(Tabla_control[[#This Row],[Control_duplicados]]&gt;1,"Duplicado","Unico")</f>
        <v>Unico</v>
      </c>
      <c r="P1158" t="str">
        <f t="shared" si="73"/>
        <v>OK</v>
      </c>
      <c r="Q1158" t="str">
        <f t="shared" si="74"/>
        <v>OK</v>
      </c>
      <c r="R1158" t="str">
        <f t="shared" si="75"/>
        <v>OK</v>
      </c>
    </row>
    <row r="1159" spans="1:18" x14ac:dyDescent="0.3">
      <c r="A1159" s="1">
        <v>45947</v>
      </c>
      <c r="B1159" s="2" t="s">
        <v>2641</v>
      </c>
      <c r="C1159" s="2" t="s">
        <v>2541</v>
      </c>
      <c r="D1159" s="2" t="s">
        <v>2531</v>
      </c>
      <c r="E1159" s="2" t="s">
        <v>2529</v>
      </c>
      <c r="F1159" s="3">
        <v>164017</v>
      </c>
      <c r="G1159" s="3">
        <v>4996</v>
      </c>
      <c r="H1159" s="3">
        <v>170</v>
      </c>
      <c r="I1159" s="4">
        <v>6449.46</v>
      </c>
      <c r="J1159" s="4">
        <v>16638.349999999999</v>
      </c>
      <c r="K1159" s="3">
        <v>78</v>
      </c>
      <c r="L1159" s="2" t="s">
        <v>2539</v>
      </c>
      <c r="M1159" s="2" t="s">
        <v>2524</v>
      </c>
      <c r="N1159" s="6">
        <f t="shared" si="72"/>
        <v>1</v>
      </c>
      <c r="O1159" t="str">
        <f>IF(Tabla_control[[#This Row],[Control_duplicados]]&gt;1,"Duplicado","Unico")</f>
        <v>Unico</v>
      </c>
      <c r="P1159" t="str">
        <f t="shared" si="73"/>
        <v>OK</v>
      </c>
      <c r="Q1159" t="str">
        <f t="shared" si="74"/>
        <v>OK</v>
      </c>
      <c r="R1159" t="str">
        <f t="shared" si="75"/>
        <v>OK</v>
      </c>
    </row>
    <row r="1160" spans="1:18" x14ac:dyDescent="0.3">
      <c r="A1160" s="1">
        <v>45822</v>
      </c>
      <c r="B1160" s="2" t="s">
        <v>2626</v>
      </c>
      <c r="C1160" s="2" t="s">
        <v>2533</v>
      </c>
      <c r="D1160" s="2" t="s">
        <v>2528</v>
      </c>
      <c r="E1160" s="2" t="s">
        <v>2517</v>
      </c>
      <c r="F1160" s="3">
        <v>124594</v>
      </c>
      <c r="G1160" s="3">
        <v>4746</v>
      </c>
      <c r="H1160" s="3">
        <v>299</v>
      </c>
      <c r="I1160" s="4">
        <v>5268.96</v>
      </c>
      <c r="J1160" s="4">
        <v>54344.959999999999</v>
      </c>
      <c r="K1160" s="3">
        <v>205</v>
      </c>
      <c r="L1160" s="2" t="s">
        <v>2523</v>
      </c>
      <c r="M1160" s="2" t="s">
        <v>2524</v>
      </c>
      <c r="N1160" s="6">
        <f t="shared" si="72"/>
        <v>1</v>
      </c>
      <c r="O1160" t="str">
        <f>IF(Tabla_control[[#This Row],[Control_duplicados]]&gt;1,"Duplicado","Unico")</f>
        <v>Unico</v>
      </c>
      <c r="P1160" t="str">
        <f t="shared" si="73"/>
        <v>OK</v>
      </c>
      <c r="Q1160" t="str">
        <f t="shared" si="74"/>
        <v>OK</v>
      </c>
      <c r="R1160" t="str">
        <f t="shared" si="75"/>
        <v>OK</v>
      </c>
    </row>
    <row r="1161" spans="1:18" x14ac:dyDescent="0.3">
      <c r="A1161" s="1">
        <v>45678</v>
      </c>
      <c r="B1161" s="2" t="s">
        <v>2615</v>
      </c>
      <c r="C1161" s="2" t="s">
        <v>2521</v>
      </c>
      <c r="D1161" s="2" t="s">
        <v>2525</v>
      </c>
      <c r="E1161" s="2" t="s">
        <v>2517</v>
      </c>
      <c r="F1161" s="3">
        <v>156965</v>
      </c>
      <c r="G1161" s="3">
        <v>5806</v>
      </c>
      <c r="H1161" s="3">
        <v>73</v>
      </c>
      <c r="I1161" s="4">
        <v>3091.91</v>
      </c>
      <c r="J1161" s="4">
        <v>6415.7</v>
      </c>
      <c r="K1161" s="3">
        <v>33</v>
      </c>
      <c r="L1161" s="2" t="s">
        <v>2536</v>
      </c>
      <c r="M1161" s="2" t="s">
        <v>2519</v>
      </c>
      <c r="N1161" s="6">
        <f t="shared" si="72"/>
        <v>1</v>
      </c>
      <c r="O1161" t="str">
        <f>IF(Tabla_control[[#This Row],[Control_duplicados]]&gt;1,"Duplicado","Unico")</f>
        <v>Unico</v>
      </c>
      <c r="P1161" t="str">
        <f t="shared" si="73"/>
        <v>OK</v>
      </c>
      <c r="Q1161" t="str">
        <f t="shared" si="74"/>
        <v>OK</v>
      </c>
      <c r="R1161" t="str">
        <f t="shared" si="75"/>
        <v>OK</v>
      </c>
    </row>
    <row r="1162" spans="1:18" x14ac:dyDescent="0.3">
      <c r="A1162" s="1">
        <v>45934</v>
      </c>
      <c r="B1162" s="2" t="s">
        <v>2620</v>
      </c>
      <c r="C1162" s="2" t="s">
        <v>2521</v>
      </c>
      <c r="D1162" s="2" t="s">
        <v>2531</v>
      </c>
      <c r="E1162" s="2" t="s">
        <v>2517</v>
      </c>
      <c r="F1162" s="3">
        <v>166082</v>
      </c>
      <c r="G1162" s="3">
        <v>14573</v>
      </c>
      <c r="H1162" s="3">
        <v>1163</v>
      </c>
      <c r="I1162" s="4">
        <v>25999.78</v>
      </c>
      <c r="J1162" s="4">
        <v>132734.29</v>
      </c>
      <c r="K1162" s="3">
        <v>846</v>
      </c>
      <c r="L1162" s="2" t="s">
        <v>2518</v>
      </c>
      <c r="M1162" s="2" t="s">
        <v>2537</v>
      </c>
      <c r="N1162" s="6">
        <f t="shared" si="72"/>
        <v>1</v>
      </c>
      <c r="O1162" t="str">
        <f>IF(Tabla_control[[#This Row],[Control_duplicados]]&gt;1,"Duplicado","Unico")</f>
        <v>Unico</v>
      </c>
      <c r="P1162" t="str">
        <f t="shared" si="73"/>
        <v>OK</v>
      </c>
      <c r="Q1162" t="str">
        <f t="shared" si="74"/>
        <v>OK</v>
      </c>
      <c r="R1162" t="str">
        <f t="shared" si="75"/>
        <v>OK</v>
      </c>
    </row>
    <row r="1163" spans="1:18" x14ac:dyDescent="0.3">
      <c r="A1163" s="1">
        <v>45931</v>
      </c>
      <c r="B1163" s="2" t="s">
        <v>2632</v>
      </c>
      <c r="C1163" s="2" t="s">
        <v>2543</v>
      </c>
      <c r="D1163" s="2" t="s">
        <v>2528</v>
      </c>
      <c r="E1163" s="2" t="s">
        <v>2517</v>
      </c>
      <c r="F1163" s="3">
        <v>140686</v>
      </c>
      <c r="G1163" s="3">
        <v>9087</v>
      </c>
      <c r="H1163" s="3">
        <v>875</v>
      </c>
      <c r="I1163" s="4">
        <v>3201.94</v>
      </c>
      <c r="J1163" s="4">
        <v>92960.03</v>
      </c>
      <c r="K1163" s="3">
        <v>628</v>
      </c>
      <c r="L1163" s="2" t="s">
        <v>2518</v>
      </c>
      <c r="M1163" s="2" t="s">
        <v>2546</v>
      </c>
      <c r="N1163" s="6">
        <f t="shared" si="72"/>
        <v>1</v>
      </c>
      <c r="O1163" t="str">
        <f>IF(Tabla_control[[#This Row],[Control_duplicados]]&gt;1,"Duplicado","Unico")</f>
        <v>Unico</v>
      </c>
      <c r="P1163" t="str">
        <f t="shared" si="73"/>
        <v>OK</v>
      </c>
      <c r="Q1163" t="str">
        <f t="shared" si="74"/>
        <v>OK</v>
      </c>
      <c r="R1163" t="str">
        <f t="shared" si="75"/>
        <v>OK</v>
      </c>
    </row>
    <row r="1164" spans="1:18" x14ac:dyDescent="0.3">
      <c r="A1164" s="1">
        <v>45865</v>
      </c>
      <c r="B1164" s="2" t="s">
        <v>2635</v>
      </c>
      <c r="C1164" s="2" t="s">
        <v>2527</v>
      </c>
      <c r="D1164" s="2" t="s">
        <v>2528</v>
      </c>
      <c r="E1164" s="2" t="s">
        <v>2517</v>
      </c>
      <c r="F1164" s="3">
        <v>39458</v>
      </c>
      <c r="G1164" s="3">
        <v>656</v>
      </c>
      <c r="H1164" s="3">
        <v>84</v>
      </c>
      <c r="I1164" s="4">
        <v>91.49</v>
      </c>
      <c r="J1164" s="4">
        <v>3652.61</v>
      </c>
      <c r="K1164" s="3">
        <v>50</v>
      </c>
      <c r="L1164" s="2" t="s">
        <v>2518</v>
      </c>
      <c r="M1164" s="2" t="s">
        <v>2524</v>
      </c>
      <c r="N1164" s="6">
        <f t="shared" si="72"/>
        <v>1</v>
      </c>
      <c r="O1164" t="str">
        <f>IF(Tabla_control[[#This Row],[Control_duplicados]]&gt;1,"Duplicado","Unico")</f>
        <v>Unico</v>
      </c>
      <c r="P1164" t="str">
        <f t="shared" si="73"/>
        <v>OK</v>
      </c>
      <c r="Q1164" t="str">
        <f t="shared" si="74"/>
        <v>OK</v>
      </c>
      <c r="R1164" t="str">
        <f t="shared" si="75"/>
        <v>OK</v>
      </c>
    </row>
    <row r="1165" spans="1:18" x14ac:dyDescent="0.3">
      <c r="A1165" s="1">
        <v>45954</v>
      </c>
      <c r="B1165" s="2" t="s">
        <v>2634</v>
      </c>
      <c r="C1165" s="2" t="s">
        <v>2541</v>
      </c>
      <c r="D1165" s="2" t="s">
        <v>2531</v>
      </c>
      <c r="E1165" s="2" t="s">
        <v>2529</v>
      </c>
      <c r="F1165" s="3">
        <v>94072</v>
      </c>
      <c r="G1165" s="3">
        <v>8240</v>
      </c>
      <c r="H1165" s="3">
        <v>501</v>
      </c>
      <c r="I1165" s="4">
        <v>6995.63</v>
      </c>
      <c r="J1165" s="4">
        <v>63029.34</v>
      </c>
      <c r="K1165" s="3">
        <v>449</v>
      </c>
      <c r="L1165" s="2" t="s">
        <v>2518</v>
      </c>
      <c r="M1165" s="2" t="s">
        <v>2546</v>
      </c>
      <c r="N1165" s="6">
        <f t="shared" si="72"/>
        <v>1</v>
      </c>
      <c r="O1165" t="str">
        <f>IF(Tabla_control[[#This Row],[Control_duplicados]]&gt;1,"Duplicado","Unico")</f>
        <v>Unico</v>
      </c>
      <c r="P1165" t="str">
        <f t="shared" si="73"/>
        <v>OK</v>
      </c>
      <c r="Q1165" t="str">
        <f t="shared" si="74"/>
        <v>OK</v>
      </c>
      <c r="R1165" t="str">
        <f t="shared" si="75"/>
        <v>OK</v>
      </c>
    </row>
    <row r="1166" spans="1:18" x14ac:dyDescent="0.3">
      <c r="A1166" s="1">
        <v>45666</v>
      </c>
      <c r="B1166" s="2" t="s">
        <v>2615</v>
      </c>
      <c r="C1166" s="2" t="s">
        <v>2533</v>
      </c>
      <c r="D1166" s="2" t="s">
        <v>2528</v>
      </c>
      <c r="E1166" s="2" t="s">
        <v>2517</v>
      </c>
      <c r="F1166" s="3">
        <v>29356</v>
      </c>
      <c r="G1166" s="3">
        <v>2424</v>
      </c>
      <c r="H1166" s="3">
        <v>259</v>
      </c>
      <c r="I1166" s="4">
        <v>4720.26</v>
      </c>
      <c r="J1166" s="4">
        <v>35486.42</v>
      </c>
      <c r="K1166" s="3">
        <v>177</v>
      </c>
      <c r="L1166" s="2" t="s">
        <v>2539</v>
      </c>
      <c r="M1166" s="2" t="s">
        <v>2526</v>
      </c>
      <c r="N1166" s="6">
        <f t="shared" si="72"/>
        <v>1</v>
      </c>
      <c r="O1166" t="str">
        <f>IF(Tabla_control[[#This Row],[Control_duplicados]]&gt;1,"Duplicado","Unico")</f>
        <v>Unico</v>
      </c>
      <c r="P1166" t="str">
        <f t="shared" si="73"/>
        <v>OK</v>
      </c>
      <c r="Q1166" t="str">
        <f t="shared" si="74"/>
        <v>OK</v>
      </c>
      <c r="R1166" t="str">
        <f t="shared" si="75"/>
        <v>OK</v>
      </c>
    </row>
    <row r="1167" spans="1:18" x14ac:dyDescent="0.3">
      <c r="A1167" s="1">
        <v>45812</v>
      </c>
      <c r="B1167" s="2" t="s">
        <v>2634</v>
      </c>
      <c r="C1167" s="2" t="s">
        <v>2515</v>
      </c>
      <c r="D1167" s="2" t="s">
        <v>2528</v>
      </c>
      <c r="E1167" s="2" t="s">
        <v>2517</v>
      </c>
      <c r="F1167" s="3">
        <v>107522</v>
      </c>
      <c r="G1167" s="3">
        <v>1399</v>
      </c>
      <c r="H1167" s="3">
        <v>66</v>
      </c>
      <c r="I1167" s="4">
        <v>1584.04</v>
      </c>
      <c r="J1167" s="4">
        <v>1659.05</v>
      </c>
      <c r="K1167" s="3">
        <v>44</v>
      </c>
      <c r="L1167" s="2" t="s">
        <v>2536</v>
      </c>
      <c r="M1167" s="2" t="s">
        <v>2546</v>
      </c>
      <c r="N1167" s="6">
        <f t="shared" si="72"/>
        <v>1</v>
      </c>
      <c r="O1167" t="str">
        <f>IF(Tabla_control[[#This Row],[Control_duplicados]]&gt;1,"Duplicado","Unico")</f>
        <v>Unico</v>
      </c>
      <c r="P1167" t="str">
        <f t="shared" si="73"/>
        <v>OK</v>
      </c>
      <c r="Q1167" t="str">
        <f t="shared" si="74"/>
        <v>OK</v>
      </c>
      <c r="R1167" t="str">
        <f t="shared" si="75"/>
        <v>OK</v>
      </c>
    </row>
    <row r="1168" spans="1:18" x14ac:dyDescent="0.3">
      <c r="A1168" s="1">
        <v>45896</v>
      </c>
      <c r="B1168" s="2" t="s">
        <v>2617</v>
      </c>
      <c r="C1168" s="2" t="s">
        <v>2515</v>
      </c>
      <c r="D1168" s="2" t="s">
        <v>2531</v>
      </c>
      <c r="E1168" s="2" t="s">
        <v>2534</v>
      </c>
      <c r="F1168" s="3">
        <v>1648</v>
      </c>
      <c r="G1168" s="3">
        <v>60</v>
      </c>
      <c r="H1168" s="3">
        <v>4</v>
      </c>
      <c r="I1168" s="4">
        <v>81.400000000000006</v>
      </c>
      <c r="J1168" s="4">
        <v>442.76</v>
      </c>
      <c r="K1168" s="3">
        <v>2</v>
      </c>
      <c r="L1168" s="2" t="s">
        <v>2518</v>
      </c>
      <c r="M1168" s="2" t="s">
        <v>2524</v>
      </c>
      <c r="N1168" s="6">
        <f t="shared" si="72"/>
        <v>1</v>
      </c>
      <c r="O1168" t="str">
        <f>IF(Tabla_control[[#This Row],[Control_duplicados]]&gt;1,"Duplicado","Unico")</f>
        <v>Unico</v>
      </c>
      <c r="P1168" t="str">
        <f t="shared" si="73"/>
        <v>OK</v>
      </c>
      <c r="Q1168" t="str">
        <f t="shared" si="74"/>
        <v>OK</v>
      </c>
      <c r="R1168" t="str">
        <f t="shared" si="75"/>
        <v>OK</v>
      </c>
    </row>
    <row r="1169" spans="1:18" x14ac:dyDescent="0.3">
      <c r="A1169" s="1">
        <v>45692</v>
      </c>
      <c r="B1169" s="2" t="s">
        <v>2627</v>
      </c>
      <c r="C1169" s="2" t="s">
        <v>2527</v>
      </c>
      <c r="D1169" s="2" t="s">
        <v>2531</v>
      </c>
      <c r="E1169" s="2" t="s">
        <v>2517</v>
      </c>
      <c r="F1169" s="3">
        <v>22762</v>
      </c>
      <c r="G1169" s="3">
        <v>1042</v>
      </c>
      <c r="H1169" s="3">
        <v>103</v>
      </c>
      <c r="I1169" s="4">
        <v>160.85</v>
      </c>
      <c r="J1169" s="4">
        <v>13839.38</v>
      </c>
      <c r="K1169" s="3">
        <v>73</v>
      </c>
      <c r="L1169" s="2" t="s">
        <v>2536</v>
      </c>
      <c r="M1169" s="2" t="s">
        <v>2526</v>
      </c>
      <c r="N1169" s="6">
        <f t="shared" si="72"/>
        <v>1</v>
      </c>
      <c r="O1169" t="str">
        <f>IF(Tabla_control[[#This Row],[Control_duplicados]]&gt;1,"Duplicado","Unico")</f>
        <v>Unico</v>
      </c>
      <c r="P1169" t="str">
        <f t="shared" si="73"/>
        <v>OK</v>
      </c>
      <c r="Q1169" t="str">
        <f t="shared" si="74"/>
        <v>OK</v>
      </c>
      <c r="R1169" t="str">
        <f t="shared" si="75"/>
        <v>OK</v>
      </c>
    </row>
    <row r="1170" spans="1:18" x14ac:dyDescent="0.3">
      <c r="A1170" s="1">
        <v>45899</v>
      </c>
      <c r="B1170" s="2" t="s">
        <v>2619</v>
      </c>
      <c r="C1170" s="2" t="s">
        <v>2541</v>
      </c>
      <c r="D1170" s="2" t="s">
        <v>2525</v>
      </c>
      <c r="E1170" s="2" t="s">
        <v>2517</v>
      </c>
      <c r="F1170" s="3">
        <v>27522</v>
      </c>
      <c r="G1170" s="3">
        <v>1823</v>
      </c>
      <c r="H1170" s="3">
        <v>23</v>
      </c>
      <c r="I1170" s="4">
        <v>1850.65</v>
      </c>
      <c r="J1170" s="4">
        <v>4066.14</v>
      </c>
      <c r="K1170" s="3">
        <v>12</v>
      </c>
      <c r="L1170" s="2" t="s">
        <v>2518</v>
      </c>
      <c r="M1170" s="2" t="s">
        <v>2519</v>
      </c>
      <c r="N1170" s="6">
        <f t="shared" si="72"/>
        <v>1</v>
      </c>
      <c r="O1170" t="str">
        <f>IF(Tabla_control[[#This Row],[Control_duplicados]]&gt;1,"Duplicado","Unico")</f>
        <v>Unico</v>
      </c>
      <c r="P1170" t="str">
        <f t="shared" si="73"/>
        <v>OK</v>
      </c>
      <c r="Q1170" t="str">
        <f t="shared" si="74"/>
        <v>OK</v>
      </c>
      <c r="R1170" t="str">
        <f t="shared" si="75"/>
        <v>OK</v>
      </c>
    </row>
    <row r="1171" spans="1:18" x14ac:dyDescent="0.3">
      <c r="A1171" s="1">
        <v>45883</v>
      </c>
      <c r="B1171" s="2" t="s">
        <v>2632</v>
      </c>
      <c r="C1171" s="2" t="s">
        <v>2543</v>
      </c>
      <c r="D1171" s="2" t="s">
        <v>2516</v>
      </c>
      <c r="E1171" s="2" t="s">
        <v>2517</v>
      </c>
      <c r="F1171" s="3">
        <v>60647</v>
      </c>
      <c r="G1171" s="3">
        <v>1677</v>
      </c>
      <c r="H1171" s="3">
        <v>133</v>
      </c>
      <c r="I1171" s="4">
        <v>796.35</v>
      </c>
      <c r="J1171" s="4">
        <v>24591.9</v>
      </c>
      <c r="K1171" s="3">
        <v>66</v>
      </c>
      <c r="L1171" s="2" t="s">
        <v>2518</v>
      </c>
      <c r="M1171" s="2" t="s">
        <v>2524</v>
      </c>
      <c r="N1171" s="6">
        <f t="shared" si="72"/>
        <v>1</v>
      </c>
      <c r="O1171" t="str">
        <f>IF(Tabla_control[[#This Row],[Control_duplicados]]&gt;1,"Duplicado","Unico")</f>
        <v>Unico</v>
      </c>
      <c r="P1171" t="str">
        <f t="shared" si="73"/>
        <v>OK</v>
      </c>
      <c r="Q1171" t="str">
        <f t="shared" si="74"/>
        <v>OK</v>
      </c>
      <c r="R1171" t="str">
        <f t="shared" si="75"/>
        <v>OK</v>
      </c>
    </row>
    <row r="1172" spans="1:18" x14ac:dyDescent="0.3">
      <c r="A1172" s="1">
        <v>45802</v>
      </c>
      <c r="B1172" s="2" t="s">
        <v>2618</v>
      </c>
      <c r="C1172" s="2" t="s">
        <v>2521</v>
      </c>
      <c r="D1172" s="2" t="s">
        <v>2528</v>
      </c>
      <c r="E1172" s="2" t="s">
        <v>2534</v>
      </c>
      <c r="F1172" s="3">
        <v>157640</v>
      </c>
      <c r="G1172" s="3">
        <v>8880</v>
      </c>
      <c r="H1172" s="3">
        <v>1156</v>
      </c>
      <c r="I1172" s="4">
        <v>8972.9699999999993</v>
      </c>
      <c r="J1172" s="4">
        <v>218433</v>
      </c>
      <c r="K1172" s="3">
        <v>997</v>
      </c>
      <c r="L1172" s="2" t="s">
        <v>2536</v>
      </c>
      <c r="M1172" s="2" t="s">
        <v>2546</v>
      </c>
      <c r="N1172" s="6">
        <f t="shared" si="72"/>
        <v>1</v>
      </c>
      <c r="O1172" t="str">
        <f>IF(Tabla_control[[#This Row],[Control_duplicados]]&gt;1,"Duplicado","Unico")</f>
        <v>Unico</v>
      </c>
      <c r="P1172" t="str">
        <f t="shared" si="73"/>
        <v>OK</v>
      </c>
      <c r="Q1172" t="str">
        <f t="shared" si="74"/>
        <v>OK</v>
      </c>
      <c r="R1172" t="str">
        <f t="shared" si="75"/>
        <v>OK</v>
      </c>
    </row>
    <row r="1173" spans="1:18" x14ac:dyDescent="0.3">
      <c r="A1173" s="1">
        <v>45816</v>
      </c>
      <c r="B1173" s="2" t="s">
        <v>2643</v>
      </c>
      <c r="C1173" s="2" t="s">
        <v>2527</v>
      </c>
      <c r="D1173" s="2" t="s">
        <v>2528</v>
      </c>
      <c r="E1173" s="2" t="s">
        <v>2517</v>
      </c>
      <c r="F1173" s="3">
        <v>106770</v>
      </c>
      <c r="G1173" s="3">
        <v>6364</v>
      </c>
      <c r="H1173" s="3">
        <v>596</v>
      </c>
      <c r="I1173" s="4">
        <v>4939.3599999999997</v>
      </c>
      <c r="J1173" s="4">
        <v>81568.100000000006</v>
      </c>
      <c r="K1173" s="3">
        <v>444</v>
      </c>
      <c r="L1173" s="2" t="s">
        <v>2518</v>
      </c>
      <c r="M1173" s="2" t="s">
        <v>2537</v>
      </c>
      <c r="N1173" s="6">
        <f t="shared" si="72"/>
        <v>1</v>
      </c>
      <c r="O1173" t="str">
        <f>IF(Tabla_control[[#This Row],[Control_duplicados]]&gt;1,"Duplicado","Unico")</f>
        <v>Unico</v>
      </c>
      <c r="P1173" t="str">
        <f t="shared" si="73"/>
        <v>OK</v>
      </c>
      <c r="Q1173" t="str">
        <f t="shared" si="74"/>
        <v>OK</v>
      </c>
      <c r="R1173" t="str">
        <f t="shared" si="75"/>
        <v>OK</v>
      </c>
    </row>
    <row r="1174" spans="1:18" x14ac:dyDescent="0.3">
      <c r="A1174" s="1">
        <v>45660</v>
      </c>
      <c r="B1174" s="2" t="s">
        <v>2630</v>
      </c>
      <c r="C1174" s="2" t="s">
        <v>2533</v>
      </c>
      <c r="D1174" s="2" t="s">
        <v>2525</v>
      </c>
      <c r="E1174" s="2" t="s">
        <v>2529</v>
      </c>
      <c r="F1174" s="3">
        <v>98572</v>
      </c>
      <c r="G1174" s="3">
        <v>1369</v>
      </c>
      <c r="H1174" s="3">
        <v>23</v>
      </c>
      <c r="I1174" s="4">
        <v>1314.29</v>
      </c>
      <c r="J1174" s="4">
        <v>3325.16</v>
      </c>
      <c r="K1174" s="3">
        <v>16</v>
      </c>
      <c r="L1174" s="2" t="s">
        <v>2518</v>
      </c>
      <c r="M1174" s="2" t="s">
        <v>2546</v>
      </c>
      <c r="N1174" s="6">
        <f t="shared" si="72"/>
        <v>1</v>
      </c>
      <c r="O1174" t="str">
        <f>IF(Tabla_control[[#This Row],[Control_duplicados]]&gt;1,"Duplicado","Unico")</f>
        <v>Unico</v>
      </c>
      <c r="P1174" t="str">
        <f t="shared" si="73"/>
        <v>OK</v>
      </c>
      <c r="Q1174" t="str">
        <f t="shared" si="74"/>
        <v>OK</v>
      </c>
      <c r="R1174" t="str">
        <f t="shared" si="75"/>
        <v>OK</v>
      </c>
    </row>
    <row r="1175" spans="1:18" x14ac:dyDescent="0.3">
      <c r="A1175" s="1">
        <v>45789</v>
      </c>
      <c r="B1175" s="2" t="s">
        <v>2627</v>
      </c>
      <c r="C1175" s="2" t="s">
        <v>2515</v>
      </c>
      <c r="D1175" s="2" t="s">
        <v>2531</v>
      </c>
      <c r="E1175" s="2" t="s">
        <v>2517</v>
      </c>
      <c r="F1175" s="3">
        <v>68029</v>
      </c>
      <c r="G1175" s="3">
        <v>4233</v>
      </c>
      <c r="H1175" s="3">
        <v>497</v>
      </c>
      <c r="I1175" s="4">
        <v>4017.98</v>
      </c>
      <c r="J1175" s="4">
        <v>39941.26</v>
      </c>
      <c r="K1175" s="3">
        <v>324</v>
      </c>
      <c r="L1175" s="2" t="s">
        <v>2523</v>
      </c>
      <c r="M1175" s="2" t="s">
        <v>2546</v>
      </c>
      <c r="N1175" s="6">
        <f t="shared" si="72"/>
        <v>1</v>
      </c>
      <c r="O1175" t="str">
        <f>IF(Tabla_control[[#This Row],[Control_duplicados]]&gt;1,"Duplicado","Unico")</f>
        <v>Unico</v>
      </c>
      <c r="P1175" t="str">
        <f t="shared" si="73"/>
        <v>OK</v>
      </c>
      <c r="Q1175" t="str">
        <f t="shared" si="74"/>
        <v>OK</v>
      </c>
      <c r="R1175" t="str">
        <f t="shared" si="75"/>
        <v>OK</v>
      </c>
    </row>
    <row r="1176" spans="1:18" x14ac:dyDescent="0.3">
      <c r="A1176" s="1">
        <v>45899</v>
      </c>
      <c r="B1176" s="2" t="s">
        <v>2622</v>
      </c>
      <c r="C1176" s="2" t="s">
        <v>2541</v>
      </c>
      <c r="D1176" s="2" t="s">
        <v>2525</v>
      </c>
      <c r="E1176" s="2" t="s">
        <v>2517</v>
      </c>
      <c r="F1176" s="3">
        <v>118994</v>
      </c>
      <c r="G1176" s="3">
        <v>850</v>
      </c>
      <c r="H1176" s="3">
        <v>76</v>
      </c>
      <c r="I1176" s="4">
        <v>556.84</v>
      </c>
      <c r="J1176" s="4">
        <v>11715.58</v>
      </c>
      <c r="K1176" s="3">
        <v>56</v>
      </c>
      <c r="L1176" s="2" t="s">
        <v>2536</v>
      </c>
      <c r="M1176" s="2" t="s">
        <v>2524</v>
      </c>
      <c r="N1176" s="6">
        <f t="shared" si="72"/>
        <v>1</v>
      </c>
      <c r="O1176" t="str">
        <f>IF(Tabla_control[[#This Row],[Control_duplicados]]&gt;1,"Duplicado","Unico")</f>
        <v>Unico</v>
      </c>
      <c r="P1176" t="str">
        <f t="shared" si="73"/>
        <v>OK</v>
      </c>
      <c r="Q1176" t="str">
        <f t="shared" si="74"/>
        <v>OK</v>
      </c>
      <c r="R1176" t="str">
        <f t="shared" si="75"/>
        <v>OK</v>
      </c>
    </row>
    <row r="1177" spans="1:18" x14ac:dyDescent="0.3">
      <c r="A1177" s="1">
        <v>45856</v>
      </c>
      <c r="B1177" s="2" t="s">
        <v>2624</v>
      </c>
      <c r="C1177" s="2" t="s">
        <v>2515</v>
      </c>
      <c r="D1177" s="2" t="s">
        <v>2528</v>
      </c>
      <c r="E1177" s="2" t="s">
        <v>2529</v>
      </c>
      <c r="F1177" s="3">
        <v>80926</v>
      </c>
      <c r="G1177" s="3">
        <v>5003</v>
      </c>
      <c r="H1177" s="3">
        <v>106</v>
      </c>
      <c r="I1177" s="4">
        <v>9907.75</v>
      </c>
      <c r="J1177" s="4">
        <v>22196.35</v>
      </c>
      <c r="K1177" s="3">
        <v>82</v>
      </c>
      <c r="L1177" s="2" t="s">
        <v>2539</v>
      </c>
      <c r="M1177" s="2" t="s">
        <v>2526</v>
      </c>
      <c r="N1177" s="6">
        <f t="shared" si="72"/>
        <v>1</v>
      </c>
      <c r="O1177" t="str">
        <f>IF(Tabla_control[[#This Row],[Control_duplicados]]&gt;1,"Duplicado","Unico")</f>
        <v>Unico</v>
      </c>
      <c r="P1177" t="str">
        <f t="shared" si="73"/>
        <v>OK</v>
      </c>
      <c r="Q1177" t="str">
        <f t="shared" si="74"/>
        <v>OK</v>
      </c>
      <c r="R1177" t="str">
        <f t="shared" si="75"/>
        <v>OK</v>
      </c>
    </row>
    <row r="1178" spans="1:18" x14ac:dyDescent="0.3">
      <c r="A1178" s="1">
        <v>45888</v>
      </c>
      <c r="B1178" s="2" t="s">
        <v>2622</v>
      </c>
      <c r="C1178" s="2" t="s">
        <v>2541</v>
      </c>
      <c r="D1178" s="2" t="s">
        <v>2531</v>
      </c>
      <c r="E1178" s="2" t="s">
        <v>2517</v>
      </c>
      <c r="F1178" s="3">
        <v>132767</v>
      </c>
      <c r="G1178" s="3">
        <v>8237</v>
      </c>
      <c r="H1178" s="3">
        <v>660</v>
      </c>
      <c r="I1178" s="4">
        <v>6670.74</v>
      </c>
      <c r="J1178" s="4">
        <v>14103.52</v>
      </c>
      <c r="K1178" s="3">
        <v>532</v>
      </c>
      <c r="L1178" s="2" t="s">
        <v>2536</v>
      </c>
      <c r="M1178" s="2" t="s">
        <v>2526</v>
      </c>
      <c r="N1178" s="6">
        <f t="shared" si="72"/>
        <v>1</v>
      </c>
      <c r="O1178" t="str">
        <f>IF(Tabla_control[[#This Row],[Control_duplicados]]&gt;1,"Duplicado","Unico")</f>
        <v>Unico</v>
      </c>
      <c r="P1178" t="str">
        <f t="shared" si="73"/>
        <v>OK</v>
      </c>
      <c r="Q1178" t="str">
        <f t="shared" si="74"/>
        <v>OK</v>
      </c>
      <c r="R1178" t="str">
        <f t="shared" si="75"/>
        <v>OK</v>
      </c>
    </row>
    <row r="1179" spans="1:18" x14ac:dyDescent="0.3">
      <c r="A1179" s="1">
        <v>45901</v>
      </c>
      <c r="B1179" s="2" t="s">
        <v>2637</v>
      </c>
      <c r="C1179" s="2" t="s">
        <v>2527</v>
      </c>
      <c r="D1179" s="2" t="s">
        <v>2516</v>
      </c>
      <c r="E1179" s="2" t="s">
        <v>2529</v>
      </c>
      <c r="F1179" s="3">
        <v>18632</v>
      </c>
      <c r="G1179" s="3">
        <v>566</v>
      </c>
      <c r="H1179" s="3">
        <v>25</v>
      </c>
      <c r="I1179" s="4">
        <v>1037.67</v>
      </c>
      <c r="J1179" s="4">
        <v>5288.09</v>
      </c>
      <c r="K1179" s="3">
        <v>11</v>
      </c>
      <c r="L1179" s="2" t="s">
        <v>2536</v>
      </c>
      <c r="M1179" s="2" t="s">
        <v>2546</v>
      </c>
      <c r="N1179" s="6">
        <f t="shared" si="72"/>
        <v>1</v>
      </c>
      <c r="O1179" t="str">
        <f>IF(Tabla_control[[#This Row],[Control_duplicados]]&gt;1,"Duplicado","Unico")</f>
        <v>Unico</v>
      </c>
      <c r="P1179" t="str">
        <f t="shared" si="73"/>
        <v>OK</v>
      </c>
      <c r="Q1179" t="str">
        <f t="shared" si="74"/>
        <v>OK</v>
      </c>
      <c r="R1179" t="str">
        <f t="shared" si="75"/>
        <v>OK</v>
      </c>
    </row>
    <row r="1180" spans="1:18" x14ac:dyDescent="0.3">
      <c r="A1180" s="1">
        <v>45705</v>
      </c>
      <c r="B1180" s="2" t="s">
        <v>2636</v>
      </c>
      <c r="C1180" s="2" t="s">
        <v>2521</v>
      </c>
      <c r="D1180" s="2" t="s">
        <v>2522</v>
      </c>
      <c r="E1180" s="2" t="s">
        <v>2529</v>
      </c>
      <c r="F1180" s="3">
        <v>103207</v>
      </c>
      <c r="G1180" s="3">
        <v>4973</v>
      </c>
      <c r="H1180" s="3">
        <v>435</v>
      </c>
      <c r="I1180" s="4">
        <v>8940.83</v>
      </c>
      <c r="J1180" s="4">
        <v>28887.26</v>
      </c>
      <c r="K1180" s="3">
        <v>290</v>
      </c>
      <c r="L1180" s="2" t="s">
        <v>2536</v>
      </c>
      <c r="M1180" s="2" t="s">
        <v>2526</v>
      </c>
      <c r="N1180" s="6">
        <f t="shared" si="72"/>
        <v>1</v>
      </c>
      <c r="O1180" t="str">
        <f>IF(Tabla_control[[#This Row],[Control_duplicados]]&gt;1,"Duplicado","Unico")</f>
        <v>Unico</v>
      </c>
      <c r="P1180" t="str">
        <f t="shared" si="73"/>
        <v>OK</v>
      </c>
      <c r="Q1180" t="str">
        <f t="shared" si="74"/>
        <v>OK</v>
      </c>
      <c r="R1180" t="str">
        <f t="shared" si="75"/>
        <v>OK</v>
      </c>
    </row>
    <row r="1181" spans="1:18" x14ac:dyDescent="0.3">
      <c r="A1181" s="1">
        <v>45924</v>
      </c>
      <c r="B1181" s="2" t="s">
        <v>2629</v>
      </c>
      <c r="C1181" s="2" t="s">
        <v>2533</v>
      </c>
      <c r="D1181" s="2" t="s">
        <v>2528</v>
      </c>
      <c r="E1181" s="2" t="s">
        <v>2517</v>
      </c>
      <c r="F1181" s="3">
        <v>104825</v>
      </c>
      <c r="G1181" s="3">
        <v>7224</v>
      </c>
      <c r="H1181" s="3">
        <v>390</v>
      </c>
      <c r="I1181" s="4">
        <v>11911.22</v>
      </c>
      <c r="J1181" s="4">
        <v>33359.67</v>
      </c>
      <c r="K1181" s="3">
        <v>332</v>
      </c>
      <c r="L1181" s="2" t="s">
        <v>2518</v>
      </c>
      <c r="M1181" s="2" t="s">
        <v>2519</v>
      </c>
      <c r="N1181" s="6">
        <f t="shared" si="72"/>
        <v>1</v>
      </c>
      <c r="O1181" t="str">
        <f>IF(Tabla_control[[#This Row],[Control_duplicados]]&gt;1,"Duplicado","Unico")</f>
        <v>Unico</v>
      </c>
      <c r="P1181" t="str">
        <f t="shared" si="73"/>
        <v>OK</v>
      </c>
      <c r="Q1181" t="str">
        <f t="shared" si="74"/>
        <v>OK</v>
      </c>
      <c r="R1181" t="str">
        <f t="shared" si="75"/>
        <v>OK</v>
      </c>
    </row>
    <row r="1182" spans="1:18" x14ac:dyDescent="0.3">
      <c r="A1182" s="1">
        <v>45712</v>
      </c>
      <c r="B1182" s="2" t="s">
        <v>2622</v>
      </c>
      <c r="C1182" s="2" t="s">
        <v>2521</v>
      </c>
      <c r="D1182" s="2" t="s">
        <v>2528</v>
      </c>
      <c r="E1182" s="2" t="s">
        <v>2517</v>
      </c>
      <c r="F1182" s="3">
        <v>86641</v>
      </c>
      <c r="G1182" s="3">
        <v>7611</v>
      </c>
      <c r="H1182" s="3">
        <v>497</v>
      </c>
      <c r="I1182" s="4">
        <v>2241.98</v>
      </c>
      <c r="J1182" s="4">
        <v>73378.429999999993</v>
      </c>
      <c r="K1182" s="3">
        <v>368</v>
      </c>
      <c r="L1182" s="2" t="s">
        <v>2539</v>
      </c>
      <c r="M1182" s="2" t="s">
        <v>2524</v>
      </c>
      <c r="N1182" s="6">
        <f t="shared" si="72"/>
        <v>1</v>
      </c>
      <c r="O1182" t="str">
        <f>IF(Tabla_control[[#This Row],[Control_duplicados]]&gt;1,"Duplicado","Unico")</f>
        <v>Unico</v>
      </c>
      <c r="P1182" t="str">
        <f t="shared" si="73"/>
        <v>OK</v>
      </c>
      <c r="Q1182" t="str">
        <f t="shared" si="74"/>
        <v>OK</v>
      </c>
      <c r="R1182" t="str">
        <f t="shared" si="75"/>
        <v>OK</v>
      </c>
    </row>
    <row r="1183" spans="1:18" x14ac:dyDescent="0.3">
      <c r="A1183" s="1">
        <v>45788</v>
      </c>
      <c r="B1183" s="2" t="s">
        <v>2633</v>
      </c>
      <c r="C1183" s="2" t="s">
        <v>2533</v>
      </c>
      <c r="D1183" s="2" t="s">
        <v>2522</v>
      </c>
      <c r="E1183" s="2" t="s">
        <v>2517</v>
      </c>
      <c r="F1183" s="3">
        <v>100000</v>
      </c>
      <c r="G1183" s="3">
        <v>4421</v>
      </c>
      <c r="H1183" s="3">
        <v>473</v>
      </c>
      <c r="I1183" s="4">
        <v>5556.08</v>
      </c>
      <c r="J1183" s="4">
        <v>26106.41</v>
      </c>
      <c r="K1183" s="3">
        <v>353</v>
      </c>
      <c r="L1183" s="2" t="s">
        <v>2536</v>
      </c>
      <c r="M1183" s="2" t="s">
        <v>2526</v>
      </c>
      <c r="N1183" s="6">
        <f t="shared" si="72"/>
        <v>1</v>
      </c>
      <c r="O1183" t="str">
        <f>IF(Tabla_control[[#This Row],[Control_duplicados]]&gt;1,"Duplicado","Unico")</f>
        <v>Unico</v>
      </c>
      <c r="P1183" t="str">
        <f t="shared" si="73"/>
        <v>OK</v>
      </c>
      <c r="Q1183" t="str">
        <f t="shared" si="74"/>
        <v>OK</v>
      </c>
      <c r="R1183" t="str">
        <f t="shared" si="75"/>
        <v>OK</v>
      </c>
    </row>
    <row r="1184" spans="1:18" x14ac:dyDescent="0.3">
      <c r="A1184" s="1">
        <v>45831</v>
      </c>
      <c r="B1184" s="2" t="s">
        <v>2622</v>
      </c>
      <c r="C1184" s="2" t="s">
        <v>2521</v>
      </c>
      <c r="D1184" s="2" t="s">
        <v>2528</v>
      </c>
      <c r="E1184" s="2" t="s">
        <v>2529</v>
      </c>
      <c r="F1184" s="3">
        <v>98320</v>
      </c>
      <c r="G1184" s="3">
        <v>3901</v>
      </c>
      <c r="H1184" s="3">
        <v>103</v>
      </c>
      <c r="I1184" s="4">
        <v>5049.18</v>
      </c>
      <c r="J1184" s="4">
        <v>3932.46</v>
      </c>
      <c r="K1184" s="3">
        <v>82</v>
      </c>
      <c r="L1184" s="2" t="s">
        <v>2518</v>
      </c>
      <c r="M1184" s="2" t="s">
        <v>2519</v>
      </c>
      <c r="N1184" s="6">
        <f t="shared" si="72"/>
        <v>1</v>
      </c>
      <c r="O1184" t="str">
        <f>IF(Tabla_control[[#This Row],[Control_duplicados]]&gt;1,"Duplicado","Unico")</f>
        <v>Unico</v>
      </c>
      <c r="P1184" t="str">
        <f t="shared" si="73"/>
        <v>OK</v>
      </c>
      <c r="Q1184" t="str">
        <f t="shared" si="74"/>
        <v>OK</v>
      </c>
      <c r="R1184" t="str">
        <f t="shared" si="75"/>
        <v>OK</v>
      </c>
    </row>
    <row r="1185" spans="1:18" x14ac:dyDescent="0.3">
      <c r="A1185" s="1">
        <v>45843</v>
      </c>
      <c r="B1185" s="2" t="s">
        <v>2638</v>
      </c>
      <c r="C1185" s="2" t="s">
        <v>2541</v>
      </c>
      <c r="D1185" s="2" t="s">
        <v>2645</v>
      </c>
      <c r="E1185" s="2" t="s">
        <v>2529</v>
      </c>
      <c r="F1185" s="3">
        <v>29691</v>
      </c>
      <c r="G1185" s="3">
        <v>697</v>
      </c>
      <c r="H1185" s="3">
        <v>14</v>
      </c>
      <c r="I1185" s="4">
        <v>942.94</v>
      </c>
      <c r="J1185" s="4">
        <v>1909.56</v>
      </c>
      <c r="K1185" s="3">
        <v>7</v>
      </c>
      <c r="L1185" s="2" t="s">
        <v>2536</v>
      </c>
      <c r="M1185" s="2" t="s">
        <v>2526</v>
      </c>
      <c r="N1185" s="6">
        <f t="shared" si="72"/>
        <v>1</v>
      </c>
      <c r="O1185" t="str">
        <f>IF(Tabla_control[[#This Row],[Control_duplicados]]&gt;1,"Duplicado","Unico")</f>
        <v>Unico</v>
      </c>
      <c r="P1185" t="str">
        <f t="shared" si="73"/>
        <v>OK</v>
      </c>
      <c r="Q1185" t="str">
        <f t="shared" si="74"/>
        <v>OK</v>
      </c>
      <c r="R1185" t="str">
        <f t="shared" si="75"/>
        <v>OK</v>
      </c>
    </row>
    <row r="1186" spans="1:18" x14ac:dyDescent="0.3">
      <c r="A1186" s="1">
        <v>45710</v>
      </c>
      <c r="B1186" s="2" t="s">
        <v>2643</v>
      </c>
      <c r="C1186" s="2" t="s">
        <v>2527</v>
      </c>
      <c r="D1186" s="2" t="s">
        <v>2528</v>
      </c>
      <c r="E1186" s="2" t="s">
        <v>2517</v>
      </c>
      <c r="F1186" s="3">
        <v>137395</v>
      </c>
      <c r="G1186" s="3">
        <v>5256</v>
      </c>
      <c r="H1186" s="3">
        <v>55</v>
      </c>
      <c r="I1186" s="4">
        <v>5591.55</v>
      </c>
      <c r="J1186" s="4">
        <v>2820.81</v>
      </c>
      <c r="K1186" s="3">
        <v>36</v>
      </c>
      <c r="L1186" s="2" t="s">
        <v>2523</v>
      </c>
      <c r="M1186" s="2" t="s">
        <v>2526</v>
      </c>
      <c r="N1186" s="6">
        <f t="shared" si="72"/>
        <v>1</v>
      </c>
      <c r="O1186" t="str">
        <f>IF(Tabla_control[[#This Row],[Control_duplicados]]&gt;1,"Duplicado","Unico")</f>
        <v>Unico</v>
      </c>
      <c r="P1186" t="str">
        <f t="shared" si="73"/>
        <v>OK</v>
      </c>
      <c r="Q1186" t="str">
        <f t="shared" si="74"/>
        <v>OK</v>
      </c>
      <c r="R1186" t="str">
        <f t="shared" si="75"/>
        <v>OK</v>
      </c>
    </row>
    <row r="1187" spans="1:18" x14ac:dyDescent="0.3">
      <c r="A1187" s="1">
        <v>45955</v>
      </c>
      <c r="B1187" s="2" t="s">
        <v>2615</v>
      </c>
      <c r="C1187" s="2" t="s">
        <v>2533</v>
      </c>
      <c r="D1187" s="2" t="s">
        <v>2528</v>
      </c>
      <c r="E1187" s="2" t="s">
        <v>2534</v>
      </c>
      <c r="F1187" s="3">
        <v>93028</v>
      </c>
      <c r="G1187" s="3">
        <v>2974</v>
      </c>
      <c r="H1187" s="3">
        <v>272</v>
      </c>
      <c r="I1187" s="4">
        <v>3578.64</v>
      </c>
      <c r="J1187" s="4">
        <v>26107.439999999999</v>
      </c>
      <c r="K1187" s="3">
        <v>235</v>
      </c>
      <c r="L1187" s="2" t="s">
        <v>2518</v>
      </c>
      <c r="M1187" s="2" t="s">
        <v>2546</v>
      </c>
      <c r="N1187" s="6">
        <f t="shared" si="72"/>
        <v>1</v>
      </c>
      <c r="O1187" t="str">
        <f>IF(Tabla_control[[#This Row],[Control_duplicados]]&gt;1,"Duplicado","Unico")</f>
        <v>Unico</v>
      </c>
      <c r="P1187" t="str">
        <f t="shared" si="73"/>
        <v>OK</v>
      </c>
      <c r="Q1187" t="str">
        <f t="shared" si="74"/>
        <v>OK</v>
      </c>
      <c r="R1187" t="str">
        <f t="shared" si="75"/>
        <v>OK</v>
      </c>
    </row>
    <row r="1188" spans="1:18" x14ac:dyDescent="0.3">
      <c r="A1188" s="1">
        <v>45828</v>
      </c>
      <c r="B1188" s="2" t="s">
        <v>2631</v>
      </c>
      <c r="C1188" s="2" t="s">
        <v>2541</v>
      </c>
      <c r="D1188" s="2" t="s">
        <v>2525</v>
      </c>
      <c r="E1188" s="2" t="s">
        <v>2529</v>
      </c>
      <c r="F1188" s="3">
        <v>88025</v>
      </c>
      <c r="G1188" s="3">
        <v>1193</v>
      </c>
      <c r="H1188" s="3">
        <v>142</v>
      </c>
      <c r="I1188" s="4">
        <v>1419.25</v>
      </c>
      <c r="J1188" s="4">
        <v>4393</v>
      </c>
      <c r="K1188" s="3">
        <v>113</v>
      </c>
      <c r="L1188" s="2" t="s">
        <v>2518</v>
      </c>
      <c r="M1188" s="2" t="s">
        <v>2519</v>
      </c>
      <c r="N1188" s="6">
        <f t="shared" si="72"/>
        <v>1</v>
      </c>
      <c r="O1188" t="str">
        <f>IF(Tabla_control[[#This Row],[Control_duplicados]]&gt;1,"Duplicado","Unico")</f>
        <v>Unico</v>
      </c>
      <c r="P1188" t="str">
        <f t="shared" si="73"/>
        <v>OK</v>
      </c>
      <c r="Q1188" t="str">
        <f t="shared" si="74"/>
        <v>OK</v>
      </c>
      <c r="R1188" t="str">
        <f t="shared" si="75"/>
        <v>OK</v>
      </c>
    </row>
    <row r="1189" spans="1:18" x14ac:dyDescent="0.3">
      <c r="A1189" s="1">
        <v>45694</v>
      </c>
      <c r="B1189" s="2" t="s">
        <v>2623</v>
      </c>
      <c r="C1189" s="2" t="s">
        <v>2541</v>
      </c>
      <c r="D1189" s="2" t="s">
        <v>2528</v>
      </c>
      <c r="E1189" s="2" t="s">
        <v>2529</v>
      </c>
      <c r="F1189" s="3">
        <v>3993</v>
      </c>
      <c r="G1189" s="3">
        <v>40</v>
      </c>
      <c r="H1189" s="3">
        <v>1</v>
      </c>
      <c r="I1189" s="4">
        <v>33.9</v>
      </c>
      <c r="J1189" s="4">
        <v>71.09</v>
      </c>
      <c r="K1189" s="3">
        <v>0</v>
      </c>
      <c r="L1189" s="2" t="s">
        <v>2523</v>
      </c>
      <c r="M1189" s="2" t="s">
        <v>2526</v>
      </c>
      <c r="N1189" s="6">
        <f t="shared" si="72"/>
        <v>1</v>
      </c>
      <c r="O1189" t="str">
        <f>IF(Tabla_control[[#This Row],[Control_duplicados]]&gt;1,"Duplicado","Unico")</f>
        <v>Unico</v>
      </c>
      <c r="P1189" t="str">
        <f t="shared" si="73"/>
        <v>OK</v>
      </c>
      <c r="Q1189" t="str">
        <f t="shared" si="74"/>
        <v>OK</v>
      </c>
      <c r="R1189" t="str">
        <f t="shared" si="75"/>
        <v>OK</v>
      </c>
    </row>
    <row r="1190" spans="1:18" x14ac:dyDescent="0.3">
      <c r="A1190" s="1">
        <v>45739</v>
      </c>
      <c r="B1190" s="2" t="s">
        <v>2627</v>
      </c>
      <c r="C1190" s="2" t="s">
        <v>2533</v>
      </c>
      <c r="D1190" s="2" t="s">
        <v>2516</v>
      </c>
      <c r="E1190" s="2" t="s">
        <v>2529</v>
      </c>
      <c r="F1190" s="3">
        <v>53435</v>
      </c>
      <c r="G1190" s="3">
        <v>2306</v>
      </c>
      <c r="H1190" s="3">
        <v>95</v>
      </c>
      <c r="I1190" s="4">
        <v>1511.2</v>
      </c>
      <c r="J1190" s="4">
        <v>3878.02</v>
      </c>
      <c r="K1190" s="3">
        <v>57</v>
      </c>
      <c r="L1190" s="2" t="s">
        <v>2536</v>
      </c>
      <c r="M1190" s="2" t="s">
        <v>2524</v>
      </c>
      <c r="N1190" s="6">
        <f t="shared" si="72"/>
        <v>1</v>
      </c>
      <c r="O1190" t="str">
        <f>IF(Tabla_control[[#This Row],[Control_duplicados]]&gt;1,"Duplicado","Unico")</f>
        <v>Unico</v>
      </c>
      <c r="P1190" t="str">
        <f t="shared" si="73"/>
        <v>OK</v>
      </c>
      <c r="Q1190" t="str">
        <f t="shared" si="74"/>
        <v>OK</v>
      </c>
      <c r="R1190" t="str">
        <f t="shared" si="75"/>
        <v>OK</v>
      </c>
    </row>
    <row r="1191" spans="1:18" x14ac:dyDescent="0.3">
      <c r="A1191" s="1">
        <v>45767</v>
      </c>
      <c r="B1191" s="2" t="s">
        <v>2634</v>
      </c>
      <c r="C1191" s="2" t="s">
        <v>2521</v>
      </c>
      <c r="D1191" s="2" t="s">
        <v>2528</v>
      </c>
      <c r="E1191" s="2" t="s">
        <v>2517</v>
      </c>
      <c r="F1191" s="3">
        <v>103681</v>
      </c>
      <c r="G1191" s="3">
        <v>6792</v>
      </c>
      <c r="H1191" s="3">
        <v>593</v>
      </c>
      <c r="I1191" s="4">
        <v>8818.6200000000008</v>
      </c>
      <c r="J1191" s="4">
        <v>117559.63</v>
      </c>
      <c r="K1191" s="3">
        <v>335</v>
      </c>
      <c r="L1191" s="2" t="s">
        <v>2523</v>
      </c>
      <c r="M1191" s="2" t="s">
        <v>2524</v>
      </c>
      <c r="N1191" s="6">
        <f t="shared" si="72"/>
        <v>1</v>
      </c>
      <c r="O1191" t="str">
        <f>IF(Tabla_control[[#This Row],[Control_duplicados]]&gt;1,"Duplicado","Unico")</f>
        <v>Unico</v>
      </c>
      <c r="P1191" t="str">
        <f t="shared" si="73"/>
        <v>OK</v>
      </c>
      <c r="Q1191" t="str">
        <f t="shared" si="74"/>
        <v>OK</v>
      </c>
      <c r="R1191" t="str">
        <f t="shared" si="75"/>
        <v>OK</v>
      </c>
    </row>
    <row r="1192" spans="1:18" x14ac:dyDescent="0.3">
      <c r="A1192" s="1">
        <v>46009</v>
      </c>
      <c r="B1192" s="2" t="s">
        <v>2619</v>
      </c>
      <c r="C1192" s="2" t="s">
        <v>2527</v>
      </c>
      <c r="D1192" s="2" t="s">
        <v>2528</v>
      </c>
      <c r="E1192" s="2" t="s">
        <v>2529</v>
      </c>
      <c r="F1192" s="3">
        <v>137133</v>
      </c>
      <c r="G1192" s="3">
        <v>4780</v>
      </c>
      <c r="H1192" s="3">
        <v>584</v>
      </c>
      <c r="I1192" s="4">
        <v>1174.95</v>
      </c>
      <c r="J1192" s="4">
        <v>14588.16</v>
      </c>
      <c r="K1192" s="3">
        <v>391</v>
      </c>
      <c r="L1192" s="2" t="s">
        <v>2523</v>
      </c>
      <c r="M1192" s="2" t="s">
        <v>2519</v>
      </c>
      <c r="N1192" s="6">
        <f t="shared" si="72"/>
        <v>1</v>
      </c>
      <c r="O1192" t="str">
        <f>IF(Tabla_control[[#This Row],[Control_duplicados]]&gt;1,"Duplicado","Unico")</f>
        <v>Unico</v>
      </c>
      <c r="P1192" t="str">
        <f t="shared" si="73"/>
        <v>OK</v>
      </c>
      <c r="Q1192" t="str">
        <f t="shared" si="74"/>
        <v>OK</v>
      </c>
      <c r="R1192" t="str">
        <f t="shared" si="75"/>
        <v>OK</v>
      </c>
    </row>
    <row r="1193" spans="1:18" x14ac:dyDescent="0.3">
      <c r="A1193" s="1">
        <v>45942</v>
      </c>
      <c r="B1193" s="2" t="s">
        <v>2617</v>
      </c>
      <c r="C1193" s="2" t="s">
        <v>2515</v>
      </c>
      <c r="D1193" s="2" t="s">
        <v>2531</v>
      </c>
      <c r="E1193" s="2" t="s">
        <v>2517</v>
      </c>
      <c r="F1193" s="3">
        <v>44533</v>
      </c>
      <c r="G1193" s="3">
        <v>787</v>
      </c>
      <c r="H1193" s="3">
        <v>92</v>
      </c>
      <c r="I1193" s="4">
        <v>1422.3</v>
      </c>
      <c r="J1193" s="4">
        <v>3210.39</v>
      </c>
      <c r="K1193" s="3">
        <v>72</v>
      </c>
      <c r="L1193" s="2" t="s">
        <v>2536</v>
      </c>
      <c r="M1193" s="2" t="s">
        <v>2526</v>
      </c>
      <c r="N1193" s="6">
        <f t="shared" si="72"/>
        <v>1</v>
      </c>
      <c r="O1193" t="str">
        <f>IF(Tabla_control[[#This Row],[Control_duplicados]]&gt;1,"Duplicado","Unico")</f>
        <v>Unico</v>
      </c>
      <c r="P1193" t="str">
        <f t="shared" si="73"/>
        <v>OK</v>
      </c>
      <c r="Q1193" t="str">
        <f t="shared" si="74"/>
        <v>OK</v>
      </c>
      <c r="R1193" t="str">
        <f t="shared" si="75"/>
        <v>OK</v>
      </c>
    </row>
    <row r="1194" spans="1:18" x14ac:dyDescent="0.3">
      <c r="A1194" s="1">
        <v>45979</v>
      </c>
      <c r="B1194" s="2" t="s">
        <v>2624</v>
      </c>
      <c r="C1194" s="2" t="s">
        <v>2515</v>
      </c>
      <c r="D1194" s="2" t="s">
        <v>2528</v>
      </c>
      <c r="E1194" s="2" t="s">
        <v>2517</v>
      </c>
      <c r="F1194" s="3">
        <v>65245</v>
      </c>
      <c r="G1194" s="3">
        <v>5501</v>
      </c>
      <c r="H1194" s="3">
        <v>626</v>
      </c>
      <c r="I1194" s="4">
        <v>11056.8</v>
      </c>
      <c r="J1194" s="4">
        <v>68534.559999999998</v>
      </c>
      <c r="K1194" s="3">
        <v>342</v>
      </c>
      <c r="L1194" s="2" t="s">
        <v>2518</v>
      </c>
      <c r="M1194" s="2" t="s">
        <v>2524</v>
      </c>
      <c r="N1194" s="6">
        <f t="shared" si="72"/>
        <v>1</v>
      </c>
      <c r="O1194" t="str">
        <f>IF(Tabla_control[[#This Row],[Control_duplicados]]&gt;1,"Duplicado","Unico")</f>
        <v>Unico</v>
      </c>
      <c r="P1194" t="str">
        <f t="shared" si="73"/>
        <v>OK</v>
      </c>
      <c r="Q1194" t="str">
        <f t="shared" si="74"/>
        <v>OK</v>
      </c>
      <c r="R1194" t="str">
        <f t="shared" si="75"/>
        <v>OK</v>
      </c>
    </row>
    <row r="1195" spans="1:18" x14ac:dyDescent="0.3">
      <c r="A1195" s="1">
        <v>45738</v>
      </c>
      <c r="B1195" s="2" t="s">
        <v>2625</v>
      </c>
      <c r="C1195" s="2" t="s">
        <v>2527</v>
      </c>
      <c r="D1195" s="2" t="s">
        <v>2516</v>
      </c>
      <c r="E1195" s="2" t="s">
        <v>2517</v>
      </c>
      <c r="F1195" s="3">
        <v>150020</v>
      </c>
      <c r="G1195" s="3">
        <v>1137</v>
      </c>
      <c r="H1195" s="3">
        <v>122</v>
      </c>
      <c r="I1195" s="4">
        <v>1424.16</v>
      </c>
      <c r="J1195" s="4">
        <v>7450.9</v>
      </c>
      <c r="K1195" s="3">
        <v>100</v>
      </c>
      <c r="L1195" s="2" t="s">
        <v>2539</v>
      </c>
      <c r="M1195" s="2" t="s">
        <v>2524</v>
      </c>
      <c r="N1195" s="6">
        <f t="shared" si="72"/>
        <v>1</v>
      </c>
      <c r="O1195" t="str">
        <f>IF(Tabla_control[[#This Row],[Control_duplicados]]&gt;1,"Duplicado","Unico")</f>
        <v>Unico</v>
      </c>
      <c r="P1195" t="str">
        <f t="shared" si="73"/>
        <v>OK</v>
      </c>
      <c r="Q1195" t="str">
        <f t="shared" si="74"/>
        <v>OK</v>
      </c>
      <c r="R1195" t="str">
        <f t="shared" si="75"/>
        <v>OK</v>
      </c>
    </row>
    <row r="1196" spans="1:18" x14ac:dyDescent="0.3">
      <c r="A1196" s="1">
        <v>45980</v>
      </c>
      <c r="B1196" s="2" t="s">
        <v>2635</v>
      </c>
      <c r="C1196" s="2" t="s">
        <v>2521</v>
      </c>
      <c r="D1196" s="2" t="s">
        <v>2531</v>
      </c>
      <c r="E1196" s="2" t="s">
        <v>2517</v>
      </c>
      <c r="F1196" s="3">
        <v>56282</v>
      </c>
      <c r="G1196" s="3">
        <v>4190</v>
      </c>
      <c r="H1196" s="3">
        <v>552</v>
      </c>
      <c r="I1196" s="4">
        <v>5681.97</v>
      </c>
      <c r="J1196" s="4">
        <v>25182.82</v>
      </c>
      <c r="K1196" s="3">
        <v>347</v>
      </c>
      <c r="L1196" s="2" t="s">
        <v>2518</v>
      </c>
      <c r="M1196" s="2" t="s">
        <v>2519</v>
      </c>
      <c r="N1196" s="6">
        <f t="shared" si="72"/>
        <v>1</v>
      </c>
      <c r="O1196" t="str">
        <f>IF(Tabla_control[[#This Row],[Control_duplicados]]&gt;1,"Duplicado","Unico")</f>
        <v>Unico</v>
      </c>
      <c r="P1196" t="str">
        <f t="shared" si="73"/>
        <v>OK</v>
      </c>
      <c r="Q1196" t="str">
        <f t="shared" si="74"/>
        <v>OK</v>
      </c>
      <c r="R1196" t="str">
        <f t="shared" si="75"/>
        <v>OK</v>
      </c>
    </row>
    <row r="1197" spans="1:18" x14ac:dyDescent="0.3">
      <c r="A1197" s="1">
        <v>45971</v>
      </c>
      <c r="B1197" s="2" t="s">
        <v>2643</v>
      </c>
      <c r="C1197" s="2" t="s">
        <v>2543</v>
      </c>
      <c r="D1197" s="2" t="s">
        <v>2525</v>
      </c>
      <c r="E1197" s="2" t="s">
        <v>2529</v>
      </c>
      <c r="F1197" s="3">
        <v>16226</v>
      </c>
      <c r="G1197" s="3">
        <v>383</v>
      </c>
      <c r="H1197" s="3">
        <v>41</v>
      </c>
      <c r="I1197" s="4">
        <v>464.21</v>
      </c>
      <c r="J1197" s="4">
        <v>2722.42</v>
      </c>
      <c r="K1197" s="3">
        <v>29</v>
      </c>
      <c r="L1197" s="2" t="s">
        <v>2518</v>
      </c>
      <c r="M1197" s="2" t="s">
        <v>2546</v>
      </c>
      <c r="N1197" s="6">
        <f t="shared" si="72"/>
        <v>1</v>
      </c>
      <c r="O1197" t="str">
        <f>IF(Tabla_control[[#This Row],[Control_duplicados]]&gt;1,"Duplicado","Unico")</f>
        <v>Unico</v>
      </c>
      <c r="P1197" t="str">
        <f t="shared" si="73"/>
        <v>OK</v>
      </c>
      <c r="Q1197" t="str">
        <f t="shared" si="74"/>
        <v>OK</v>
      </c>
      <c r="R1197" t="str">
        <f t="shared" si="75"/>
        <v>OK</v>
      </c>
    </row>
    <row r="1198" spans="1:18" x14ac:dyDescent="0.3">
      <c r="A1198" s="1">
        <v>46005</v>
      </c>
      <c r="B1198" s="2" t="s">
        <v>2617</v>
      </c>
      <c r="C1198" s="2" t="s">
        <v>2541</v>
      </c>
      <c r="D1198" s="2" t="s">
        <v>2528</v>
      </c>
      <c r="E1198" s="2" t="s">
        <v>2517</v>
      </c>
      <c r="F1198" s="3">
        <v>144983</v>
      </c>
      <c r="G1198" s="3">
        <v>7917</v>
      </c>
      <c r="H1198" s="3">
        <v>1062</v>
      </c>
      <c r="I1198" s="4">
        <v>12398.31</v>
      </c>
      <c r="J1198" s="4">
        <v>203986.06</v>
      </c>
      <c r="K1198" s="3">
        <v>713</v>
      </c>
      <c r="L1198" s="2" t="s">
        <v>2523</v>
      </c>
      <c r="M1198" s="2" t="s">
        <v>2537</v>
      </c>
      <c r="N1198" s="6">
        <f t="shared" si="72"/>
        <v>1</v>
      </c>
      <c r="O1198" t="str">
        <f>IF(Tabla_control[[#This Row],[Control_duplicados]]&gt;1,"Duplicado","Unico")</f>
        <v>Unico</v>
      </c>
      <c r="P1198" t="str">
        <f t="shared" si="73"/>
        <v>OK</v>
      </c>
      <c r="Q1198" t="str">
        <f t="shared" si="74"/>
        <v>OK</v>
      </c>
      <c r="R1198" t="str">
        <f t="shared" si="75"/>
        <v>OK</v>
      </c>
    </row>
    <row r="1199" spans="1:18" x14ac:dyDescent="0.3">
      <c r="A1199" s="1">
        <v>45771</v>
      </c>
      <c r="B1199" s="2" t="s">
        <v>2620</v>
      </c>
      <c r="C1199" s="2" t="s">
        <v>2515</v>
      </c>
      <c r="D1199" s="2" t="s">
        <v>2645</v>
      </c>
      <c r="E1199" s="2" t="s">
        <v>2517</v>
      </c>
      <c r="F1199" s="3">
        <v>29813</v>
      </c>
      <c r="G1199" s="3">
        <v>2481</v>
      </c>
      <c r="H1199" s="3">
        <v>152</v>
      </c>
      <c r="I1199" s="4">
        <v>4984.74</v>
      </c>
      <c r="J1199" s="4">
        <v>28894.43</v>
      </c>
      <c r="K1199" s="3">
        <v>69</v>
      </c>
      <c r="L1199" s="2" t="s">
        <v>2518</v>
      </c>
      <c r="M1199" s="2" t="s">
        <v>2524</v>
      </c>
      <c r="N1199" s="6">
        <f t="shared" si="72"/>
        <v>1</v>
      </c>
      <c r="O1199" t="str">
        <f>IF(Tabla_control[[#This Row],[Control_duplicados]]&gt;1,"Duplicado","Unico")</f>
        <v>Unico</v>
      </c>
      <c r="P1199" t="str">
        <f t="shared" si="73"/>
        <v>OK</v>
      </c>
      <c r="Q1199" t="str">
        <f t="shared" si="74"/>
        <v>OK</v>
      </c>
      <c r="R1199" t="str">
        <f t="shared" si="75"/>
        <v>OK</v>
      </c>
    </row>
    <row r="1200" spans="1:18" x14ac:dyDescent="0.3">
      <c r="A1200" s="1">
        <v>45774</v>
      </c>
      <c r="B1200" s="2" t="s">
        <v>2624</v>
      </c>
      <c r="C1200" s="2" t="s">
        <v>2527</v>
      </c>
      <c r="D1200" s="2" t="s">
        <v>2528</v>
      </c>
      <c r="E1200" s="2" t="s">
        <v>2534</v>
      </c>
      <c r="F1200" s="3">
        <v>12716</v>
      </c>
      <c r="G1200" s="3">
        <v>880</v>
      </c>
      <c r="H1200" s="3">
        <v>75</v>
      </c>
      <c r="I1200" s="4">
        <v>484.18</v>
      </c>
      <c r="J1200" s="4">
        <v>1656.77</v>
      </c>
      <c r="K1200" s="3">
        <v>39</v>
      </c>
      <c r="L1200" s="2" t="s">
        <v>2539</v>
      </c>
      <c r="M1200" s="2" t="s">
        <v>2537</v>
      </c>
      <c r="N1200" s="6">
        <f t="shared" si="72"/>
        <v>1</v>
      </c>
      <c r="O1200" t="str">
        <f>IF(Tabla_control[[#This Row],[Control_duplicados]]&gt;1,"Duplicado","Unico")</f>
        <v>Unico</v>
      </c>
      <c r="P1200" t="str">
        <f t="shared" si="73"/>
        <v>OK</v>
      </c>
      <c r="Q1200" t="str">
        <f t="shared" si="74"/>
        <v>OK</v>
      </c>
      <c r="R1200" t="str">
        <f t="shared" si="75"/>
        <v>OK</v>
      </c>
    </row>
    <row r="1201" spans="1:18" x14ac:dyDescent="0.3">
      <c r="A1201" s="1">
        <v>45769</v>
      </c>
      <c r="B1201" s="2" t="s">
        <v>2616</v>
      </c>
      <c r="C1201" s="2" t="s">
        <v>2527</v>
      </c>
      <c r="D1201" s="2" t="s">
        <v>2522</v>
      </c>
      <c r="E1201" s="2" t="s">
        <v>2534</v>
      </c>
      <c r="F1201" s="3">
        <v>48244</v>
      </c>
      <c r="G1201" s="3">
        <v>359</v>
      </c>
      <c r="H1201" s="3">
        <v>35</v>
      </c>
      <c r="I1201" s="4">
        <v>84.21</v>
      </c>
      <c r="J1201" s="4">
        <v>3302.56</v>
      </c>
      <c r="K1201" s="3">
        <v>27</v>
      </c>
      <c r="L1201" s="2" t="s">
        <v>2539</v>
      </c>
      <c r="M1201" s="2" t="s">
        <v>2524</v>
      </c>
      <c r="N1201" s="6">
        <f t="shared" si="72"/>
        <v>1</v>
      </c>
      <c r="O1201" t="str">
        <f>IF(Tabla_control[[#This Row],[Control_duplicados]]&gt;1,"Duplicado","Unico")</f>
        <v>Unico</v>
      </c>
      <c r="P1201" t="str">
        <f t="shared" si="73"/>
        <v>OK</v>
      </c>
      <c r="Q1201" t="str">
        <f t="shared" si="74"/>
        <v>OK</v>
      </c>
      <c r="R1201" t="str">
        <f t="shared" si="75"/>
        <v>OK</v>
      </c>
    </row>
    <row r="1202" spans="1:18" x14ac:dyDescent="0.3">
      <c r="A1202" s="1">
        <v>45902</v>
      </c>
      <c r="B1202" s="2" t="s">
        <v>2630</v>
      </c>
      <c r="C1202" s="2" t="s">
        <v>2521</v>
      </c>
      <c r="D1202" s="2" t="s">
        <v>2528</v>
      </c>
      <c r="E1202" s="2" t="s">
        <v>2529</v>
      </c>
      <c r="F1202" s="3">
        <v>138924</v>
      </c>
      <c r="G1202" s="3">
        <v>3284</v>
      </c>
      <c r="H1202" s="3">
        <v>318</v>
      </c>
      <c r="I1202" s="4">
        <v>1529.57</v>
      </c>
      <c r="J1202" s="4">
        <v>62508.99</v>
      </c>
      <c r="K1202" s="3">
        <v>247</v>
      </c>
      <c r="L1202" s="2" t="s">
        <v>2523</v>
      </c>
      <c r="M1202" s="2" t="s">
        <v>2537</v>
      </c>
      <c r="N1202" s="6">
        <f t="shared" si="72"/>
        <v>1</v>
      </c>
      <c r="O1202" t="str">
        <f>IF(Tabla_control[[#This Row],[Control_duplicados]]&gt;1,"Duplicado","Unico")</f>
        <v>Unico</v>
      </c>
      <c r="P1202" t="str">
        <f t="shared" si="73"/>
        <v>OK</v>
      </c>
      <c r="Q1202" t="str">
        <f t="shared" si="74"/>
        <v>OK</v>
      </c>
      <c r="R1202" t="str">
        <f t="shared" si="75"/>
        <v>OK</v>
      </c>
    </row>
    <row r="1203" spans="1:18" x14ac:dyDescent="0.3">
      <c r="A1203" s="1">
        <v>45703</v>
      </c>
      <c r="B1203" s="2" t="s">
        <v>2619</v>
      </c>
      <c r="C1203" s="2" t="s">
        <v>2515</v>
      </c>
      <c r="D1203" s="2" t="s">
        <v>2516</v>
      </c>
      <c r="E1203" s="2" t="s">
        <v>2517</v>
      </c>
      <c r="F1203" s="3">
        <v>50105</v>
      </c>
      <c r="G1203" s="3">
        <v>1587</v>
      </c>
      <c r="H1203" s="3">
        <v>18</v>
      </c>
      <c r="I1203" s="4">
        <v>1904.24</v>
      </c>
      <c r="J1203" s="4">
        <v>359.68</v>
      </c>
      <c r="K1203" s="3">
        <v>10</v>
      </c>
      <c r="L1203" s="2" t="s">
        <v>2536</v>
      </c>
      <c r="M1203" s="2" t="s">
        <v>2524</v>
      </c>
      <c r="N1203" s="6">
        <f t="shared" si="72"/>
        <v>1</v>
      </c>
      <c r="O1203" t="str">
        <f>IF(Tabla_control[[#This Row],[Control_duplicados]]&gt;1,"Duplicado","Unico")</f>
        <v>Unico</v>
      </c>
      <c r="P1203" t="str">
        <f t="shared" si="73"/>
        <v>OK</v>
      </c>
      <c r="Q1203" t="str">
        <f t="shared" si="74"/>
        <v>OK</v>
      </c>
      <c r="R1203" t="str">
        <f t="shared" si="75"/>
        <v>OK</v>
      </c>
    </row>
    <row r="1204" spans="1:18" x14ac:dyDescent="0.3">
      <c r="A1204" s="1">
        <v>45825</v>
      </c>
      <c r="B1204" s="2" t="s">
        <v>2634</v>
      </c>
      <c r="C1204" s="2" t="s">
        <v>2543</v>
      </c>
      <c r="D1204" s="2" t="s">
        <v>2516</v>
      </c>
      <c r="E1204" s="2" t="s">
        <v>2517</v>
      </c>
      <c r="F1204" s="3">
        <v>130793</v>
      </c>
      <c r="G1204" s="3">
        <v>2611</v>
      </c>
      <c r="H1204" s="3">
        <v>192</v>
      </c>
      <c r="I1204" s="4">
        <v>1907.04</v>
      </c>
      <c r="J1204" s="4">
        <v>27356.32</v>
      </c>
      <c r="K1204" s="3">
        <v>116</v>
      </c>
      <c r="L1204" s="2" t="s">
        <v>2523</v>
      </c>
      <c r="M1204" s="2" t="s">
        <v>2524</v>
      </c>
      <c r="N1204" s="6">
        <f t="shared" si="72"/>
        <v>1</v>
      </c>
      <c r="O1204" t="str">
        <f>IF(Tabla_control[[#This Row],[Control_duplicados]]&gt;1,"Duplicado","Unico")</f>
        <v>Unico</v>
      </c>
      <c r="P1204" t="str">
        <f t="shared" si="73"/>
        <v>OK</v>
      </c>
      <c r="Q1204" t="str">
        <f t="shared" si="74"/>
        <v>OK</v>
      </c>
      <c r="R1204" t="str">
        <f t="shared" si="75"/>
        <v>OK</v>
      </c>
    </row>
    <row r="1205" spans="1:18" x14ac:dyDescent="0.3">
      <c r="A1205" s="1">
        <v>45758</v>
      </c>
      <c r="B1205" s="2" t="s">
        <v>2643</v>
      </c>
      <c r="C1205" s="2" t="s">
        <v>2527</v>
      </c>
      <c r="D1205" s="2" t="s">
        <v>2528</v>
      </c>
      <c r="E1205" s="2" t="s">
        <v>2529</v>
      </c>
      <c r="F1205" s="3">
        <v>116439</v>
      </c>
      <c r="G1205" s="3">
        <v>2377</v>
      </c>
      <c r="H1205" s="3">
        <v>247</v>
      </c>
      <c r="I1205" s="4">
        <v>3456.41</v>
      </c>
      <c r="J1205" s="4">
        <v>29509.75</v>
      </c>
      <c r="K1205" s="3">
        <v>173</v>
      </c>
      <c r="L1205" s="2" t="s">
        <v>2523</v>
      </c>
      <c r="M1205" s="2" t="s">
        <v>2546</v>
      </c>
      <c r="N1205" s="6">
        <f t="shared" si="72"/>
        <v>1</v>
      </c>
      <c r="O1205" t="str">
        <f>IF(Tabla_control[[#This Row],[Control_duplicados]]&gt;1,"Duplicado","Unico")</f>
        <v>Unico</v>
      </c>
      <c r="P1205" t="str">
        <f t="shared" si="73"/>
        <v>OK</v>
      </c>
      <c r="Q1205" t="str">
        <f t="shared" si="74"/>
        <v>OK</v>
      </c>
      <c r="R1205" t="str">
        <f t="shared" si="75"/>
        <v>OK</v>
      </c>
    </row>
    <row r="1206" spans="1:18" x14ac:dyDescent="0.3">
      <c r="A1206" s="1">
        <v>45935</v>
      </c>
      <c r="B1206" s="2" t="s">
        <v>2635</v>
      </c>
      <c r="C1206" s="2" t="s">
        <v>2521</v>
      </c>
      <c r="D1206" s="2" t="s">
        <v>2528</v>
      </c>
      <c r="E1206" s="2" t="s">
        <v>2529</v>
      </c>
      <c r="F1206" s="3">
        <v>60737</v>
      </c>
      <c r="G1206" s="3">
        <v>3294</v>
      </c>
      <c r="H1206" s="3">
        <v>284</v>
      </c>
      <c r="I1206" s="4">
        <v>3087.95</v>
      </c>
      <c r="J1206" s="4">
        <v>21257.72</v>
      </c>
      <c r="K1206" s="3">
        <v>195</v>
      </c>
      <c r="L1206" s="2" t="s">
        <v>2518</v>
      </c>
      <c r="M1206" s="2" t="s">
        <v>2537</v>
      </c>
      <c r="N1206" s="6">
        <f t="shared" si="72"/>
        <v>1</v>
      </c>
      <c r="O1206" t="str">
        <f>IF(Tabla_control[[#This Row],[Control_duplicados]]&gt;1,"Duplicado","Unico")</f>
        <v>Unico</v>
      </c>
      <c r="P1206" t="str">
        <f t="shared" si="73"/>
        <v>OK</v>
      </c>
      <c r="Q1206" t="str">
        <f t="shared" si="74"/>
        <v>OK</v>
      </c>
      <c r="R1206" t="str">
        <f t="shared" si="75"/>
        <v>OK</v>
      </c>
    </row>
    <row r="1207" spans="1:18" x14ac:dyDescent="0.3">
      <c r="A1207" s="1">
        <v>45944</v>
      </c>
      <c r="B1207" s="2" t="s">
        <v>2631</v>
      </c>
      <c r="C1207" s="2" t="s">
        <v>2527</v>
      </c>
      <c r="D1207" s="2" t="s">
        <v>2522</v>
      </c>
      <c r="E1207" s="2" t="s">
        <v>2517</v>
      </c>
      <c r="F1207" s="3">
        <v>43828</v>
      </c>
      <c r="G1207" s="3">
        <v>499</v>
      </c>
      <c r="H1207" s="3">
        <v>51</v>
      </c>
      <c r="I1207" s="4">
        <v>737.74</v>
      </c>
      <c r="J1207" s="4">
        <v>7852.37</v>
      </c>
      <c r="K1207" s="3">
        <v>41</v>
      </c>
      <c r="L1207" s="2" t="s">
        <v>2536</v>
      </c>
      <c r="M1207" s="2" t="s">
        <v>2524</v>
      </c>
      <c r="N1207" s="6">
        <f t="shared" si="72"/>
        <v>1</v>
      </c>
      <c r="O1207" t="str">
        <f>IF(Tabla_control[[#This Row],[Control_duplicados]]&gt;1,"Duplicado","Unico")</f>
        <v>Unico</v>
      </c>
      <c r="P1207" t="str">
        <f t="shared" si="73"/>
        <v>OK</v>
      </c>
      <c r="Q1207" t="str">
        <f t="shared" si="74"/>
        <v>OK</v>
      </c>
      <c r="R1207" t="str">
        <f t="shared" si="75"/>
        <v>OK</v>
      </c>
    </row>
    <row r="1208" spans="1:18" x14ac:dyDescent="0.3">
      <c r="A1208" s="1">
        <v>45754</v>
      </c>
      <c r="B1208" s="2" t="s">
        <v>2618</v>
      </c>
      <c r="C1208" s="2" t="s">
        <v>2533</v>
      </c>
      <c r="D1208" s="2" t="s">
        <v>2528</v>
      </c>
      <c r="E1208" s="2" t="s">
        <v>2517</v>
      </c>
      <c r="F1208" s="3">
        <v>3144</v>
      </c>
      <c r="G1208" s="3">
        <v>77</v>
      </c>
      <c r="H1208" s="3">
        <v>0</v>
      </c>
      <c r="I1208" s="4">
        <v>135.29</v>
      </c>
      <c r="J1208" s="4">
        <v>0</v>
      </c>
      <c r="K1208" s="3">
        <v>0</v>
      </c>
      <c r="L1208" s="2" t="s">
        <v>2518</v>
      </c>
      <c r="M1208" s="2" t="s">
        <v>2537</v>
      </c>
      <c r="N1208" s="6">
        <f t="shared" si="72"/>
        <v>1</v>
      </c>
      <c r="O1208" t="str">
        <f>IF(Tabla_control[[#This Row],[Control_duplicados]]&gt;1,"Duplicado","Unico")</f>
        <v>Unico</v>
      </c>
      <c r="P1208" t="str">
        <f t="shared" si="73"/>
        <v>OK</v>
      </c>
      <c r="Q1208" t="str">
        <f t="shared" si="74"/>
        <v>OK</v>
      </c>
      <c r="R1208" t="str">
        <f t="shared" si="75"/>
        <v>OK</v>
      </c>
    </row>
    <row r="1209" spans="1:18" x14ac:dyDescent="0.3">
      <c r="A1209" s="1">
        <v>45937</v>
      </c>
      <c r="B1209" s="2" t="s">
        <v>2621</v>
      </c>
      <c r="C1209" s="2" t="s">
        <v>2521</v>
      </c>
      <c r="D1209" s="2" t="s">
        <v>2528</v>
      </c>
      <c r="E1209" s="2" t="s">
        <v>2529</v>
      </c>
      <c r="F1209" s="3">
        <v>109721</v>
      </c>
      <c r="G1209" s="3">
        <v>3385</v>
      </c>
      <c r="H1209" s="3">
        <v>233</v>
      </c>
      <c r="I1209" s="4">
        <v>2316.64</v>
      </c>
      <c r="J1209" s="4">
        <v>38486.129999999997</v>
      </c>
      <c r="K1209" s="3">
        <v>151</v>
      </c>
      <c r="L1209" s="2" t="s">
        <v>2518</v>
      </c>
      <c r="M1209" s="2" t="s">
        <v>2526</v>
      </c>
      <c r="N1209" s="6">
        <f t="shared" si="72"/>
        <v>1</v>
      </c>
      <c r="O1209" t="str">
        <f>IF(Tabla_control[[#This Row],[Control_duplicados]]&gt;1,"Duplicado","Unico")</f>
        <v>Unico</v>
      </c>
      <c r="P1209" t="str">
        <f t="shared" si="73"/>
        <v>OK</v>
      </c>
      <c r="Q1209" t="str">
        <f t="shared" si="74"/>
        <v>OK</v>
      </c>
      <c r="R1209" t="str">
        <f t="shared" si="75"/>
        <v>OK</v>
      </c>
    </row>
    <row r="1210" spans="1:18" x14ac:dyDescent="0.3">
      <c r="A1210" s="1">
        <v>46005</v>
      </c>
      <c r="B1210" s="2" t="s">
        <v>2621</v>
      </c>
      <c r="C1210" s="2" t="s">
        <v>2533</v>
      </c>
      <c r="D1210" s="2" t="s">
        <v>2516</v>
      </c>
      <c r="E1210" s="2" t="s">
        <v>2517</v>
      </c>
      <c r="F1210" s="3">
        <v>89894</v>
      </c>
      <c r="G1210" s="3">
        <v>6632</v>
      </c>
      <c r="H1210" s="3">
        <v>765</v>
      </c>
      <c r="I1210" s="4">
        <v>1540.4</v>
      </c>
      <c r="J1210" s="4">
        <v>68429.86</v>
      </c>
      <c r="K1210" s="3">
        <v>379</v>
      </c>
      <c r="L1210" s="2" t="s">
        <v>2536</v>
      </c>
      <c r="M1210" s="2" t="s">
        <v>2537</v>
      </c>
      <c r="N1210" s="6">
        <f t="shared" si="72"/>
        <v>1</v>
      </c>
      <c r="O1210" t="str">
        <f>IF(Tabla_control[[#This Row],[Control_duplicados]]&gt;1,"Duplicado","Unico")</f>
        <v>Unico</v>
      </c>
      <c r="P1210" t="str">
        <f t="shared" si="73"/>
        <v>OK</v>
      </c>
      <c r="Q1210" t="str">
        <f t="shared" si="74"/>
        <v>OK</v>
      </c>
      <c r="R1210" t="str">
        <f t="shared" si="75"/>
        <v>OK</v>
      </c>
    </row>
    <row r="1211" spans="1:18" x14ac:dyDescent="0.3">
      <c r="A1211" s="1">
        <v>45988</v>
      </c>
      <c r="B1211" s="2" t="s">
        <v>2617</v>
      </c>
      <c r="C1211" s="2" t="s">
        <v>2533</v>
      </c>
      <c r="D1211" s="2" t="s">
        <v>2516</v>
      </c>
      <c r="E1211" s="2" t="s">
        <v>2517</v>
      </c>
      <c r="F1211" s="3">
        <v>48189</v>
      </c>
      <c r="G1211" s="3">
        <v>1634</v>
      </c>
      <c r="H1211" s="3">
        <v>79</v>
      </c>
      <c r="I1211" s="4">
        <v>1261.92</v>
      </c>
      <c r="J1211" s="4">
        <v>4345.9399999999996</v>
      </c>
      <c r="K1211" s="3">
        <v>61</v>
      </c>
      <c r="L1211" s="2" t="s">
        <v>2536</v>
      </c>
      <c r="M1211" s="2" t="s">
        <v>2519</v>
      </c>
      <c r="N1211" s="6">
        <f t="shared" si="72"/>
        <v>1</v>
      </c>
      <c r="O1211" t="str">
        <f>IF(Tabla_control[[#This Row],[Control_duplicados]]&gt;1,"Duplicado","Unico")</f>
        <v>Unico</v>
      </c>
      <c r="P1211" t="str">
        <f t="shared" si="73"/>
        <v>OK</v>
      </c>
      <c r="Q1211" t="str">
        <f t="shared" si="74"/>
        <v>OK</v>
      </c>
      <c r="R1211" t="str">
        <f t="shared" si="75"/>
        <v>OK</v>
      </c>
    </row>
    <row r="1212" spans="1:18" x14ac:dyDescent="0.3">
      <c r="A1212" s="1">
        <v>45871</v>
      </c>
      <c r="B1212" s="2" t="s">
        <v>2629</v>
      </c>
      <c r="C1212" s="2" t="s">
        <v>2527</v>
      </c>
      <c r="D1212" s="2" t="s">
        <v>2528</v>
      </c>
      <c r="E1212" s="2" t="s">
        <v>2517</v>
      </c>
      <c r="F1212" s="3">
        <v>51244</v>
      </c>
      <c r="G1212" s="3">
        <v>1628</v>
      </c>
      <c r="H1212" s="3">
        <v>64</v>
      </c>
      <c r="I1212" s="4">
        <v>1545.42</v>
      </c>
      <c r="J1212" s="4">
        <v>11725.95</v>
      </c>
      <c r="K1212" s="3">
        <v>43</v>
      </c>
      <c r="L1212" s="2" t="s">
        <v>2518</v>
      </c>
      <c r="M1212" s="2" t="s">
        <v>2524</v>
      </c>
      <c r="N1212" s="6">
        <f t="shared" si="72"/>
        <v>1</v>
      </c>
      <c r="O1212" t="str">
        <f>IF(Tabla_control[[#This Row],[Control_duplicados]]&gt;1,"Duplicado","Unico")</f>
        <v>Unico</v>
      </c>
      <c r="P1212" t="str">
        <f t="shared" si="73"/>
        <v>OK</v>
      </c>
      <c r="Q1212" t="str">
        <f t="shared" si="74"/>
        <v>OK</v>
      </c>
      <c r="R1212" t="str">
        <f t="shared" si="75"/>
        <v>OK</v>
      </c>
    </row>
    <row r="1213" spans="1:18" x14ac:dyDescent="0.3">
      <c r="A1213" s="1">
        <v>45913</v>
      </c>
      <c r="B1213" s="2" t="s">
        <v>2622</v>
      </c>
      <c r="C1213" s="2" t="s">
        <v>2527</v>
      </c>
      <c r="D1213" s="2" t="s">
        <v>2516</v>
      </c>
      <c r="E1213" s="2" t="s">
        <v>2529</v>
      </c>
      <c r="F1213" s="3">
        <v>152330</v>
      </c>
      <c r="G1213" s="3">
        <v>7552</v>
      </c>
      <c r="H1213" s="3">
        <v>839</v>
      </c>
      <c r="I1213" s="4">
        <v>7868.29</v>
      </c>
      <c r="J1213" s="4">
        <v>131502.68</v>
      </c>
      <c r="K1213" s="3">
        <v>705</v>
      </c>
      <c r="L1213" s="2" t="s">
        <v>2539</v>
      </c>
      <c r="M1213" s="2" t="s">
        <v>2526</v>
      </c>
      <c r="N1213" s="6">
        <f t="shared" si="72"/>
        <v>1</v>
      </c>
      <c r="O1213" t="str">
        <f>IF(Tabla_control[[#This Row],[Control_duplicados]]&gt;1,"Duplicado","Unico")</f>
        <v>Unico</v>
      </c>
      <c r="P1213" t="str">
        <f t="shared" si="73"/>
        <v>OK</v>
      </c>
      <c r="Q1213" t="str">
        <f t="shared" si="74"/>
        <v>OK</v>
      </c>
      <c r="R1213" t="str">
        <f t="shared" si="75"/>
        <v>OK</v>
      </c>
    </row>
    <row r="1214" spans="1:18" x14ac:dyDescent="0.3">
      <c r="A1214" s="1">
        <v>45717</v>
      </c>
      <c r="B1214" s="2" t="s">
        <v>2617</v>
      </c>
      <c r="C1214" s="2" t="s">
        <v>2533</v>
      </c>
      <c r="D1214" s="2" t="s">
        <v>2528</v>
      </c>
      <c r="E1214" s="2" t="s">
        <v>2529</v>
      </c>
      <c r="F1214" s="3">
        <v>58805</v>
      </c>
      <c r="G1214" s="3">
        <v>1384</v>
      </c>
      <c r="H1214" s="3">
        <v>171</v>
      </c>
      <c r="I1214" s="4">
        <v>1210.6199999999999</v>
      </c>
      <c r="J1214" s="4">
        <v>8101.63</v>
      </c>
      <c r="K1214" s="3">
        <v>131</v>
      </c>
      <c r="L1214" s="2" t="s">
        <v>2523</v>
      </c>
      <c r="M1214" s="2" t="s">
        <v>2537</v>
      </c>
      <c r="N1214" s="6">
        <f t="shared" si="72"/>
        <v>1</v>
      </c>
      <c r="O1214" t="str">
        <f>IF(Tabla_control[[#This Row],[Control_duplicados]]&gt;1,"Duplicado","Unico")</f>
        <v>Unico</v>
      </c>
      <c r="P1214" t="str">
        <f t="shared" si="73"/>
        <v>OK</v>
      </c>
      <c r="Q1214" t="str">
        <f t="shared" si="74"/>
        <v>OK</v>
      </c>
      <c r="R1214" t="str">
        <f t="shared" si="75"/>
        <v>OK</v>
      </c>
    </row>
    <row r="1215" spans="1:18" x14ac:dyDescent="0.3">
      <c r="A1215" s="1">
        <v>45758</v>
      </c>
      <c r="B1215" s="2" t="s">
        <v>2640</v>
      </c>
      <c r="C1215" s="2" t="s">
        <v>2533</v>
      </c>
      <c r="D1215" s="2" t="s">
        <v>2528</v>
      </c>
      <c r="E1215" s="2" t="s">
        <v>2529</v>
      </c>
      <c r="F1215" s="3">
        <v>165179</v>
      </c>
      <c r="G1215" s="3">
        <v>9890</v>
      </c>
      <c r="H1215" s="3">
        <v>682</v>
      </c>
      <c r="I1215" s="4">
        <v>16078.17</v>
      </c>
      <c r="J1215" s="4">
        <v>107528.63</v>
      </c>
      <c r="K1215" s="3">
        <v>565</v>
      </c>
      <c r="L1215" s="2" t="s">
        <v>2518</v>
      </c>
      <c r="M1215" s="2" t="s">
        <v>2546</v>
      </c>
      <c r="N1215" s="6">
        <f t="shared" si="72"/>
        <v>1</v>
      </c>
      <c r="O1215" t="str">
        <f>IF(Tabla_control[[#This Row],[Control_duplicados]]&gt;1,"Duplicado","Unico")</f>
        <v>Unico</v>
      </c>
      <c r="P1215" t="str">
        <f t="shared" si="73"/>
        <v>OK</v>
      </c>
      <c r="Q1215" t="str">
        <f t="shared" si="74"/>
        <v>OK</v>
      </c>
      <c r="R1215" t="str">
        <f t="shared" si="75"/>
        <v>OK</v>
      </c>
    </row>
    <row r="1216" spans="1:18" x14ac:dyDescent="0.3">
      <c r="A1216" s="1">
        <v>46016</v>
      </c>
      <c r="B1216" s="2" t="s">
        <v>2643</v>
      </c>
      <c r="C1216" s="2" t="s">
        <v>2527</v>
      </c>
      <c r="D1216" s="2" t="s">
        <v>2528</v>
      </c>
      <c r="E1216" s="2" t="s">
        <v>2517</v>
      </c>
      <c r="F1216" s="3">
        <v>70351</v>
      </c>
      <c r="G1216" s="3">
        <v>2858</v>
      </c>
      <c r="H1216" s="3">
        <v>51</v>
      </c>
      <c r="I1216" s="4">
        <v>1127.9000000000001</v>
      </c>
      <c r="J1216" s="4">
        <v>3070.75</v>
      </c>
      <c r="K1216" s="3">
        <v>36</v>
      </c>
      <c r="L1216" s="2" t="s">
        <v>2536</v>
      </c>
      <c r="M1216" s="2" t="s">
        <v>2519</v>
      </c>
      <c r="N1216" s="6">
        <f t="shared" si="72"/>
        <v>1</v>
      </c>
      <c r="O1216" t="str">
        <f>IF(Tabla_control[[#This Row],[Control_duplicados]]&gt;1,"Duplicado","Unico")</f>
        <v>Unico</v>
      </c>
      <c r="P1216" t="str">
        <f t="shared" si="73"/>
        <v>OK</v>
      </c>
      <c r="Q1216" t="str">
        <f t="shared" si="74"/>
        <v>OK</v>
      </c>
      <c r="R1216" t="str">
        <f t="shared" si="75"/>
        <v>OK</v>
      </c>
    </row>
    <row r="1217" spans="1:18" x14ac:dyDescent="0.3">
      <c r="A1217" s="1">
        <v>45709</v>
      </c>
      <c r="B1217" s="2" t="s">
        <v>2633</v>
      </c>
      <c r="C1217" s="2" t="s">
        <v>2521</v>
      </c>
      <c r="D1217" s="2" t="s">
        <v>2528</v>
      </c>
      <c r="E1217" s="2" t="s">
        <v>2529</v>
      </c>
      <c r="F1217" s="3">
        <v>109061</v>
      </c>
      <c r="G1217" s="3">
        <v>9496</v>
      </c>
      <c r="H1217" s="3">
        <v>188</v>
      </c>
      <c r="I1217" s="4">
        <v>5056.24</v>
      </c>
      <c r="J1217" s="4">
        <v>3275.14</v>
      </c>
      <c r="K1217" s="3">
        <v>125</v>
      </c>
      <c r="L1217" s="2" t="s">
        <v>2523</v>
      </c>
      <c r="M1217" s="2" t="s">
        <v>2519</v>
      </c>
      <c r="N1217" s="6">
        <f t="shared" si="72"/>
        <v>1</v>
      </c>
      <c r="O1217" t="str">
        <f>IF(Tabla_control[[#This Row],[Control_duplicados]]&gt;1,"Duplicado","Unico")</f>
        <v>Unico</v>
      </c>
      <c r="P1217" t="str">
        <f t="shared" si="73"/>
        <v>OK</v>
      </c>
      <c r="Q1217" t="str">
        <f t="shared" si="74"/>
        <v>OK</v>
      </c>
      <c r="R1217" t="str">
        <f t="shared" si="75"/>
        <v>OK</v>
      </c>
    </row>
    <row r="1218" spans="1:18" x14ac:dyDescent="0.3">
      <c r="A1218" s="1">
        <v>45764</v>
      </c>
      <c r="B1218" s="2" t="s">
        <v>2630</v>
      </c>
      <c r="C1218" s="2" t="s">
        <v>2521</v>
      </c>
      <c r="D1218" s="2" t="s">
        <v>2516</v>
      </c>
      <c r="E1218" s="2" t="s">
        <v>2517</v>
      </c>
      <c r="F1218" s="3">
        <v>101902</v>
      </c>
      <c r="G1218" s="3">
        <v>5410</v>
      </c>
      <c r="H1218" s="3">
        <v>153</v>
      </c>
      <c r="I1218" s="4">
        <v>4598.78</v>
      </c>
      <c r="J1218" s="4">
        <v>16603.8</v>
      </c>
      <c r="K1218" s="3">
        <v>112</v>
      </c>
      <c r="L1218" s="2" t="s">
        <v>2539</v>
      </c>
      <c r="M1218" s="2" t="s">
        <v>2546</v>
      </c>
      <c r="N1218" s="6">
        <f t="shared" ref="N1218:N1281" si="76">COUNTIFS($A$2:$A$2536,A1218,$B$2:$B$2536,B1218,$C$2:$C$2536,C1218,$D$2:$D$2536,D1218,$E$2:$E$2536,E1218,$F$2:$F$2536,F1218,$G$2:$G$2536,G1218,$H$2:$H$2536,H1218,$I$2:$I$2536,I1218,$J$2:$J$2536,J1218,$K$2:$K$2536,K1218,$L$2:$L$2536,L1218,$M$2:$M$2536,M1218)</f>
        <v>1</v>
      </c>
      <c r="O1218" t="str">
        <f>IF(Tabla_control[[#This Row],[Control_duplicados]]&gt;1,"Duplicado","Unico")</f>
        <v>Unico</v>
      </c>
      <c r="P1218" t="str">
        <f t="shared" ref="P1218:P1281" si="77">IF(OR(I1218="",I1218&lt;0),"ERROR","OK")</f>
        <v>OK</v>
      </c>
      <c r="Q1218" t="str">
        <f t="shared" ref="Q1218:Q1281" si="78">IF(H1218&gt;F1218,"ERROR","OK")</f>
        <v>OK</v>
      </c>
      <c r="R1218" t="str">
        <f t="shared" ref="R1218:R1281" si="79">IF(K1218&gt;H1218,"ERROR","OK")</f>
        <v>OK</v>
      </c>
    </row>
    <row r="1219" spans="1:18" x14ac:dyDescent="0.3">
      <c r="A1219" s="1">
        <v>45757</v>
      </c>
      <c r="B1219" s="2" t="s">
        <v>2643</v>
      </c>
      <c r="C1219" s="2" t="s">
        <v>2543</v>
      </c>
      <c r="D1219" s="2" t="s">
        <v>2528</v>
      </c>
      <c r="E1219" s="2" t="s">
        <v>2517</v>
      </c>
      <c r="F1219" s="3">
        <v>77670</v>
      </c>
      <c r="G1219" s="3">
        <v>3197</v>
      </c>
      <c r="H1219" s="3">
        <v>235</v>
      </c>
      <c r="I1219" s="4">
        <v>1261.1199999999999</v>
      </c>
      <c r="J1219" s="4">
        <v>39932.94</v>
      </c>
      <c r="K1219" s="3">
        <v>139</v>
      </c>
      <c r="L1219" s="2" t="s">
        <v>2536</v>
      </c>
      <c r="M1219" s="2" t="s">
        <v>2519</v>
      </c>
      <c r="N1219" s="6">
        <f t="shared" si="76"/>
        <v>1</v>
      </c>
      <c r="O1219" t="str">
        <f>IF(Tabla_control[[#This Row],[Control_duplicados]]&gt;1,"Duplicado","Unico")</f>
        <v>Unico</v>
      </c>
      <c r="P1219" t="str">
        <f t="shared" si="77"/>
        <v>OK</v>
      </c>
      <c r="Q1219" t="str">
        <f t="shared" si="78"/>
        <v>OK</v>
      </c>
      <c r="R1219" t="str">
        <f t="shared" si="79"/>
        <v>OK</v>
      </c>
    </row>
    <row r="1220" spans="1:18" x14ac:dyDescent="0.3">
      <c r="A1220" s="1">
        <v>45768</v>
      </c>
      <c r="B1220" s="2" t="s">
        <v>2626</v>
      </c>
      <c r="C1220" s="2" t="s">
        <v>2543</v>
      </c>
      <c r="D1220" s="2" t="s">
        <v>2531</v>
      </c>
      <c r="E1220" s="2" t="s">
        <v>2534</v>
      </c>
      <c r="F1220" s="3">
        <v>97948</v>
      </c>
      <c r="G1220" s="3">
        <v>1018</v>
      </c>
      <c r="H1220" s="3">
        <v>56</v>
      </c>
      <c r="I1220" s="4">
        <v>1845.37</v>
      </c>
      <c r="J1220" s="4">
        <v>2897.75</v>
      </c>
      <c r="K1220" s="3">
        <v>45</v>
      </c>
      <c r="L1220" s="2" t="s">
        <v>2518</v>
      </c>
      <c r="M1220" s="2" t="s">
        <v>2537</v>
      </c>
      <c r="N1220" s="6">
        <f t="shared" si="76"/>
        <v>1</v>
      </c>
      <c r="O1220" t="str">
        <f>IF(Tabla_control[[#This Row],[Control_duplicados]]&gt;1,"Duplicado","Unico")</f>
        <v>Unico</v>
      </c>
      <c r="P1220" t="str">
        <f t="shared" si="77"/>
        <v>OK</v>
      </c>
      <c r="Q1220" t="str">
        <f t="shared" si="78"/>
        <v>OK</v>
      </c>
      <c r="R1220" t="str">
        <f t="shared" si="79"/>
        <v>OK</v>
      </c>
    </row>
    <row r="1221" spans="1:18" x14ac:dyDescent="0.3">
      <c r="A1221" s="1">
        <v>45718</v>
      </c>
      <c r="B1221" s="2" t="s">
        <v>2619</v>
      </c>
      <c r="C1221" s="2" t="s">
        <v>2527</v>
      </c>
      <c r="D1221" s="2" t="s">
        <v>2516</v>
      </c>
      <c r="E1221" s="2" t="s">
        <v>2529</v>
      </c>
      <c r="F1221" s="3">
        <v>148984</v>
      </c>
      <c r="G1221" s="3">
        <v>1135</v>
      </c>
      <c r="H1221" s="3">
        <v>105</v>
      </c>
      <c r="I1221" s="4">
        <v>1515.94</v>
      </c>
      <c r="J1221" s="4">
        <v>8810.09</v>
      </c>
      <c r="K1221" s="3">
        <v>74</v>
      </c>
      <c r="L1221" s="2" t="s">
        <v>2536</v>
      </c>
      <c r="M1221" s="2" t="s">
        <v>2519</v>
      </c>
      <c r="N1221" s="6">
        <f t="shared" si="76"/>
        <v>1</v>
      </c>
      <c r="O1221" t="str">
        <f>IF(Tabla_control[[#This Row],[Control_duplicados]]&gt;1,"Duplicado","Unico")</f>
        <v>Unico</v>
      </c>
      <c r="P1221" t="str">
        <f t="shared" si="77"/>
        <v>OK</v>
      </c>
      <c r="Q1221" t="str">
        <f t="shared" si="78"/>
        <v>OK</v>
      </c>
      <c r="R1221" t="str">
        <f t="shared" si="79"/>
        <v>OK</v>
      </c>
    </row>
    <row r="1222" spans="1:18" x14ac:dyDescent="0.3">
      <c r="A1222" s="1">
        <v>45917</v>
      </c>
      <c r="B1222" s="2" t="s">
        <v>2639</v>
      </c>
      <c r="C1222" s="2" t="s">
        <v>2521</v>
      </c>
      <c r="D1222" s="2" t="s">
        <v>2528</v>
      </c>
      <c r="E1222" s="2" t="s">
        <v>2529</v>
      </c>
      <c r="F1222" s="3">
        <v>46190</v>
      </c>
      <c r="G1222" s="3">
        <v>401</v>
      </c>
      <c r="H1222" s="3">
        <v>6</v>
      </c>
      <c r="I1222" s="4">
        <v>582.38</v>
      </c>
      <c r="J1222" s="4">
        <v>1292.69</v>
      </c>
      <c r="K1222" s="3">
        <v>3</v>
      </c>
      <c r="L1222" s="2" t="s">
        <v>2518</v>
      </c>
      <c r="M1222" s="2" t="s">
        <v>2546</v>
      </c>
      <c r="N1222" s="6">
        <f t="shared" si="76"/>
        <v>1</v>
      </c>
      <c r="O1222" t="str">
        <f>IF(Tabla_control[[#This Row],[Control_duplicados]]&gt;1,"Duplicado","Unico")</f>
        <v>Unico</v>
      </c>
      <c r="P1222" t="str">
        <f t="shared" si="77"/>
        <v>OK</v>
      </c>
      <c r="Q1222" t="str">
        <f t="shared" si="78"/>
        <v>OK</v>
      </c>
      <c r="R1222" t="str">
        <f t="shared" si="79"/>
        <v>OK</v>
      </c>
    </row>
    <row r="1223" spans="1:18" x14ac:dyDescent="0.3">
      <c r="A1223" s="1">
        <v>45851</v>
      </c>
      <c r="B1223" s="2" t="s">
        <v>2626</v>
      </c>
      <c r="C1223" s="2" t="s">
        <v>2521</v>
      </c>
      <c r="D1223" s="2" t="s">
        <v>2531</v>
      </c>
      <c r="E1223" s="2" t="s">
        <v>2529</v>
      </c>
      <c r="F1223" s="3">
        <v>170777</v>
      </c>
      <c r="G1223" s="3">
        <v>4518</v>
      </c>
      <c r="H1223" s="3">
        <v>341</v>
      </c>
      <c r="I1223" s="4">
        <v>9094.4599999999991</v>
      </c>
      <c r="J1223" s="4">
        <v>38128.980000000003</v>
      </c>
      <c r="K1223" s="3">
        <v>214</v>
      </c>
      <c r="L1223" s="2" t="s">
        <v>2539</v>
      </c>
      <c r="M1223" s="2" t="s">
        <v>2524</v>
      </c>
      <c r="N1223" s="6">
        <f t="shared" si="76"/>
        <v>1</v>
      </c>
      <c r="O1223" t="str">
        <f>IF(Tabla_control[[#This Row],[Control_duplicados]]&gt;1,"Duplicado","Unico")</f>
        <v>Unico</v>
      </c>
      <c r="P1223" t="str">
        <f t="shared" si="77"/>
        <v>OK</v>
      </c>
      <c r="Q1223" t="str">
        <f t="shared" si="78"/>
        <v>OK</v>
      </c>
      <c r="R1223" t="str">
        <f t="shared" si="79"/>
        <v>OK</v>
      </c>
    </row>
    <row r="1224" spans="1:18" x14ac:dyDescent="0.3">
      <c r="A1224" s="1">
        <v>45971</v>
      </c>
      <c r="B1224" s="2" t="s">
        <v>2631</v>
      </c>
      <c r="C1224" s="2" t="s">
        <v>2533</v>
      </c>
      <c r="D1224" s="2" t="s">
        <v>2522</v>
      </c>
      <c r="E1224" s="2" t="s">
        <v>2529</v>
      </c>
      <c r="F1224" s="3">
        <v>6232</v>
      </c>
      <c r="G1224" s="3">
        <v>422</v>
      </c>
      <c r="H1224" s="3">
        <v>12</v>
      </c>
      <c r="I1224" s="4">
        <v>408.58</v>
      </c>
      <c r="J1224" s="4">
        <v>1356.25</v>
      </c>
      <c r="K1224" s="3">
        <v>9</v>
      </c>
      <c r="L1224" s="2" t="s">
        <v>2518</v>
      </c>
      <c r="M1224" s="2" t="s">
        <v>2546</v>
      </c>
      <c r="N1224" s="6">
        <f t="shared" si="76"/>
        <v>1</v>
      </c>
      <c r="O1224" t="str">
        <f>IF(Tabla_control[[#This Row],[Control_duplicados]]&gt;1,"Duplicado","Unico")</f>
        <v>Unico</v>
      </c>
      <c r="P1224" t="str">
        <f t="shared" si="77"/>
        <v>OK</v>
      </c>
      <c r="Q1224" t="str">
        <f t="shared" si="78"/>
        <v>OK</v>
      </c>
      <c r="R1224" t="str">
        <f t="shared" si="79"/>
        <v>OK</v>
      </c>
    </row>
    <row r="1225" spans="1:18" x14ac:dyDescent="0.3">
      <c r="A1225" s="1">
        <v>45732</v>
      </c>
      <c r="B1225" s="2" t="s">
        <v>2633</v>
      </c>
      <c r="C1225" s="2" t="s">
        <v>2541</v>
      </c>
      <c r="D1225" s="2" t="s">
        <v>2528</v>
      </c>
      <c r="E1225" s="2" t="s">
        <v>2517</v>
      </c>
      <c r="F1225" s="3">
        <v>160233</v>
      </c>
      <c r="G1225" s="3">
        <v>9433</v>
      </c>
      <c r="H1225" s="3">
        <v>323</v>
      </c>
      <c r="I1225" s="4">
        <v>7076.21</v>
      </c>
      <c r="J1225" s="4">
        <v>66985.679999999993</v>
      </c>
      <c r="K1225" s="3">
        <v>273</v>
      </c>
      <c r="L1225" s="2" t="s">
        <v>2539</v>
      </c>
      <c r="M1225" s="2" t="s">
        <v>2519</v>
      </c>
      <c r="N1225" s="6">
        <f t="shared" si="76"/>
        <v>1</v>
      </c>
      <c r="O1225" t="str">
        <f>IF(Tabla_control[[#This Row],[Control_duplicados]]&gt;1,"Duplicado","Unico")</f>
        <v>Unico</v>
      </c>
      <c r="P1225" t="str">
        <f t="shared" si="77"/>
        <v>OK</v>
      </c>
      <c r="Q1225" t="str">
        <f t="shared" si="78"/>
        <v>OK</v>
      </c>
      <c r="R1225" t="str">
        <f t="shared" si="79"/>
        <v>OK</v>
      </c>
    </row>
    <row r="1226" spans="1:18" x14ac:dyDescent="0.3">
      <c r="A1226" s="1">
        <v>45816</v>
      </c>
      <c r="B1226" s="2" t="s">
        <v>2641</v>
      </c>
      <c r="C1226" s="2" t="s">
        <v>2521</v>
      </c>
      <c r="D1226" s="2" t="s">
        <v>2516</v>
      </c>
      <c r="E1226" s="2" t="s">
        <v>2517</v>
      </c>
      <c r="F1226" s="3">
        <v>12946</v>
      </c>
      <c r="G1226" s="3">
        <v>268</v>
      </c>
      <c r="H1226" s="3">
        <v>27</v>
      </c>
      <c r="I1226" s="4">
        <v>180.24</v>
      </c>
      <c r="J1226" s="4">
        <v>3075.64</v>
      </c>
      <c r="K1226" s="3">
        <v>22</v>
      </c>
      <c r="L1226" s="2" t="s">
        <v>2536</v>
      </c>
      <c r="M1226" s="2" t="s">
        <v>2519</v>
      </c>
      <c r="N1226" s="6">
        <f t="shared" si="76"/>
        <v>1</v>
      </c>
      <c r="O1226" t="str">
        <f>IF(Tabla_control[[#This Row],[Control_duplicados]]&gt;1,"Duplicado","Unico")</f>
        <v>Unico</v>
      </c>
      <c r="P1226" t="str">
        <f t="shared" si="77"/>
        <v>OK</v>
      </c>
      <c r="Q1226" t="str">
        <f t="shared" si="78"/>
        <v>OK</v>
      </c>
      <c r="R1226" t="str">
        <f t="shared" si="79"/>
        <v>OK</v>
      </c>
    </row>
    <row r="1227" spans="1:18" x14ac:dyDescent="0.3">
      <c r="A1227" s="1">
        <v>45841</v>
      </c>
      <c r="B1227" s="2" t="s">
        <v>2638</v>
      </c>
      <c r="C1227" s="2" t="s">
        <v>2515</v>
      </c>
      <c r="D1227" s="2" t="s">
        <v>2528</v>
      </c>
      <c r="E1227" s="2" t="s">
        <v>2517</v>
      </c>
      <c r="F1227" s="3">
        <v>153327</v>
      </c>
      <c r="G1227" s="3">
        <v>8364</v>
      </c>
      <c r="H1227" s="3">
        <v>1020</v>
      </c>
      <c r="I1227" s="4">
        <v>5428.53</v>
      </c>
      <c r="J1227" s="4">
        <v>121328.6</v>
      </c>
      <c r="K1227" s="3">
        <v>693</v>
      </c>
      <c r="L1227" s="2" t="s">
        <v>2523</v>
      </c>
      <c r="M1227" s="2" t="s">
        <v>2537</v>
      </c>
      <c r="N1227" s="6">
        <f t="shared" si="76"/>
        <v>1</v>
      </c>
      <c r="O1227" t="str">
        <f>IF(Tabla_control[[#This Row],[Control_duplicados]]&gt;1,"Duplicado","Unico")</f>
        <v>Unico</v>
      </c>
      <c r="P1227" t="str">
        <f t="shared" si="77"/>
        <v>OK</v>
      </c>
      <c r="Q1227" t="str">
        <f t="shared" si="78"/>
        <v>OK</v>
      </c>
      <c r="R1227" t="str">
        <f t="shared" si="79"/>
        <v>OK</v>
      </c>
    </row>
    <row r="1228" spans="1:18" x14ac:dyDescent="0.3">
      <c r="A1228" s="1">
        <v>45886</v>
      </c>
      <c r="B1228" s="2" t="s">
        <v>2624</v>
      </c>
      <c r="C1228" s="2" t="s">
        <v>2515</v>
      </c>
      <c r="D1228" s="2" t="s">
        <v>2528</v>
      </c>
      <c r="E1228" s="2" t="s">
        <v>2534</v>
      </c>
      <c r="F1228" s="3">
        <v>90293</v>
      </c>
      <c r="G1228" s="3">
        <v>4786</v>
      </c>
      <c r="H1228" s="3">
        <v>135</v>
      </c>
      <c r="I1228" s="4">
        <v>9306.6200000000008</v>
      </c>
      <c r="J1228" s="4">
        <v>22431.64</v>
      </c>
      <c r="K1228" s="3">
        <v>115</v>
      </c>
      <c r="L1228" s="2" t="s">
        <v>2523</v>
      </c>
      <c r="M1228" s="2" t="s">
        <v>2537</v>
      </c>
      <c r="N1228" s="6">
        <f t="shared" si="76"/>
        <v>1</v>
      </c>
      <c r="O1228" t="str">
        <f>IF(Tabla_control[[#This Row],[Control_duplicados]]&gt;1,"Duplicado","Unico")</f>
        <v>Unico</v>
      </c>
      <c r="P1228" t="str">
        <f t="shared" si="77"/>
        <v>OK</v>
      </c>
      <c r="Q1228" t="str">
        <f t="shared" si="78"/>
        <v>OK</v>
      </c>
      <c r="R1228" t="str">
        <f t="shared" si="79"/>
        <v>OK</v>
      </c>
    </row>
    <row r="1229" spans="1:18" x14ac:dyDescent="0.3">
      <c r="A1229" s="1">
        <v>45794</v>
      </c>
      <c r="B1229" s="2" t="s">
        <v>2636</v>
      </c>
      <c r="C1229" s="2" t="s">
        <v>2541</v>
      </c>
      <c r="D1229" s="2" t="s">
        <v>2528</v>
      </c>
      <c r="E1229" s="2" t="s">
        <v>2529</v>
      </c>
      <c r="F1229" s="3">
        <v>39108</v>
      </c>
      <c r="G1229" s="3">
        <v>390</v>
      </c>
      <c r="H1229" s="3">
        <v>50</v>
      </c>
      <c r="I1229" s="4">
        <v>237.92</v>
      </c>
      <c r="J1229" s="4">
        <v>4798.3</v>
      </c>
      <c r="K1229" s="3">
        <v>30</v>
      </c>
      <c r="L1229" s="2" t="s">
        <v>2518</v>
      </c>
      <c r="M1229" s="2" t="s">
        <v>2524</v>
      </c>
      <c r="N1229" s="6">
        <f t="shared" si="76"/>
        <v>1</v>
      </c>
      <c r="O1229" t="str">
        <f>IF(Tabla_control[[#This Row],[Control_duplicados]]&gt;1,"Duplicado","Unico")</f>
        <v>Unico</v>
      </c>
      <c r="P1229" t="str">
        <f t="shared" si="77"/>
        <v>OK</v>
      </c>
      <c r="Q1229" t="str">
        <f t="shared" si="78"/>
        <v>OK</v>
      </c>
      <c r="R1229" t="str">
        <f t="shared" si="79"/>
        <v>OK</v>
      </c>
    </row>
    <row r="1230" spans="1:18" x14ac:dyDescent="0.3">
      <c r="A1230" s="1">
        <v>45883</v>
      </c>
      <c r="B1230" s="2" t="s">
        <v>2620</v>
      </c>
      <c r="C1230" s="2" t="s">
        <v>2543</v>
      </c>
      <c r="D1230" s="2" t="s">
        <v>2516</v>
      </c>
      <c r="E1230" s="2" t="s">
        <v>2529</v>
      </c>
      <c r="F1230" s="3">
        <v>51148</v>
      </c>
      <c r="G1230" s="3">
        <v>3224</v>
      </c>
      <c r="H1230" s="3">
        <v>263</v>
      </c>
      <c r="I1230" s="4">
        <v>6414.06</v>
      </c>
      <c r="J1230" s="4">
        <v>24716.03</v>
      </c>
      <c r="K1230" s="3">
        <v>191</v>
      </c>
      <c r="L1230" s="2" t="s">
        <v>2536</v>
      </c>
      <c r="M1230" s="2" t="s">
        <v>2526</v>
      </c>
      <c r="N1230" s="6">
        <f t="shared" si="76"/>
        <v>1</v>
      </c>
      <c r="O1230" t="str">
        <f>IF(Tabla_control[[#This Row],[Control_duplicados]]&gt;1,"Duplicado","Unico")</f>
        <v>Unico</v>
      </c>
      <c r="P1230" t="str">
        <f t="shared" si="77"/>
        <v>OK</v>
      </c>
      <c r="Q1230" t="str">
        <f t="shared" si="78"/>
        <v>OK</v>
      </c>
      <c r="R1230" t="str">
        <f t="shared" si="79"/>
        <v>OK</v>
      </c>
    </row>
    <row r="1231" spans="1:18" x14ac:dyDescent="0.3">
      <c r="A1231" s="1">
        <v>45835</v>
      </c>
      <c r="B1231" s="2" t="s">
        <v>2621</v>
      </c>
      <c r="C1231" s="2" t="s">
        <v>2533</v>
      </c>
      <c r="D1231" s="2" t="s">
        <v>2528</v>
      </c>
      <c r="E1231" s="2" t="s">
        <v>2529</v>
      </c>
      <c r="F1231" s="3">
        <v>19058</v>
      </c>
      <c r="G1231" s="3">
        <v>613</v>
      </c>
      <c r="H1231" s="3">
        <v>4</v>
      </c>
      <c r="I1231" s="4">
        <v>291.97000000000003</v>
      </c>
      <c r="J1231" s="4">
        <v>705.19</v>
      </c>
      <c r="K1231" s="3">
        <v>2</v>
      </c>
      <c r="L1231" s="2" t="s">
        <v>2539</v>
      </c>
      <c r="M1231" s="2" t="s">
        <v>2546</v>
      </c>
      <c r="N1231" s="6">
        <f t="shared" si="76"/>
        <v>1</v>
      </c>
      <c r="O1231" t="str">
        <f>IF(Tabla_control[[#This Row],[Control_duplicados]]&gt;1,"Duplicado","Unico")</f>
        <v>Unico</v>
      </c>
      <c r="P1231" t="str">
        <f t="shared" si="77"/>
        <v>OK</v>
      </c>
      <c r="Q1231" t="str">
        <f t="shared" si="78"/>
        <v>OK</v>
      </c>
      <c r="R1231" t="str">
        <f t="shared" si="79"/>
        <v>OK</v>
      </c>
    </row>
    <row r="1232" spans="1:18" x14ac:dyDescent="0.3">
      <c r="A1232" s="1">
        <v>45927</v>
      </c>
      <c r="B1232" s="2" t="s">
        <v>2622</v>
      </c>
      <c r="C1232" s="2" t="s">
        <v>2527</v>
      </c>
      <c r="D1232" s="2" t="s">
        <v>2525</v>
      </c>
      <c r="E1232" s="2" t="s">
        <v>2534</v>
      </c>
      <c r="F1232" s="3">
        <v>12708</v>
      </c>
      <c r="G1232" s="3">
        <v>757</v>
      </c>
      <c r="H1232" s="3">
        <v>12</v>
      </c>
      <c r="I1232" s="4">
        <v>329.14</v>
      </c>
      <c r="J1232" s="4">
        <v>1913.44</v>
      </c>
      <c r="K1232" s="3">
        <v>9</v>
      </c>
      <c r="L1232" s="2" t="s">
        <v>2536</v>
      </c>
      <c r="M1232" s="2" t="s">
        <v>2537</v>
      </c>
      <c r="N1232" s="6">
        <f t="shared" si="76"/>
        <v>1</v>
      </c>
      <c r="O1232" t="str">
        <f>IF(Tabla_control[[#This Row],[Control_duplicados]]&gt;1,"Duplicado","Unico")</f>
        <v>Unico</v>
      </c>
      <c r="P1232" t="str">
        <f t="shared" si="77"/>
        <v>OK</v>
      </c>
      <c r="Q1232" t="str">
        <f t="shared" si="78"/>
        <v>OK</v>
      </c>
      <c r="R1232" t="str">
        <f t="shared" si="79"/>
        <v>OK</v>
      </c>
    </row>
    <row r="1233" spans="1:18" x14ac:dyDescent="0.3">
      <c r="A1233" s="1">
        <v>45958</v>
      </c>
      <c r="B1233" s="2" t="s">
        <v>2632</v>
      </c>
      <c r="C1233" s="2" t="s">
        <v>2515</v>
      </c>
      <c r="D1233" s="2" t="s">
        <v>2516</v>
      </c>
      <c r="E1233" s="2" t="s">
        <v>2517</v>
      </c>
      <c r="F1233" s="3">
        <v>155927</v>
      </c>
      <c r="G1233" s="3">
        <v>13267</v>
      </c>
      <c r="H1233" s="3">
        <v>789</v>
      </c>
      <c r="I1233" s="4">
        <v>11858.97</v>
      </c>
      <c r="J1233" s="4">
        <v>18689.599999999999</v>
      </c>
      <c r="K1233" s="3">
        <v>551</v>
      </c>
      <c r="L1233" s="2" t="s">
        <v>2518</v>
      </c>
      <c r="M1233" s="2" t="s">
        <v>2537</v>
      </c>
      <c r="N1233" s="6">
        <f t="shared" si="76"/>
        <v>1</v>
      </c>
      <c r="O1233" t="str">
        <f>IF(Tabla_control[[#This Row],[Control_duplicados]]&gt;1,"Duplicado","Unico")</f>
        <v>Unico</v>
      </c>
      <c r="P1233" t="str">
        <f t="shared" si="77"/>
        <v>OK</v>
      </c>
      <c r="Q1233" t="str">
        <f t="shared" si="78"/>
        <v>OK</v>
      </c>
      <c r="R1233" t="str">
        <f t="shared" si="79"/>
        <v>OK</v>
      </c>
    </row>
    <row r="1234" spans="1:18" x14ac:dyDescent="0.3">
      <c r="A1234" s="1">
        <v>45661</v>
      </c>
      <c r="B1234" s="2" t="s">
        <v>2636</v>
      </c>
      <c r="C1234" s="2" t="s">
        <v>2527</v>
      </c>
      <c r="D1234" s="2" t="s">
        <v>2516</v>
      </c>
      <c r="E1234" s="2" t="s">
        <v>2529</v>
      </c>
      <c r="F1234" s="3">
        <v>37910</v>
      </c>
      <c r="G1234" s="3">
        <v>1003</v>
      </c>
      <c r="H1234" s="3">
        <v>138</v>
      </c>
      <c r="I1234" s="4">
        <v>1350.23</v>
      </c>
      <c r="J1234" s="4">
        <v>11158.68</v>
      </c>
      <c r="K1234" s="3">
        <v>86</v>
      </c>
      <c r="L1234" s="2" t="s">
        <v>2523</v>
      </c>
      <c r="M1234" s="2" t="s">
        <v>2526</v>
      </c>
      <c r="N1234" s="6">
        <f t="shared" si="76"/>
        <v>1</v>
      </c>
      <c r="O1234" t="str">
        <f>IF(Tabla_control[[#This Row],[Control_duplicados]]&gt;1,"Duplicado","Unico")</f>
        <v>Unico</v>
      </c>
      <c r="P1234" t="str">
        <f t="shared" si="77"/>
        <v>OK</v>
      </c>
      <c r="Q1234" t="str">
        <f t="shared" si="78"/>
        <v>OK</v>
      </c>
      <c r="R1234" t="str">
        <f t="shared" si="79"/>
        <v>OK</v>
      </c>
    </row>
    <row r="1235" spans="1:18" x14ac:dyDescent="0.3">
      <c r="A1235" s="1">
        <v>45815</v>
      </c>
      <c r="B1235" s="2" t="s">
        <v>2633</v>
      </c>
      <c r="C1235" s="2" t="s">
        <v>2533</v>
      </c>
      <c r="D1235" s="2" t="s">
        <v>2516</v>
      </c>
      <c r="E1235" s="2" t="s">
        <v>2517</v>
      </c>
      <c r="F1235" s="3">
        <v>179825</v>
      </c>
      <c r="G1235" s="3">
        <v>14838</v>
      </c>
      <c r="H1235" s="3">
        <v>600</v>
      </c>
      <c r="I1235" s="4">
        <v>17852.560000000001</v>
      </c>
      <c r="J1235" s="4">
        <v>17469.78</v>
      </c>
      <c r="K1235" s="3">
        <v>426</v>
      </c>
      <c r="L1235" s="2" t="s">
        <v>2536</v>
      </c>
      <c r="M1235" s="2" t="s">
        <v>2537</v>
      </c>
      <c r="N1235" s="6">
        <f t="shared" si="76"/>
        <v>1</v>
      </c>
      <c r="O1235" t="str">
        <f>IF(Tabla_control[[#This Row],[Control_duplicados]]&gt;1,"Duplicado","Unico")</f>
        <v>Unico</v>
      </c>
      <c r="P1235" t="str">
        <f t="shared" si="77"/>
        <v>OK</v>
      </c>
      <c r="Q1235" t="str">
        <f t="shared" si="78"/>
        <v>OK</v>
      </c>
      <c r="R1235" t="str">
        <f t="shared" si="79"/>
        <v>OK</v>
      </c>
    </row>
    <row r="1236" spans="1:18" x14ac:dyDescent="0.3">
      <c r="A1236" s="1">
        <v>45943</v>
      </c>
      <c r="B1236" s="2" t="s">
        <v>2640</v>
      </c>
      <c r="C1236" s="2" t="s">
        <v>2541</v>
      </c>
      <c r="D1236" s="2" t="s">
        <v>2528</v>
      </c>
      <c r="E1236" s="2" t="s">
        <v>2534</v>
      </c>
      <c r="F1236" s="3">
        <v>45683</v>
      </c>
      <c r="G1236" s="3">
        <v>2194</v>
      </c>
      <c r="H1236" s="3">
        <v>111</v>
      </c>
      <c r="I1236" s="4">
        <v>1579.47</v>
      </c>
      <c r="J1236" s="4">
        <v>13768.47</v>
      </c>
      <c r="K1236" s="3">
        <v>84</v>
      </c>
      <c r="L1236" s="2" t="s">
        <v>2523</v>
      </c>
      <c r="M1236" s="2" t="s">
        <v>2546</v>
      </c>
      <c r="N1236" s="6">
        <f t="shared" si="76"/>
        <v>1</v>
      </c>
      <c r="O1236" t="str">
        <f>IF(Tabla_control[[#This Row],[Control_duplicados]]&gt;1,"Duplicado","Unico")</f>
        <v>Unico</v>
      </c>
      <c r="P1236" t="str">
        <f t="shared" si="77"/>
        <v>OK</v>
      </c>
      <c r="Q1236" t="str">
        <f t="shared" si="78"/>
        <v>OK</v>
      </c>
      <c r="R1236" t="str">
        <f t="shared" si="79"/>
        <v>OK</v>
      </c>
    </row>
    <row r="1237" spans="1:18" x14ac:dyDescent="0.3">
      <c r="A1237" s="1">
        <v>46021</v>
      </c>
      <c r="B1237" s="2" t="s">
        <v>2618</v>
      </c>
      <c r="C1237" s="2" t="s">
        <v>2521</v>
      </c>
      <c r="D1237" s="2" t="s">
        <v>2528</v>
      </c>
      <c r="E1237" s="2" t="s">
        <v>2529</v>
      </c>
      <c r="F1237" s="3">
        <v>140397</v>
      </c>
      <c r="G1237" s="3">
        <v>12118</v>
      </c>
      <c r="H1237" s="3">
        <v>1530</v>
      </c>
      <c r="I1237" s="4">
        <v>14131.17</v>
      </c>
      <c r="J1237" s="4">
        <v>209873.6</v>
      </c>
      <c r="K1237" s="3">
        <v>1275</v>
      </c>
      <c r="L1237" s="2" t="s">
        <v>2536</v>
      </c>
      <c r="M1237" s="2" t="s">
        <v>2524</v>
      </c>
      <c r="N1237" s="6">
        <f t="shared" si="76"/>
        <v>1</v>
      </c>
      <c r="O1237" t="str">
        <f>IF(Tabla_control[[#This Row],[Control_duplicados]]&gt;1,"Duplicado","Unico")</f>
        <v>Unico</v>
      </c>
      <c r="P1237" t="str">
        <f t="shared" si="77"/>
        <v>OK</v>
      </c>
      <c r="Q1237" t="str">
        <f t="shared" si="78"/>
        <v>OK</v>
      </c>
      <c r="R1237" t="str">
        <f t="shared" si="79"/>
        <v>OK</v>
      </c>
    </row>
    <row r="1238" spans="1:18" x14ac:dyDescent="0.3">
      <c r="A1238" s="1">
        <v>45658</v>
      </c>
      <c r="B1238" s="2" t="s">
        <v>2639</v>
      </c>
      <c r="C1238" s="2" t="s">
        <v>2541</v>
      </c>
      <c r="D1238" s="2" t="s">
        <v>2528</v>
      </c>
      <c r="E1238" s="2" t="s">
        <v>2529</v>
      </c>
      <c r="F1238" s="3">
        <v>86210</v>
      </c>
      <c r="G1238" s="3">
        <v>6305</v>
      </c>
      <c r="H1238" s="3">
        <v>382</v>
      </c>
      <c r="I1238" s="4">
        <v>5967.11</v>
      </c>
      <c r="J1238" s="4">
        <v>38115.39</v>
      </c>
      <c r="K1238" s="3">
        <v>307</v>
      </c>
      <c r="L1238" s="2" t="s">
        <v>2536</v>
      </c>
      <c r="M1238" s="2" t="s">
        <v>2519</v>
      </c>
      <c r="N1238" s="6">
        <f t="shared" si="76"/>
        <v>1</v>
      </c>
      <c r="O1238" t="str">
        <f>IF(Tabla_control[[#This Row],[Control_duplicados]]&gt;1,"Duplicado","Unico")</f>
        <v>Unico</v>
      </c>
      <c r="P1238" t="str">
        <f t="shared" si="77"/>
        <v>OK</v>
      </c>
      <c r="Q1238" t="str">
        <f t="shared" si="78"/>
        <v>OK</v>
      </c>
      <c r="R1238" t="str">
        <f t="shared" si="79"/>
        <v>OK</v>
      </c>
    </row>
    <row r="1239" spans="1:18" x14ac:dyDescent="0.3">
      <c r="A1239" s="1">
        <v>45940</v>
      </c>
      <c r="B1239" s="2" t="s">
        <v>2623</v>
      </c>
      <c r="C1239" s="2" t="s">
        <v>2541</v>
      </c>
      <c r="D1239" s="2" t="s">
        <v>2525</v>
      </c>
      <c r="E1239" s="2" t="s">
        <v>2529</v>
      </c>
      <c r="F1239" s="3">
        <v>73312</v>
      </c>
      <c r="G1239" s="3">
        <v>5571</v>
      </c>
      <c r="H1239" s="3">
        <v>333</v>
      </c>
      <c r="I1239" s="4">
        <v>3964.5</v>
      </c>
      <c r="J1239" s="4">
        <v>57216.34</v>
      </c>
      <c r="K1239" s="3">
        <v>217</v>
      </c>
      <c r="L1239" s="2" t="s">
        <v>2539</v>
      </c>
      <c r="M1239" s="2" t="s">
        <v>2537</v>
      </c>
      <c r="N1239" s="6">
        <f t="shared" si="76"/>
        <v>1</v>
      </c>
      <c r="O1239" t="str">
        <f>IF(Tabla_control[[#This Row],[Control_duplicados]]&gt;1,"Duplicado","Unico")</f>
        <v>Unico</v>
      </c>
      <c r="P1239" t="str">
        <f t="shared" si="77"/>
        <v>OK</v>
      </c>
      <c r="Q1239" t="str">
        <f t="shared" si="78"/>
        <v>OK</v>
      </c>
      <c r="R1239" t="str">
        <f t="shared" si="79"/>
        <v>OK</v>
      </c>
    </row>
    <row r="1240" spans="1:18" x14ac:dyDescent="0.3">
      <c r="A1240" s="1">
        <v>45926</v>
      </c>
      <c r="B1240" s="2" t="s">
        <v>2632</v>
      </c>
      <c r="C1240" s="2" t="s">
        <v>2543</v>
      </c>
      <c r="D1240" s="2" t="s">
        <v>2516</v>
      </c>
      <c r="E1240" s="2" t="s">
        <v>2517</v>
      </c>
      <c r="F1240" s="3">
        <v>59498</v>
      </c>
      <c r="G1240" s="3">
        <v>2660</v>
      </c>
      <c r="H1240" s="3">
        <v>320</v>
      </c>
      <c r="I1240" s="4">
        <v>4543.1400000000003</v>
      </c>
      <c r="J1240" s="4">
        <v>30915.71</v>
      </c>
      <c r="K1240" s="3">
        <v>248</v>
      </c>
      <c r="L1240" s="2" t="s">
        <v>2536</v>
      </c>
      <c r="M1240" s="2" t="s">
        <v>2524</v>
      </c>
      <c r="N1240" s="6">
        <f t="shared" si="76"/>
        <v>1</v>
      </c>
      <c r="O1240" t="str">
        <f>IF(Tabla_control[[#This Row],[Control_duplicados]]&gt;1,"Duplicado","Unico")</f>
        <v>Unico</v>
      </c>
      <c r="P1240" t="str">
        <f t="shared" si="77"/>
        <v>OK</v>
      </c>
      <c r="Q1240" t="str">
        <f t="shared" si="78"/>
        <v>OK</v>
      </c>
      <c r="R1240" t="str">
        <f t="shared" si="79"/>
        <v>OK</v>
      </c>
    </row>
    <row r="1241" spans="1:18" x14ac:dyDescent="0.3">
      <c r="A1241" s="1">
        <v>45801</v>
      </c>
      <c r="B1241" s="2" t="s">
        <v>2641</v>
      </c>
      <c r="C1241" s="2" t="s">
        <v>2521</v>
      </c>
      <c r="D1241" s="2" t="s">
        <v>2525</v>
      </c>
      <c r="E1241" s="2" t="s">
        <v>2517</v>
      </c>
      <c r="F1241" s="3">
        <v>164120</v>
      </c>
      <c r="G1241" s="3">
        <v>6823</v>
      </c>
      <c r="H1241" s="3">
        <v>814</v>
      </c>
      <c r="I1241" s="4">
        <v>2517.8000000000002</v>
      </c>
      <c r="J1241" s="4">
        <v>108637.63</v>
      </c>
      <c r="K1241" s="3">
        <v>405</v>
      </c>
      <c r="L1241" s="2" t="s">
        <v>2523</v>
      </c>
      <c r="M1241" s="2" t="s">
        <v>2524</v>
      </c>
      <c r="N1241" s="6">
        <f t="shared" si="76"/>
        <v>1</v>
      </c>
      <c r="O1241" t="str">
        <f>IF(Tabla_control[[#This Row],[Control_duplicados]]&gt;1,"Duplicado","Unico")</f>
        <v>Unico</v>
      </c>
      <c r="P1241" t="str">
        <f t="shared" si="77"/>
        <v>OK</v>
      </c>
      <c r="Q1241" t="str">
        <f t="shared" si="78"/>
        <v>OK</v>
      </c>
      <c r="R1241" t="str">
        <f t="shared" si="79"/>
        <v>OK</v>
      </c>
    </row>
    <row r="1242" spans="1:18" x14ac:dyDescent="0.3">
      <c r="A1242" s="1">
        <v>45679</v>
      </c>
      <c r="B1242" s="2" t="s">
        <v>2624</v>
      </c>
      <c r="C1242" s="2" t="s">
        <v>2515</v>
      </c>
      <c r="D1242" s="2" t="s">
        <v>2516</v>
      </c>
      <c r="E1242" s="2" t="s">
        <v>2517</v>
      </c>
      <c r="F1242" s="3">
        <v>142128</v>
      </c>
      <c r="G1242" s="3">
        <v>10568</v>
      </c>
      <c r="H1242" s="3">
        <v>1021</v>
      </c>
      <c r="I1242" s="4">
        <v>18019.88</v>
      </c>
      <c r="J1242" s="4">
        <v>38713.51</v>
      </c>
      <c r="K1242" s="3">
        <v>724</v>
      </c>
      <c r="L1242" s="2" t="s">
        <v>2523</v>
      </c>
      <c r="M1242" s="2" t="s">
        <v>2519</v>
      </c>
      <c r="N1242" s="6">
        <f t="shared" si="76"/>
        <v>1</v>
      </c>
      <c r="O1242" t="str">
        <f>IF(Tabla_control[[#This Row],[Control_duplicados]]&gt;1,"Duplicado","Unico")</f>
        <v>Unico</v>
      </c>
      <c r="P1242" t="str">
        <f t="shared" si="77"/>
        <v>OK</v>
      </c>
      <c r="Q1242" t="str">
        <f t="shared" si="78"/>
        <v>OK</v>
      </c>
      <c r="R1242" t="str">
        <f t="shared" si="79"/>
        <v>OK</v>
      </c>
    </row>
    <row r="1243" spans="1:18" x14ac:dyDescent="0.3">
      <c r="A1243" s="1">
        <v>46007</v>
      </c>
      <c r="B1243" s="2" t="s">
        <v>2631</v>
      </c>
      <c r="C1243" s="2" t="s">
        <v>2543</v>
      </c>
      <c r="D1243" s="2" t="s">
        <v>2531</v>
      </c>
      <c r="E1243" s="2" t="s">
        <v>2517</v>
      </c>
      <c r="F1243" s="3">
        <v>109966</v>
      </c>
      <c r="G1243" s="3">
        <v>3138</v>
      </c>
      <c r="H1243" s="3">
        <v>27</v>
      </c>
      <c r="I1243" s="4">
        <v>479.66</v>
      </c>
      <c r="J1243" s="4">
        <v>2545.06</v>
      </c>
      <c r="K1243" s="3">
        <v>13</v>
      </c>
      <c r="L1243" s="2" t="s">
        <v>2536</v>
      </c>
      <c r="M1243" s="2" t="s">
        <v>2537</v>
      </c>
      <c r="N1243" s="6">
        <f t="shared" si="76"/>
        <v>1</v>
      </c>
      <c r="O1243" t="str">
        <f>IF(Tabla_control[[#This Row],[Control_duplicados]]&gt;1,"Duplicado","Unico")</f>
        <v>Unico</v>
      </c>
      <c r="P1243" t="str">
        <f t="shared" si="77"/>
        <v>OK</v>
      </c>
      <c r="Q1243" t="str">
        <f t="shared" si="78"/>
        <v>OK</v>
      </c>
      <c r="R1243" t="str">
        <f t="shared" si="79"/>
        <v>OK</v>
      </c>
    </row>
    <row r="1244" spans="1:18" x14ac:dyDescent="0.3">
      <c r="A1244" s="1">
        <v>45984</v>
      </c>
      <c r="B1244" s="2" t="s">
        <v>2618</v>
      </c>
      <c r="C1244" s="2" t="s">
        <v>2541</v>
      </c>
      <c r="D1244" s="2" t="s">
        <v>2528</v>
      </c>
      <c r="E1244" s="2" t="s">
        <v>2529</v>
      </c>
      <c r="F1244" s="3">
        <v>76750</v>
      </c>
      <c r="G1244" s="3">
        <v>1281</v>
      </c>
      <c r="H1244" s="3">
        <v>74</v>
      </c>
      <c r="I1244" s="4">
        <v>686.19</v>
      </c>
      <c r="J1244" s="4">
        <v>15437.98</v>
      </c>
      <c r="K1244" s="3">
        <v>47</v>
      </c>
      <c r="L1244" s="2" t="s">
        <v>2523</v>
      </c>
      <c r="M1244" s="2" t="s">
        <v>2526</v>
      </c>
      <c r="N1244" s="6">
        <f t="shared" si="76"/>
        <v>1</v>
      </c>
      <c r="O1244" t="str">
        <f>IF(Tabla_control[[#This Row],[Control_duplicados]]&gt;1,"Duplicado","Unico")</f>
        <v>Unico</v>
      </c>
      <c r="P1244" t="str">
        <f t="shared" si="77"/>
        <v>OK</v>
      </c>
      <c r="Q1244" t="str">
        <f t="shared" si="78"/>
        <v>OK</v>
      </c>
      <c r="R1244" t="str">
        <f t="shared" si="79"/>
        <v>OK</v>
      </c>
    </row>
    <row r="1245" spans="1:18" x14ac:dyDescent="0.3">
      <c r="A1245" s="1">
        <v>46020</v>
      </c>
      <c r="B1245" s="2" t="s">
        <v>2619</v>
      </c>
      <c r="C1245" s="2" t="s">
        <v>2533</v>
      </c>
      <c r="D1245" s="2" t="s">
        <v>2528</v>
      </c>
      <c r="E1245" s="2" t="s">
        <v>2517</v>
      </c>
      <c r="F1245" s="3">
        <v>70389</v>
      </c>
      <c r="G1245" s="3">
        <v>5733</v>
      </c>
      <c r="H1245" s="3">
        <v>93</v>
      </c>
      <c r="I1245" s="4">
        <v>6849.53</v>
      </c>
      <c r="J1245" s="4">
        <v>7654.1</v>
      </c>
      <c r="K1245" s="3">
        <v>54</v>
      </c>
      <c r="L1245" s="2" t="s">
        <v>2536</v>
      </c>
      <c r="M1245" s="2" t="s">
        <v>2524</v>
      </c>
      <c r="N1245" s="6">
        <f t="shared" si="76"/>
        <v>1</v>
      </c>
      <c r="O1245" t="str">
        <f>IF(Tabla_control[[#This Row],[Control_duplicados]]&gt;1,"Duplicado","Unico")</f>
        <v>Unico</v>
      </c>
      <c r="P1245" t="str">
        <f t="shared" si="77"/>
        <v>OK</v>
      </c>
      <c r="Q1245" t="str">
        <f t="shared" si="78"/>
        <v>OK</v>
      </c>
      <c r="R1245" t="str">
        <f t="shared" si="79"/>
        <v>OK</v>
      </c>
    </row>
    <row r="1246" spans="1:18" x14ac:dyDescent="0.3">
      <c r="A1246" s="1">
        <v>45671</v>
      </c>
      <c r="B1246" s="2" t="s">
        <v>2619</v>
      </c>
      <c r="C1246" s="2" t="s">
        <v>2543</v>
      </c>
      <c r="D1246" s="2" t="s">
        <v>2525</v>
      </c>
      <c r="E1246" s="2" t="s">
        <v>2517</v>
      </c>
      <c r="F1246" s="3">
        <v>109765</v>
      </c>
      <c r="G1246" s="3">
        <v>7029</v>
      </c>
      <c r="H1246" s="3">
        <v>813</v>
      </c>
      <c r="I1246" s="4">
        <v>13419.36</v>
      </c>
      <c r="J1246" s="4">
        <v>148226.91</v>
      </c>
      <c r="K1246" s="3">
        <v>513</v>
      </c>
      <c r="L1246" s="2" t="s">
        <v>2523</v>
      </c>
      <c r="M1246" s="2" t="s">
        <v>2546</v>
      </c>
      <c r="N1246" s="6">
        <f t="shared" si="76"/>
        <v>1</v>
      </c>
      <c r="O1246" t="str">
        <f>IF(Tabla_control[[#This Row],[Control_duplicados]]&gt;1,"Duplicado","Unico")</f>
        <v>Unico</v>
      </c>
      <c r="P1246" t="str">
        <f t="shared" si="77"/>
        <v>OK</v>
      </c>
      <c r="Q1246" t="str">
        <f t="shared" si="78"/>
        <v>OK</v>
      </c>
      <c r="R1246" t="str">
        <f t="shared" si="79"/>
        <v>OK</v>
      </c>
    </row>
    <row r="1247" spans="1:18" x14ac:dyDescent="0.3">
      <c r="A1247" s="1">
        <v>45771</v>
      </c>
      <c r="B1247" s="2" t="s">
        <v>2641</v>
      </c>
      <c r="C1247" s="2" t="s">
        <v>2521</v>
      </c>
      <c r="D1247" s="2" t="s">
        <v>2531</v>
      </c>
      <c r="E1247" s="2" t="s">
        <v>2517</v>
      </c>
      <c r="F1247" s="3">
        <v>37477</v>
      </c>
      <c r="G1247" s="3">
        <v>405</v>
      </c>
      <c r="H1247" s="3">
        <v>6</v>
      </c>
      <c r="I1247" s="4">
        <v>624.71</v>
      </c>
      <c r="J1247" s="4">
        <v>885.51</v>
      </c>
      <c r="K1247" s="3">
        <v>3</v>
      </c>
      <c r="L1247" s="2" t="s">
        <v>2523</v>
      </c>
      <c r="M1247" s="2" t="s">
        <v>2546</v>
      </c>
      <c r="N1247" s="6">
        <f t="shared" si="76"/>
        <v>1</v>
      </c>
      <c r="O1247" t="str">
        <f>IF(Tabla_control[[#This Row],[Control_duplicados]]&gt;1,"Duplicado","Unico")</f>
        <v>Unico</v>
      </c>
      <c r="P1247" t="str">
        <f t="shared" si="77"/>
        <v>OK</v>
      </c>
      <c r="Q1247" t="str">
        <f t="shared" si="78"/>
        <v>OK</v>
      </c>
      <c r="R1247" t="str">
        <f t="shared" si="79"/>
        <v>OK</v>
      </c>
    </row>
    <row r="1248" spans="1:18" x14ac:dyDescent="0.3">
      <c r="A1248" s="1">
        <v>45998</v>
      </c>
      <c r="B1248" s="2" t="s">
        <v>2619</v>
      </c>
      <c r="C1248" s="2" t="s">
        <v>2515</v>
      </c>
      <c r="D1248" s="2" t="s">
        <v>2528</v>
      </c>
      <c r="E1248" s="2" t="s">
        <v>2517</v>
      </c>
      <c r="F1248" s="3">
        <v>116562</v>
      </c>
      <c r="G1248" s="3">
        <v>621</v>
      </c>
      <c r="H1248" s="3">
        <v>45</v>
      </c>
      <c r="I1248" s="4">
        <v>69.91</v>
      </c>
      <c r="J1248" s="4">
        <v>7351.7</v>
      </c>
      <c r="K1248" s="3">
        <v>20</v>
      </c>
      <c r="L1248" s="2" t="s">
        <v>2539</v>
      </c>
      <c r="M1248" s="2" t="s">
        <v>2546</v>
      </c>
      <c r="N1248" s="6">
        <f t="shared" si="76"/>
        <v>1</v>
      </c>
      <c r="O1248" t="str">
        <f>IF(Tabla_control[[#This Row],[Control_duplicados]]&gt;1,"Duplicado","Unico")</f>
        <v>Unico</v>
      </c>
      <c r="P1248" t="str">
        <f t="shared" si="77"/>
        <v>OK</v>
      </c>
      <c r="Q1248" t="str">
        <f t="shared" si="78"/>
        <v>OK</v>
      </c>
      <c r="R1248" t="str">
        <f t="shared" si="79"/>
        <v>OK</v>
      </c>
    </row>
    <row r="1249" spans="1:18" x14ac:dyDescent="0.3">
      <c r="A1249" s="1">
        <v>45935</v>
      </c>
      <c r="B1249" s="2" t="s">
        <v>2625</v>
      </c>
      <c r="C1249" s="2" t="s">
        <v>2515</v>
      </c>
      <c r="D1249" s="2" t="s">
        <v>2522</v>
      </c>
      <c r="E1249" s="2" t="s">
        <v>2517</v>
      </c>
      <c r="F1249" s="3">
        <v>138666</v>
      </c>
      <c r="G1249" s="3">
        <v>1973</v>
      </c>
      <c r="H1249" s="3">
        <v>248</v>
      </c>
      <c r="I1249" s="4">
        <v>4095.1</v>
      </c>
      <c r="J1249" s="4">
        <v>34064.93</v>
      </c>
      <c r="K1249" s="3">
        <v>155</v>
      </c>
      <c r="L1249" s="2" t="s">
        <v>2539</v>
      </c>
      <c r="M1249" s="2" t="s">
        <v>2524</v>
      </c>
      <c r="N1249" s="6">
        <f t="shared" si="76"/>
        <v>1</v>
      </c>
      <c r="O1249" t="str">
        <f>IF(Tabla_control[[#This Row],[Control_duplicados]]&gt;1,"Duplicado","Unico")</f>
        <v>Unico</v>
      </c>
      <c r="P1249" t="str">
        <f t="shared" si="77"/>
        <v>OK</v>
      </c>
      <c r="Q1249" t="str">
        <f t="shared" si="78"/>
        <v>OK</v>
      </c>
      <c r="R1249" t="str">
        <f t="shared" si="79"/>
        <v>OK</v>
      </c>
    </row>
    <row r="1250" spans="1:18" x14ac:dyDescent="0.3">
      <c r="A1250" s="1">
        <v>45869</v>
      </c>
      <c r="B1250" s="2" t="s">
        <v>2642</v>
      </c>
      <c r="C1250" s="2" t="s">
        <v>2515</v>
      </c>
      <c r="D1250" s="2" t="s">
        <v>2516</v>
      </c>
      <c r="E1250" s="2" t="s">
        <v>2529</v>
      </c>
      <c r="F1250" s="3">
        <v>62801</v>
      </c>
      <c r="G1250" s="3">
        <v>349</v>
      </c>
      <c r="H1250" s="3">
        <v>44</v>
      </c>
      <c r="I1250" s="4">
        <v>162.9</v>
      </c>
      <c r="J1250" s="4">
        <v>8526.7800000000007</v>
      </c>
      <c r="K1250" s="3">
        <v>31</v>
      </c>
      <c r="L1250" s="2" t="s">
        <v>2536</v>
      </c>
      <c r="M1250" s="2" t="s">
        <v>2524</v>
      </c>
      <c r="N1250" s="6">
        <f t="shared" si="76"/>
        <v>1</v>
      </c>
      <c r="O1250" t="str">
        <f>IF(Tabla_control[[#This Row],[Control_duplicados]]&gt;1,"Duplicado","Unico")</f>
        <v>Unico</v>
      </c>
      <c r="P1250" t="str">
        <f t="shared" si="77"/>
        <v>OK</v>
      </c>
      <c r="Q1250" t="str">
        <f t="shared" si="78"/>
        <v>OK</v>
      </c>
      <c r="R1250" t="str">
        <f t="shared" si="79"/>
        <v>OK</v>
      </c>
    </row>
    <row r="1251" spans="1:18" x14ac:dyDescent="0.3">
      <c r="A1251" s="1">
        <v>45774</v>
      </c>
      <c r="B1251" s="2" t="s">
        <v>2621</v>
      </c>
      <c r="C1251" s="2" t="s">
        <v>2645</v>
      </c>
      <c r="D1251" s="2" t="s">
        <v>2522</v>
      </c>
      <c r="E1251" s="2" t="s">
        <v>2517</v>
      </c>
      <c r="F1251" s="3">
        <v>47752</v>
      </c>
      <c r="G1251" s="3">
        <v>1936</v>
      </c>
      <c r="H1251" s="3">
        <v>264</v>
      </c>
      <c r="I1251" s="4">
        <v>1087.76</v>
      </c>
      <c r="J1251" s="4">
        <v>31600.35</v>
      </c>
      <c r="K1251" s="3">
        <v>237</v>
      </c>
      <c r="L1251" s="2" t="s">
        <v>2518</v>
      </c>
      <c r="M1251" s="2" t="s">
        <v>2519</v>
      </c>
      <c r="N1251" s="6">
        <f t="shared" si="76"/>
        <v>1</v>
      </c>
      <c r="O1251" t="str">
        <f>IF(Tabla_control[[#This Row],[Control_duplicados]]&gt;1,"Duplicado","Unico")</f>
        <v>Unico</v>
      </c>
      <c r="P1251" t="str">
        <f t="shared" si="77"/>
        <v>OK</v>
      </c>
      <c r="Q1251" t="str">
        <f t="shared" si="78"/>
        <v>OK</v>
      </c>
      <c r="R1251" t="str">
        <f t="shared" si="79"/>
        <v>OK</v>
      </c>
    </row>
    <row r="1252" spans="1:18" x14ac:dyDescent="0.3">
      <c r="A1252" s="1">
        <v>45675</v>
      </c>
      <c r="B1252" s="2" t="s">
        <v>2643</v>
      </c>
      <c r="C1252" s="2" t="s">
        <v>2543</v>
      </c>
      <c r="D1252" s="2" t="s">
        <v>2528</v>
      </c>
      <c r="E1252" s="2" t="s">
        <v>2529</v>
      </c>
      <c r="F1252" s="3">
        <v>57300</v>
      </c>
      <c r="G1252" s="3">
        <v>1466</v>
      </c>
      <c r="H1252" s="3">
        <v>71</v>
      </c>
      <c r="I1252" s="4">
        <v>1091.8</v>
      </c>
      <c r="J1252" s="4">
        <v>6749.69</v>
      </c>
      <c r="K1252" s="3">
        <v>55</v>
      </c>
      <c r="L1252" s="2" t="s">
        <v>2518</v>
      </c>
      <c r="M1252" s="2" t="s">
        <v>2526</v>
      </c>
      <c r="N1252" s="6">
        <f t="shared" si="76"/>
        <v>1</v>
      </c>
      <c r="O1252" t="str">
        <f>IF(Tabla_control[[#This Row],[Control_duplicados]]&gt;1,"Duplicado","Unico")</f>
        <v>Unico</v>
      </c>
      <c r="P1252" t="str">
        <f t="shared" si="77"/>
        <v>OK</v>
      </c>
      <c r="Q1252" t="str">
        <f t="shared" si="78"/>
        <v>OK</v>
      </c>
      <c r="R1252" t="str">
        <f t="shared" si="79"/>
        <v>OK</v>
      </c>
    </row>
    <row r="1253" spans="1:18" x14ac:dyDescent="0.3">
      <c r="A1253" s="1">
        <v>45839</v>
      </c>
      <c r="B1253" s="2" t="s">
        <v>2634</v>
      </c>
      <c r="C1253" s="2" t="s">
        <v>2515</v>
      </c>
      <c r="D1253" s="2" t="s">
        <v>2528</v>
      </c>
      <c r="E1253" s="2" t="s">
        <v>2529</v>
      </c>
      <c r="F1253" s="3">
        <v>143790</v>
      </c>
      <c r="G1253" s="3">
        <v>8223</v>
      </c>
      <c r="H1253" s="3">
        <v>819</v>
      </c>
      <c r="I1253" s="4">
        <v>11984.24</v>
      </c>
      <c r="J1253" s="4">
        <v>40187.07</v>
      </c>
      <c r="K1253" s="3">
        <v>646</v>
      </c>
      <c r="L1253" s="2" t="s">
        <v>2536</v>
      </c>
      <c r="M1253" s="2" t="s">
        <v>2537</v>
      </c>
      <c r="N1253" s="6">
        <f t="shared" si="76"/>
        <v>1</v>
      </c>
      <c r="O1253" t="str">
        <f>IF(Tabla_control[[#This Row],[Control_duplicados]]&gt;1,"Duplicado","Unico")</f>
        <v>Unico</v>
      </c>
      <c r="P1253" t="str">
        <f t="shared" si="77"/>
        <v>OK</v>
      </c>
      <c r="Q1253" t="str">
        <f t="shared" si="78"/>
        <v>OK</v>
      </c>
      <c r="R1253" t="str">
        <f t="shared" si="79"/>
        <v>OK</v>
      </c>
    </row>
    <row r="1254" spans="1:18" x14ac:dyDescent="0.3">
      <c r="A1254" s="1">
        <v>45798</v>
      </c>
      <c r="B1254" s="2" t="s">
        <v>2622</v>
      </c>
      <c r="C1254" s="2" t="s">
        <v>2533</v>
      </c>
      <c r="D1254" s="2" t="s">
        <v>2531</v>
      </c>
      <c r="E1254" s="2" t="s">
        <v>2517</v>
      </c>
      <c r="F1254" s="3">
        <v>113661</v>
      </c>
      <c r="G1254" s="3">
        <v>6897</v>
      </c>
      <c r="H1254" s="3">
        <v>401</v>
      </c>
      <c r="I1254" s="4">
        <v>5828.71</v>
      </c>
      <c r="J1254" s="4">
        <v>30387.32</v>
      </c>
      <c r="K1254" s="3">
        <v>260</v>
      </c>
      <c r="L1254" s="2" t="s">
        <v>2536</v>
      </c>
      <c r="M1254" s="2" t="s">
        <v>2526</v>
      </c>
      <c r="N1254" s="6">
        <f t="shared" si="76"/>
        <v>1</v>
      </c>
      <c r="O1254" t="str">
        <f>IF(Tabla_control[[#This Row],[Control_duplicados]]&gt;1,"Duplicado","Unico")</f>
        <v>Unico</v>
      </c>
      <c r="P1254" t="str">
        <f t="shared" si="77"/>
        <v>OK</v>
      </c>
      <c r="Q1254" t="str">
        <f t="shared" si="78"/>
        <v>OK</v>
      </c>
      <c r="R1254" t="str">
        <f t="shared" si="79"/>
        <v>OK</v>
      </c>
    </row>
    <row r="1255" spans="1:18" x14ac:dyDescent="0.3">
      <c r="A1255" s="1">
        <v>45724</v>
      </c>
      <c r="B1255" s="2" t="s">
        <v>2618</v>
      </c>
      <c r="C1255" s="2" t="s">
        <v>2541</v>
      </c>
      <c r="D1255" s="2" t="s">
        <v>2525</v>
      </c>
      <c r="E1255" s="2" t="s">
        <v>2529</v>
      </c>
      <c r="F1255" s="3">
        <v>135731</v>
      </c>
      <c r="G1255" s="3">
        <v>3895</v>
      </c>
      <c r="H1255" s="3">
        <v>344</v>
      </c>
      <c r="I1255" s="4">
        <v>4658.2299999999996</v>
      </c>
      <c r="J1255" s="4">
        <v>16750.2</v>
      </c>
      <c r="K1255" s="3">
        <v>175</v>
      </c>
      <c r="L1255" s="2" t="s">
        <v>2518</v>
      </c>
      <c r="M1255" s="2" t="s">
        <v>2546</v>
      </c>
      <c r="N1255" s="6">
        <f t="shared" si="76"/>
        <v>1</v>
      </c>
      <c r="O1255" t="str">
        <f>IF(Tabla_control[[#This Row],[Control_duplicados]]&gt;1,"Duplicado","Unico")</f>
        <v>Unico</v>
      </c>
      <c r="P1255" t="str">
        <f t="shared" si="77"/>
        <v>OK</v>
      </c>
      <c r="Q1255" t="str">
        <f t="shared" si="78"/>
        <v>OK</v>
      </c>
      <c r="R1255" t="str">
        <f t="shared" si="79"/>
        <v>OK</v>
      </c>
    </row>
    <row r="1256" spans="1:18" x14ac:dyDescent="0.3">
      <c r="A1256" s="1">
        <v>45713</v>
      </c>
      <c r="B1256" s="2" t="s">
        <v>2640</v>
      </c>
      <c r="C1256" s="2" t="s">
        <v>2521</v>
      </c>
      <c r="D1256" s="2" t="s">
        <v>2516</v>
      </c>
      <c r="E1256" s="2" t="s">
        <v>2529</v>
      </c>
      <c r="F1256" s="3">
        <v>143003</v>
      </c>
      <c r="G1256" s="3">
        <v>2900</v>
      </c>
      <c r="H1256" s="3">
        <v>86</v>
      </c>
      <c r="I1256" s="4">
        <v>968.8</v>
      </c>
      <c r="J1256" s="4">
        <v>8100</v>
      </c>
      <c r="K1256" s="3">
        <v>60</v>
      </c>
      <c r="L1256" s="2" t="s">
        <v>2518</v>
      </c>
      <c r="M1256" s="2" t="s">
        <v>2537</v>
      </c>
      <c r="N1256" s="6">
        <f t="shared" si="76"/>
        <v>1</v>
      </c>
      <c r="O1256" t="str">
        <f>IF(Tabla_control[[#This Row],[Control_duplicados]]&gt;1,"Duplicado","Unico")</f>
        <v>Unico</v>
      </c>
      <c r="P1256" t="str">
        <f t="shared" si="77"/>
        <v>OK</v>
      </c>
      <c r="Q1256" t="str">
        <f t="shared" si="78"/>
        <v>OK</v>
      </c>
      <c r="R1256" t="str">
        <f t="shared" si="79"/>
        <v>OK</v>
      </c>
    </row>
    <row r="1257" spans="1:18" x14ac:dyDescent="0.3">
      <c r="A1257" s="1">
        <v>45782</v>
      </c>
      <c r="B1257" s="2" t="s">
        <v>2620</v>
      </c>
      <c r="C1257" s="2" t="s">
        <v>2543</v>
      </c>
      <c r="D1257" s="2" t="s">
        <v>2525</v>
      </c>
      <c r="E1257" s="2" t="s">
        <v>2517</v>
      </c>
      <c r="F1257" s="3">
        <v>23984</v>
      </c>
      <c r="G1257" s="3">
        <v>217</v>
      </c>
      <c r="H1257" s="3">
        <v>21</v>
      </c>
      <c r="I1257" s="4">
        <v>449.75</v>
      </c>
      <c r="J1257" s="4">
        <v>3256.86</v>
      </c>
      <c r="K1257" s="3">
        <v>16</v>
      </c>
      <c r="L1257" s="2" t="s">
        <v>2536</v>
      </c>
      <c r="M1257" s="2" t="s">
        <v>2526</v>
      </c>
      <c r="N1257" s="6">
        <f t="shared" si="76"/>
        <v>1</v>
      </c>
      <c r="O1257" t="str">
        <f>IF(Tabla_control[[#This Row],[Control_duplicados]]&gt;1,"Duplicado","Unico")</f>
        <v>Unico</v>
      </c>
      <c r="P1257" t="str">
        <f t="shared" si="77"/>
        <v>OK</v>
      </c>
      <c r="Q1257" t="str">
        <f t="shared" si="78"/>
        <v>OK</v>
      </c>
      <c r="R1257" t="str">
        <f t="shared" si="79"/>
        <v>OK</v>
      </c>
    </row>
    <row r="1258" spans="1:18" x14ac:dyDescent="0.3">
      <c r="A1258" s="1">
        <v>45935</v>
      </c>
      <c r="B1258" s="2" t="s">
        <v>2616</v>
      </c>
      <c r="C1258" s="2" t="s">
        <v>2543</v>
      </c>
      <c r="D1258" s="2" t="s">
        <v>2528</v>
      </c>
      <c r="E1258" s="2" t="s">
        <v>2517</v>
      </c>
      <c r="F1258" s="3">
        <v>80289</v>
      </c>
      <c r="G1258" s="3">
        <v>5767</v>
      </c>
      <c r="H1258" s="3">
        <v>43</v>
      </c>
      <c r="I1258" s="4">
        <v>11205.21</v>
      </c>
      <c r="J1258" s="4">
        <v>4062.18</v>
      </c>
      <c r="K1258" s="3">
        <v>32</v>
      </c>
      <c r="L1258" s="2" t="s">
        <v>2536</v>
      </c>
      <c r="M1258" s="2" t="s">
        <v>2537</v>
      </c>
      <c r="N1258" s="6">
        <f t="shared" si="76"/>
        <v>1</v>
      </c>
      <c r="O1258" t="str">
        <f>IF(Tabla_control[[#This Row],[Control_duplicados]]&gt;1,"Duplicado","Unico")</f>
        <v>Unico</v>
      </c>
      <c r="P1258" t="str">
        <f t="shared" si="77"/>
        <v>OK</v>
      </c>
      <c r="Q1258" t="str">
        <f t="shared" si="78"/>
        <v>OK</v>
      </c>
      <c r="R1258" t="str">
        <f t="shared" si="79"/>
        <v>OK</v>
      </c>
    </row>
    <row r="1259" spans="1:18" x14ac:dyDescent="0.3">
      <c r="A1259" s="1">
        <v>45992</v>
      </c>
      <c r="B1259" s="2" t="s">
        <v>2644</v>
      </c>
      <c r="C1259" s="2" t="s">
        <v>2515</v>
      </c>
      <c r="D1259" s="2" t="s">
        <v>2525</v>
      </c>
      <c r="E1259" s="2" t="s">
        <v>2517</v>
      </c>
      <c r="F1259" s="3">
        <v>25525</v>
      </c>
      <c r="G1259" s="3">
        <v>1952</v>
      </c>
      <c r="H1259" s="3">
        <v>272</v>
      </c>
      <c r="I1259" s="4">
        <v>3800.76</v>
      </c>
      <c r="J1259" s="4">
        <v>42615.06</v>
      </c>
      <c r="K1259" s="3">
        <v>127</v>
      </c>
      <c r="L1259" s="2" t="s">
        <v>2523</v>
      </c>
      <c r="M1259" s="2" t="s">
        <v>2526</v>
      </c>
      <c r="N1259" s="6">
        <f t="shared" si="76"/>
        <v>1</v>
      </c>
      <c r="O1259" t="str">
        <f>IF(Tabla_control[[#This Row],[Control_duplicados]]&gt;1,"Duplicado","Unico")</f>
        <v>Unico</v>
      </c>
      <c r="P1259" t="str">
        <f t="shared" si="77"/>
        <v>OK</v>
      </c>
      <c r="Q1259" t="str">
        <f t="shared" si="78"/>
        <v>OK</v>
      </c>
      <c r="R1259" t="str">
        <f t="shared" si="79"/>
        <v>OK</v>
      </c>
    </row>
    <row r="1260" spans="1:18" x14ac:dyDescent="0.3">
      <c r="A1260" s="1">
        <v>46002</v>
      </c>
      <c r="B1260" s="2" t="s">
        <v>2639</v>
      </c>
      <c r="C1260" s="2" t="s">
        <v>2521</v>
      </c>
      <c r="D1260" s="2" t="s">
        <v>2525</v>
      </c>
      <c r="E1260" s="2" t="s">
        <v>2517</v>
      </c>
      <c r="F1260" s="3">
        <v>162914</v>
      </c>
      <c r="G1260" s="3">
        <v>11368</v>
      </c>
      <c r="H1260" s="3">
        <v>363</v>
      </c>
      <c r="I1260" s="4">
        <v>2530.7800000000002</v>
      </c>
      <c r="J1260" s="4">
        <v>23289.55</v>
      </c>
      <c r="K1260" s="3">
        <v>289</v>
      </c>
      <c r="L1260" s="2" t="s">
        <v>2523</v>
      </c>
      <c r="M1260" s="2" t="s">
        <v>2526</v>
      </c>
      <c r="N1260" s="6">
        <f t="shared" si="76"/>
        <v>1</v>
      </c>
      <c r="O1260" t="str">
        <f>IF(Tabla_control[[#This Row],[Control_duplicados]]&gt;1,"Duplicado","Unico")</f>
        <v>Unico</v>
      </c>
      <c r="P1260" t="str">
        <f t="shared" si="77"/>
        <v>OK</v>
      </c>
      <c r="Q1260" t="str">
        <f t="shared" si="78"/>
        <v>OK</v>
      </c>
      <c r="R1260" t="str">
        <f t="shared" si="79"/>
        <v>OK</v>
      </c>
    </row>
    <row r="1261" spans="1:18" x14ac:dyDescent="0.3">
      <c r="A1261" s="1">
        <v>45958</v>
      </c>
      <c r="B1261" s="2" t="s">
        <v>2630</v>
      </c>
      <c r="C1261" s="2" t="s">
        <v>2533</v>
      </c>
      <c r="D1261" s="2" t="s">
        <v>2528</v>
      </c>
      <c r="E1261" s="2" t="s">
        <v>2529</v>
      </c>
      <c r="F1261" s="3">
        <v>69332</v>
      </c>
      <c r="G1261" s="3">
        <v>4558</v>
      </c>
      <c r="H1261" s="3">
        <v>76</v>
      </c>
      <c r="I1261" s="4">
        <v>6345.7</v>
      </c>
      <c r="J1261" s="4">
        <v>9773.16</v>
      </c>
      <c r="K1261" s="3">
        <v>61</v>
      </c>
      <c r="L1261" s="2" t="s">
        <v>2518</v>
      </c>
      <c r="M1261" s="2" t="s">
        <v>2519</v>
      </c>
      <c r="N1261" s="6">
        <f t="shared" si="76"/>
        <v>1</v>
      </c>
      <c r="O1261" t="str">
        <f>IF(Tabla_control[[#This Row],[Control_duplicados]]&gt;1,"Duplicado","Unico")</f>
        <v>Unico</v>
      </c>
      <c r="P1261" t="str">
        <f t="shared" si="77"/>
        <v>OK</v>
      </c>
      <c r="Q1261" t="str">
        <f t="shared" si="78"/>
        <v>OK</v>
      </c>
      <c r="R1261" t="str">
        <f t="shared" si="79"/>
        <v>OK</v>
      </c>
    </row>
    <row r="1262" spans="1:18" x14ac:dyDescent="0.3">
      <c r="A1262" s="1">
        <v>45859</v>
      </c>
      <c r="B1262" s="2" t="s">
        <v>2621</v>
      </c>
      <c r="C1262" s="2" t="s">
        <v>2533</v>
      </c>
      <c r="D1262" s="2" t="s">
        <v>2528</v>
      </c>
      <c r="E1262" s="2" t="s">
        <v>2529</v>
      </c>
      <c r="F1262" s="3">
        <v>57137</v>
      </c>
      <c r="G1262" s="3">
        <v>2229</v>
      </c>
      <c r="H1262" s="3">
        <v>284</v>
      </c>
      <c r="I1262" s="4">
        <v>1124.78</v>
      </c>
      <c r="J1262" s="4">
        <v>39241.07</v>
      </c>
      <c r="K1262" s="3">
        <v>168</v>
      </c>
      <c r="L1262" s="2" t="s">
        <v>2523</v>
      </c>
      <c r="M1262" s="2" t="s">
        <v>2524</v>
      </c>
      <c r="N1262" s="6">
        <f t="shared" si="76"/>
        <v>1</v>
      </c>
      <c r="O1262" t="str">
        <f>IF(Tabla_control[[#This Row],[Control_duplicados]]&gt;1,"Duplicado","Unico")</f>
        <v>Unico</v>
      </c>
      <c r="P1262" t="str">
        <f t="shared" si="77"/>
        <v>OK</v>
      </c>
      <c r="Q1262" t="str">
        <f t="shared" si="78"/>
        <v>OK</v>
      </c>
      <c r="R1262" t="str">
        <f t="shared" si="79"/>
        <v>OK</v>
      </c>
    </row>
    <row r="1263" spans="1:18" x14ac:dyDescent="0.3">
      <c r="A1263" s="1">
        <v>46007</v>
      </c>
      <c r="B1263" s="2" t="s">
        <v>2623</v>
      </c>
      <c r="C1263" s="2" t="s">
        <v>2527</v>
      </c>
      <c r="D1263" s="2" t="s">
        <v>2525</v>
      </c>
      <c r="E1263" s="2" t="s">
        <v>2517</v>
      </c>
      <c r="F1263" s="3">
        <v>178438</v>
      </c>
      <c r="G1263" s="3">
        <v>14567</v>
      </c>
      <c r="H1263" s="3">
        <v>1255</v>
      </c>
      <c r="I1263" s="4">
        <v>7878.24</v>
      </c>
      <c r="J1263" s="4">
        <v>124885.36</v>
      </c>
      <c r="K1263" s="3">
        <v>955</v>
      </c>
      <c r="L1263" s="2" t="s">
        <v>2536</v>
      </c>
      <c r="M1263" s="2" t="s">
        <v>2524</v>
      </c>
      <c r="N1263" s="6">
        <f t="shared" si="76"/>
        <v>1</v>
      </c>
      <c r="O1263" t="str">
        <f>IF(Tabla_control[[#This Row],[Control_duplicados]]&gt;1,"Duplicado","Unico")</f>
        <v>Unico</v>
      </c>
      <c r="P1263" t="str">
        <f t="shared" si="77"/>
        <v>OK</v>
      </c>
      <c r="Q1263" t="str">
        <f t="shared" si="78"/>
        <v>OK</v>
      </c>
      <c r="R1263" t="str">
        <f t="shared" si="79"/>
        <v>OK</v>
      </c>
    </row>
    <row r="1264" spans="1:18" x14ac:dyDescent="0.3">
      <c r="A1264" s="1">
        <v>45769</v>
      </c>
      <c r="B1264" s="2" t="s">
        <v>2641</v>
      </c>
      <c r="C1264" s="2" t="s">
        <v>2521</v>
      </c>
      <c r="D1264" s="2" t="s">
        <v>2522</v>
      </c>
      <c r="E1264" s="2" t="s">
        <v>2517</v>
      </c>
      <c r="F1264" s="3">
        <v>166207</v>
      </c>
      <c r="G1264" s="3">
        <v>2223</v>
      </c>
      <c r="H1264" s="3">
        <v>186</v>
      </c>
      <c r="I1264" s="4">
        <v>1244.1300000000001</v>
      </c>
      <c r="J1264" s="4">
        <v>10414.39</v>
      </c>
      <c r="K1264" s="3">
        <v>136</v>
      </c>
      <c r="L1264" s="2" t="s">
        <v>2523</v>
      </c>
      <c r="M1264" s="2" t="s">
        <v>2526</v>
      </c>
      <c r="N1264" s="6">
        <f t="shared" si="76"/>
        <v>1</v>
      </c>
      <c r="O1264" t="str">
        <f>IF(Tabla_control[[#This Row],[Control_duplicados]]&gt;1,"Duplicado","Unico")</f>
        <v>Unico</v>
      </c>
      <c r="P1264" t="str">
        <f t="shared" si="77"/>
        <v>OK</v>
      </c>
      <c r="Q1264" t="str">
        <f t="shared" si="78"/>
        <v>OK</v>
      </c>
      <c r="R1264" t="str">
        <f t="shared" si="79"/>
        <v>OK</v>
      </c>
    </row>
    <row r="1265" spans="1:18" x14ac:dyDescent="0.3">
      <c r="A1265" s="1">
        <v>45975</v>
      </c>
      <c r="B1265" s="2" t="s">
        <v>2630</v>
      </c>
      <c r="C1265" s="2" t="s">
        <v>2515</v>
      </c>
      <c r="D1265" s="2" t="s">
        <v>2531</v>
      </c>
      <c r="E1265" s="2" t="s">
        <v>2529</v>
      </c>
      <c r="F1265" s="3">
        <v>146762</v>
      </c>
      <c r="G1265" s="3">
        <v>1614</v>
      </c>
      <c r="H1265" s="3">
        <v>132</v>
      </c>
      <c r="I1265" s="4">
        <v>2670.53</v>
      </c>
      <c r="J1265" s="4">
        <v>24522.73</v>
      </c>
      <c r="K1265" s="3">
        <v>107</v>
      </c>
      <c r="L1265" s="2" t="s">
        <v>2518</v>
      </c>
      <c r="M1265" s="2" t="s">
        <v>2524</v>
      </c>
      <c r="N1265" s="6">
        <f t="shared" si="76"/>
        <v>1</v>
      </c>
      <c r="O1265" t="str">
        <f>IF(Tabla_control[[#This Row],[Control_duplicados]]&gt;1,"Duplicado","Unico")</f>
        <v>Unico</v>
      </c>
      <c r="P1265" t="str">
        <f t="shared" si="77"/>
        <v>OK</v>
      </c>
      <c r="Q1265" t="str">
        <f t="shared" si="78"/>
        <v>OK</v>
      </c>
      <c r="R1265" t="str">
        <f t="shared" si="79"/>
        <v>OK</v>
      </c>
    </row>
    <row r="1266" spans="1:18" x14ac:dyDescent="0.3">
      <c r="A1266" s="1">
        <v>45845</v>
      </c>
      <c r="B1266" s="2" t="s">
        <v>2632</v>
      </c>
      <c r="C1266" s="2" t="s">
        <v>2541</v>
      </c>
      <c r="D1266" s="2" t="s">
        <v>2528</v>
      </c>
      <c r="E1266" s="2" t="s">
        <v>2529</v>
      </c>
      <c r="F1266" s="3">
        <v>55933</v>
      </c>
      <c r="G1266" s="3">
        <v>2235</v>
      </c>
      <c r="H1266" s="3">
        <v>302</v>
      </c>
      <c r="I1266" s="4">
        <v>4579.2700000000004</v>
      </c>
      <c r="J1266" s="4">
        <v>46845.24</v>
      </c>
      <c r="K1266" s="3">
        <v>243</v>
      </c>
      <c r="L1266" s="2" t="s">
        <v>2536</v>
      </c>
      <c r="M1266" s="2" t="s">
        <v>2546</v>
      </c>
      <c r="N1266" s="6">
        <f t="shared" si="76"/>
        <v>1</v>
      </c>
      <c r="O1266" t="str">
        <f>IF(Tabla_control[[#This Row],[Control_duplicados]]&gt;1,"Duplicado","Unico")</f>
        <v>Unico</v>
      </c>
      <c r="P1266" t="str">
        <f t="shared" si="77"/>
        <v>OK</v>
      </c>
      <c r="Q1266" t="str">
        <f t="shared" si="78"/>
        <v>OK</v>
      </c>
      <c r="R1266" t="str">
        <f t="shared" si="79"/>
        <v>OK</v>
      </c>
    </row>
    <row r="1267" spans="1:18" x14ac:dyDescent="0.3">
      <c r="A1267" s="1">
        <v>45999</v>
      </c>
      <c r="B1267" s="2" t="s">
        <v>2629</v>
      </c>
      <c r="C1267" s="2" t="s">
        <v>2541</v>
      </c>
      <c r="D1267" s="2" t="s">
        <v>2525</v>
      </c>
      <c r="E1267" s="2" t="s">
        <v>2529</v>
      </c>
      <c r="F1267" s="3">
        <v>37212</v>
      </c>
      <c r="G1267" s="3">
        <v>1278</v>
      </c>
      <c r="H1267" s="3">
        <v>56</v>
      </c>
      <c r="I1267" s="4">
        <v>389.28</v>
      </c>
      <c r="J1267" s="4">
        <v>8833.59</v>
      </c>
      <c r="K1267" s="3">
        <v>37</v>
      </c>
      <c r="L1267" s="2" t="s">
        <v>2523</v>
      </c>
      <c r="M1267" s="2" t="s">
        <v>2519</v>
      </c>
      <c r="N1267" s="6">
        <f t="shared" si="76"/>
        <v>1</v>
      </c>
      <c r="O1267" t="str">
        <f>IF(Tabla_control[[#This Row],[Control_duplicados]]&gt;1,"Duplicado","Unico")</f>
        <v>Unico</v>
      </c>
      <c r="P1267" t="str">
        <f t="shared" si="77"/>
        <v>OK</v>
      </c>
      <c r="Q1267" t="str">
        <f t="shared" si="78"/>
        <v>OK</v>
      </c>
      <c r="R1267" t="str">
        <f t="shared" si="79"/>
        <v>OK</v>
      </c>
    </row>
    <row r="1268" spans="1:18" x14ac:dyDescent="0.3">
      <c r="A1268" s="1">
        <v>45942</v>
      </c>
      <c r="B1268" s="2" t="s">
        <v>2621</v>
      </c>
      <c r="C1268" s="2" t="s">
        <v>2521</v>
      </c>
      <c r="D1268" s="2" t="s">
        <v>2531</v>
      </c>
      <c r="E1268" s="2" t="s">
        <v>2529</v>
      </c>
      <c r="F1268" s="3">
        <v>90185</v>
      </c>
      <c r="G1268" s="3">
        <v>6892</v>
      </c>
      <c r="H1268" s="3">
        <v>576</v>
      </c>
      <c r="I1268" s="4">
        <v>12331.64</v>
      </c>
      <c r="J1268" s="4">
        <v>51773.97</v>
      </c>
      <c r="K1268" s="3">
        <v>344</v>
      </c>
      <c r="L1268" s="2" t="s">
        <v>2523</v>
      </c>
      <c r="M1268" s="2" t="s">
        <v>2546</v>
      </c>
      <c r="N1268" s="6">
        <f t="shared" si="76"/>
        <v>1</v>
      </c>
      <c r="O1268" t="str">
        <f>IF(Tabla_control[[#This Row],[Control_duplicados]]&gt;1,"Duplicado","Unico")</f>
        <v>Unico</v>
      </c>
      <c r="P1268" t="str">
        <f t="shared" si="77"/>
        <v>OK</v>
      </c>
      <c r="Q1268" t="str">
        <f t="shared" si="78"/>
        <v>OK</v>
      </c>
      <c r="R1268" t="str">
        <f t="shared" si="79"/>
        <v>OK</v>
      </c>
    </row>
    <row r="1269" spans="1:18" x14ac:dyDescent="0.3">
      <c r="A1269" s="1">
        <v>45991</v>
      </c>
      <c r="B1269" s="2" t="s">
        <v>2634</v>
      </c>
      <c r="C1269" s="2" t="s">
        <v>2533</v>
      </c>
      <c r="D1269" s="2" t="s">
        <v>2522</v>
      </c>
      <c r="E1269" s="2" t="s">
        <v>2529</v>
      </c>
      <c r="F1269" s="3">
        <v>117714</v>
      </c>
      <c r="G1269" s="3">
        <v>1488</v>
      </c>
      <c r="H1269" s="3">
        <v>207</v>
      </c>
      <c r="I1269" s="4">
        <v>869.51</v>
      </c>
      <c r="J1269" s="4">
        <v>18199.39</v>
      </c>
      <c r="K1269" s="3">
        <v>179</v>
      </c>
      <c r="L1269" s="2" t="s">
        <v>2518</v>
      </c>
      <c r="M1269" s="2" t="s">
        <v>2546</v>
      </c>
      <c r="N1269" s="6">
        <f t="shared" si="76"/>
        <v>1</v>
      </c>
      <c r="O1269" t="str">
        <f>IF(Tabla_control[[#This Row],[Control_duplicados]]&gt;1,"Duplicado","Unico")</f>
        <v>Unico</v>
      </c>
      <c r="P1269" t="str">
        <f t="shared" si="77"/>
        <v>OK</v>
      </c>
      <c r="Q1269" t="str">
        <f t="shared" si="78"/>
        <v>OK</v>
      </c>
      <c r="R1269" t="str">
        <f t="shared" si="79"/>
        <v>OK</v>
      </c>
    </row>
    <row r="1270" spans="1:18" x14ac:dyDescent="0.3">
      <c r="A1270" s="1">
        <v>45862</v>
      </c>
      <c r="B1270" s="2" t="s">
        <v>2618</v>
      </c>
      <c r="C1270" s="2" t="s">
        <v>2527</v>
      </c>
      <c r="D1270" s="2" t="s">
        <v>2522</v>
      </c>
      <c r="E1270" s="2" t="s">
        <v>2529</v>
      </c>
      <c r="F1270" s="3">
        <v>143149</v>
      </c>
      <c r="G1270" s="3">
        <v>4780</v>
      </c>
      <c r="H1270" s="3">
        <v>227</v>
      </c>
      <c r="I1270" s="4">
        <v>5284.77</v>
      </c>
      <c r="J1270" s="4">
        <v>44097.48</v>
      </c>
      <c r="K1270" s="3">
        <v>118</v>
      </c>
      <c r="L1270" s="2" t="s">
        <v>2536</v>
      </c>
      <c r="M1270" s="2" t="s">
        <v>2537</v>
      </c>
      <c r="N1270" s="6">
        <f t="shared" si="76"/>
        <v>1</v>
      </c>
      <c r="O1270" t="str">
        <f>IF(Tabla_control[[#This Row],[Control_duplicados]]&gt;1,"Duplicado","Unico")</f>
        <v>Unico</v>
      </c>
      <c r="P1270" t="str">
        <f t="shared" si="77"/>
        <v>OK</v>
      </c>
      <c r="Q1270" t="str">
        <f t="shared" si="78"/>
        <v>OK</v>
      </c>
      <c r="R1270" t="str">
        <f t="shared" si="79"/>
        <v>OK</v>
      </c>
    </row>
    <row r="1271" spans="1:18" x14ac:dyDescent="0.3">
      <c r="A1271" s="1">
        <v>45991</v>
      </c>
      <c r="B1271" s="2" t="s">
        <v>2616</v>
      </c>
      <c r="C1271" s="2" t="s">
        <v>2515</v>
      </c>
      <c r="D1271" s="2" t="s">
        <v>2531</v>
      </c>
      <c r="E1271" s="2" t="s">
        <v>2534</v>
      </c>
      <c r="F1271" s="3">
        <v>89565</v>
      </c>
      <c r="G1271" s="3">
        <v>7513</v>
      </c>
      <c r="H1271" s="3">
        <v>43</v>
      </c>
      <c r="I1271" s="4">
        <v>3499.8</v>
      </c>
      <c r="J1271" s="4">
        <v>1033.31</v>
      </c>
      <c r="K1271" s="3">
        <v>37</v>
      </c>
      <c r="L1271" s="2" t="s">
        <v>2536</v>
      </c>
      <c r="M1271" s="2" t="s">
        <v>2537</v>
      </c>
      <c r="N1271" s="6">
        <f t="shared" si="76"/>
        <v>1</v>
      </c>
      <c r="O1271" t="str">
        <f>IF(Tabla_control[[#This Row],[Control_duplicados]]&gt;1,"Duplicado","Unico")</f>
        <v>Unico</v>
      </c>
      <c r="P1271" t="str">
        <f t="shared" si="77"/>
        <v>OK</v>
      </c>
      <c r="Q1271" t="str">
        <f t="shared" si="78"/>
        <v>OK</v>
      </c>
      <c r="R1271" t="str">
        <f t="shared" si="79"/>
        <v>OK</v>
      </c>
    </row>
    <row r="1272" spans="1:18" x14ac:dyDescent="0.3">
      <c r="A1272" s="1">
        <v>45672</v>
      </c>
      <c r="B1272" s="2" t="s">
        <v>2619</v>
      </c>
      <c r="C1272" s="2" t="s">
        <v>2541</v>
      </c>
      <c r="D1272" s="2" t="s">
        <v>2516</v>
      </c>
      <c r="E1272" s="2" t="s">
        <v>2529</v>
      </c>
      <c r="F1272" s="3">
        <v>95412</v>
      </c>
      <c r="G1272" s="3">
        <v>6296</v>
      </c>
      <c r="H1272" s="3">
        <v>513</v>
      </c>
      <c r="I1272" s="4">
        <v>9302.81</v>
      </c>
      <c r="J1272" s="4">
        <v>73987.03</v>
      </c>
      <c r="K1272" s="3">
        <v>271</v>
      </c>
      <c r="L1272" s="2" t="s">
        <v>2536</v>
      </c>
      <c r="M1272" s="2" t="s">
        <v>2537</v>
      </c>
      <c r="N1272" s="6">
        <f t="shared" si="76"/>
        <v>1</v>
      </c>
      <c r="O1272" t="str">
        <f>IF(Tabla_control[[#This Row],[Control_duplicados]]&gt;1,"Duplicado","Unico")</f>
        <v>Unico</v>
      </c>
      <c r="P1272" t="str">
        <f t="shared" si="77"/>
        <v>OK</v>
      </c>
      <c r="Q1272" t="str">
        <f t="shared" si="78"/>
        <v>OK</v>
      </c>
      <c r="R1272" t="str">
        <f t="shared" si="79"/>
        <v>OK</v>
      </c>
    </row>
    <row r="1273" spans="1:18" x14ac:dyDescent="0.3">
      <c r="A1273" s="1">
        <v>45805</v>
      </c>
      <c r="B1273" s="2" t="s">
        <v>2622</v>
      </c>
      <c r="C1273" s="2" t="s">
        <v>2515</v>
      </c>
      <c r="D1273" s="2" t="s">
        <v>2645</v>
      </c>
      <c r="E1273" s="2" t="s">
        <v>2517</v>
      </c>
      <c r="F1273" s="3">
        <v>43342</v>
      </c>
      <c r="G1273" s="3">
        <v>2365</v>
      </c>
      <c r="H1273" s="3">
        <v>270</v>
      </c>
      <c r="I1273" s="4">
        <v>3269.21</v>
      </c>
      <c r="J1273" s="4">
        <v>37673.25</v>
      </c>
      <c r="K1273" s="3">
        <v>205</v>
      </c>
      <c r="L1273" s="2" t="s">
        <v>2539</v>
      </c>
      <c r="M1273" s="2" t="s">
        <v>2524</v>
      </c>
      <c r="N1273" s="6">
        <f t="shared" si="76"/>
        <v>1</v>
      </c>
      <c r="O1273" t="str">
        <f>IF(Tabla_control[[#This Row],[Control_duplicados]]&gt;1,"Duplicado","Unico")</f>
        <v>Unico</v>
      </c>
      <c r="P1273" t="str">
        <f t="shared" si="77"/>
        <v>OK</v>
      </c>
      <c r="Q1273" t="str">
        <f t="shared" si="78"/>
        <v>OK</v>
      </c>
      <c r="R1273" t="str">
        <f t="shared" si="79"/>
        <v>OK</v>
      </c>
    </row>
    <row r="1274" spans="1:18" x14ac:dyDescent="0.3">
      <c r="A1274" s="1">
        <v>45783</v>
      </c>
      <c r="B1274" s="2" t="s">
        <v>2626</v>
      </c>
      <c r="C1274" s="2" t="s">
        <v>2515</v>
      </c>
      <c r="D1274" s="2" t="s">
        <v>2528</v>
      </c>
      <c r="E1274" s="2" t="s">
        <v>2529</v>
      </c>
      <c r="F1274" s="3">
        <v>26679</v>
      </c>
      <c r="G1274" s="3">
        <v>178</v>
      </c>
      <c r="H1274" s="3">
        <v>9</v>
      </c>
      <c r="I1274" s="4">
        <v>311.75</v>
      </c>
      <c r="J1274" s="4">
        <v>426.39</v>
      </c>
      <c r="K1274" s="3">
        <v>5</v>
      </c>
      <c r="L1274" s="2" t="s">
        <v>2539</v>
      </c>
      <c r="M1274" s="2" t="s">
        <v>2526</v>
      </c>
      <c r="N1274" s="6">
        <f t="shared" si="76"/>
        <v>1</v>
      </c>
      <c r="O1274" t="str">
        <f>IF(Tabla_control[[#This Row],[Control_duplicados]]&gt;1,"Duplicado","Unico")</f>
        <v>Unico</v>
      </c>
      <c r="P1274" t="str">
        <f t="shared" si="77"/>
        <v>OK</v>
      </c>
      <c r="Q1274" t="str">
        <f t="shared" si="78"/>
        <v>OK</v>
      </c>
      <c r="R1274" t="str">
        <f t="shared" si="79"/>
        <v>OK</v>
      </c>
    </row>
    <row r="1275" spans="1:18" x14ac:dyDescent="0.3">
      <c r="A1275" s="1">
        <v>45833</v>
      </c>
      <c r="B1275" s="2" t="s">
        <v>2626</v>
      </c>
      <c r="C1275" s="2" t="s">
        <v>2521</v>
      </c>
      <c r="D1275" s="2" t="s">
        <v>2528</v>
      </c>
      <c r="E1275" s="2" t="s">
        <v>2517</v>
      </c>
      <c r="F1275" s="3">
        <v>116177</v>
      </c>
      <c r="G1275" s="3">
        <v>2522</v>
      </c>
      <c r="H1275" s="3">
        <v>295</v>
      </c>
      <c r="I1275" s="4">
        <v>4670.24</v>
      </c>
      <c r="J1275" s="4">
        <v>41820.199999999997</v>
      </c>
      <c r="K1275" s="3">
        <v>162</v>
      </c>
      <c r="L1275" s="2" t="s">
        <v>2518</v>
      </c>
      <c r="M1275" s="2" t="s">
        <v>2546</v>
      </c>
      <c r="N1275" s="6">
        <f t="shared" si="76"/>
        <v>1</v>
      </c>
      <c r="O1275" t="str">
        <f>IF(Tabla_control[[#This Row],[Control_duplicados]]&gt;1,"Duplicado","Unico")</f>
        <v>Unico</v>
      </c>
      <c r="P1275" t="str">
        <f t="shared" si="77"/>
        <v>OK</v>
      </c>
      <c r="Q1275" t="str">
        <f t="shared" si="78"/>
        <v>OK</v>
      </c>
      <c r="R1275" t="str">
        <f t="shared" si="79"/>
        <v>OK</v>
      </c>
    </row>
    <row r="1276" spans="1:18" x14ac:dyDescent="0.3">
      <c r="A1276" s="1">
        <v>45809</v>
      </c>
      <c r="B1276" s="2" t="s">
        <v>2616</v>
      </c>
      <c r="C1276" s="2" t="s">
        <v>2527</v>
      </c>
      <c r="D1276" s="2" t="s">
        <v>2516</v>
      </c>
      <c r="E1276" s="2" t="s">
        <v>2517</v>
      </c>
      <c r="F1276" s="3">
        <v>168668</v>
      </c>
      <c r="G1276" s="3">
        <v>11018</v>
      </c>
      <c r="H1276" s="3">
        <v>1144</v>
      </c>
      <c r="I1276" s="4">
        <v>6803.68</v>
      </c>
      <c r="J1276" s="4">
        <v>146828.16</v>
      </c>
      <c r="K1276" s="3">
        <v>605</v>
      </c>
      <c r="L1276" s="2" t="s">
        <v>2536</v>
      </c>
      <c r="M1276" s="2" t="s">
        <v>2524</v>
      </c>
      <c r="N1276" s="6">
        <f t="shared" si="76"/>
        <v>1</v>
      </c>
      <c r="O1276" t="str">
        <f>IF(Tabla_control[[#This Row],[Control_duplicados]]&gt;1,"Duplicado","Unico")</f>
        <v>Unico</v>
      </c>
      <c r="P1276" t="str">
        <f t="shared" si="77"/>
        <v>OK</v>
      </c>
      <c r="Q1276" t="str">
        <f t="shared" si="78"/>
        <v>OK</v>
      </c>
      <c r="R1276" t="str">
        <f t="shared" si="79"/>
        <v>OK</v>
      </c>
    </row>
    <row r="1277" spans="1:18" x14ac:dyDescent="0.3">
      <c r="A1277" s="1">
        <v>45954</v>
      </c>
      <c r="B1277" s="2" t="s">
        <v>2623</v>
      </c>
      <c r="C1277" s="2" t="s">
        <v>2543</v>
      </c>
      <c r="D1277" s="2" t="s">
        <v>2522</v>
      </c>
      <c r="E1277" s="2" t="s">
        <v>2529</v>
      </c>
      <c r="F1277" s="3">
        <v>162159</v>
      </c>
      <c r="G1277" s="3">
        <v>5588</v>
      </c>
      <c r="H1277" s="3">
        <v>139</v>
      </c>
      <c r="I1277" s="4">
        <v>8148.76</v>
      </c>
      <c r="J1277" s="4">
        <v>17106.45</v>
      </c>
      <c r="K1277" s="3">
        <v>83</v>
      </c>
      <c r="L1277" s="2" t="s">
        <v>2523</v>
      </c>
      <c r="M1277" s="2" t="s">
        <v>2546</v>
      </c>
      <c r="N1277" s="6">
        <f t="shared" si="76"/>
        <v>1</v>
      </c>
      <c r="O1277" t="str">
        <f>IF(Tabla_control[[#This Row],[Control_duplicados]]&gt;1,"Duplicado","Unico")</f>
        <v>Unico</v>
      </c>
      <c r="P1277" t="str">
        <f t="shared" si="77"/>
        <v>OK</v>
      </c>
      <c r="Q1277" t="str">
        <f t="shared" si="78"/>
        <v>OK</v>
      </c>
      <c r="R1277" t="str">
        <f t="shared" si="79"/>
        <v>OK</v>
      </c>
    </row>
    <row r="1278" spans="1:18" x14ac:dyDescent="0.3">
      <c r="A1278" s="1">
        <v>45886</v>
      </c>
      <c r="B1278" s="2" t="s">
        <v>2639</v>
      </c>
      <c r="C1278" s="2" t="s">
        <v>2533</v>
      </c>
      <c r="D1278" s="2" t="s">
        <v>2522</v>
      </c>
      <c r="E1278" s="2" t="s">
        <v>2517</v>
      </c>
      <c r="F1278" s="3">
        <v>89788</v>
      </c>
      <c r="G1278" s="3">
        <v>2757</v>
      </c>
      <c r="H1278" s="3">
        <v>229</v>
      </c>
      <c r="I1278" s="4">
        <v>1157.5999999999999</v>
      </c>
      <c r="J1278" s="4">
        <v>22914.2</v>
      </c>
      <c r="K1278" s="3">
        <v>202</v>
      </c>
      <c r="L1278" s="2" t="s">
        <v>2523</v>
      </c>
      <c r="M1278" s="2" t="s">
        <v>2519</v>
      </c>
      <c r="N1278" s="6">
        <f t="shared" si="76"/>
        <v>1</v>
      </c>
      <c r="O1278" t="str">
        <f>IF(Tabla_control[[#This Row],[Control_duplicados]]&gt;1,"Duplicado","Unico")</f>
        <v>Unico</v>
      </c>
      <c r="P1278" t="str">
        <f t="shared" si="77"/>
        <v>OK</v>
      </c>
      <c r="Q1278" t="str">
        <f t="shared" si="78"/>
        <v>OK</v>
      </c>
      <c r="R1278" t="str">
        <f t="shared" si="79"/>
        <v>OK</v>
      </c>
    </row>
    <row r="1279" spans="1:18" x14ac:dyDescent="0.3">
      <c r="A1279" s="1">
        <v>45732</v>
      </c>
      <c r="B1279" s="2" t="s">
        <v>2632</v>
      </c>
      <c r="C1279" s="2" t="s">
        <v>2533</v>
      </c>
      <c r="D1279" s="2" t="s">
        <v>2516</v>
      </c>
      <c r="E1279" s="2" t="s">
        <v>2517</v>
      </c>
      <c r="F1279" s="3">
        <v>95984</v>
      </c>
      <c r="G1279" s="3">
        <v>1137</v>
      </c>
      <c r="H1279" s="3">
        <v>113</v>
      </c>
      <c r="I1279" s="4">
        <v>761.41</v>
      </c>
      <c r="J1279" s="4">
        <v>5484.78</v>
      </c>
      <c r="K1279" s="3">
        <v>95</v>
      </c>
      <c r="L1279" s="2" t="s">
        <v>2539</v>
      </c>
      <c r="M1279" s="2" t="s">
        <v>2537</v>
      </c>
      <c r="N1279" s="6">
        <f t="shared" si="76"/>
        <v>1</v>
      </c>
      <c r="O1279" t="str">
        <f>IF(Tabla_control[[#This Row],[Control_duplicados]]&gt;1,"Duplicado","Unico")</f>
        <v>Unico</v>
      </c>
      <c r="P1279" t="str">
        <f t="shared" si="77"/>
        <v>OK</v>
      </c>
      <c r="Q1279" t="str">
        <f t="shared" si="78"/>
        <v>OK</v>
      </c>
      <c r="R1279" t="str">
        <f t="shared" si="79"/>
        <v>OK</v>
      </c>
    </row>
    <row r="1280" spans="1:18" x14ac:dyDescent="0.3">
      <c r="A1280" s="1">
        <v>45726</v>
      </c>
      <c r="B1280" s="2" t="s">
        <v>2621</v>
      </c>
      <c r="C1280" s="2" t="s">
        <v>2541</v>
      </c>
      <c r="D1280" s="2" t="s">
        <v>2516</v>
      </c>
      <c r="E1280" s="2" t="s">
        <v>2517</v>
      </c>
      <c r="F1280" s="3">
        <v>86571</v>
      </c>
      <c r="G1280" s="3">
        <v>2063</v>
      </c>
      <c r="H1280" s="3">
        <v>247</v>
      </c>
      <c r="I1280" s="4">
        <v>1379.35</v>
      </c>
      <c r="J1280" s="4">
        <v>31659.45</v>
      </c>
      <c r="K1280" s="3">
        <v>215</v>
      </c>
      <c r="L1280" s="2" t="s">
        <v>2518</v>
      </c>
      <c r="M1280" s="2" t="s">
        <v>2537</v>
      </c>
      <c r="N1280" s="6">
        <f t="shared" si="76"/>
        <v>1</v>
      </c>
      <c r="O1280" t="str">
        <f>IF(Tabla_control[[#This Row],[Control_duplicados]]&gt;1,"Duplicado","Unico")</f>
        <v>Unico</v>
      </c>
      <c r="P1280" t="str">
        <f t="shared" si="77"/>
        <v>OK</v>
      </c>
      <c r="Q1280" t="str">
        <f t="shared" si="78"/>
        <v>OK</v>
      </c>
      <c r="R1280" t="str">
        <f t="shared" si="79"/>
        <v>OK</v>
      </c>
    </row>
    <row r="1281" spans="1:18" x14ac:dyDescent="0.3">
      <c r="A1281" s="1">
        <v>45687</v>
      </c>
      <c r="B1281" s="2" t="s">
        <v>2638</v>
      </c>
      <c r="C1281" s="2" t="s">
        <v>2541</v>
      </c>
      <c r="D1281" s="2" t="s">
        <v>2528</v>
      </c>
      <c r="E1281" s="2" t="s">
        <v>2534</v>
      </c>
      <c r="F1281" s="3">
        <v>49187</v>
      </c>
      <c r="G1281" s="3">
        <v>3064</v>
      </c>
      <c r="H1281" s="3">
        <v>138</v>
      </c>
      <c r="I1281" s="4">
        <v>1515.08</v>
      </c>
      <c r="J1281" s="4">
        <v>15808.3</v>
      </c>
      <c r="K1281" s="3">
        <v>74</v>
      </c>
      <c r="L1281" s="2" t="s">
        <v>2523</v>
      </c>
      <c r="M1281" s="2" t="s">
        <v>2546</v>
      </c>
      <c r="N1281" s="6">
        <f t="shared" si="76"/>
        <v>1</v>
      </c>
      <c r="O1281" t="str">
        <f>IF(Tabla_control[[#This Row],[Control_duplicados]]&gt;1,"Duplicado","Unico")</f>
        <v>Unico</v>
      </c>
      <c r="P1281" t="str">
        <f t="shared" si="77"/>
        <v>OK</v>
      </c>
      <c r="Q1281" t="str">
        <f t="shared" si="78"/>
        <v>OK</v>
      </c>
      <c r="R1281" t="str">
        <f t="shared" si="79"/>
        <v>OK</v>
      </c>
    </row>
    <row r="1282" spans="1:18" x14ac:dyDescent="0.3">
      <c r="A1282" s="1">
        <v>45697</v>
      </c>
      <c r="B1282" s="2" t="s">
        <v>2629</v>
      </c>
      <c r="C1282" s="2" t="s">
        <v>2521</v>
      </c>
      <c r="D1282" s="2" t="s">
        <v>2528</v>
      </c>
      <c r="E1282" s="2" t="s">
        <v>2517</v>
      </c>
      <c r="F1282" s="3">
        <v>127219</v>
      </c>
      <c r="G1282" s="3">
        <v>3424</v>
      </c>
      <c r="H1282" s="3">
        <v>129</v>
      </c>
      <c r="I1282" s="4">
        <v>5226.33</v>
      </c>
      <c r="J1282" s="4">
        <v>26534.76</v>
      </c>
      <c r="K1282" s="3">
        <v>101</v>
      </c>
      <c r="L1282" s="2" t="s">
        <v>2518</v>
      </c>
      <c r="M1282" s="2" t="s">
        <v>2524</v>
      </c>
      <c r="N1282" s="6">
        <f t="shared" ref="N1282:N1345" si="80">COUNTIFS($A$2:$A$2536,A1282,$B$2:$B$2536,B1282,$C$2:$C$2536,C1282,$D$2:$D$2536,D1282,$E$2:$E$2536,E1282,$F$2:$F$2536,F1282,$G$2:$G$2536,G1282,$H$2:$H$2536,H1282,$I$2:$I$2536,I1282,$J$2:$J$2536,J1282,$K$2:$K$2536,K1282,$L$2:$L$2536,L1282,$M$2:$M$2536,M1282)</f>
        <v>1</v>
      </c>
      <c r="O1282" t="str">
        <f>IF(Tabla_control[[#This Row],[Control_duplicados]]&gt;1,"Duplicado","Unico")</f>
        <v>Unico</v>
      </c>
      <c r="P1282" t="str">
        <f t="shared" ref="P1282:P1345" si="81">IF(OR(I1282="",I1282&lt;0),"ERROR","OK")</f>
        <v>OK</v>
      </c>
      <c r="Q1282" t="str">
        <f t="shared" ref="Q1282:Q1345" si="82">IF(H1282&gt;F1282,"ERROR","OK")</f>
        <v>OK</v>
      </c>
      <c r="R1282" t="str">
        <f t="shared" ref="R1282:R1345" si="83">IF(K1282&gt;H1282,"ERROR","OK")</f>
        <v>OK</v>
      </c>
    </row>
    <row r="1283" spans="1:18" x14ac:dyDescent="0.3">
      <c r="A1283" s="1">
        <v>45720</v>
      </c>
      <c r="B1283" s="2" t="s">
        <v>2637</v>
      </c>
      <c r="C1283" s="2" t="s">
        <v>2521</v>
      </c>
      <c r="D1283" s="2" t="s">
        <v>2531</v>
      </c>
      <c r="E1283" s="2" t="s">
        <v>2529</v>
      </c>
      <c r="F1283" s="3">
        <v>120016</v>
      </c>
      <c r="G1283" s="3">
        <v>708</v>
      </c>
      <c r="H1283" s="3">
        <v>12</v>
      </c>
      <c r="I1283" s="4">
        <v>556.61</v>
      </c>
      <c r="J1283" s="4">
        <v>2274.87</v>
      </c>
      <c r="K1283" s="3">
        <v>8</v>
      </c>
      <c r="L1283" s="2" t="s">
        <v>2518</v>
      </c>
      <c r="M1283" s="2" t="s">
        <v>2546</v>
      </c>
      <c r="N1283" s="6">
        <f t="shared" si="80"/>
        <v>1</v>
      </c>
      <c r="O1283" t="str">
        <f>IF(Tabla_control[[#This Row],[Control_duplicados]]&gt;1,"Duplicado","Unico")</f>
        <v>Unico</v>
      </c>
      <c r="P1283" t="str">
        <f t="shared" si="81"/>
        <v>OK</v>
      </c>
      <c r="Q1283" t="str">
        <f t="shared" si="82"/>
        <v>OK</v>
      </c>
      <c r="R1283" t="str">
        <f t="shared" si="83"/>
        <v>OK</v>
      </c>
    </row>
    <row r="1284" spans="1:18" x14ac:dyDescent="0.3">
      <c r="A1284" s="1">
        <v>45938</v>
      </c>
      <c r="B1284" s="2" t="s">
        <v>2621</v>
      </c>
      <c r="C1284" s="2" t="s">
        <v>2533</v>
      </c>
      <c r="D1284" s="2" t="s">
        <v>2525</v>
      </c>
      <c r="E1284" s="2" t="s">
        <v>2529</v>
      </c>
      <c r="F1284" s="3">
        <v>155418</v>
      </c>
      <c r="G1284" s="3">
        <v>2491</v>
      </c>
      <c r="H1284" s="3">
        <v>218</v>
      </c>
      <c r="I1284" s="4">
        <v>2322.06</v>
      </c>
      <c r="J1284" s="4">
        <v>12510.67</v>
      </c>
      <c r="K1284" s="3">
        <v>154</v>
      </c>
      <c r="L1284" s="2" t="s">
        <v>2536</v>
      </c>
      <c r="M1284" s="2" t="s">
        <v>2537</v>
      </c>
      <c r="N1284" s="6">
        <f t="shared" si="80"/>
        <v>1</v>
      </c>
      <c r="O1284" t="str">
        <f>IF(Tabla_control[[#This Row],[Control_duplicados]]&gt;1,"Duplicado","Unico")</f>
        <v>Unico</v>
      </c>
      <c r="P1284" t="str">
        <f t="shared" si="81"/>
        <v>OK</v>
      </c>
      <c r="Q1284" t="str">
        <f t="shared" si="82"/>
        <v>OK</v>
      </c>
      <c r="R1284" t="str">
        <f t="shared" si="83"/>
        <v>OK</v>
      </c>
    </row>
    <row r="1285" spans="1:18" x14ac:dyDescent="0.3">
      <c r="A1285" s="1">
        <v>45680</v>
      </c>
      <c r="B1285" s="2" t="s">
        <v>2626</v>
      </c>
      <c r="C1285" s="2" t="s">
        <v>2533</v>
      </c>
      <c r="D1285" s="2" t="s">
        <v>2528</v>
      </c>
      <c r="E1285" s="2" t="s">
        <v>2529</v>
      </c>
      <c r="F1285" s="3">
        <v>62741</v>
      </c>
      <c r="G1285" s="3">
        <v>354</v>
      </c>
      <c r="H1285" s="3">
        <v>27</v>
      </c>
      <c r="I1285" s="4">
        <v>382.83</v>
      </c>
      <c r="J1285" s="4">
        <v>5473.73</v>
      </c>
      <c r="K1285" s="3">
        <v>21</v>
      </c>
      <c r="L1285" s="2" t="s">
        <v>2539</v>
      </c>
      <c r="M1285" s="2" t="s">
        <v>2526</v>
      </c>
      <c r="N1285" s="6">
        <f t="shared" si="80"/>
        <v>1</v>
      </c>
      <c r="O1285" t="str">
        <f>IF(Tabla_control[[#This Row],[Control_duplicados]]&gt;1,"Duplicado","Unico")</f>
        <v>Unico</v>
      </c>
      <c r="P1285" t="str">
        <f t="shared" si="81"/>
        <v>OK</v>
      </c>
      <c r="Q1285" t="str">
        <f t="shared" si="82"/>
        <v>OK</v>
      </c>
      <c r="R1285" t="str">
        <f t="shared" si="83"/>
        <v>OK</v>
      </c>
    </row>
    <row r="1286" spans="1:18" x14ac:dyDescent="0.3">
      <c r="A1286" s="1">
        <v>45698</v>
      </c>
      <c r="B1286" s="2" t="s">
        <v>2615</v>
      </c>
      <c r="C1286" s="2" t="s">
        <v>2515</v>
      </c>
      <c r="D1286" s="2" t="s">
        <v>2525</v>
      </c>
      <c r="E1286" s="2" t="s">
        <v>2529</v>
      </c>
      <c r="F1286" s="3">
        <v>114767</v>
      </c>
      <c r="G1286" s="3">
        <v>4059</v>
      </c>
      <c r="H1286" s="3">
        <v>36</v>
      </c>
      <c r="I1286" s="4">
        <v>5186.1000000000004</v>
      </c>
      <c r="J1286" s="4">
        <v>6674.22</v>
      </c>
      <c r="K1286" s="3">
        <v>16</v>
      </c>
      <c r="L1286" s="2" t="s">
        <v>2536</v>
      </c>
      <c r="M1286" s="2" t="s">
        <v>2537</v>
      </c>
      <c r="N1286" s="6">
        <f t="shared" si="80"/>
        <v>1</v>
      </c>
      <c r="O1286" t="str">
        <f>IF(Tabla_control[[#This Row],[Control_duplicados]]&gt;1,"Duplicado","Unico")</f>
        <v>Unico</v>
      </c>
      <c r="P1286" t="str">
        <f t="shared" si="81"/>
        <v>OK</v>
      </c>
      <c r="Q1286" t="str">
        <f t="shared" si="82"/>
        <v>OK</v>
      </c>
      <c r="R1286" t="str">
        <f t="shared" si="83"/>
        <v>OK</v>
      </c>
    </row>
    <row r="1287" spans="1:18" x14ac:dyDescent="0.3">
      <c r="A1287" s="1">
        <v>45943</v>
      </c>
      <c r="B1287" s="2" t="s">
        <v>2637</v>
      </c>
      <c r="C1287" s="2" t="s">
        <v>2515</v>
      </c>
      <c r="D1287" s="2" t="s">
        <v>2525</v>
      </c>
      <c r="E1287" s="2" t="s">
        <v>2529</v>
      </c>
      <c r="F1287" s="3">
        <v>46522</v>
      </c>
      <c r="G1287" s="3">
        <v>3268</v>
      </c>
      <c r="H1287" s="3">
        <v>152</v>
      </c>
      <c r="I1287" s="4">
        <v>2733.63</v>
      </c>
      <c r="J1287" s="4">
        <v>20584.240000000002</v>
      </c>
      <c r="K1287" s="3">
        <v>123</v>
      </c>
      <c r="L1287" s="2" t="s">
        <v>2539</v>
      </c>
      <c r="M1287" s="2" t="s">
        <v>2526</v>
      </c>
      <c r="N1287" s="6">
        <f t="shared" si="80"/>
        <v>1</v>
      </c>
      <c r="O1287" t="str">
        <f>IF(Tabla_control[[#This Row],[Control_duplicados]]&gt;1,"Duplicado","Unico")</f>
        <v>Unico</v>
      </c>
      <c r="P1287" t="str">
        <f t="shared" si="81"/>
        <v>OK</v>
      </c>
      <c r="Q1287" t="str">
        <f t="shared" si="82"/>
        <v>OK</v>
      </c>
      <c r="R1287" t="str">
        <f t="shared" si="83"/>
        <v>OK</v>
      </c>
    </row>
    <row r="1288" spans="1:18" x14ac:dyDescent="0.3">
      <c r="A1288" s="1">
        <v>45698</v>
      </c>
      <c r="B1288" s="2" t="s">
        <v>2629</v>
      </c>
      <c r="C1288" s="2" t="s">
        <v>2533</v>
      </c>
      <c r="D1288" s="2" t="s">
        <v>2645</v>
      </c>
      <c r="E1288" s="2" t="s">
        <v>2517</v>
      </c>
      <c r="F1288" s="3">
        <v>90182</v>
      </c>
      <c r="G1288" s="3">
        <v>6723</v>
      </c>
      <c r="H1288" s="3">
        <v>525</v>
      </c>
      <c r="I1288" s="4">
        <v>12012.57</v>
      </c>
      <c r="J1288" s="4">
        <v>104939.41</v>
      </c>
      <c r="K1288" s="3">
        <v>357</v>
      </c>
      <c r="L1288" s="2" t="s">
        <v>2539</v>
      </c>
      <c r="M1288" s="2" t="s">
        <v>2524</v>
      </c>
      <c r="N1288" s="6">
        <f t="shared" si="80"/>
        <v>2</v>
      </c>
      <c r="O1288" t="str">
        <f>IF(Tabla_control[[#This Row],[Control_duplicados]]&gt;1,"Duplicado","Unico")</f>
        <v>Duplicado</v>
      </c>
      <c r="P1288" t="str">
        <f t="shared" si="81"/>
        <v>OK</v>
      </c>
      <c r="Q1288" t="str">
        <f t="shared" si="82"/>
        <v>OK</v>
      </c>
      <c r="R1288" t="str">
        <f t="shared" si="83"/>
        <v>OK</v>
      </c>
    </row>
    <row r="1289" spans="1:18" x14ac:dyDescent="0.3">
      <c r="A1289" s="1">
        <v>45789</v>
      </c>
      <c r="B1289" s="2" t="s">
        <v>2634</v>
      </c>
      <c r="C1289" s="2" t="s">
        <v>2515</v>
      </c>
      <c r="D1289" s="2" t="s">
        <v>2528</v>
      </c>
      <c r="E1289" s="2" t="s">
        <v>2517</v>
      </c>
      <c r="F1289" s="3">
        <v>78724</v>
      </c>
      <c r="G1289" s="3">
        <v>6219</v>
      </c>
      <c r="H1289" s="3">
        <v>847</v>
      </c>
      <c r="I1289" s="4">
        <v>1816.4</v>
      </c>
      <c r="J1289" s="4">
        <v>173348.56</v>
      </c>
      <c r="K1289" s="3">
        <v>670</v>
      </c>
      <c r="L1289" s="2" t="s">
        <v>2518</v>
      </c>
      <c r="M1289" s="2" t="s">
        <v>2519</v>
      </c>
      <c r="N1289" s="6">
        <f t="shared" si="80"/>
        <v>1</v>
      </c>
      <c r="O1289" t="str">
        <f>IF(Tabla_control[[#This Row],[Control_duplicados]]&gt;1,"Duplicado","Unico")</f>
        <v>Unico</v>
      </c>
      <c r="P1289" t="str">
        <f t="shared" si="81"/>
        <v>OK</v>
      </c>
      <c r="Q1289" t="str">
        <f t="shared" si="82"/>
        <v>OK</v>
      </c>
      <c r="R1289" t="str">
        <f t="shared" si="83"/>
        <v>OK</v>
      </c>
    </row>
    <row r="1290" spans="1:18" x14ac:dyDescent="0.3">
      <c r="A1290" s="1">
        <v>45668</v>
      </c>
      <c r="B1290" s="2" t="s">
        <v>2642</v>
      </c>
      <c r="C1290" s="2" t="s">
        <v>2521</v>
      </c>
      <c r="D1290" s="2" t="s">
        <v>2528</v>
      </c>
      <c r="E1290" s="2" t="s">
        <v>2529</v>
      </c>
      <c r="F1290" s="3">
        <v>84247</v>
      </c>
      <c r="G1290" s="3">
        <v>5908</v>
      </c>
      <c r="H1290" s="3">
        <v>351</v>
      </c>
      <c r="I1290" s="4">
        <v>7686.04</v>
      </c>
      <c r="J1290" s="4">
        <v>12703.92</v>
      </c>
      <c r="K1290" s="3">
        <v>292</v>
      </c>
      <c r="L1290" s="2" t="s">
        <v>2539</v>
      </c>
      <c r="M1290" s="2" t="s">
        <v>2519</v>
      </c>
      <c r="N1290" s="6">
        <f t="shared" si="80"/>
        <v>1</v>
      </c>
      <c r="O1290" t="str">
        <f>IF(Tabla_control[[#This Row],[Control_duplicados]]&gt;1,"Duplicado","Unico")</f>
        <v>Unico</v>
      </c>
      <c r="P1290" t="str">
        <f t="shared" si="81"/>
        <v>OK</v>
      </c>
      <c r="Q1290" t="str">
        <f t="shared" si="82"/>
        <v>OK</v>
      </c>
      <c r="R1290" t="str">
        <f t="shared" si="83"/>
        <v>OK</v>
      </c>
    </row>
    <row r="1291" spans="1:18" x14ac:dyDescent="0.3">
      <c r="A1291" s="1">
        <v>45948</v>
      </c>
      <c r="B1291" s="2" t="s">
        <v>2622</v>
      </c>
      <c r="C1291" s="2" t="s">
        <v>2527</v>
      </c>
      <c r="D1291" s="2" t="s">
        <v>2531</v>
      </c>
      <c r="E1291" s="2" t="s">
        <v>2529</v>
      </c>
      <c r="F1291" s="3">
        <v>103510</v>
      </c>
      <c r="G1291" s="3">
        <v>7103</v>
      </c>
      <c r="H1291" s="3">
        <v>628</v>
      </c>
      <c r="I1291" s="4">
        <v>12062.88</v>
      </c>
      <c r="J1291" s="4">
        <v>118018.57</v>
      </c>
      <c r="K1291" s="3">
        <v>307</v>
      </c>
      <c r="L1291" s="2" t="s">
        <v>2518</v>
      </c>
      <c r="M1291" s="2" t="s">
        <v>2524</v>
      </c>
      <c r="N1291" s="6">
        <f t="shared" si="80"/>
        <v>1</v>
      </c>
      <c r="O1291" t="str">
        <f>IF(Tabla_control[[#This Row],[Control_duplicados]]&gt;1,"Duplicado","Unico")</f>
        <v>Unico</v>
      </c>
      <c r="P1291" t="str">
        <f t="shared" si="81"/>
        <v>OK</v>
      </c>
      <c r="Q1291" t="str">
        <f t="shared" si="82"/>
        <v>OK</v>
      </c>
      <c r="R1291" t="str">
        <f t="shared" si="83"/>
        <v>OK</v>
      </c>
    </row>
    <row r="1292" spans="1:18" x14ac:dyDescent="0.3">
      <c r="A1292" s="1">
        <v>45992</v>
      </c>
      <c r="B1292" s="2" t="s">
        <v>2616</v>
      </c>
      <c r="C1292" s="2" t="s">
        <v>2515</v>
      </c>
      <c r="D1292" s="2" t="s">
        <v>2528</v>
      </c>
      <c r="E1292" s="2" t="s">
        <v>2529</v>
      </c>
      <c r="F1292" s="3">
        <v>170230</v>
      </c>
      <c r="G1292" s="3">
        <v>10698</v>
      </c>
      <c r="H1292" s="3">
        <v>95</v>
      </c>
      <c r="I1292" s="4">
        <v>2647.86</v>
      </c>
      <c r="J1292" s="4">
        <v>18471.66</v>
      </c>
      <c r="K1292" s="3">
        <v>64</v>
      </c>
      <c r="L1292" s="2" t="s">
        <v>2536</v>
      </c>
      <c r="M1292" s="2" t="s">
        <v>2519</v>
      </c>
      <c r="N1292" s="6">
        <f t="shared" si="80"/>
        <v>1</v>
      </c>
      <c r="O1292" t="str">
        <f>IF(Tabla_control[[#This Row],[Control_duplicados]]&gt;1,"Duplicado","Unico")</f>
        <v>Unico</v>
      </c>
      <c r="P1292" t="str">
        <f t="shared" si="81"/>
        <v>OK</v>
      </c>
      <c r="Q1292" t="str">
        <f t="shared" si="82"/>
        <v>OK</v>
      </c>
      <c r="R1292" t="str">
        <f t="shared" si="83"/>
        <v>OK</v>
      </c>
    </row>
    <row r="1293" spans="1:18" x14ac:dyDescent="0.3">
      <c r="A1293" s="1">
        <v>45805</v>
      </c>
      <c r="B1293" s="2" t="s">
        <v>2624</v>
      </c>
      <c r="C1293" s="2" t="s">
        <v>2527</v>
      </c>
      <c r="D1293" s="2" t="s">
        <v>2522</v>
      </c>
      <c r="E1293" s="2" t="s">
        <v>2517</v>
      </c>
      <c r="F1293" s="3">
        <v>134095</v>
      </c>
      <c r="G1293" s="3">
        <v>10672</v>
      </c>
      <c r="H1293" s="3">
        <v>1120</v>
      </c>
      <c r="I1293" s="4">
        <v>16559.05</v>
      </c>
      <c r="J1293" s="4">
        <v>151623.4</v>
      </c>
      <c r="K1293" s="3">
        <v>916</v>
      </c>
      <c r="L1293" s="2" t="s">
        <v>2518</v>
      </c>
      <c r="M1293" s="2" t="s">
        <v>2519</v>
      </c>
      <c r="N1293" s="6">
        <f t="shared" si="80"/>
        <v>1</v>
      </c>
      <c r="O1293" t="str">
        <f>IF(Tabla_control[[#This Row],[Control_duplicados]]&gt;1,"Duplicado","Unico")</f>
        <v>Unico</v>
      </c>
      <c r="P1293" t="str">
        <f t="shared" si="81"/>
        <v>OK</v>
      </c>
      <c r="Q1293" t="str">
        <f t="shared" si="82"/>
        <v>OK</v>
      </c>
      <c r="R1293" t="str">
        <f t="shared" si="83"/>
        <v>OK</v>
      </c>
    </row>
    <row r="1294" spans="1:18" x14ac:dyDescent="0.3">
      <c r="A1294" s="1">
        <v>45929</v>
      </c>
      <c r="B1294" s="2" t="s">
        <v>2625</v>
      </c>
      <c r="C1294" s="2" t="s">
        <v>2533</v>
      </c>
      <c r="D1294" s="2" t="s">
        <v>2645</v>
      </c>
      <c r="E1294" s="2" t="s">
        <v>2529</v>
      </c>
      <c r="F1294" s="3">
        <v>138122</v>
      </c>
      <c r="G1294" s="3">
        <v>9846</v>
      </c>
      <c r="H1294" s="3">
        <v>657</v>
      </c>
      <c r="I1294" s="4">
        <v>20352.79</v>
      </c>
      <c r="J1294" s="4">
        <v>73294.759999999995</v>
      </c>
      <c r="K1294" s="3">
        <v>301</v>
      </c>
      <c r="L1294" s="2" t="s">
        <v>2523</v>
      </c>
      <c r="M1294" s="2" t="s">
        <v>2519</v>
      </c>
      <c r="N1294" s="6">
        <f t="shared" si="80"/>
        <v>1</v>
      </c>
      <c r="O1294" t="str">
        <f>IF(Tabla_control[[#This Row],[Control_duplicados]]&gt;1,"Duplicado","Unico")</f>
        <v>Unico</v>
      </c>
      <c r="P1294" t="str">
        <f t="shared" si="81"/>
        <v>OK</v>
      </c>
      <c r="Q1294" t="str">
        <f t="shared" si="82"/>
        <v>OK</v>
      </c>
      <c r="R1294" t="str">
        <f t="shared" si="83"/>
        <v>OK</v>
      </c>
    </row>
    <row r="1295" spans="1:18" x14ac:dyDescent="0.3">
      <c r="A1295" s="1">
        <v>45790</v>
      </c>
      <c r="B1295" s="2" t="s">
        <v>2621</v>
      </c>
      <c r="C1295" s="2" t="s">
        <v>2515</v>
      </c>
      <c r="D1295" s="2" t="s">
        <v>2528</v>
      </c>
      <c r="E1295" s="2" t="s">
        <v>2529</v>
      </c>
      <c r="F1295" s="3">
        <v>23293</v>
      </c>
      <c r="G1295" s="3">
        <v>262</v>
      </c>
      <c r="H1295" s="3">
        <v>23</v>
      </c>
      <c r="I1295" s="4">
        <v>195.1</v>
      </c>
      <c r="J1295" s="4">
        <v>4500.66</v>
      </c>
      <c r="K1295" s="3">
        <v>14</v>
      </c>
      <c r="L1295" s="2" t="s">
        <v>2536</v>
      </c>
      <c r="M1295" s="2" t="s">
        <v>2526</v>
      </c>
      <c r="N1295" s="6">
        <f t="shared" si="80"/>
        <v>1</v>
      </c>
      <c r="O1295" t="str">
        <f>IF(Tabla_control[[#This Row],[Control_duplicados]]&gt;1,"Duplicado","Unico")</f>
        <v>Unico</v>
      </c>
      <c r="P1295" t="str">
        <f t="shared" si="81"/>
        <v>OK</v>
      </c>
      <c r="Q1295" t="str">
        <f t="shared" si="82"/>
        <v>OK</v>
      </c>
      <c r="R1295" t="str">
        <f t="shared" si="83"/>
        <v>OK</v>
      </c>
    </row>
    <row r="1296" spans="1:18" x14ac:dyDescent="0.3">
      <c r="A1296" s="1">
        <v>45856</v>
      </c>
      <c r="B1296" s="2" t="s">
        <v>2632</v>
      </c>
      <c r="C1296" s="2" t="s">
        <v>2521</v>
      </c>
      <c r="D1296" s="2" t="s">
        <v>2528</v>
      </c>
      <c r="E1296" s="2" t="s">
        <v>2517</v>
      </c>
      <c r="F1296" s="3">
        <v>38237</v>
      </c>
      <c r="G1296" s="3">
        <v>1052</v>
      </c>
      <c r="H1296" s="3">
        <v>140</v>
      </c>
      <c r="I1296" s="4">
        <v>1992.89</v>
      </c>
      <c r="J1296" s="4">
        <v>4146.05</v>
      </c>
      <c r="K1296" s="3">
        <v>113</v>
      </c>
      <c r="L1296" s="2" t="s">
        <v>2536</v>
      </c>
      <c r="M1296" s="2" t="s">
        <v>2526</v>
      </c>
      <c r="N1296" s="6">
        <f t="shared" si="80"/>
        <v>1</v>
      </c>
      <c r="O1296" t="str">
        <f>IF(Tabla_control[[#This Row],[Control_duplicados]]&gt;1,"Duplicado","Unico")</f>
        <v>Unico</v>
      </c>
      <c r="P1296" t="str">
        <f t="shared" si="81"/>
        <v>OK</v>
      </c>
      <c r="Q1296" t="str">
        <f t="shared" si="82"/>
        <v>OK</v>
      </c>
      <c r="R1296" t="str">
        <f t="shared" si="83"/>
        <v>OK</v>
      </c>
    </row>
    <row r="1297" spans="1:18" x14ac:dyDescent="0.3">
      <c r="A1297" s="1">
        <v>45973</v>
      </c>
      <c r="B1297" s="2" t="s">
        <v>2632</v>
      </c>
      <c r="C1297" s="2" t="s">
        <v>2541</v>
      </c>
      <c r="D1297" s="2" t="s">
        <v>2528</v>
      </c>
      <c r="E1297" s="2" t="s">
        <v>2517</v>
      </c>
      <c r="F1297" s="3">
        <v>128158</v>
      </c>
      <c r="G1297" s="3">
        <v>7202</v>
      </c>
      <c r="H1297" s="3">
        <v>271</v>
      </c>
      <c r="I1297" s="4">
        <v>4596.46</v>
      </c>
      <c r="J1297" s="4">
        <v>48387.87</v>
      </c>
      <c r="K1297" s="3">
        <v>154</v>
      </c>
      <c r="L1297" s="2" t="s">
        <v>2539</v>
      </c>
      <c r="M1297" s="2" t="s">
        <v>2546</v>
      </c>
      <c r="N1297" s="6">
        <f t="shared" si="80"/>
        <v>1</v>
      </c>
      <c r="O1297" t="str">
        <f>IF(Tabla_control[[#This Row],[Control_duplicados]]&gt;1,"Duplicado","Unico")</f>
        <v>Unico</v>
      </c>
      <c r="P1297" t="str">
        <f t="shared" si="81"/>
        <v>OK</v>
      </c>
      <c r="Q1297" t="str">
        <f t="shared" si="82"/>
        <v>OK</v>
      </c>
      <c r="R1297" t="str">
        <f t="shared" si="83"/>
        <v>OK</v>
      </c>
    </row>
    <row r="1298" spans="1:18" x14ac:dyDescent="0.3">
      <c r="A1298" s="1">
        <v>46004</v>
      </c>
      <c r="B1298" s="2" t="s">
        <v>2638</v>
      </c>
      <c r="C1298" s="2" t="s">
        <v>2533</v>
      </c>
      <c r="D1298" s="2" t="s">
        <v>2528</v>
      </c>
      <c r="E1298" s="2" t="s">
        <v>2534</v>
      </c>
      <c r="F1298" s="3">
        <v>16855</v>
      </c>
      <c r="G1298" s="3">
        <v>170</v>
      </c>
      <c r="H1298" s="3">
        <v>9</v>
      </c>
      <c r="I1298" s="4">
        <v>176.75</v>
      </c>
      <c r="J1298" s="4">
        <v>1676.99</v>
      </c>
      <c r="K1298" s="3">
        <v>7</v>
      </c>
      <c r="L1298" s="2" t="s">
        <v>2523</v>
      </c>
      <c r="M1298" s="2" t="s">
        <v>2526</v>
      </c>
      <c r="N1298" s="6">
        <f t="shared" si="80"/>
        <v>1</v>
      </c>
      <c r="O1298" t="str">
        <f>IF(Tabla_control[[#This Row],[Control_duplicados]]&gt;1,"Duplicado","Unico")</f>
        <v>Unico</v>
      </c>
      <c r="P1298" t="str">
        <f t="shared" si="81"/>
        <v>OK</v>
      </c>
      <c r="Q1298" t="str">
        <f t="shared" si="82"/>
        <v>OK</v>
      </c>
      <c r="R1298" t="str">
        <f t="shared" si="83"/>
        <v>OK</v>
      </c>
    </row>
    <row r="1299" spans="1:18" x14ac:dyDescent="0.3">
      <c r="A1299" s="1">
        <v>45746</v>
      </c>
      <c r="B1299" s="2" t="s">
        <v>2616</v>
      </c>
      <c r="C1299" s="2" t="s">
        <v>2515</v>
      </c>
      <c r="D1299" s="2" t="s">
        <v>2522</v>
      </c>
      <c r="E1299" s="2" t="s">
        <v>2529</v>
      </c>
      <c r="F1299" s="3">
        <v>90343</v>
      </c>
      <c r="G1299" s="3">
        <v>3206</v>
      </c>
      <c r="H1299" s="3">
        <v>425</v>
      </c>
      <c r="I1299" s="4">
        <v>2181.39</v>
      </c>
      <c r="J1299" s="4">
        <v>38125.99</v>
      </c>
      <c r="K1299" s="3">
        <v>285</v>
      </c>
      <c r="L1299" s="2" t="s">
        <v>2518</v>
      </c>
      <c r="M1299" s="2" t="s">
        <v>2546</v>
      </c>
      <c r="N1299" s="6">
        <f t="shared" si="80"/>
        <v>1</v>
      </c>
      <c r="O1299" t="str">
        <f>IF(Tabla_control[[#This Row],[Control_duplicados]]&gt;1,"Duplicado","Unico")</f>
        <v>Unico</v>
      </c>
      <c r="P1299" t="str">
        <f t="shared" si="81"/>
        <v>OK</v>
      </c>
      <c r="Q1299" t="str">
        <f t="shared" si="82"/>
        <v>OK</v>
      </c>
      <c r="R1299" t="str">
        <f t="shared" si="83"/>
        <v>OK</v>
      </c>
    </row>
    <row r="1300" spans="1:18" x14ac:dyDescent="0.3">
      <c r="A1300" s="1">
        <v>45753</v>
      </c>
      <c r="B1300" s="2" t="s">
        <v>2616</v>
      </c>
      <c r="C1300" s="2" t="s">
        <v>2541</v>
      </c>
      <c r="D1300" s="2" t="s">
        <v>2531</v>
      </c>
      <c r="E1300" s="2" t="s">
        <v>2517</v>
      </c>
      <c r="F1300" s="3">
        <v>34909</v>
      </c>
      <c r="G1300" s="3">
        <v>268</v>
      </c>
      <c r="H1300" s="3">
        <v>9</v>
      </c>
      <c r="I1300" s="4">
        <v>315.08999999999997</v>
      </c>
      <c r="J1300" s="4">
        <v>1952.15</v>
      </c>
      <c r="K1300" s="3">
        <v>5</v>
      </c>
      <c r="L1300" s="2" t="s">
        <v>2518</v>
      </c>
      <c r="M1300" s="2" t="s">
        <v>2546</v>
      </c>
      <c r="N1300" s="6">
        <f t="shared" si="80"/>
        <v>1</v>
      </c>
      <c r="O1300" t="str">
        <f>IF(Tabla_control[[#This Row],[Control_duplicados]]&gt;1,"Duplicado","Unico")</f>
        <v>Unico</v>
      </c>
      <c r="P1300" t="str">
        <f t="shared" si="81"/>
        <v>OK</v>
      </c>
      <c r="Q1300" t="str">
        <f t="shared" si="82"/>
        <v>OK</v>
      </c>
      <c r="R1300" t="str">
        <f t="shared" si="83"/>
        <v>OK</v>
      </c>
    </row>
    <row r="1301" spans="1:18" x14ac:dyDescent="0.3">
      <c r="A1301" s="1">
        <v>45739</v>
      </c>
      <c r="B1301" s="2" t="s">
        <v>2633</v>
      </c>
      <c r="C1301" s="2" t="s">
        <v>2515</v>
      </c>
      <c r="D1301" s="2" t="s">
        <v>2528</v>
      </c>
      <c r="E1301" s="2" t="s">
        <v>2529</v>
      </c>
      <c r="F1301" s="3">
        <v>103546</v>
      </c>
      <c r="G1301" s="3">
        <v>977</v>
      </c>
      <c r="H1301" s="3">
        <v>99</v>
      </c>
      <c r="I1301" s="4">
        <v>1972.26</v>
      </c>
      <c r="J1301" s="4">
        <v>6546.39</v>
      </c>
      <c r="K1301" s="3">
        <v>86</v>
      </c>
      <c r="L1301" s="2" t="s">
        <v>2523</v>
      </c>
      <c r="M1301" s="2" t="s">
        <v>2519</v>
      </c>
      <c r="N1301" s="6">
        <f t="shared" si="80"/>
        <v>1</v>
      </c>
      <c r="O1301" t="str">
        <f>IF(Tabla_control[[#This Row],[Control_duplicados]]&gt;1,"Duplicado","Unico")</f>
        <v>Unico</v>
      </c>
      <c r="P1301" t="str">
        <f t="shared" si="81"/>
        <v>OK</v>
      </c>
      <c r="Q1301" t="str">
        <f t="shared" si="82"/>
        <v>OK</v>
      </c>
      <c r="R1301" t="str">
        <f t="shared" si="83"/>
        <v>OK</v>
      </c>
    </row>
    <row r="1302" spans="1:18" x14ac:dyDescent="0.3">
      <c r="A1302" s="1">
        <v>45784</v>
      </c>
      <c r="B1302" s="2" t="s">
        <v>2637</v>
      </c>
      <c r="C1302" s="2" t="s">
        <v>2515</v>
      </c>
      <c r="D1302" s="2" t="s">
        <v>2525</v>
      </c>
      <c r="E1302" s="2" t="s">
        <v>2517</v>
      </c>
      <c r="F1302" s="3">
        <v>107534</v>
      </c>
      <c r="G1302" s="3">
        <v>3414</v>
      </c>
      <c r="H1302" s="3">
        <v>259</v>
      </c>
      <c r="I1302" s="4">
        <v>-4327.8100000000004</v>
      </c>
      <c r="J1302" s="4">
        <v>29367.439999999999</v>
      </c>
      <c r="K1302" s="3">
        <v>188</v>
      </c>
      <c r="L1302" s="2" t="s">
        <v>2523</v>
      </c>
      <c r="M1302" s="2" t="s">
        <v>2537</v>
      </c>
      <c r="N1302" s="6">
        <f t="shared" si="80"/>
        <v>1</v>
      </c>
      <c r="O1302" t="str">
        <f>IF(Tabla_control[[#This Row],[Control_duplicados]]&gt;1,"Duplicado","Unico")</f>
        <v>Unico</v>
      </c>
      <c r="P1302" t="str">
        <f t="shared" si="81"/>
        <v>ERROR</v>
      </c>
      <c r="Q1302" t="str">
        <f t="shared" si="82"/>
        <v>OK</v>
      </c>
      <c r="R1302" t="str">
        <f t="shared" si="83"/>
        <v>OK</v>
      </c>
    </row>
    <row r="1303" spans="1:18" x14ac:dyDescent="0.3">
      <c r="A1303" s="1">
        <v>45674</v>
      </c>
      <c r="B1303" s="2" t="s">
        <v>2634</v>
      </c>
      <c r="C1303" s="2" t="s">
        <v>2515</v>
      </c>
      <c r="D1303" s="2" t="s">
        <v>2525</v>
      </c>
      <c r="E1303" s="2" t="s">
        <v>2529</v>
      </c>
      <c r="F1303" s="3">
        <v>68617</v>
      </c>
      <c r="G1303" s="3">
        <v>1122</v>
      </c>
      <c r="H1303" s="3">
        <v>97</v>
      </c>
      <c r="I1303" s="4">
        <v>889.33</v>
      </c>
      <c r="J1303" s="4">
        <v>4954.7700000000004</v>
      </c>
      <c r="K1303" s="3">
        <v>54</v>
      </c>
      <c r="L1303" s="2" t="s">
        <v>2539</v>
      </c>
      <c r="M1303" s="2" t="s">
        <v>2519</v>
      </c>
      <c r="N1303" s="6">
        <f t="shared" si="80"/>
        <v>1</v>
      </c>
      <c r="O1303" t="str">
        <f>IF(Tabla_control[[#This Row],[Control_duplicados]]&gt;1,"Duplicado","Unico")</f>
        <v>Unico</v>
      </c>
      <c r="P1303" t="str">
        <f t="shared" si="81"/>
        <v>OK</v>
      </c>
      <c r="Q1303" t="str">
        <f t="shared" si="82"/>
        <v>OK</v>
      </c>
      <c r="R1303" t="str">
        <f t="shared" si="83"/>
        <v>OK</v>
      </c>
    </row>
    <row r="1304" spans="1:18" x14ac:dyDescent="0.3">
      <c r="A1304" s="1">
        <v>45762</v>
      </c>
      <c r="B1304" s="2" t="s">
        <v>2621</v>
      </c>
      <c r="C1304" s="2" t="s">
        <v>2515</v>
      </c>
      <c r="D1304" s="2" t="s">
        <v>2528</v>
      </c>
      <c r="E1304" s="2" t="s">
        <v>2529</v>
      </c>
      <c r="F1304" s="3">
        <v>147868</v>
      </c>
      <c r="G1304" s="3">
        <v>9431</v>
      </c>
      <c r="H1304" s="3">
        <v>1298</v>
      </c>
      <c r="I1304" s="4">
        <v>17000.349999999999</v>
      </c>
      <c r="J1304" s="4">
        <v>45052.76</v>
      </c>
      <c r="K1304" s="3">
        <v>792</v>
      </c>
      <c r="L1304" s="2" t="s">
        <v>2539</v>
      </c>
      <c r="M1304" s="2" t="s">
        <v>2537</v>
      </c>
      <c r="N1304" s="6">
        <f t="shared" si="80"/>
        <v>1</v>
      </c>
      <c r="O1304" t="str">
        <f>IF(Tabla_control[[#This Row],[Control_duplicados]]&gt;1,"Duplicado","Unico")</f>
        <v>Unico</v>
      </c>
      <c r="P1304" t="str">
        <f t="shared" si="81"/>
        <v>OK</v>
      </c>
      <c r="Q1304" t="str">
        <f t="shared" si="82"/>
        <v>OK</v>
      </c>
      <c r="R1304" t="str">
        <f t="shared" si="83"/>
        <v>OK</v>
      </c>
    </row>
    <row r="1305" spans="1:18" x14ac:dyDescent="0.3">
      <c r="A1305" s="1">
        <v>45666</v>
      </c>
      <c r="B1305" s="2" t="s">
        <v>2628</v>
      </c>
      <c r="C1305" s="2" t="s">
        <v>2533</v>
      </c>
      <c r="D1305" s="2" t="s">
        <v>2522</v>
      </c>
      <c r="E1305" s="2" t="s">
        <v>2517</v>
      </c>
      <c r="F1305" s="3">
        <v>103983</v>
      </c>
      <c r="G1305" s="3">
        <v>8707</v>
      </c>
      <c r="H1305" s="3">
        <v>713</v>
      </c>
      <c r="I1305" s="4">
        <v>8536.56</v>
      </c>
      <c r="J1305" s="4">
        <v>150770.19</v>
      </c>
      <c r="K1305" s="3">
        <v>532</v>
      </c>
      <c r="L1305" s="2" t="s">
        <v>2523</v>
      </c>
      <c r="M1305" s="2" t="s">
        <v>2519</v>
      </c>
      <c r="N1305" s="6">
        <f t="shared" si="80"/>
        <v>1</v>
      </c>
      <c r="O1305" t="str">
        <f>IF(Tabla_control[[#This Row],[Control_duplicados]]&gt;1,"Duplicado","Unico")</f>
        <v>Unico</v>
      </c>
      <c r="P1305" t="str">
        <f t="shared" si="81"/>
        <v>OK</v>
      </c>
      <c r="Q1305" t="str">
        <f t="shared" si="82"/>
        <v>OK</v>
      </c>
      <c r="R1305" t="str">
        <f t="shared" si="83"/>
        <v>OK</v>
      </c>
    </row>
    <row r="1306" spans="1:18" x14ac:dyDescent="0.3">
      <c r="A1306" s="1">
        <v>45971</v>
      </c>
      <c r="B1306" s="2" t="s">
        <v>2622</v>
      </c>
      <c r="C1306" s="2" t="s">
        <v>2533</v>
      </c>
      <c r="D1306" s="2" t="s">
        <v>2528</v>
      </c>
      <c r="E1306" s="2" t="s">
        <v>2529</v>
      </c>
      <c r="F1306" s="3">
        <v>138489</v>
      </c>
      <c r="G1306" s="3">
        <v>9738</v>
      </c>
      <c r="H1306" s="3">
        <v>720</v>
      </c>
      <c r="I1306" s="4">
        <v>9876.2999999999993</v>
      </c>
      <c r="J1306" s="4">
        <v>121819.86</v>
      </c>
      <c r="K1306" s="3">
        <v>507</v>
      </c>
      <c r="L1306" s="2" t="s">
        <v>2518</v>
      </c>
      <c r="M1306" s="2" t="s">
        <v>2546</v>
      </c>
      <c r="N1306" s="6">
        <f t="shared" si="80"/>
        <v>1</v>
      </c>
      <c r="O1306" t="str">
        <f>IF(Tabla_control[[#This Row],[Control_duplicados]]&gt;1,"Duplicado","Unico")</f>
        <v>Unico</v>
      </c>
      <c r="P1306" t="str">
        <f t="shared" si="81"/>
        <v>OK</v>
      </c>
      <c r="Q1306" t="str">
        <f t="shared" si="82"/>
        <v>OK</v>
      </c>
      <c r="R1306" t="str">
        <f t="shared" si="83"/>
        <v>OK</v>
      </c>
    </row>
    <row r="1307" spans="1:18" x14ac:dyDescent="0.3">
      <c r="A1307" s="1">
        <v>45757</v>
      </c>
      <c r="B1307" s="2" t="s">
        <v>2634</v>
      </c>
      <c r="C1307" s="2" t="s">
        <v>2543</v>
      </c>
      <c r="D1307" s="2" t="s">
        <v>2528</v>
      </c>
      <c r="E1307" s="2" t="s">
        <v>2517</v>
      </c>
      <c r="F1307" s="3">
        <v>137951</v>
      </c>
      <c r="G1307" s="3">
        <v>6093</v>
      </c>
      <c r="H1307" s="3">
        <v>823</v>
      </c>
      <c r="I1307" s="4">
        <v>11964.11</v>
      </c>
      <c r="J1307" s="4">
        <v>56842.239999999998</v>
      </c>
      <c r="K1307" s="3">
        <v>423</v>
      </c>
      <c r="L1307" s="2" t="s">
        <v>2518</v>
      </c>
      <c r="M1307" s="2" t="s">
        <v>2546</v>
      </c>
      <c r="N1307" s="6">
        <f t="shared" si="80"/>
        <v>1</v>
      </c>
      <c r="O1307" t="str">
        <f>IF(Tabla_control[[#This Row],[Control_duplicados]]&gt;1,"Duplicado","Unico")</f>
        <v>Unico</v>
      </c>
      <c r="P1307" t="str">
        <f t="shared" si="81"/>
        <v>OK</v>
      </c>
      <c r="Q1307" t="str">
        <f t="shared" si="82"/>
        <v>OK</v>
      </c>
      <c r="R1307" t="str">
        <f t="shared" si="83"/>
        <v>OK</v>
      </c>
    </row>
    <row r="1308" spans="1:18" x14ac:dyDescent="0.3">
      <c r="A1308" s="1">
        <v>45778</v>
      </c>
      <c r="B1308" s="2" t="s">
        <v>2641</v>
      </c>
      <c r="C1308" s="2" t="s">
        <v>2515</v>
      </c>
      <c r="D1308" s="2" t="s">
        <v>2525</v>
      </c>
      <c r="E1308" s="2" t="s">
        <v>2517</v>
      </c>
      <c r="F1308" s="3">
        <v>159462</v>
      </c>
      <c r="G1308" s="3">
        <v>3564</v>
      </c>
      <c r="H1308" s="3">
        <v>29</v>
      </c>
      <c r="I1308" s="4">
        <v>1257.1099999999999</v>
      </c>
      <c r="J1308" s="4">
        <v>945.72</v>
      </c>
      <c r="K1308" s="3">
        <v>22</v>
      </c>
      <c r="L1308" s="2" t="s">
        <v>2539</v>
      </c>
      <c r="M1308" s="2" t="s">
        <v>2537</v>
      </c>
      <c r="N1308" s="6">
        <f t="shared" si="80"/>
        <v>1</v>
      </c>
      <c r="O1308" t="str">
        <f>IF(Tabla_control[[#This Row],[Control_duplicados]]&gt;1,"Duplicado","Unico")</f>
        <v>Unico</v>
      </c>
      <c r="P1308" t="str">
        <f t="shared" si="81"/>
        <v>OK</v>
      </c>
      <c r="Q1308" t="str">
        <f t="shared" si="82"/>
        <v>OK</v>
      </c>
      <c r="R1308" t="str">
        <f t="shared" si="83"/>
        <v>OK</v>
      </c>
    </row>
    <row r="1309" spans="1:18" x14ac:dyDescent="0.3">
      <c r="A1309" s="1">
        <v>46022</v>
      </c>
      <c r="B1309" s="2" t="s">
        <v>2639</v>
      </c>
      <c r="C1309" s="2" t="s">
        <v>2541</v>
      </c>
      <c r="D1309" s="2" t="s">
        <v>2528</v>
      </c>
      <c r="E1309" s="2" t="s">
        <v>2529</v>
      </c>
      <c r="F1309" s="3">
        <v>158017</v>
      </c>
      <c r="G1309" s="3">
        <v>9352</v>
      </c>
      <c r="H1309" s="3">
        <v>73</v>
      </c>
      <c r="I1309" s="4">
        <v>17338.740000000002</v>
      </c>
      <c r="J1309" s="4">
        <v>15116.08</v>
      </c>
      <c r="K1309" s="3">
        <v>34</v>
      </c>
      <c r="L1309" s="2" t="s">
        <v>2536</v>
      </c>
      <c r="M1309" s="2" t="s">
        <v>2524</v>
      </c>
      <c r="N1309" s="6">
        <f t="shared" si="80"/>
        <v>1</v>
      </c>
      <c r="O1309" t="str">
        <f>IF(Tabla_control[[#This Row],[Control_duplicados]]&gt;1,"Duplicado","Unico")</f>
        <v>Unico</v>
      </c>
      <c r="P1309" t="str">
        <f t="shared" si="81"/>
        <v>OK</v>
      </c>
      <c r="Q1309" t="str">
        <f t="shared" si="82"/>
        <v>OK</v>
      </c>
      <c r="R1309" t="str">
        <f t="shared" si="83"/>
        <v>OK</v>
      </c>
    </row>
    <row r="1310" spans="1:18" x14ac:dyDescent="0.3">
      <c r="A1310" s="1">
        <v>45991</v>
      </c>
      <c r="B1310" s="2" t="s">
        <v>2615</v>
      </c>
      <c r="C1310" s="2" t="s">
        <v>2543</v>
      </c>
      <c r="D1310" s="2" t="s">
        <v>2528</v>
      </c>
      <c r="E1310" s="2" t="s">
        <v>2534</v>
      </c>
      <c r="F1310" s="3">
        <v>31969</v>
      </c>
      <c r="G1310" s="3">
        <v>606</v>
      </c>
      <c r="H1310" s="3">
        <v>35</v>
      </c>
      <c r="I1310" s="4">
        <v>745.62</v>
      </c>
      <c r="J1310" s="4">
        <v>3954.22</v>
      </c>
      <c r="K1310" s="3">
        <v>19</v>
      </c>
      <c r="L1310" s="2" t="s">
        <v>2523</v>
      </c>
      <c r="M1310" s="2" t="s">
        <v>2519</v>
      </c>
      <c r="N1310" s="6">
        <f t="shared" si="80"/>
        <v>1</v>
      </c>
      <c r="O1310" t="str">
        <f>IF(Tabla_control[[#This Row],[Control_duplicados]]&gt;1,"Duplicado","Unico")</f>
        <v>Unico</v>
      </c>
      <c r="P1310" t="str">
        <f t="shared" si="81"/>
        <v>OK</v>
      </c>
      <c r="Q1310" t="str">
        <f t="shared" si="82"/>
        <v>OK</v>
      </c>
      <c r="R1310" t="str">
        <f t="shared" si="83"/>
        <v>OK</v>
      </c>
    </row>
    <row r="1311" spans="1:18" x14ac:dyDescent="0.3">
      <c r="A1311" s="1">
        <v>45983</v>
      </c>
      <c r="B1311" s="2" t="s">
        <v>2637</v>
      </c>
      <c r="C1311" s="2" t="s">
        <v>2521</v>
      </c>
      <c r="D1311" s="2" t="s">
        <v>2516</v>
      </c>
      <c r="E1311" s="2" t="s">
        <v>2534</v>
      </c>
      <c r="F1311" s="3">
        <v>108811</v>
      </c>
      <c r="G1311" s="3">
        <v>3297</v>
      </c>
      <c r="H1311" s="3">
        <v>133</v>
      </c>
      <c r="I1311" s="4">
        <v>5385.86</v>
      </c>
      <c r="J1311" s="4">
        <v>3993.13</v>
      </c>
      <c r="K1311" s="3">
        <v>109</v>
      </c>
      <c r="L1311" s="2" t="s">
        <v>2536</v>
      </c>
      <c r="M1311" s="2" t="s">
        <v>2519</v>
      </c>
      <c r="N1311" s="6">
        <f t="shared" si="80"/>
        <v>1</v>
      </c>
      <c r="O1311" t="str">
        <f>IF(Tabla_control[[#This Row],[Control_duplicados]]&gt;1,"Duplicado","Unico")</f>
        <v>Unico</v>
      </c>
      <c r="P1311" t="str">
        <f t="shared" si="81"/>
        <v>OK</v>
      </c>
      <c r="Q1311" t="str">
        <f t="shared" si="82"/>
        <v>OK</v>
      </c>
      <c r="R1311" t="str">
        <f t="shared" si="83"/>
        <v>OK</v>
      </c>
    </row>
    <row r="1312" spans="1:18" x14ac:dyDescent="0.3">
      <c r="A1312" s="1">
        <v>45863</v>
      </c>
      <c r="B1312" s="2" t="s">
        <v>2629</v>
      </c>
      <c r="C1312" s="2" t="s">
        <v>2541</v>
      </c>
      <c r="D1312" s="2" t="s">
        <v>2525</v>
      </c>
      <c r="E1312" s="2" t="s">
        <v>2517</v>
      </c>
      <c r="F1312" s="3">
        <v>174982</v>
      </c>
      <c r="G1312" s="3">
        <v>5102</v>
      </c>
      <c r="H1312" s="3">
        <v>27</v>
      </c>
      <c r="I1312" s="4">
        <v>7234.6</v>
      </c>
      <c r="J1312" s="4">
        <v>2276.87</v>
      </c>
      <c r="K1312" s="3">
        <v>14</v>
      </c>
      <c r="L1312" s="2" t="s">
        <v>2523</v>
      </c>
      <c r="M1312" s="2" t="s">
        <v>2546</v>
      </c>
      <c r="N1312" s="6">
        <f t="shared" si="80"/>
        <v>1</v>
      </c>
      <c r="O1312" t="str">
        <f>IF(Tabla_control[[#This Row],[Control_duplicados]]&gt;1,"Duplicado","Unico")</f>
        <v>Unico</v>
      </c>
      <c r="P1312" t="str">
        <f t="shared" si="81"/>
        <v>OK</v>
      </c>
      <c r="Q1312" t="str">
        <f t="shared" si="82"/>
        <v>OK</v>
      </c>
      <c r="R1312" t="str">
        <f t="shared" si="83"/>
        <v>OK</v>
      </c>
    </row>
    <row r="1313" spans="1:18" x14ac:dyDescent="0.3">
      <c r="A1313" s="1">
        <v>45936</v>
      </c>
      <c r="B1313" s="2" t="s">
        <v>2631</v>
      </c>
      <c r="C1313" s="2" t="s">
        <v>2533</v>
      </c>
      <c r="D1313" s="2" t="s">
        <v>2525</v>
      </c>
      <c r="E1313" s="2" t="s">
        <v>2517</v>
      </c>
      <c r="F1313" s="3">
        <v>85980</v>
      </c>
      <c r="G1313" s="3">
        <v>6196</v>
      </c>
      <c r="H1313" s="3">
        <v>529</v>
      </c>
      <c r="I1313" s="4">
        <v>6870.76</v>
      </c>
      <c r="J1313" s="4">
        <v>21937.59</v>
      </c>
      <c r="K1313" s="3">
        <v>394</v>
      </c>
      <c r="L1313" s="2" t="s">
        <v>2523</v>
      </c>
      <c r="M1313" s="2" t="s">
        <v>2526</v>
      </c>
      <c r="N1313" s="6">
        <f t="shared" si="80"/>
        <v>1</v>
      </c>
      <c r="O1313" t="str">
        <f>IF(Tabla_control[[#This Row],[Control_duplicados]]&gt;1,"Duplicado","Unico")</f>
        <v>Unico</v>
      </c>
      <c r="P1313" t="str">
        <f t="shared" si="81"/>
        <v>OK</v>
      </c>
      <c r="Q1313" t="str">
        <f t="shared" si="82"/>
        <v>OK</v>
      </c>
      <c r="R1313" t="str">
        <f t="shared" si="83"/>
        <v>OK</v>
      </c>
    </row>
    <row r="1314" spans="1:18" x14ac:dyDescent="0.3">
      <c r="A1314" s="1">
        <v>45666</v>
      </c>
      <c r="B1314" s="2" t="s">
        <v>2623</v>
      </c>
      <c r="C1314" s="2" t="s">
        <v>2543</v>
      </c>
      <c r="D1314" s="2" t="s">
        <v>2528</v>
      </c>
      <c r="E1314" s="2" t="s">
        <v>2529</v>
      </c>
      <c r="F1314" s="3">
        <v>131260</v>
      </c>
      <c r="G1314" s="3">
        <v>7604</v>
      </c>
      <c r="H1314" s="3">
        <v>247</v>
      </c>
      <c r="I1314" s="4">
        <v>15793.87</v>
      </c>
      <c r="J1314" s="4">
        <v>39228.879999999997</v>
      </c>
      <c r="K1314" s="3">
        <v>141</v>
      </c>
      <c r="L1314" s="2" t="s">
        <v>2523</v>
      </c>
      <c r="M1314" s="2" t="s">
        <v>2546</v>
      </c>
      <c r="N1314" s="6">
        <f t="shared" si="80"/>
        <v>1</v>
      </c>
      <c r="O1314" t="str">
        <f>IF(Tabla_control[[#This Row],[Control_duplicados]]&gt;1,"Duplicado","Unico")</f>
        <v>Unico</v>
      </c>
      <c r="P1314" t="str">
        <f t="shared" si="81"/>
        <v>OK</v>
      </c>
      <c r="Q1314" t="str">
        <f t="shared" si="82"/>
        <v>OK</v>
      </c>
      <c r="R1314" t="str">
        <f t="shared" si="83"/>
        <v>OK</v>
      </c>
    </row>
    <row r="1315" spans="1:18" x14ac:dyDescent="0.3">
      <c r="A1315" s="1">
        <v>46016</v>
      </c>
      <c r="B1315" s="2" t="s">
        <v>2617</v>
      </c>
      <c r="C1315" s="2" t="s">
        <v>2541</v>
      </c>
      <c r="D1315" s="2" t="s">
        <v>2531</v>
      </c>
      <c r="E1315" s="2" t="s">
        <v>2534</v>
      </c>
      <c r="F1315" s="3">
        <v>146738</v>
      </c>
      <c r="G1315" s="3">
        <v>11190</v>
      </c>
      <c r="H1315" s="3">
        <v>809</v>
      </c>
      <c r="I1315" s="4">
        <v>3671.31</v>
      </c>
      <c r="J1315" s="4">
        <v>171892.14</v>
      </c>
      <c r="K1315" s="3">
        <v>716</v>
      </c>
      <c r="L1315" s="2" t="s">
        <v>2523</v>
      </c>
      <c r="M1315" s="2" t="s">
        <v>2519</v>
      </c>
      <c r="N1315" s="6">
        <f t="shared" si="80"/>
        <v>2</v>
      </c>
      <c r="O1315" t="str">
        <f>IF(Tabla_control[[#This Row],[Control_duplicados]]&gt;1,"Duplicado","Unico")</f>
        <v>Duplicado</v>
      </c>
      <c r="P1315" t="str">
        <f t="shared" si="81"/>
        <v>OK</v>
      </c>
      <c r="Q1315" t="str">
        <f t="shared" si="82"/>
        <v>OK</v>
      </c>
      <c r="R1315" t="str">
        <f t="shared" si="83"/>
        <v>OK</v>
      </c>
    </row>
    <row r="1316" spans="1:18" x14ac:dyDescent="0.3">
      <c r="A1316" s="1">
        <v>45665</v>
      </c>
      <c r="B1316" s="2" t="s">
        <v>2626</v>
      </c>
      <c r="C1316" s="2" t="s">
        <v>2541</v>
      </c>
      <c r="D1316" s="2" t="s">
        <v>2516</v>
      </c>
      <c r="E1316" s="2" t="s">
        <v>2529</v>
      </c>
      <c r="F1316" s="3">
        <v>146805</v>
      </c>
      <c r="G1316" s="3">
        <v>3775</v>
      </c>
      <c r="H1316" s="3">
        <v>356</v>
      </c>
      <c r="I1316" s="4">
        <v>1379.74</v>
      </c>
      <c r="J1316" s="4">
        <v>57735.37</v>
      </c>
      <c r="K1316" s="3">
        <v>184</v>
      </c>
      <c r="L1316" s="2" t="s">
        <v>2539</v>
      </c>
      <c r="M1316" s="2" t="s">
        <v>2519</v>
      </c>
      <c r="N1316" s="6">
        <f t="shared" si="80"/>
        <v>1</v>
      </c>
      <c r="O1316" t="str">
        <f>IF(Tabla_control[[#This Row],[Control_duplicados]]&gt;1,"Duplicado","Unico")</f>
        <v>Unico</v>
      </c>
      <c r="P1316" t="str">
        <f t="shared" si="81"/>
        <v>OK</v>
      </c>
      <c r="Q1316" t="str">
        <f t="shared" si="82"/>
        <v>OK</v>
      </c>
      <c r="R1316" t="str">
        <f t="shared" si="83"/>
        <v>OK</v>
      </c>
    </row>
    <row r="1317" spans="1:18" x14ac:dyDescent="0.3">
      <c r="A1317" s="1">
        <v>45998</v>
      </c>
      <c r="B1317" s="2" t="s">
        <v>2625</v>
      </c>
      <c r="C1317" s="2" t="s">
        <v>2543</v>
      </c>
      <c r="D1317" s="2" t="s">
        <v>2531</v>
      </c>
      <c r="E1317" s="2" t="s">
        <v>2529</v>
      </c>
      <c r="F1317" s="3">
        <v>26291</v>
      </c>
      <c r="G1317" s="3">
        <v>1134</v>
      </c>
      <c r="H1317" s="3">
        <v>110</v>
      </c>
      <c r="I1317" s="4">
        <v>351.97</v>
      </c>
      <c r="J1317" s="4">
        <v>20155.89</v>
      </c>
      <c r="K1317" s="3">
        <v>56</v>
      </c>
      <c r="L1317" s="2" t="s">
        <v>2539</v>
      </c>
      <c r="M1317" s="2" t="s">
        <v>2524</v>
      </c>
      <c r="N1317" s="6">
        <f t="shared" si="80"/>
        <v>1</v>
      </c>
      <c r="O1317" t="str">
        <f>IF(Tabla_control[[#This Row],[Control_duplicados]]&gt;1,"Duplicado","Unico")</f>
        <v>Unico</v>
      </c>
      <c r="P1317" t="str">
        <f t="shared" si="81"/>
        <v>OK</v>
      </c>
      <c r="Q1317" t="str">
        <f t="shared" si="82"/>
        <v>OK</v>
      </c>
      <c r="R1317" t="str">
        <f t="shared" si="83"/>
        <v>OK</v>
      </c>
    </row>
    <row r="1318" spans="1:18" x14ac:dyDescent="0.3">
      <c r="A1318" s="1">
        <v>45953</v>
      </c>
      <c r="B1318" s="2" t="s">
        <v>2632</v>
      </c>
      <c r="C1318" s="2" t="s">
        <v>2541</v>
      </c>
      <c r="D1318" s="2" t="s">
        <v>2528</v>
      </c>
      <c r="E1318" s="2" t="s">
        <v>2517</v>
      </c>
      <c r="F1318" s="3">
        <v>35678</v>
      </c>
      <c r="G1318" s="3">
        <v>1657</v>
      </c>
      <c r="H1318" s="3">
        <v>220</v>
      </c>
      <c r="I1318" s="4">
        <v>2495.14</v>
      </c>
      <c r="J1318" s="4">
        <v>24232.99</v>
      </c>
      <c r="K1318" s="3">
        <v>126</v>
      </c>
      <c r="L1318" s="2" t="s">
        <v>2536</v>
      </c>
      <c r="M1318" s="2" t="s">
        <v>2546</v>
      </c>
      <c r="N1318" s="6">
        <f t="shared" si="80"/>
        <v>1</v>
      </c>
      <c r="O1318" t="str">
        <f>IF(Tabla_control[[#This Row],[Control_duplicados]]&gt;1,"Duplicado","Unico")</f>
        <v>Unico</v>
      </c>
      <c r="P1318" t="str">
        <f t="shared" si="81"/>
        <v>OK</v>
      </c>
      <c r="Q1318" t="str">
        <f t="shared" si="82"/>
        <v>OK</v>
      </c>
      <c r="R1318" t="str">
        <f t="shared" si="83"/>
        <v>OK</v>
      </c>
    </row>
    <row r="1319" spans="1:18" x14ac:dyDescent="0.3">
      <c r="A1319" s="1">
        <v>45964</v>
      </c>
      <c r="B1319" s="2" t="s">
        <v>2628</v>
      </c>
      <c r="C1319" s="2" t="s">
        <v>2533</v>
      </c>
      <c r="D1319" s="2" t="s">
        <v>2528</v>
      </c>
      <c r="E1319" s="2" t="s">
        <v>2529</v>
      </c>
      <c r="F1319" s="3">
        <v>135977</v>
      </c>
      <c r="G1319" s="3">
        <v>6918</v>
      </c>
      <c r="H1319" s="3">
        <v>483</v>
      </c>
      <c r="I1319" s="4">
        <v>8393.9699999999993</v>
      </c>
      <c r="J1319" s="4">
        <v>33461.629999999997</v>
      </c>
      <c r="K1319" s="3">
        <v>360</v>
      </c>
      <c r="L1319" s="2" t="s">
        <v>2518</v>
      </c>
      <c r="M1319" s="2" t="s">
        <v>2524</v>
      </c>
      <c r="N1319" s="6">
        <f t="shared" si="80"/>
        <v>1</v>
      </c>
      <c r="O1319" t="str">
        <f>IF(Tabla_control[[#This Row],[Control_duplicados]]&gt;1,"Duplicado","Unico")</f>
        <v>Unico</v>
      </c>
      <c r="P1319" t="str">
        <f t="shared" si="81"/>
        <v>OK</v>
      </c>
      <c r="Q1319" t="str">
        <f t="shared" si="82"/>
        <v>OK</v>
      </c>
      <c r="R1319" t="str">
        <f t="shared" si="83"/>
        <v>OK</v>
      </c>
    </row>
    <row r="1320" spans="1:18" x14ac:dyDescent="0.3">
      <c r="A1320" s="1">
        <v>45690</v>
      </c>
      <c r="B1320" s="2" t="s">
        <v>2616</v>
      </c>
      <c r="C1320" s="2" t="s">
        <v>2541</v>
      </c>
      <c r="D1320" s="2" t="s">
        <v>2528</v>
      </c>
      <c r="E1320" s="2" t="s">
        <v>2517</v>
      </c>
      <c r="F1320" s="3">
        <v>26955</v>
      </c>
      <c r="G1320" s="3">
        <v>945</v>
      </c>
      <c r="H1320" s="3">
        <v>122</v>
      </c>
      <c r="I1320" s="4">
        <v>1383.05</v>
      </c>
      <c r="J1320" s="4">
        <v>18597.46</v>
      </c>
      <c r="K1320" s="3">
        <v>105</v>
      </c>
      <c r="L1320" s="2" t="s">
        <v>2523</v>
      </c>
      <c r="M1320" s="2" t="s">
        <v>2524</v>
      </c>
      <c r="N1320" s="6">
        <f t="shared" si="80"/>
        <v>1</v>
      </c>
      <c r="O1320" t="str">
        <f>IF(Tabla_control[[#This Row],[Control_duplicados]]&gt;1,"Duplicado","Unico")</f>
        <v>Unico</v>
      </c>
      <c r="P1320" t="str">
        <f t="shared" si="81"/>
        <v>OK</v>
      </c>
      <c r="Q1320" t="str">
        <f t="shared" si="82"/>
        <v>OK</v>
      </c>
      <c r="R1320" t="str">
        <f t="shared" si="83"/>
        <v>OK</v>
      </c>
    </row>
    <row r="1321" spans="1:18" x14ac:dyDescent="0.3">
      <c r="A1321" s="1">
        <v>45812</v>
      </c>
      <c r="B1321" s="2" t="s">
        <v>2637</v>
      </c>
      <c r="C1321" s="2" t="s">
        <v>2543</v>
      </c>
      <c r="D1321" s="2" t="s">
        <v>2528</v>
      </c>
      <c r="E1321" s="2" t="s">
        <v>2517</v>
      </c>
      <c r="F1321" s="3">
        <v>165607</v>
      </c>
      <c r="G1321" s="3">
        <v>2819</v>
      </c>
      <c r="H1321" s="3">
        <v>113</v>
      </c>
      <c r="I1321" s="4">
        <v>2051.6999999999998</v>
      </c>
      <c r="J1321" s="4">
        <v>6591.24</v>
      </c>
      <c r="K1321" s="3">
        <v>87</v>
      </c>
      <c r="L1321" s="2" t="s">
        <v>2536</v>
      </c>
      <c r="M1321" s="2" t="s">
        <v>2524</v>
      </c>
      <c r="N1321" s="6">
        <f t="shared" si="80"/>
        <v>1</v>
      </c>
      <c r="O1321" t="str">
        <f>IF(Tabla_control[[#This Row],[Control_duplicados]]&gt;1,"Duplicado","Unico")</f>
        <v>Unico</v>
      </c>
      <c r="P1321" t="str">
        <f t="shared" si="81"/>
        <v>OK</v>
      </c>
      <c r="Q1321" t="str">
        <f t="shared" si="82"/>
        <v>OK</v>
      </c>
      <c r="R1321" t="str">
        <f t="shared" si="83"/>
        <v>OK</v>
      </c>
    </row>
    <row r="1322" spans="1:18" x14ac:dyDescent="0.3">
      <c r="A1322" s="1">
        <v>45794</v>
      </c>
      <c r="B1322" s="2" t="s">
        <v>2624</v>
      </c>
      <c r="C1322" s="2" t="s">
        <v>2515</v>
      </c>
      <c r="D1322" s="2" t="s">
        <v>2528</v>
      </c>
      <c r="E1322" s="2" t="s">
        <v>2534</v>
      </c>
      <c r="F1322" s="3">
        <v>37170</v>
      </c>
      <c r="G1322" s="3">
        <v>1498</v>
      </c>
      <c r="H1322" s="3">
        <v>105</v>
      </c>
      <c r="I1322" s="4">
        <v>1865.23</v>
      </c>
      <c r="J1322" s="4">
        <v>17967.7</v>
      </c>
      <c r="K1322" s="3">
        <v>58</v>
      </c>
      <c r="L1322" s="2" t="s">
        <v>2518</v>
      </c>
      <c r="M1322" s="2" t="s">
        <v>2537</v>
      </c>
      <c r="N1322" s="6">
        <f t="shared" si="80"/>
        <v>1</v>
      </c>
      <c r="O1322" t="str">
        <f>IF(Tabla_control[[#This Row],[Control_duplicados]]&gt;1,"Duplicado","Unico")</f>
        <v>Unico</v>
      </c>
      <c r="P1322" t="str">
        <f t="shared" si="81"/>
        <v>OK</v>
      </c>
      <c r="Q1322" t="str">
        <f t="shared" si="82"/>
        <v>OK</v>
      </c>
      <c r="R1322" t="str">
        <f t="shared" si="83"/>
        <v>OK</v>
      </c>
    </row>
    <row r="1323" spans="1:18" x14ac:dyDescent="0.3">
      <c r="A1323" s="1">
        <v>45954</v>
      </c>
      <c r="B1323" s="2" t="s">
        <v>2626</v>
      </c>
      <c r="C1323" s="2" t="s">
        <v>2533</v>
      </c>
      <c r="D1323" s="2" t="s">
        <v>2528</v>
      </c>
      <c r="E1323" s="2" t="s">
        <v>2517</v>
      </c>
      <c r="F1323" s="3">
        <v>69035</v>
      </c>
      <c r="G1323" s="3">
        <v>5031</v>
      </c>
      <c r="H1323" s="3">
        <v>181</v>
      </c>
      <c r="I1323" s="4">
        <v>6326.89</v>
      </c>
      <c r="J1323" s="4">
        <v>32771.72</v>
      </c>
      <c r="K1323" s="3">
        <v>161</v>
      </c>
      <c r="L1323" s="2" t="s">
        <v>2523</v>
      </c>
      <c r="M1323" s="2" t="s">
        <v>2519</v>
      </c>
      <c r="N1323" s="6">
        <f t="shared" si="80"/>
        <v>1</v>
      </c>
      <c r="O1323" t="str">
        <f>IF(Tabla_control[[#This Row],[Control_duplicados]]&gt;1,"Duplicado","Unico")</f>
        <v>Unico</v>
      </c>
      <c r="P1323" t="str">
        <f t="shared" si="81"/>
        <v>OK</v>
      </c>
      <c r="Q1323" t="str">
        <f t="shared" si="82"/>
        <v>OK</v>
      </c>
      <c r="R1323" t="str">
        <f t="shared" si="83"/>
        <v>OK</v>
      </c>
    </row>
    <row r="1324" spans="1:18" x14ac:dyDescent="0.3">
      <c r="A1324" s="1">
        <v>45872</v>
      </c>
      <c r="B1324" s="2" t="s">
        <v>2616</v>
      </c>
      <c r="C1324" s="2" t="s">
        <v>2527</v>
      </c>
      <c r="D1324" s="2" t="s">
        <v>2528</v>
      </c>
      <c r="E1324" s="2" t="s">
        <v>2529</v>
      </c>
      <c r="F1324" s="3">
        <v>168325</v>
      </c>
      <c r="G1324" s="3">
        <v>11484</v>
      </c>
      <c r="H1324" s="3">
        <v>603</v>
      </c>
      <c r="I1324" s="4">
        <v>12467.22</v>
      </c>
      <c r="J1324" s="4">
        <v>13973.87</v>
      </c>
      <c r="K1324" s="3">
        <v>434</v>
      </c>
      <c r="L1324" s="2" t="s">
        <v>2523</v>
      </c>
      <c r="M1324" s="2" t="s">
        <v>2519</v>
      </c>
      <c r="N1324" s="6">
        <f t="shared" si="80"/>
        <v>1</v>
      </c>
      <c r="O1324" t="str">
        <f>IF(Tabla_control[[#This Row],[Control_duplicados]]&gt;1,"Duplicado","Unico")</f>
        <v>Unico</v>
      </c>
      <c r="P1324" t="str">
        <f t="shared" si="81"/>
        <v>OK</v>
      </c>
      <c r="Q1324" t="str">
        <f t="shared" si="82"/>
        <v>OK</v>
      </c>
      <c r="R1324" t="str">
        <f t="shared" si="83"/>
        <v>OK</v>
      </c>
    </row>
    <row r="1325" spans="1:18" x14ac:dyDescent="0.3">
      <c r="A1325" s="1">
        <v>45989</v>
      </c>
      <c r="B1325" s="2" t="s">
        <v>2644</v>
      </c>
      <c r="C1325" s="2" t="s">
        <v>2543</v>
      </c>
      <c r="D1325" s="2" t="s">
        <v>2528</v>
      </c>
      <c r="E1325" s="2" t="s">
        <v>2529</v>
      </c>
      <c r="F1325" s="3">
        <v>10883</v>
      </c>
      <c r="G1325" s="3">
        <v>222</v>
      </c>
      <c r="H1325" s="3">
        <v>20</v>
      </c>
      <c r="I1325" s="4">
        <v>261.37</v>
      </c>
      <c r="J1325" s="4">
        <v>2042.82</v>
      </c>
      <c r="K1325" s="3">
        <v>14</v>
      </c>
      <c r="L1325" s="2" t="s">
        <v>2523</v>
      </c>
      <c r="M1325" s="2" t="s">
        <v>2537</v>
      </c>
      <c r="N1325" s="6">
        <f t="shared" si="80"/>
        <v>1</v>
      </c>
      <c r="O1325" t="str">
        <f>IF(Tabla_control[[#This Row],[Control_duplicados]]&gt;1,"Duplicado","Unico")</f>
        <v>Unico</v>
      </c>
      <c r="P1325" t="str">
        <f t="shared" si="81"/>
        <v>OK</v>
      </c>
      <c r="Q1325" t="str">
        <f t="shared" si="82"/>
        <v>OK</v>
      </c>
      <c r="R1325" t="str">
        <f t="shared" si="83"/>
        <v>OK</v>
      </c>
    </row>
    <row r="1326" spans="1:18" x14ac:dyDescent="0.3">
      <c r="A1326" s="1">
        <v>46013</v>
      </c>
      <c r="B1326" s="2" t="s">
        <v>2624</v>
      </c>
      <c r="C1326" s="2" t="s">
        <v>2521</v>
      </c>
      <c r="D1326" s="2" t="s">
        <v>2528</v>
      </c>
      <c r="E1326" s="2" t="s">
        <v>2517</v>
      </c>
      <c r="F1326" s="3">
        <v>87923</v>
      </c>
      <c r="G1326" s="3">
        <v>7811</v>
      </c>
      <c r="H1326" s="3">
        <v>465</v>
      </c>
      <c r="I1326" s="4">
        <v>4694.37</v>
      </c>
      <c r="J1326" s="4">
        <v>32975.769999999997</v>
      </c>
      <c r="K1326" s="3">
        <v>291</v>
      </c>
      <c r="L1326" s="2" t="s">
        <v>2523</v>
      </c>
      <c r="M1326" s="2" t="s">
        <v>2524</v>
      </c>
      <c r="N1326" s="6">
        <f t="shared" si="80"/>
        <v>1</v>
      </c>
      <c r="O1326" t="str">
        <f>IF(Tabla_control[[#This Row],[Control_duplicados]]&gt;1,"Duplicado","Unico")</f>
        <v>Unico</v>
      </c>
      <c r="P1326" t="str">
        <f t="shared" si="81"/>
        <v>OK</v>
      </c>
      <c r="Q1326" t="str">
        <f t="shared" si="82"/>
        <v>OK</v>
      </c>
      <c r="R1326" t="str">
        <f t="shared" si="83"/>
        <v>OK</v>
      </c>
    </row>
    <row r="1327" spans="1:18" x14ac:dyDescent="0.3">
      <c r="A1327" s="1">
        <v>45675</v>
      </c>
      <c r="B1327" s="2" t="s">
        <v>2620</v>
      </c>
      <c r="C1327" s="2" t="s">
        <v>2543</v>
      </c>
      <c r="D1327" s="2" t="s">
        <v>2525</v>
      </c>
      <c r="E1327" s="2" t="s">
        <v>2517</v>
      </c>
      <c r="F1327" s="3">
        <v>1730</v>
      </c>
      <c r="G1327" s="3">
        <v>133</v>
      </c>
      <c r="H1327" s="3">
        <v>7</v>
      </c>
      <c r="I1327" s="4">
        <v>198.12</v>
      </c>
      <c r="J1327" s="4">
        <v>118.68</v>
      </c>
      <c r="K1327" s="3">
        <v>5</v>
      </c>
      <c r="L1327" s="2" t="s">
        <v>2523</v>
      </c>
      <c r="M1327" s="2" t="s">
        <v>2546</v>
      </c>
      <c r="N1327" s="6">
        <f t="shared" si="80"/>
        <v>1</v>
      </c>
      <c r="O1327" t="str">
        <f>IF(Tabla_control[[#This Row],[Control_duplicados]]&gt;1,"Duplicado","Unico")</f>
        <v>Unico</v>
      </c>
      <c r="P1327" t="str">
        <f t="shared" si="81"/>
        <v>OK</v>
      </c>
      <c r="Q1327" t="str">
        <f t="shared" si="82"/>
        <v>OK</v>
      </c>
      <c r="R1327" t="str">
        <f t="shared" si="83"/>
        <v>OK</v>
      </c>
    </row>
    <row r="1328" spans="1:18" x14ac:dyDescent="0.3">
      <c r="A1328" s="1">
        <v>45765</v>
      </c>
      <c r="B1328" s="2" t="s">
        <v>2628</v>
      </c>
      <c r="C1328" s="2" t="s">
        <v>2543</v>
      </c>
      <c r="D1328" s="2" t="s">
        <v>2516</v>
      </c>
      <c r="E1328" s="2" t="s">
        <v>2529</v>
      </c>
      <c r="F1328" s="3">
        <v>105584</v>
      </c>
      <c r="G1328" s="3">
        <v>2035</v>
      </c>
      <c r="H1328" s="3">
        <v>37</v>
      </c>
      <c r="I1328" s="4">
        <v>3720.36</v>
      </c>
      <c r="J1328" s="4">
        <v>5032.7299999999996</v>
      </c>
      <c r="K1328" s="3">
        <v>19</v>
      </c>
      <c r="L1328" s="2" t="s">
        <v>2523</v>
      </c>
      <c r="M1328" s="2" t="s">
        <v>2537</v>
      </c>
      <c r="N1328" s="6">
        <f t="shared" si="80"/>
        <v>1</v>
      </c>
      <c r="O1328" t="str">
        <f>IF(Tabla_control[[#This Row],[Control_duplicados]]&gt;1,"Duplicado","Unico")</f>
        <v>Unico</v>
      </c>
      <c r="P1328" t="str">
        <f t="shared" si="81"/>
        <v>OK</v>
      </c>
      <c r="Q1328" t="str">
        <f t="shared" si="82"/>
        <v>OK</v>
      </c>
      <c r="R1328" t="str">
        <f t="shared" si="83"/>
        <v>OK</v>
      </c>
    </row>
    <row r="1329" spans="1:18" x14ac:dyDescent="0.3">
      <c r="A1329" s="1">
        <v>45933</v>
      </c>
      <c r="B1329" s="2" t="s">
        <v>2637</v>
      </c>
      <c r="C1329" s="2" t="s">
        <v>2521</v>
      </c>
      <c r="D1329" s="2" t="s">
        <v>2525</v>
      </c>
      <c r="E1329" s="2" t="s">
        <v>2517</v>
      </c>
      <c r="F1329" s="3">
        <v>60690</v>
      </c>
      <c r="G1329" s="3">
        <v>2237</v>
      </c>
      <c r="H1329" s="3">
        <v>256</v>
      </c>
      <c r="I1329" s="4">
        <v>2978.87</v>
      </c>
      <c r="J1329" s="4">
        <v>9714.4</v>
      </c>
      <c r="K1329" s="3">
        <v>129</v>
      </c>
      <c r="L1329" s="2" t="s">
        <v>2523</v>
      </c>
      <c r="M1329" s="2" t="s">
        <v>2519</v>
      </c>
      <c r="N1329" s="6">
        <f t="shared" si="80"/>
        <v>1</v>
      </c>
      <c r="O1329" t="str">
        <f>IF(Tabla_control[[#This Row],[Control_duplicados]]&gt;1,"Duplicado","Unico")</f>
        <v>Unico</v>
      </c>
      <c r="P1329" t="str">
        <f t="shared" si="81"/>
        <v>OK</v>
      </c>
      <c r="Q1329" t="str">
        <f t="shared" si="82"/>
        <v>OK</v>
      </c>
      <c r="R1329" t="str">
        <f t="shared" si="83"/>
        <v>OK</v>
      </c>
    </row>
    <row r="1330" spans="1:18" x14ac:dyDescent="0.3">
      <c r="A1330" s="1">
        <v>45754</v>
      </c>
      <c r="B1330" s="2" t="s">
        <v>2632</v>
      </c>
      <c r="C1330" s="2" t="s">
        <v>2541</v>
      </c>
      <c r="D1330" s="2" t="s">
        <v>2528</v>
      </c>
      <c r="E1330" s="2" t="s">
        <v>2529</v>
      </c>
      <c r="F1330" s="3">
        <v>175136</v>
      </c>
      <c r="G1330" s="3">
        <v>4361</v>
      </c>
      <c r="H1330" s="3">
        <v>402</v>
      </c>
      <c r="I1330" s="4">
        <v>7310.75</v>
      </c>
      <c r="J1330" s="4">
        <v>18613.18</v>
      </c>
      <c r="K1330" s="3">
        <v>199</v>
      </c>
      <c r="L1330" s="2" t="s">
        <v>2518</v>
      </c>
      <c r="M1330" s="2" t="s">
        <v>2537</v>
      </c>
      <c r="N1330" s="6">
        <f t="shared" si="80"/>
        <v>1</v>
      </c>
      <c r="O1330" t="str">
        <f>IF(Tabla_control[[#This Row],[Control_duplicados]]&gt;1,"Duplicado","Unico")</f>
        <v>Unico</v>
      </c>
      <c r="P1330" t="str">
        <f t="shared" si="81"/>
        <v>OK</v>
      </c>
      <c r="Q1330" t="str">
        <f t="shared" si="82"/>
        <v>OK</v>
      </c>
      <c r="R1330" t="str">
        <f t="shared" si="83"/>
        <v>OK</v>
      </c>
    </row>
    <row r="1331" spans="1:18" x14ac:dyDescent="0.3">
      <c r="A1331" s="1">
        <v>45709</v>
      </c>
      <c r="B1331" s="2" t="s">
        <v>2617</v>
      </c>
      <c r="C1331" s="2" t="s">
        <v>2533</v>
      </c>
      <c r="D1331" s="2" t="s">
        <v>2516</v>
      </c>
      <c r="E1331" s="2" t="s">
        <v>2534</v>
      </c>
      <c r="F1331" s="3">
        <v>72634</v>
      </c>
      <c r="G1331" s="3">
        <v>2875</v>
      </c>
      <c r="H1331" s="3">
        <v>400</v>
      </c>
      <c r="I1331" s="4">
        <v>3867.32</v>
      </c>
      <c r="J1331" s="4">
        <v>61763.35</v>
      </c>
      <c r="K1331" s="3">
        <v>359</v>
      </c>
      <c r="L1331" s="2" t="s">
        <v>2523</v>
      </c>
      <c r="M1331" s="2" t="s">
        <v>2526</v>
      </c>
      <c r="N1331" s="6">
        <f t="shared" si="80"/>
        <v>1</v>
      </c>
      <c r="O1331" t="str">
        <f>IF(Tabla_control[[#This Row],[Control_duplicados]]&gt;1,"Duplicado","Unico")</f>
        <v>Unico</v>
      </c>
      <c r="P1331" t="str">
        <f t="shared" si="81"/>
        <v>OK</v>
      </c>
      <c r="Q1331" t="str">
        <f t="shared" si="82"/>
        <v>OK</v>
      </c>
      <c r="R1331" t="str">
        <f t="shared" si="83"/>
        <v>OK</v>
      </c>
    </row>
    <row r="1332" spans="1:18" x14ac:dyDescent="0.3">
      <c r="A1332" s="1">
        <v>45817</v>
      </c>
      <c r="B1332" s="2" t="s">
        <v>2633</v>
      </c>
      <c r="C1332" s="2" t="s">
        <v>2541</v>
      </c>
      <c r="D1332" s="2" t="s">
        <v>2528</v>
      </c>
      <c r="E1332" s="2" t="s">
        <v>2517</v>
      </c>
      <c r="F1332" s="3">
        <v>173765</v>
      </c>
      <c r="G1332" s="3">
        <v>3097</v>
      </c>
      <c r="H1332" s="3">
        <v>75</v>
      </c>
      <c r="I1332" s="4">
        <v>1191.79</v>
      </c>
      <c r="J1332" s="4">
        <v>9241.5400000000009</v>
      </c>
      <c r="K1332" s="3">
        <v>37</v>
      </c>
      <c r="L1332" s="2" t="s">
        <v>2523</v>
      </c>
      <c r="M1332" s="2" t="s">
        <v>2546</v>
      </c>
      <c r="N1332" s="6">
        <f t="shared" si="80"/>
        <v>1</v>
      </c>
      <c r="O1332" t="str">
        <f>IF(Tabla_control[[#This Row],[Control_duplicados]]&gt;1,"Duplicado","Unico")</f>
        <v>Unico</v>
      </c>
      <c r="P1332" t="str">
        <f t="shared" si="81"/>
        <v>OK</v>
      </c>
      <c r="Q1332" t="str">
        <f t="shared" si="82"/>
        <v>OK</v>
      </c>
      <c r="R1332" t="str">
        <f t="shared" si="83"/>
        <v>OK</v>
      </c>
    </row>
    <row r="1333" spans="1:18" x14ac:dyDescent="0.3">
      <c r="A1333" s="1">
        <v>45995</v>
      </c>
      <c r="B1333" s="2" t="s">
        <v>2640</v>
      </c>
      <c r="C1333" s="2" t="s">
        <v>2515</v>
      </c>
      <c r="D1333" s="2" t="s">
        <v>2528</v>
      </c>
      <c r="E1333" s="2" t="s">
        <v>2517</v>
      </c>
      <c r="F1333" s="3">
        <v>88725</v>
      </c>
      <c r="G1333" s="3">
        <v>3231</v>
      </c>
      <c r="H1333" s="3">
        <v>389</v>
      </c>
      <c r="I1333" s="4">
        <v>4450.29</v>
      </c>
      <c r="J1333" s="4">
        <v>11851.28</v>
      </c>
      <c r="K1333" s="3">
        <v>325</v>
      </c>
      <c r="L1333" s="2" t="s">
        <v>2518</v>
      </c>
      <c r="M1333" s="2" t="s">
        <v>2546</v>
      </c>
      <c r="N1333" s="6">
        <f t="shared" si="80"/>
        <v>1</v>
      </c>
      <c r="O1333" t="str">
        <f>IF(Tabla_control[[#This Row],[Control_duplicados]]&gt;1,"Duplicado","Unico")</f>
        <v>Unico</v>
      </c>
      <c r="P1333" t="str">
        <f t="shared" si="81"/>
        <v>OK</v>
      </c>
      <c r="Q1333" t="str">
        <f t="shared" si="82"/>
        <v>OK</v>
      </c>
      <c r="R1333" t="str">
        <f t="shared" si="83"/>
        <v>OK</v>
      </c>
    </row>
    <row r="1334" spans="1:18" x14ac:dyDescent="0.3">
      <c r="A1334" s="1">
        <v>45803</v>
      </c>
      <c r="B1334" s="2" t="s">
        <v>2643</v>
      </c>
      <c r="C1334" s="2" t="s">
        <v>2541</v>
      </c>
      <c r="D1334" s="2" t="s">
        <v>2528</v>
      </c>
      <c r="E1334" s="2" t="s">
        <v>2534</v>
      </c>
      <c r="F1334" s="3">
        <v>79966</v>
      </c>
      <c r="G1334" s="3">
        <v>4883</v>
      </c>
      <c r="H1334" s="3">
        <v>306</v>
      </c>
      <c r="I1334" s="4">
        <v>3623.82</v>
      </c>
      <c r="J1334" s="4">
        <v>18074.73</v>
      </c>
      <c r="K1334" s="3">
        <v>170</v>
      </c>
      <c r="L1334" s="2" t="s">
        <v>2539</v>
      </c>
      <c r="M1334" s="2" t="s">
        <v>2526</v>
      </c>
      <c r="N1334" s="6">
        <f t="shared" si="80"/>
        <v>1</v>
      </c>
      <c r="O1334" t="str">
        <f>IF(Tabla_control[[#This Row],[Control_duplicados]]&gt;1,"Duplicado","Unico")</f>
        <v>Unico</v>
      </c>
      <c r="P1334" t="str">
        <f t="shared" si="81"/>
        <v>OK</v>
      </c>
      <c r="Q1334" t="str">
        <f t="shared" si="82"/>
        <v>OK</v>
      </c>
      <c r="R1334" t="str">
        <f t="shared" si="83"/>
        <v>OK</v>
      </c>
    </row>
    <row r="1335" spans="1:18" x14ac:dyDescent="0.3">
      <c r="A1335" s="1">
        <v>45780</v>
      </c>
      <c r="B1335" s="2" t="s">
        <v>2618</v>
      </c>
      <c r="C1335" s="2" t="s">
        <v>2541</v>
      </c>
      <c r="D1335" s="2" t="s">
        <v>2528</v>
      </c>
      <c r="E1335" s="2" t="s">
        <v>2517</v>
      </c>
      <c r="F1335" s="3">
        <v>174554</v>
      </c>
      <c r="G1335" s="3">
        <v>4349</v>
      </c>
      <c r="H1335" s="3">
        <v>4398</v>
      </c>
      <c r="I1335" s="4">
        <v>4329.24</v>
      </c>
      <c r="J1335" s="4">
        <v>22886.9</v>
      </c>
      <c r="K1335" s="3">
        <v>525</v>
      </c>
      <c r="L1335" s="2" t="s">
        <v>2523</v>
      </c>
      <c r="M1335" s="2" t="s">
        <v>2519</v>
      </c>
      <c r="N1335" s="6">
        <f t="shared" si="80"/>
        <v>1</v>
      </c>
      <c r="O1335" t="str">
        <f>IF(Tabla_control[[#This Row],[Control_duplicados]]&gt;1,"Duplicado","Unico")</f>
        <v>Unico</v>
      </c>
      <c r="P1335" t="str">
        <f t="shared" si="81"/>
        <v>OK</v>
      </c>
      <c r="Q1335" t="str">
        <f t="shared" si="82"/>
        <v>OK</v>
      </c>
      <c r="R1335" t="str">
        <f t="shared" si="83"/>
        <v>OK</v>
      </c>
    </row>
    <row r="1336" spans="1:18" x14ac:dyDescent="0.3">
      <c r="A1336" s="1">
        <v>45660</v>
      </c>
      <c r="B1336" s="2" t="s">
        <v>2631</v>
      </c>
      <c r="C1336" s="2" t="s">
        <v>2533</v>
      </c>
      <c r="D1336" s="2" t="s">
        <v>2522</v>
      </c>
      <c r="E1336" s="2" t="s">
        <v>2534</v>
      </c>
      <c r="F1336" s="3">
        <v>161812</v>
      </c>
      <c r="G1336" s="3">
        <v>6760</v>
      </c>
      <c r="H1336" s="3">
        <v>625</v>
      </c>
      <c r="I1336" s="4">
        <v>4639.9799999999996</v>
      </c>
      <c r="J1336" s="4">
        <v>134146.43</v>
      </c>
      <c r="K1336" s="3">
        <v>459</v>
      </c>
      <c r="L1336" s="2" t="s">
        <v>2536</v>
      </c>
      <c r="M1336" s="2" t="s">
        <v>2519</v>
      </c>
      <c r="N1336" s="6">
        <f t="shared" si="80"/>
        <v>1</v>
      </c>
      <c r="O1336" t="str">
        <f>IF(Tabla_control[[#This Row],[Control_duplicados]]&gt;1,"Duplicado","Unico")</f>
        <v>Unico</v>
      </c>
      <c r="P1336" t="str">
        <f t="shared" si="81"/>
        <v>OK</v>
      </c>
      <c r="Q1336" t="str">
        <f t="shared" si="82"/>
        <v>OK</v>
      </c>
      <c r="R1336" t="str">
        <f t="shared" si="83"/>
        <v>OK</v>
      </c>
    </row>
    <row r="1337" spans="1:18" x14ac:dyDescent="0.3">
      <c r="A1337" s="1">
        <v>45972</v>
      </c>
      <c r="B1337" s="2" t="s">
        <v>2635</v>
      </c>
      <c r="C1337" s="2" t="s">
        <v>2541</v>
      </c>
      <c r="D1337" s="2" t="s">
        <v>2516</v>
      </c>
      <c r="E1337" s="2" t="s">
        <v>2529</v>
      </c>
      <c r="F1337" s="3">
        <v>8295</v>
      </c>
      <c r="G1337" s="3">
        <v>50</v>
      </c>
      <c r="H1337" s="3">
        <v>3</v>
      </c>
      <c r="I1337" s="4">
        <v>60.92</v>
      </c>
      <c r="J1337" s="4">
        <v>653.85</v>
      </c>
      <c r="K1337" s="3">
        <v>2</v>
      </c>
      <c r="L1337" s="2" t="s">
        <v>2536</v>
      </c>
      <c r="M1337" s="2" t="s">
        <v>2519</v>
      </c>
      <c r="N1337" s="6">
        <f t="shared" si="80"/>
        <v>1</v>
      </c>
      <c r="O1337" t="str">
        <f>IF(Tabla_control[[#This Row],[Control_duplicados]]&gt;1,"Duplicado","Unico")</f>
        <v>Unico</v>
      </c>
      <c r="P1337" t="str">
        <f t="shared" si="81"/>
        <v>OK</v>
      </c>
      <c r="Q1337" t="str">
        <f t="shared" si="82"/>
        <v>OK</v>
      </c>
      <c r="R1337" t="str">
        <f t="shared" si="83"/>
        <v>OK</v>
      </c>
    </row>
    <row r="1338" spans="1:18" x14ac:dyDescent="0.3">
      <c r="A1338" s="1">
        <v>45942</v>
      </c>
      <c r="B1338" s="2" t="s">
        <v>2644</v>
      </c>
      <c r="C1338" s="2" t="s">
        <v>2527</v>
      </c>
      <c r="D1338" s="2" t="s">
        <v>2528</v>
      </c>
      <c r="E1338" s="2" t="s">
        <v>2517</v>
      </c>
      <c r="F1338" s="3">
        <v>101954</v>
      </c>
      <c r="G1338" s="3">
        <v>4634</v>
      </c>
      <c r="H1338" s="3">
        <v>201</v>
      </c>
      <c r="I1338" s="4">
        <v>7108.91</v>
      </c>
      <c r="J1338" s="4">
        <v>34025.82</v>
      </c>
      <c r="K1338" s="3">
        <v>99</v>
      </c>
      <c r="L1338" s="2" t="s">
        <v>2539</v>
      </c>
      <c r="M1338" s="2" t="s">
        <v>2524</v>
      </c>
      <c r="N1338" s="6">
        <f t="shared" si="80"/>
        <v>1</v>
      </c>
      <c r="O1338" t="str">
        <f>IF(Tabla_control[[#This Row],[Control_duplicados]]&gt;1,"Duplicado","Unico")</f>
        <v>Unico</v>
      </c>
      <c r="P1338" t="str">
        <f t="shared" si="81"/>
        <v>OK</v>
      </c>
      <c r="Q1338" t="str">
        <f t="shared" si="82"/>
        <v>OK</v>
      </c>
      <c r="R1338" t="str">
        <f t="shared" si="83"/>
        <v>OK</v>
      </c>
    </row>
    <row r="1339" spans="1:18" x14ac:dyDescent="0.3">
      <c r="A1339" s="1">
        <v>45887</v>
      </c>
      <c r="B1339" s="2" t="s">
        <v>2621</v>
      </c>
      <c r="C1339" s="2" t="s">
        <v>2543</v>
      </c>
      <c r="D1339" s="2" t="s">
        <v>2528</v>
      </c>
      <c r="E1339" s="2" t="s">
        <v>2534</v>
      </c>
      <c r="F1339" s="3">
        <v>161509</v>
      </c>
      <c r="G1339" s="3">
        <v>6257</v>
      </c>
      <c r="H1339" s="3">
        <v>701</v>
      </c>
      <c r="I1339" s="4">
        <v>6965.17</v>
      </c>
      <c r="J1339" s="4">
        <v>81589.81</v>
      </c>
      <c r="K1339" s="3">
        <v>430</v>
      </c>
      <c r="L1339" s="2" t="s">
        <v>2518</v>
      </c>
      <c r="M1339" s="2" t="s">
        <v>2537</v>
      </c>
      <c r="N1339" s="6">
        <f t="shared" si="80"/>
        <v>2</v>
      </c>
      <c r="O1339" t="str">
        <f>IF(Tabla_control[[#This Row],[Control_duplicados]]&gt;1,"Duplicado","Unico")</f>
        <v>Duplicado</v>
      </c>
      <c r="P1339" t="str">
        <f t="shared" si="81"/>
        <v>OK</v>
      </c>
      <c r="Q1339" t="str">
        <f t="shared" si="82"/>
        <v>OK</v>
      </c>
      <c r="R1339" t="str">
        <f t="shared" si="83"/>
        <v>OK</v>
      </c>
    </row>
    <row r="1340" spans="1:18" x14ac:dyDescent="0.3">
      <c r="A1340" s="1">
        <v>45817</v>
      </c>
      <c r="B1340" s="2" t="s">
        <v>2621</v>
      </c>
      <c r="C1340" s="2" t="s">
        <v>2515</v>
      </c>
      <c r="D1340" s="2" t="s">
        <v>2531</v>
      </c>
      <c r="E1340" s="2" t="s">
        <v>2529</v>
      </c>
      <c r="F1340" s="3">
        <v>103784</v>
      </c>
      <c r="G1340" s="3">
        <v>810</v>
      </c>
      <c r="H1340" s="3">
        <v>110</v>
      </c>
      <c r="I1340" s="4">
        <v>1618.36</v>
      </c>
      <c r="J1340" s="4">
        <v>7423.06</v>
      </c>
      <c r="K1340" s="3">
        <v>77</v>
      </c>
      <c r="L1340" s="2" t="s">
        <v>2523</v>
      </c>
      <c r="M1340" s="2" t="s">
        <v>2546</v>
      </c>
      <c r="N1340" s="6">
        <f t="shared" si="80"/>
        <v>1</v>
      </c>
      <c r="O1340" t="str">
        <f>IF(Tabla_control[[#This Row],[Control_duplicados]]&gt;1,"Duplicado","Unico")</f>
        <v>Unico</v>
      </c>
      <c r="P1340" t="str">
        <f t="shared" si="81"/>
        <v>OK</v>
      </c>
      <c r="Q1340" t="str">
        <f t="shared" si="82"/>
        <v>OK</v>
      </c>
      <c r="R1340" t="str">
        <f t="shared" si="83"/>
        <v>OK</v>
      </c>
    </row>
    <row r="1341" spans="1:18" x14ac:dyDescent="0.3">
      <c r="A1341" s="1">
        <v>45780</v>
      </c>
      <c r="B1341" s="2" t="s">
        <v>2632</v>
      </c>
      <c r="C1341" s="2" t="s">
        <v>2533</v>
      </c>
      <c r="D1341" s="2" t="s">
        <v>2531</v>
      </c>
      <c r="E1341" s="2" t="s">
        <v>2529</v>
      </c>
      <c r="F1341" s="3">
        <v>17455</v>
      </c>
      <c r="G1341" s="3">
        <v>760</v>
      </c>
      <c r="H1341" s="3">
        <v>19</v>
      </c>
      <c r="I1341" s="4">
        <v>978.22</v>
      </c>
      <c r="J1341" s="4">
        <v>2444.3000000000002</v>
      </c>
      <c r="K1341" s="3">
        <v>15</v>
      </c>
      <c r="L1341" s="2" t="s">
        <v>2523</v>
      </c>
      <c r="M1341" s="2" t="s">
        <v>2537</v>
      </c>
      <c r="N1341" s="6">
        <f t="shared" si="80"/>
        <v>1</v>
      </c>
      <c r="O1341" t="str">
        <f>IF(Tabla_control[[#This Row],[Control_duplicados]]&gt;1,"Duplicado","Unico")</f>
        <v>Unico</v>
      </c>
      <c r="P1341" t="str">
        <f t="shared" si="81"/>
        <v>OK</v>
      </c>
      <c r="Q1341" t="str">
        <f t="shared" si="82"/>
        <v>OK</v>
      </c>
      <c r="R1341" t="str">
        <f t="shared" si="83"/>
        <v>OK</v>
      </c>
    </row>
    <row r="1342" spans="1:18" x14ac:dyDescent="0.3">
      <c r="A1342" s="1">
        <v>45826</v>
      </c>
      <c r="B1342" s="2" t="s">
        <v>2620</v>
      </c>
      <c r="C1342" s="2" t="s">
        <v>2543</v>
      </c>
      <c r="D1342" s="2" t="s">
        <v>2531</v>
      </c>
      <c r="E1342" s="2" t="s">
        <v>2529</v>
      </c>
      <c r="F1342" s="3">
        <v>160474</v>
      </c>
      <c r="G1342" s="3">
        <v>13911</v>
      </c>
      <c r="H1342" s="3">
        <v>580</v>
      </c>
      <c r="I1342" s="4">
        <v>7292.51</v>
      </c>
      <c r="J1342" s="4">
        <v>122110.79</v>
      </c>
      <c r="K1342" s="3">
        <v>289</v>
      </c>
      <c r="L1342" s="2" t="s">
        <v>2536</v>
      </c>
      <c r="M1342" s="2" t="s">
        <v>2537</v>
      </c>
      <c r="N1342" s="6">
        <f t="shared" si="80"/>
        <v>1</v>
      </c>
      <c r="O1342" t="str">
        <f>IF(Tabla_control[[#This Row],[Control_duplicados]]&gt;1,"Duplicado","Unico")</f>
        <v>Unico</v>
      </c>
      <c r="P1342" t="str">
        <f t="shared" si="81"/>
        <v>OK</v>
      </c>
      <c r="Q1342" t="str">
        <f t="shared" si="82"/>
        <v>OK</v>
      </c>
      <c r="R1342" t="str">
        <f t="shared" si="83"/>
        <v>OK</v>
      </c>
    </row>
    <row r="1343" spans="1:18" x14ac:dyDescent="0.3">
      <c r="A1343" s="1">
        <v>45767</v>
      </c>
      <c r="B1343" s="2" t="s">
        <v>2619</v>
      </c>
      <c r="C1343" s="2" t="s">
        <v>2521</v>
      </c>
      <c r="D1343" s="2" t="s">
        <v>2528</v>
      </c>
      <c r="E1343" s="2" t="s">
        <v>2529</v>
      </c>
      <c r="F1343" s="3">
        <v>44965</v>
      </c>
      <c r="G1343" s="3">
        <v>3162</v>
      </c>
      <c r="H1343" s="3">
        <v>116</v>
      </c>
      <c r="I1343" s="4">
        <v>3476.19</v>
      </c>
      <c r="J1343" s="4">
        <v>3519.3</v>
      </c>
      <c r="K1343" s="3">
        <v>95</v>
      </c>
      <c r="L1343" s="2" t="s">
        <v>2523</v>
      </c>
      <c r="M1343" s="2" t="s">
        <v>2526</v>
      </c>
      <c r="N1343" s="6">
        <f t="shared" si="80"/>
        <v>1</v>
      </c>
      <c r="O1343" t="str">
        <f>IF(Tabla_control[[#This Row],[Control_duplicados]]&gt;1,"Duplicado","Unico")</f>
        <v>Unico</v>
      </c>
      <c r="P1343" t="str">
        <f t="shared" si="81"/>
        <v>OK</v>
      </c>
      <c r="Q1343" t="str">
        <f t="shared" si="82"/>
        <v>OK</v>
      </c>
      <c r="R1343" t="str">
        <f t="shared" si="83"/>
        <v>OK</v>
      </c>
    </row>
    <row r="1344" spans="1:18" x14ac:dyDescent="0.3">
      <c r="A1344" s="1">
        <v>45740</v>
      </c>
      <c r="B1344" s="2" t="s">
        <v>2644</v>
      </c>
      <c r="C1344" s="2" t="s">
        <v>2521</v>
      </c>
      <c r="D1344" s="2" t="s">
        <v>2522</v>
      </c>
      <c r="E1344" s="2" t="s">
        <v>2517</v>
      </c>
      <c r="F1344" s="3">
        <v>62735</v>
      </c>
      <c r="G1344" s="3">
        <v>5457</v>
      </c>
      <c r="H1344" s="3">
        <v>580</v>
      </c>
      <c r="I1344" s="4">
        <v>5012.1099999999997</v>
      </c>
      <c r="J1344" s="4">
        <v>41920.5</v>
      </c>
      <c r="K1344" s="3">
        <v>507</v>
      </c>
      <c r="L1344" s="2" t="s">
        <v>2518</v>
      </c>
      <c r="M1344" s="2" t="s">
        <v>2524</v>
      </c>
      <c r="N1344" s="6">
        <f t="shared" si="80"/>
        <v>1</v>
      </c>
      <c r="O1344" t="str">
        <f>IF(Tabla_control[[#This Row],[Control_duplicados]]&gt;1,"Duplicado","Unico")</f>
        <v>Unico</v>
      </c>
      <c r="P1344" t="str">
        <f t="shared" si="81"/>
        <v>OK</v>
      </c>
      <c r="Q1344" t="str">
        <f t="shared" si="82"/>
        <v>OK</v>
      </c>
      <c r="R1344" t="str">
        <f t="shared" si="83"/>
        <v>OK</v>
      </c>
    </row>
    <row r="1345" spans="1:18" x14ac:dyDescent="0.3">
      <c r="A1345" s="1">
        <v>45722</v>
      </c>
      <c r="B1345" s="2" t="s">
        <v>2618</v>
      </c>
      <c r="C1345" s="2" t="s">
        <v>2521</v>
      </c>
      <c r="D1345" s="2" t="s">
        <v>2528</v>
      </c>
      <c r="E1345" s="2" t="s">
        <v>2517</v>
      </c>
      <c r="F1345" s="3">
        <v>144295</v>
      </c>
      <c r="G1345" s="3">
        <v>10429</v>
      </c>
      <c r="H1345" s="3">
        <v>689</v>
      </c>
      <c r="I1345" s="4">
        <v>19990.29</v>
      </c>
      <c r="J1345" s="4">
        <v>147345.35999999999</v>
      </c>
      <c r="K1345" s="3">
        <v>547</v>
      </c>
      <c r="L1345" s="2" t="s">
        <v>2523</v>
      </c>
      <c r="M1345" s="2" t="s">
        <v>2519</v>
      </c>
      <c r="N1345" s="6">
        <f t="shared" si="80"/>
        <v>1</v>
      </c>
      <c r="O1345" t="str">
        <f>IF(Tabla_control[[#This Row],[Control_duplicados]]&gt;1,"Duplicado","Unico")</f>
        <v>Unico</v>
      </c>
      <c r="P1345" t="str">
        <f t="shared" si="81"/>
        <v>OK</v>
      </c>
      <c r="Q1345" t="str">
        <f t="shared" si="82"/>
        <v>OK</v>
      </c>
      <c r="R1345" t="str">
        <f t="shared" si="83"/>
        <v>OK</v>
      </c>
    </row>
    <row r="1346" spans="1:18" x14ac:dyDescent="0.3">
      <c r="A1346" s="1">
        <v>45902</v>
      </c>
      <c r="B1346" s="2" t="s">
        <v>2630</v>
      </c>
      <c r="C1346" s="2" t="s">
        <v>2521</v>
      </c>
      <c r="D1346" s="2" t="s">
        <v>2528</v>
      </c>
      <c r="E1346" s="2" t="s">
        <v>2529</v>
      </c>
      <c r="F1346" s="3">
        <v>104663</v>
      </c>
      <c r="G1346" s="3">
        <v>3852</v>
      </c>
      <c r="H1346" s="3">
        <v>482</v>
      </c>
      <c r="I1346" s="4">
        <v>7692.25</v>
      </c>
      <c r="J1346" s="4">
        <v>74343.850000000006</v>
      </c>
      <c r="K1346" s="3">
        <v>302</v>
      </c>
      <c r="L1346" s="2" t="s">
        <v>2539</v>
      </c>
      <c r="M1346" s="2" t="s">
        <v>2524</v>
      </c>
      <c r="N1346" s="6">
        <f t="shared" ref="N1346:N1409" si="84">COUNTIFS($A$2:$A$2536,A1346,$B$2:$B$2536,B1346,$C$2:$C$2536,C1346,$D$2:$D$2536,D1346,$E$2:$E$2536,E1346,$F$2:$F$2536,F1346,$G$2:$G$2536,G1346,$H$2:$H$2536,H1346,$I$2:$I$2536,I1346,$J$2:$J$2536,J1346,$K$2:$K$2536,K1346,$L$2:$L$2536,L1346,$M$2:$M$2536,M1346)</f>
        <v>1</v>
      </c>
      <c r="O1346" t="str">
        <f>IF(Tabla_control[[#This Row],[Control_duplicados]]&gt;1,"Duplicado","Unico")</f>
        <v>Unico</v>
      </c>
      <c r="P1346" t="str">
        <f t="shared" ref="P1346:P1409" si="85">IF(OR(I1346="",I1346&lt;0),"ERROR","OK")</f>
        <v>OK</v>
      </c>
      <c r="Q1346" t="str">
        <f t="shared" ref="Q1346:Q1409" si="86">IF(H1346&gt;F1346,"ERROR","OK")</f>
        <v>OK</v>
      </c>
      <c r="R1346" t="str">
        <f t="shared" ref="R1346:R1409" si="87">IF(K1346&gt;H1346,"ERROR","OK")</f>
        <v>OK</v>
      </c>
    </row>
    <row r="1347" spans="1:18" x14ac:dyDescent="0.3">
      <c r="A1347" s="1">
        <v>46020</v>
      </c>
      <c r="B1347" s="2" t="s">
        <v>2644</v>
      </c>
      <c r="C1347" s="2" t="s">
        <v>2533</v>
      </c>
      <c r="D1347" s="2" t="s">
        <v>2528</v>
      </c>
      <c r="E1347" s="2" t="s">
        <v>2534</v>
      </c>
      <c r="F1347" s="3">
        <v>123604</v>
      </c>
      <c r="G1347" s="3">
        <v>4616</v>
      </c>
      <c r="H1347" s="3">
        <v>86</v>
      </c>
      <c r="I1347" s="4">
        <v>7976.94</v>
      </c>
      <c r="J1347" s="4">
        <v>15889.32</v>
      </c>
      <c r="K1347" s="3">
        <v>54</v>
      </c>
      <c r="L1347" s="2" t="s">
        <v>2539</v>
      </c>
      <c r="M1347" s="2" t="s">
        <v>2526</v>
      </c>
      <c r="N1347" s="6">
        <f t="shared" si="84"/>
        <v>1</v>
      </c>
      <c r="O1347" t="str">
        <f>IF(Tabla_control[[#This Row],[Control_duplicados]]&gt;1,"Duplicado","Unico")</f>
        <v>Unico</v>
      </c>
      <c r="P1347" t="str">
        <f t="shared" si="85"/>
        <v>OK</v>
      </c>
      <c r="Q1347" t="str">
        <f t="shared" si="86"/>
        <v>OK</v>
      </c>
      <c r="R1347" t="str">
        <f t="shared" si="87"/>
        <v>OK</v>
      </c>
    </row>
    <row r="1348" spans="1:18" x14ac:dyDescent="0.3">
      <c r="A1348" s="1">
        <v>45681</v>
      </c>
      <c r="B1348" s="2" t="s">
        <v>2642</v>
      </c>
      <c r="C1348" s="2" t="s">
        <v>2543</v>
      </c>
      <c r="D1348" s="2" t="s">
        <v>2525</v>
      </c>
      <c r="E1348" s="2" t="s">
        <v>2529</v>
      </c>
      <c r="F1348" s="3">
        <v>63216</v>
      </c>
      <c r="G1348" s="3">
        <v>5180</v>
      </c>
      <c r="H1348" s="3">
        <v>138</v>
      </c>
      <c r="I1348" s="4">
        <v>1605.14</v>
      </c>
      <c r="J1348" s="4">
        <v>24336.84</v>
      </c>
      <c r="K1348" s="3">
        <v>97</v>
      </c>
      <c r="L1348" s="2" t="s">
        <v>2518</v>
      </c>
      <c r="M1348" s="2" t="s">
        <v>2524</v>
      </c>
      <c r="N1348" s="6">
        <f t="shared" si="84"/>
        <v>1</v>
      </c>
      <c r="O1348" t="str">
        <f>IF(Tabla_control[[#This Row],[Control_duplicados]]&gt;1,"Duplicado","Unico")</f>
        <v>Unico</v>
      </c>
      <c r="P1348" t="str">
        <f t="shared" si="85"/>
        <v>OK</v>
      </c>
      <c r="Q1348" t="str">
        <f t="shared" si="86"/>
        <v>OK</v>
      </c>
      <c r="R1348" t="str">
        <f t="shared" si="87"/>
        <v>OK</v>
      </c>
    </row>
    <row r="1349" spans="1:18" x14ac:dyDescent="0.3">
      <c r="A1349" s="1">
        <v>45906</v>
      </c>
      <c r="B1349" s="2" t="s">
        <v>2630</v>
      </c>
      <c r="C1349" s="2" t="s">
        <v>2515</v>
      </c>
      <c r="D1349" s="2" t="s">
        <v>2528</v>
      </c>
      <c r="E1349" s="2" t="s">
        <v>2529</v>
      </c>
      <c r="F1349" s="3">
        <v>132567</v>
      </c>
      <c r="G1349" s="3">
        <v>826</v>
      </c>
      <c r="H1349" s="3">
        <v>36</v>
      </c>
      <c r="I1349" s="4">
        <v>362.75</v>
      </c>
      <c r="J1349" s="4">
        <v>6631.67</v>
      </c>
      <c r="K1349" s="3">
        <v>25</v>
      </c>
      <c r="L1349" s="2" t="s">
        <v>2539</v>
      </c>
      <c r="M1349" s="2" t="s">
        <v>2519</v>
      </c>
      <c r="N1349" s="6">
        <f t="shared" si="84"/>
        <v>1</v>
      </c>
      <c r="O1349" t="str">
        <f>IF(Tabla_control[[#This Row],[Control_duplicados]]&gt;1,"Duplicado","Unico")</f>
        <v>Unico</v>
      </c>
      <c r="P1349" t="str">
        <f t="shared" si="85"/>
        <v>OK</v>
      </c>
      <c r="Q1349" t="str">
        <f t="shared" si="86"/>
        <v>OK</v>
      </c>
      <c r="R1349" t="str">
        <f t="shared" si="87"/>
        <v>OK</v>
      </c>
    </row>
    <row r="1350" spans="1:18" x14ac:dyDescent="0.3">
      <c r="A1350" s="1">
        <v>45862</v>
      </c>
      <c r="B1350" s="2" t="s">
        <v>2616</v>
      </c>
      <c r="C1350" s="2" t="s">
        <v>2533</v>
      </c>
      <c r="D1350" s="2" t="s">
        <v>2531</v>
      </c>
      <c r="E1350" s="2" t="s">
        <v>2529</v>
      </c>
      <c r="F1350" s="3">
        <v>172048</v>
      </c>
      <c r="G1350" s="3">
        <v>12622</v>
      </c>
      <c r="H1350" s="3">
        <v>446</v>
      </c>
      <c r="I1350" s="4">
        <v>7670.17</v>
      </c>
      <c r="J1350" s="4">
        <v>82355.149999999994</v>
      </c>
      <c r="K1350" s="3">
        <v>224</v>
      </c>
      <c r="L1350" s="2" t="s">
        <v>2518</v>
      </c>
      <c r="M1350" s="2" t="s">
        <v>2546</v>
      </c>
      <c r="N1350" s="6">
        <f t="shared" si="84"/>
        <v>1</v>
      </c>
      <c r="O1350" t="str">
        <f>IF(Tabla_control[[#This Row],[Control_duplicados]]&gt;1,"Duplicado","Unico")</f>
        <v>Unico</v>
      </c>
      <c r="P1350" t="str">
        <f t="shared" si="85"/>
        <v>OK</v>
      </c>
      <c r="Q1350" t="str">
        <f t="shared" si="86"/>
        <v>OK</v>
      </c>
      <c r="R1350" t="str">
        <f t="shared" si="87"/>
        <v>OK</v>
      </c>
    </row>
    <row r="1351" spans="1:18" x14ac:dyDescent="0.3">
      <c r="A1351" s="1">
        <v>45950</v>
      </c>
      <c r="B1351" s="2" t="s">
        <v>2632</v>
      </c>
      <c r="C1351" s="2" t="s">
        <v>2541</v>
      </c>
      <c r="D1351" s="2" t="s">
        <v>2528</v>
      </c>
      <c r="E1351" s="2" t="s">
        <v>2517</v>
      </c>
      <c r="F1351" s="3">
        <v>109858</v>
      </c>
      <c r="G1351" s="3">
        <v>4555</v>
      </c>
      <c r="H1351" s="3">
        <v>103</v>
      </c>
      <c r="I1351" s="4">
        <v>6968.21</v>
      </c>
      <c r="J1351" s="4">
        <v>11668.79</v>
      </c>
      <c r="K1351" s="3">
        <v>61</v>
      </c>
      <c r="L1351" s="2" t="s">
        <v>2539</v>
      </c>
      <c r="M1351" s="2" t="s">
        <v>2546</v>
      </c>
      <c r="N1351" s="6">
        <f t="shared" si="84"/>
        <v>1</v>
      </c>
      <c r="O1351" t="str">
        <f>IF(Tabla_control[[#This Row],[Control_duplicados]]&gt;1,"Duplicado","Unico")</f>
        <v>Unico</v>
      </c>
      <c r="P1351" t="str">
        <f t="shared" si="85"/>
        <v>OK</v>
      </c>
      <c r="Q1351" t="str">
        <f t="shared" si="86"/>
        <v>OK</v>
      </c>
      <c r="R1351" t="str">
        <f t="shared" si="87"/>
        <v>OK</v>
      </c>
    </row>
    <row r="1352" spans="1:18" x14ac:dyDescent="0.3">
      <c r="A1352" s="1">
        <v>45732</v>
      </c>
      <c r="B1352" s="2" t="s">
        <v>2622</v>
      </c>
      <c r="C1352" s="2" t="s">
        <v>2527</v>
      </c>
      <c r="D1352" s="2" t="s">
        <v>2516</v>
      </c>
      <c r="E1352" s="2" t="s">
        <v>2529</v>
      </c>
      <c r="F1352" s="3">
        <v>141071</v>
      </c>
      <c r="G1352" s="3">
        <v>685</v>
      </c>
      <c r="H1352" s="3">
        <v>47</v>
      </c>
      <c r="I1352" s="4">
        <v>542.76</v>
      </c>
      <c r="J1352" s="4">
        <v>3499.37</v>
      </c>
      <c r="K1352" s="3">
        <v>31</v>
      </c>
      <c r="L1352" s="2" t="s">
        <v>2518</v>
      </c>
      <c r="M1352" s="2" t="s">
        <v>2546</v>
      </c>
      <c r="N1352" s="6">
        <f t="shared" si="84"/>
        <v>1</v>
      </c>
      <c r="O1352" t="str">
        <f>IF(Tabla_control[[#This Row],[Control_duplicados]]&gt;1,"Duplicado","Unico")</f>
        <v>Unico</v>
      </c>
      <c r="P1352" t="str">
        <f t="shared" si="85"/>
        <v>OK</v>
      </c>
      <c r="Q1352" t="str">
        <f t="shared" si="86"/>
        <v>OK</v>
      </c>
      <c r="R1352" t="str">
        <f t="shared" si="87"/>
        <v>OK</v>
      </c>
    </row>
    <row r="1353" spans="1:18" x14ac:dyDescent="0.3">
      <c r="A1353" s="1">
        <v>46017</v>
      </c>
      <c r="B1353" s="2" t="s">
        <v>2637</v>
      </c>
      <c r="C1353" s="2" t="s">
        <v>2515</v>
      </c>
      <c r="D1353" s="2" t="s">
        <v>2516</v>
      </c>
      <c r="E1353" s="2" t="s">
        <v>2517</v>
      </c>
      <c r="F1353" s="3">
        <v>164565</v>
      </c>
      <c r="G1353" s="3">
        <v>7866</v>
      </c>
      <c r="H1353" s="3">
        <v>358</v>
      </c>
      <c r="I1353" s="4">
        <v>10028.65</v>
      </c>
      <c r="J1353" s="4">
        <v>69429.11</v>
      </c>
      <c r="K1353" s="3">
        <v>214</v>
      </c>
      <c r="L1353" s="2" t="s">
        <v>2536</v>
      </c>
      <c r="M1353" s="2" t="s">
        <v>2524</v>
      </c>
      <c r="N1353" s="6">
        <f t="shared" si="84"/>
        <v>1</v>
      </c>
      <c r="O1353" t="str">
        <f>IF(Tabla_control[[#This Row],[Control_duplicados]]&gt;1,"Duplicado","Unico")</f>
        <v>Unico</v>
      </c>
      <c r="P1353" t="str">
        <f t="shared" si="85"/>
        <v>OK</v>
      </c>
      <c r="Q1353" t="str">
        <f t="shared" si="86"/>
        <v>OK</v>
      </c>
      <c r="R1353" t="str">
        <f t="shared" si="87"/>
        <v>OK</v>
      </c>
    </row>
    <row r="1354" spans="1:18" x14ac:dyDescent="0.3">
      <c r="A1354" s="1">
        <v>45914</v>
      </c>
      <c r="B1354" s="2" t="s">
        <v>2618</v>
      </c>
      <c r="C1354" s="2" t="s">
        <v>2521</v>
      </c>
      <c r="D1354" s="2" t="s">
        <v>2525</v>
      </c>
      <c r="E1354" s="2" t="s">
        <v>2517</v>
      </c>
      <c r="F1354" s="3">
        <v>87155</v>
      </c>
      <c r="G1354" s="3">
        <v>4244</v>
      </c>
      <c r="H1354" s="3">
        <v>297</v>
      </c>
      <c r="I1354" s="4">
        <v>3582.3</v>
      </c>
      <c r="J1354" s="4">
        <v>33208.43</v>
      </c>
      <c r="K1354" s="3">
        <v>218</v>
      </c>
      <c r="L1354" s="2" t="s">
        <v>2536</v>
      </c>
      <c r="M1354" s="2" t="s">
        <v>2537</v>
      </c>
      <c r="N1354" s="6">
        <f t="shared" si="84"/>
        <v>1</v>
      </c>
      <c r="O1354" t="str">
        <f>IF(Tabla_control[[#This Row],[Control_duplicados]]&gt;1,"Duplicado","Unico")</f>
        <v>Unico</v>
      </c>
      <c r="P1354" t="str">
        <f t="shared" si="85"/>
        <v>OK</v>
      </c>
      <c r="Q1354" t="str">
        <f t="shared" si="86"/>
        <v>OK</v>
      </c>
      <c r="R1354" t="str">
        <f t="shared" si="87"/>
        <v>OK</v>
      </c>
    </row>
    <row r="1355" spans="1:18" x14ac:dyDescent="0.3">
      <c r="A1355" s="1">
        <v>45845</v>
      </c>
      <c r="B1355" s="2" t="s">
        <v>2615</v>
      </c>
      <c r="C1355" s="2" t="s">
        <v>2543</v>
      </c>
      <c r="D1355" s="2" t="s">
        <v>2525</v>
      </c>
      <c r="E1355" s="2" t="s">
        <v>2529</v>
      </c>
      <c r="F1355" s="3">
        <v>57341</v>
      </c>
      <c r="G1355" s="3">
        <v>3351</v>
      </c>
      <c r="H1355" s="3">
        <v>19</v>
      </c>
      <c r="I1355" s="4">
        <v>4106.53</v>
      </c>
      <c r="J1355" s="4">
        <v>3053.74</v>
      </c>
      <c r="K1355" s="3">
        <v>15</v>
      </c>
      <c r="L1355" s="2" t="s">
        <v>2523</v>
      </c>
      <c r="M1355" s="2" t="s">
        <v>2546</v>
      </c>
      <c r="N1355" s="6">
        <f t="shared" si="84"/>
        <v>1</v>
      </c>
      <c r="O1355" t="str">
        <f>IF(Tabla_control[[#This Row],[Control_duplicados]]&gt;1,"Duplicado","Unico")</f>
        <v>Unico</v>
      </c>
      <c r="P1355" t="str">
        <f t="shared" si="85"/>
        <v>OK</v>
      </c>
      <c r="Q1355" t="str">
        <f t="shared" si="86"/>
        <v>OK</v>
      </c>
      <c r="R1355" t="str">
        <f t="shared" si="87"/>
        <v>OK</v>
      </c>
    </row>
    <row r="1356" spans="1:18" x14ac:dyDescent="0.3">
      <c r="A1356" s="1">
        <v>45809</v>
      </c>
      <c r="B1356" s="2" t="s">
        <v>2643</v>
      </c>
      <c r="C1356" s="2" t="s">
        <v>2533</v>
      </c>
      <c r="D1356" s="2" t="s">
        <v>2525</v>
      </c>
      <c r="E1356" s="2" t="s">
        <v>2517</v>
      </c>
      <c r="F1356" s="3">
        <v>105464</v>
      </c>
      <c r="G1356" s="3">
        <v>105822</v>
      </c>
      <c r="H1356" s="3">
        <v>378</v>
      </c>
      <c r="I1356" s="4">
        <v>1877.42</v>
      </c>
      <c r="J1356" s="4">
        <v>74821.45</v>
      </c>
      <c r="K1356" s="3">
        <v>299</v>
      </c>
      <c r="L1356" s="2" t="s">
        <v>2539</v>
      </c>
      <c r="M1356" s="2" t="s">
        <v>2537</v>
      </c>
      <c r="N1356" s="6">
        <f t="shared" si="84"/>
        <v>1</v>
      </c>
      <c r="O1356" t="str">
        <f>IF(Tabla_control[[#This Row],[Control_duplicados]]&gt;1,"Duplicado","Unico")</f>
        <v>Unico</v>
      </c>
      <c r="P1356" t="str">
        <f t="shared" si="85"/>
        <v>OK</v>
      </c>
      <c r="Q1356" t="str">
        <f t="shared" si="86"/>
        <v>OK</v>
      </c>
      <c r="R1356" t="str">
        <f t="shared" si="87"/>
        <v>OK</v>
      </c>
    </row>
    <row r="1357" spans="1:18" x14ac:dyDescent="0.3">
      <c r="A1357" s="1">
        <v>45857</v>
      </c>
      <c r="B1357" s="2" t="s">
        <v>2638</v>
      </c>
      <c r="C1357" s="2" t="s">
        <v>2541</v>
      </c>
      <c r="D1357" s="2" t="s">
        <v>2531</v>
      </c>
      <c r="E1357" s="2" t="s">
        <v>2517</v>
      </c>
      <c r="F1357" s="3">
        <v>57451</v>
      </c>
      <c r="G1357" s="3">
        <v>2814</v>
      </c>
      <c r="H1357" s="3">
        <v>167</v>
      </c>
      <c r="I1357" s="4">
        <v>4567.8</v>
      </c>
      <c r="J1357" s="4">
        <v>9772.56</v>
      </c>
      <c r="K1357" s="3">
        <v>132</v>
      </c>
      <c r="L1357" s="2" t="s">
        <v>2536</v>
      </c>
      <c r="M1357" s="2" t="s">
        <v>2519</v>
      </c>
      <c r="N1357" s="6">
        <f t="shared" si="84"/>
        <v>1</v>
      </c>
      <c r="O1357" t="str">
        <f>IF(Tabla_control[[#This Row],[Control_duplicados]]&gt;1,"Duplicado","Unico")</f>
        <v>Unico</v>
      </c>
      <c r="P1357" t="str">
        <f t="shared" si="85"/>
        <v>OK</v>
      </c>
      <c r="Q1357" t="str">
        <f t="shared" si="86"/>
        <v>OK</v>
      </c>
      <c r="R1357" t="str">
        <f t="shared" si="87"/>
        <v>OK</v>
      </c>
    </row>
    <row r="1358" spans="1:18" x14ac:dyDescent="0.3">
      <c r="A1358" s="1">
        <v>45870</v>
      </c>
      <c r="B1358" s="2" t="s">
        <v>2623</v>
      </c>
      <c r="C1358" s="2" t="s">
        <v>2515</v>
      </c>
      <c r="D1358" s="2" t="s">
        <v>2516</v>
      </c>
      <c r="E1358" s="2" t="s">
        <v>2529</v>
      </c>
      <c r="F1358" s="3">
        <v>52333</v>
      </c>
      <c r="G1358" s="3">
        <v>4355</v>
      </c>
      <c r="H1358" s="3">
        <v>322</v>
      </c>
      <c r="I1358" s="4">
        <v>1058.74</v>
      </c>
      <c r="J1358" s="4">
        <v>40387.75</v>
      </c>
      <c r="K1358" s="3">
        <v>273</v>
      </c>
      <c r="L1358" s="2" t="s">
        <v>2518</v>
      </c>
      <c r="M1358" s="2" t="s">
        <v>2537</v>
      </c>
      <c r="N1358" s="6">
        <f t="shared" si="84"/>
        <v>1</v>
      </c>
      <c r="O1358" t="str">
        <f>IF(Tabla_control[[#This Row],[Control_duplicados]]&gt;1,"Duplicado","Unico")</f>
        <v>Unico</v>
      </c>
      <c r="P1358" t="str">
        <f t="shared" si="85"/>
        <v>OK</v>
      </c>
      <c r="Q1358" t="str">
        <f t="shared" si="86"/>
        <v>OK</v>
      </c>
      <c r="R1358" t="str">
        <f t="shared" si="87"/>
        <v>OK</v>
      </c>
    </row>
    <row r="1359" spans="1:18" x14ac:dyDescent="0.3">
      <c r="A1359" s="1">
        <v>45997</v>
      </c>
      <c r="B1359" s="2" t="s">
        <v>2615</v>
      </c>
      <c r="C1359" s="2" t="s">
        <v>2515</v>
      </c>
      <c r="D1359" s="2" t="s">
        <v>2528</v>
      </c>
      <c r="E1359" s="2" t="s">
        <v>2517</v>
      </c>
      <c r="F1359" s="3">
        <v>33376</v>
      </c>
      <c r="G1359" s="3">
        <v>2244</v>
      </c>
      <c r="H1359" s="3">
        <v>239</v>
      </c>
      <c r="I1359" s="4">
        <v>2193.23</v>
      </c>
      <c r="J1359" s="4">
        <v>20193.93</v>
      </c>
      <c r="K1359" s="3">
        <v>194</v>
      </c>
      <c r="L1359" s="2" t="s">
        <v>2539</v>
      </c>
      <c r="M1359" s="2" t="s">
        <v>2546</v>
      </c>
      <c r="N1359" s="6">
        <f t="shared" si="84"/>
        <v>1</v>
      </c>
      <c r="O1359" t="str">
        <f>IF(Tabla_control[[#This Row],[Control_duplicados]]&gt;1,"Duplicado","Unico")</f>
        <v>Unico</v>
      </c>
      <c r="P1359" t="str">
        <f t="shared" si="85"/>
        <v>OK</v>
      </c>
      <c r="Q1359" t="str">
        <f t="shared" si="86"/>
        <v>OK</v>
      </c>
      <c r="R1359" t="str">
        <f t="shared" si="87"/>
        <v>OK</v>
      </c>
    </row>
    <row r="1360" spans="1:18" x14ac:dyDescent="0.3">
      <c r="A1360" s="1">
        <v>45855</v>
      </c>
      <c r="B1360" s="2" t="s">
        <v>2630</v>
      </c>
      <c r="C1360" s="2" t="s">
        <v>2527</v>
      </c>
      <c r="D1360" s="2" t="s">
        <v>2516</v>
      </c>
      <c r="E1360" s="2" t="s">
        <v>2517</v>
      </c>
      <c r="F1360" s="3">
        <v>150401</v>
      </c>
      <c r="G1360" s="3">
        <v>1049</v>
      </c>
      <c r="H1360" s="3">
        <v>58</v>
      </c>
      <c r="I1360" s="4">
        <v>223.74</v>
      </c>
      <c r="J1360" s="4">
        <v>11625.8</v>
      </c>
      <c r="K1360" s="3">
        <v>33</v>
      </c>
      <c r="L1360" s="2" t="s">
        <v>2518</v>
      </c>
      <c r="M1360" s="2" t="s">
        <v>2546</v>
      </c>
      <c r="N1360" s="6">
        <f t="shared" si="84"/>
        <v>1</v>
      </c>
      <c r="O1360" t="str">
        <f>IF(Tabla_control[[#This Row],[Control_duplicados]]&gt;1,"Duplicado","Unico")</f>
        <v>Unico</v>
      </c>
      <c r="P1360" t="str">
        <f t="shared" si="85"/>
        <v>OK</v>
      </c>
      <c r="Q1360" t="str">
        <f t="shared" si="86"/>
        <v>OK</v>
      </c>
      <c r="R1360" t="str">
        <f t="shared" si="87"/>
        <v>OK</v>
      </c>
    </row>
    <row r="1361" spans="1:18" x14ac:dyDescent="0.3">
      <c r="A1361" s="1">
        <v>45686</v>
      </c>
      <c r="B1361" s="2" t="s">
        <v>2628</v>
      </c>
      <c r="C1361" s="2" t="s">
        <v>2527</v>
      </c>
      <c r="D1361" s="2" t="s">
        <v>2525</v>
      </c>
      <c r="E1361" s="2" t="s">
        <v>2517</v>
      </c>
      <c r="F1361" s="3">
        <v>167137</v>
      </c>
      <c r="G1361" s="3">
        <v>13537</v>
      </c>
      <c r="H1361" s="3">
        <v>1281</v>
      </c>
      <c r="I1361" s="4">
        <v>15796.99</v>
      </c>
      <c r="J1361" s="4">
        <v>57997.36</v>
      </c>
      <c r="K1361" s="3">
        <v>896</v>
      </c>
      <c r="L1361" s="2" t="s">
        <v>2536</v>
      </c>
      <c r="M1361" s="2" t="s">
        <v>2519</v>
      </c>
      <c r="N1361" s="6">
        <f t="shared" si="84"/>
        <v>1</v>
      </c>
      <c r="O1361" t="str">
        <f>IF(Tabla_control[[#This Row],[Control_duplicados]]&gt;1,"Duplicado","Unico")</f>
        <v>Unico</v>
      </c>
      <c r="P1361" t="str">
        <f t="shared" si="85"/>
        <v>OK</v>
      </c>
      <c r="Q1361" t="str">
        <f t="shared" si="86"/>
        <v>OK</v>
      </c>
      <c r="R1361" t="str">
        <f t="shared" si="87"/>
        <v>OK</v>
      </c>
    </row>
    <row r="1362" spans="1:18" x14ac:dyDescent="0.3">
      <c r="A1362" s="1">
        <v>45908</v>
      </c>
      <c r="B1362" s="2" t="s">
        <v>2636</v>
      </c>
      <c r="C1362" s="2" t="s">
        <v>2543</v>
      </c>
      <c r="D1362" s="2" t="s">
        <v>2525</v>
      </c>
      <c r="E1362" s="2" t="s">
        <v>2517</v>
      </c>
      <c r="F1362" s="3">
        <v>168137</v>
      </c>
      <c r="G1362" s="3">
        <v>13438</v>
      </c>
      <c r="H1362" s="3">
        <v>682</v>
      </c>
      <c r="I1362" s="4">
        <v>15331.58</v>
      </c>
      <c r="J1362" s="4">
        <v>77399.08</v>
      </c>
      <c r="K1362" s="3">
        <v>596</v>
      </c>
      <c r="L1362" s="2" t="s">
        <v>2536</v>
      </c>
      <c r="M1362" s="2" t="s">
        <v>2519</v>
      </c>
      <c r="N1362" s="6">
        <f t="shared" si="84"/>
        <v>1</v>
      </c>
      <c r="O1362" t="str">
        <f>IF(Tabla_control[[#This Row],[Control_duplicados]]&gt;1,"Duplicado","Unico")</f>
        <v>Unico</v>
      </c>
      <c r="P1362" t="str">
        <f t="shared" si="85"/>
        <v>OK</v>
      </c>
      <c r="Q1362" t="str">
        <f t="shared" si="86"/>
        <v>OK</v>
      </c>
      <c r="R1362" t="str">
        <f t="shared" si="87"/>
        <v>OK</v>
      </c>
    </row>
    <row r="1363" spans="1:18" x14ac:dyDescent="0.3">
      <c r="A1363" s="1">
        <v>45874</v>
      </c>
      <c r="B1363" s="2" t="s">
        <v>2635</v>
      </c>
      <c r="C1363" s="2" t="s">
        <v>2533</v>
      </c>
      <c r="D1363" s="2" t="s">
        <v>2522</v>
      </c>
      <c r="E1363" s="2" t="s">
        <v>2534</v>
      </c>
      <c r="F1363" s="3">
        <v>32703</v>
      </c>
      <c r="G1363" s="3">
        <v>1953</v>
      </c>
      <c r="H1363" s="3">
        <v>160</v>
      </c>
      <c r="I1363" s="4">
        <v>3285.02</v>
      </c>
      <c r="J1363" s="4">
        <v>3579.6</v>
      </c>
      <c r="K1363" s="3">
        <v>102</v>
      </c>
      <c r="L1363" s="2" t="s">
        <v>2539</v>
      </c>
      <c r="M1363" s="2" t="s">
        <v>2526</v>
      </c>
      <c r="N1363" s="6">
        <f t="shared" si="84"/>
        <v>1</v>
      </c>
      <c r="O1363" t="str">
        <f>IF(Tabla_control[[#This Row],[Control_duplicados]]&gt;1,"Duplicado","Unico")</f>
        <v>Unico</v>
      </c>
      <c r="P1363" t="str">
        <f t="shared" si="85"/>
        <v>OK</v>
      </c>
      <c r="Q1363" t="str">
        <f t="shared" si="86"/>
        <v>OK</v>
      </c>
      <c r="R1363" t="str">
        <f t="shared" si="87"/>
        <v>OK</v>
      </c>
    </row>
    <row r="1364" spans="1:18" x14ac:dyDescent="0.3">
      <c r="A1364" s="1">
        <v>46017</v>
      </c>
      <c r="B1364" s="2" t="s">
        <v>2636</v>
      </c>
      <c r="C1364" s="2" t="s">
        <v>2541</v>
      </c>
      <c r="D1364" s="2" t="s">
        <v>2531</v>
      </c>
      <c r="E1364" s="2" t="s">
        <v>2517</v>
      </c>
      <c r="F1364" s="3">
        <v>49015</v>
      </c>
      <c r="G1364" s="3">
        <v>4409</v>
      </c>
      <c r="H1364" s="3">
        <v>392</v>
      </c>
      <c r="I1364" s="4">
        <v>1202.1600000000001</v>
      </c>
      <c r="J1364" s="4">
        <v>15116.88</v>
      </c>
      <c r="K1364" s="3">
        <v>178</v>
      </c>
      <c r="L1364" s="2" t="s">
        <v>2539</v>
      </c>
      <c r="M1364" s="2" t="s">
        <v>2546</v>
      </c>
      <c r="N1364" s="6">
        <f t="shared" si="84"/>
        <v>1</v>
      </c>
      <c r="O1364" t="str">
        <f>IF(Tabla_control[[#This Row],[Control_duplicados]]&gt;1,"Duplicado","Unico")</f>
        <v>Unico</v>
      </c>
      <c r="P1364" t="str">
        <f t="shared" si="85"/>
        <v>OK</v>
      </c>
      <c r="Q1364" t="str">
        <f t="shared" si="86"/>
        <v>OK</v>
      </c>
      <c r="R1364" t="str">
        <f t="shared" si="87"/>
        <v>OK</v>
      </c>
    </row>
    <row r="1365" spans="1:18" x14ac:dyDescent="0.3">
      <c r="A1365" s="1">
        <v>45716</v>
      </c>
      <c r="B1365" s="2" t="s">
        <v>2634</v>
      </c>
      <c r="C1365" s="2" t="s">
        <v>2543</v>
      </c>
      <c r="D1365" s="2" t="s">
        <v>2528</v>
      </c>
      <c r="E1365" s="2" t="s">
        <v>2517</v>
      </c>
      <c r="F1365" s="3">
        <v>21520</v>
      </c>
      <c r="G1365" s="3">
        <v>1699</v>
      </c>
      <c r="H1365" s="3">
        <v>187</v>
      </c>
      <c r="I1365" s="4">
        <v>2157.48</v>
      </c>
      <c r="J1365" s="4">
        <v>32714.11</v>
      </c>
      <c r="K1365" s="3">
        <v>148</v>
      </c>
      <c r="L1365" s="2" t="s">
        <v>2539</v>
      </c>
      <c r="M1365" s="2" t="s">
        <v>2524</v>
      </c>
      <c r="N1365" s="6">
        <f t="shared" si="84"/>
        <v>1</v>
      </c>
      <c r="O1365" t="str">
        <f>IF(Tabla_control[[#This Row],[Control_duplicados]]&gt;1,"Duplicado","Unico")</f>
        <v>Unico</v>
      </c>
      <c r="P1365" t="str">
        <f t="shared" si="85"/>
        <v>OK</v>
      </c>
      <c r="Q1365" t="str">
        <f t="shared" si="86"/>
        <v>OK</v>
      </c>
      <c r="R1365" t="str">
        <f t="shared" si="87"/>
        <v>OK</v>
      </c>
    </row>
    <row r="1366" spans="1:18" x14ac:dyDescent="0.3">
      <c r="A1366" s="1">
        <v>45717</v>
      </c>
      <c r="B1366" s="2" t="s">
        <v>2641</v>
      </c>
      <c r="C1366" s="2" t="s">
        <v>2543</v>
      </c>
      <c r="D1366" s="2" t="s">
        <v>2516</v>
      </c>
      <c r="E1366" s="2" t="s">
        <v>2517</v>
      </c>
      <c r="F1366" s="3">
        <v>67163</v>
      </c>
      <c r="G1366" s="3">
        <v>5572</v>
      </c>
      <c r="H1366" s="3">
        <v>658</v>
      </c>
      <c r="I1366" s="4">
        <v>6390.58</v>
      </c>
      <c r="J1366" s="4">
        <v>72534.09</v>
      </c>
      <c r="K1366" s="3">
        <v>529</v>
      </c>
      <c r="L1366" s="2" t="s">
        <v>2536</v>
      </c>
      <c r="M1366" s="2" t="s">
        <v>2537</v>
      </c>
      <c r="N1366" s="6">
        <f t="shared" si="84"/>
        <v>1</v>
      </c>
      <c r="O1366" t="str">
        <f>IF(Tabla_control[[#This Row],[Control_duplicados]]&gt;1,"Duplicado","Unico")</f>
        <v>Unico</v>
      </c>
      <c r="P1366" t="str">
        <f t="shared" si="85"/>
        <v>OK</v>
      </c>
      <c r="Q1366" t="str">
        <f t="shared" si="86"/>
        <v>OK</v>
      </c>
      <c r="R1366" t="str">
        <f t="shared" si="87"/>
        <v>OK</v>
      </c>
    </row>
    <row r="1367" spans="1:18" x14ac:dyDescent="0.3">
      <c r="A1367" s="1">
        <v>45811</v>
      </c>
      <c r="B1367" s="2" t="s">
        <v>2639</v>
      </c>
      <c r="C1367" s="2" t="s">
        <v>2515</v>
      </c>
      <c r="D1367" s="2" t="s">
        <v>2525</v>
      </c>
      <c r="E1367" s="2" t="s">
        <v>2529</v>
      </c>
      <c r="F1367" s="3">
        <v>175538</v>
      </c>
      <c r="G1367" s="3">
        <v>6234</v>
      </c>
      <c r="H1367" s="3">
        <v>374</v>
      </c>
      <c r="I1367" s="4">
        <v>12125.44</v>
      </c>
      <c r="J1367" s="4">
        <v>15140.83</v>
      </c>
      <c r="K1367" s="3">
        <v>269</v>
      </c>
      <c r="L1367" s="2" t="s">
        <v>2539</v>
      </c>
      <c r="M1367" s="2" t="s">
        <v>2526</v>
      </c>
      <c r="N1367" s="6">
        <f t="shared" si="84"/>
        <v>1</v>
      </c>
      <c r="O1367" t="str">
        <f>IF(Tabla_control[[#This Row],[Control_duplicados]]&gt;1,"Duplicado","Unico")</f>
        <v>Unico</v>
      </c>
      <c r="P1367" t="str">
        <f t="shared" si="85"/>
        <v>OK</v>
      </c>
      <c r="Q1367" t="str">
        <f t="shared" si="86"/>
        <v>OK</v>
      </c>
      <c r="R1367" t="str">
        <f t="shared" si="87"/>
        <v>OK</v>
      </c>
    </row>
    <row r="1368" spans="1:18" x14ac:dyDescent="0.3">
      <c r="A1368" s="1">
        <v>45877</v>
      </c>
      <c r="B1368" s="2" t="s">
        <v>2643</v>
      </c>
      <c r="C1368" s="2" t="s">
        <v>2515</v>
      </c>
      <c r="D1368" s="2" t="s">
        <v>2525</v>
      </c>
      <c r="E1368" s="2" t="s">
        <v>2529</v>
      </c>
      <c r="F1368" s="3">
        <v>12581</v>
      </c>
      <c r="G1368" s="3">
        <v>248</v>
      </c>
      <c r="H1368" s="3">
        <v>3</v>
      </c>
      <c r="I1368" s="4">
        <v>344.53</v>
      </c>
      <c r="J1368" s="4">
        <v>512.78</v>
      </c>
      <c r="K1368" s="3">
        <v>2</v>
      </c>
      <c r="L1368" s="2" t="s">
        <v>2523</v>
      </c>
      <c r="M1368" s="2" t="s">
        <v>2524</v>
      </c>
      <c r="N1368" s="6">
        <f t="shared" si="84"/>
        <v>1</v>
      </c>
      <c r="O1368" t="str">
        <f>IF(Tabla_control[[#This Row],[Control_duplicados]]&gt;1,"Duplicado","Unico")</f>
        <v>Unico</v>
      </c>
      <c r="P1368" t="str">
        <f t="shared" si="85"/>
        <v>OK</v>
      </c>
      <c r="Q1368" t="str">
        <f t="shared" si="86"/>
        <v>OK</v>
      </c>
      <c r="R1368" t="str">
        <f t="shared" si="87"/>
        <v>OK</v>
      </c>
    </row>
    <row r="1369" spans="1:18" x14ac:dyDescent="0.3">
      <c r="A1369" s="1">
        <v>45986</v>
      </c>
      <c r="B1369" s="2" t="s">
        <v>2619</v>
      </c>
      <c r="C1369" s="2" t="s">
        <v>2541</v>
      </c>
      <c r="D1369" s="2" t="s">
        <v>2528</v>
      </c>
      <c r="E1369" s="2" t="s">
        <v>2517</v>
      </c>
      <c r="F1369" s="3">
        <v>127330</v>
      </c>
      <c r="G1369" s="3">
        <v>9608</v>
      </c>
      <c r="H1369" s="3">
        <v>1307</v>
      </c>
      <c r="I1369" s="4">
        <v>3866.57</v>
      </c>
      <c r="J1369" s="4">
        <v>117468.13</v>
      </c>
      <c r="K1369" s="3">
        <v>672</v>
      </c>
      <c r="L1369" s="2" t="s">
        <v>2518</v>
      </c>
      <c r="M1369" s="2" t="s">
        <v>2546</v>
      </c>
      <c r="N1369" s="6">
        <f t="shared" si="84"/>
        <v>1</v>
      </c>
      <c r="O1369" t="str">
        <f>IF(Tabla_control[[#This Row],[Control_duplicados]]&gt;1,"Duplicado","Unico")</f>
        <v>Unico</v>
      </c>
      <c r="P1369" t="str">
        <f t="shared" si="85"/>
        <v>OK</v>
      </c>
      <c r="Q1369" t="str">
        <f t="shared" si="86"/>
        <v>OK</v>
      </c>
      <c r="R1369" t="str">
        <f t="shared" si="87"/>
        <v>OK</v>
      </c>
    </row>
    <row r="1370" spans="1:18" x14ac:dyDescent="0.3">
      <c r="A1370" s="1">
        <v>45694</v>
      </c>
      <c r="B1370" s="2" t="s">
        <v>2641</v>
      </c>
      <c r="C1370" s="2" t="s">
        <v>2515</v>
      </c>
      <c r="D1370" s="2" t="s">
        <v>2528</v>
      </c>
      <c r="E1370" s="2" t="s">
        <v>2529</v>
      </c>
      <c r="F1370" s="3">
        <v>50484</v>
      </c>
      <c r="G1370" s="3">
        <v>2739</v>
      </c>
      <c r="H1370" s="3">
        <v>168</v>
      </c>
      <c r="I1370" s="4">
        <v>893.63</v>
      </c>
      <c r="J1370" s="4">
        <v>15349.97</v>
      </c>
      <c r="K1370" s="3">
        <v>85</v>
      </c>
      <c r="L1370" s="2" t="s">
        <v>2518</v>
      </c>
      <c r="M1370" s="2" t="s">
        <v>2524</v>
      </c>
      <c r="N1370" s="6">
        <f t="shared" si="84"/>
        <v>1</v>
      </c>
      <c r="O1370" t="str">
        <f>IF(Tabla_control[[#This Row],[Control_duplicados]]&gt;1,"Duplicado","Unico")</f>
        <v>Unico</v>
      </c>
      <c r="P1370" t="str">
        <f t="shared" si="85"/>
        <v>OK</v>
      </c>
      <c r="Q1370" t="str">
        <f t="shared" si="86"/>
        <v>OK</v>
      </c>
      <c r="R1370" t="str">
        <f t="shared" si="87"/>
        <v>OK</v>
      </c>
    </row>
    <row r="1371" spans="1:18" x14ac:dyDescent="0.3">
      <c r="A1371" s="1">
        <v>45938</v>
      </c>
      <c r="B1371" s="2" t="s">
        <v>2627</v>
      </c>
      <c r="C1371" s="2" t="s">
        <v>2533</v>
      </c>
      <c r="D1371" s="2" t="s">
        <v>2525</v>
      </c>
      <c r="E1371" s="2" t="s">
        <v>2517</v>
      </c>
      <c r="F1371" s="3">
        <v>122042</v>
      </c>
      <c r="G1371" s="3">
        <v>1700</v>
      </c>
      <c r="H1371" s="3">
        <v>55</v>
      </c>
      <c r="I1371" s="4">
        <v>953.51</v>
      </c>
      <c r="J1371" s="4">
        <v>2839.69</v>
      </c>
      <c r="K1371" s="3">
        <v>43</v>
      </c>
      <c r="L1371" s="2" t="s">
        <v>2523</v>
      </c>
      <c r="M1371" s="2" t="s">
        <v>2546</v>
      </c>
      <c r="N1371" s="6">
        <f t="shared" si="84"/>
        <v>1</v>
      </c>
      <c r="O1371" t="str">
        <f>IF(Tabla_control[[#This Row],[Control_duplicados]]&gt;1,"Duplicado","Unico")</f>
        <v>Unico</v>
      </c>
      <c r="P1371" t="str">
        <f t="shared" si="85"/>
        <v>OK</v>
      </c>
      <c r="Q1371" t="str">
        <f t="shared" si="86"/>
        <v>OK</v>
      </c>
      <c r="R1371" t="str">
        <f t="shared" si="87"/>
        <v>OK</v>
      </c>
    </row>
    <row r="1372" spans="1:18" x14ac:dyDescent="0.3">
      <c r="A1372" s="1">
        <v>45879</v>
      </c>
      <c r="B1372" s="2" t="s">
        <v>2621</v>
      </c>
      <c r="C1372" s="2" t="s">
        <v>2543</v>
      </c>
      <c r="D1372" s="2" t="s">
        <v>2516</v>
      </c>
      <c r="E1372" s="2" t="s">
        <v>2517</v>
      </c>
      <c r="F1372" s="3">
        <v>41714</v>
      </c>
      <c r="G1372" s="3">
        <v>2447</v>
      </c>
      <c r="H1372" s="3">
        <v>192</v>
      </c>
      <c r="I1372" s="4">
        <v>2109.44</v>
      </c>
      <c r="J1372" s="4">
        <v>34702.43</v>
      </c>
      <c r="K1372" s="3">
        <v>127</v>
      </c>
      <c r="L1372" s="2" t="s">
        <v>2536</v>
      </c>
      <c r="M1372" s="2" t="s">
        <v>2526</v>
      </c>
      <c r="N1372" s="6">
        <f t="shared" si="84"/>
        <v>1</v>
      </c>
      <c r="O1372" t="str">
        <f>IF(Tabla_control[[#This Row],[Control_duplicados]]&gt;1,"Duplicado","Unico")</f>
        <v>Unico</v>
      </c>
      <c r="P1372" t="str">
        <f t="shared" si="85"/>
        <v>OK</v>
      </c>
      <c r="Q1372" t="str">
        <f t="shared" si="86"/>
        <v>OK</v>
      </c>
      <c r="R1372" t="str">
        <f t="shared" si="87"/>
        <v>OK</v>
      </c>
    </row>
    <row r="1373" spans="1:18" x14ac:dyDescent="0.3">
      <c r="A1373" s="1">
        <v>45812</v>
      </c>
      <c r="B1373" s="2" t="s">
        <v>2628</v>
      </c>
      <c r="C1373" s="2" t="s">
        <v>2543</v>
      </c>
      <c r="D1373" s="2" t="s">
        <v>2522</v>
      </c>
      <c r="E1373" s="2" t="s">
        <v>2529</v>
      </c>
      <c r="F1373" s="3">
        <v>37969</v>
      </c>
      <c r="G1373" s="3">
        <v>499</v>
      </c>
      <c r="H1373" s="3">
        <v>44</v>
      </c>
      <c r="I1373" s="4">
        <v>311.64999999999998</v>
      </c>
      <c r="J1373" s="4">
        <v>5166.9399999999996</v>
      </c>
      <c r="K1373" s="3">
        <v>32</v>
      </c>
      <c r="L1373" s="2" t="s">
        <v>2536</v>
      </c>
      <c r="M1373" s="2" t="s">
        <v>2546</v>
      </c>
      <c r="N1373" s="6">
        <f t="shared" si="84"/>
        <v>1</v>
      </c>
      <c r="O1373" t="str">
        <f>IF(Tabla_control[[#This Row],[Control_duplicados]]&gt;1,"Duplicado","Unico")</f>
        <v>Unico</v>
      </c>
      <c r="P1373" t="str">
        <f t="shared" si="85"/>
        <v>OK</v>
      </c>
      <c r="Q1373" t="str">
        <f t="shared" si="86"/>
        <v>OK</v>
      </c>
      <c r="R1373" t="str">
        <f t="shared" si="87"/>
        <v>OK</v>
      </c>
    </row>
    <row r="1374" spans="1:18" x14ac:dyDescent="0.3">
      <c r="A1374" s="1">
        <v>45944</v>
      </c>
      <c r="B1374" s="2" t="s">
        <v>2623</v>
      </c>
      <c r="C1374" s="2" t="s">
        <v>2543</v>
      </c>
      <c r="D1374" s="2" t="s">
        <v>2525</v>
      </c>
      <c r="E1374" s="2" t="s">
        <v>2529</v>
      </c>
      <c r="F1374" s="3">
        <v>43647</v>
      </c>
      <c r="G1374" s="3">
        <v>1660</v>
      </c>
      <c r="H1374" s="3">
        <v>221</v>
      </c>
      <c r="I1374" s="4">
        <v>546.53</v>
      </c>
      <c r="J1374" s="4">
        <v>22738.5</v>
      </c>
      <c r="K1374" s="3">
        <v>172</v>
      </c>
      <c r="L1374" s="2" t="s">
        <v>2539</v>
      </c>
      <c r="M1374" s="2" t="s">
        <v>2519</v>
      </c>
      <c r="N1374" s="6">
        <f t="shared" si="84"/>
        <v>1</v>
      </c>
      <c r="O1374" t="str">
        <f>IF(Tabla_control[[#This Row],[Control_duplicados]]&gt;1,"Duplicado","Unico")</f>
        <v>Unico</v>
      </c>
      <c r="P1374" t="str">
        <f t="shared" si="85"/>
        <v>OK</v>
      </c>
      <c r="Q1374" t="str">
        <f t="shared" si="86"/>
        <v>OK</v>
      </c>
      <c r="R1374" t="str">
        <f t="shared" si="87"/>
        <v>OK</v>
      </c>
    </row>
    <row r="1375" spans="1:18" x14ac:dyDescent="0.3">
      <c r="A1375" s="1">
        <v>46007</v>
      </c>
      <c r="B1375" s="2" t="s">
        <v>2618</v>
      </c>
      <c r="C1375" s="2" t="s">
        <v>2527</v>
      </c>
      <c r="D1375" s="2" t="s">
        <v>2528</v>
      </c>
      <c r="E1375" s="2" t="s">
        <v>2517</v>
      </c>
      <c r="F1375" s="3">
        <v>60005</v>
      </c>
      <c r="G1375" s="3">
        <v>3694</v>
      </c>
      <c r="H1375" s="3">
        <v>27</v>
      </c>
      <c r="I1375" s="4">
        <v>937.12</v>
      </c>
      <c r="J1375" s="4">
        <v>5669.27</v>
      </c>
      <c r="K1375" s="3">
        <v>19</v>
      </c>
      <c r="L1375" s="2" t="s">
        <v>2536</v>
      </c>
      <c r="M1375" s="2" t="s">
        <v>2537</v>
      </c>
      <c r="N1375" s="6">
        <f t="shared" si="84"/>
        <v>1</v>
      </c>
      <c r="O1375" t="str">
        <f>IF(Tabla_control[[#This Row],[Control_duplicados]]&gt;1,"Duplicado","Unico")</f>
        <v>Unico</v>
      </c>
      <c r="P1375" t="str">
        <f t="shared" si="85"/>
        <v>OK</v>
      </c>
      <c r="Q1375" t="str">
        <f t="shared" si="86"/>
        <v>OK</v>
      </c>
      <c r="R1375" t="str">
        <f t="shared" si="87"/>
        <v>OK</v>
      </c>
    </row>
    <row r="1376" spans="1:18" x14ac:dyDescent="0.3">
      <c r="A1376" s="1">
        <v>45771</v>
      </c>
      <c r="B1376" s="2" t="s">
        <v>2628</v>
      </c>
      <c r="C1376" s="2" t="s">
        <v>2543</v>
      </c>
      <c r="D1376" s="2" t="s">
        <v>2522</v>
      </c>
      <c r="E1376" s="2" t="s">
        <v>2517</v>
      </c>
      <c r="F1376" s="3">
        <v>25943</v>
      </c>
      <c r="G1376" s="3">
        <v>357</v>
      </c>
      <c r="H1376" s="3">
        <v>42</v>
      </c>
      <c r="I1376" s="4">
        <v>747.3</v>
      </c>
      <c r="J1376" s="4">
        <v>3798.21</v>
      </c>
      <c r="K1376" s="3">
        <v>30</v>
      </c>
      <c r="L1376" s="2" t="s">
        <v>2518</v>
      </c>
      <c r="M1376" s="2" t="s">
        <v>2524</v>
      </c>
      <c r="N1376" s="6">
        <f t="shared" si="84"/>
        <v>1</v>
      </c>
      <c r="O1376" t="str">
        <f>IF(Tabla_control[[#This Row],[Control_duplicados]]&gt;1,"Duplicado","Unico")</f>
        <v>Unico</v>
      </c>
      <c r="P1376" t="str">
        <f t="shared" si="85"/>
        <v>OK</v>
      </c>
      <c r="Q1376" t="str">
        <f t="shared" si="86"/>
        <v>OK</v>
      </c>
      <c r="R1376" t="str">
        <f t="shared" si="87"/>
        <v>OK</v>
      </c>
    </row>
    <row r="1377" spans="1:18" x14ac:dyDescent="0.3">
      <c r="A1377" s="1">
        <v>45988</v>
      </c>
      <c r="B1377" s="2" t="s">
        <v>2619</v>
      </c>
      <c r="C1377" s="2" t="s">
        <v>2541</v>
      </c>
      <c r="D1377" s="2" t="s">
        <v>2516</v>
      </c>
      <c r="E1377" s="2" t="s">
        <v>2517</v>
      </c>
      <c r="F1377" s="3">
        <v>131623</v>
      </c>
      <c r="G1377" s="3">
        <v>1844</v>
      </c>
      <c r="H1377" s="3">
        <v>60</v>
      </c>
      <c r="I1377" s="4">
        <v>903.93</v>
      </c>
      <c r="J1377" s="4">
        <v>9082.85</v>
      </c>
      <c r="K1377" s="3">
        <v>28</v>
      </c>
      <c r="L1377" s="2" t="s">
        <v>2536</v>
      </c>
      <c r="M1377" s="2" t="s">
        <v>2526</v>
      </c>
      <c r="N1377" s="6">
        <f t="shared" si="84"/>
        <v>1</v>
      </c>
      <c r="O1377" t="str">
        <f>IF(Tabla_control[[#This Row],[Control_duplicados]]&gt;1,"Duplicado","Unico")</f>
        <v>Unico</v>
      </c>
      <c r="P1377" t="str">
        <f t="shared" si="85"/>
        <v>OK</v>
      </c>
      <c r="Q1377" t="str">
        <f t="shared" si="86"/>
        <v>OK</v>
      </c>
      <c r="R1377" t="str">
        <f t="shared" si="87"/>
        <v>OK</v>
      </c>
    </row>
    <row r="1378" spans="1:18" x14ac:dyDescent="0.3">
      <c r="A1378" s="1">
        <v>45991</v>
      </c>
      <c r="B1378" s="2" t="s">
        <v>2624</v>
      </c>
      <c r="C1378" s="2" t="s">
        <v>2527</v>
      </c>
      <c r="D1378" s="2" t="s">
        <v>2531</v>
      </c>
      <c r="E1378" s="2" t="s">
        <v>2529</v>
      </c>
      <c r="F1378" s="3">
        <v>109040</v>
      </c>
      <c r="G1378" s="3">
        <v>4274</v>
      </c>
      <c r="H1378" s="3">
        <v>405</v>
      </c>
      <c r="I1378" s="4">
        <v>1544.42</v>
      </c>
      <c r="J1378" s="4">
        <v>55818.91</v>
      </c>
      <c r="K1378" s="3">
        <v>234</v>
      </c>
      <c r="L1378" s="2" t="s">
        <v>2536</v>
      </c>
      <c r="M1378" s="2" t="s">
        <v>2524</v>
      </c>
      <c r="N1378" s="6">
        <f t="shared" si="84"/>
        <v>1</v>
      </c>
      <c r="O1378" t="str">
        <f>IF(Tabla_control[[#This Row],[Control_duplicados]]&gt;1,"Duplicado","Unico")</f>
        <v>Unico</v>
      </c>
      <c r="P1378" t="str">
        <f t="shared" si="85"/>
        <v>OK</v>
      </c>
      <c r="Q1378" t="str">
        <f t="shared" si="86"/>
        <v>OK</v>
      </c>
      <c r="R1378" t="str">
        <f t="shared" si="87"/>
        <v>OK</v>
      </c>
    </row>
    <row r="1379" spans="1:18" x14ac:dyDescent="0.3">
      <c r="A1379" s="1">
        <v>45874</v>
      </c>
      <c r="B1379" s="2" t="s">
        <v>2629</v>
      </c>
      <c r="C1379" s="2" t="s">
        <v>2521</v>
      </c>
      <c r="D1379" s="2" t="s">
        <v>2522</v>
      </c>
      <c r="E1379" s="2" t="s">
        <v>2517</v>
      </c>
      <c r="F1379" s="3">
        <v>81695</v>
      </c>
      <c r="G1379" s="3">
        <v>5685</v>
      </c>
      <c r="H1379" s="3">
        <v>535</v>
      </c>
      <c r="I1379" s="4">
        <v>1128</v>
      </c>
      <c r="J1379" s="4">
        <v>91321.15</v>
      </c>
      <c r="K1379" s="3">
        <v>468</v>
      </c>
      <c r="L1379" s="2" t="s">
        <v>2518</v>
      </c>
      <c r="M1379" s="2" t="s">
        <v>2526</v>
      </c>
      <c r="N1379" s="6">
        <f t="shared" si="84"/>
        <v>1</v>
      </c>
      <c r="O1379" t="str">
        <f>IF(Tabla_control[[#This Row],[Control_duplicados]]&gt;1,"Duplicado","Unico")</f>
        <v>Unico</v>
      </c>
      <c r="P1379" t="str">
        <f t="shared" si="85"/>
        <v>OK</v>
      </c>
      <c r="Q1379" t="str">
        <f t="shared" si="86"/>
        <v>OK</v>
      </c>
      <c r="R1379" t="str">
        <f t="shared" si="87"/>
        <v>OK</v>
      </c>
    </row>
    <row r="1380" spans="1:18" x14ac:dyDescent="0.3">
      <c r="A1380" s="1">
        <v>45939</v>
      </c>
      <c r="B1380" s="2" t="s">
        <v>2630</v>
      </c>
      <c r="C1380" s="2" t="s">
        <v>2527</v>
      </c>
      <c r="D1380" s="2" t="s">
        <v>2522</v>
      </c>
      <c r="E1380" s="2" t="s">
        <v>2517</v>
      </c>
      <c r="F1380" s="3">
        <v>22381</v>
      </c>
      <c r="G1380" s="3">
        <v>497</v>
      </c>
      <c r="H1380" s="3">
        <v>8</v>
      </c>
      <c r="I1380" s="4">
        <v>962.52</v>
      </c>
      <c r="J1380" s="4">
        <v>154.76</v>
      </c>
      <c r="K1380" s="3">
        <v>3</v>
      </c>
      <c r="L1380" s="2" t="s">
        <v>2523</v>
      </c>
      <c r="M1380" s="2" t="s">
        <v>2526</v>
      </c>
      <c r="N1380" s="6">
        <f t="shared" si="84"/>
        <v>1</v>
      </c>
      <c r="O1380" t="str">
        <f>IF(Tabla_control[[#This Row],[Control_duplicados]]&gt;1,"Duplicado","Unico")</f>
        <v>Unico</v>
      </c>
      <c r="P1380" t="str">
        <f t="shared" si="85"/>
        <v>OK</v>
      </c>
      <c r="Q1380" t="str">
        <f t="shared" si="86"/>
        <v>OK</v>
      </c>
      <c r="R1380" t="str">
        <f t="shared" si="87"/>
        <v>OK</v>
      </c>
    </row>
    <row r="1381" spans="1:18" x14ac:dyDescent="0.3">
      <c r="A1381" s="1">
        <v>45701</v>
      </c>
      <c r="B1381" s="2" t="s">
        <v>2622</v>
      </c>
      <c r="C1381" s="2" t="s">
        <v>2533</v>
      </c>
      <c r="D1381" s="2" t="s">
        <v>2522</v>
      </c>
      <c r="E1381" s="2" t="s">
        <v>2517</v>
      </c>
      <c r="F1381" s="3">
        <v>26073</v>
      </c>
      <c r="G1381" s="3">
        <v>2063</v>
      </c>
      <c r="H1381" s="3">
        <v>147</v>
      </c>
      <c r="I1381" s="4">
        <v>902.39</v>
      </c>
      <c r="J1381" s="4">
        <v>14102.13</v>
      </c>
      <c r="K1381" s="3">
        <v>112</v>
      </c>
      <c r="L1381" s="2" t="s">
        <v>2523</v>
      </c>
      <c r="M1381" s="2" t="s">
        <v>2537</v>
      </c>
      <c r="N1381" s="6">
        <f t="shared" si="84"/>
        <v>1</v>
      </c>
      <c r="O1381" t="str">
        <f>IF(Tabla_control[[#This Row],[Control_duplicados]]&gt;1,"Duplicado","Unico")</f>
        <v>Unico</v>
      </c>
      <c r="P1381" t="str">
        <f t="shared" si="85"/>
        <v>OK</v>
      </c>
      <c r="Q1381" t="str">
        <f t="shared" si="86"/>
        <v>OK</v>
      </c>
      <c r="R1381" t="str">
        <f t="shared" si="87"/>
        <v>OK</v>
      </c>
    </row>
    <row r="1382" spans="1:18" x14ac:dyDescent="0.3">
      <c r="A1382" s="1">
        <v>45803</v>
      </c>
      <c r="B1382" s="2" t="s">
        <v>2624</v>
      </c>
      <c r="C1382" s="2" t="s">
        <v>2515</v>
      </c>
      <c r="D1382" s="2" t="s">
        <v>2528</v>
      </c>
      <c r="E1382" s="2" t="s">
        <v>2529</v>
      </c>
      <c r="F1382" s="3">
        <v>117657</v>
      </c>
      <c r="G1382" s="3">
        <v>8142</v>
      </c>
      <c r="H1382" s="3">
        <v>795</v>
      </c>
      <c r="I1382" s="4">
        <v>15246.53</v>
      </c>
      <c r="J1382" s="4">
        <v>161847.74</v>
      </c>
      <c r="K1382" s="3">
        <v>569</v>
      </c>
      <c r="L1382" s="2" t="s">
        <v>2523</v>
      </c>
      <c r="M1382" s="2" t="s">
        <v>2546</v>
      </c>
      <c r="N1382" s="6">
        <f t="shared" si="84"/>
        <v>1</v>
      </c>
      <c r="O1382" t="str">
        <f>IF(Tabla_control[[#This Row],[Control_duplicados]]&gt;1,"Duplicado","Unico")</f>
        <v>Unico</v>
      </c>
      <c r="P1382" t="str">
        <f t="shared" si="85"/>
        <v>OK</v>
      </c>
      <c r="Q1382" t="str">
        <f t="shared" si="86"/>
        <v>OK</v>
      </c>
      <c r="R1382" t="str">
        <f t="shared" si="87"/>
        <v>OK</v>
      </c>
    </row>
    <row r="1383" spans="1:18" x14ac:dyDescent="0.3">
      <c r="A1383" s="1">
        <v>46011</v>
      </c>
      <c r="B1383" s="2" t="s">
        <v>2642</v>
      </c>
      <c r="C1383" s="2" t="s">
        <v>2543</v>
      </c>
      <c r="D1383" s="2" t="s">
        <v>2522</v>
      </c>
      <c r="E1383" s="2" t="s">
        <v>2517</v>
      </c>
      <c r="F1383" s="3">
        <v>19155</v>
      </c>
      <c r="G1383" s="3">
        <v>1553</v>
      </c>
      <c r="H1383" s="3">
        <v>42</v>
      </c>
      <c r="I1383" s="4">
        <v>2419.85</v>
      </c>
      <c r="J1383" s="4">
        <v>1988.98</v>
      </c>
      <c r="K1383" s="3">
        <v>31</v>
      </c>
      <c r="L1383" s="2" t="s">
        <v>2539</v>
      </c>
      <c r="M1383" s="2" t="s">
        <v>2524</v>
      </c>
      <c r="N1383" s="6">
        <f t="shared" si="84"/>
        <v>1</v>
      </c>
      <c r="O1383" t="str">
        <f>IF(Tabla_control[[#This Row],[Control_duplicados]]&gt;1,"Duplicado","Unico")</f>
        <v>Unico</v>
      </c>
      <c r="P1383" t="str">
        <f t="shared" si="85"/>
        <v>OK</v>
      </c>
      <c r="Q1383" t="str">
        <f t="shared" si="86"/>
        <v>OK</v>
      </c>
      <c r="R1383" t="str">
        <f t="shared" si="87"/>
        <v>OK</v>
      </c>
    </row>
    <row r="1384" spans="1:18" x14ac:dyDescent="0.3">
      <c r="A1384" s="1">
        <v>45863</v>
      </c>
      <c r="B1384" s="2" t="s">
        <v>2635</v>
      </c>
      <c r="C1384" s="2" t="s">
        <v>2533</v>
      </c>
      <c r="D1384" s="2" t="s">
        <v>2522</v>
      </c>
      <c r="E1384" s="2" t="s">
        <v>2529</v>
      </c>
      <c r="F1384" s="3">
        <v>159728</v>
      </c>
      <c r="G1384" s="3">
        <v>13641</v>
      </c>
      <c r="H1384" s="3">
        <v>450</v>
      </c>
      <c r="I1384" s="4">
        <v>20262.900000000001</v>
      </c>
      <c r="J1384" s="4">
        <v>84589.48</v>
      </c>
      <c r="K1384" s="3">
        <v>258</v>
      </c>
      <c r="L1384" s="2" t="s">
        <v>2518</v>
      </c>
      <c r="M1384" s="2" t="s">
        <v>2519</v>
      </c>
      <c r="N1384" s="6">
        <f t="shared" si="84"/>
        <v>2</v>
      </c>
      <c r="O1384" t="str">
        <f>IF(Tabla_control[[#This Row],[Control_duplicados]]&gt;1,"Duplicado","Unico")</f>
        <v>Duplicado</v>
      </c>
      <c r="P1384" t="str">
        <f t="shared" si="85"/>
        <v>OK</v>
      </c>
      <c r="Q1384" t="str">
        <f t="shared" si="86"/>
        <v>OK</v>
      </c>
      <c r="R1384" t="str">
        <f t="shared" si="87"/>
        <v>OK</v>
      </c>
    </row>
    <row r="1385" spans="1:18" x14ac:dyDescent="0.3">
      <c r="A1385" s="1">
        <v>46011</v>
      </c>
      <c r="B1385" s="2" t="s">
        <v>2633</v>
      </c>
      <c r="C1385" s="2" t="s">
        <v>2541</v>
      </c>
      <c r="D1385" s="2" t="s">
        <v>2528</v>
      </c>
      <c r="E1385" s="2" t="s">
        <v>2529</v>
      </c>
      <c r="F1385" s="3">
        <v>38721</v>
      </c>
      <c r="G1385" s="3">
        <v>202</v>
      </c>
      <c r="H1385" s="3">
        <v>7</v>
      </c>
      <c r="I1385" s="4">
        <v>180.96</v>
      </c>
      <c r="J1385" s="4">
        <v>937.59</v>
      </c>
      <c r="K1385" s="3">
        <v>6</v>
      </c>
      <c r="L1385" s="2" t="s">
        <v>2523</v>
      </c>
      <c r="M1385" s="2" t="s">
        <v>2537</v>
      </c>
      <c r="N1385" s="6">
        <f t="shared" si="84"/>
        <v>1</v>
      </c>
      <c r="O1385" t="str">
        <f>IF(Tabla_control[[#This Row],[Control_duplicados]]&gt;1,"Duplicado","Unico")</f>
        <v>Unico</v>
      </c>
      <c r="P1385" t="str">
        <f t="shared" si="85"/>
        <v>OK</v>
      </c>
      <c r="Q1385" t="str">
        <f t="shared" si="86"/>
        <v>OK</v>
      </c>
      <c r="R1385" t="str">
        <f t="shared" si="87"/>
        <v>OK</v>
      </c>
    </row>
    <row r="1386" spans="1:18" x14ac:dyDescent="0.3">
      <c r="A1386" s="1">
        <v>45931</v>
      </c>
      <c r="B1386" s="2" t="s">
        <v>2629</v>
      </c>
      <c r="C1386" s="2" t="s">
        <v>2515</v>
      </c>
      <c r="D1386" s="2" t="s">
        <v>2516</v>
      </c>
      <c r="E1386" s="2" t="s">
        <v>2517</v>
      </c>
      <c r="F1386" s="3">
        <v>69623</v>
      </c>
      <c r="G1386" s="3">
        <v>3588</v>
      </c>
      <c r="H1386" s="3">
        <v>406</v>
      </c>
      <c r="I1386" s="4">
        <v>1979.26</v>
      </c>
      <c r="J1386" s="4">
        <v>10504.81</v>
      </c>
      <c r="K1386" s="3">
        <v>342</v>
      </c>
      <c r="L1386" s="2" t="s">
        <v>2539</v>
      </c>
      <c r="M1386" s="2" t="s">
        <v>2537</v>
      </c>
      <c r="N1386" s="6">
        <f t="shared" si="84"/>
        <v>1</v>
      </c>
      <c r="O1386" t="str">
        <f>IF(Tabla_control[[#This Row],[Control_duplicados]]&gt;1,"Duplicado","Unico")</f>
        <v>Unico</v>
      </c>
      <c r="P1386" t="str">
        <f t="shared" si="85"/>
        <v>OK</v>
      </c>
      <c r="Q1386" t="str">
        <f t="shared" si="86"/>
        <v>OK</v>
      </c>
      <c r="R1386" t="str">
        <f t="shared" si="87"/>
        <v>OK</v>
      </c>
    </row>
    <row r="1387" spans="1:18" x14ac:dyDescent="0.3">
      <c r="A1387" s="1">
        <v>46004</v>
      </c>
      <c r="B1387" s="2" t="s">
        <v>2635</v>
      </c>
      <c r="C1387" s="2" t="s">
        <v>2527</v>
      </c>
      <c r="D1387" s="2" t="s">
        <v>2525</v>
      </c>
      <c r="E1387" s="2" t="s">
        <v>2529</v>
      </c>
      <c r="F1387" s="3">
        <v>108087</v>
      </c>
      <c r="G1387" s="3">
        <v>9588</v>
      </c>
      <c r="H1387" s="3">
        <v>553</v>
      </c>
      <c r="I1387" s="4">
        <v>18917.71</v>
      </c>
      <c r="J1387" s="4">
        <v>115610.31</v>
      </c>
      <c r="K1387" s="3">
        <v>321</v>
      </c>
      <c r="L1387" s="2" t="s">
        <v>2523</v>
      </c>
      <c r="M1387" s="2" t="s">
        <v>2526</v>
      </c>
      <c r="N1387" s="6">
        <f t="shared" si="84"/>
        <v>1</v>
      </c>
      <c r="O1387" t="str">
        <f>IF(Tabla_control[[#This Row],[Control_duplicados]]&gt;1,"Duplicado","Unico")</f>
        <v>Unico</v>
      </c>
      <c r="P1387" t="str">
        <f t="shared" si="85"/>
        <v>OK</v>
      </c>
      <c r="Q1387" t="str">
        <f t="shared" si="86"/>
        <v>OK</v>
      </c>
      <c r="R1387" t="str">
        <f t="shared" si="87"/>
        <v>OK</v>
      </c>
    </row>
    <row r="1388" spans="1:18" x14ac:dyDescent="0.3">
      <c r="A1388" s="1">
        <v>45940</v>
      </c>
      <c r="B1388" s="2" t="s">
        <v>2635</v>
      </c>
      <c r="C1388" s="2" t="s">
        <v>2541</v>
      </c>
      <c r="D1388" s="2" t="s">
        <v>2531</v>
      </c>
      <c r="E1388" s="2" t="s">
        <v>2529</v>
      </c>
      <c r="F1388" s="3">
        <v>101507</v>
      </c>
      <c r="G1388" s="3">
        <v>4375</v>
      </c>
      <c r="H1388" s="3">
        <v>467</v>
      </c>
      <c r="I1388" s="4">
        <v>2931.49</v>
      </c>
      <c r="J1388" s="4">
        <v>37273.49</v>
      </c>
      <c r="K1388" s="3">
        <v>416</v>
      </c>
      <c r="L1388" s="2" t="s">
        <v>2523</v>
      </c>
      <c r="M1388" s="2" t="s">
        <v>2524</v>
      </c>
      <c r="N1388" s="6">
        <f t="shared" si="84"/>
        <v>1</v>
      </c>
      <c r="O1388" t="str">
        <f>IF(Tabla_control[[#This Row],[Control_duplicados]]&gt;1,"Duplicado","Unico")</f>
        <v>Unico</v>
      </c>
      <c r="P1388" t="str">
        <f t="shared" si="85"/>
        <v>OK</v>
      </c>
      <c r="Q1388" t="str">
        <f t="shared" si="86"/>
        <v>OK</v>
      </c>
      <c r="R1388" t="str">
        <f t="shared" si="87"/>
        <v>OK</v>
      </c>
    </row>
    <row r="1389" spans="1:18" x14ac:dyDescent="0.3">
      <c r="A1389" s="1">
        <v>45817</v>
      </c>
      <c r="B1389" s="2" t="s">
        <v>2634</v>
      </c>
      <c r="C1389" s="2" t="s">
        <v>2521</v>
      </c>
      <c r="D1389" s="2" t="s">
        <v>2528</v>
      </c>
      <c r="E1389" s="2" t="s">
        <v>2529</v>
      </c>
      <c r="F1389" s="3">
        <v>137784</v>
      </c>
      <c r="G1389" s="3">
        <v>1909</v>
      </c>
      <c r="H1389" s="3">
        <v>21</v>
      </c>
      <c r="I1389" s="4">
        <v>2987.78</v>
      </c>
      <c r="J1389" s="4">
        <v>4568.1400000000003</v>
      </c>
      <c r="K1389" s="3">
        <v>11</v>
      </c>
      <c r="L1389" s="2" t="s">
        <v>2523</v>
      </c>
      <c r="M1389" s="2" t="s">
        <v>2526</v>
      </c>
      <c r="N1389" s="6">
        <f t="shared" si="84"/>
        <v>1</v>
      </c>
      <c r="O1389" t="str">
        <f>IF(Tabla_control[[#This Row],[Control_duplicados]]&gt;1,"Duplicado","Unico")</f>
        <v>Unico</v>
      </c>
      <c r="P1389" t="str">
        <f t="shared" si="85"/>
        <v>OK</v>
      </c>
      <c r="Q1389" t="str">
        <f t="shared" si="86"/>
        <v>OK</v>
      </c>
      <c r="R1389" t="str">
        <f t="shared" si="87"/>
        <v>OK</v>
      </c>
    </row>
    <row r="1390" spans="1:18" x14ac:dyDescent="0.3">
      <c r="A1390" s="1">
        <v>45778</v>
      </c>
      <c r="B1390" s="2" t="s">
        <v>2618</v>
      </c>
      <c r="C1390" s="2" t="s">
        <v>2533</v>
      </c>
      <c r="D1390" s="2" t="s">
        <v>2528</v>
      </c>
      <c r="E1390" s="2" t="s">
        <v>2517</v>
      </c>
      <c r="F1390" s="3">
        <v>122753</v>
      </c>
      <c r="G1390" s="3">
        <v>9771</v>
      </c>
      <c r="H1390" s="3">
        <v>692</v>
      </c>
      <c r="I1390" s="4">
        <v>14537.3</v>
      </c>
      <c r="J1390" s="4">
        <v>131196.4</v>
      </c>
      <c r="K1390" s="3">
        <v>429</v>
      </c>
      <c r="L1390" s="2" t="s">
        <v>2523</v>
      </c>
      <c r="M1390" s="2" t="s">
        <v>2537</v>
      </c>
      <c r="N1390" s="6">
        <f t="shared" si="84"/>
        <v>1</v>
      </c>
      <c r="O1390" t="str">
        <f>IF(Tabla_control[[#This Row],[Control_duplicados]]&gt;1,"Duplicado","Unico")</f>
        <v>Unico</v>
      </c>
      <c r="P1390" t="str">
        <f t="shared" si="85"/>
        <v>OK</v>
      </c>
      <c r="Q1390" t="str">
        <f t="shared" si="86"/>
        <v>OK</v>
      </c>
      <c r="R1390" t="str">
        <f t="shared" si="87"/>
        <v>OK</v>
      </c>
    </row>
    <row r="1391" spans="1:18" x14ac:dyDescent="0.3">
      <c r="A1391" s="1">
        <v>45818</v>
      </c>
      <c r="B1391" s="2" t="s">
        <v>2641</v>
      </c>
      <c r="C1391" s="2" t="s">
        <v>2541</v>
      </c>
      <c r="D1391" s="2" t="s">
        <v>2528</v>
      </c>
      <c r="E1391" s="2" t="s">
        <v>2534</v>
      </c>
      <c r="F1391" s="3">
        <v>137750</v>
      </c>
      <c r="G1391" s="3">
        <v>9704</v>
      </c>
      <c r="H1391" s="3">
        <v>167</v>
      </c>
      <c r="I1391" s="4">
        <v>12793.63</v>
      </c>
      <c r="J1391" s="4">
        <v>32224.46</v>
      </c>
      <c r="K1391" s="3">
        <v>94</v>
      </c>
      <c r="L1391" s="2" t="s">
        <v>2539</v>
      </c>
      <c r="M1391" s="2" t="s">
        <v>2526</v>
      </c>
      <c r="N1391" s="6">
        <f t="shared" si="84"/>
        <v>1</v>
      </c>
      <c r="O1391" t="str">
        <f>IF(Tabla_control[[#This Row],[Control_duplicados]]&gt;1,"Duplicado","Unico")</f>
        <v>Unico</v>
      </c>
      <c r="P1391" t="str">
        <f t="shared" si="85"/>
        <v>OK</v>
      </c>
      <c r="Q1391" t="str">
        <f t="shared" si="86"/>
        <v>OK</v>
      </c>
      <c r="R1391" t="str">
        <f t="shared" si="87"/>
        <v>OK</v>
      </c>
    </row>
    <row r="1392" spans="1:18" x14ac:dyDescent="0.3">
      <c r="A1392" s="1">
        <v>45784</v>
      </c>
      <c r="B1392" s="2" t="s">
        <v>2643</v>
      </c>
      <c r="C1392" s="2" t="s">
        <v>2541</v>
      </c>
      <c r="D1392" s="2" t="s">
        <v>2531</v>
      </c>
      <c r="E1392" s="2" t="s">
        <v>2529</v>
      </c>
      <c r="F1392" s="3">
        <v>31845</v>
      </c>
      <c r="G1392" s="3">
        <v>2333</v>
      </c>
      <c r="H1392" s="3">
        <v>63</v>
      </c>
      <c r="I1392" s="4">
        <v>704.27</v>
      </c>
      <c r="J1392" s="4">
        <v>2239.48</v>
      </c>
      <c r="K1392" s="3">
        <v>43</v>
      </c>
      <c r="L1392" s="2" t="s">
        <v>2518</v>
      </c>
      <c r="M1392" s="2" t="s">
        <v>2524</v>
      </c>
      <c r="N1392" s="6">
        <f t="shared" si="84"/>
        <v>1</v>
      </c>
      <c r="O1392" t="str">
        <f>IF(Tabla_control[[#This Row],[Control_duplicados]]&gt;1,"Duplicado","Unico")</f>
        <v>Unico</v>
      </c>
      <c r="P1392" t="str">
        <f t="shared" si="85"/>
        <v>OK</v>
      </c>
      <c r="Q1392" t="str">
        <f t="shared" si="86"/>
        <v>OK</v>
      </c>
      <c r="R1392" t="str">
        <f t="shared" si="87"/>
        <v>OK</v>
      </c>
    </row>
    <row r="1393" spans="1:18" x14ac:dyDescent="0.3">
      <c r="A1393" s="1">
        <v>45865</v>
      </c>
      <c r="B1393" s="2" t="s">
        <v>2634</v>
      </c>
      <c r="C1393" s="2" t="s">
        <v>2533</v>
      </c>
      <c r="D1393" s="2" t="s">
        <v>2516</v>
      </c>
      <c r="E1393" s="2" t="s">
        <v>2517</v>
      </c>
      <c r="F1393" s="3">
        <v>90775</v>
      </c>
      <c r="G1393" s="3">
        <v>1355</v>
      </c>
      <c r="H1393" s="3">
        <v>40</v>
      </c>
      <c r="I1393" s="4">
        <v>2626.64</v>
      </c>
      <c r="J1393" s="4">
        <v>1207.93</v>
      </c>
      <c r="K1393" s="3">
        <v>21</v>
      </c>
      <c r="L1393" s="2" t="s">
        <v>2536</v>
      </c>
      <c r="M1393" s="2" t="s">
        <v>2526</v>
      </c>
      <c r="N1393" s="6">
        <f t="shared" si="84"/>
        <v>1</v>
      </c>
      <c r="O1393" t="str">
        <f>IF(Tabla_control[[#This Row],[Control_duplicados]]&gt;1,"Duplicado","Unico")</f>
        <v>Unico</v>
      </c>
      <c r="P1393" t="str">
        <f t="shared" si="85"/>
        <v>OK</v>
      </c>
      <c r="Q1393" t="str">
        <f t="shared" si="86"/>
        <v>OK</v>
      </c>
      <c r="R1393" t="str">
        <f t="shared" si="87"/>
        <v>OK</v>
      </c>
    </row>
    <row r="1394" spans="1:18" x14ac:dyDescent="0.3">
      <c r="A1394" s="1">
        <v>45901</v>
      </c>
      <c r="B1394" s="2" t="s">
        <v>2635</v>
      </c>
      <c r="C1394" s="2" t="s">
        <v>2541</v>
      </c>
      <c r="D1394" s="2" t="s">
        <v>2528</v>
      </c>
      <c r="E1394" s="2" t="s">
        <v>2534</v>
      </c>
      <c r="F1394" s="3">
        <v>1107</v>
      </c>
      <c r="G1394" s="3">
        <v>44</v>
      </c>
      <c r="H1394" s="3">
        <v>3</v>
      </c>
      <c r="J1394" s="4">
        <v>525.47</v>
      </c>
      <c r="K1394" s="3">
        <v>1</v>
      </c>
      <c r="L1394" s="2" t="s">
        <v>2536</v>
      </c>
      <c r="M1394" s="2" t="s">
        <v>2526</v>
      </c>
      <c r="N1394" s="6">
        <f t="shared" si="84"/>
        <v>0</v>
      </c>
      <c r="O1394" t="str">
        <f>IF(Tabla_control[[#This Row],[Control_duplicados]]&gt;1,"Duplicado","Unico")</f>
        <v>Unico</v>
      </c>
      <c r="P1394" t="str">
        <f t="shared" si="85"/>
        <v>ERROR</v>
      </c>
      <c r="Q1394" t="str">
        <f t="shared" si="86"/>
        <v>OK</v>
      </c>
      <c r="R1394" t="str">
        <f t="shared" si="87"/>
        <v>OK</v>
      </c>
    </row>
    <row r="1395" spans="1:18" x14ac:dyDescent="0.3">
      <c r="A1395" s="1">
        <v>45789</v>
      </c>
      <c r="B1395" s="2" t="s">
        <v>2628</v>
      </c>
      <c r="C1395" s="2" t="s">
        <v>2515</v>
      </c>
      <c r="D1395" s="2" t="s">
        <v>2528</v>
      </c>
      <c r="E1395" s="2" t="s">
        <v>2517</v>
      </c>
      <c r="F1395" s="3">
        <v>90241</v>
      </c>
      <c r="G1395" s="3">
        <v>5367</v>
      </c>
      <c r="H1395" s="3">
        <v>697</v>
      </c>
      <c r="I1395" s="4">
        <v>11216.52</v>
      </c>
      <c r="J1395" s="4">
        <v>53170.720000000001</v>
      </c>
      <c r="K1395" s="3">
        <v>616</v>
      </c>
      <c r="L1395" s="2" t="s">
        <v>2518</v>
      </c>
      <c r="M1395" s="2" t="s">
        <v>2526</v>
      </c>
      <c r="N1395" s="6">
        <f t="shared" si="84"/>
        <v>1</v>
      </c>
      <c r="O1395" t="str">
        <f>IF(Tabla_control[[#This Row],[Control_duplicados]]&gt;1,"Duplicado","Unico")</f>
        <v>Unico</v>
      </c>
      <c r="P1395" t="str">
        <f t="shared" si="85"/>
        <v>OK</v>
      </c>
      <c r="Q1395" t="str">
        <f t="shared" si="86"/>
        <v>OK</v>
      </c>
      <c r="R1395" t="str">
        <f t="shared" si="87"/>
        <v>OK</v>
      </c>
    </row>
    <row r="1396" spans="1:18" x14ac:dyDescent="0.3">
      <c r="A1396" s="1">
        <v>45697</v>
      </c>
      <c r="B1396" s="2" t="s">
        <v>2624</v>
      </c>
      <c r="C1396" s="2" t="s">
        <v>2515</v>
      </c>
      <c r="D1396" s="2" t="s">
        <v>2531</v>
      </c>
      <c r="E1396" s="2" t="s">
        <v>2517</v>
      </c>
      <c r="F1396" s="3">
        <v>20365</v>
      </c>
      <c r="G1396" s="3">
        <v>1124</v>
      </c>
      <c r="H1396" s="3">
        <v>96</v>
      </c>
      <c r="I1396" s="4">
        <v>256.45999999999998</v>
      </c>
      <c r="J1396" s="4">
        <v>9825.4699999999993</v>
      </c>
      <c r="K1396" s="3">
        <v>50</v>
      </c>
      <c r="L1396" s="2" t="s">
        <v>2539</v>
      </c>
      <c r="M1396" s="2" t="s">
        <v>2537</v>
      </c>
      <c r="N1396" s="6">
        <f t="shared" si="84"/>
        <v>1</v>
      </c>
      <c r="O1396" t="str">
        <f>IF(Tabla_control[[#This Row],[Control_duplicados]]&gt;1,"Duplicado","Unico")</f>
        <v>Unico</v>
      </c>
      <c r="P1396" t="str">
        <f t="shared" si="85"/>
        <v>OK</v>
      </c>
      <c r="Q1396" t="str">
        <f t="shared" si="86"/>
        <v>OK</v>
      </c>
      <c r="R1396" t="str">
        <f t="shared" si="87"/>
        <v>OK</v>
      </c>
    </row>
    <row r="1397" spans="1:18" x14ac:dyDescent="0.3">
      <c r="A1397" s="1">
        <v>45677</v>
      </c>
      <c r="B1397" s="2" t="s">
        <v>2630</v>
      </c>
      <c r="C1397" s="2" t="s">
        <v>2521</v>
      </c>
      <c r="D1397" s="2" t="s">
        <v>2516</v>
      </c>
      <c r="E1397" s="2" t="s">
        <v>2517</v>
      </c>
      <c r="F1397" s="3">
        <v>121456</v>
      </c>
      <c r="G1397" s="3">
        <v>2581</v>
      </c>
      <c r="H1397" s="3">
        <v>197</v>
      </c>
      <c r="I1397" s="4">
        <v>4160.5200000000004</v>
      </c>
      <c r="J1397" s="4">
        <v>43205.440000000002</v>
      </c>
      <c r="K1397" s="3">
        <v>166</v>
      </c>
      <c r="L1397" s="2" t="s">
        <v>2539</v>
      </c>
      <c r="M1397" s="2" t="s">
        <v>2519</v>
      </c>
      <c r="N1397" s="6">
        <f t="shared" si="84"/>
        <v>1</v>
      </c>
      <c r="O1397" t="str">
        <f>IF(Tabla_control[[#This Row],[Control_duplicados]]&gt;1,"Duplicado","Unico")</f>
        <v>Unico</v>
      </c>
      <c r="P1397" t="str">
        <f t="shared" si="85"/>
        <v>OK</v>
      </c>
      <c r="Q1397" t="str">
        <f t="shared" si="86"/>
        <v>OK</v>
      </c>
      <c r="R1397" t="str">
        <f t="shared" si="87"/>
        <v>OK</v>
      </c>
    </row>
    <row r="1398" spans="1:18" x14ac:dyDescent="0.3">
      <c r="A1398" s="1">
        <v>45771</v>
      </c>
      <c r="B1398" s="2" t="s">
        <v>2637</v>
      </c>
      <c r="C1398" s="2" t="s">
        <v>2541</v>
      </c>
      <c r="D1398" s="2" t="s">
        <v>2528</v>
      </c>
      <c r="E1398" s="2" t="s">
        <v>2529</v>
      </c>
      <c r="F1398" s="3">
        <v>98915</v>
      </c>
      <c r="G1398" s="3">
        <v>3255</v>
      </c>
      <c r="H1398" s="3">
        <v>185</v>
      </c>
      <c r="I1398" s="4">
        <v>1878.5</v>
      </c>
      <c r="J1398" s="4">
        <v>38992.94</v>
      </c>
      <c r="K1398" s="3">
        <v>155</v>
      </c>
      <c r="L1398" s="2" t="s">
        <v>2536</v>
      </c>
      <c r="M1398" s="2" t="s">
        <v>2546</v>
      </c>
      <c r="N1398" s="6">
        <f t="shared" si="84"/>
        <v>1</v>
      </c>
      <c r="O1398" t="str">
        <f>IF(Tabla_control[[#This Row],[Control_duplicados]]&gt;1,"Duplicado","Unico")</f>
        <v>Unico</v>
      </c>
      <c r="P1398" t="str">
        <f t="shared" si="85"/>
        <v>OK</v>
      </c>
      <c r="Q1398" t="str">
        <f t="shared" si="86"/>
        <v>OK</v>
      </c>
      <c r="R1398" t="str">
        <f t="shared" si="87"/>
        <v>OK</v>
      </c>
    </row>
    <row r="1399" spans="1:18" x14ac:dyDescent="0.3">
      <c r="A1399" s="1">
        <v>45857</v>
      </c>
      <c r="B1399" s="2" t="s">
        <v>2617</v>
      </c>
      <c r="C1399" s="2" t="s">
        <v>2543</v>
      </c>
      <c r="D1399" s="2" t="s">
        <v>2516</v>
      </c>
      <c r="E1399" s="2" t="s">
        <v>2529</v>
      </c>
      <c r="F1399" s="3">
        <v>167922</v>
      </c>
      <c r="G1399" s="3">
        <v>10840</v>
      </c>
      <c r="H1399" s="3">
        <v>1053</v>
      </c>
      <c r="I1399" s="4">
        <v>10855.87</v>
      </c>
      <c r="J1399" s="4">
        <v>156224.57</v>
      </c>
      <c r="K1399" s="3">
        <v>528</v>
      </c>
      <c r="L1399" s="2" t="s">
        <v>2539</v>
      </c>
      <c r="M1399" s="2" t="s">
        <v>2546</v>
      </c>
      <c r="N1399" s="6">
        <f t="shared" si="84"/>
        <v>1</v>
      </c>
      <c r="O1399" t="str">
        <f>IF(Tabla_control[[#This Row],[Control_duplicados]]&gt;1,"Duplicado","Unico")</f>
        <v>Unico</v>
      </c>
      <c r="P1399" t="str">
        <f t="shared" si="85"/>
        <v>OK</v>
      </c>
      <c r="Q1399" t="str">
        <f t="shared" si="86"/>
        <v>OK</v>
      </c>
      <c r="R1399" t="str">
        <f t="shared" si="87"/>
        <v>OK</v>
      </c>
    </row>
    <row r="1400" spans="1:18" x14ac:dyDescent="0.3">
      <c r="A1400" s="1">
        <v>45714</v>
      </c>
      <c r="B1400" s="2" t="s">
        <v>2615</v>
      </c>
      <c r="C1400" s="2" t="s">
        <v>2541</v>
      </c>
      <c r="D1400" s="2" t="s">
        <v>2528</v>
      </c>
      <c r="E1400" s="2" t="s">
        <v>2529</v>
      </c>
      <c r="F1400" s="3">
        <v>147670</v>
      </c>
      <c r="G1400" s="3">
        <v>11109</v>
      </c>
      <c r="H1400" s="3">
        <v>293</v>
      </c>
      <c r="I1400" s="4">
        <v>12040.77</v>
      </c>
      <c r="J1400" s="4">
        <v>5299.35</v>
      </c>
      <c r="K1400" s="3">
        <v>151</v>
      </c>
      <c r="L1400" s="2" t="s">
        <v>2518</v>
      </c>
      <c r="M1400" s="2" t="s">
        <v>2524</v>
      </c>
      <c r="N1400" s="6">
        <f t="shared" si="84"/>
        <v>1</v>
      </c>
      <c r="O1400" t="str">
        <f>IF(Tabla_control[[#This Row],[Control_duplicados]]&gt;1,"Duplicado","Unico")</f>
        <v>Unico</v>
      </c>
      <c r="P1400" t="str">
        <f t="shared" si="85"/>
        <v>OK</v>
      </c>
      <c r="Q1400" t="str">
        <f t="shared" si="86"/>
        <v>OK</v>
      </c>
      <c r="R1400" t="str">
        <f t="shared" si="87"/>
        <v>OK</v>
      </c>
    </row>
    <row r="1401" spans="1:18" x14ac:dyDescent="0.3">
      <c r="A1401" s="1">
        <v>45752</v>
      </c>
      <c r="B1401" s="2" t="s">
        <v>2642</v>
      </c>
      <c r="C1401" s="2" t="s">
        <v>2515</v>
      </c>
      <c r="D1401" s="2" t="s">
        <v>2528</v>
      </c>
      <c r="E1401" s="2" t="s">
        <v>2517</v>
      </c>
      <c r="F1401" s="3">
        <v>70321</v>
      </c>
      <c r="G1401" s="3">
        <v>4372</v>
      </c>
      <c r="H1401" s="3">
        <v>359</v>
      </c>
      <c r="I1401" s="4">
        <v>467.89</v>
      </c>
      <c r="J1401" s="4">
        <v>66108.600000000006</v>
      </c>
      <c r="K1401" s="3">
        <v>180</v>
      </c>
      <c r="L1401" s="2" t="s">
        <v>2539</v>
      </c>
      <c r="M1401" s="2" t="s">
        <v>2519</v>
      </c>
      <c r="N1401" s="6">
        <f t="shared" si="84"/>
        <v>1</v>
      </c>
      <c r="O1401" t="str">
        <f>IF(Tabla_control[[#This Row],[Control_duplicados]]&gt;1,"Duplicado","Unico")</f>
        <v>Unico</v>
      </c>
      <c r="P1401" t="str">
        <f t="shared" si="85"/>
        <v>OK</v>
      </c>
      <c r="Q1401" t="str">
        <f t="shared" si="86"/>
        <v>OK</v>
      </c>
      <c r="R1401" t="str">
        <f t="shared" si="87"/>
        <v>OK</v>
      </c>
    </row>
    <row r="1402" spans="1:18" x14ac:dyDescent="0.3">
      <c r="A1402" s="1">
        <v>45695</v>
      </c>
      <c r="B1402" s="2" t="s">
        <v>2634</v>
      </c>
      <c r="C1402" s="2" t="s">
        <v>2515</v>
      </c>
      <c r="D1402" s="2" t="s">
        <v>2525</v>
      </c>
      <c r="E1402" s="2" t="s">
        <v>2517</v>
      </c>
      <c r="F1402" s="3">
        <v>113620</v>
      </c>
      <c r="G1402" s="3">
        <v>4875</v>
      </c>
      <c r="H1402" s="3">
        <v>268</v>
      </c>
      <c r="I1402" s="4">
        <v>6289.02</v>
      </c>
      <c r="J1402" s="4">
        <v>12077.01</v>
      </c>
      <c r="K1402" s="3">
        <v>189</v>
      </c>
      <c r="L1402" s="2" t="s">
        <v>2536</v>
      </c>
      <c r="M1402" s="2" t="s">
        <v>2526</v>
      </c>
      <c r="N1402" s="6">
        <f t="shared" si="84"/>
        <v>1</v>
      </c>
      <c r="O1402" t="str">
        <f>IF(Tabla_control[[#This Row],[Control_duplicados]]&gt;1,"Duplicado","Unico")</f>
        <v>Unico</v>
      </c>
      <c r="P1402" t="str">
        <f t="shared" si="85"/>
        <v>OK</v>
      </c>
      <c r="Q1402" t="str">
        <f t="shared" si="86"/>
        <v>OK</v>
      </c>
      <c r="R1402" t="str">
        <f t="shared" si="87"/>
        <v>OK</v>
      </c>
    </row>
    <row r="1403" spans="1:18" x14ac:dyDescent="0.3">
      <c r="A1403" s="1">
        <v>45875</v>
      </c>
      <c r="B1403" s="2" t="s">
        <v>2624</v>
      </c>
      <c r="C1403" s="2" t="s">
        <v>2533</v>
      </c>
      <c r="D1403" s="2" t="s">
        <v>2528</v>
      </c>
      <c r="E1403" s="2" t="s">
        <v>2529</v>
      </c>
      <c r="F1403" s="3">
        <v>29752</v>
      </c>
      <c r="G1403" s="3">
        <v>1450</v>
      </c>
      <c r="H1403" s="3">
        <v>45</v>
      </c>
      <c r="I1403" s="4">
        <v>384.26</v>
      </c>
      <c r="J1403" s="4">
        <v>9049.51</v>
      </c>
      <c r="K1403" s="3">
        <v>31</v>
      </c>
      <c r="L1403" s="2" t="s">
        <v>2523</v>
      </c>
      <c r="M1403" s="2" t="s">
        <v>2546</v>
      </c>
      <c r="N1403" s="6">
        <f t="shared" si="84"/>
        <v>1</v>
      </c>
      <c r="O1403" t="str">
        <f>IF(Tabla_control[[#This Row],[Control_duplicados]]&gt;1,"Duplicado","Unico")</f>
        <v>Unico</v>
      </c>
      <c r="P1403" t="str">
        <f t="shared" si="85"/>
        <v>OK</v>
      </c>
      <c r="Q1403" t="str">
        <f t="shared" si="86"/>
        <v>OK</v>
      </c>
      <c r="R1403" t="str">
        <f t="shared" si="87"/>
        <v>OK</v>
      </c>
    </row>
    <row r="1404" spans="1:18" x14ac:dyDescent="0.3">
      <c r="A1404" s="1">
        <v>45904</v>
      </c>
      <c r="B1404" s="2" t="s">
        <v>2625</v>
      </c>
      <c r="C1404" s="2" t="s">
        <v>2543</v>
      </c>
      <c r="D1404" s="2" t="s">
        <v>2528</v>
      </c>
      <c r="E1404" s="2" t="s">
        <v>2517</v>
      </c>
      <c r="F1404" s="3">
        <v>8125</v>
      </c>
      <c r="G1404" s="3">
        <v>352</v>
      </c>
      <c r="H1404" s="3">
        <v>27</v>
      </c>
      <c r="I1404" s="4">
        <v>639.34</v>
      </c>
      <c r="J1404" s="4">
        <v>906.81</v>
      </c>
      <c r="K1404" s="3">
        <v>24</v>
      </c>
      <c r="L1404" s="2" t="s">
        <v>2523</v>
      </c>
      <c r="M1404" s="2" t="s">
        <v>2537</v>
      </c>
      <c r="N1404" s="6">
        <f t="shared" si="84"/>
        <v>1</v>
      </c>
      <c r="O1404" t="str">
        <f>IF(Tabla_control[[#This Row],[Control_duplicados]]&gt;1,"Duplicado","Unico")</f>
        <v>Unico</v>
      </c>
      <c r="P1404" t="str">
        <f t="shared" si="85"/>
        <v>OK</v>
      </c>
      <c r="Q1404" t="str">
        <f t="shared" si="86"/>
        <v>OK</v>
      </c>
      <c r="R1404" t="str">
        <f t="shared" si="87"/>
        <v>OK</v>
      </c>
    </row>
    <row r="1405" spans="1:18" x14ac:dyDescent="0.3">
      <c r="A1405" s="1">
        <v>45812</v>
      </c>
      <c r="B1405" s="2" t="s">
        <v>2631</v>
      </c>
      <c r="C1405" s="2" t="s">
        <v>2521</v>
      </c>
      <c r="D1405" s="2" t="s">
        <v>2528</v>
      </c>
      <c r="E1405" s="2" t="s">
        <v>2529</v>
      </c>
      <c r="F1405" s="3">
        <v>88571</v>
      </c>
      <c r="G1405" s="3">
        <v>4924</v>
      </c>
      <c r="H1405" s="3">
        <v>543</v>
      </c>
      <c r="I1405" s="4">
        <v>1933.38</v>
      </c>
      <c r="J1405" s="4">
        <v>58873.8</v>
      </c>
      <c r="K1405" s="3">
        <v>440</v>
      </c>
      <c r="L1405" s="2" t="s">
        <v>2536</v>
      </c>
      <c r="M1405" s="2" t="s">
        <v>2537</v>
      </c>
      <c r="N1405" s="6">
        <f t="shared" si="84"/>
        <v>1</v>
      </c>
      <c r="O1405" t="str">
        <f>IF(Tabla_control[[#This Row],[Control_duplicados]]&gt;1,"Duplicado","Unico")</f>
        <v>Unico</v>
      </c>
      <c r="P1405" t="str">
        <f t="shared" si="85"/>
        <v>OK</v>
      </c>
      <c r="Q1405" t="str">
        <f t="shared" si="86"/>
        <v>OK</v>
      </c>
      <c r="R1405" t="str">
        <f t="shared" si="87"/>
        <v>OK</v>
      </c>
    </row>
    <row r="1406" spans="1:18" x14ac:dyDescent="0.3">
      <c r="A1406" s="1">
        <v>45740</v>
      </c>
      <c r="B1406" s="2" t="s">
        <v>2633</v>
      </c>
      <c r="C1406" s="2" t="s">
        <v>2543</v>
      </c>
      <c r="D1406" s="2" t="s">
        <v>2528</v>
      </c>
      <c r="E1406" s="2" t="s">
        <v>2534</v>
      </c>
      <c r="F1406" s="3">
        <v>8105</v>
      </c>
      <c r="G1406" s="3">
        <v>123</v>
      </c>
      <c r="H1406" s="3">
        <v>14</v>
      </c>
      <c r="I1406" s="4">
        <v>111.25</v>
      </c>
      <c r="J1406" s="4">
        <v>1557.09</v>
      </c>
      <c r="K1406" s="3">
        <v>11</v>
      </c>
      <c r="L1406" s="2" t="s">
        <v>2536</v>
      </c>
      <c r="M1406" s="2" t="s">
        <v>2519</v>
      </c>
      <c r="N1406" s="6">
        <f t="shared" si="84"/>
        <v>1</v>
      </c>
      <c r="O1406" t="str">
        <f>IF(Tabla_control[[#This Row],[Control_duplicados]]&gt;1,"Duplicado","Unico")</f>
        <v>Unico</v>
      </c>
      <c r="P1406" t="str">
        <f t="shared" si="85"/>
        <v>OK</v>
      </c>
      <c r="Q1406" t="str">
        <f t="shared" si="86"/>
        <v>OK</v>
      </c>
      <c r="R1406" t="str">
        <f t="shared" si="87"/>
        <v>OK</v>
      </c>
    </row>
    <row r="1407" spans="1:18" x14ac:dyDescent="0.3">
      <c r="A1407" s="1">
        <v>45683</v>
      </c>
      <c r="B1407" s="2" t="s">
        <v>2624</v>
      </c>
      <c r="C1407" s="2" t="s">
        <v>2541</v>
      </c>
      <c r="D1407" s="2" t="s">
        <v>2531</v>
      </c>
      <c r="E1407" s="2" t="s">
        <v>2529</v>
      </c>
      <c r="F1407" s="3">
        <v>153799</v>
      </c>
      <c r="G1407" s="3">
        <v>13478</v>
      </c>
      <c r="H1407" s="3">
        <v>1011</v>
      </c>
      <c r="I1407" s="4">
        <v>7598.32</v>
      </c>
      <c r="J1407" s="4">
        <v>137373.91</v>
      </c>
      <c r="K1407" s="3">
        <v>808</v>
      </c>
      <c r="L1407" s="2" t="s">
        <v>2539</v>
      </c>
      <c r="M1407" s="2" t="s">
        <v>2537</v>
      </c>
      <c r="N1407" s="6">
        <f t="shared" si="84"/>
        <v>1</v>
      </c>
      <c r="O1407" t="str">
        <f>IF(Tabla_control[[#This Row],[Control_duplicados]]&gt;1,"Duplicado","Unico")</f>
        <v>Unico</v>
      </c>
      <c r="P1407" t="str">
        <f t="shared" si="85"/>
        <v>OK</v>
      </c>
      <c r="Q1407" t="str">
        <f t="shared" si="86"/>
        <v>OK</v>
      </c>
      <c r="R1407" t="str">
        <f t="shared" si="87"/>
        <v>OK</v>
      </c>
    </row>
    <row r="1408" spans="1:18" x14ac:dyDescent="0.3">
      <c r="A1408" s="1">
        <v>45673</v>
      </c>
      <c r="B1408" s="2" t="s">
        <v>2630</v>
      </c>
      <c r="C1408" s="2" t="s">
        <v>2543</v>
      </c>
      <c r="D1408" s="2" t="s">
        <v>2528</v>
      </c>
      <c r="E1408" s="2" t="s">
        <v>2529</v>
      </c>
      <c r="F1408" s="3">
        <v>157079</v>
      </c>
      <c r="G1408" s="3">
        <v>5127</v>
      </c>
      <c r="H1408" s="3">
        <v>531</v>
      </c>
      <c r="I1408" s="4">
        <v>8414</v>
      </c>
      <c r="J1408" s="4">
        <v>34222.47</v>
      </c>
      <c r="K1408" s="3">
        <v>321</v>
      </c>
      <c r="L1408" s="2" t="s">
        <v>2518</v>
      </c>
      <c r="M1408" s="2" t="s">
        <v>2537</v>
      </c>
      <c r="N1408" s="6">
        <f t="shared" si="84"/>
        <v>1</v>
      </c>
      <c r="O1408" t="str">
        <f>IF(Tabla_control[[#This Row],[Control_duplicados]]&gt;1,"Duplicado","Unico")</f>
        <v>Unico</v>
      </c>
      <c r="P1408" t="str">
        <f t="shared" si="85"/>
        <v>OK</v>
      </c>
      <c r="Q1408" t="str">
        <f t="shared" si="86"/>
        <v>OK</v>
      </c>
      <c r="R1408" t="str">
        <f t="shared" si="87"/>
        <v>OK</v>
      </c>
    </row>
    <row r="1409" spans="1:18" x14ac:dyDescent="0.3">
      <c r="A1409" s="1">
        <v>45899</v>
      </c>
      <c r="B1409" s="2" t="s">
        <v>2631</v>
      </c>
      <c r="C1409" s="2" t="s">
        <v>2515</v>
      </c>
      <c r="D1409" s="2" t="s">
        <v>2516</v>
      </c>
      <c r="E1409" s="2" t="s">
        <v>2529</v>
      </c>
      <c r="F1409" s="3">
        <v>12603</v>
      </c>
      <c r="G1409" s="3">
        <v>316</v>
      </c>
      <c r="H1409" s="3">
        <v>10</v>
      </c>
      <c r="I1409" s="4">
        <v>589.63</v>
      </c>
      <c r="J1409" s="4">
        <v>2172.6999999999998</v>
      </c>
      <c r="K1409" s="3">
        <v>6</v>
      </c>
      <c r="L1409" s="2" t="s">
        <v>2523</v>
      </c>
      <c r="M1409" s="2" t="s">
        <v>2537</v>
      </c>
      <c r="N1409" s="6">
        <f t="shared" si="84"/>
        <v>1</v>
      </c>
      <c r="O1409" t="str">
        <f>IF(Tabla_control[[#This Row],[Control_duplicados]]&gt;1,"Duplicado","Unico")</f>
        <v>Unico</v>
      </c>
      <c r="P1409" t="str">
        <f t="shared" si="85"/>
        <v>OK</v>
      </c>
      <c r="Q1409" t="str">
        <f t="shared" si="86"/>
        <v>OK</v>
      </c>
      <c r="R1409" t="str">
        <f t="shared" si="87"/>
        <v>OK</v>
      </c>
    </row>
    <row r="1410" spans="1:18" x14ac:dyDescent="0.3">
      <c r="A1410" s="1">
        <v>45990</v>
      </c>
      <c r="B1410" s="2" t="s">
        <v>2618</v>
      </c>
      <c r="C1410" s="2" t="s">
        <v>2533</v>
      </c>
      <c r="D1410" s="2" t="s">
        <v>2522</v>
      </c>
      <c r="E1410" s="2" t="s">
        <v>2517</v>
      </c>
      <c r="F1410" s="3">
        <v>30947</v>
      </c>
      <c r="G1410" s="3">
        <v>1116</v>
      </c>
      <c r="H1410" s="3">
        <v>47</v>
      </c>
      <c r="I1410" s="4">
        <v>2018.09</v>
      </c>
      <c r="J1410" s="4">
        <v>7571.93</v>
      </c>
      <c r="K1410" s="3">
        <v>40</v>
      </c>
      <c r="L1410" s="2" t="s">
        <v>2539</v>
      </c>
      <c r="M1410" s="2" t="s">
        <v>2526</v>
      </c>
      <c r="N1410" s="6">
        <f t="shared" ref="N1410:N1473" si="88">COUNTIFS($A$2:$A$2536,A1410,$B$2:$B$2536,B1410,$C$2:$C$2536,C1410,$D$2:$D$2536,D1410,$E$2:$E$2536,E1410,$F$2:$F$2536,F1410,$G$2:$G$2536,G1410,$H$2:$H$2536,H1410,$I$2:$I$2536,I1410,$J$2:$J$2536,J1410,$K$2:$K$2536,K1410,$L$2:$L$2536,L1410,$M$2:$M$2536,M1410)</f>
        <v>1</v>
      </c>
      <c r="O1410" t="str">
        <f>IF(Tabla_control[[#This Row],[Control_duplicados]]&gt;1,"Duplicado","Unico")</f>
        <v>Unico</v>
      </c>
      <c r="P1410" t="str">
        <f t="shared" ref="P1410:P1473" si="89">IF(OR(I1410="",I1410&lt;0),"ERROR","OK")</f>
        <v>OK</v>
      </c>
      <c r="Q1410" t="str">
        <f t="shared" ref="Q1410:Q1473" si="90">IF(H1410&gt;F1410,"ERROR","OK")</f>
        <v>OK</v>
      </c>
      <c r="R1410" t="str">
        <f t="shared" ref="R1410:R1473" si="91">IF(K1410&gt;H1410,"ERROR","OK")</f>
        <v>OK</v>
      </c>
    </row>
    <row r="1411" spans="1:18" x14ac:dyDescent="0.3">
      <c r="A1411" s="1">
        <v>45765</v>
      </c>
      <c r="B1411" s="2" t="s">
        <v>2639</v>
      </c>
      <c r="C1411" s="2" t="s">
        <v>2541</v>
      </c>
      <c r="D1411" s="2" t="s">
        <v>2516</v>
      </c>
      <c r="E1411" s="2" t="s">
        <v>2517</v>
      </c>
      <c r="F1411" s="3">
        <v>131188</v>
      </c>
      <c r="G1411" s="3">
        <v>6918</v>
      </c>
      <c r="H1411" s="3">
        <v>750</v>
      </c>
      <c r="I1411" s="4">
        <v>13825.98</v>
      </c>
      <c r="J1411" s="4">
        <v>56164.53</v>
      </c>
      <c r="K1411" s="3">
        <v>345</v>
      </c>
      <c r="L1411" s="2" t="s">
        <v>2539</v>
      </c>
      <c r="M1411" s="2" t="s">
        <v>2519</v>
      </c>
      <c r="N1411" s="6">
        <f t="shared" si="88"/>
        <v>1</v>
      </c>
      <c r="O1411" t="str">
        <f>IF(Tabla_control[[#This Row],[Control_duplicados]]&gt;1,"Duplicado","Unico")</f>
        <v>Unico</v>
      </c>
      <c r="P1411" t="str">
        <f t="shared" si="89"/>
        <v>OK</v>
      </c>
      <c r="Q1411" t="str">
        <f t="shared" si="90"/>
        <v>OK</v>
      </c>
      <c r="R1411" t="str">
        <f t="shared" si="91"/>
        <v>OK</v>
      </c>
    </row>
    <row r="1412" spans="1:18" x14ac:dyDescent="0.3">
      <c r="A1412" s="1">
        <v>45814</v>
      </c>
      <c r="B1412" s="2" t="s">
        <v>2633</v>
      </c>
      <c r="C1412" s="2" t="s">
        <v>2521</v>
      </c>
      <c r="D1412" s="2" t="s">
        <v>2528</v>
      </c>
      <c r="E1412" s="2" t="s">
        <v>2529</v>
      </c>
      <c r="F1412" s="3">
        <v>50273</v>
      </c>
      <c r="G1412" s="3">
        <v>655</v>
      </c>
      <c r="H1412" s="3">
        <v>79</v>
      </c>
      <c r="I1412" s="4">
        <v>1309.6099999999999</v>
      </c>
      <c r="J1412" s="4">
        <v>5382.81</v>
      </c>
      <c r="K1412" s="3">
        <v>68</v>
      </c>
      <c r="L1412" s="2" t="s">
        <v>2536</v>
      </c>
      <c r="M1412" s="2" t="s">
        <v>2524</v>
      </c>
      <c r="N1412" s="6">
        <f t="shared" si="88"/>
        <v>1</v>
      </c>
      <c r="O1412" t="str">
        <f>IF(Tabla_control[[#This Row],[Control_duplicados]]&gt;1,"Duplicado","Unico")</f>
        <v>Unico</v>
      </c>
      <c r="P1412" t="str">
        <f t="shared" si="89"/>
        <v>OK</v>
      </c>
      <c r="Q1412" t="str">
        <f t="shared" si="90"/>
        <v>OK</v>
      </c>
      <c r="R1412" t="str">
        <f t="shared" si="91"/>
        <v>OK</v>
      </c>
    </row>
    <row r="1413" spans="1:18" x14ac:dyDescent="0.3">
      <c r="A1413" s="1">
        <v>45788</v>
      </c>
      <c r="B1413" s="2" t="s">
        <v>2618</v>
      </c>
      <c r="C1413" s="2" t="s">
        <v>2533</v>
      </c>
      <c r="D1413" s="2" t="s">
        <v>2528</v>
      </c>
      <c r="E1413" s="2" t="s">
        <v>2517</v>
      </c>
      <c r="F1413" s="3">
        <v>154262</v>
      </c>
      <c r="G1413" s="3">
        <v>2825</v>
      </c>
      <c r="H1413" s="3">
        <v>390</v>
      </c>
      <c r="I1413" s="4">
        <v>2855.96</v>
      </c>
      <c r="J1413" s="4">
        <v>7112.68</v>
      </c>
      <c r="K1413" s="3">
        <v>188</v>
      </c>
      <c r="L1413" s="2" t="s">
        <v>2539</v>
      </c>
      <c r="M1413" s="2" t="s">
        <v>2526</v>
      </c>
      <c r="N1413" s="6">
        <f t="shared" si="88"/>
        <v>1</v>
      </c>
      <c r="O1413" t="str">
        <f>IF(Tabla_control[[#This Row],[Control_duplicados]]&gt;1,"Duplicado","Unico")</f>
        <v>Unico</v>
      </c>
      <c r="P1413" t="str">
        <f t="shared" si="89"/>
        <v>OK</v>
      </c>
      <c r="Q1413" t="str">
        <f t="shared" si="90"/>
        <v>OK</v>
      </c>
      <c r="R1413" t="str">
        <f t="shared" si="91"/>
        <v>OK</v>
      </c>
    </row>
    <row r="1414" spans="1:18" x14ac:dyDescent="0.3">
      <c r="A1414" s="1">
        <v>45873</v>
      </c>
      <c r="B1414" s="2" t="s">
        <v>2643</v>
      </c>
      <c r="C1414" s="2" t="s">
        <v>2543</v>
      </c>
      <c r="D1414" s="2" t="s">
        <v>2531</v>
      </c>
      <c r="E1414" s="2" t="s">
        <v>2529</v>
      </c>
      <c r="F1414" s="3">
        <v>79781</v>
      </c>
      <c r="G1414" s="3">
        <v>4728</v>
      </c>
      <c r="H1414" s="3">
        <v>374</v>
      </c>
      <c r="I1414" s="4">
        <v>7506.15</v>
      </c>
      <c r="J1414" s="4">
        <v>81617.710000000006</v>
      </c>
      <c r="K1414" s="3">
        <v>268</v>
      </c>
      <c r="L1414" s="2" t="s">
        <v>2523</v>
      </c>
      <c r="M1414" s="2" t="s">
        <v>2524</v>
      </c>
      <c r="N1414" s="6">
        <f t="shared" si="88"/>
        <v>1</v>
      </c>
      <c r="O1414" t="str">
        <f>IF(Tabla_control[[#This Row],[Control_duplicados]]&gt;1,"Duplicado","Unico")</f>
        <v>Unico</v>
      </c>
      <c r="P1414" t="str">
        <f t="shared" si="89"/>
        <v>OK</v>
      </c>
      <c r="Q1414" t="str">
        <f t="shared" si="90"/>
        <v>OK</v>
      </c>
      <c r="R1414" t="str">
        <f t="shared" si="91"/>
        <v>OK</v>
      </c>
    </row>
    <row r="1415" spans="1:18" x14ac:dyDescent="0.3">
      <c r="A1415" s="1">
        <v>45874</v>
      </c>
      <c r="B1415" s="2" t="s">
        <v>2629</v>
      </c>
      <c r="C1415" s="2" t="s">
        <v>2533</v>
      </c>
      <c r="D1415" s="2" t="s">
        <v>2528</v>
      </c>
      <c r="E1415" s="2" t="s">
        <v>2529</v>
      </c>
      <c r="F1415" s="3">
        <v>32930</v>
      </c>
      <c r="G1415" s="3">
        <v>961</v>
      </c>
      <c r="H1415" s="3">
        <v>67</v>
      </c>
      <c r="I1415" s="4">
        <v>1202.95</v>
      </c>
      <c r="J1415" s="4">
        <v>5692.84</v>
      </c>
      <c r="K1415" s="3">
        <v>44</v>
      </c>
      <c r="L1415" s="2" t="s">
        <v>2518</v>
      </c>
      <c r="M1415" s="2" t="s">
        <v>2524</v>
      </c>
      <c r="N1415" s="6">
        <f t="shared" si="88"/>
        <v>1</v>
      </c>
      <c r="O1415" t="str">
        <f>IF(Tabla_control[[#This Row],[Control_duplicados]]&gt;1,"Duplicado","Unico")</f>
        <v>Unico</v>
      </c>
      <c r="P1415" t="str">
        <f t="shared" si="89"/>
        <v>OK</v>
      </c>
      <c r="Q1415" t="str">
        <f t="shared" si="90"/>
        <v>OK</v>
      </c>
      <c r="R1415" t="str">
        <f t="shared" si="91"/>
        <v>OK</v>
      </c>
    </row>
    <row r="1416" spans="1:18" x14ac:dyDescent="0.3">
      <c r="A1416" s="1">
        <v>45790</v>
      </c>
      <c r="B1416" s="2" t="s">
        <v>2623</v>
      </c>
      <c r="C1416" s="2" t="s">
        <v>2521</v>
      </c>
      <c r="D1416" s="2" t="s">
        <v>2531</v>
      </c>
      <c r="E1416" s="2" t="s">
        <v>2517</v>
      </c>
      <c r="F1416" s="3">
        <v>15642</v>
      </c>
      <c r="G1416" s="3">
        <v>1146</v>
      </c>
      <c r="H1416" s="3">
        <v>108</v>
      </c>
      <c r="I1416" s="4">
        <v>521.38</v>
      </c>
      <c r="J1416" s="4">
        <v>12405.33</v>
      </c>
      <c r="K1416" s="3">
        <v>59</v>
      </c>
      <c r="L1416" s="2" t="s">
        <v>2536</v>
      </c>
      <c r="M1416" s="2" t="s">
        <v>2524</v>
      </c>
      <c r="N1416" s="6">
        <f t="shared" si="88"/>
        <v>1</v>
      </c>
      <c r="O1416" t="str">
        <f>IF(Tabla_control[[#This Row],[Control_duplicados]]&gt;1,"Duplicado","Unico")</f>
        <v>Unico</v>
      </c>
      <c r="P1416" t="str">
        <f t="shared" si="89"/>
        <v>OK</v>
      </c>
      <c r="Q1416" t="str">
        <f t="shared" si="90"/>
        <v>OK</v>
      </c>
      <c r="R1416" t="str">
        <f t="shared" si="91"/>
        <v>OK</v>
      </c>
    </row>
    <row r="1417" spans="1:18" x14ac:dyDescent="0.3">
      <c r="A1417" s="1">
        <v>45676</v>
      </c>
      <c r="B1417" s="2" t="s">
        <v>2616</v>
      </c>
      <c r="C1417" s="2" t="s">
        <v>2541</v>
      </c>
      <c r="D1417" s="2" t="s">
        <v>2525</v>
      </c>
      <c r="E1417" s="2" t="s">
        <v>2529</v>
      </c>
      <c r="F1417" s="3">
        <v>164543</v>
      </c>
      <c r="G1417" s="3">
        <v>1783</v>
      </c>
      <c r="H1417" s="3">
        <v>48</v>
      </c>
      <c r="I1417" s="4">
        <v>335.24</v>
      </c>
      <c r="J1417" s="4">
        <v>4381.3599999999997</v>
      </c>
      <c r="K1417" s="3">
        <v>36</v>
      </c>
      <c r="L1417" s="2" t="s">
        <v>2539</v>
      </c>
      <c r="M1417" s="2" t="s">
        <v>2524</v>
      </c>
      <c r="N1417" s="6">
        <f t="shared" si="88"/>
        <v>1</v>
      </c>
      <c r="O1417" t="str">
        <f>IF(Tabla_control[[#This Row],[Control_duplicados]]&gt;1,"Duplicado","Unico")</f>
        <v>Unico</v>
      </c>
      <c r="P1417" t="str">
        <f t="shared" si="89"/>
        <v>OK</v>
      </c>
      <c r="Q1417" t="str">
        <f t="shared" si="90"/>
        <v>OK</v>
      </c>
      <c r="R1417" t="str">
        <f t="shared" si="91"/>
        <v>OK</v>
      </c>
    </row>
    <row r="1418" spans="1:18" x14ac:dyDescent="0.3">
      <c r="A1418" s="1">
        <v>45882</v>
      </c>
      <c r="B1418" s="2" t="s">
        <v>2629</v>
      </c>
      <c r="C1418" s="2" t="s">
        <v>2521</v>
      </c>
      <c r="D1418" s="2" t="s">
        <v>2522</v>
      </c>
      <c r="E1418" s="2" t="s">
        <v>2529</v>
      </c>
      <c r="F1418" s="3">
        <v>150527</v>
      </c>
      <c r="G1418" s="3">
        <v>6648</v>
      </c>
      <c r="H1418" s="3">
        <v>882</v>
      </c>
      <c r="I1418" s="4">
        <v>1778.87</v>
      </c>
      <c r="J1418" s="4">
        <v>132901.84</v>
      </c>
      <c r="K1418" s="3">
        <v>660</v>
      </c>
      <c r="L1418" s="2" t="s">
        <v>2536</v>
      </c>
      <c r="M1418" s="2" t="s">
        <v>2546</v>
      </c>
      <c r="N1418" s="6">
        <f t="shared" si="88"/>
        <v>1</v>
      </c>
      <c r="O1418" t="str">
        <f>IF(Tabla_control[[#This Row],[Control_duplicados]]&gt;1,"Duplicado","Unico")</f>
        <v>Unico</v>
      </c>
      <c r="P1418" t="str">
        <f t="shared" si="89"/>
        <v>OK</v>
      </c>
      <c r="Q1418" t="str">
        <f t="shared" si="90"/>
        <v>OK</v>
      </c>
      <c r="R1418" t="str">
        <f t="shared" si="91"/>
        <v>OK</v>
      </c>
    </row>
    <row r="1419" spans="1:18" x14ac:dyDescent="0.3">
      <c r="A1419" s="1">
        <v>46006</v>
      </c>
      <c r="B1419" s="2" t="s">
        <v>2620</v>
      </c>
      <c r="C1419" s="2" t="s">
        <v>2541</v>
      </c>
      <c r="D1419" s="2" t="s">
        <v>2528</v>
      </c>
      <c r="E1419" s="2" t="s">
        <v>2517</v>
      </c>
      <c r="F1419" s="3">
        <v>102652</v>
      </c>
      <c r="G1419" s="3">
        <v>6331</v>
      </c>
      <c r="H1419" s="3">
        <v>741</v>
      </c>
      <c r="I1419" s="4">
        <v>7654.88</v>
      </c>
      <c r="J1419" s="4">
        <v>12865.93</v>
      </c>
      <c r="K1419" s="3">
        <v>396</v>
      </c>
      <c r="L1419" s="2" t="s">
        <v>2536</v>
      </c>
      <c r="M1419" s="2" t="s">
        <v>2519</v>
      </c>
      <c r="N1419" s="6">
        <f t="shared" si="88"/>
        <v>1</v>
      </c>
      <c r="O1419" t="str">
        <f>IF(Tabla_control[[#This Row],[Control_duplicados]]&gt;1,"Duplicado","Unico")</f>
        <v>Unico</v>
      </c>
      <c r="P1419" t="str">
        <f t="shared" si="89"/>
        <v>OK</v>
      </c>
      <c r="Q1419" t="str">
        <f t="shared" si="90"/>
        <v>OK</v>
      </c>
      <c r="R1419" t="str">
        <f t="shared" si="91"/>
        <v>OK</v>
      </c>
    </row>
    <row r="1420" spans="1:18" x14ac:dyDescent="0.3">
      <c r="A1420" s="1">
        <v>45909</v>
      </c>
      <c r="B1420" s="2" t="s">
        <v>2636</v>
      </c>
      <c r="C1420" s="2" t="s">
        <v>2533</v>
      </c>
      <c r="D1420" s="2" t="s">
        <v>2528</v>
      </c>
      <c r="E1420" s="2" t="s">
        <v>2529</v>
      </c>
      <c r="F1420" s="3">
        <v>142149</v>
      </c>
      <c r="G1420" s="3">
        <v>5151</v>
      </c>
      <c r="H1420" s="3">
        <v>209</v>
      </c>
      <c r="I1420" s="4">
        <v>10034.25</v>
      </c>
      <c r="J1420" s="4">
        <v>3188.46</v>
      </c>
      <c r="K1420" s="3">
        <v>120</v>
      </c>
      <c r="L1420" s="2" t="s">
        <v>2518</v>
      </c>
      <c r="M1420" s="2" t="s">
        <v>2524</v>
      </c>
      <c r="N1420" s="6">
        <f t="shared" si="88"/>
        <v>1</v>
      </c>
      <c r="O1420" t="str">
        <f>IF(Tabla_control[[#This Row],[Control_duplicados]]&gt;1,"Duplicado","Unico")</f>
        <v>Unico</v>
      </c>
      <c r="P1420" t="str">
        <f t="shared" si="89"/>
        <v>OK</v>
      </c>
      <c r="Q1420" t="str">
        <f t="shared" si="90"/>
        <v>OK</v>
      </c>
      <c r="R1420" t="str">
        <f t="shared" si="91"/>
        <v>OK</v>
      </c>
    </row>
    <row r="1421" spans="1:18" x14ac:dyDescent="0.3">
      <c r="A1421" s="1">
        <v>46011</v>
      </c>
      <c r="B1421" s="2" t="s">
        <v>2625</v>
      </c>
      <c r="C1421" s="2" t="s">
        <v>2515</v>
      </c>
      <c r="D1421" s="2" t="s">
        <v>2528</v>
      </c>
      <c r="E1421" s="2" t="s">
        <v>2517</v>
      </c>
      <c r="F1421" s="3">
        <v>52292</v>
      </c>
      <c r="G1421" s="3">
        <v>3312</v>
      </c>
      <c r="H1421" s="3">
        <v>360</v>
      </c>
      <c r="I1421" s="4">
        <v>3057.14</v>
      </c>
      <c r="J1421" s="4">
        <v>69437.990000000005</v>
      </c>
      <c r="K1421" s="3">
        <v>238</v>
      </c>
      <c r="L1421" s="2" t="s">
        <v>2523</v>
      </c>
      <c r="M1421" s="2" t="s">
        <v>2519</v>
      </c>
      <c r="N1421" s="6">
        <f t="shared" si="88"/>
        <v>1</v>
      </c>
      <c r="O1421" t="str">
        <f>IF(Tabla_control[[#This Row],[Control_duplicados]]&gt;1,"Duplicado","Unico")</f>
        <v>Unico</v>
      </c>
      <c r="P1421" t="str">
        <f t="shared" si="89"/>
        <v>OK</v>
      </c>
      <c r="Q1421" t="str">
        <f t="shared" si="90"/>
        <v>OK</v>
      </c>
      <c r="R1421" t="str">
        <f t="shared" si="91"/>
        <v>OK</v>
      </c>
    </row>
    <row r="1422" spans="1:18" x14ac:dyDescent="0.3">
      <c r="A1422" s="1">
        <v>45948</v>
      </c>
      <c r="B1422" s="2" t="s">
        <v>2619</v>
      </c>
      <c r="C1422" s="2" t="s">
        <v>2541</v>
      </c>
      <c r="D1422" s="2" t="s">
        <v>2522</v>
      </c>
      <c r="E1422" s="2" t="s">
        <v>2517</v>
      </c>
      <c r="F1422" s="3">
        <v>156599</v>
      </c>
      <c r="G1422" s="3">
        <v>4886</v>
      </c>
      <c r="H1422" s="3">
        <v>403</v>
      </c>
      <c r="I1422" s="4">
        <v>5879.31</v>
      </c>
      <c r="J1422" s="4">
        <v>53974.45</v>
      </c>
      <c r="K1422" s="3">
        <v>261</v>
      </c>
      <c r="L1422" s="2" t="s">
        <v>2536</v>
      </c>
      <c r="M1422" s="2" t="s">
        <v>2526</v>
      </c>
      <c r="N1422" s="6">
        <f t="shared" si="88"/>
        <v>2</v>
      </c>
      <c r="O1422" t="str">
        <f>IF(Tabla_control[[#This Row],[Control_duplicados]]&gt;1,"Duplicado","Unico")</f>
        <v>Duplicado</v>
      </c>
      <c r="P1422" t="str">
        <f t="shared" si="89"/>
        <v>OK</v>
      </c>
      <c r="Q1422" t="str">
        <f t="shared" si="90"/>
        <v>OK</v>
      </c>
      <c r="R1422" t="str">
        <f t="shared" si="91"/>
        <v>OK</v>
      </c>
    </row>
    <row r="1423" spans="1:18" x14ac:dyDescent="0.3">
      <c r="A1423" s="1">
        <v>46013</v>
      </c>
      <c r="B1423" s="2" t="s">
        <v>2642</v>
      </c>
      <c r="C1423" s="2" t="s">
        <v>2515</v>
      </c>
      <c r="D1423" s="2" t="s">
        <v>2528</v>
      </c>
      <c r="E1423" s="2" t="s">
        <v>2529</v>
      </c>
      <c r="F1423" s="3">
        <v>123525</v>
      </c>
      <c r="G1423" s="3">
        <v>4416</v>
      </c>
      <c r="H1423" s="3">
        <v>443</v>
      </c>
      <c r="I1423" s="4">
        <v>9002.16</v>
      </c>
      <c r="J1423" s="4">
        <v>7346.83</v>
      </c>
      <c r="K1423" s="3">
        <v>271</v>
      </c>
      <c r="L1423" s="2" t="s">
        <v>2536</v>
      </c>
      <c r="M1423" s="2" t="s">
        <v>2519</v>
      </c>
      <c r="N1423" s="6">
        <f t="shared" si="88"/>
        <v>1</v>
      </c>
      <c r="O1423" t="str">
        <f>IF(Tabla_control[[#This Row],[Control_duplicados]]&gt;1,"Duplicado","Unico")</f>
        <v>Unico</v>
      </c>
      <c r="P1423" t="str">
        <f t="shared" si="89"/>
        <v>OK</v>
      </c>
      <c r="Q1423" t="str">
        <f t="shared" si="90"/>
        <v>OK</v>
      </c>
      <c r="R1423" t="str">
        <f t="shared" si="91"/>
        <v>OK</v>
      </c>
    </row>
    <row r="1424" spans="1:18" x14ac:dyDescent="0.3">
      <c r="A1424" s="1">
        <v>45677</v>
      </c>
      <c r="B1424" s="2" t="s">
        <v>2638</v>
      </c>
      <c r="C1424" s="2" t="s">
        <v>2521</v>
      </c>
      <c r="D1424" s="2" t="s">
        <v>2531</v>
      </c>
      <c r="E1424" s="2" t="s">
        <v>2529</v>
      </c>
      <c r="F1424" s="3">
        <v>6385</v>
      </c>
      <c r="G1424" s="3">
        <v>378</v>
      </c>
      <c r="H1424" s="3">
        <v>51</v>
      </c>
      <c r="I1424" s="4">
        <v>554.84</v>
      </c>
      <c r="J1424" s="4">
        <v>2938.27</v>
      </c>
      <c r="K1424" s="3">
        <v>24</v>
      </c>
      <c r="L1424" s="2" t="s">
        <v>2539</v>
      </c>
      <c r="M1424" s="2" t="s">
        <v>2526</v>
      </c>
      <c r="N1424" s="6">
        <f t="shared" si="88"/>
        <v>1</v>
      </c>
      <c r="O1424" t="str">
        <f>IF(Tabla_control[[#This Row],[Control_duplicados]]&gt;1,"Duplicado","Unico")</f>
        <v>Unico</v>
      </c>
      <c r="P1424" t="str">
        <f t="shared" si="89"/>
        <v>OK</v>
      </c>
      <c r="Q1424" t="str">
        <f t="shared" si="90"/>
        <v>OK</v>
      </c>
      <c r="R1424" t="str">
        <f t="shared" si="91"/>
        <v>OK</v>
      </c>
    </row>
    <row r="1425" spans="1:18" x14ac:dyDescent="0.3">
      <c r="A1425" s="1">
        <v>45742</v>
      </c>
      <c r="B1425" s="2" t="s">
        <v>2637</v>
      </c>
      <c r="C1425" s="2" t="s">
        <v>2527</v>
      </c>
      <c r="D1425" s="2" t="s">
        <v>2528</v>
      </c>
      <c r="E1425" s="2" t="s">
        <v>2529</v>
      </c>
      <c r="F1425" s="3">
        <v>130044</v>
      </c>
      <c r="G1425" s="3">
        <v>7319</v>
      </c>
      <c r="H1425" s="3">
        <v>386</v>
      </c>
      <c r="I1425" s="4">
        <v>13151.05</v>
      </c>
      <c r="J1425" s="4">
        <v>68396.33</v>
      </c>
      <c r="K1425" s="3">
        <v>304</v>
      </c>
      <c r="L1425" s="2" t="s">
        <v>2536</v>
      </c>
      <c r="M1425" s="2" t="s">
        <v>2546</v>
      </c>
      <c r="N1425" s="6">
        <f t="shared" si="88"/>
        <v>1</v>
      </c>
      <c r="O1425" t="str">
        <f>IF(Tabla_control[[#This Row],[Control_duplicados]]&gt;1,"Duplicado","Unico")</f>
        <v>Unico</v>
      </c>
      <c r="P1425" t="str">
        <f t="shared" si="89"/>
        <v>OK</v>
      </c>
      <c r="Q1425" t="str">
        <f t="shared" si="90"/>
        <v>OK</v>
      </c>
      <c r="R1425" t="str">
        <f t="shared" si="91"/>
        <v>OK</v>
      </c>
    </row>
    <row r="1426" spans="1:18" x14ac:dyDescent="0.3">
      <c r="A1426" s="1">
        <v>45733</v>
      </c>
      <c r="B1426" s="2" t="s">
        <v>2633</v>
      </c>
      <c r="C1426" s="2" t="s">
        <v>2515</v>
      </c>
      <c r="D1426" s="2" t="s">
        <v>2516</v>
      </c>
      <c r="E1426" s="2" t="s">
        <v>2534</v>
      </c>
      <c r="F1426" s="3">
        <v>88209</v>
      </c>
      <c r="G1426" s="3">
        <v>398</v>
      </c>
      <c r="H1426" s="3">
        <v>49</v>
      </c>
      <c r="I1426" s="4">
        <v>539.1</v>
      </c>
      <c r="J1426" s="4">
        <v>8477.5300000000007</v>
      </c>
      <c r="K1426" s="3">
        <v>29</v>
      </c>
      <c r="L1426" s="2" t="s">
        <v>2523</v>
      </c>
      <c r="M1426" s="2" t="s">
        <v>2524</v>
      </c>
      <c r="N1426" s="6">
        <f t="shared" si="88"/>
        <v>1</v>
      </c>
      <c r="O1426" t="str">
        <f>IF(Tabla_control[[#This Row],[Control_duplicados]]&gt;1,"Duplicado","Unico")</f>
        <v>Unico</v>
      </c>
      <c r="P1426" t="str">
        <f t="shared" si="89"/>
        <v>OK</v>
      </c>
      <c r="Q1426" t="str">
        <f t="shared" si="90"/>
        <v>OK</v>
      </c>
      <c r="R1426" t="str">
        <f t="shared" si="91"/>
        <v>OK</v>
      </c>
    </row>
    <row r="1427" spans="1:18" x14ac:dyDescent="0.3">
      <c r="A1427" s="1">
        <v>45932</v>
      </c>
      <c r="B1427" s="2" t="s">
        <v>2626</v>
      </c>
      <c r="C1427" s="2" t="s">
        <v>2527</v>
      </c>
      <c r="D1427" s="2" t="s">
        <v>2528</v>
      </c>
      <c r="E1427" s="2" t="s">
        <v>2534</v>
      </c>
      <c r="F1427" s="3">
        <v>155618</v>
      </c>
      <c r="G1427" s="3">
        <v>11634</v>
      </c>
      <c r="H1427" s="3">
        <v>1171</v>
      </c>
      <c r="I1427" s="4">
        <v>16483.939999999999</v>
      </c>
      <c r="J1427" s="4">
        <v>142358.87</v>
      </c>
      <c r="K1427" s="3">
        <v>668</v>
      </c>
      <c r="L1427" s="2" t="s">
        <v>2536</v>
      </c>
      <c r="M1427" s="2" t="s">
        <v>2546</v>
      </c>
      <c r="N1427" s="6">
        <f t="shared" si="88"/>
        <v>1</v>
      </c>
      <c r="O1427" t="str">
        <f>IF(Tabla_control[[#This Row],[Control_duplicados]]&gt;1,"Duplicado","Unico")</f>
        <v>Unico</v>
      </c>
      <c r="P1427" t="str">
        <f t="shared" si="89"/>
        <v>OK</v>
      </c>
      <c r="Q1427" t="str">
        <f t="shared" si="90"/>
        <v>OK</v>
      </c>
      <c r="R1427" t="str">
        <f t="shared" si="91"/>
        <v>OK</v>
      </c>
    </row>
    <row r="1428" spans="1:18" x14ac:dyDescent="0.3">
      <c r="A1428" s="1">
        <v>45874</v>
      </c>
      <c r="B1428" s="2" t="s">
        <v>2630</v>
      </c>
      <c r="C1428" s="2" t="s">
        <v>2521</v>
      </c>
      <c r="D1428" s="2" t="s">
        <v>2525</v>
      </c>
      <c r="E1428" s="2" t="s">
        <v>2517</v>
      </c>
      <c r="F1428" s="3">
        <v>130763</v>
      </c>
      <c r="G1428" s="3">
        <v>890</v>
      </c>
      <c r="H1428" s="3">
        <v>25</v>
      </c>
      <c r="I1428" s="4">
        <v>694.99</v>
      </c>
      <c r="J1428" s="4">
        <v>745.93</v>
      </c>
      <c r="K1428" s="3">
        <v>14</v>
      </c>
      <c r="L1428" s="2" t="s">
        <v>2536</v>
      </c>
      <c r="M1428" s="2" t="s">
        <v>2524</v>
      </c>
      <c r="N1428" s="6">
        <f t="shared" si="88"/>
        <v>1</v>
      </c>
      <c r="O1428" t="str">
        <f>IF(Tabla_control[[#This Row],[Control_duplicados]]&gt;1,"Duplicado","Unico")</f>
        <v>Unico</v>
      </c>
      <c r="P1428" t="str">
        <f t="shared" si="89"/>
        <v>OK</v>
      </c>
      <c r="Q1428" t="str">
        <f t="shared" si="90"/>
        <v>OK</v>
      </c>
      <c r="R1428" t="str">
        <f t="shared" si="91"/>
        <v>OK</v>
      </c>
    </row>
    <row r="1429" spans="1:18" x14ac:dyDescent="0.3">
      <c r="A1429" s="1">
        <v>45714</v>
      </c>
      <c r="B1429" s="2" t="s">
        <v>2617</v>
      </c>
      <c r="C1429" s="2" t="s">
        <v>2533</v>
      </c>
      <c r="D1429" s="2" t="s">
        <v>2516</v>
      </c>
      <c r="E1429" s="2" t="s">
        <v>2529</v>
      </c>
      <c r="F1429" s="3">
        <v>77734</v>
      </c>
      <c r="G1429" s="3">
        <v>4952</v>
      </c>
      <c r="H1429" s="3">
        <v>31</v>
      </c>
      <c r="I1429" s="4">
        <v>6671.24</v>
      </c>
      <c r="J1429" s="4">
        <v>2890.66</v>
      </c>
      <c r="K1429" s="3">
        <v>19</v>
      </c>
      <c r="L1429" s="2" t="s">
        <v>2536</v>
      </c>
      <c r="M1429" s="2" t="s">
        <v>2524</v>
      </c>
      <c r="N1429" s="6">
        <f t="shared" si="88"/>
        <v>1</v>
      </c>
      <c r="O1429" t="str">
        <f>IF(Tabla_control[[#This Row],[Control_duplicados]]&gt;1,"Duplicado","Unico")</f>
        <v>Unico</v>
      </c>
      <c r="P1429" t="str">
        <f t="shared" si="89"/>
        <v>OK</v>
      </c>
      <c r="Q1429" t="str">
        <f t="shared" si="90"/>
        <v>OK</v>
      </c>
      <c r="R1429" t="str">
        <f t="shared" si="91"/>
        <v>OK</v>
      </c>
    </row>
    <row r="1430" spans="1:18" x14ac:dyDescent="0.3">
      <c r="A1430" s="1">
        <v>45870</v>
      </c>
      <c r="B1430" s="2" t="s">
        <v>2616</v>
      </c>
      <c r="C1430" s="2" t="s">
        <v>2541</v>
      </c>
      <c r="D1430" s="2" t="s">
        <v>2525</v>
      </c>
      <c r="E1430" s="2" t="s">
        <v>2529</v>
      </c>
      <c r="F1430" s="3">
        <v>147578</v>
      </c>
      <c r="G1430" s="3">
        <v>10590</v>
      </c>
      <c r="H1430" s="3">
        <v>573</v>
      </c>
      <c r="I1430" s="4">
        <v>12512.4</v>
      </c>
      <c r="J1430" s="4">
        <v>83779.899999999994</v>
      </c>
      <c r="K1430" s="3">
        <v>411</v>
      </c>
      <c r="L1430" s="2" t="s">
        <v>2539</v>
      </c>
      <c r="M1430" s="2" t="s">
        <v>2519</v>
      </c>
      <c r="N1430" s="6">
        <f t="shared" si="88"/>
        <v>1</v>
      </c>
      <c r="O1430" t="str">
        <f>IF(Tabla_control[[#This Row],[Control_duplicados]]&gt;1,"Duplicado","Unico")</f>
        <v>Unico</v>
      </c>
      <c r="P1430" t="str">
        <f t="shared" si="89"/>
        <v>OK</v>
      </c>
      <c r="Q1430" t="str">
        <f t="shared" si="90"/>
        <v>OK</v>
      </c>
      <c r="R1430" t="str">
        <f t="shared" si="91"/>
        <v>OK</v>
      </c>
    </row>
    <row r="1431" spans="1:18" x14ac:dyDescent="0.3">
      <c r="A1431" s="1">
        <v>45668</v>
      </c>
      <c r="B1431" s="2" t="s">
        <v>2644</v>
      </c>
      <c r="C1431" s="2" t="s">
        <v>2533</v>
      </c>
      <c r="D1431" s="2" t="s">
        <v>2528</v>
      </c>
      <c r="E1431" s="2" t="s">
        <v>2517</v>
      </c>
      <c r="F1431" s="3">
        <v>156532</v>
      </c>
      <c r="G1431" s="3">
        <v>1322</v>
      </c>
      <c r="H1431" s="3">
        <v>161</v>
      </c>
      <c r="I1431" s="4">
        <v>2354.91</v>
      </c>
      <c r="J1431" s="4">
        <v>23218.41</v>
      </c>
      <c r="K1431" s="3">
        <v>122</v>
      </c>
      <c r="L1431" s="2" t="s">
        <v>2518</v>
      </c>
      <c r="M1431" s="2" t="s">
        <v>2537</v>
      </c>
      <c r="N1431" s="6">
        <f t="shared" si="88"/>
        <v>1</v>
      </c>
      <c r="O1431" t="str">
        <f>IF(Tabla_control[[#This Row],[Control_duplicados]]&gt;1,"Duplicado","Unico")</f>
        <v>Unico</v>
      </c>
      <c r="P1431" t="str">
        <f t="shared" si="89"/>
        <v>OK</v>
      </c>
      <c r="Q1431" t="str">
        <f t="shared" si="90"/>
        <v>OK</v>
      </c>
      <c r="R1431" t="str">
        <f t="shared" si="91"/>
        <v>OK</v>
      </c>
    </row>
    <row r="1432" spans="1:18" x14ac:dyDescent="0.3">
      <c r="A1432" s="1">
        <v>45672</v>
      </c>
      <c r="B1432" s="2" t="s">
        <v>2642</v>
      </c>
      <c r="C1432" s="2" t="s">
        <v>2527</v>
      </c>
      <c r="D1432" s="2" t="s">
        <v>2528</v>
      </c>
      <c r="E1432" s="2" t="s">
        <v>2529</v>
      </c>
      <c r="F1432" s="3">
        <v>103037</v>
      </c>
      <c r="G1432" s="3">
        <v>5721</v>
      </c>
      <c r="H1432" s="3">
        <v>686</v>
      </c>
      <c r="I1432" s="4">
        <v>10224.799999999999</v>
      </c>
      <c r="J1432" s="4">
        <v>31502.94</v>
      </c>
      <c r="K1432" s="3">
        <v>428</v>
      </c>
      <c r="L1432" s="2" t="s">
        <v>2518</v>
      </c>
      <c r="M1432" s="2" t="s">
        <v>2526</v>
      </c>
      <c r="N1432" s="6">
        <f t="shared" si="88"/>
        <v>1</v>
      </c>
      <c r="O1432" t="str">
        <f>IF(Tabla_control[[#This Row],[Control_duplicados]]&gt;1,"Duplicado","Unico")</f>
        <v>Unico</v>
      </c>
      <c r="P1432" t="str">
        <f t="shared" si="89"/>
        <v>OK</v>
      </c>
      <c r="Q1432" t="str">
        <f t="shared" si="90"/>
        <v>OK</v>
      </c>
      <c r="R1432" t="str">
        <f t="shared" si="91"/>
        <v>OK</v>
      </c>
    </row>
    <row r="1433" spans="1:18" x14ac:dyDescent="0.3">
      <c r="A1433" s="1">
        <v>45991</v>
      </c>
      <c r="B1433" s="2" t="s">
        <v>2640</v>
      </c>
      <c r="C1433" s="2" t="s">
        <v>2527</v>
      </c>
      <c r="D1433" s="2" t="s">
        <v>2531</v>
      </c>
      <c r="E1433" s="2" t="s">
        <v>2517</v>
      </c>
      <c r="F1433" s="3">
        <v>120105</v>
      </c>
      <c r="G1433" s="3">
        <v>10302</v>
      </c>
      <c r="H1433" s="3">
        <v>299</v>
      </c>
      <c r="I1433" s="4">
        <v>1537.67</v>
      </c>
      <c r="J1433" s="4">
        <v>23534.49</v>
      </c>
      <c r="K1433" s="3">
        <v>228</v>
      </c>
      <c r="L1433" s="2" t="s">
        <v>2539</v>
      </c>
      <c r="M1433" s="2" t="s">
        <v>2546</v>
      </c>
      <c r="N1433" s="6">
        <f t="shared" si="88"/>
        <v>1</v>
      </c>
      <c r="O1433" t="str">
        <f>IF(Tabla_control[[#This Row],[Control_duplicados]]&gt;1,"Duplicado","Unico")</f>
        <v>Unico</v>
      </c>
      <c r="P1433" t="str">
        <f t="shared" si="89"/>
        <v>OK</v>
      </c>
      <c r="Q1433" t="str">
        <f t="shared" si="90"/>
        <v>OK</v>
      </c>
      <c r="R1433" t="str">
        <f t="shared" si="91"/>
        <v>OK</v>
      </c>
    </row>
    <row r="1434" spans="1:18" x14ac:dyDescent="0.3">
      <c r="A1434" s="1">
        <v>45898</v>
      </c>
      <c r="B1434" s="2" t="s">
        <v>2637</v>
      </c>
      <c r="C1434" s="2" t="s">
        <v>2521</v>
      </c>
      <c r="D1434" s="2" t="s">
        <v>2528</v>
      </c>
      <c r="E1434" s="2" t="s">
        <v>2529</v>
      </c>
      <c r="F1434" s="3">
        <v>36498</v>
      </c>
      <c r="G1434" s="3">
        <v>2356</v>
      </c>
      <c r="H1434" s="3">
        <v>299</v>
      </c>
      <c r="I1434" s="4">
        <v>486.73</v>
      </c>
      <c r="J1434" s="4">
        <v>40535.910000000003</v>
      </c>
      <c r="K1434" s="3">
        <v>231</v>
      </c>
      <c r="L1434" s="2" t="s">
        <v>2523</v>
      </c>
      <c r="M1434" s="2" t="s">
        <v>2526</v>
      </c>
      <c r="N1434" s="6">
        <f t="shared" si="88"/>
        <v>1</v>
      </c>
      <c r="O1434" t="str">
        <f>IF(Tabla_control[[#This Row],[Control_duplicados]]&gt;1,"Duplicado","Unico")</f>
        <v>Unico</v>
      </c>
      <c r="P1434" t="str">
        <f t="shared" si="89"/>
        <v>OK</v>
      </c>
      <c r="Q1434" t="str">
        <f t="shared" si="90"/>
        <v>OK</v>
      </c>
      <c r="R1434" t="str">
        <f t="shared" si="91"/>
        <v>OK</v>
      </c>
    </row>
    <row r="1435" spans="1:18" x14ac:dyDescent="0.3">
      <c r="A1435" s="1">
        <v>45845</v>
      </c>
      <c r="B1435" s="2" t="s">
        <v>2641</v>
      </c>
      <c r="C1435" s="2" t="s">
        <v>2543</v>
      </c>
      <c r="D1435" s="2" t="s">
        <v>2645</v>
      </c>
      <c r="E1435" s="2" t="s">
        <v>2529</v>
      </c>
      <c r="F1435" s="3">
        <v>169826</v>
      </c>
      <c r="G1435" s="3">
        <v>12317</v>
      </c>
      <c r="H1435" s="3">
        <v>344</v>
      </c>
      <c r="I1435" s="4">
        <v>16000.14</v>
      </c>
      <c r="J1435" s="4">
        <v>22173.88</v>
      </c>
      <c r="K1435" s="3">
        <v>226</v>
      </c>
      <c r="L1435" s="2" t="s">
        <v>2518</v>
      </c>
      <c r="M1435" s="2" t="s">
        <v>2524</v>
      </c>
      <c r="N1435" s="6">
        <f t="shared" si="88"/>
        <v>1</v>
      </c>
      <c r="O1435" t="str">
        <f>IF(Tabla_control[[#This Row],[Control_duplicados]]&gt;1,"Duplicado","Unico")</f>
        <v>Unico</v>
      </c>
      <c r="P1435" t="str">
        <f t="shared" si="89"/>
        <v>OK</v>
      </c>
      <c r="Q1435" t="str">
        <f t="shared" si="90"/>
        <v>OK</v>
      </c>
      <c r="R1435" t="str">
        <f t="shared" si="91"/>
        <v>OK</v>
      </c>
    </row>
    <row r="1436" spans="1:18" x14ac:dyDescent="0.3">
      <c r="A1436" s="1">
        <v>45723</v>
      </c>
      <c r="B1436" s="2" t="s">
        <v>2640</v>
      </c>
      <c r="C1436" s="2" t="s">
        <v>2541</v>
      </c>
      <c r="D1436" s="2" t="s">
        <v>2531</v>
      </c>
      <c r="E1436" s="2" t="s">
        <v>2517</v>
      </c>
      <c r="F1436" s="3">
        <v>31003</v>
      </c>
      <c r="G1436" s="3">
        <v>553</v>
      </c>
      <c r="H1436" s="3">
        <v>35</v>
      </c>
      <c r="I1436" s="4">
        <v>680.31</v>
      </c>
      <c r="J1436" s="4">
        <v>2094.81</v>
      </c>
      <c r="K1436" s="3">
        <v>22</v>
      </c>
      <c r="L1436" s="2" t="s">
        <v>2539</v>
      </c>
      <c r="M1436" s="2" t="s">
        <v>2546</v>
      </c>
      <c r="N1436" s="6">
        <f t="shared" si="88"/>
        <v>1</v>
      </c>
      <c r="O1436" t="str">
        <f>IF(Tabla_control[[#This Row],[Control_duplicados]]&gt;1,"Duplicado","Unico")</f>
        <v>Unico</v>
      </c>
      <c r="P1436" t="str">
        <f t="shared" si="89"/>
        <v>OK</v>
      </c>
      <c r="Q1436" t="str">
        <f t="shared" si="90"/>
        <v>OK</v>
      </c>
      <c r="R1436" t="str">
        <f t="shared" si="91"/>
        <v>OK</v>
      </c>
    </row>
    <row r="1437" spans="1:18" x14ac:dyDescent="0.3">
      <c r="A1437" s="1">
        <v>45901</v>
      </c>
      <c r="B1437" s="2" t="s">
        <v>2627</v>
      </c>
      <c r="C1437" s="2" t="s">
        <v>2527</v>
      </c>
      <c r="D1437" s="2" t="s">
        <v>2528</v>
      </c>
      <c r="E1437" s="2" t="s">
        <v>2529</v>
      </c>
      <c r="F1437" s="3">
        <v>14291</v>
      </c>
      <c r="G1437" s="3">
        <v>1198</v>
      </c>
      <c r="H1437" s="3">
        <v>152</v>
      </c>
      <c r="I1437" s="4">
        <v>2139.21</v>
      </c>
      <c r="J1437" s="4">
        <v>19147.919999999998</v>
      </c>
      <c r="K1437" s="3">
        <v>96</v>
      </c>
      <c r="L1437" s="2" t="s">
        <v>2518</v>
      </c>
      <c r="M1437" s="2" t="s">
        <v>2526</v>
      </c>
      <c r="N1437" s="6">
        <f t="shared" si="88"/>
        <v>1</v>
      </c>
      <c r="O1437" t="str">
        <f>IF(Tabla_control[[#This Row],[Control_duplicados]]&gt;1,"Duplicado","Unico")</f>
        <v>Unico</v>
      </c>
      <c r="P1437" t="str">
        <f t="shared" si="89"/>
        <v>OK</v>
      </c>
      <c r="Q1437" t="str">
        <f t="shared" si="90"/>
        <v>OK</v>
      </c>
      <c r="R1437" t="str">
        <f t="shared" si="91"/>
        <v>OK</v>
      </c>
    </row>
    <row r="1438" spans="1:18" x14ac:dyDescent="0.3">
      <c r="A1438" s="1">
        <v>45703</v>
      </c>
      <c r="B1438" s="2" t="s">
        <v>2637</v>
      </c>
      <c r="C1438" s="2" t="s">
        <v>2515</v>
      </c>
      <c r="D1438" s="2" t="s">
        <v>2531</v>
      </c>
      <c r="E1438" s="2" t="s">
        <v>2517</v>
      </c>
      <c r="F1438" s="3">
        <v>71668</v>
      </c>
      <c r="G1438" s="3">
        <v>5069</v>
      </c>
      <c r="H1438" s="3">
        <v>594</v>
      </c>
      <c r="I1438" s="4">
        <v>7828.79</v>
      </c>
      <c r="J1438" s="4">
        <v>54460.88</v>
      </c>
      <c r="K1438" s="3">
        <v>309</v>
      </c>
      <c r="L1438" s="2" t="s">
        <v>2518</v>
      </c>
      <c r="M1438" s="2" t="s">
        <v>2526</v>
      </c>
      <c r="N1438" s="6">
        <f t="shared" si="88"/>
        <v>1</v>
      </c>
      <c r="O1438" t="str">
        <f>IF(Tabla_control[[#This Row],[Control_duplicados]]&gt;1,"Duplicado","Unico")</f>
        <v>Unico</v>
      </c>
      <c r="P1438" t="str">
        <f t="shared" si="89"/>
        <v>OK</v>
      </c>
      <c r="Q1438" t="str">
        <f t="shared" si="90"/>
        <v>OK</v>
      </c>
      <c r="R1438" t="str">
        <f t="shared" si="91"/>
        <v>OK</v>
      </c>
    </row>
    <row r="1439" spans="1:18" x14ac:dyDescent="0.3">
      <c r="A1439" s="1">
        <v>45853</v>
      </c>
      <c r="B1439" s="2" t="s">
        <v>2627</v>
      </c>
      <c r="C1439" s="2" t="s">
        <v>2521</v>
      </c>
      <c r="D1439" s="2" t="s">
        <v>2531</v>
      </c>
      <c r="E1439" s="2" t="s">
        <v>2529</v>
      </c>
      <c r="F1439" s="3">
        <v>47262</v>
      </c>
      <c r="G1439" s="3">
        <v>399</v>
      </c>
      <c r="H1439" s="3">
        <v>43</v>
      </c>
      <c r="I1439" s="4">
        <v>123.13</v>
      </c>
      <c r="J1439" s="4">
        <v>3262.63</v>
      </c>
      <c r="K1439" s="3">
        <v>30</v>
      </c>
      <c r="L1439" s="2" t="s">
        <v>2518</v>
      </c>
      <c r="M1439" s="2" t="s">
        <v>2546</v>
      </c>
      <c r="N1439" s="6">
        <f t="shared" si="88"/>
        <v>1</v>
      </c>
      <c r="O1439" t="str">
        <f>IF(Tabla_control[[#This Row],[Control_duplicados]]&gt;1,"Duplicado","Unico")</f>
        <v>Unico</v>
      </c>
      <c r="P1439" t="str">
        <f t="shared" si="89"/>
        <v>OK</v>
      </c>
      <c r="Q1439" t="str">
        <f t="shared" si="90"/>
        <v>OK</v>
      </c>
      <c r="R1439" t="str">
        <f t="shared" si="91"/>
        <v>OK</v>
      </c>
    </row>
    <row r="1440" spans="1:18" x14ac:dyDescent="0.3">
      <c r="A1440" s="1">
        <v>45908</v>
      </c>
      <c r="B1440" s="2" t="s">
        <v>2641</v>
      </c>
      <c r="C1440" s="2" t="s">
        <v>2515</v>
      </c>
      <c r="D1440" s="2" t="s">
        <v>2531</v>
      </c>
      <c r="E1440" s="2" t="s">
        <v>2517</v>
      </c>
      <c r="F1440" s="3">
        <v>103575</v>
      </c>
      <c r="G1440" s="3">
        <v>1136</v>
      </c>
      <c r="H1440" s="3">
        <v>82</v>
      </c>
      <c r="I1440" s="4">
        <v>2365.1999999999998</v>
      </c>
      <c r="J1440" s="4">
        <v>4606.62</v>
      </c>
      <c r="K1440" s="3">
        <v>45</v>
      </c>
      <c r="L1440" s="2" t="s">
        <v>2539</v>
      </c>
      <c r="M1440" s="2" t="s">
        <v>2524</v>
      </c>
      <c r="N1440" s="6">
        <f t="shared" si="88"/>
        <v>1</v>
      </c>
      <c r="O1440" t="str">
        <f>IF(Tabla_control[[#This Row],[Control_duplicados]]&gt;1,"Duplicado","Unico")</f>
        <v>Unico</v>
      </c>
      <c r="P1440" t="str">
        <f t="shared" si="89"/>
        <v>OK</v>
      </c>
      <c r="Q1440" t="str">
        <f t="shared" si="90"/>
        <v>OK</v>
      </c>
      <c r="R1440" t="str">
        <f t="shared" si="91"/>
        <v>OK</v>
      </c>
    </row>
    <row r="1441" spans="1:18" x14ac:dyDescent="0.3">
      <c r="A1441" s="1">
        <v>45871</v>
      </c>
      <c r="B1441" s="2" t="s">
        <v>2623</v>
      </c>
      <c r="C1441" s="2" t="s">
        <v>2521</v>
      </c>
      <c r="D1441" s="2" t="s">
        <v>2531</v>
      </c>
      <c r="E1441" s="2" t="s">
        <v>2529</v>
      </c>
      <c r="F1441" s="3">
        <v>141767</v>
      </c>
      <c r="G1441" s="3">
        <v>6496</v>
      </c>
      <c r="H1441" s="3">
        <v>657</v>
      </c>
      <c r="I1441" s="4">
        <v>1147.97</v>
      </c>
      <c r="J1441" s="4">
        <v>21812.31</v>
      </c>
      <c r="K1441" s="3">
        <v>573</v>
      </c>
      <c r="L1441" s="2" t="s">
        <v>2523</v>
      </c>
      <c r="M1441" s="2" t="s">
        <v>2537</v>
      </c>
      <c r="N1441" s="6">
        <f t="shared" si="88"/>
        <v>1</v>
      </c>
      <c r="O1441" t="str">
        <f>IF(Tabla_control[[#This Row],[Control_duplicados]]&gt;1,"Duplicado","Unico")</f>
        <v>Unico</v>
      </c>
      <c r="P1441" t="str">
        <f t="shared" si="89"/>
        <v>OK</v>
      </c>
      <c r="Q1441" t="str">
        <f t="shared" si="90"/>
        <v>OK</v>
      </c>
      <c r="R1441" t="str">
        <f t="shared" si="91"/>
        <v>OK</v>
      </c>
    </row>
    <row r="1442" spans="1:18" x14ac:dyDescent="0.3">
      <c r="A1442" s="1">
        <v>45775</v>
      </c>
      <c r="B1442" s="2" t="s">
        <v>2636</v>
      </c>
      <c r="C1442" s="2" t="s">
        <v>2541</v>
      </c>
      <c r="D1442" s="2" t="s">
        <v>2522</v>
      </c>
      <c r="E1442" s="2" t="s">
        <v>2517</v>
      </c>
      <c r="F1442" s="3">
        <v>78313</v>
      </c>
      <c r="G1442" s="3">
        <v>1331</v>
      </c>
      <c r="H1442" s="3">
        <v>93</v>
      </c>
      <c r="I1442" s="4">
        <v>1476.85</v>
      </c>
      <c r="J1442" s="4">
        <v>11856.12</v>
      </c>
      <c r="K1442" s="3">
        <v>79</v>
      </c>
      <c r="L1442" s="2" t="s">
        <v>2518</v>
      </c>
      <c r="M1442" s="2" t="s">
        <v>2519</v>
      </c>
      <c r="N1442" s="6">
        <f t="shared" si="88"/>
        <v>1</v>
      </c>
      <c r="O1442" t="str">
        <f>IF(Tabla_control[[#This Row],[Control_duplicados]]&gt;1,"Duplicado","Unico")</f>
        <v>Unico</v>
      </c>
      <c r="P1442" t="str">
        <f t="shared" si="89"/>
        <v>OK</v>
      </c>
      <c r="Q1442" t="str">
        <f t="shared" si="90"/>
        <v>OK</v>
      </c>
      <c r="R1442" t="str">
        <f t="shared" si="91"/>
        <v>OK</v>
      </c>
    </row>
    <row r="1443" spans="1:18" x14ac:dyDescent="0.3">
      <c r="A1443" s="1">
        <v>45695</v>
      </c>
      <c r="B1443" s="2" t="s">
        <v>2641</v>
      </c>
      <c r="C1443" s="2" t="s">
        <v>2521</v>
      </c>
      <c r="D1443" s="2" t="s">
        <v>2528</v>
      </c>
      <c r="E1443" s="2" t="s">
        <v>2529</v>
      </c>
      <c r="F1443" s="3">
        <v>97509</v>
      </c>
      <c r="G1443" s="3">
        <v>1056</v>
      </c>
      <c r="H1443" s="3">
        <v>109</v>
      </c>
      <c r="I1443" s="4">
        <v>197.82</v>
      </c>
      <c r="J1443" s="4">
        <v>6537.22</v>
      </c>
      <c r="K1443" s="3">
        <v>55</v>
      </c>
      <c r="L1443" s="2" t="s">
        <v>2518</v>
      </c>
      <c r="M1443" s="2" t="s">
        <v>2537</v>
      </c>
      <c r="N1443" s="6">
        <f t="shared" si="88"/>
        <v>1</v>
      </c>
      <c r="O1443" t="str">
        <f>IF(Tabla_control[[#This Row],[Control_duplicados]]&gt;1,"Duplicado","Unico")</f>
        <v>Unico</v>
      </c>
      <c r="P1443" t="str">
        <f t="shared" si="89"/>
        <v>OK</v>
      </c>
      <c r="Q1443" t="str">
        <f t="shared" si="90"/>
        <v>OK</v>
      </c>
      <c r="R1443" t="str">
        <f t="shared" si="91"/>
        <v>OK</v>
      </c>
    </row>
    <row r="1444" spans="1:18" x14ac:dyDescent="0.3">
      <c r="A1444" s="1">
        <v>45770</v>
      </c>
      <c r="B1444" s="2" t="s">
        <v>2618</v>
      </c>
      <c r="C1444" s="2" t="s">
        <v>2521</v>
      </c>
      <c r="D1444" s="2" t="s">
        <v>2522</v>
      </c>
      <c r="E1444" s="2" t="s">
        <v>2534</v>
      </c>
      <c r="F1444" s="3">
        <v>43260</v>
      </c>
      <c r="G1444" s="3">
        <v>1015</v>
      </c>
      <c r="H1444" s="3">
        <v>110</v>
      </c>
      <c r="I1444" s="4">
        <v>1803.86</v>
      </c>
      <c r="J1444" s="4">
        <v>7877.76</v>
      </c>
      <c r="K1444" s="3">
        <v>91</v>
      </c>
      <c r="L1444" s="2" t="s">
        <v>2539</v>
      </c>
      <c r="M1444" s="2" t="s">
        <v>2526</v>
      </c>
      <c r="N1444" s="6">
        <f t="shared" si="88"/>
        <v>1</v>
      </c>
      <c r="O1444" t="str">
        <f>IF(Tabla_control[[#This Row],[Control_duplicados]]&gt;1,"Duplicado","Unico")</f>
        <v>Unico</v>
      </c>
      <c r="P1444" t="str">
        <f t="shared" si="89"/>
        <v>OK</v>
      </c>
      <c r="Q1444" t="str">
        <f t="shared" si="90"/>
        <v>OK</v>
      </c>
      <c r="R1444" t="str">
        <f t="shared" si="91"/>
        <v>OK</v>
      </c>
    </row>
    <row r="1445" spans="1:18" x14ac:dyDescent="0.3">
      <c r="A1445" s="1">
        <v>45889</v>
      </c>
      <c r="B1445" s="2" t="s">
        <v>2617</v>
      </c>
      <c r="C1445" s="2" t="s">
        <v>2515</v>
      </c>
      <c r="D1445" s="2" t="s">
        <v>2528</v>
      </c>
      <c r="E1445" s="2" t="s">
        <v>2517</v>
      </c>
      <c r="F1445" s="3">
        <v>105343</v>
      </c>
      <c r="G1445" s="3">
        <v>3588</v>
      </c>
      <c r="H1445" s="3">
        <v>250</v>
      </c>
      <c r="I1445" s="4">
        <v>2248.35</v>
      </c>
      <c r="J1445" s="4">
        <v>10991.46</v>
      </c>
      <c r="K1445" s="3">
        <v>167</v>
      </c>
      <c r="L1445" s="2" t="s">
        <v>2523</v>
      </c>
      <c r="M1445" s="2" t="s">
        <v>2537</v>
      </c>
      <c r="N1445" s="6">
        <f t="shared" si="88"/>
        <v>1</v>
      </c>
      <c r="O1445" t="str">
        <f>IF(Tabla_control[[#This Row],[Control_duplicados]]&gt;1,"Duplicado","Unico")</f>
        <v>Unico</v>
      </c>
      <c r="P1445" t="str">
        <f t="shared" si="89"/>
        <v>OK</v>
      </c>
      <c r="Q1445" t="str">
        <f t="shared" si="90"/>
        <v>OK</v>
      </c>
      <c r="R1445" t="str">
        <f t="shared" si="91"/>
        <v>OK</v>
      </c>
    </row>
    <row r="1446" spans="1:18" x14ac:dyDescent="0.3">
      <c r="A1446" s="1">
        <v>46002</v>
      </c>
      <c r="B1446" s="2" t="s">
        <v>2630</v>
      </c>
      <c r="C1446" s="2" t="s">
        <v>2543</v>
      </c>
      <c r="D1446" s="2" t="s">
        <v>2528</v>
      </c>
      <c r="E1446" s="2" t="s">
        <v>2517</v>
      </c>
      <c r="F1446" s="3">
        <v>59936</v>
      </c>
      <c r="G1446" s="3">
        <v>878</v>
      </c>
      <c r="H1446" s="3">
        <v>5</v>
      </c>
      <c r="I1446" s="4">
        <v>871.58</v>
      </c>
      <c r="J1446" s="4">
        <v>346.49</v>
      </c>
      <c r="K1446" s="3">
        <v>3</v>
      </c>
      <c r="L1446" s="2" t="s">
        <v>2518</v>
      </c>
      <c r="M1446" s="2" t="s">
        <v>2526</v>
      </c>
      <c r="N1446" s="6">
        <f t="shared" si="88"/>
        <v>1</v>
      </c>
      <c r="O1446" t="str">
        <f>IF(Tabla_control[[#This Row],[Control_duplicados]]&gt;1,"Duplicado","Unico")</f>
        <v>Unico</v>
      </c>
      <c r="P1446" t="str">
        <f t="shared" si="89"/>
        <v>OK</v>
      </c>
      <c r="Q1446" t="str">
        <f t="shared" si="90"/>
        <v>OK</v>
      </c>
      <c r="R1446" t="str">
        <f t="shared" si="91"/>
        <v>OK</v>
      </c>
    </row>
    <row r="1447" spans="1:18" x14ac:dyDescent="0.3">
      <c r="A1447" s="1">
        <v>45744</v>
      </c>
      <c r="B1447" s="2" t="s">
        <v>2643</v>
      </c>
      <c r="C1447" s="2" t="s">
        <v>2533</v>
      </c>
      <c r="D1447" s="2" t="s">
        <v>2528</v>
      </c>
      <c r="E1447" s="2" t="s">
        <v>2529</v>
      </c>
      <c r="F1447" s="3">
        <v>14341</v>
      </c>
      <c r="G1447" s="3">
        <v>242</v>
      </c>
      <c r="H1447" s="3">
        <v>32</v>
      </c>
      <c r="I1447" s="4">
        <v>224.46</v>
      </c>
      <c r="J1447" s="4">
        <v>3504.1</v>
      </c>
      <c r="K1447" s="3">
        <v>15</v>
      </c>
      <c r="L1447" s="2" t="s">
        <v>2518</v>
      </c>
      <c r="M1447" s="2" t="s">
        <v>2519</v>
      </c>
      <c r="N1447" s="6">
        <f t="shared" si="88"/>
        <v>1</v>
      </c>
      <c r="O1447" t="str">
        <f>IF(Tabla_control[[#This Row],[Control_duplicados]]&gt;1,"Duplicado","Unico")</f>
        <v>Unico</v>
      </c>
      <c r="P1447" t="str">
        <f t="shared" si="89"/>
        <v>OK</v>
      </c>
      <c r="Q1447" t="str">
        <f t="shared" si="90"/>
        <v>OK</v>
      </c>
      <c r="R1447" t="str">
        <f t="shared" si="91"/>
        <v>OK</v>
      </c>
    </row>
    <row r="1448" spans="1:18" x14ac:dyDescent="0.3">
      <c r="A1448" s="1">
        <v>45868</v>
      </c>
      <c r="B1448" s="2" t="s">
        <v>2616</v>
      </c>
      <c r="C1448" s="2" t="s">
        <v>2541</v>
      </c>
      <c r="D1448" s="2" t="s">
        <v>2528</v>
      </c>
      <c r="E1448" s="2" t="s">
        <v>2517</v>
      </c>
      <c r="F1448" s="3">
        <v>95745</v>
      </c>
      <c r="G1448" s="3">
        <v>5589</v>
      </c>
      <c r="H1448" s="3">
        <v>779</v>
      </c>
      <c r="I1448" s="4">
        <v>10587.37</v>
      </c>
      <c r="J1448" s="4">
        <v>65434.22</v>
      </c>
      <c r="K1448" s="3">
        <v>623</v>
      </c>
      <c r="L1448" s="2" t="s">
        <v>2518</v>
      </c>
      <c r="M1448" s="2" t="s">
        <v>2524</v>
      </c>
      <c r="N1448" s="6">
        <f t="shared" si="88"/>
        <v>1</v>
      </c>
      <c r="O1448" t="str">
        <f>IF(Tabla_control[[#This Row],[Control_duplicados]]&gt;1,"Duplicado","Unico")</f>
        <v>Unico</v>
      </c>
      <c r="P1448" t="str">
        <f t="shared" si="89"/>
        <v>OK</v>
      </c>
      <c r="Q1448" t="str">
        <f t="shared" si="90"/>
        <v>OK</v>
      </c>
      <c r="R1448" t="str">
        <f t="shared" si="91"/>
        <v>OK</v>
      </c>
    </row>
    <row r="1449" spans="1:18" x14ac:dyDescent="0.3">
      <c r="A1449" s="1">
        <v>45834</v>
      </c>
      <c r="B1449" s="2" t="s">
        <v>2635</v>
      </c>
      <c r="C1449" s="2" t="s">
        <v>2543</v>
      </c>
      <c r="D1449" s="2" t="s">
        <v>2528</v>
      </c>
      <c r="E1449" s="2" t="s">
        <v>2517</v>
      </c>
      <c r="F1449" s="3">
        <v>100907</v>
      </c>
      <c r="G1449" s="3">
        <v>6795</v>
      </c>
      <c r="H1449" s="3">
        <v>406</v>
      </c>
      <c r="I1449" s="4">
        <v>7949.67</v>
      </c>
      <c r="J1449" s="4">
        <v>58762.21</v>
      </c>
      <c r="K1449" s="3">
        <v>201</v>
      </c>
      <c r="L1449" s="2" t="s">
        <v>2518</v>
      </c>
      <c r="M1449" s="2" t="s">
        <v>2524</v>
      </c>
      <c r="N1449" s="6">
        <f t="shared" si="88"/>
        <v>1</v>
      </c>
      <c r="O1449" t="str">
        <f>IF(Tabla_control[[#This Row],[Control_duplicados]]&gt;1,"Duplicado","Unico")</f>
        <v>Unico</v>
      </c>
      <c r="P1449" t="str">
        <f t="shared" si="89"/>
        <v>OK</v>
      </c>
      <c r="Q1449" t="str">
        <f t="shared" si="90"/>
        <v>OK</v>
      </c>
      <c r="R1449" t="str">
        <f t="shared" si="91"/>
        <v>OK</v>
      </c>
    </row>
    <row r="1450" spans="1:18" x14ac:dyDescent="0.3">
      <c r="A1450" s="1">
        <v>45754</v>
      </c>
      <c r="B1450" s="2" t="s">
        <v>2619</v>
      </c>
      <c r="C1450" s="2" t="s">
        <v>2527</v>
      </c>
      <c r="D1450" s="2" t="s">
        <v>2525</v>
      </c>
      <c r="E1450" s="2" t="s">
        <v>2517</v>
      </c>
      <c r="F1450" s="3">
        <v>61294</v>
      </c>
      <c r="G1450" s="3">
        <v>3468</v>
      </c>
      <c r="H1450" s="3">
        <v>317</v>
      </c>
      <c r="I1450" s="4">
        <v>1246.53</v>
      </c>
      <c r="J1450" s="4">
        <v>12563.6</v>
      </c>
      <c r="K1450" s="3">
        <v>234</v>
      </c>
      <c r="L1450" s="2" t="s">
        <v>2536</v>
      </c>
      <c r="M1450" s="2" t="s">
        <v>2524</v>
      </c>
      <c r="N1450" s="6">
        <f t="shared" si="88"/>
        <v>1</v>
      </c>
      <c r="O1450" t="str">
        <f>IF(Tabla_control[[#This Row],[Control_duplicados]]&gt;1,"Duplicado","Unico")</f>
        <v>Unico</v>
      </c>
      <c r="P1450" t="str">
        <f t="shared" si="89"/>
        <v>OK</v>
      </c>
      <c r="Q1450" t="str">
        <f t="shared" si="90"/>
        <v>OK</v>
      </c>
      <c r="R1450" t="str">
        <f t="shared" si="91"/>
        <v>OK</v>
      </c>
    </row>
    <row r="1451" spans="1:18" x14ac:dyDescent="0.3">
      <c r="A1451" s="1">
        <v>45898</v>
      </c>
      <c r="B1451" s="2" t="s">
        <v>2617</v>
      </c>
      <c r="C1451" s="2" t="s">
        <v>2533</v>
      </c>
      <c r="D1451" s="2" t="s">
        <v>2528</v>
      </c>
      <c r="E1451" s="2" t="s">
        <v>2529</v>
      </c>
      <c r="F1451" s="3">
        <v>137519</v>
      </c>
      <c r="G1451" s="3">
        <v>2555</v>
      </c>
      <c r="H1451" s="3">
        <v>240</v>
      </c>
      <c r="I1451" s="4">
        <v>1327.45</v>
      </c>
      <c r="J1451" s="4">
        <v>33367.160000000003</v>
      </c>
      <c r="K1451" s="3">
        <v>115</v>
      </c>
      <c r="L1451" s="2" t="s">
        <v>2523</v>
      </c>
      <c r="M1451" s="2" t="s">
        <v>2526</v>
      </c>
      <c r="N1451" s="6">
        <f t="shared" si="88"/>
        <v>1</v>
      </c>
      <c r="O1451" t="str">
        <f>IF(Tabla_control[[#This Row],[Control_duplicados]]&gt;1,"Duplicado","Unico")</f>
        <v>Unico</v>
      </c>
      <c r="P1451" t="str">
        <f t="shared" si="89"/>
        <v>OK</v>
      </c>
      <c r="Q1451" t="str">
        <f t="shared" si="90"/>
        <v>OK</v>
      </c>
      <c r="R1451" t="str">
        <f t="shared" si="91"/>
        <v>OK</v>
      </c>
    </row>
    <row r="1452" spans="1:18" x14ac:dyDescent="0.3">
      <c r="A1452" s="1">
        <v>45719</v>
      </c>
      <c r="B1452" s="2" t="s">
        <v>2626</v>
      </c>
      <c r="C1452" s="2" t="s">
        <v>2533</v>
      </c>
      <c r="D1452" s="2" t="s">
        <v>2525</v>
      </c>
      <c r="E1452" s="2" t="s">
        <v>2517</v>
      </c>
      <c r="F1452" s="3">
        <v>89898</v>
      </c>
      <c r="G1452" s="3">
        <v>4328</v>
      </c>
      <c r="H1452" s="3">
        <v>477</v>
      </c>
      <c r="I1452" s="4">
        <v>4689.42</v>
      </c>
      <c r="J1452" s="4">
        <v>25295.24</v>
      </c>
      <c r="K1452" s="3">
        <v>242</v>
      </c>
      <c r="L1452" s="2" t="s">
        <v>2523</v>
      </c>
      <c r="M1452" s="2" t="s">
        <v>2524</v>
      </c>
      <c r="N1452" s="6">
        <f t="shared" si="88"/>
        <v>1</v>
      </c>
      <c r="O1452" t="str">
        <f>IF(Tabla_control[[#This Row],[Control_duplicados]]&gt;1,"Duplicado","Unico")</f>
        <v>Unico</v>
      </c>
      <c r="P1452" t="str">
        <f t="shared" si="89"/>
        <v>OK</v>
      </c>
      <c r="Q1452" t="str">
        <f t="shared" si="90"/>
        <v>OK</v>
      </c>
      <c r="R1452" t="str">
        <f t="shared" si="91"/>
        <v>OK</v>
      </c>
    </row>
    <row r="1453" spans="1:18" x14ac:dyDescent="0.3">
      <c r="A1453" s="1">
        <v>45717</v>
      </c>
      <c r="B1453" s="2" t="s">
        <v>2626</v>
      </c>
      <c r="C1453" s="2" t="s">
        <v>2533</v>
      </c>
      <c r="D1453" s="2" t="s">
        <v>2525</v>
      </c>
      <c r="E1453" s="2" t="s">
        <v>2517</v>
      </c>
      <c r="F1453" s="3">
        <v>32732</v>
      </c>
      <c r="G1453" s="3">
        <v>2044</v>
      </c>
      <c r="H1453" s="3">
        <v>225</v>
      </c>
      <c r="I1453" s="4">
        <v>1603.67</v>
      </c>
      <c r="J1453" s="4">
        <v>33187.96</v>
      </c>
      <c r="K1453" s="3">
        <v>112</v>
      </c>
      <c r="L1453" s="2" t="s">
        <v>2536</v>
      </c>
      <c r="M1453" s="2" t="s">
        <v>2526</v>
      </c>
      <c r="N1453" s="6">
        <f t="shared" si="88"/>
        <v>1</v>
      </c>
      <c r="O1453" t="str">
        <f>IF(Tabla_control[[#This Row],[Control_duplicados]]&gt;1,"Duplicado","Unico")</f>
        <v>Unico</v>
      </c>
      <c r="P1453" t="str">
        <f t="shared" si="89"/>
        <v>OK</v>
      </c>
      <c r="Q1453" t="str">
        <f t="shared" si="90"/>
        <v>OK</v>
      </c>
      <c r="R1453" t="str">
        <f t="shared" si="91"/>
        <v>OK</v>
      </c>
    </row>
    <row r="1454" spans="1:18" x14ac:dyDescent="0.3">
      <c r="A1454" s="1">
        <v>45799</v>
      </c>
      <c r="B1454" s="2" t="s">
        <v>2623</v>
      </c>
      <c r="C1454" s="2" t="s">
        <v>2543</v>
      </c>
      <c r="D1454" s="2" t="s">
        <v>2525</v>
      </c>
      <c r="E1454" s="2" t="s">
        <v>2534</v>
      </c>
      <c r="F1454" s="3">
        <v>115864</v>
      </c>
      <c r="G1454" s="3">
        <v>4552</v>
      </c>
      <c r="H1454" s="3">
        <v>279</v>
      </c>
      <c r="I1454" s="4">
        <v>4546.0600000000004</v>
      </c>
      <c r="J1454" s="4">
        <v>19995.349999999999</v>
      </c>
      <c r="K1454" s="3">
        <v>199</v>
      </c>
      <c r="L1454" s="2" t="s">
        <v>2518</v>
      </c>
      <c r="M1454" s="2" t="s">
        <v>2519</v>
      </c>
      <c r="N1454" s="6">
        <f t="shared" si="88"/>
        <v>1</v>
      </c>
      <c r="O1454" t="str">
        <f>IF(Tabla_control[[#This Row],[Control_duplicados]]&gt;1,"Duplicado","Unico")</f>
        <v>Unico</v>
      </c>
      <c r="P1454" t="str">
        <f t="shared" si="89"/>
        <v>OK</v>
      </c>
      <c r="Q1454" t="str">
        <f t="shared" si="90"/>
        <v>OK</v>
      </c>
      <c r="R1454" t="str">
        <f t="shared" si="91"/>
        <v>OK</v>
      </c>
    </row>
    <row r="1455" spans="1:18" x14ac:dyDescent="0.3">
      <c r="A1455" s="1">
        <v>45926</v>
      </c>
      <c r="B1455" s="2" t="s">
        <v>2615</v>
      </c>
      <c r="C1455" s="2" t="s">
        <v>2527</v>
      </c>
      <c r="D1455" s="2" t="s">
        <v>2531</v>
      </c>
      <c r="E1455" s="2" t="s">
        <v>2517</v>
      </c>
      <c r="F1455" s="3">
        <v>65814</v>
      </c>
      <c r="G1455" s="3">
        <v>3778</v>
      </c>
      <c r="H1455" s="3">
        <v>521</v>
      </c>
      <c r="I1455" s="4">
        <v>2008.57</v>
      </c>
      <c r="J1455" s="4">
        <v>21391.54</v>
      </c>
      <c r="K1455" s="3">
        <v>310</v>
      </c>
      <c r="L1455" s="2" t="s">
        <v>2523</v>
      </c>
      <c r="M1455" s="2" t="s">
        <v>2546</v>
      </c>
      <c r="N1455" s="6">
        <f t="shared" si="88"/>
        <v>1</v>
      </c>
      <c r="O1455" t="str">
        <f>IF(Tabla_control[[#This Row],[Control_duplicados]]&gt;1,"Duplicado","Unico")</f>
        <v>Unico</v>
      </c>
      <c r="P1455" t="str">
        <f t="shared" si="89"/>
        <v>OK</v>
      </c>
      <c r="Q1455" t="str">
        <f t="shared" si="90"/>
        <v>OK</v>
      </c>
      <c r="R1455" t="str">
        <f t="shared" si="91"/>
        <v>OK</v>
      </c>
    </row>
    <row r="1456" spans="1:18" x14ac:dyDescent="0.3">
      <c r="A1456" s="1">
        <v>46008</v>
      </c>
      <c r="B1456" s="2" t="s">
        <v>2627</v>
      </c>
      <c r="C1456" s="2" t="s">
        <v>2527</v>
      </c>
      <c r="D1456" s="2" t="s">
        <v>2528</v>
      </c>
      <c r="E1456" s="2" t="s">
        <v>2529</v>
      </c>
      <c r="F1456" s="3">
        <v>177117</v>
      </c>
      <c r="G1456" s="3">
        <v>10686</v>
      </c>
      <c r="H1456" s="3">
        <v>912</v>
      </c>
      <c r="I1456" s="4">
        <v>18761.16</v>
      </c>
      <c r="J1456" s="4">
        <v>76201.42</v>
      </c>
      <c r="K1456" s="3">
        <v>531</v>
      </c>
      <c r="L1456" s="2" t="s">
        <v>2518</v>
      </c>
      <c r="M1456" s="2" t="s">
        <v>2537</v>
      </c>
      <c r="N1456" s="6">
        <f t="shared" si="88"/>
        <v>1</v>
      </c>
      <c r="O1456" t="str">
        <f>IF(Tabla_control[[#This Row],[Control_duplicados]]&gt;1,"Duplicado","Unico")</f>
        <v>Unico</v>
      </c>
      <c r="P1456" t="str">
        <f t="shared" si="89"/>
        <v>OK</v>
      </c>
      <c r="Q1456" t="str">
        <f t="shared" si="90"/>
        <v>OK</v>
      </c>
      <c r="R1456" t="str">
        <f t="shared" si="91"/>
        <v>OK</v>
      </c>
    </row>
    <row r="1457" spans="1:18" x14ac:dyDescent="0.3">
      <c r="A1457" s="1">
        <v>45948</v>
      </c>
      <c r="B1457" s="2" t="s">
        <v>2639</v>
      </c>
      <c r="C1457" s="2" t="s">
        <v>2543</v>
      </c>
      <c r="D1457" s="2" t="s">
        <v>2528</v>
      </c>
      <c r="E1457" s="2" t="s">
        <v>2529</v>
      </c>
      <c r="F1457" s="3">
        <v>30956</v>
      </c>
      <c r="G1457" s="3">
        <v>1616</v>
      </c>
      <c r="H1457" s="3">
        <v>112</v>
      </c>
      <c r="I1457" s="4">
        <v>1529.88</v>
      </c>
      <c r="J1457" s="4">
        <v>18220.28</v>
      </c>
      <c r="K1457" s="3">
        <v>71</v>
      </c>
      <c r="L1457" s="2" t="s">
        <v>2523</v>
      </c>
      <c r="M1457" s="2" t="s">
        <v>2519</v>
      </c>
      <c r="N1457" s="6">
        <f t="shared" si="88"/>
        <v>1</v>
      </c>
      <c r="O1457" t="str">
        <f>IF(Tabla_control[[#This Row],[Control_duplicados]]&gt;1,"Duplicado","Unico")</f>
        <v>Unico</v>
      </c>
      <c r="P1457" t="str">
        <f t="shared" si="89"/>
        <v>OK</v>
      </c>
      <c r="Q1457" t="str">
        <f t="shared" si="90"/>
        <v>OK</v>
      </c>
      <c r="R1457" t="str">
        <f t="shared" si="91"/>
        <v>OK</v>
      </c>
    </row>
    <row r="1458" spans="1:18" x14ac:dyDescent="0.3">
      <c r="A1458" s="1">
        <v>45719</v>
      </c>
      <c r="B1458" s="2" t="s">
        <v>2627</v>
      </c>
      <c r="C1458" s="2" t="s">
        <v>2533</v>
      </c>
      <c r="D1458" s="2" t="s">
        <v>2525</v>
      </c>
      <c r="E1458" s="2" t="s">
        <v>2517</v>
      </c>
      <c r="F1458" s="3">
        <v>46440</v>
      </c>
      <c r="G1458" s="3">
        <v>257</v>
      </c>
      <c r="H1458" s="3">
        <v>270</v>
      </c>
      <c r="I1458" s="4">
        <v>209.65</v>
      </c>
      <c r="J1458" s="4">
        <v>1610.07</v>
      </c>
      <c r="K1458" s="3">
        <v>14</v>
      </c>
      <c r="L1458" s="2" t="s">
        <v>2518</v>
      </c>
      <c r="M1458" s="2" t="s">
        <v>2546</v>
      </c>
      <c r="N1458" s="6">
        <f t="shared" si="88"/>
        <v>1</v>
      </c>
      <c r="O1458" t="str">
        <f>IF(Tabla_control[[#This Row],[Control_duplicados]]&gt;1,"Duplicado","Unico")</f>
        <v>Unico</v>
      </c>
      <c r="P1458" t="str">
        <f t="shared" si="89"/>
        <v>OK</v>
      </c>
      <c r="Q1458" t="str">
        <f t="shared" si="90"/>
        <v>OK</v>
      </c>
      <c r="R1458" t="str">
        <f t="shared" si="91"/>
        <v>OK</v>
      </c>
    </row>
    <row r="1459" spans="1:18" x14ac:dyDescent="0.3">
      <c r="A1459" s="1">
        <v>46019</v>
      </c>
      <c r="B1459" s="2" t="s">
        <v>2622</v>
      </c>
      <c r="C1459" s="2" t="s">
        <v>2543</v>
      </c>
      <c r="D1459" s="2" t="s">
        <v>2525</v>
      </c>
      <c r="E1459" s="2" t="s">
        <v>2529</v>
      </c>
      <c r="F1459" s="3">
        <v>65148</v>
      </c>
      <c r="G1459" s="3">
        <v>5478</v>
      </c>
      <c r="H1459" s="3">
        <v>697</v>
      </c>
      <c r="I1459" s="4">
        <v>1304.8399999999999</v>
      </c>
      <c r="J1459" s="4">
        <v>59311</v>
      </c>
      <c r="K1459" s="3">
        <v>598</v>
      </c>
      <c r="L1459" s="2" t="s">
        <v>2518</v>
      </c>
      <c r="M1459" s="2" t="s">
        <v>2524</v>
      </c>
      <c r="N1459" s="6">
        <f t="shared" si="88"/>
        <v>1</v>
      </c>
      <c r="O1459" t="str">
        <f>IF(Tabla_control[[#This Row],[Control_duplicados]]&gt;1,"Duplicado","Unico")</f>
        <v>Unico</v>
      </c>
      <c r="P1459" t="str">
        <f t="shared" si="89"/>
        <v>OK</v>
      </c>
      <c r="Q1459" t="str">
        <f t="shared" si="90"/>
        <v>OK</v>
      </c>
      <c r="R1459" t="str">
        <f t="shared" si="91"/>
        <v>OK</v>
      </c>
    </row>
    <row r="1460" spans="1:18" x14ac:dyDescent="0.3">
      <c r="A1460" s="1">
        <v>45832</v>
      </c>
      <c r="B1460" s="2" t="s">
        <v>2627</v>
      </c>
      <c r="C1460" s="2" t="s">
        <v>2527</v>
      </c>
      <c r="D1460" s="2" t="s">
        <v>2516</v>
      </c>
      <c r="E1460" s="2" t="s">
        <v>2517</v>
      </c>
      <c r="F1460" s="3">
        <v>123366</v>
      </c>
      <c r="G1460" s="3">
        <v>3519</v>
      </c>
      <c r="H1460" s="3">
        <v>124</v>
      </c>
      <c r="I1460" s="4">
        <v>2945.05</v>
      </c>
      <c r="J1460" s="4">
        <v>23793.19</v>
      </c>
      <c r="K1460" s="3">
        <v>55</v>
      </c>
      <c r="L1460" s="2" t="s">
        <v>2536</v>
      </c>
      <c r="M1460" s="2" t="s">
        <v>2546</v>
      </c>
      <c r="N1460" s="6">
        <f t="shared" si="88"/>
        <v>1</v>
      </c>
      <c r="O1460" t="str">
        <f>IF(Tabla_control[[#This Row],[Control_duplicados]]&gt;1,"Duplicado","Unico")</f>
        <v>Unico</v>
      </c>
      <c r="P1460" t="str">
        <f t="shared" si="89"/>
        <v>OK</v>
      </c>
      <c r="Q1460" t="str">
        <f t="shared" si="90"/>
        <v>OK</v>
      </c>
      <c r="R1460" t="str">
        <f t="shared" si="91"/>
        <v>OK</v>
      </c>
    </row>
    <row r="1461" spans="1:18" x14ac:dyDescent="0.3">
      <c r="A1461" s="1">
        <v>45672</v>
      </c>
      <c r="B1461" s="2" t="s">
        <v>2625</v>
      </c>
      <c r="C1461" s="2" t="s">
        <v>2533</v>
      </c>
      <c r="D1461" s="2" t="s">
        <v>2528</v>
      </c>
      <c r="E1461" s="2" t="s">
        <v>2529</v>
      </c>
      <c r="F1461" s="3">
        <v>104439</v>
      </c>
      <c r="G1461" s="3">
        <v>8477</v>
      </c>
      <c r="H1461" s="3">
        <v>689</v>
      </c>
      <c r="I1461" s="4">
        <v>13753.4</v>
      </c>
      <c r="J1461" s="4">
        <v>33004.33</v>
      </c>
      <c r="K1461" s="3">
        <v>491</v>
      </c>
      <c r="L1461" s="2" t="s">
        <v>2523</v>
      </c>
      <c r="M1461" s="2" t="s">
        <v>2537</v>
      </c>
      <c r="N1461" s="6">
        <f t="shared" si="88"/>
        <v>1</v>
      </c>
      <c r="O1461" t="str">
        <f>IF(Tabla_control[[#This Row],[Control_duplicados]]&gt;1,"Duplicado","Unico")</f>
        <v>Unico</v>
      </c>
      <c r="P1461" t="str">
        <f t="shared" si="89"/>
        <v>OK</v>
      </c>
      <c r="Q1461" t="str">
        <f t="shared" si="90"/>
        <v>OK</v>
      </c>
      <c r="R1461" t="str">
        <f t="shared" si="91"/>
        <v>OK</v>
      </c>
    </row>
    <row r="1462" spans="1:18" x14ac:dyDescent="0.3">
      <c r="A1462" s="1">
        <v>45917</v>
      </c>
      <c r="B1462" s="2" t="s">
        <v>2633</v>
      </c>
      <c r="C1462" s="2" t="s">
        <v>2533</v>
      </c>
      <c r="D1462" s="2" t="s">
        <v>2528</v>
      </c>
      <c r="E1462" s="2" t="s">
        <v>2529</v>
      </c>
      <c r="F1462" s="3">
        <v>44892</v>
      </c>
      <c r="G1462" s="3">
        <v>2443</v>
      </c>
      <c r="H1462" s="3">
        <v>301</v>
      </c>
      <c r="I1462" s="4">
        <v>813.09</v>
      </c>
      <c r="J1462" s="4">
        <v>19562.759999999998</v>
      </c>
      <c r="K1462" s="3">
        <v>254</v>
      </c>
      <c r="L1462" s="2" t="s">
        <v>2539</v>
      </c>
      <c r="M1462" s="2" t="s">
        <v>2526</v>
      </c>
      <c r="N1462" s="6">
        <f t="shared" si="88"/>
        <v>1</v>
      </c>
      <c r="O1462" t="str">
        <f>IF(Tabla_control[[#This Row],[Control_duplicados]]&gt;1,"Duplicado","Unico")</f>
        <v>Unico</v>
      </c>
      <c r="P1462" t="str">
        <f t="shared" si="89"/>
        <v>OK</v>
      </c>
      <c r="Q1462" t="str">
        <f t="shared" si="90"/>
        <v>OK</v>
      </c>
      <c r="R1462" t="str">
        <f t="shared" si="91"/>
        <v>OK</v>
      </c>
    </row>
    <row r="1463" spans="1:18" x14ac:dyDescent="0.3">
      <c r="A1463" s="1">
        <v>45958</v>
      </c>
      <c r="B1463" s="2" t="s">
        <v>2618</v>
      </c>
      <c r="C1463" s="2" t="s">
        <v>2533</v>
      </c>
      <c r="D1463" s="2" t="s">
        <v>2531</v>
      </c>
      <c r="E1463" s="2" t="s">
        <v>2529</v>
      </c>
      <c r="F1463" s="3">
        <v>177937</v>
      </c>
      <c r="G1463" s="3">
        <v>3230</v>
      </c>
      <c r="H1463" s="3">
        <v>356</v>
      </c>
      <c r="I1463" s="4">
        <v>1618.3</v>
      </c>
      <c r="J1463" s="4">
        <v>34214.57</v>
      </c>
      <c r="K1463" s="3">
        <v>255</v>
      </c>
      <c r="L1463" s="2" t="s">
        <v>2518</v>
      </c>
      <c r="M1463" s="2" t="s">
        <v>2537</v>
      </c>
      <c r="N1463" s="6">
        <f t="shared" si="88"/>
        <v>1</v>
      </c>
      <c r="O1463" t="str">
        <f>IF(Tabla_control[[#This Row],[Control_duplicados]]&gt;1,"Duplicado","Unico")</f>
        <v>Unico</v>
      </c>
      <c r="P1463" t="str">
        <f t="shared" si="89"/>
        <v>OK</v>
      </c>
      <c r="Q1463" t="str">
        <f t="shared" si="90"/>
        <v>OK</v>
      </c>
      <c r="R1463" t="str">
        <f t="shared" si="91"/>
        <v>OK</v>
      </c>
    </row>
    <row r="1464" spans="1:18" x14ac:dyDescent="0.3">
      <c r="A1464" s="1">
        <v>45957</v>
      </c>
      <c r="B1464" s="2" t="s">
        <v>2644</v>
      </c>
      <c r="C1464" s="2" t="s">
        <v>2533</v>
      </c>
      <c r="D1464" s="2" t="s">
        <v>2528</v>
      </c>
      <c r="E1464" s="2" t="s">
        <v>2517</v>
      </c>
      <c r="F1464" s="3">
        <v>142148</v>
      </c>
      <c r="G1464" s="3">
        <v>2833</v>
      </c>
      <c r="H1464" s="3">
        <v>338</v>
      </c>
      <c r="I1464" s="4">
        <v>2789.32</v>
      </c>
      <c r="J1464" s="4">
        <v>61252.53</v>
      </c>
      <c r="K1464" s="3">
        <v>206</v>
      </c>
      <c r="L1464" s="2" t="s">
        <v>2518</v>
      </c>
      <c r="M1464" s="2" t="s">
        <v>2546</v>
      </c>
      <c r="N1464" s="6">
        <f t="shared" si="88"/>
        <v>1</v>
      </c>
      <c r="O1464" t="str">
        <f>IF(Tabla_control[[#This Row],[Control_duplicados]]&gt;1,"Duplicado","Unico")</f>
        <v>Unico</v>
      </c>
      <c r="P1464" t="str">
        <f t="shared" si="89"/>
        <v>OK</v>
      </c>
      <c r="Q1464" t="str">
        <f t="shared" si="90"/>
        <v>OK</v>
      </c>
      <c r="R1464" t="str">
        <f t="shared" si="91"/>
        <v>OK</v>
      </c>
    </row>
    <row r="1465" spans="1:18" x14ac:dyDescent="0.3">
      <c r="A1465" s="1">
        <v>45956</v>
      </c>
      <c r="B1465" s="2" t="s">
        <v>2627</v>
      </c>
      <c r="C1465" s="2" t="s">
        <v>2541</v>
      </c>
      <c r="D1465" s="2" t="s">
        <v>2516</v>
      </c>
      <c r="E1465" s="2" t="s">
        <v>2517</v>
      </c>
      <c r="F1465" s="3">
        <v>121475</v>
      </c>
      <c r="G1465" s="3">
        <v>1959</v>
      </c>
      <c r="H1465" s="3">
        <v>73</v>
      </c>
      <c r="I1465" s="4">
        <v>3983.78</v>
      </c>
      <c r="J1465" s="4">
        <v>14765.1</v>
      </c>
      <c r="K1465" s="3">
        <v>48</v>
      </c>
      <c r="L1465" s="2" t="s">
        <v>2523</v>
      </c>
      <c r="M1465" s="2" t="s">
        <v>2537</v>
      </c>
      <c r="N1465" s="6">
        <f t="shared" si="88"/>
        <v>1</v>
      </c>
      <c r="O1465" t="str">
        <f>IF(Tabla_control[[#This Row],[Control_duplicados]]&gt;1,"Duplicado","Unico")</f>
        <v>Unico</v>
      </c>
      <c r="P1465" t="str">
        <f t="shared" si="89"/>
        <v>OK</v>
      </c>
      <c r="Q1465" t="str">
        <f t="shared" si="90"/>
        <v>OK</v>
      </c>
      <c r="R1465" t="str">
        <f t="shared" si="91"/>
        <v>OK</v>
      </c>
    </row>
    <row r="1466" spans="1:18" x14ac:dyDescent="0.3">
      <c r="A1466" s="1">
        <v>46019</v>
      </c>
      <c r="B1466" s="2" t="s">
        <v>2623</v>
      </c>
      <c r="C1466" s="2" t="s">
        <v>2533</v>
      </c>
      <c r="D1466" s="2" t="s">
        <v>2528</v>
      </c>
      <c r="E1466" s="2" t="s">
        <v>2529</v>
      </c>
      <c r="F1466" s="3">
        <v>91902</v>
      </c>
      <c r="G1466" s="3">
        <v>5068</v>
      </c>
      <c r="H1466" s="3">
        <v>154</v>
      </c>
      <c r="I1466" s="4">
        <v>4909.76</v>
      </c>
      <c r="J1466" s="4">
        <v>4848.04</v>
      </c>
      <c r="K1466" s="3">
        <v>109</v>
      </c>
      <c r="L1466" s="2" t="s">
        <v>2539</v>
      </c>
      <c r="M1466" s="2" t="s">
        <v>2546</v>
      </c>
      <c r="N1466" s="6">
        <f t="shared" si="88"/>
        <v>1</v>
      </c>
      <c r="O1466" t="str">
        <f>IF(Tabla_control[[#This Row],[Control_duplicados]]&gt;1,"Duplicado","Unico")</f>
        <v>Unico</v>
      </c>
      <c r="P1466" t="str">
        <f t="shared" si="89"/>
        <v>OK</v>
      </c>
      <c r="Q1466" t="str">
        <f t="shared" si="90"/>
        <v>OK</v>
      </c>
      <c r="R1466" t="str">
        <f t="shared" si="91"/>
        <v>OK</v>
      </c>
    </row>
    <row r="1467" spans="1:18" x14ac:dyDescent="0.3">
      <c r="A1467" s="1">
        <v>45734</v>
      </c>
      <c r="B1467" s="2" t="s">
        <v>2630</v>
      </c>
      <c r="C1467" s="2" t="s">
        <v>2527</v>
      </c>
      <c r="D1467" s="2" t="s">
        <v>2516</v>
      </c>
      <c r="E1467" s="2" t="s">
        <v>2517</v>
      </c>
      <c r="F1467" s="3">
        <v>12214</v>
      </c>
      <c r="G1467" s="3">
        <v>515</v>
      </c>
      <c r="H1467" s="3">
        <v>62</v>
      </c>
      <c r="I1467" s="4">
        <v>611.52</v>
      </c>
      <c r="J1467" s="4">
        <v>11637.69</v>
      </c>
      <c r="K1467" s="3">
        <v>49</v>
      </c>
      <c r="L1467" s="2" t="s">
        <v>2539</v>
      </c>
      <c r="M1467" s="2" t="s">
        <v>2524</v>
      </c>
      <c r="N1467" s="6">
        <f t="shared" si="88"/>
        <v>1</v>
      </c>
      <c r="O1467" t="str">
        <f>IF(Tabla_control[[#This Row],[Control_duplicados]]&gt;1,"Duplicado","Unico")</f>
        <v>Unico</v>
      </c>
      <c r="P1467" t="str">
        <f t="shared" si="89"/>
        <v>OK</v>
      </c>
      <c r="Q1467" t="str">
        <f t="shared" si="90"/>
        <v>OK</v>
      </c>
      <c r="R1467" t="str">
        <f t="shared" si="91"/>
        <v>OK</v>
      </c>
    </row>
    <row r="1468" spans="1:18" x14ac:dyDescent="0.3">
      <c r="A1468" s="1">
        <v>45927</v>
      </c>
      <c r="B1468" s="2" t="s">
        <v>2641</v>
      </c>
      <c r="C1468" s="2" t="s">
        <v>2533</v>
      </c>
      <c r="D1468" s="2" t="s">
        <v>2525</v>
      </c>
      <c r="E1468" s="2" t="s">
        <v>2517</v>
      </c>
      <c r="F1468" s="3">
        <v>121233</v>
      </c>
      <c r="G1468" s="3">
        <v>3134</v>
      </c>
      <c r="H1468" s="3">
        <v>289</v>
      </c>
      <c r="I1468" s="4">
        <v>1018.03</v>
      </c>
      <c r="J1468" s="4">
        <v>24867.32</v>
      </c>
      <c r="K1468" s="3">
        <v>190</v>
      </c>
      <c r="L1468" s="2" t="s">
        <v>2539</v>
      </c>
      <c r="M1468" s="2" t="s">
        <v>2537</v>
      </c>
      <c r="N1468" s="6">
        <f t="shared" si="88"/>
        <v>1</v>
      </c>
      <c r="O1468" t="str">
        <f>IF(Tabla_control[[#This Row],[Control_duplicados]]&gt;1,"Duplicado","Unico")</f>
        <v>Unico</v>
      </c>
      <c r="P1468" t="str">
        <f t="shared" si="89"/>
        <v>OK</v>
      </c>
      <c r="Q1468" t="str">
        <f t="shared" si="90"/>
        <v>OK</v>
      </c>
      <c r="R1468" t="str">
        <f t="shared" si="91"/>
        <v>OK</v>
      </c>
    </row>
    <row r="1469" spans="1:18" x14ac:dyDescent="0.3">
      <c r="A1469" s="1">
        <v>46021</v>
      </c>
      <c r="B1469" s="2" t="s">
        <v>2628</v>
      </c>
      <c r="C1469" s="2" t="s">
        <v>2541</v>
      </c>
      <c r="D1469" s="2" t="s">
        <v>2525</v>
      </c>
      <c r="E1469" s="2" t="s">
        <v>2529</v>
      </c>
      <c r="F1469" s="3">
        <v>49658</v>
      </c>
      <c r="G1469" s="3">
        <v>1904</v>
      </c>
      <c r="H1469" s="3">
        <v>70</v>
      </c>
      <c r="I1469" s="4">
        <v>3995.77</v>
      </c>
      <c r="J1469" s="4">
        <v>11925.35</v>
      </c>
      <c r="K1469" s="3">
        <v>62</v>
      </c>
      <c r="L1469" s="2" t="s">
        <v>2523</v>
      </c>
      <c r="M1469" s="2" t="s">
        <v>2546</v>
      </c>
      <c r="N1469" s="6">
        <f t="shared" si="88"/>
        <v>1</v>
      </c>
      <c r="O1469" t="str">
        <f>IF(Tabla_control[[#This Row],[Control_duplicados]]&gt;1,"Duplicado","Unico")</f>
        <v>Unico</v>
      </c>
      <c r="P1469" t="str">
        <f t="shared" si="89"/>
        <v>OK</v>
      </c>
      <c r="Q1469" t="str">
        <f t="shared" si="90"/>
        <v>OK</v>
      </c>
      <c r="R1469" t="str">
        <f t="shared" si="91"/>
        <v>OK</v>
      </c>
    </row>
    <row r="1470" spans="1:18" x14ac:dyDescent="0.3">
      <c r="A1470" s="1">
        <v>45731</v>
      </c>
      <c r="B1470" s="2" t="s">
        <v>2629</v>
      </c>
      <c r="C1470" s="2" t="s">
        <v>2541</v>
      </c>
      <c r="D1470" s="2" t="s">
        <v>2525</v>
      </c>
      <c r="E1470" s="2" t="s">
        <v>2529</v>
      </c>
      <c r="F1470" s="3">
        <v>113579</v>
      </c>
      <c r="G1470" s="3">
        <v>4972</v>
      </c>
      <c r="H1470" s="3">
        <v>613</v>
      </c>
      <c r="I1470" s="4">
        <v>5914.33</v>
      </c>
      <c r="J1470" s="4">
        <v>47603.82</v>
      </c>
      <c r="K1470" s="3">
        <v>355</v>
      </c>
      <c r="L1470" s="2" t="s">
        <v>2523</v>
      </c>
      <c r="M1470" s="2" t="s">
        <v>2537</v>
      </c>
      <c r="N1470" s="6">
        <f t="shared" si="88"/>
        <v>1</v>
      </c>
      <c r="O1470" t="str">
        <f>IF(Tabla_control[[#This Row],[Control_duplicados]]&gt;1,"Duplicado","Unico")</f>
        <v>Unico</v>
      </c>
      <c r="P1470" t="str">
        <f t="shared" si="89"/>
        <v>OK</v>
      </c>
      <c r="Q1470" t="str">
        <f t="shared" si="90"/>
        <v>OK</v>
      </c>
      <c r="R1470" t="str">
        <f t="shared" si="91"/>
        <v>OK</v>
      </c>
    </row>
    <row r="1471" spans="1:18" x14ac:dyDescent="0.3">
      <c r="A1471" s="1">
        <v>45694</v>
      </c>
      <c r="B1471" s="2" t="s">
        <v>2625</v>
      </c>
      <c r="C1471" s="2" t="s">
        <v>2533</v>
      </c>
      <c r="D1471" s="2" t="s">
        <v>2528</v>
      </c>
      <c r="E1471" s="2" t="s">
        <v>2529</v>
      </c>
      <c r="F1471" s="3">
        <v>32411</v>
      </c>
      <c r="G1471" s="3">
        <v>2739</v>
      </c>
      <c r="H1471" s="3">
        <v>319</v>
      </c>
      <c r="I1471" s="4">
        <v>1985.78</v>
      </c>
      <c r="J1471" s="4">
        <v>33572.839999999997</v>
      </c>
      <c r="K1471" s="3">
        <v>159</v>
      </c>
      <c r="L1471" s="2" t="s">
        <v>2539</v>
      </c>
      <c r="M1471" s="2" t="s">
        <v>2526</v>
      </c>
      <c r="N1471" s="6">
        <f t="shared" si="88"/>
        <v>1</v>
      </c>
      <c r="O1471" t="str">
        <f>IF(Tabla_control[[#This Row],[Control_duplicados]]&gt;1,"Duplicado","Unico")</f>
        <v>Unico</v>
      </c>
      <c r="P1471" t="str">
        <f t="shared" si="89"/>
        <v>OK</v>
      </c>
      <c r="Q1471" t="str">
        <f t="shared" si="90"/>
        <v>OK</v>
      </c>
      <c r="R1471" t="str">
        <f t="shared" si="91"/>
        <v>OK</v>
      </c>
    </row>
    <row r="1472" spans="1:18" x14ac:dyDescent="0.3">
      <c r="A1472" s="1">
        <v>45883</v>
      </c>
      <c r="B1472" s="2" t="s">
        <v>2631</v>
      </c>
      <c r="C1472" s="2" t="s">
        <v>2527</v>
      </c>
      <c r="D1472" s="2" t="s">
        <v>2525</v>
      </c>
      <c r="E1472" s="2" t="s">
        <v>2529</v>
      </c>
      <c r="F1472" s="3">
        <v>132260</v>
      </c>
      <c r="G1472" s="3">
        <v>5197</v>
      </c>
      <c r="H1472" s="3">
        <v>318</v>
      </c>
      <c r="I1472" s="4">
        <v>2568.9899999999998</v>
      </c>
      <c r="J1472" s="4">
        <v>10505.95</v>
      </c>
      <c r="K1472" s="3">
        <v>196</v>
      </c>
      <c r="L1472" s="2" t="s">
        <v>2539</v>
      </c>
      <c r="M1472" s="2" t="s">
        <v>2537</v>
      </c>
      <c r="N1472" s="6">
        <f t="shared" si="88"/>
        <v>1</v>
      </c>
      <c r="O1472" t="str">
        <f>IF(Tabla_control[[#This Row],[Control_duplicados]]&gt;1,"Duplicado","Unico")</f>
        <v>Unico</v>
      </c>
      <c r="P1472" t="str">
        <f t="shared" si="89"/>
        <v>OK</v>
      </c>
      <c r="Q1472" t="str">
        <f t="shared" si="90"/>
        <v>OK</v>
      </c>
      <c r="R1472" t="str">
        <f t="shared" si="91"/>
        <v>OK</v>
      </c>
    </row>
    <row r="1473" spans="1:18" x14ac:dyDescent="0.3">
      <c r="A1473" s="1">
        <v>45739</v>
      </c>
      <c r="B1473" s="2" t="s">
        <v>2641</v>
      </c>
      <c r="C1473" s="2" t="s">
        <v>2515</v>
      </c>
      <c r="D1473" s="2" t="s">
        <v>2516</v>
      </c>
      <c r="E1473" s="2" t="s">
        <v>2529</v>
      </c>
      <c r="F1473" s="3">
        <v>162511</v>
      </c>
      <c r="G1473" s="3">
        <v>4762</v>
      </c>
      <c r="H1473" s="3">
        <v>357</v>
      </c>
      <c r="I1473" s="4">
        <v>9509.9</v>
      </c>
      <c r="J1473" s="4">
        <v>76410.14</v>
      </c>
      <c r="K1473" s="3">
        <v>194</v>
      </c>
      <c r="L1473" s="2" t="s">
        <v>2523</v>
      </c>
      <c r="M1473" s="2" t="s">
        <v>2526</v>
      </c>
      <c r="N1473" s="6">
        <f t="shared" si="88"/>
        <v>1</v>
      </c>
      <c r="O1473" t="str">
        <f>IF(Tabla_control[[#This Row],[Control_duplicados]]&gt;1,"Duplicado","Unico")</f>
        <v>Unico</v>
      </c>
      <c r="P1473" t="str">
        <f t="shared" si="89"/>
        <v>OK</v>
      </c>
      <c r="Q1473" t="str">
        <f t="shared" si="90"/>
        <v>OK</v>
      </c>
      <c r="R1473" t="str">
        <f t="shared" si="91"/>
        <v>OK</v>
      </c>
    </row>
    <row r="1474" spans="1:18" x14ac:dyDescent="0.3">
      <c r="A1474" s="1">
        <v>45999</v>
      </c>
      <c r="B1474" s="2" t="s">
        <v>2616</v>
      </c>
      <c r="C1474" s="2" t="s">
        <v>2527</v>
      </c>
      <c r="D1474" s="2" t="s">
        <v>2531</v>
      </c>
      <c r="E1474" s="2" t="s">
        <v>2517</v>
      </c>
      <c r="F1474" s="3">
        <v>121663</v>
      </c>
      <c r="G1474" s="3">
        <v>2711</v>
      </c>
      <c r="H1474" s="3">
        <v>154</v>
      </c>
      <c r="I1474" s="4">
        <v>4025.94</v>
      </c>
      <c r="J1474" s="4">
        <v>32322.080000000002</v>
      </c>
      <c r="K1474" s="3">
        <v>128</v>
      </c>
      <c r="L1474" s="2" t="s">
        <v>2536</v>
      </c>
      <c r="M1474" s="2" t="s">
        <v>2519</v>
      </c>
      <c r="N1474" s="6">
        <f t="shared" ref="N1474:N1537" si="92">COUNTIFS($A$2:$A$2536,A1474,$B$2:$B$2536,B1474,$C$2:$C$2536,C1474,$D$2:$D$2536,D1474,$E$2:$E$2536,E1474,$F$2:$F$2536,F1474,$G$2:$G$2536,G1474,$H$2:$H$2536,H1474,$I$2:$I$2536,I1474,$J$2:$J$2536,J1474,$K$2:$K$2536,K1474,$L$2:$L$2536,L1474,$M$2:$M$2536,M1474)</f>
        <v>1</v>
      </c>
      <c r="O1474" t="str">
        <f>IF(Tabla_control[[#This Row],[Control_duplicados]]&gt;1,"Duplicado","Unico")</f>
        <v>Unico</v>
      </c>
      <c r="P1474" t="str">
        <f t="shared" ref="P1474:P1537" si="93">IF(OR(I1474="",I1474&lt;0),"ERROR","OK")</f>
        <v>OK</v>
      </c>
      <c r="Q1474" t="str">
        <f t="shared" ref="Q1474:Q1537" si="94">IF(H1474&gt;F1474,"ERROR","OK")</f>
        <v>OK</v>
      </c>
      <c r="R1474" t="str">
        <f t="shared" ref="R1474:R1537" si="95">IF(K1474&gt;H1474,"ERROR","OK")</f>
        <v>OK</v>
      </c>
    </row>
    <row r="1475" spans="1:18" x14ac:dyDescent="0.3">
      <c r="A1475" s="1">
        <v>45770</v>
      </c>
      <c r="B1475" s="2" t="s">
        <v>2629</v>
      </c>
      <c r="C1475" s="2" t="s">
        <v>2543</v>
      </c>
      <c r="D1475" s="2" t="s">
        <v>2525</v>
      </c>
      <c r="E1475" s="2" t="s">
        <v>2529</v>
      </c>
      <c r="F1475" s="3">
        <v>129675</v>
      </c>
      <c r="G1475" s="3">
        <v>9097</v>
      </c>
      <c r="H1475" s="3">
        <v>481</v>
      </c>
      <c r="I1475" s="4">
        <v>7556.3</v>
      </c>
      <c r="J1475" s="4">
        <v>89908.26</v>
      </c>
      <c r="K1475" s="3">
        <v>375</v>
      </c>
      <c r="L1475" s="2" t="s">
        <v>2523</v>
      </c>
      <c r="M1475" s="2" t="s">
        <v>2519</v>
      </c>
      <c r="N1475" s="6">
        <f t="shared" si="92"/>
        <v>1</v>
      </c>
      <c r="O1475" t="str">
        <f>IF(Tabla_control[[#This Row],[Control_duplicados]]&gt;1,"Duplicado","Unico")</f>
        <v>Unico</v>
      </c>
      <c r="P1475" t="str">
        <f t="shared" si="93"/>
        <v>OK</v>
      </c>
      <c r="Q1475" t="str">
        <f t="shared" si="94"/>
        <v>OK</v>
      </c>
      <c r="R1475" t="str">
        <f t="shared" si="95"/>
        <v>OK</v>
      </c>
    </row>
    <row r="1476" spans="1:18" x14ac:dyDescent="0.3">
      <c r="A1476" s="1">
        <v>46013</v>
      </c>
      <c r="B1476" s="2" t="s">
        <v>2615</v>
      </c>
      <c r="C1476" s="2" t="s">
        <v>2521</v>
      </c>
      <c r="D1476" s="2" t="s">
        <v>2516</v>
      </c>
      <c r="E1476" s="2" t="s">
        <v>2529</v>
      </c>
      <c r="F1476" s="3">
        <v>172498</v>
      </c>
      <c r="G1476" s="3">
        <v>6969</v>
      </c>
      <c r="H1476" s="3">
        <v>635</v>
      </c>
      <c r="I1476" s="4">
        <v>14570.57</v>
      </c>
      <c r="J1476" s="4">
        <v>86623.86</v>
      </c>
      <c r="K1476" s="3">
        <v>518</v>
      </c>
      <c r="L1476" s="2" t="s">
        <v>2518</v>
      </c>
      <c r="M1476" s="2" t="s">
        <v>2546</v>
      </c>
      <c r="N1476" s="6">
        <f t="shared" si="92"/>
        <v>1</v>
      </c>
      <c r="O1476" t="str">
        <f>IF(Tabla_control[[#This Row],[Control_duplicados]]&gt;1,"Duplicado","Unico")</f>
        <v>Unico</v>
      </c>
      <c r="P1476" t="str">
        <f t="shared" si="93"/>
        <v>OK</v>
      </c>
      <c r="Q1476" t="str">
        <f t="shared" si="94"/>
        <v>OK</v>
      </c>
      <c r="R1476" t="str">
        <f t="shared" si="95"/>
        <v>OK</v>
      </c>
    </row>
    <row r="1477" spans="1:18" x14ac:dyDescent="0.3">
      <c r="A1477" s="1">
        <v>45802</v>
      </c>
      <c r="B1477" s="2" t="s">
        <v>2621</v>
      </c>
      <c r="C1477" s="2" t="s">
        <v>2543</v>
      </c>
      <c r="D1477" s="2" t="s">
        <v>2522</v>
      </c>
      <c r="E1477" s="2" t="s">
        <v>2517</v>
      </c>
      <c r="F1477" s="3">
        <v>77926</v>
      </c>
      <c r="G1477" s="3">
        <v>4121</v>
      </c>
      <c r="H1477" s="3">
        <v>275</v>
      </c>
      <c r="I1477" s="4">
        <v>3793.32</v>
      </c>
      <c r="J1477" s="4">
        <v>44396.71</v>
      </c>
      <c r="K1477" s="3">
        <v>222</v>
      </c>
      <c r="L1477" s="2" t="s">
        <v>2523</v>
      </c>
      <c r="M1477" s="2" t="s">
        <v>2519</v>
      </c>
      <c r="N1477" s="6">
        <f t="shared" si="92"/>
        <v>1</v>
      </c>
      <c r="O1477" t="str">
        <f>IF(Tabla_control[[#This Row],[Control_duplicados]]&gt;1,"Duplicado","Unico")</f>
        <v>Unico</v>
      </c>
      <c r="P1477" t="str">
        <f t="shared" si="93"/>
        <v>OK</v>
      </c>
      <c r="Q1477" t="str">
        <f t="shared" si="94"/>
        <v>OK</v>
      </c>
      <c r="R1477" t="str">
        <f t="shared" si="95"/>
        <v>OK</v>
      </c>
    </row>
    <row r="1478" spans="1:18" x14ac:dyDescent="0.3">
      <c r="A1478" s="1">
        <v>45998</v>
      </c>
      <c r="B1478" s="2" t="s">
        <v>2634</v>
      </c>
      <c r="C1478" s="2" t="s">
        <v>2521</v>
      </c>
      <c r="D1478" s="2" t="s">
        <v>2528</v>
      </c>
      <c r="E1478" s="2" t="s">
        <v>2529</v>
      </c>
      <c r="F1478" s="3">
        <v>140104</v>
      </c>
      <c r="G1478" s="3">
        <v>12034</v>
      </c>
      <c r="H1478" s="3">
        <v>1380</v>
      </c>
      <c r="I1478" s="4">
        <v>3485.22</v>
      </c>
      <c r="J1478" s="4">
        <v>194633.15</v>
      </c>
      <c r="K1478" s="3">
        <v>762</v>
      </c>
      <c r="L1478" s="2" t="s">
        <v>2518</v>
      </c>
      <c r="M1478" s="2" t="s">
        <v>2537</v>
      </c>
      <c r="N1478" s="6">
        <f t="shared" si="92"/>
        <v>1</v>
      </c>
      <c r="O1478" t="str">
        <f>IF(Tabla_control[[#This Row],[Control_duplicados]]&gt;1,"Duplicado","Unico")</f>
        <v>Unico</v>
      </c>
      <c r="P1478" t="str">
        <f t="shared" si="93"/>
        <v>OK</v>
      </c>
      <c r="Q1478" t="str">
        <f t="shared" si="94"/>
        <v>OK</v>
      </c>
      <c r="R1478" t="str">
        <f t="shared" si="95"/>
        <v>OK</v>
      </c>
    </row>
    <row r="1479" spans="1:18" x14ac:dyDescent="0.3">
      <c r="A1479" s="1">
        <v>45827</v>
      </c>
      <c r="B1479" s="2" t="s">
        <v>2621</v>
      </c>
      <c r="C1479" s="2" t="s">
        <v>2515</v>
      </c>
      <c r="D1479" s="2" t="s">
        <v>2531</v>
      </c>
      <c r="E1479" s="2" t="s">
        <v>2529</v>
      </c>
      <c r="F1479" s="3">
        <v>80074</v>
      </c>
      <c r="G1479" s="3">
        <v>1419</v>
      </c>
      <c r="H1479" s="3">
        <v>69</v>
      </c>
      <c r="I1479" s="4">
        <v>1135.52</v>
      </c>
      <c r="J1479" s="4">
        <v>9606.93</v>
      </c>
      <c r="K1479" s="3">
        <v>36</v>
      </c>
      <c r="L1479" s="2" t="s">
        <v>2523</v>
      </c>
      <c r="M1479" s="2" t="s">
        <v>2537</v>
      </c>
      <c r="N1479" s="6">
        <f t="shared" si="92"/>
        <v>1</v>
      </c>
      <c r="O1479" t="str">
        <f>IF(Tabla_control[[#This Row],[Control_duplicados]]&gt;1,"Duplicado","Unico")</f>
        <v>Unico</v>
      </c>
      <c r="P1479" t="str">
        <f t="shared" si="93"/>
        <v>OK</v>
      </c>
      <c r="Q1479" t="str">
        <f t="shared" si="94"/>
        <v>OK</v>
      </c>
      <c r="R1479" t="str">
        <f t="shared" si="95"/>
        <v>OK</v>
      </c>
    </row>
    <row r="1480" spans="1:18" x14ac:dyDescent="0.3">
      <c r="A1480" s="1">
        <v>45901</v>
      </c>
      <c r="B1480" s="2" t="s">
        <v>2639</v>
      </c>
      <c r="C1480" s="2" t="s">
        <v>2527</v>
      </c>
      <c r="D1480" s="2" t="s">
        <v>2528</v>
      </c>
      <c r="E1480" s="2" t="s">
        <v>2529</v>
      </c>
      <c r="F1480" s="3">
        <v>164149</v>
      </c>
      <c r="G1480" s="3">
        <v>1435</v>
      </c>
      <c r="H1480" s="3">
        <v>84</v>
      </c>
      <c r="I1480" s="4">
        <v>2385.5</v>
      </c>
      <c r="J1480" s="4">
        <v>16617.77</v>
      </c>
      <c r="K1480" s="3">
        <v>49</v>
      </c>
      <c r="L1480" s="2" t="s">
        <v>2536</v>
      </c>
      <c r="M1480" s="2" t="s">
        <v>2526</v>
      </c>
      <c r="N1480" s="6">
        <f t="shared" si="92"/>
        <v>1</v>
      </c>
      <c r="O1480" t="str">
        <f>IF(Tabla_control[[#This Row],[Control_duplicados]]&gt;1,"Duplicado","Unico")</f>
        <v>Unico</v>
      </c>
      <c r="P1480" t="str">
        <f t="shared" si="93"/>
        <v>OK</v>
      </c>
      <c r="Q1480" t="str">
        <f t="shared" si="94"/>
        <v>OK</v>
      </c>
      <c r="R1480" t="str">
        <f t="shared" si="95"/>
        <v>OK</v>
      </c>
    </row>
    <row r="1481" spans="1:18" x14ac:dyDescent="0.3">
      <c r="A1481" s="1">
        <v>45854</v>
      </c>
      <c r="B1481" s="2" t="s">
        <v>2644</v>
      </c>
      <c r="C1481" s="2" t="s">
        <v>2541</v>
      </c>
      <c r="D1481" s="2" t="s">
        <v>2528</v>
      </c>
      <c r="E1481" s="2" t="s">
        <v>2529</v>
      </c>
      <c r="F1481" s="3">
        <v>52142</v>
      </c>
      <c r="G1481" s="3">
        <v>2674</v>
      </c>
      <c r="H1481" s="3">
        <v>91</v>
      </c>
      <c r="I1481" s="4">
        <v>3473.56</v>
      </c>
      <c r="J1481" s="4">
        <v>4686.01</v>
      </c>
      <c r="K1481" s="3">
        <v>67</v>
      </c>
      <c r="L1481" s="2" t="s">
        <v>2523</v>
      </c>
      <c r="M1481" s="2" t="s">
        <v>2546</v>
      </c>
      <c r="N1481" s="6">
        <f t="shared" si="92"/>
        <v>1</v>
      </c>
      <c r="O1481" t="str">
        <f>IF(Tabla_control[[#This Row],[Control_duplicados]]&gt;1,"Duplicado","Unico")</f>
        <v>Unico</v>
      </c>
      <c r="P1481" t="str">
        <f t="shared" si="93"/>
        <v>OK</v>
      </c>
      <c r="Q1481" t="str">
        <f t="shared" si="94"/>
        <v>OK</v>
      </c>
      <c r="R1481" t="str">
        <f t="shared" si="95"/>
        <v>OK</v>
      </c>
    </row>
    <row r="1482" spans="1:18" x14ac:dyDescent="0.3">
      <c r="A1482" s="1">
        <v>45683</v>
      </c>
      <c r="B1482" s="2" t="s">
        <v>2616</v>
      </c>
      <c r="C1482" s="2" t="s">
        <v>2541</v>
      </c>
      <c r="D1482" s="2" t="s">
        <v>2525</v>
      </c>
      <c r="E1482" s="2" t="s">
        <v>2517</v>
      </c>
      <c r="F1482" s="3">
        <v>68689</v>
      </c>
      <c r="G1482" s="3">
        <v>5617</v>
      </c>
      <c r="H1482" s="3">
        <v>542</v>
      </c>
      <c r="I1482" s="4">
        <v>9192.32</v>
      </c>
      <c r="J1482" s="4">
        <v>48814.239999999998</v>
      </c>
      <c r="K1482" s="3">
        <v>483</v>
      </c>
      <c r="L1482" s="2" t="s">
        <v>2539</v>
      </c>
      <c r="M1482" s="2" t="s">
        <v>2546</v>
      </c>
      <c r="N1482" s="6">
        <f t="shared" si="92"/>
        <v>1</v>
      </c>
      <c r="O1482" t="str">
        <f>IF(Tabla_control[[#This Row],[Control_duplicados]]&gt;1,"Duplicado","Unico")</f>
        <v>Unico</v>
      </c>
      <c r="P1482" t="str">
        <f t="shared" si="93"/>
        <v>OK</v>
      </c>
      <c r="Q1482" t="str">
        <f t="shared" si="94"/>
        <v>OK</v>
      </c>
      <c r="R1482" t="str">
        <f t="shared" si="95"/>
        <v>OK</v>
      </c>
    </row>
    <row r="1483" spans="1:18" x14ac:dyDescent="0.3">
      <c r="A1483" s="1">
        <v>45746</v>
      </c>
      <c r="B1483" s="2" t="s">
        <v>2627</v>
      </c>
      <c r="C1483" s="2" t="s">
        <v>2543</v>
      </c>
      <c r="D1483" s="2" t="s">
        <v>2522</v>
      </c>
      <c r="E1483" s="2" t="s">
        <v>2534</v>
      </c>
      <c r="F1483" s="3">
        <v>4187</v>
      </c>
      <c r="G1483" s="3">
        <v>172</v>
      </c>
      <c r="H1483" s="3">
        <v>10</v>
      </c>
      <c r="I1483" s="4">
        <v>111.79</v>
      </c>
      <c r="J1483" s="4">
        <v>545.27</v>
      </c>
      <c r="K1483" s="3">
        <v>5</v>
      </c>
      <c r="L1483" s="2" t="s">
        <v>2523</v>
      </c>
      <c r="M1483" s="2" t="s">
        <v>2526</v>
      </c>
      <c r="N1483" s="6">
        <f t="shared" si="92"/>
        <v>1</v>
      </c>
      <c r="O1483" t="str">
        <f>IF(Tabla_control[[#This Row],[Control_duplicados]]&gt;1,"Duplicado","Unico")</f>
        <v>Unico</v>
      </c>
      <c r="P1483" t="str">
        <f t="shared" si="93"/>
        <v>OK</v>
      </c>
      <c r="Q1483" t="str">
        <f t="shared" si="94"/>
        <v>OK</v>
      </c>
      <c r="R1483" t="str">
        <f t="shared" si="95"/>
        <v>OK</v>
      </c>
    </row>
    <row r="1484" spans="1:18" x14ac:dyDescent="0.3">
      <c r="A1484" s="1">
        <v>46005</v>
      </c>
      <c r="B1484" s="2" t="s">
        <v>2618</v>
      </c>
      <c r="C1484" s="2" t="s">
        <v>2527</v>
      </c>
      <c r="D1484" s="2" t="s">
        <v>2516</v>
      </c>
      <c r="E1484" s="2" t="s">
        <v>2517</v>
      </c>
      <c r="F1484" s="3">
        <v>115538</v>
      </c>
      <c r="G1484" s="3">
        <v>7868</v>
      </c>
      <c r="H1484" s="3">
        <v>401</v>
      </c>
      <c r="I1484" s="4">
        <v>10789.71</v>
      </c>
      <c r="J1484" s="4">
        <v>17948.68</v>
      </c>
      <c r="K1484" s="3">
        <v>234</v>
      </c>
      <c r="L1484" s="2" t="s">
        <v>2539</v>
      </c>
      <c r="M1484" s="2" t="s">
        <v>2546</v>
      </c>
      <c r="N1484" s="6">
        <f t="shared" si="92"/>
        <v>1</v>
      </c>
      <c r="O1484" t="str">
        <f>IF(Tabla_control[[#This Row],[Control_duplicados]]&gt;1,"Duplicado","Unico")</f>
        <v>Unico</v>
      </c>
      <c r="P1484" t="str">
        <f t="shared" si="93"/>
        <v>OK</v>
      </c>
      <c r="Q1484" t="str">
        <f t="shared" si="94"/>
        <v>OK</v>
      </c>
      <c r="R1484" t="str">
        <f t="shared" si="95"/>
        <v>OK</v>
      </c>
    </row>
    <row r="1485" spans="1:18" x14ac:dyDescent="0.3">
      <c r="A1485" s="1">
        <v>45668</v>
      </c>
      <c r="B1485" s="2" t="s">
        <v>2628</v>
      </c>
      <c r="C1485" s="2" t="s">
        <v>2533</v>
      </c>
      <c r="D1485" s="2" t="s">
        <v>2528</v>
      </c>
      <c r="E1485" s="2" t="s">
        <v>2529</v>
      </c>
      <c r="F1485" s="3">
        <v>67479</v>
      </c>
      <c r="G1485" s="3">
        <v>1847</v>
      </c>
      <c r="H1485" s="3">
        <v>151</v>
      </c>
      <c r="I1485" s="4">
        <v>1818.24</v>
      </c>
      <c r="J1485" s="4">
        <v>7795.88</v>
      </c>
      <c r="K1485" s="3">
        <v>91</v>
      </c>
      <c r="L1485" s="2" t="s">
        <v>2518</v>
      </c>
      <c r="M1485" s="2" t="s">
        <v>2546</v>
      </c>
      <c r="N1485" s="6">
        <f t="shared" si="92"/>
        <v>1</v>
      </c>
      <c r="O1485" t="str">
        <f>IF(Tabla_control[[#This Row],[Control_duplicados]]&gt;1,"Duplicado","Unico")</f>
        <v>Unico</v>
      </c>
      <c r="P1485" t="str">
        <f t="shared" si="93"/>
        <v>OK</v>
      </c>
      <c r="Q1485" t="str">
        <f t="shared" si="94"/>
        <v>OK</v>
      </c>
      <c r="R1485" t="str">
        <f t="shared" si="95"/>
        <v>OK</v>
      </c>
    </row>
    <row r="1486" spans="1:18" x14ac:dyDescent="0.3">
      <c r="A1486" s="1">
        <v>45975</v>
      </c>
      <c r="B1486" s="2" t="s">
        <v>2617</v>
      </c>
      <c r="C1486" s="2" t="s">
        <v>2543</v>
      </c>
      <c r="D1486" s="2" t="s">
        <v>2525</v>
      </c>
      <c r="E1486" s="2" t="s">
        <v>2517</v>
      </c>
      <c r="F1486" s="3">
        <v>47396</v>
      </c>
      <c r="G1486" s="3">
        <v>1954</v>
      </c>
      <c r="H1486" s="3">
        <v>199</v>
      </c>
      <c r="I1486" s="4">
        <v>2025.71</v>
      </c>
      <c r="J1486" s="4">
        <v>23777.75</v>
      </c>
      <c r="K1486" s="3">
        <v>147</v>
      </c>
      <c r="L1486" s="2" t="s">
        <v>2539</v>
      </c>
      <c r="M1486" s="2" t="s">
        <v>2524</v>
      </c>
      <c r="N1486" s="6">
        <f t="shared" si="92"/>
        <v>1</v>
      </c>
      <c r="O1486" t="str">
        <f>IF(Tabla_control[[#This Row],[Control_duplicados]]&gt;1,"Duplicado","Unico")</f>
        <v>Unico</v>
      </c>
      <c r="P1486" t="str">
        <f t="shared" si="93"/>
        <v>OK</v>
      </c>
      <c r="Q1486" t="str">
        <f t="shared" si="94"/>
        <v>OK</v>
      </c>
      <c r="R1486" t="str">
        <f t="shared" si="95"/>
        <v>OK</v>
      </c>
    </row>
    <row r="1487" spans="1:18" x14ac:dyDescent="0.3">
      <c r="A1487" s="1">
        <v>45965</v>
      </c>
      <c r="B1487" s="2" t="s">
        <v>2640</v>
      </c>
      <c r="C1487" s="2" t="s">
        <v>2541</v>
      </c>
      <c r="D1487" s="2" t="s">
        <v>2522</v>
      </c>
      <c r="E1487" s="2" t="s">
        <v>2517</v>
      </c>
      <c r="F1487" s="3">
        <v>104829</v>
      </c>
      <c r="G1487" s="3">
        <v>2094</v>
      </c>
      <c r="H1487" s="3">
        <v>256</v>
      </c>
      <c r="I1487" s="4">
        <v>1131.48</v>
      </c>
      <c r="J1487" s="4">
        <v>37276.69</v>
      </c>
      <c r="K1487" s="3">
        <v>188</v>
      </c>
      <c r="L1487" s="2" t="s">
        <v>2523</v>
      </c>
      <c r="M1487" s="2" t="s">
        <v>2519</v>
      </c>
      <c r="N1487" s="6">
        <f t="shared" si="92"/>
        <v>1</v>
      </c>
      <c r="O1487" t="str">
        <f>IF(Tabla_control[[#This Row],[Control_duplicados]]&gt;1,"Duplicado","Unico")</f>
        <v>Unico</v>
      </c>
      <c r="P1487" t="str">
        <f t="shared" si="93"/>
        <v>OK</v>
      </c>
      <c r="Q1487" t="str">
        <f t="shared" si="94"/>
        <v>OK</v>
      </c>
      <c r="R1487" t="str">
        <f t="shared" si="95"/>
        <v>OK</v>
      </c>
    </row>
    <row r="1488" spans="1:18" x14ac:dyDescent="0.3">
      <c r="A1488" s="1">
        <v>45928</v>
      </c>
      <c r="B1488" s="2" t="s">
        <v>2617</v>
      </c>
      <c r="C1488" s="2" t="s">
        <v>2533</v>
      </c>
      <c r="D1488" s="2" t="s">
        <v>2528</v>
      </c>
      <c r="E1488" s="2" t="s">
        <v>2529</v>
      </c>
      <c r="F1488" s="3">
        <v>168175</v>
      </c>
      <c r="G1488" s="3">
        <v>8443</v>
      </c>
      <c r="H1488" s="3">
        <v>736</v>
      </c>
      <c r="I1488" s="4">
        <v>16195.15</v>
      </c>
      <c r="J1488" s="4">
        <v>44539.13</v>
      </c>
      <c r="K1488" s="3">
        <v>425</v>
      </c>
      <c r="L1488" s="2" t="s">
        <v>2536</v>
      </c>
      <c r="M1488" s="2" t="s">
        <v>2537</v>
      </c>
      <c r="N1488" s="6">
        <f t="shared" si="92"/>
        <v>1</v>
      </c>
      <c r="O1488" t="str">
        <f>IF(Tabla_control[[#This Row],[Control_duplicados]]&gt;1,"Duplicado","Unico")</f>
        <v>Unico</v>
      </c>
      <c r="P1488" t="str">
        <f t="shared" si="93"/>
        <v>OK</v>
      </c>
      <c r="Q1488" t="str">
        <f t="shared" si="94"/>
        <v>OK</v>
      </c>
      <c r="R1488" t="str">
        <f t="shared" si="95"/>
        <v>OK</v>
      </c>
    </row>
    <row r="1489" spans="1:18" x14ac:dyDescent="0.3">
      <c r="A1489" s="1">
        <v>45997</v>
      </c>
      <c r="B1489" s="2" t="s">
        <v>2637</v>
      </c>
      <c r="C1489" s="2" t="s">
        <v>2515</v>
      </c>
      <c r="D1489" s="2" t="s">
        <v>2525</v>
      </c>
      <c r="E1489" s="2" t="s">
        <v>2529</v>
      </c>
      <c r="F1489" s="3">
        <v>95465</v>
      </c>
      <c r="G1489" s="3">
        <v>2894</v>
      </c>
      <c r="H1489" s="3">
        <v>191</v>
      </c>
      <c r="I1489" s="4">
        <v>5175.6099999999997</v>
      </c>
      <c r="J1489" s="4">
        <v>23261</v>
      </c>
      <c r="K1489" s="3">
        <v>121</v>
      </c>
      <c r="L1489" s="2" t="s">
        <v>2518</v>
      </c>
      <c r="M1489" s="2" t="s">
        <v>2519</v>
      </c>
      <c r="N1489" s="6">
        <f t="shared" si="92"/>
        <v>1</v>
      </c>
      <c r="O1489" t="str">
        <f>IF(Tabla_control[[#This Row],[Control_duplicados]]&gt;1,"Duplicado","Unico")</f>
        <v>Unico</v>
      </c>
      <c r="P1489" t="str">
        <f t="shared" si="93"/>
        <v>OK</v>
      </c>
      <c r="Q1489" t="str">
        <f t="shared" si="94"/>
        <v>OK</v>
      </c>
      <c r="R1489" t="str">
        <f t="shared" si="95"/>
        <v>OK</v>
      </c>
    </row>
    <row r="1490" spans="1:18" x14ac:dyDescent="0.3">
      <c r="A1490" s="1">
        <v>45889</v>
      </c>
      <c r="B1490" s="2" t="s">
        <v>2630</v>
      </c>
      <c r="C1490" s="2" t="s">
        <v>2521</v>
      </c>
      <c r="D1490" s="2" t="s">
        <v>2528</v>
      </c>
      <c r="E1490" s="2" t="s">
        <v>2517</v>
      </c>
      <c r="F1490" s="3">
        <v>145636</v>
      </c>
      <c r="G1490" s="3">
        <v>1712</v>
      </c>
      <c r="H1490" s="3">
        <v>72</v>
      </c>
      <c r="I1490" s="4">
        <v>1111.6600000000001</v>
      </c>
      <c r="J1490" s="4">
        <v>4309.42</v>
      </c>
      <c r="K1490" s="3">
        <v>57</v>
      </c>
      <c r="L1490" s="2" t="s">
        <v>2518</v>
      </c>
      <c r="M1490" s="2" t="s">
        <v>2524</v>
      </c>
      <c r="N1490" s="6">
        <f t="shared" si="92"/>
        <v>1</v>
      </c>
      <c r="O1490" t="str">
        <f>IF(Tabla_control[[#This Row],[Control_duplicados]]&gt;1,"Duplicado","Unico")</f>
        <v>Unico</v>
      </c>
      <c r="P1490" t="str">
        <f t="shared" si="93"/>
        <v>OK</v>
      </c>
      <c r="Q1490" t="str">
        <f t="shared" si="94"/>
        <v>OK</v>
      </c>
      <c r="R1490" t="str">
        <f t="shared" si="95"/>
        <v>OK</v>
      </c>
    </row>
    <row r="1491" spans="1:18" x14ac:dyDescent="0.3">
      <c r="A1491" s="1">
        <v>45941</v>
      </c>
      <c r="B1491" s="2" t="s">
        <v>2615</v>
      </c>
      <c r="C1491" s="2" t="s">
        <v>2541</v>
      </c>
      <c r="D1491" s="2" t="s">
        <v>2531</v>
      </c>
      <c r="E1491" s="2" t="s">
        <v>2529</v>
      </c>
      <c r="F1491" s="3">
        <v>148076</v>
      </c>
      <c r="G1491" s="3">
        <v>12039</v>
      </c>
      <c r="H1491" s="3">
        <v>363</v>
      </c>
      <c r="I1491" s="4">
        <v>11346.86</v>
      </c>
      <c r="J1491" s="4">
        <v>13567.09</v>
      </c>
      <c r="K1491" s="3">
        <v>287</v>
      </c>
      <c r="L1491" s="2" t="s">
        <v>2539</v>
      </c>
      <c r="M1491" s="2" t="s">
        <v>2524</v>
      </c>
      <c r="N1491" s="6">
        <f t="shared" si="92"/>
        <v>1</v>
      </c>
      <c r="O1491" t="str">
        <f>IF(Tabla_control[[#This Row],[Control_duplicados]]&gt;1,"Duplicado","Unico")</f>
        <v>Unico</v>
      </c>
      <c r="P1491" t="str">
        <f t="shared" si="93"/>
        <v>OK</v>
      </c>
      <c r="Q1491" t="str">
        <f t="shared" si="94"/>
        <v>OK</v>
      </c>
      <c r="R1491" t="str">
        <f t="shared" si="95"/>
        <v>OK</v>
      </c>
    </row>
    <row r="1492" spans="1:18" x14ac:dyDescent="0.3">
      <c r="A1492" s="1">
        <v>45818</v>
      </c>
      <c r="B1492" s="2" t="s">
        <v>2637</v>
      </c>
      <c r="C1492" s="2" t="s">
        <v>2521</v>
      </c>
      <c r="D1492" s="2" t="s">
        <v>2531</v>
      </c>
      <c r="E1492" s="2" t="s">
        <v>2529</v>
      </c>
      <c r="F1492" s="3">
        <v>71097</v>
      </c>
      <c r="G1492" s="3">
        <v>2060</v>
      </c>
      <c r="H1492" s="3">
        <v>233</v>
      </c>
      <c r="I1492" s="4">
        <v>1399.39</v>
      </c>
      <c r="J1492" s="4">
        <v>50583.79</v>
      </c>
      <c r="K1492" s="3">
        <v>191</v>
      </c>
      <c r="L1492" s="2" t="s">
        <v>2536</v>
      </c>
      <c r="M1492" s="2" t="s">
        <v>2524</v>
      </c>
      <c r="N1492" s="6">
        <f t="shared" si="92"/>
        <v>1</v>
      </c>
      <c r="O1492" t="str">
        <f>IF(Tabla_control[[#This Row],[Control_duplicados]]&gt;1,"Duplicado","Unico")</f>
        <v>Unico</v>
      </c>
      <c r="P1492" t="str">
        <f t="shared" si="93"/>
        <v>OK</v>
      </c>
      <c r="Q1492" t="str">
        <f t="shared" si="94"/>
        <v>OK</v>
      </c>
      <c r="R1492" t="str">
        <f t="shared" si="95"/>
        <v>OK</v>
      </c>
    </row>
    <row r="1493" spans="1:18" x14ac:dyDescent="0.3">
      <c r="A1493" s="1">
        <v>45937</v>
      </c>
      <c r="B1493" s="2" t="s">
        <v>2638</v>
      </c>
      <c r="C1493" s="2" t="s">
        <v>2515</v>
      </c>
      <c r="D1493" s="2" t="s">
        <v>2522</v>
      </c>
      <c r="E1493" s="2" t="s">
        <v>2517</v>
      </c>
      <c r="F1493" s="3">
        <v>46108</v>
      </c>
      <c r="G1493" s="3">
        <v>453</v>
      </c>
      <c r="H1493" s="3">
        <v>49</v>
      </c>
      <c r="I1493" s="4">
        <v>384.76</v>
      </c>
      <c r="J1493" s="4">
        <v>10165.56</v>
      </c>
      <c r="K1493" s="3">
        <v>38</v>
      </c>
      <c r="L1493" s="2" t="s">
        <v>2536</v>
      </c>
      <c r="M1493" s="2" t="s">
        <v>2519</v>
      </c>
      <c r="N1493" s="6">
        <f t="shared" si="92"/>
        <v>1</v>
      </c>
      <c r="O1493" t="str">
        <f>IF(Tabla_control[[#This Row],[Control_duplicados]]&gt;1,"Duplicado","Unico")</f>
        <v>Unico</v>
      </c>
      <c r="P1493" t="str">
        <f t="shared" si="93"/>
        <v>OK</v>
      </c>
      <c r="Q1493" t="str">
        <f t="shared" si="94"/>
        <v>OK</v>
      </c>
      <c r="R1493" t="str">
        <f t="shared" si="95"/>
        <v>OK</v>
      </c>
    </row>
    <row r="1494" spans="1:18" x14ac:dyDescent="0.3">
      <c r="A1494" s="1">
        <v>45874</v>
      </c>
      <c r="B1494" s="2" t="s">
        <v>2631</v>
      </c>
      <c r="C1494" s="2" t="s">
        <v>2543</v>
      </c>
      <c r="D1494" s="2" t="s">
        <v>2528</v>
      </c>
      <c r="E1494" s="2" t="s">
        <v>2529</v>
      </c>
      <c r="F1494" s="3">
        <v>78759</v>
      </c>
      <c r="G1494" s="3">
        <v>3641</v>
      </c>
      <c r="H1494" s="3">
        <v>360</v>
      </c>
      <c r="I1494" s="4">
        <v>988.59</v>
      </c>
      <c r="J1494" s="4">
        <v>30605.48</v>
      </c>
      <c r="K1494" s="3">
        <v>215</v>
      </c>
      <c r="L1494" s="2" t="s">
        <v>2536</v>
      </c>
      <c r="M1494" s="2" t="s">
        <v>2526</v>
      </c>
      <c r="N1494" s="6">
        <f t="shared" si="92"/>
        <v>1</v>
      </c>
      <c r="O1494" t="str">
        <f>IF(Tabla_control[[#This Row],[Control_duplicados]]&gt;1,"Duplicado","Unico")</f>
        <v>Unico</v>
      </c>
      <c r="P1494" t="str">
        <f t="shared" si="93"/>
        <v>OK</v>
      </c>
      <c r="Q1494" t="str">
        <f t="shared" si="94"/>
        <v>OK</v>
      </c>
      <c r="R1494" t="str">
        <f t="shared" si="95"/>
        <v>OK</v>
      </c>
    </row>
    <row r="1495" spans="1:18" x14ac:dyDescent="0.3">
      <c r="A1495" s="1">
        <v>45881</v>
      </c>
      <c r="B1495" s="2" t="s">
        <v>2620</v>
      </c>
      <c r="C1495" s="2" t="s">
        <v>2543</v>
      </c>
      <c r="D1495" s="2" t="s">
        <v>2531</v>
      </c>
      <c r="E1495" s="2" t="s">
        <v>2517</v>
      </c>
      <c r="F1495" s="3">
        <v>38667</v>
      </c>
      <c r="G1495" s="3">
        <v>1438</v>
      </c>
      <c r="H1495" s="3">
        <v>183</v>
      </c>
      <c r="I1495" s="4">
        <v>2653.82</v>
      </c>
      <c r="J1495" s="4">
        <v>26139.439999999999</v>
      </c>
      <c r="K1495" s="3">
        <v>146</v>
      </c>
      <c r="L1495" s="2" t="s">
        <v>2523</v>
      </c>
      <c r="M1495" s="2" t="s">
        <v>2519</v>
      </c>
      <c r="N1495" s="6">
        <f t="shared" si="92"/>
        <v>1</v>
      </c>
      <c r="O1495" t="str">
        <f>IF(Tabla_control[[#This Row],[Control_duplicados]]&gt;1,"Duplicado","Unico")</f>
        <v>Unico</v>
      </c>
      <c r="P1495" t="str">
        <f t="shared" si="93"/>
        <v>OK</v>
      </c>
      <c r="Q1495" t="str">
        <f t="shared" si="94"/>
        <v>OK</v>
      </c>
      <c r="R1495" t="str">
        <f t="shared" si="95"/>
        <v>OK</v>
      </c>
    </row>
    <row r="1496" spans="1:18" x14ac:dyDescent="0.3">
      <c r="A1496" s="1">
        <v>45753</v>
      </c>
      <c r="B1496" s="2" t="s">
        <v>2619</v>
      </c>
      <c r="C1496" s="2" t="s">
        <v>2541</v>
      </c>
      <c r="D1496" s="2" t="s">
        <v>2516</v>
      </c>
      <c r="E1496" s="2" t="s">
        <v>2529</v>
      </c>
      <c r="F1496" s="3">
        <v>4736</v>
      </c>
      <c r="G1496" s="3">
        <v>89</v>
      </c>
      <c r="H1496" s="3">
        <v>2</v>
      </c>
      <c r="I1496" s="4">
        <v>65.27</v>
      </c>
      <c r="J1496" s="4">
        <v>312.08999999999997</v>
      </c>
      <c r="K1496" s="3">
        <v>1</v>
      </c>
      <c r="L1496" s="2" t="s">
        <v>2539</v>
      </c>
      <c r="M1496" s="2" t="s">
        <v>2537</v>
      </c>
      <c r="N1496" s="6">
        <f t="shared" si="92"/>
        <v>2</v>
      </c>
      <c r="O1496" t="str">
        <f>IF(Tabla_control[[#This Row],[Control_duplicados]]&gt;1,"Duplicado","Unico")</f>
        <v>Duplicado</v>
      </c>
      <c r="P1496" t="str">
        <f t="shared" si="93"/>
        <v>OK</v>
      </c>
      <c r="Q1496" t="str">
        <f t="shared" si="94"/>
        <v>OK</v>
      </c>
      <c r="R1496" t="str">
        <f t="shared" si="95"/>
        <v>OK</v>
      </c>
    </row>
    <row r="1497" spans="1:18" x14ac:dyDescent="0.3">
      <c r="A1497" s="1">
        <v>45969</v>
      </c>
      <c r="B1497" s="2" t="s">
        <v>2622</v>
      </c>
      <c r="C1497" s="2" t="s">
        <v>2521</v>
      </c>
      <c r="D1497" s="2" t="s">
        <v>2528</v>
      </c>
      <c r="E1497" s="2" t="s">
        <v>2529</v>
      </c>
      <c r="F1497" s="3">
        <v>133873</v>
      </c>
      <c r="G1497" s="3">
        <v>5754</v>
      </c>
      <c r="H1497" s="3">
        <v>227</v>
      </c>
      <c r="I1497" s="4">
        <v>9041.98</v>
      </c>
      <c r="J1497" s="4">
        <v>25729.51</v>
      </c>
      <c r="K1497" s="3">
        <v>187</v>
      </c>
      <c r="L1497" s="2" t="s">
        <v>2523</v>
      </c>
      <c r="M1497" s="2" t="s">
        <v>2524</v>
      </c>
      <c r="N1497" s="6">
        <f t="shared" si="92"/>
        <v>1</v>
      </c>
      <c r="O1497" t="str">
        <f>IF(Tabla_control[[#This Row],[Control_duplicados]]&gt;1,"Duplicado","Unico")</f>
        <v>Unico</v>
      </c>
      <c r="P1497" t="str">
        <f t="shared" si="93"/>
        <v>OK</v>
      </c>
      <c r="Q1497" t="str">
        <f t="shared" si="94"/>
        <v>OK</v>
      </c>
      <c r="R1497" t="str">
        <f t="shared" si="95"/>
        <v>OK</v>
      </c>
    </row>
    <row r="1498" spans="1:18" x14ac:dyDescent="0.3">
      <c r="A1498" s="1">
        <v>46020</v>
      </c>
      <c r="B1498" s="2" t="s">
        <v>2639</v>
      </c>
      <c r="C1498" s="2" t="s">
        <v>2521</v>
      </c>
      <c r="D1498" s="2" t="s">
        <v>2528</v>
      </c>
      <c r="E1498" s="2" t="s">
        <v>2517</v>
      </c>
      <c r="F1498" s="3">
        <v>84498</v>
      </c>
      <c r="G1498" s="3">
        <v>2915</v>
      </c>
      <c r="H1498" s="3">
        <v>71</v>
      </c>
      <c r="I1498" s="4">
        <v>5566.83</v>
      </c>
      <c r="J1498" s="4">
        <v>5839.43</v>
      </c>
      <c r="K1498" s="3">
        <v>39</v>
      </c>
      <c r="L1498" s="2" t="s">
        <v>2518</v>
      </c>
      <c r="M1498" s="2" t="s">
        <v>2546</v>
      </c>
      <c r="N1498" s="6">
        <f t="shared" si="92"/>
        <v>1</v>
      </c>
      <c r="O1498" t="str">
        <f>IF(Tabla_control[[#This Row],[Control_duplicados]]&gt;1,"Duplicado","Unico")</f>
        <v>Unico</v>
      </c>
      <c r="P1498" t="str">
        <f t="shared" si="93"/>
        <v>OK</v>
      </c>
      <c r="Q1498" t="str">
        <f t="shared" si="94"/>
        <v>OK</v>
      </c>
      <c r="R1498" t="str">
        <f t="shared" si="95"/>
        <v>OK</v>
      </c>
    </row>
    <row r="1499" spans="1:18" x14ac:dyDescent="0.3">
      <c r="A1499" s="1">
        <v>45699</v>
      </c>
      <c r="B1499" s="2" t="s">
        <v>2621</v>
      </c>
      <c r="C1499" s="2" t="s">
        <v>2543</v>
      </c>
      <c r="D1499" s="2" t="s">
        <v>2528</v>
      </c>
      <c r="E1499" s="2" t="s">
        <v>2529</v>
      </c>
      <c r="F1499" s="3">
        <v>98763</v>
      </c>
      <c r="G1499" s="3">
        <v>1996</v>
      </c>
      <c r="H1499" s="3">
        <v>119</v>
      </c>
      <c r="I1499" s="4">
        <v>415.01</v>
      </c>
      <c r="J1499" s="4">
        <v>24438.47</v>
      </c>
      <c r="K1499" s="3">
        <v>54</v>
      </c>
      <c r="L1499" s="2" t="s">
        <v>2523</v>
      </c>
      <c r="M1499" s="2" t="s">
        <v>2537</v>
      </c>
      <c r="N1499" s="6">
        <f t="shared" si="92"/>
        <v>1</v>
      </c>
      <c r="O1499" t="str">
        <f>IF(Tabla_control[[#This Row],[Control_duplicados]]&gt;1,"Duplicado","Unico")</f>
        <v>Unico</v>
      </c>
      <c r="P1499" t="str">
        <f t="shared" si="93"/>
        <v>OK</v>
      </c>
      <c r="Q1499" t="str">
        <f t="shared" si="94"/>
        <v>OK</v>
      </c>
      <c r="R1499" t="str">
        <f t="shared" si="95"/>
        <v>OK</v>
      </c>
    </row>
    <row r="1500" spans="1:18" x14ac:dyDescent="0.3">
      <c r="A1500" s="1">
        <v>45885</v>
      </c>
      <c r="B1500" s="2" t="s">
        <v>2637</v>
      </c>
      <c r="C1500" s="2" t="s">
        <v>2521</v>
      </c>
      <c r="D1500" s="2" t="s">
        <v>2528</v>
      </c>
      <c r="E1500" s="2" t="s">
        <v>2529</v>
      </c>
      <c r="F1500" s="3">
        <v>172006</v>
      </c>
      <c r="G1500" s="3">
        <v>7724</v>
      </c>
      <c r="H1500" s="3">
        <v>972</v>
      </c>
      <c r="I1500" s="4">
        <v>9945.25</v>
      </c>
      <c r="J1500" s="4">
        <v>158576.32000000001</v>
      </c>
      <c r="K1500" s="3">
        <v>629</v>
      </c>
      <c r="L1500" s="2" t="s">
        <v>2523</v>
      </c>
      <c r="M1500" s="2" t="s">
        <v>2537</v>
      </c>
      <c r="N1500" s="6">
        <f t="shared" si="92"/>
        <v>1</v>
      </c>
      <c r="O1500" t="str">
        <f>IF(Tabla_control[[#This Row],[Control_duplicados]]&gt;1,"Duplicado","Unico")</f>
        <v>Unico</v>
      </c>
      <c r="P1500" t="str">
        <f t="shared" si="93"/>
        <v>OK</v>
      </c>
      <c r="Q1500" t="str">
        <f t="shared" si="94"/>
        <v>OK</v>
      </c>
      <c r="R1500" t="str">
        <f t="shared" si="95"/>
        <v>OK</v>
      </c>
    </row>
    <row r="1501" spans="1:18" x14ac:dyDescent="0.3">
      <c r="A1501" s="1">
        <v>45952</v>
      </c>
      <c r="B1501" s="2" t="s">
        <v>2628</v>
      </c>
      <c r="C1501" s="2" t="s">
        <v>2541</v>
      </c>
      <c r="D1501" s="2" t="s">
        <v>2525</v>
      </c>
      <c r="E1501" s="2" t="s">
        <v>2529</v>
      </c>
      <c r="F1501" s="3">
        <v>91874</v>
      </c>
      <c r="G1501" s="3">
        <v>6704</v>
      </c>
      <c r="H1501" s="3">
        <v>118</v>
      </c>
      <c r="I1501" s="4">
        <v>1700.48</v>
      </c>
      <c r="J1501" s="4">
        <v>15971.23</v>
      </c>
      <c r="K1501" s="3">
        <v>104</v>
      </c>
      <c r="L1501" s="2" t="s">
        <v>2539</v>
      </c>
      <c r="M1501" s="2" t="s">
        <v>2524</v>
      </c>
      <c r="N1501" s="6">
        <f t="shared" si="92"/>
        <v>1</v>
      </c>
      <c r="O1501" t="str">
        <f>IF(Tabla_control[[#This Row],[Control_duplicados]]&gt;1,"Duplicado","Unico")</f>
        <v>Unico</v>
      </c>
      <c r="P1501" t="str">
        <f t="shared" si="93"/>
        <v>OK</v>
      </c>
      <c r="Q1501" t="str">
        <f t="shared" si="94"/>
        <v>OK</v>
      </c>
      <c r="R1501" t="str">
        <f t="shared" si="95"/>
        <v>OK</v>
      </c>
    </row>
    <row r="1502" spans="1:18" x14ac:dyDescent="0.3">
      <c r="A1502" s="1">
        <v>45689</v>
      </c>
      <c r="B1502" s="2" t="s">
        <v>2641</v>
      </c>
      <c r="C1502" s="2" t="s">
        <v>2521</v>
      </c>
      <c r="D1502" s="2" t="s">
        <v>2516</v>
      </c>
      <c r="E1502" s="2" t="s">
        <v>2529</v>
      </c>
      <c r="F1502" s="3">
        <v>45273</v>
      </c>
      <c r="G1502" s="3">
        <v>3937</v>
      </c>
      <c r="H1502" s="3">
        <v>350</v>
      </c>
      <c r="I1502" s="4">
        <v>1985.81</v>
      </c>
      <c r="J1502" s="4">
        <v>44887.839999999997</v>
      </c>
      <c r="K1502" s="3">
        <v>263</v>
      </c>
      <c r="L1502" s="2" t="s">
        <v>2539</v>
      </c>
      <c r="M1502" s="2" t="s">
        <v>2537</v>
      </c>
      <c r="N1502" s="6">
        <f t="shared" si="92"/>
        <v>1</v>
      </c>
      <c r="O1502" t="str">
        <f>IF(Tabla_control[[#This Row],[Control_duplicados]]&gt;1,"Duplicado","Unico")</f>
        <v>Unico</v>
      </c>
      <c r="P1502" t="str">
        <f t="shared" si="93"/>
        <v>OK</v>
      </c>
      <c r="Q1502" t="str">
        <f t="shared" si="94"/>
        <v>OK</v>
      </c>
      <c r="R1502" t="str">
        <f t="shared" si="95"/>
        <v>OK</v>
      </c>
    </row>
    <row r="1503" spans="1:18" x14ac:dyDescent="0.3">
      <c r="A1503" s="1">
        <v>45698</v>
      </c>
      <c r="B1503" s="2" t="s">
        <v>2636</v>
      </c>
      <c r="C1503" s="2" t="s">
        <v>2527</v>
      </c>
      <c r="D1503" s="2" t="s">
        <v>2528</v>
      </c>
      <c r="E1503" s="2" t="s">
        <v>2517</v>
      </c>
      <c r="F1503" s="3">
        <v>158231</v>
      </c>
      <c r="G1503" s="3">
        <v>1738</v>
      </c>
      <c r="H1503" s="3">
        <v>26</v>
      </c>
      <c r="I1503" s="4">
        <v>2529.31</v>
      </c>
      <c r="J1503" s="4">
        <v>5349.07</v>
      </c>
      <c r="K1503" s="3">
        <v>12</v>
      </c>
      <c r="L1503" s="2" t="s">
        <v>2539</v>
      </c>
      <c r="M1503" s="2" t="s">
        <v>2546</v>
      </c>
      <c r="N1503" s="6">
        <f t="shared" si="92"/>
        <v>1</v>
      </c>
      <c r="O1503" t="str">
        <f>IF(Tabla_control[[#This Row],[Control_duplicados]]&gt;1,"Duplicado","Unico")</f>
        <v>Unico</v>
      </c>
      <c r="P1503" t="str">
        <f t="shared" si="93"/>
        <v>OK</v>
      </c>
      <c r="Q1503" t="str">
        <f t="shared" si="94"/>
        <v>OK</v>
      </c>
      <c r="R1503" t="str">
        <f t="shared" si="95"/>
        <v>OK</v>
      </c>
    </row>
    <row r="1504" spans="1:18" x14ac:dyDescent="0.3">
      <c r="A1504" s="1">
        <v>45943</v>
      </c>
      <c r="B1504" s="2" t="s">
        <v>2617</v>
      </c>
      <c r="C1504" s="2" t="s">
        <v>2543</v>
      </c>
      <c r="D1504" s="2" t="s">
        <v>2525</v>
      </c>
      <c r="E1504" s="2" t="s">
        <v>2529</v>
      </c>
      <c r="F1504" s="3">
        <v>145476</v>
      </c>
      <c r="G1504" s="3">
        <v>7420</v>
      </c>
      <c r="H1504" s="3">
        <v>101</v>
      </c>
      <c r="I1504" s="4">
        <v>5015.18</v>
      </c>
      <c r="J1504" s="4">
        <v>7222.67</v>
      </c>
      <c r="K1504" s="3">
        <v>58</v>
      </c>
      <c r="L1504" s="2" t="s">
        <v>2539</v>
      </c>
      <c r="M1504" s="2" t="s">
        <v>2546</v>
      </c>
      <c r="N1504" s="6">
        <f t="shared" si="92"/>
        <v>1</v>
      </c>
      <c r="O1504" t="str">
        <f>IF(Tabla_control[[#This Row],[Control_duplicados]]&gt;1,"Duplicado","Unico")</f>
        <v>Unico</v>
      </c>
      <c r="P1504" t="str">
        <f t="shared" si="93"/>
        <v>OK</v>
      </c>
      <c r="Q1504" t="str">
        <f t="shared" si="94"/>
        <v>OK</v>
      </c>
      <c r="R1504" t="str">
        <f t="shared" si="95"/>
        <v>OK</v>
      </c>
    </row>
    <row r="1505" spans="1:18" x14ac:dyDescent="0.3">
      <c r="A1505" s="1">
        <v>45659</v>
      </c>
      <c r="B1505" s="2" t="s">
        <v>2633</v>
      </c>
      <c r="C1505" s="2" t="s">
        <v>2521</v>
      </c>
      <c r="D1505" s="2" t="s">
        <v>2531</v>
      </c>
      <c r="E1505" s="2" t="s">
        <v>2534</v>
      </c>
      <c r="F1505" s="3">
        <v>177271</v>
      </c>
      <c r="G1505" s="3">
        <v>1610</v>
      </c>
      <c r="H1505" s="3">
        <v>113</v>
      </c>
      <c r="I1505" s="4">
        <v>303.5</v>
      </c>
      <c r="J1505" s="4">
        <v>17854.919999999998</v>
      </c>
      <c r="K1505" s="3">
        <v>67</v>
      </c>
      <c r="L1505" s="2" t="s">
        <v>2518</v>
      </c>
      <c r="M1505" s="2" t="s">
        <v>2519</v>
      </c>
      <c r="N1505" s="6">
        <f t="shared" si="92"/>
        <v>1</v>
      </c>
      <c r="O1505" t="str">
        <f>IF(Tabla_control[[#This Row],[Control_duplicados]]&gt;1,"Duplicado","Unico")</f>
        <v>Unico</v>
      </c>
      <c r="P1505" t="str">
        <f t="shared" si="93"/>
        <v>OK</v>
      </c>
      <c r="Q1505" t="str">
        <f t="shared" si="94"/>
        <v>OK</v>
      </c>
      <c r="R1505" t="str">
        <f t="shared" si="95"/>
        <v>OK</v>
      </c>
    </row>
    <row r="1506" spans="1:18" x14ac:dyDescent="0.3">
      <c r="A1506" s="1">
        <v>45997</v>
      </c>
      <c r="B1506" s="2" t="s">
        <v>2643</v>
      </c>
      <c r="C1506" s="2" t="s">
        <v>2515</v>
      </c>
      <c r="D1506" s="2" t="s">
        <v>2528</v>
      </c>
      <c r="E1506" s="2" t="s">
        <v>2529</v>
      </c>
      <c r="F1506" s="3">
        <v>157010</v>
      </c>
      <c r="G1506" s="3">
        <v>12792</v>
      </c>
      <c r="H1506" s="3">
        <v>1357</v>
      </c>
      <c r="I1506" s="4">
        <v>6607.34</v>
      </c>
      <c r="J1506" s="4">
        <v>60926.28</v>
      </c>
      <c r="K1506" s="3">
        <v>641</v>
      </c>
      <c r="L1506" s="2" t="s">
        <v>2523</v>
      </c>
      <c r="M1506" s="2" t="s">
        <v>2546</v>
      </c>
      <c r="N1506" s="6">
        <f t="shared" si="92"/>
        <v>1</v>
      </c>
      <c r="O1506" t="str">
        <f>IF(Tabla_control[[#This Row],[Control_duplicados]]&gt;1,"Duplicado","Unico")</f>
        <v>Unico</v>
      </c>
      <c r="P1506" t="str">
        <f t="shared" si="93"/>
        <v>OK</v>
      </c>
      <c r="Q1506" t="str">
        <f t="shared" si="94"/>
        <v>OK</v>
      </c>
      <c r="R1506" t="str">
        <f t="shared" si="95"/>
        <v>OK</v>
      </c>
    </row>
    <row r="1507" spans="1:18" x14ac:dyDescent="0.3">
      <c r="A1507" s="1">
        <v>46002</v>
      </c>
      <c r="B1507" s="2" t="s">
        <v>2620</v>
      </c>
      <c r="C1507" s="2" t="s">
        <v>2521</v>
      </c>
      <c r="D1507" s="2" t="s">
        <v>2531</v>
      </c>
      <c r="E1507" s="2" t="s">
        <v>2517</v>
      </c>
      <c r="F1507" s="3">
        <v>47879</v>
      </c>
      <c r="G1507" s="3">
        <v>523</v>
      </c>
      <c r="H1507" s="3">
        <v>20</v>
      </c>
      <c r="I1507" s="4">
        <v>559.54</v>
      </c>
      <c r="J1507" s="4">
        <v>3437</v>
      </c>
      <c r="K1507" s="3">
        <v>11</v>
      </c>
      <c r="L1507" s="2" t="s">
        <v>2539</v>
      </c>
      <c r="M1507" s="2" t="s">
        <v>2546</v>
      </c>
      <c r="N1507" s="6">
        <f t="shared" si="92"/>
        <v>1</v>
      </c>
      <c r="O1507" t="str">
        <f>IF(Tabla_control[[#This Row],[Control_duplicados]]&gt;1,"Duplicado","Unico")</f>
        <v>Unico</v>
      </c>
      <c r="P1507" t="str">
        <f t="shared" si="93"/>
        <v>OK</v>
      </c>
      <c r="Q1507" t="str">
        <f t="shared" si="94"/>
        <v>OK</v>
      </c>
      <c r="R1507" t="str">
        <f t="shared" si="95"/>
        <v>OK</v>
      </c>
    </row>
    <row r="1508" spans="1:18" x14ac:dyDescent="0.3">
      <c r="A1508" s="1">
        <v>45765</v>
      </c>
      <c r="B1508" s="2" t="s">
        <v>2640</v>
      </c>
      <c r="C1508" s="2" t="s">
        <v>2527</v>
      </c>
      <c r="D1508" s="2" t="s">
        <v>2516</v>
      </c>
      <c r="E1508" s="2" t="s">
        <v>2529</v>
      </c>
      <c r="F1508" s="3">
        <v>72088</v>
      </c>
      <c r="G1508" s="3">
        <v>1935</v>
      </c>
      <c r="H1508" s="3">
        <v>23</v>
      </c>
      <c r="I1508" s="4">
        <v>3622.5</v>
      </c>
      <c r="J1508" s="4">
        <v>2753.12</v>
      </c>
      <c r="K1508" s="3">
        <v>19</v>
      </c>
      <c r="L1508" s="2" t="s">
        <v>2536</v>
      </c>
      <c r="M1508" s="2" t="s">
        <v>2537</v>
      </c>
      <c r="N1508" s="6">
        <f t="shared" si="92"/>
        <v>1</v>
      </c>
      <c r="O1508" t="str">
        <f>IF(Tabla_control[[#This Row],[Control_duplicados]]&gt;1,"Duplicado","Unico")</f>
        <v>Unico</v>
      </c>
      <c r="P1508" t="str">
        <f t="shared" si="93"/>
        <v>OK</v>
      </c>
      <c r="Q1508" t="str">
        <f t="shared" si="94"/>
        <v>OK</v>
      </c>
      <c r="R1508" t="str">
        <f t="shared" si="95"/>
        <v>OK</v>
      </c>
    </row>
    <row r="1509" spans="1:18" x14ac:dyDescent="0.3">
      <c r="A1509" s="1">
        <v>45698</v>
      </c>
      <c r="B1509" s="2" t="s">
        <v>2630</v>
      </c>
      <c r="C1509" s="2" t="s">
        <v>2521</v>
      </c>
      <c r="D1509" s="2" t="s">
        <v>2531</v>
      </c>
      <c r="E1509" s="2" t="s">
        <v>2517</v>
      </c>
      <c r="F1509" s="3">
        <v>78862</v>
      </c>
      <c r="G1509" s="3">
        <v>6396</v>
      </c>
      <c r="H1509" s="3">
        <v>471</v>
      </c>
      <c r="I1509" s="4">
        <v>8180.75</v>
      </c>
      <c r="J1509" s="4">
        <v>64875.29</v>
      </c>
      <c r="K1509" s="3">
        <v>374</v>
      </c>
      <c r="L1509" s="2" t="s">
        <v>2518</v>
      </c>
      <c r="M1509" s="2" t="s">
        <v>2526</v>
      </c>
      <c r="N1509" s="6">
        <f t="shared" si="92"/>
        <v>1</v>
      </c>
      <c r="O1509" t="str">
        <f>IF(Tabla_control[[#This Row],[Control_duplicados]]&gt;1,"Duplicado","Unico")</f>
        <v>Unico</v>
      </c>
      <c r="P1509" t="str">
        <f t="shared" si="93"/>
        <v>OK</v>
      </c>
      <c r="Q1509" t="str">
        <f t="shared" si="94"/>
        <v>OK</v>
      </c>
      <c r="R1509" t="str">
        <f t="shared" si="95"/>
        <v>OK</v>
      </c>
    </row>
    <row r="1510" spans="1:18" x14ac:dyDescent="0.3">
      <c r="A1510" s="1">
        <v>45767</v>
      </c>
      <c r="B1510" s="2" t="s">
        <v>2637</v>
      </c>
      <c r="C1510" s="2" t="s">
        <v>2543</v>
      </c>
      <c r="D1510" s="2" t="s">
        <v>2516</v>
      </c>
      <c r="E1510" s="2" t="s">
        <v>2529</v>
      </c>
      <c r="F1510" s="3">
        <v>1807</v>
      </c>
      <c r="G1510" s="3">
        <v>38</v>
      </c>
      <c r="H1510" s="3">
        <v>0</v>
      </c>
      <c r="I1510" s="4">
        <v>36.81</v>
      </c>
      <c r="J1510" s="4">
        <v>0</v>
      </c>
      <c r="K1510" s="3">
        <v>0</v>
      </c>
      <c r="L1510" s="2" t="s">
        <v>2539</v>
      </c>
      <c r="M1510" s="2" t="s">
        <v>2537</v>
      </c>
      <c r="N1510" s="6">
        <f t="shared" si="92"/>
        <v>1</v>
      </c>
      <c r="O1510" t="str">
        <f>IF(Tabla_control[[#This Row],[Control_duplicados]]&gt;1,"Duplicado","Unico")</f>
        <v>Unico</v>
      </c>
      <c r="P1510" t="str">
        <f t="shared" si="93"/>
        <v>OK</v>
      </c>
      <c r="Q1510" t="str">
        <f t="shared" si="94"/>
        <v>OK</v>
      </c>
      <c r="R1510" t="str">
        <f t="shared" si="95"/>
        <v>OK</v>
      </c>
    </row>
    <row r="1511" spans="1:18" x14ac:dyDescent="0.3">
      <c r="A1511" s="1">
        <v>45854</v>
      </c>
      <c r="B1511" s="2" t="s">
        <v>2618</v>
      </c>
      <c r="C1511" s="2" t="s">
        <v>2541</v>
      </c>
      <c r="D1511" s="2" t="s">
        <v>2528</v>
      </c>
      <c r="E1511" s="2" t="s">
        <v>2529</v>
      </c>
      <c r="F1511" s="3">
        <v>158920</v>
      </c>
      <c r="G1511" s="3">
        <v>2089</v>
      </c>
      <c r="H1511" s="3">
        <v>69</v>
      </c>
      <c r="I1511" s="4">
        <v>1037.3399999999999</v>
      </c>
      <c r="J1511" s="4">
        <v>14341.85</v>
      </c>
      <c r="K1511" s="3">
        <v>56</v>
      </c>
      <c r="L1511" s="2" t="s">
        <v>2518</v>
      </c>
      <c r="M1511" s="2" t="s">
        <v>2524</v>
      </c>
      <c r="N1511" s="6">
        <f t="shared" si="92"/>
        <v>1</v>
      </c>
      <c r="O1511" t="str">
        <f>IF(Tabla_control[[#This Row],[Control_duplicados]]&gt;1,"Duplicado","Unico")</f>
        <v>Unico</v>
      </c>
      <c r="P1511" t="str">
        <f t="shared" si="93"/>
        <v>OK</v>
      </c>
      <c r="Q1511" t="str">
        <f t="shared" si="94"/>
        <v>OK</v>
      </c>
      <c r="R1511" t="str">
        <f t="shared" si="95"/>
        <v>OK</v>
      </c>
    </row>
    <row r="1512" spans="1:18" x14ac:dyDescent="0.3">
      <c r="A1512" s="1">
        <v>45979</v>
      </c>
      <c r="B1512" s="2" t="s">
        <v>2635</v>
      </c>
      <c r="C1512" s="2" t="s">
        <v>2527</v>
      </c>
      <c r="D1512" s="2" t="s">
        <v>2516</v>
      </c>
      <c r="E1512" s="2" t="s">
        <v>2529</v>
      </c>
      <c r="F1512" s="3">
        <v>136608</v>
      </c>
      <c r="G1512" s="3">
        <v>4923</v>
      </c>
      <c r="H1512" s="3">
        <v>546</v>
      </c>
      <c r="I1512" s="4">
        <v>1368.55</v>
      </c>
      <c r="J1512" s="4">
        <v>85584.75</v>
      </c>
      <c r="K1512" s="3">
        <v>386</v>
      </c>
      <c r="L1512" s="2" t="s">
        <v>2518</v>
      </c>
      <c r="M1512" s="2" t="s">
        <v>2537</v>
      </c>
      <c r="N1512" s="6">
        <f t="shared" si="92"/>
        <v>1</v>
      </c>
      <c r="O1512" t="str">
        <f>IF(Tabla_control[[#This Row],[Control_duplicados]]&gt;1,"Duplicado","Unico")</f>
        <v>Unico</v>
      </c>
      <c r="P1512" t="str">
        <f t="shared" si="93"/>
        <v>OK</v>
      </c>
      <c r="Q1512" t="str">
        <f t="shared" si="94"/>
        <v>OK</v>
      </c>
      <c r="R1512" t="str">
        <f t="shared" si="95"/>
        <v>OK</v>
      </c>
    </row>
    <row r="1513" spans="1:18" x14ac:dyDescent="0.3">
      <c r="A1513" s="1">
        <v>45827</v>
      </c>
      <c r="B1513" s="2" t="s">
        <v>2620</v>
      </c>
      <c r="C1513" s="2" t="s">
        <v>2527</v>
      </c>
      <c r="D1513" s="2" t="s">
        <v>2525</v>
      </c>
      <c r="E1513" s="2" t="s">
        <v>2529</v>
      </c>
      <c r="F1513" s="3">
        <v>22459</v>
      </c>
      <c r="G1513" s="3">
        <v>1676</v>
      </c>
      <c r="H1513" s="3">
        <v>69</v>
      </c>
      <c r="I1513" s="4">
        <v>374.14</v>
      </c>
      <c r="J1513" s="4">
        <v>4041</v>
      </c>
      <c r="K1513" s="3">
        <v>52</v>
      </c>
      <c r="L1513" s="2" t="s">
        <v>2523</v>
      </c>
      <c r="M1513" s="2" t="s">
        <v>2537</v>
      </c>
      <c r="N1513" s="6">
        <f t="shared" si="92"/>
        <v>1</v>
      </c>
      <c r="O1513" t="str">
        <f>IF(Tabla_control[[#This Row],[Control_duplicados]]&gt;1,"Duplicado","Unico")</f>
        <v>Unico</v>
      </c>
      <c r="P1513" t="str">
        <f t="shared" si="93"/>
        <v>OK</v>
      </c>
      <c r="Q1513" t="str">
        <f t="shared" si="94"/>
        <v>OK</v>
      </c>
      <c r="R1513" t="str">
        <f t="shared" si="95"/>
        <v>OK</v>
      </c>
    </row>
    <row r="1514" spans="1:18" x14ac:dyDescent="0.3">
      <c r="A1514" s="1">
        <v>46000</v>
      </c>
      <c r="B1514" s="2" t="s">
        <v>2636</v>
      </c>
      <c r="C1514" s="2" t="s">
        <v>2543</v>
      </c>
      <c r="D1514" s="2" t="s">
        <v>2516</v>
      </c>
      <c r="E1514" s="2" t="s">
        <v>2529</v>
      </c>
      <c r="F1514" s="3">
        <v>75462</v>
      </c>
      <c r="G1514" s="3">
        <v>6531</v>
      </c>
      <c r="H1514" s="3">
        <v>246</v>
      </c>
      <c r="I1514" s="4">
        <v>11768.5</v>
      </c>
      <c r="J1514" s="4">
        <v>42199.03</v>
      </c>
      <c r="K1514" s="3">
        <v>146</v>
      </c>
      <c r="L1514" s="2" t="s">
        <v>2518</v>
      </c>
      <c r="M1514" s="2" t="s">
        <v>2519</v>
      </c>
      <c r="N1514" s="6">
        <f t="shared" si="92"/>
        <v>1</v>
      </c>
      <c r="O1514" t="str">
        <f>IF(Tabla_control[[#This Row],[Control_duplicados]]&gt;1,"Duplicado","Unico")</f>
        <v>Unico</v>
      </c>
      <c r="P1514" t="str">
        <f t="shared" si="93"/>
        <v>OK</v>
      </c>
      <c r="Q1514" t="str">
        <f t="shared" si="94"/>
        <v>OK</v>
      </c>
      <c r="R1514" t="str">
        <f t="shared" si="95"/>
        <v>OK</v>
      </c>
    </row>
    <row r="1515" spans="1:18" x14ac:dyDescent="0.3">
      <c r="A1515" s="1">
        <v>46013</v>
      </c>
      <c r="B1515" s="2" t="s">
        <v>2635</v>
      </c>
      <c r="C1515" s="2" t="s">
        <v>2543</v>
      </c>
      <c r="D1515" s="2" t="s">
        <v>2528</v>
      </c>
      <c r="E1515" s="2" t="s">
        <v>2517</v>
      </c>
      <c r="F1515" s="3">
        <v>152923</v>
      </c>
      <c r="G1515" s="3">
        <v>4709</v>
      </c>
      <c r="H1515" s="3">
        <v>630</v>
      </c>
      <c r="I1515" s="4">
        <v>7324.54</v>
      </c>
      <c r="J1515" s="4">
        <v>83882.91</v>
      </c>
      <c r="K1515" s="3">
        <v>297</v>
      </c>
      <c r="L1515" s="2" t="s">
        <v>2523</v>
      </c>
      <c r="M1515" s="2" t="s">
        <v>2526</v>
      </c>
      <c r="N1515" s="6">
        <f t="shared" si="92"/>
        <v>1</v>
      </c>
      <c r="O1515" t="str">
        <f>IF(Tabla_control[[#This Row],[Control_duplicados]]&gt;1,"Duplicado","Unico")</f>
        <v>Unico</v>
      </c>
      <c r="P1515" t="str">
        <f t="shared" si="93"/>
        <v>OK</v>
      </c>
      <c r="Q1515" t="str">
        <f t="shared" si="94"/>
        <v>OK</v>
      </c>
      <c r="R1515" t="str">
        <f t="shared" si="95"/>
        <v>OK</v>
      </c>
    </row>
    <row r="1516" spans="1:18" x14ac:dyDescent="0.3">
      <c r="A1516" s="1">
        <v>45846</v>
      </c>
      <c r="B1516" s="2" t="s">
        <v>2642</v>
      </c>
      <c r="C1516" s="2" t="s">
        <v>2521</v>
      </c>
      <c r="D1516" s="2" t="s">
        <v>2516</v>
      </c>
      <c r="E1516" s="2" t="s">
        <v>2517</v>
      </c>
      <c r="F1516" s="3">
        <v>48618</v>
      </c>
      <c r="G1516" s="3">
        <v>3916</v>
      </c>
      <c r="H1516" s="3">
        <v>26</v>
      </c>
      <c r="I1516" s="4">
        <v>6871.39</v>
      </c>
      <c r="J1516" s="4">
        <v>2490.69</v>
      </c>
      <c r="K1516" s="3">
        <v>14</v>
      </c>
      <c r="L1516" s="2" t="s">
        <v>2523</v>
      </c>
      <c r="M1516" s="2" t="s">
        <v>2526</v>
      </c>
      <c r="N1516" s="6">
        <f t="shared" si="92"/>
        <v>1</v>
      </c>
      <c r="O1516" t="str">
        <f>IF(Tabla_control[[#This Row],[Control_duplicados]]&gt;1,"Duplicado","Unico")</f>
        <v>Unico</v>
      </c>
      <c r="P1516" t="str">
        <f t="shared" si="93"/>
        <v>OK</v>
      </c>
      <c r="Q1516" t="str">
        <f t="shared" si="94"/>
        <v>OK</v>
      </c>
      <c r="R1516" t="str">
        <f t="shared" si="95"/>
        <v>OK</v>
      </c>
    </row>
    <row r="1517" spans="1:18" x14ac:dyDescent="0.3">
      <c r="A1517" s="1">
        <v>45751</v>
      </c>
      <c r="B1517" s="2" t="s">
        <v>2643</v>
      </c>
      <c r="C1517" s="2" t="s">
        <v>2541</v>
      </c>
      <c r="D1517" s="2" t="s">
        <v>2528</v>
      </c>
      <c r="E1517" s="2" t="s">
        <v>2517</v>
      </c>
      <c r="F1517" s="3">
        <v>26210</v>
      </c>
      <c r="G1517" s="3">
        <v>1978</v>
      </c>
      <c r="H1517" s="3">
        <v>167</v>
      </c>
      <c r="I1517" s="4">
        <v>1578</v>
      </c>
      <c r="J1517" s="4">
        <v>9949.9699999999993</v>
      </c>
      <c r="K1517" s="3">
        <v>115</v>
      </c>
      <c r="L1517" s="2" t="s">
        <v>2523</v>
      </c>
      <c r="M1517" s="2" t="s">
        <v>2546</v>
      </c>
      <c r="N1517" s="6">
        <f t="shared" si="92"/>
        <v>1</v>
      </c>
      <c r="O1517" t="str">
        <f>IF(Tabla_control[[#This Row],[Control_duplicados]]&gt;1,"Duplicado","Unico")</f>
        <v>Unico</v>
      </c>
      <c r="P1517" t="str">
        <f t="shared" si="93"/>
        <v>OK</v>
      </c>
      <c r="Q1517" t="str">
        <f t="shared" si="94"/>
        <v>OK</v>
      </c>
      <c r="R1517" t="str">
        <f t="shared" si="95"/>
        <v>OK</v>
      </c>
    </row>
    <row r="1518" spans="1:18" x14ac:dyDescent="0.3">
      <c r="A1518" s="1">
        <v>45945</v>
      </c>
      <c r="B1518" s="2" t="s">
        <v>2641</v>
      </c>
      <c r="C1518" s="2" t="s">
        <v>2527</v>
      </c>
      <c r="D1518" s="2" t="s">
        <v>2531</v>
      </c>
      <c r="E1518" s="2" t="s">
        <v>2529</v>
      </c>
      <c r="F1518" s="3">
        <v>113803</v>
      </c>
      <c r="G1518" s="3">
        <v>5875</v>
      </c>
      <c r="H1518" s="3">
        <v>797</v>
      </c>
      <c r="I1518" s="4">
        <v>10508.4</v>
      </c>
      <c r="J1518" s="4">
        <v>123064.24</v>
      </c>
      <c r="K1518" s="3">
        <v>609</v>
      </c>
      <c r="L1518" s="2" t="s">
        <v>2523</v>
      </c>
      <c r="M1518" s="2" t="s">
        <v>2524</v>
      </c>
      <c r="N1518" s="6">
        <f t="shared" si="92"/>
        <v>1</v>
      </c>
      <c r="O1518" t="str">
        <f>IF(Tabla_control[[#This Row],[Control_duplicados]]&gt;1,"Duplicado","Unico")</f>
        <v>Unico</v>
      </c>
      <c r="P1518" t="str">
        <f t="shared" si="93"/>
        <v>OK</v>
      </c>
      <c r="Q1518" t="str">
        <f t="shared" si="94"/>
        <v>OK</v>
      </c>
      <c r="R1518" t="str">
        <f t="shared" si="95"/>
        <v>OK</v>
      </c>
    </row>
    <row r="1519" spans="1:18" x14ac:dyDescent="0.3">
      <c r="A1519" s="1">
        <v>45828</v>
      </c>
      <c r="B1519" s="2" t="s">
        <v>2615</v>
      </c>
      <c r="C1519" s="2" t="s">
        <v>2533</v>
      </c>
      <c r="D1519" s="2" t="s">
        <v>2516</v>
      </c>
      <c r="E1519" s="2" t="s">
        <v>2517</v>
      </c>
      <c r="F1519" s="3">
        <v>161358</v>
      </c>
      <c r="G1519" s="3">
        <v>9911</v>
      </c>
      <c r="H1519" s="3">
        <v>1297</v>
      </c>
      <c r="I1519" s="4">
        <v>11371.4</v>
      </c>
      <c r="J1519" s="4">
        <v>44199.28</v>
      </c>
      <c r="K1519" s="3">
        <v>1054</v>
      </c>
      <c r="L1519" s="2" t="s">
        <v>2539</v>
      </c>
      <c r="M1519" s="2" t="s">
        <v>2519</v>
      </c>
      <c r="N1519" s="6">
        <f t="shared" si="92"/>
        <v>1</v>
      </c>
      <c r="O1519" t="str">
        <f>IF(Tabla_control[[#This Row],[Control_duplicados]]&gt;1,"Duplicado","Unico")</f>
        <v>Unico</v>
      </c>
      <c r="P1519" t="str">
        <f t="shared" si="93"/>
        <v>OK</v>
      </c>
      <c r="Q1519" t="str">
        <f t="shared" si="94"/>
        <v>OK</v>
      </c>
      <c r="R1519" t="str">
        <f t="shared" si="95"/>
        <v>OK</v>
      </c>
    </row>
    <row r="1520" spans="1:18" x14ac:dyDescent="0.3">
      <c r="A1520" s="1">
        <v>45946</v>
      </c>
      <c r="B1520" s="2" t="s">
        <v>2634</v>
      </c>
      <c r="C1520" s="2" t="s">
        <v>2515</v>
      </c>
      <c r="D1520" s="2" t="s">
        <v>2528</v>
      </c>
      <c r="E1520" s="2" t="s">
        <v>2529</v>
      </c>
      <c r="F1520" s="3">
        <v>153744</v>
      </c>
      <c r="G1520" s="3">
        <v>11044</v>
      </c>
      <c r="H1520" s="3">
        <v>958</v>
      </c>
      <c r="I1520" s="4">
        <v>4148.63</v>
      </c>
      <c r="J1520" s="4">
        <v>32501.49</v>
      </c>
      <c r="K1520" s="3">
        <v>751</v>
      </c>
      <c r="L1520" s="2" t="s">
        <v>2539</v>
      </c>
      <c r="M1520" s="2" t="s">
        <v>2546</v>
      </c>
      <c r="N1520" s="6">
        <f t="shared" si="92"/>
        <v>1</v>
      </c>
      <c r="O1520" t="str">
        <f>IF(Tabla_control[[#This Row],[Control_duplicados]]&gt;1,"Duplicado","Unico")</f>
        <v>Unico</v>
      </c>
      <c r="P1520" t="str">
        <f t="shared" si="93"/>
        <v>OK</v>
      </c>
      <c r="Q1520" t="str">
        <f t="shared" si="94"/>
        <v>OK</v>
      </c>
      <c r="R1520" t="str">
        <f t="shared" si="95"/>
        <v>OK</v>
      </c>
    </row>
    <row r="1521" spans="1:18" x14ac:dyDescent="0.3">
      <c r="A1521" s="1">
        <v>45798</v>
      </c>
      <c r="B1521" s="2" t="s">
        <v>2620</v>
      </c>
      <c r="C1521" s="2" t="s">
        <v>2515</v>
      </c>
      <c r="D1521" s="2" t="s">
        <v>2528</v>
      </c>
      <c r="E1521" s="2" t="s">
        <v>2517</v>
      </c>
      <c r="F1521" s="3">
        <v>116040</v>
      </c>
      <c r="G1521" s="3">
        <v>9271</v>
      </c>
      <c r="H1521" s="3">
        <v>956</v>
      </c>
      <c r="I1521" s="4">
        <v>11988.86</v>
      </c>
      <c r="J1521" s="4">
        <v>117902.95</v>
      </c>
      <c r="K1521" s="3">
        <v>636</v>
      </c>
      <c r="L1521" s="2" t="s">
        <v>2518</v>
      </c>
      <c r="M1521" s="2" t="s">
        <v>2526</v>
      </c>
      <c r="N1521" s="6">
        <f t="shared" si="92"/>
        <v>1</v>
      </c>
      <c r="O1521" t="str">
        <f>IF(Tabla_control[[#This Row],[Control_duplicados]]&gt;1,"Duplicado","Unico")</f>
        <v>Unico</v>
      </c>
      <c r="P1521" t="str">
        <f t="shared" si="93"/>
        <v>OK</v>
      </c>
      <c r="Q1521" t="str">
        <f t="shared" si="94"/>
        <v>OK</v>
      </c>
      <c r="R1521" t="str">
        <f t="shared" si="95"/>
        <v>OK</v>
      </c>
    </row>
    <row r="1522" spans="1:18" x14ac:dyDescent="0.3">
      <c r="A1522" s="1">
        <v>45772</v>
      </c>
      <c r="B1522" s="2" t="s">
        <v>2628</v>
      </c>
      <c r="C1522" s="2" t="s">
        <v>2543</v>
      </c>
      <c r="D1522" s="2" t="s">
        <v>2528</v>
      </c>
      <c r="E1522" s="2" t="s">
        <v>2534</v>
      </c>
      <c r="F1522" s="3">
        <v>60203</v>
      </c>
      <c r="G1522" s="3">
        <v>1955</v>
      </c>
      <c r="H1522" s="3">
        <v>238</v>
      </c>
      <c r="I1522" s="4">
        <v>3510.59</v>
      </c>
      <c r="J1522" s="4">
        <v>32237.42</v>
      </c>
      <c r="K1522" s="3">
        <v>151</v>
      </c>
      <c r="L1522" s="2" t="s">
        <v>2523</v>
      </c>
      <c r="M1522" s="2" t="s">
        <v>2526</v>
      </c>
      <c r="N1522" s="6">
        <f t="shared" si="92"/>
        <v>1</v>
      </c>
      <c r="O1522" t="str">
        <f>IF(Tabla_control[[#This Row],[Control_duplicados]]&gt;1,"Duplicado","Unico")</f>
        <v>Unico</v>
      </c>
      <c r="P1522" t="str">
        <f t="shared" si="93"/>
        <v>OK</v>
      </c>
      <c r="Q1522" t="str">
        <f t="shared" si="94"/>
        <v>OK</v>
      </c>
      <c r="R1522" t="str">
        <f t="shared" si="95"/>
        <v>OK</v>
      </c>
    </row>
    <row r="1523" spans="1:18" x14ac:dyDescent="0.3">
      <c r="A1523" s="1">
        <v>45856</v>
      </c>
      <c r="B1523" s="2" t="s">
        <v>2635</v>
      </c>
      <c r="C1523" s="2" t="s">
        <v>2521</v>
      </c>
      <c r="D1523" s="2" t="s">
        <v>2528</v>
      </c>
      <c r="E1523" s="2" t="s">
        <v>2534</v>
      </c>
      <c r="F1523" s="3">
        <v>32797</v>
      </c>
      <c r="G1523" s="3">
        <v>2493</v>
      </c>
      <c r="H1523" s="3">
        <v>220</v>
      </c>
      <c r="I1523" s="4">
        <v>3726.11</v>
      </c>
      <c r="J1523" s="4">
        <v>45238.48</v>
      </c>
      <c r="K1523" s="3">
        <v>186</v>
      </c>
      <c r="L1523" s="2" t="s">
        <v>2539</v>
      </c>
      <c r="M1523" s="2" t="s">
        <v>2546</v>
      </c>
      <c r="N1523" s="6">
        <f t="shared" si="92"/>
        <v>1</v>
      </c>
      <c r="O1523" t="str">
        <f>IF(Tabla_control[[#This Row],[Control_duplicados]]&gt;1,"Duplicado","Unico")</f>
        <v>Unico</v>
      </c>
      <c r="P1523" t="str">
        <f t="shared" si="93"/>
        <v>OK</v>
      </c>
      <c r="Q1523" t="str">
        <f t="shared" si="94"/>
        <v>OK</v>
      </c>
      <c r="R1523" t="str">
        <f t="shared" si="95"/>
        <v>OK</v>
      </c>
    </row>
    <row r="1524" spans="1:18" x14ac:dyDescent="0.3">
      <c r="A1524" s="1">
        <v>45871</v>
      </c>
      <c r="B1524" s="2" t="s">
        <v>2627</v>
      </c>
      <c r="C1524" s="2" t="s">
        <v>2543</v>
      </c>
      <c r="D1524" s="2" t="s">
        <v>2516</v>
      </c>
      <c r="E1524" s="2" t="s">
        <v>2529</v>
      </c>
      <c r="F1524" s="3">
        <v>117265</v>
      </c>
      <c r="G1524" s="3">
        <v>5454</v>
      </c>
      <c r="H1524" s="3">
        <v>453</v>
      </c>
      <c r="I1524" s="4">
        <v>9160.43</v>
      </c>
      <c r="J1524" s="4">
        <v>23853.34</v>
      </c>
      <c r="K1524" s="3">
        <v>304</v>
      </c>
      <c r="L1524" s="2" t="s">
        <v>2518</v>
      </c>
      <c r="M1524" s="2" t="s">
        <v>2519</v>
      </c>
      <c r="N1524" s="6">
        <f t="shared" si="92"/>
        <v>1</v>
      </c>
      <c r="O1524" t="str">
        <f>IF(Tabla_control[[#This Row],[Control_duplicados]]&gt;1,"Duplicado","Unico")</f>
        <v>Unico</v>
      </c>
      <c r="P1524" t="str">
        <f t="shared" si="93"/>
        <v>OK</v>
      </c>
      <c r="Q1524" t="str">
        <f t="shared" si="94"/>
        <v>OK</v>
      </c>
      <c r="R1524" t="str">
        <f t="shared" si="95"/>
        <v>OK</v>
      </c>
    </row>
    <row r="1525" spans="1:18" x14ac:dyDescent="0.3">
      <c r="A1525" s="1">
        <v>45895</v>
      </c>
      <c r="B1525" s="2" t="s">
        <v>2640</v>
      </c>
      <c r="C1525" s="2" t="s">
        <v>2515</v>
      </c>
      <c r="D1525" s="2" t="s">
        <v>2528</v>
      </c>
      <c r="E1525" s="2" t="s">
        <v>2517</v>
      </c>
      <c r="F1525" s="3">
        <v>37609</v>
      </c>
      <c r="G1525" s="3">
        <v>1494</v>
      </c>
      <c r="H1525" s="3">
        <v>119</v>
      </c>
      <c r="I1525" s="4">
        <v>590.79999999999995</v>
      </c>
      <c r="J1525" s="4">
        <v>3939.41</v>
      </c>
      <c r="K1525" s="3">
        <v>95</v>
      </c>
      <c r="L1525" s="2" t="s">
        <v>2539</v>
      </c>
      <c r="M1525" s="2" t="s">
        <v>2537</v>
      </c>
      <c r="N1525" s="6">
        <f t="shared" si="92"/>
        <v>1</v>
      </c>
      <c r="O1525" t="str">
        <f>IF(Tabla_control[[#This Row],[Control_duplicados]]&gt;1,"Duplicado","Unico")</f>
        <v>Unico</v>
      </c>
      <c r="P1525" t="str">
        <f t="shared" si="93"/>
        <v>OK</v>
      </c>
      <c r="Q1525" t="str">
        <f t="shared" si="94"/>
        <v>OK</v>
      </c>
      <c r="R1525" t="str">
        <f t="shared" si="95"/>
        <v>OK</v>
      </c>
    </row>
    <row r="1526" spans="1:18" x14ac:dyDescent="0.3">
      <c r="A1526" s="1">
        <v>45979</v>
      </c>
      <c r="B1526" s="2" t="s">
        <v>2626</v>
      </c>
      <c r="C1526" s="2" t="s">
        <v>2521</v>
      </c>
      <c r="D1526" s="2" t="s">
        <v>2525</v>
      </c>
      <c r="E1526" s="2" t="s">
        <v>2529</v>
      </c>
      <c r="F1526" s="3">
        <v>59056</v>
      </c>
      <c r="G1526" s="3">
        <v>3130</v>
      </c>
      <c r="H1526" s="3">
        <v>303</v>
      </c>
      <c r="I1526" s="4">
        <v>5041.21</v>
      </c>
      <c r="J1526" s="4">
        <v>60426.22</v>
      </c>
      <c r="K1526" s="3">
        <v>250</v>
      </c>
      <c r="L1526" s="2" t="s">
        <v>2536</v>
      </c>
      <c r="M1526" s="2" t="s">
        <v>2524</v>
      </c>
      <c r="N1526" s="6">
        <f t="shared" si="92"/>
        <v>1</v>
      </c>
      <c r="O1526" t="str">
        <f>IF(Tabla_control[[#This Row],[Control_duplicados]]&gt;1,"Duplicado","Unico")</f>
        <v>Unico</v>
      </c>
      <c r="P1526" t="str">
        <f t="shared" si="93"/>
        <v>OK</v>
      </c>
      <c r="Q1526" t="str">
        <f t="shared" si="94"/>
        <v>OK</v>
      </c>
      <c r="R1526" t="str">
        <f t="shared" si="95"/>
        <v>OK</v>
      </c>
    </row>
    <row r="1527" spans="1:18" x14ac:dyDescent="0.3">
      <c r="A1527" s="1">
        <v>45792</v>
      </c>
      <c r="B1527" s="2" t="s">
        <v>2638</v>
      </c>
      <c r="C1527" s="2" t="s">
        <v>2543</v>
      </c>
      <c r="D1527" s="2" t="s">
        <v>2516</v>
      </c>
      <c r="E1527" s="2" t="s">
        <v>2529</v>
      </c>
      <c r="F1527" s="3">
        <v>34557</v>
      </c>
      <c r="G1527" s="3">
        <v>975</v>
      </c>
      <c r="H1527" s="3">
        <v>21</v>
      </c>
      <c r="I1527" s="4">
        <v>729.13</v>
      </c>
      <c r="J1527" s="4">
        <v>4314.3900000000003</v>
      </c>
      <c r="K1527" s="3">
        <v>17</v>
      </c>
      <c r="L1527" s="2" t="s">
        <v>2539</v>
      </c>
      <c r="M1527" s="2" t="s">
        <v>2524</v>
      </c>
      <c r="N1527" s="6">
        <f t="shared" si="92"/>
        <v>1</v>
      </c>
      <c r="O1527" t="str">
        <f>IF(Tabla_control[[#This Row],[Control_duplicados]]&gt;1,"Duplicado","Unico")</f>
        <v>Unico</v>
      </c>
      <c r="P1527" t="str">
        <f t="shared" si="93"/>
        <v>OK</v>
      </c>
      <c r="Q1527" t="str">
        <f t="shared" si="94"/>
        <v>OK</v>
      </c>
      <c r="R1527" t="str">
        <f t="shared" si="95"/>
        <v>OK</v>
      </c>
    </row>
    <row r="1528" spans="1:18" x14ac:dyDescent="0.3">
      <c r="A1528" s="1">
        <v>45987</v>
      </c>
      <c r="B1528" s="2" t="s">
        <v>2637</v>
      </c>
      <c r="C1528" s="2" t="s">
        <v>2527</v>
      </c>
      <c r="D1528" s="2" t="s">
        <v>2525</v>
      </c>
      <c r="E1528" s="2" t="s">
        <v>2529</v>
      </c>
      <c r="F1528" s="3">
        <v>171703</v>
      </c>
      <c r="G1528" s="3">
        <v>2050</v>
      </c>
      <c r="H1528" s="3">
        <v>271</v>
      </c>
      <c r="I1528" s="4">
        <v>1097.48</v>
      </c>
      <c r="J1528" s="4">
        <v>11264.4</v>
      </c>
      <c r="K1528" s="3">
        <v>223</v>
      </c>
      <c r="L1528" s="2" t="s">
        <v>2518</v>
      </c>
      <c r="M1528" s="2" t="s">
        <v>2537</v>
      </c>
      <c r="N1528" s="6">
        <f t="shared" si="92"/>
        <v>1</v>
      </c>
      <c r="O1528" t="str">
        <f>IF(Tabla_control[[#This Row],[Control_duplicados]]&gt;1,"Duplicado","Unico")</f>
        <v>Unico</v>
      </c>
      <c r="P1528" t="str">
        <f t="shared" si="93"/>
        <v>OK</v>
      </c>
      <c r="Q1528" t="str">
        <f t="shared" si="94"/>
        <v>OK</v>
      </c>
      <c r="R1528" t="str">
        <f t="shared" si="95"/>
        <v>OK</v>
      </c>
    </row>
    <row r="1529" spans="1:18" x14ac:dyDescent="0.3">
      <c r="A1529" s="1">
        <v>46012</v>
      </c>
      <c r="B1529" s="2" t="s">
        <v>2629</v>
      </c>
      <c r="C1529" s="2" t="s">
        <v>2521</v>
      </c>
      <c r="D1529" s="2" t="s">
        <v>2522</v>
      </c>
      <c r="E1529" s="2" t="s">
        <v>2517</v>
      </c>
      <c r="F1529" s="3">
        <v>30764</v>
      </c>
      <c r="G1529" s="3">
        <v>1062</v>
      </c>
      <c r="H1529" s="3">
        <v>110</v>
      </c>
      <c r="I1529" s="4">
        <v>1249.1199999999999</v>
      </c>
      <c r="J1529" s="4">
        <v>10191.85</v>
      </c>
      <c r="K1529" s="3">
        <v>61</v>
      </c>
      <c r="L1529" s="2" t="s">
        <v>2523</v>
      </c>
      <c r="M1529" s="2" t="s">
        <v>2526</v>
      </c>
      <c r="N1529" s="6">
        <f t="shared" si="92"/>
        <v>1</v>
      </c>
      <c r="O1529" t="str">
        <f>IF(Tabla_control[[#This Row],[Control_duplicados]]&gt;1,"Duplicado","Unico")</f>
        <v>Unico</v>
      </c>
      <c r="P1529" t="str">
        <f t="shared" si="93"/>
        <v>OK</v>
      </c>
      <c r="Q1529" t="str">
        <f t="shared" si="94"/>
        <v>OK</v>
      </c>
      <c r="R1529" t="str">
        <f t="shared" si="95"/>
        <v>OK</v>
      </c>
    </row>
    <row r="1530" spans="1:18" x14ac:dyDescent="0.3">
      <c r="A1530" s="1">
        <v>45827</v>
      </c>
      <c r="B1530" s="2" t="s">
        <v>2644</v>
      </c>
      <c r="C1530" s="2" t="s">
        <v>2541</v>
      </c>
      <c r="D1530" s="2" t="s">
        <v>2528</v>
      </c>
      <c r="E1530" s="2" t="s">
        <v>2529</v>
      </c>
      <c r="F1530" s="3">
        <v>25311</v>
      </c>
      <c r="G1530" s="3">
        <v>422</v>
      </c>
      <c r="H1530" s="3">
        <v>27</v>
      </c>
      <c r="I1530" s="4">
        <v>278.01</v>
      </c>
      <c r="J1530" s="4">
        <v>1050.1199999999999</v>
      </c>
      <c r="K1530" s="3">
        <v>21</v>
      </c>
      <c r="L1530" s="2" t="s">
        <v>2523</v>
      </c>
      <c r="M1530" s="2" t="s">
        <v>2537</v>
      </c>
      <c r="N1530" s="6">
        <f t="shared" si="92"/>
        <v>1</v>
      </c>
      <c r="O1530" t="str">
        <f>IF(Tabla_control[[#This Row],[Control_duplicados]]&gt;1,"Duplicado","Unico")</f>
        <v>Unico</v>
      </c>
      <c r="P1530" t="str">
        <f t="shared" si="93"/>
        <v>OK</v>
      </c>
      <c r="Q1530" t="str">
        <f t="shared" si="94"/>
        <v>OK</v>
      </c>
      <c r="R1530" t="str">
        <f t="shared" si="95"/>
        <v>OK</v>
      </c>
    </row>
    <row r="1531" spans="1:18" x14ac:dyDescent="0.3">
      <c r="A1531" s="1">
        <v>45724</v>
      </c>
      <c r="B1531" s="2" t="s">
        <v>2644</v>
      </c>
      <c r="C1531" s="2" t="s">
        <v>2515</v>
      </c>
      <c r="D1531" s="2" t="s">
        <v>2516</v>
      </c>
      <c r="E1531" s="2" t="s">
        <v>2517</v>
      </c>
      <c r="F1531" s="3">
        <v>97627</v>
      </c>
      <c r="G1531" s="3">
        <v>5878</v>
      </c>
      <c r="H1531" s="3">
        <v>748</v>
      </c>
      <c r="I1531" s="4">
        <v>777.87</v>
      </c>
      <c r="J1531" s="4">
        <v>151240.46</v>
      </c>
      <c r="K1531" s="3">
        <v>427</v>
      </c>
      <c r="L1531" s="2" t="s">
        <v>2523</v>
      </c>
      <c r="M1531" s="2" t="s">
        <v>2526</v>
      </c>
      <c r="N1531" s="6">
        <f t="shared" si="92"/>
        <v>1</v>
      </c>
      <c r="O1531" t="str">
        <f>IF(Tabla_control[[#This Row],[Control_duplicados]]&gt;1,"Duplicado","Unico")</f>
        <v>Unico</v>
      </c>
      <c r="P1531" t="str">
        <f t="shared" si="93"/>
        <v>OK</v>
      </c>
      <c r="Q1531" t="str">
        <f t="shared" si="94"/>
        <v>OK</v>
      </c>
      <c r="R1531" t="str">
        <f t="shared" si="95"/>
        <v>OK</v>
      </c>
    </row>
    <row r="1532" spans="1:18" x14ac:dyDescent="0.3">
      <c r="A1532" s="1">
        <v>45674</v>
      </c>
      <c r="B1532" s="2" t="s">
        <v>2635</v>
      </c>
      <c r="C1532" s="2" t="s">
        <v>2533</v>
      </c>
      <c r="D1532" s="2" t="s">
        <v>2528</v>
      </c>
      <c r="E1532" s="2" t="s">
        <v>2517</v>
      </c>
      <c r="F1532" s="3">
        <v>76464</v>
      </c>
      <c r="G1532" s="3">
        <v>5607</v>
      </c>
      <c r="H1532" s="3">
        <v>317</v>
      </c>
      <c r="I1532" s="4">
        <v>7789.48</v>
      </c>
      <c r="J1532" s="4">
        <v>6149.77</v>
      </c>
      <c r="K1532" s="3">
        <v>160</v>
      </c>
      <c r="L1532" s="2" t="s">
        <v>2518</v>
      </c>
      <c r="M1532" s="2" t="s">
        <v>2537</v>
      </c>
      <c r="N1532" s="6">
        <f t="shared" si="92"/>
        <v>1</v>
      </c>
      <c r="O1532" t="str">
        <f>IF(Tabla_control[[#This Row],[Control_duplicados]]&gt;1,"Duplicado","Unico")</f>
        <v>Unico</v>
      </c>
      <c r="P1532" t="str">
        <f t="shared" si="93"/>
        <v>OK</v>
      </c>
      <c r="Q1532" t="str">
        <f t="shared" si="94"/>
        <v>OK</v>
      </c>
      <c r="R1532" t="str">
        <f t="shared" si="95"/>
        <v>OK</v>
      </c>
    </row>
    <row r="1533" spans="1:18" x14ac:dyDescent="0.3">
      <c r="A1533" s="1">
        <v>45977</v>
      </c>
      <c r="B1533" s="2" t="s">
        <v>2638</v>
      </c>
      <c r="C1533" s="2" t="s">
        <v>2527</v>
      </c>
      <c r="D1533" s="2" t="s">
        <v>2525</v>
      </c>
      <c r="E1533" s="2" t="s">
        <v>2517</v>
      </c>
      <c r="F1533" s="3">
        <v>73846</v>
      </c>
      <c r="G1533" s="3">
        <v>4345</v>
      </c>
      <c r="H1533" s="3">
        <v>460</v>
      </c>
      <c r="I1533" s="4">
        <v>6235.57</v>
      </c>
      <c r="J1533" s="4">
        <v>88640.97</v>
      </c>
      <c r="K1533" s="3">
        <v>289</v>
      </c>
      <c r="L1533" s="2" t="s">
        <v>2539</v>
      </c>
      <c r="M1533" s="2" t="s">
        <v>2537</v>
      </c>
      <c r="N1533" s="6">
        <f t="shared" si="92"/>
        <v>1</v>
      </c>
      <c r="O1533" t="str">
        <f>IF(Tabla_control[[#This Row],[Control_duplicados]]&gt;1,"Duplicado","Unico")</f>
        <v>Unico</v>
      </c>
      <c r="P1533" t="str">
        <f t="shared" si="93"/>
        <v>OK</v>
      </c>
      <c r="Q1533" t="str">
        <f t="shared" si="94"/>
        <v>OK</v>
      </c>
      <c r="R1533" t="str">
        <f t="shared" si="95"/>
        <v>OK</v>
      </c>
    </row>
    <row r="1534" spans="1:18" x14ac:dyDescent="0.3">
      <c r="A1534" s="1">
        <v>45753</v>
      </c>
      <c r="B1534" s="2" t="s">
        <v>2619</v>
      </c>
      <c r="C1534" s="2" t="s">
        <v>2541</v>
      </c>
      <c r="D1534" s="2" t="s">
        <v>2516</v>
      </c>
      <c r="E1534" s="2" t="s">
        <v>2529</v>
      </c>
      <c r="F1534" s="3">
        <v>4736</v>
      </c>
      <c r="G1534" s="3">
        <v>89</v>
      </c>
      <c r="H1534" s="3">
        <v>2</v>
      </c>
      <c r="I1534" s="4">
        <v>65.27</v>
      </c>
      <c r="J1534" s="4">
        <v>312.08999999999997</v>
      </c>
      <c r="K1534" s="3">
        <v>1</v>
      </c>
      <c r="L1534" s="2" t="s">
        <v>2539</v>
      </c>
      <c r="M1534" s="2" t="s">
        <v>2537</v>
      </c>
      <c r="N1534" s="6">
        <f t="shared" si="92"/>
        <v>2</v>
      </c>
      <c r="O1534" t="str">
        <f>IF(Tabla_control[[#This Row],[Control_duplicados]]&gt;1,"Duplicado","Unico")</f>
        <v>Duplicado</v>
      </c>
      <c r="P1534" t="str">
        <f t="shared" si="93"/>
        <v>OK</v>
      </c>
      <c r="Q1534" t="str">
        <f t="shared" si="94"/>
        <v>OK</v>
      </c>
      <c r="R1534" t="str">
        <f t="shared" si="95"/>
        <v>OK</v>
      </c>
    </row>
    <row r="1535" spans="1:18" x14ac:dyDescent="0.3">
      <c r="A1535" s="1">
        <v>45764</v>
      </c>
      <c r="B1535" s="2" t="s">
        <v>2640</v>
      </c>
      <c r="C1535" s="2" t="s">
        <v>2533</v>
      </c>
      <c r="D1535" s="2" t="s">
        <v>2516</v>
      </c>
      <c r="E1535" s="2" t="s">
        <v>2517</v>
      </c>
      <c r="F1535" s="3">
        <v>154483</v>
      </c>
      <c r="G1535" s="3">
        <v>9189</v>
      </c>
      <c r="H1535" s="3">
        <v>106</v>
      </c>
      <c r="I1535" s="4">
        <v>1923.74</v>
      </c>
      <c r="J1535" s="4">
        <v>15317.67</v>
      </c>
      <c r="K1535" s="3">
        <v>70</v>
      </c>
      <c r="L1535" s="2" t="s">
        <v>2523</v>
      </c>
      <c r="M1535" s="2" t="s">
        <v>2537</v>
      </c>
      <c r="N1535" s="6">
        <f t="shared" si="92"/>
        <v>1</v>
      </c>
      <c r="O1535" t="str">
        <f>IF(Tabla_control[[#This Row],[Control_duplicados]]&gt;1,"Duplicado","Unico")</f>
        <v>Unico</v>
      </c>
      <c r="P1535" t="str">
        <f t="shared" si="93"/>
        <v>OK</v>
      </c>
      <c r="Q1535" t="str">
        <f t="shared" si="94"/>
        <v>OK</v>
      </c>
      <c r="R1535" t="str">
        <f t="shared" si="95"/>
        <v>OK</v>
      </c>
    </row>
    <row r="1536" spans="1:18" x14ac:dyDescent="0.3">
      <c r="A1536" s="1">
        <v>45998</v>
      </c>
      <c r="B1536" s="2" t="s">
        <v>2617</v>
      </c>
      <c r="C1536" s="2" t="s">
        <v>2543</v>
      </c>
      <c r="D1536" s="2" t="s">
        <v>2531</v>
      </c>
      <c r="E1536" s="2" t="s">
        <v>2529</v>
      </c>
      <c r="F1536" s="3">
        <v>143169</v>
      </c>
      <c r="G1536" s="3">
        <v>4384</v>
      </c>
      <c r="H1536" s="3">
        <v>435</v>
      </c>
      <c r="I1536" s="4">
        <v>4824.95</v>
      </c>
      <c r="J1536" s="4">
        <v>58617.86</v>
      </c>
      <c r="K1536" s="3">
        <v>367</v>
      </c>
      <c r="L1536" s="2" t="s">
        <v>2536</v>
      </c>
      <c r="M1536" s="2" t="s">
        <v>2526</v>
      </c>
      <c r="N1536" s="6">
        <f t="shared" si="92"/>
        <v>1</v>
      </c>
      <c r="O1536" t="str">
        <f>IF(Tabla_control[[#This Row],[Control_duplicados]]&gt;1,"Duplicado","Unico")</f>
        <v>Unico</v>
      </c>
      <c r="P1536" t="str">
        <f t="shared" si="93"/>
        <v>OK</v>
      </c>
      <c r="Q1536" t="str">
        <f t="shared" si="94"/>
        <v>OK</v>
      </c>
      <c r="R1536" t="str">
        <f t="shared" si="95"/>
        <v>OK</v>
      </c>
    </row>
    <row r="1537" spans="1:18" x14ac:dyDescent="0.3">
      <c r="A1537" s="1">
        <v>45802</v>
      </c>
      <c r="B1537" s="2" t="s">
        <v>2629</v>
      </c>
      <c r="C1537" s="2" t="s">
        <v>2527</v>
      </c>
      <c r="D1537" s="2" t="s">
        <v>2528</v>
      </c>
      <c r="E1537" s="2" t="s">
        <v>2517</v>
      </c>
      <c r="F1537" s="3">
        <v>132279</v>
      </c>
      <c r="G1537" s="3">
        <v>10352</v>
      </c>
      <c r="H1537" s="3">
        <v>931</v>
      </c>
      <c r="I1537" s="4">
        <v>15918.6</v>
      </c>
      <c r="J1537" s="4">
        <v>134045.31</v>
      </c>
      <c r="K1537" s="3">
        <v>660</v>
      </c>
      <c r="L1537" s="2" t="s">
        <v>2523</v>
      </c>
      <c r="M1537" s="2" t="s">
        <v>2537</v>
      </c>
      <c r="N1537" s="6">
        <f t="shared" si="92"/>
        <v>1</v>
      </c>
      <c r="O1537" t="str">
        <f>IF(Tabla_control[[#This Row],[Control_duplicados]]&gt;1,"Duplicado","Unico")</f>
        <v>Unico</v>
      </c>
      <c r="P1537" t="str">
        <f t="shared" si="93"/>
        <v>OK</v>
      </c>
      <c r="Q1537" t="str">
        <f t="shared" si="94"/>
        <v>OK</v>
      </c>
      <c r="R1537" t="str">
        <f t="shared" si="95"/>
        <v>OK</v>
      </c>
    </row>
    <row r="1538" spans="1:18" x14ac:dyDescent="0.3">
      <c r="A1538" s="1">
        <v>45666</v>
      </c>
      <c r="B1538" s="2" t="s">
        <v>2620</v>
      </c>
      <c r="C1538" s="2" t="s">
        <v>2543</v>
      </c>
      <c r="D1538" s="2" t="s">
        <v>2516</v>
      </c>
      <c r="E1538" s="2" t="s">
        <v>2529</v>
      </c>
      <c r="F1538" s="3">
        <v>5773</v>
      </c>
      <c r="G1538" s="3">
        <v>428</v>
      </c>
      <c r="H1538" s="3">
        <v>43</v>
      </c>
      <c r="I1538" s="4">
        <v>120.06</v>
      </c>
      <c r="J1538" s="4">
        <v>7050.5</v>
      </c>
      <c r="K1538" s="3">
        <v>23</v>
      </c>
      <c r="L1538" s="2" t="s">
        <v>2523</v>
      </c>
      <c r="M1538" s="2" t="s">
        <v>2519</v>
      </c>
      <c r="N1538" s="6">
        <f t="shared" ref="N1538:N1601" si="96">COUNTIFS($A$2:$A$2536,A1538,$B$2:$B$2536,B1538,$C$2:$C$2536,C1538,$D$2:$D$2536,D1538,$E$2:$E$2536,E1538,$F$2:$F$2536,F1538,$G$2:$G$2536,G1538,$H$2:$H$2536,H1538,$I$2:$I$2536,I1538,$J$2:$J$2536,J1538,$K$2:$K$2536,K1538,$L$2:$L$2536,L1538,$M$2:$M$2536,M1538)</f>
        <v>1</v>
      </c>
      <c r="O1538" t="str">
        <f>IF(Tabla_control[[#This Row],[Control_duplicados]]&gt;1,"Duplicado","Unico")</f>
        <v>Unico</v>
      </c>
      <c r="P1538" t="str">
        <f t="shared" ref="P1538:P1601" si="97">IF(OR(I1538="",I1538&lt;0),"ERROR","OK")</f>
        <v>OK</v>
      </c>
      <c r="Q1538" t="str">
        <f t="shared" ref="Q1538:Q1601" si="98">IF(H1538&gt;F1538,"ERROR","OK")</f>
        <v>OK</v>
      </c>
      <c r="R1538" t="str">
        <f t="shared" ref="R1538:R1601" si="99">IF(K1538&gt;H1538,"ERROR","OK")</f>
        <v>OK</v>
      </c>
    </row>
    <row r="1539" spans="1:18" x14ac:dyDescent="0.3">
      <c r="A1539" s="1">
        <v>45921</v>
      </c>
      <c r="B1539" s="2" t="s">
        <v>2630</v>
      </c>
      <c r="C1539" s="2" t="s">
        <v>2515</v>
      </c>
      <c r="D1539" s="2" t="s">
        <v>2516</v>
      </c>
      <c r="E1539" s="2" t="s">
        <v>2517</v>
      </c>
      <c r="F1539" s="3">
        <v>3959</v>
      </c>
      <c r="G1539" s="3">
        <v>210</v>
      </c>
      <c r="H1539" s="3">
        <v>22</v>
      </c>
      <c r="I1539" s="4">
        <v>179.58</v>
      </c>
      <c r="J1539" s="4">
        <v>371.04</v>
      </c>
      <c r="K1539" s="3">
        <v>13</v>
      </c>
      <c r="L1539" s="2" t="s">
        <v>2539</v>
      </c>
      <c r="M1539" s="2" t="s">
        <v>2546</v>
      </c>
      <c r="N1539" s="6">
        <f t="shared" si="96"/>
        <v>1</v>
      </c>
      <c r="O1539" t="str">
        <f>IF(Tabla_control[[#This Row],[Control_duplicados]]&gt;1,"Duplicado","Unico")</f>
        <v>Unico</v>
      </c>
      <c r="P1539" t="str">
        <f t="shared" si="97"/>
        <v>OK</v>
      </c>
      <c r="Q1539" t="str">
        <f t="shared" si="98"/>
        <v>OK</v>
      </c>
      <c r="R1539" t="str">
        <f t="shared" si="99"/>
        <v>OK</v>
      </c>
    </row>
    <row r="1540" spans="1:18" x14ac:dyDescent="0.3">
      <c r="A1540" s="1">
        <v>45678</v>
      </c>
      <c r="B1540" s="2" t="s">
        <v>2638</v>
      </c>
      <c r="C1540" s="2" t="s">
        <v>2541</v>
      </c>
      <c r="D1540" s="2" t="s">
        <v>2528</v>
      </c>
      <c r="E1540" s="2" t="s">
        <v>2517</v>
      </c>
      <c r="F1540" s="3">
        <v>35813</v>
      </c>
      <c r="G1540" s="3">
        <v>2804</v>
      </c>
      <c r="H1540" s="3">
        <v>358</v>
      </c>
      <c r="I1540" s="4">
        <v>877.97</v>
      </c>
      <c r="J1540" s="4">
        <v>73336.14</v>
      </c>
      <c r="K1540" s="3">
        <v>255</v>
      </c>
      <c r="L1540" s="2" t="s">
        <v>2523</v>
      </c>
      <c r="M1540" s="2" t="s">
        <v>2519</v>
      </c>
      <c r="N1540" s="6">
        <f t="shared" si="96"/>
        <v>1</v>
      </c>
      <c r="O1540" t="str">
        <f>IF(Tabla_control[[#This Row],[Control_duplicados]]&gt;1,"Duplicado","Unico")</f>
        <v>Unico</v>
      </c>
      <c r="P1540" t="str">
        <f t="shared" si="97"/>
        <v>OK</v>
      </c>
      <c r="Q1540" t="str">
        <f t="shared" si="98"/>
        <v>OK</v>
      </c>
      <c r="R1540" t="str">
        <f t="shared" si="99"/>
        <v>OK</v>
      </c>
    </row>
    <row r="1541" spans="1:18" x14ac:dyDescent="0.3">
      <c r="A1541" s="1">
        <v>45690</v>
      </c>
      <c r="B1541" s="2" t="s">
        <v>2644</v>
      </c>
      <c r="C1541" s="2" t="s">
        <v>2541</v>
      </c>
      <c r="D1541" s="2" t="s">
        <v>2522</v>
      </c>
      <c r="E1541" s="2" t="s">
        <v>2529</v>
      </c>
      <c r="F1541" s="3">
        <v>87035</v>
      </c>
      <c r="G1541" s="3">
        <v>7449</v>
      </c>
      <c r="H1541" s="3">
        <v>992</v>
      </c>
      <c r="I1541" s="4">
        <v>1271.33</v>
      </c>
      <c r="J1541" s="4">
        <v>119307.94</v>
      </c>
      <c r="K1541" s="3">
        <v>804</v>
      </c>
      <c r="L1541" s="2" t="s">
        <v>2518</v>
      </c>
      <c r="M1541" s="2" t="s">
        <v>2546</v>
      </c>
      <c r="N1541" s="6">
        <f t="shared" si="96"/>
        <v>1</v>
      </c>
      <c r="O1541" t="str">
        <f>IF(Tabla_control[[#This Row],[Control_duplicados]]&gt;1,"Duplicado","Unico")</f>
        <v>Unico</v>
      </c>
      <c r="P1541" t="str">
        <f t="shared" si="97"/>
        <v>OK</v>
      </c>
      <c r="Q1541" t="str">
        <f t="shared" si="98"/>
        <v>OK</v>
      </c>
      <c r="R1541" t="str">
        <f t="shared" si="99"/>
        <v>OK</v>
      </c>
    </row>
    <row r="1542" spans="1:18" x14ac:dyDescent="0.3">
      <c r="A1542" s="1">
        <v>45759</v>
      </c>
      <c r="B1542" s="2" t="s">
        <v>2630</v>
      </c>
      <c r="C1542" s="2" t="s">
        <v>2543</v>
      </c>
      <c r="D1542" s="2" t="s">
        <v>2528</v>
      </c>
      <c r="E1542" s="2" t="s">
        <v>2517</v>
      </c>
      <c r="F1542" s="3">
        <v>148867</v>
      </c>
      <c r="G1542" s="3">
        <v>10163</v>
      </c>
      <c r="H1542" s="3">
        <v>579</v>
      </c>
      <c r="I1542" s="4">
        <v>18664.95</v>
      </c>
      <c r="J1542" s="4">
        <v>36056.85</v>
      </c>
      <c r="K1542" s="3">
        <v>375</v>
      </c>
      <c r="L1542" s="2" t="s">
        <v>2518</v>
      </c>
      <c r="M1542" s="2" t="s">
        <v>2524</v>
      </c>
      <c r="N1542" s="6">
        <f t="shared" si="96"/>
        <v>1</v>
      </c>
      <c r="O1542" t="str">
        <f>IF(Tabla_control[[#This Row],[Control_duplicados]]&gt;1,"Duplicado","Unico")</f>
        <v>Unico</v>
      </c>
      <c r="P1542" t="str">
        <f t="shared" si="97"/>
        <v>OK</v>
      </c>
      <c r="Q1542" t="str">
        <f t="shared" si="98"/>
        <v>OK</v>
      </c>
      <c r="R1542" t="str">
        <f t="shared" si="99"/>
        <v>OK</v>
      </c>
    </row>
    <row r="1543" spans="1:18" x14ac:dyDescent="0.3">
      <c r="A1543" s="1">
        <v>45959</v>
      </c>
      <c r="B1543" s="2" t="s">
        <v>2632</v>
      </c>
      <c r="C1543" s="2" t="s">
        <v>2543</v>
      </c>
      <c r="D1543" s="2" t="s">
        <v>2531</v>
      </c>
      <c r="E1543" s="2" t="s">
        <v>2517</v>
      </c>
      <c r="F1543" s="3">
        <v>140142</v>
      </c>
      <c r="G1543" s="3">
        <v>720</v>
      </c>
      <c r="H1543" s="3">
        <v>86</v>
      </c>
      <c r="I1543" s="4">
        <v>654.98</v>
      </c>
      <c r="J1543" s="4">
        <v>7203.58</v>
      </c>
      <c r="K1543" s="3">
        <v>63</v>
      </c>
      <c r="L1543" s="2" t="s">
        <v>2518</v>
      </c>
      <c r="M1543" s="2" t="s">
        <v>2524</v>
      </c>
      <c r="N1543" s="6">
        <f t="shared" si="96"/>
        <v>2</v>
      </c>
      <c r="O1543" t="str">
        <f>IF(Tabla_control[[#This Row],[Control_duplicados]]&gt;1,"Duplicado","Unico")</f>
        <v>Duplicado</v>
      </c>
      <c r="P1543" t="str">
        <f t="shared" si="97"/>
        <v>OK</v>
      </c>
      <c r="Q1543" t="str">
        <f t="shared" si="98"/>
        <v>OK</v>
      </c>
      <c r="R1543" t="str">
        <f t="shared" si="99"/>
        <v>OK</v>
      </c>
    </row>
    <row r="1544" spans="1:18" x14ac:dyDescent="0.3">
      <c r="A1544" s="1">
        <v>45971</v>
      </c>
      <c r="B1544" s="2" t="s">
        <v>2617</v>
      </c>
      <c r="C1544" s="2" t="s">
        <v>2521</v>
      </c>
      <c r="D1544" s="2" t="s">
        <v>2528</v>
      </c>
      <c r="E1544" s="2" t="s">
        <v>2529</v>
      </c>
      <c r="F1544" s="3">
        <v>15921</v>
      </c>
      <c r="G1544" s="3">
        <v>518</v>
      </c>
      <c r="H1544" s="3">
        <v>13</v>
      </c>
      <c r="I1544" s="4">
        <v>573.85</v>
      </c>
      <c r="J1544" s="4">
        <v>384.86</v>
      </c>
      <c r="K1544" s="3">
        <v>10</v>
      </c>
      <c r="L1544" s="2" t="s">
        <v>2536</v>
      </c>
      <c r="M1544" s="2" t="s">
        <v>2519</v>
      </c>
      <c r="N1544" s="6">
        <f t="shared" si="96"/>
        <v>1</v>
      </c>
      <c r="O1544" t="str">
        <f>IF(Tabla_control[[#This Row],[Control_duplicados]]&gt;1,"Duplicado","Unico")</f>
        <v>Unico</v>
      </c>
      <c r="P1544" t="str">
        <f t="shared" si="97"/>
        <v>OK</v>
      </c>
      <c r="Q1544" t="str">
        <f t="shared" si="98"/>
        <v>OK</v>
      </c>
      <c r="R1544" t="str">
        <f t="shared" si="99"/>
        <v>OK</v>
      </c>
    </row>
    <row r="1545" spans="1:18" x14ac:dyDescent="0.3">
      <c r="A1545" s="1">
        <v>45697</v>
      </c>
      <c r="B1545" s="2" t="s">
        <v>2636</v>
      </c>
      <c r="C1545" s="2" t="s">
        <v>2543</v>
      </c>
      <c r="D1545" s="2" t="s">
        <v>2528</v>
      </c>
      <c r="E1545" s="2" t="s">
        <v>2517</v>
      </c>
      <c r="F1545" s="3">
        <v>66085</v>
      </c>
      <c r="G1545" s="3">
        <v>3463</v>
      </c>
      <c r="H1545" s="3">
        <v>216</v>
      </c>
      <c r="I1545" s="4">
        <v>5661.18</v>
      </c>
      <c r="J1545" s="4">
        <v>4707.47</v>
      </c>
      <c r="K1545" s="3">
        <v>123</v>
      </c>
      <c r="L1545" s="2" t="s">
        <v>2518</v>
      </c>
      <c r="M1545" s="2" t="s">
        <v>2546</v>
      </c>
      <c r="N1545" s="6">
        <f t="shared" si="96"/>
        <v>1</v>
      </c>
      <c r="O1545" t="str">
        <f>IF(Tabla_control[[#This Row],[Control_duplicados]]&gt;1,"Duplicado","Unico")</f>
        <v>Unico</v>
      </c>
      <c r="P1545" t="str">
        <f t="shared" si="97"/>
        <v>OK</v>
      </c>
      <c r="Q1545" t="str">
        <f t="shared" si="98"/>
        <v>OK</v>
      </c>
      <c r="R1545" t="str">
        <f t="shared" si="99"/>
        <v>OK</v>
      </c>
    </row>
    <row r="1546" spans="1:18" x14ac:dyDescent="0.3">
      <c r="A1546" s="1">
        <v>45747</v>
      </c>
      <c r="B1546" s="2" t="s">
        <v>2617</v>
      </c>
      <c r="C1546" s="2" t="s">
        <v>2515</v>
      </c>
      <c r="D1546" s="2" t="s">
        <v>2528</v>
      </c>
      <c r="E1546" s="2" t="s">
        <v>2529</v>
      </c>
      <c r="F1546" s="3">
        <v>124600</v>
      </c>
      <c r="G1546" s="3">
        <v>5189</v>
      </c>
      <c r="H1546" s="3">
        <v>60</v>
      </c>
      <c r="I1546" s="4">
        <v>8713.31</v>
      </c>
      <c r="J1546" s="4">
        <v>10827.38</v>
      </c>
      <c r="K1546" s="3">
        <v>38</v>
      </c>
      <c r="L1546" s="2" t="s">
        <v>2523</v>
      </c>
      <c r="M1546" s="2" t="s">
        <v>2519</v>
      </c>
      <c r="N1546" s="6">
        <f t="shared" si="96"/>
        <v>1</v>
      </c>
      <c r="O1546" t="str">
        <f>IF(Tabla_control[[#This Row],[Control_duplicados]]&gt;1,"Duplicado","Unico")</f>
        <v>Unico</v>
      </c>
      <c r="P1546" t="str">
        <f t="shared" si="97"/>
        <v>OK</v>
      </c>
      <c r="Q1546" t="str">
        <f t="shared" si="98"/>
        <v>OK</v>
      </c>
      <c r="R1546" t="str">
        <f t="shared" si="99"/>
        <v>OK</v>
      </c>
    </row>
    <row r="1547" spans="1:18" x14ac:dyDescent="0.3">
      <c r="A1547" s="1">
        <v>45939</v>
      </c>
      <c r="B1547" s="2" t="s">
        <v>2637</v>
      </c>
      <c r="C1547" s="2" t="s">
        <v>2541</v>
      </c>
      <c r="D1547" s="2" t="s">
        <v>2516</v>
      </c>
      <c r="E1547" s="2" t="s">
        <v>2517</v>
      </c>
      <c r="F1547" s="3">
        <v>177580</v>
      </c>
      <c r="G1547" s="3">
        <v>3544</v>
      </c>
      <c r="H1547" s="3">
        <v>135</v>
      </c>
      <c r="I1547" s="4">
        <v>4192.04</v>
      </c>
      <c r="J1547" s="4">
        <v>15346.32</v>
      </c>
      <c r="K1547" s="3">
        <v>67</v>
      </c>
      <c r="L1547" s="2" t="s">
        <v>2523</v>
      </c>
      <c r="M1547" s="2" t="s">
        <v>2546</v>
      </c>
      <c r="N1547" s="6">
        <f t="shared" si="96"/>
        <v>1</v>
      </c>
      <c r="O1547" t="str">
        <f>IF(Tabla_control[[#This Row],[Control_duplicados]]&gt;1,"Duplicado","Unico")</f>
        <v>Unico</v>
      </c>
      <c r="P1547" t="str">
        <f t="shared" si="97"/>
        <v>OK</v>
      </c>
      <c r="Q1547" t="str">
        <f t="shared" si="98"/>
        <v>OK</v>
      </c>
      <c r="R1547" t="str">
        <f t="shared" si="99"/>
        <v>OK</v>
      </c>
    </row>
    <row r="1548" spans="1:18" x14ac:dyDescent="0.3">
      <c r="A1548" s="1">
        <v>45980</v>
      </c>
      <c r="B1548" s="2" t="s">
        <v>2644</v>
      </c>
      <c r="C1548" s="2" t="s">
        <v>2543</v>
      </c>
      <c r="D1548" s="2" t="s">
        <v>2522</v>
      </c>
      <c r="E1548" s="2" t="s">
        <v>2529</v>
      </c>
      <c r="F1548" s="3">
        <v>162787</v>
      </c>
      <c r="G1548" s="3">
        <v>4642</v>
      </c>
      <c r="H1548" s="3">
        <v>181</v>
      </c>
      <c r="I1548" s="4">
        <v>3446.08</v>
      </c>
      <c r="J1548" s="4">
        <v>12832.43</v>
      </c>
      <c r="K1548" s="3">
        <v>131</v>
      </c>
      <c r="L1548" s="2" t="s">
        <v>2536</v>
      </c>
      <c r="M1548" s="2" t="s">
        <v>2537</v>
      </c>
      <c r="N1548" s="6">
        <f t="shared" si="96"/>
        <v>1</v>
      </c>
      <c r="O1548" t="str">
        <f>IF(Tabla_control[[#This Row],[Control_duplicados]]&gt;1,"Duplicado","Unico")</f>
        <v>Unico</v>
      </c>
      <c r="P1548" t="str">
        <f t="shared" si="97"/>
        <v>OK</v>
      </c>
      <c r="Q1548" t="str">
        <f t="shared" si="98"/>
        <v>OK</v>
      </c>
      <c r="R1548" t="str">
        <f t="shared" si="99"/>
        <v>OK</v>
      </c>
    </row>
    <row r="1549" spans="1:18" x14ac:dyDescent="0.3">
      <c r="A1549" s="1">
        <v>45667</v>
      </c>
      <c r="B1549" s="2" t="s">
        <v>2618</v>
      </c>
      <c r="C1549" s="2" t="s">
        <v>2515</v>
      </c>
      <c r="D1549" s="2" t="s">
        <v>2516</v>
      </c>
      <c r="E1549" s="2" t="s">
        <v>2529</v>
      </c>
      <c r="F1549" s="3">
        <v>78808</v>
      </c>
      <c r="G1549" s="3">
        <v>2281</v>
      </c>
      <c r="H1549" s="3">
        <v>253</v>
      </c>
      <c r="I1549" s="4">
        <v>746.58</v>
      </c>
      <c r="J1549" s="4">
        <v>21512.11</v>
      </c>
      <c r="K1549" s="3">
        <v>146</v>
      </c>
      <c r="L1549" s="2" t="s">
        <v>2518</v>
      </c>
      <c r="M1549" s="2" t="s">
        <v>2537</v>
      </c>
      <c r="N1549" s="6">
        <f t="shared" si="96"/>
        <v>1</v>
      </c>
      <c r="O1549" t="str">
        <f>IF(Tabla_control[[#This Row],[Control_duplicados]]&gt;1,"Duplicado","Unico")</f>
        <v>Unico</v>
      </c>
      <c r="P1549" t="str">
        <f t="shared" si="97"/>
        <v>OK</v>
      </c>
      <c r="Q1549" t="str">
        <f t="shared" si="98"/>
        <v>OK</v>
      </c>
      <c r="R1549" t="str">
        <f t="shared" si="99"/>
        <v>OK</v>
      </c>
    </row>
    <row r="1550" spans="1:18" x14ac:dyDescent="0.3">
      <c r="A1550" s="1">
        <v>45788</v>
      </c>
      <c r="B1550" s="2" t="s">
        <v>2638</v>
      </c>
      <c r="C1550" s="2" t="s">
        <v>2533</v>
      </c>
      <c r="D1550" s="2" t="s">
        <v>2531</v>
      </c>
      <c r="E1550" s="2" t="s">
        <v>2517</v>
      </c>
      <c r="F1550" s="3">
        <v>168664</v>
      </c>
      <c r="G1550" s="3">
        <v>13474</v>
      </c>
      <c r="H1550" s="3">
        <v>1668</v>
      </c>
      <c r="I1550" s="4">
        <v>16926.439999999999</v>
      </c>
      <c r="J1550" s="4">
        <v>234966.05</v>
      </c>
      <c r="K1550" s="3">
        <v>1054</v>
      </c>
      <c r="L1550" s="2" t="s">
        <v>2536</v>
      </c>
      <c r="M1550" s="2" t="s">
        <v>2524</v>
      </c>
      <c r="N1550" s="6">
        <f t="shared" si="96"/>
        <v>1</v>
      </c>
      <c r="O1550" t="str">
        <f>IF(Tabla_control[[#This Row],[Control_duplicados]]&gt;1,"Duplicado","Unico")</f>
        <v>Unico</v>
      </c>
      <c r="P1550" t="str">
        <f t="shared" si="97"/>
        <v>OK</v>
      </c>
      <c r="Q1550" t="str">
        <f t="shared" si="98"/>
        <v>OK</v>
      </c>
      <c r="R1550" t="str">
        <f t="shared" si="99"/>
        <v>OK</v>
      </c>
    </row>
    <row r="1551" spans="1:18" x14ac:dyDescent="0.3">
      <c r="A1551" s="1">
        <v>45751</v>
      </c>
      <c r="B1551" s="2" t="s">
        <v>2619</v>
      </c>
      <c r="C1551" s="2" t="s">
        <v>2527</v>
      </c>
      <c r="D1551" s="2" t="s">
        <v>2528</v>
      </c>
      <c r="E1551" s="2" t="s">
        <v>2517</v>
      </c>
      <c r="F1551" s="3">
        <v>121777</v>
      </c>
      <c r="G1551" s="3">
        <v>3191</v>
      </c>
      <c r="H1551" s="3">
        <v>303</v>
      </c>
      <c r="I1551" s="4">
        <v>5930.38</v>
      </c>
      <c r="J1551" s="4">
        <v>34446.480000000003</v>
      </c>
      <c r="K1551" s="3">
        <v>223</v>
      </c>
      <c r="L1551" s="2" t="s">
        <v>2523</v>
      </c>
      <c r="M1551" s="2" t="s">
        <v>2537</v>
      </c>
      <c r="N1551" s="6">
        <f t="shared" si="96"/>
        <v>1</v>
      </c>
      <c r="O1551" t="str">
        <f>IF(Tabla_control[[#This Row],[Control_duplicados]]&gt;1,"Duplicado","Unico")</f>
        <v>Unico</v>
      </c>
      <c r="P1551" t="str">
        <f t="shared" si="97"/>
        <v>OK</v>
      </c>
      <c r="Q1551" t="str">
        <f t="shared" si="98"/>
        <v>OK</v>
      </c>
      <c r="R1551" t="str">
        <f t="shared" si="99"/>
        <v>OK</v>
      </c>
    </row>
    <row r="1552" spans="1:18" x14ac:dyDescent="0.3">
      <c r="A1552" s="1">
        <v>45801</v>
      </c>
      <c r="B1552" s="2" t="s">
        <v>2637</v>
      </c>
      <c r="C1552" s="2" t="s">
        <v>2527</v>
      </c>
      <c r="D1552" s="2" t="s">
        <v>2528</v>
      </c>
      <c r="E1552" s="2" t="s">
        <v>2517</v>
      </c>
      <c r="F1552" s="3">
        <v>46429</v>
      </c>
      <c r="G1552" s="3">
        <v>3679</v>
      </c>
      <c r="H1552" s="3">
        <v>323</v>
      </c>
      <c r="I1552" s="4">
        <v>4349.8599999999997</v>
      </c>
      <c r="J1552" s="4">
        <v>11847.41</v>
      </c>
      <c r="K1552" s="3">
        <v>162</v>
      </c>
      <c r="L1552" s="2" t="s">
        <v>2539</v>
      </c>
      <c r="M1552" s="2" t="s">
        <v>2519</v>
      </c>
      <c r="N1552" s="6">
        <f t="shared" si="96"/>
        <v>1</v>
      </c>
      <c r="O1552" t="str">
        <f>IF(Tabla_control[[#This Row],[Control_duplicados]]&gt;1,"Duplicado","Unico")</f>
        <v>Unico</v>
      </c>
      <c r="P1552" t="str">
        <f t="shared" si="97"/>
        <v>OK</v>
      </c>
      <c r="Q1552" t="str">
        <f t="shared" si="98"/>
        <v>OK</v>
      </c>
      <c r="R1552" t="str">
        <f t="shared" si="99"/>
        <v>OK</v>
      </c>
    </row>
    <row r="1553" spans="1:18" x14ac:dyDescent="0.3">
      <c r="A1553" s="1">
        <v>45679</v>
      </c>
      <c r="B1553" s="2" t="s">
        <v>2643</v>
      </c>
      <c r="C1553" s="2" t="s">
        <v>2521</v>
      </c>
      <c r="D1553" s="2" t="s">
        <v>2528</v>
      </c>
      <c r="E1553" s="2" t="s">
        <v>2517</v>
      </c>
      <c r="F1553" s="3">
        <v>139403</v>
      </c>
      <c r="G1553" s="3">
        <v>1430</v>
      </c>
      <c r="H1553" s="3">
        <v>172</v>
      </c>
      <c r="I1553" s="4">
        <v>1804.26</v>
      </c>
      <c r="J1553" s="4">
        <v>7979.76</v>
      </c>
      <c r="K1553" s="3">
        <v>111</v>
      </c>
      <c r="L1553" s="2" t="s">
        <v>2523</v>
      </c>
      <c r="M1553" s="2" t="s">
        <v>2546</v>
      </c>
      <c r="N1553" s="6">
        <f t="shared" si="96"/>
        <v>1</v>
      </c>
      <c r="O1553" t="str">
        <f>IF(Tabla_control[[#This Row],[Control_duplicados]]&gt;1,"Duplicado","Unico")</f>
        <v>Unico</v>
      </c>
      <c r="P1553" t="str">
        <f t="shared" si="97"/>
        <v>OK</v>
      </c>
      <c r="Q1553" t="str">
        <f t="shared" si="98"/>
        <v>OK</v>
      </c>
      <c r="R1553" t="str">
        <f t="shared" si="99"/>
        <v>OK</v>
      </c>
    </row>
    <row r="1554" spans="1:18" x14ac:dyDescent="0.3">
      <c r="A1554" s="1">
        <v>45702</v>
      </c>
      <c r="B1554" s="2" t="s">
        <v>2632</v>
      </c>
      <c r="C1554" s="2" t="s">
        <v>2521</v>
      </c>
      <c r="D1554" s="2" t="s">
        <v>2516</v>
      </c>
      <c r="E1554" s="2" t="s">
        <v>2529</v>
      </c>
      <c r="F1554" s="3">
        <v>158003</v>
      </c>
      <c r="G1554" s="3">
        <v>7990</v>
      </c>
      <c r="H1554" s="3">
        <v>643</v>
      </c>
      <c r="I1554" s="4">
        <v>15771.09</v>
      </c>
      <c r="J1554" s="4">
        <v>14383.5</v>
      </c>
      <c r="K1554" s="3">
        <v>405</v>
      </c>
      <c r="L1554" s="2" t="s">
        <v>2536</v>
      </c>
      <c r="M1554" s="2" t="s">
        <v>2537</v>
      </c>
      <c r="N1554" s="6">
        <f t="shared" si="96"/>
        <v>1</v>
      </c>
      <c r="O1554" t="str">
        <f>IF(Tabla_control[[#This Row],[Control_duplicados]]&gt;1,"Duplicado","Unico")</f>
        <v>Unico</v>
      </c>
      <c r="P1554" t="str">
        <f t="shared" si="97"/>
        <v>OK</v>
      </c>
      <c r="Q1554" t="str">
        <f t="shared" si="98"/>
        <v>OK</v>
      </c>
      <c r="R1554" t="str">
        <f t="shared" si="99"/>
        <v>OK</v>
      </c>
    </row>
    <row r="1555" spans="1:18" x14ac:dyDescent="0.3">
      <c r="A1555" s="1">
        <v>46022</v>
      </c>
      <c r="B1555" s="2" t="s">
        <v>2627</v>
      </c>
      <c r="C1555" s="2" t="s">
        <v>2543</v>
      </c>
      <c r="D1555" s="2" t="s">
        <v>2528</v>
      </c>
      <c r="E1555" s="2" t="s">
        <v>2529</v>
      </c>
      <c r="F1555" s="3">
        <v>85913</v>
      </c>
      <c r="G1555" s="3">
        <v>649</v>
      </c>
      <c r="H1555" s="3">
        <v>31</v>
      </c>
      <c r="I1555" s="4">
        <v>946.95</v>
      </c>
      <c r="J1555" s="4">
        <v>4384.24</v>
      </c>
      <c r="K1555" s="3">
        <v>25</v>
      </c>
      <c r="L1555" s="2" t="s">
        <v>2536</v>
      </c>
      <c r="M1555" s="2" t="s">
        <v>2524</v>
      </c>
      <c r="N1555" s="6">
        <f t="shared" si="96"/>
        <v>1</v>
      </c>
      <c r="O1555" t="str">
        <f>IF(Tabla_control[[#This Row],[Control_duplicados]]&gt;1,"Duplicado","Unico")</f>
        <v>Unico</v>
      </c>
      <c r="P1555" t="str">
        <f t="shared" si="97"/>
        <v>OK</v>
      </c>
      <c r="Q1555" t="str">
        <f t="shared" si="98"/>
        <v>OK</v>
      </c>
      <c r="R1555" t="str">
        <f t="shared" si="99"/>
        <v>OK</v>
      </c>
    </row>
    <row r="1556" spans="1:18" x14ac:dyDescent="0.3">
      <c r="A1556" s="1">
        <v>46003</v>
      </c>
      <c r="B1556" s="2" t="s">
        <v>2642</v>
      </c>
      <c r="C1556" s="2" t="s">
        <v>2541</v>
      </c>
      <c r="D1556" s="2" t="s">
        <v>2528</v>
      </c>
      <c r="E1556" s="2" t="s">
        <v>2529</v>
      </c>
      <c r="F1556" s="3">
        <v>13719</v>
      </c>
      <c r="G1556" s="3">
        <v>413</v>
      </c>
      <c r="H1556" s="3">
        <v>47</v>
      </c>
      <c r="I1556" s="4">
        <v>88.82</v>
      </c>
      <c r="J1556" s="4">
        <v>5065.41</v>
      </c>
      <c r="K1556" s="3">
        <v>34</v>
      </c>
      <c r="L1556" s="2" t="s">
        <v>2539</v>
      </c>
      <c r="M1556" s="2" t="s">
        <v>2524</v>
      </c>
      <c r="N1556" s="6">
        <f t="shared" si="96"/>
        <v>1</v>
      </c>
      <c r="O1556" t="str">
        <f>IF(Tabla_control[[#This Row],[Control_duplicados]]&gt;1,"Duplicado","Unico")</f>
        <v>Unico</v>
      </c>
      <c r="P1556" t="str">
        <f t="shared" si="97"/>
        <v>OK</v>
      </c>
      <c r="Q1556" t="str">
        <f t="shared" si="98"/>
        <v>OK</v>
      </c>
      <c r="R1556" t="str">
        <f t="shared" si="99"/>
        <v>OK</v>
      </c>
    </row>
    <row r="1557" spans="1:18" x14ac:dyDescent="0.3">
      <c r="A1557" s="1">
        <v>45687</v>
      </c>
      <c r="B1557" s="2" t="s">
        <v>2642</v>
      </c>
      <c r="C1557" s="2" t="s">
        <v>2521</v>
      </c>
      <c r="D1557" s="2" t="s">
        <v>2528</v>
      </c>
      <c r="E1557" s="2" t="s">
        <v>2534</v>
      </c>
      <c r="F1557" s="3">
        <v>23943</v>
      </c>
      <c r="G1557" s="3">
        <v>1274</v>
      </c>
      <c r="H1557" s="3">
        <v>107</v>
      </c>
      <c r="I1557" s="4">
        <v>2222.29</v>
      </c>
      <c r="J1557" s="4">
        <v>9235.9500000000007</v>
      </c>
      <c r="K1557" s="3">
        <v>66</v>
      </c>
      <c r="L1557" s="2" t="s">
        <v>2536</v>
      </c>
      <c r="M1557" s="2" t="s">
        <v>2526</v>
      </c>
      <c r="N1557" s="6">
        <f t="shared" si="96"/>
        <v>1</v>
      </c>
      <c r="O1557" t="str">
        <f>IF(Tabla_control[[#This Row],[Control_duplicados]]&gt;1,"Duplicado","Unico")</f>
        <v>Unico</v>
      </c>
      <c r="P1557" t="str">
        <f t="shared" si="97"/>
        <v>OK</v>
      </c>
      <c r="Q1557" t="str">
        <f t="shared" si="98"/>
        <v>OK</v>
      </c>
      <c r="R1557" t="str">
        <f t="shared" si="99"/>
        <v>OK</v>
      </c>
    </row>
    <row r="1558" spans="1:18" x14ac:dyDescent="0.3">
      <c r="A1558" s="1">
        <v>45796</v>
      </c>
      <c r="B1558" s="2" t="s">
        <v>2625</v>
      </c>
      <c r="C1558" s="2" t="s">
        <v>2543</v>
      </c>
      <c r="D1558" s="2" t="s">
        <v>2525</v>
      </c>
      <c r="E1558" s="2" t="s">
        <v>2529</v>
      </c>
      <c r="F1558" s="3">
        <v>69001</v>
      </c>
      <c r="G1558" s="3">
        <v>4027</v>
      </c>
      <c r="H1558" s="3">
        <v>316</v>
      </c>
      <c r="I1558" s="4">
        <v>8249.01</v>
      </c>
      <c r="J1558" s="4">
        <v>30459.07</v>
      </c>
      <c r="K1558" s="3">
        <v>253</v>
      </c>
      <c r="L1558" s="2" t="s">
        <v>2536</v>
      </c>
      <c r="M1558" s="2" t="s">
        <v>2519</v>
      </c>
      <c r="N1558" s="6">
        <f t="shared" si="96"/>
        <v>1</v>
      </c>
      <c r="O1558" t="str">
        <f>IF(Tabla_control[[#This Row],[Control_duplicados]]&gt;1,"Duplicado","Unico")</f>
        <v>Unico</v>
      </c>
      <c r="P1558" t="str">
        <f t="shared" si="97"/>
        <v>OK</v>
      </c>
      <c r="Q1558" t="str">
        <f t="shared" si="98"/>
        <v>OK</v>
      </c>
      <c r="R1558" t="str">
        <f t="shared" si="99"/>
        <v>OK</v>
      </c>
    </row>
    <row r="1559" spans="1:18" x14ac:dyDescent="0.3">
      <c r="A1559" s="1">
        <v>45752</v>
      </c>
      <c r="B1559" s="2" t="s">
        <v>2629</v>
      </c>
      <c r="C1559" s="2" t="s">
        <v>2543</v>
      </c>
      <c r="D1559" s="2" t="s">
        <v>2531</v>
      </c>
      <c r="E1559" s="2" t="s">
        <v>2529</v>
      </c>
      <c r="F1559" s="3">
        <v>80135</v>
      </c>
      <c r="G1559" s="3">
        <v>6495</v>
      </c>
      <c r="H1559" s="3">
        <v>617</v>
      </c>
      <c r="I1559" s="4">
        <v>1951.46</v>
      </c>
      <c r="J1559" s="4">
        <v>63056.72</v>
      </c>
      <c r="K1559" s="3">
        <v>482</v>
      </c>
      <c r="L1559" s="2" t="s">
        <v>2523</v>
      </c>
      <c r="M1559" s="2" t="s">
        <v>2526</v>
      </c>
      <c r="N1559" s="6">
        <f t="shared" si="96"/>
        <v>1</v>
      </c>
      <c r="O1559" t="str">
        <f>IF(Tabla_control[[#This Row],[Control_duplicados]]&gt;1,"Duplicado","Unico")</f>
        <v>Unico</v>
      </c>
      <c r="P1559" t="str">
        <f t="shared" si="97"/>
        <v>OK</v>
      </c>
      <c r="Q1559" t="str">
        <f t="shared" si="98"/>
        <v>OK</v>
      </c>
      <c r="R1559" t="str">
        <f t="shared" si="99"/>
        <v>OK</v>
      </c>
    </row>
    <row r="1560" spans="1:18" x14ac:dyDescent="0.3">
      <c r="A1560" s="1">
        <v>45702</v>
      </c>
      <c r="B1560" s="2" t="s">
        <v>2641</v>
      </c>
      <c r="C1560" s="2" t="s">
        <v>2543</v>
      </c>
      <c r="D1560" s="2" t="s">
        <v>2528</v>
      </c>
      <c r="E1560" s="2" t="s">
        <v>2517</v>
      </c>
      <c r="F1560" s="3">
        <v>32523</v>
      </c>
      <c r="G1560" s="3">
        <v>1867</v>
      </c>
      <c r="H1560" s="3">
        <v>109</v>
      </c>
      <c r="I1560" s="4">
        <v>1969.11</v>
      </c>
      <c r="J1560" s="4">
        <v>11350.4</v>
      </c>
      <c r="K1560" s="3">
        <v>76</v>
      </c>
      <c r="L1560" s="2" t="s">
        <v>2536</v>
      </c>
      <c r="M1560" s="2" t="s">
        <v>2526</v>
      </c>
      <c r="N1560" s="6">
        <f t="shared" si="96"/>
        <v>1</v>
      </c>
      <c r="O1560" t="str">
        <f>IF(Tabla_control[[#This Row],[Control_duplicados]]&gt;1,"Duplicado","Unico")</f>
        <v>Unico</v>
      </c>
      <c r="P1560" t="str">
        <f t="shared" si="97"/>
        <v>OK</v>
      </c>
      <c r="Q1560" t="str">
        <f t="shared" si="98"/>
        <v>OK</v>
      </c>
      <c r="R1560" t="str">
        <f t="shared" si="99"/>
        <v>OK</v>
      </c>
    </row>
    <row r="1561" spans="1:18" x14ac:dyDescent="0.3">
      <c r="A1561" s="1">
        <v>45936</v>
      </c>
      <c r="B1561" s="2" t="s">
        <v>2643</v>
      </c>
      <c r="C1561" s="2" t="s">
        <v>2527</v>
      </c>
      <c r="D1561" s="2" t="s">
        <v>2531</v>
      </c>
      <c r="E1561" s="2" t="s">
        <v>2529</v>
      </c>
      <c r="F1561" s="3">
        <v>36245</v>
      </c>
      <c r="G1561" s="3">
        <v>452</v>
      </c>
      <c r="H1561" s="3">
        <v>12</v>
      </c>
      <c r="I1561" s="4">
        <v>336.79</v>
      </c>
      <c r="J1561" s="4">
        <v>1522.32</v>
      </c>
      <c r="K1561" s="3">
        <v>7</v>
      </c>
      <c r="L1561" s="2" t="s">
        <v>2523</v>
      </c>
      <c r="M1561" s="2" t="s">
        <v>2546</v>
      </c>
      <c r="N1561" s="6">
        <f t="shared" si="96"/>
        <v>1</v>
      </c>
      <c r="O1561" t="str">
        <f>IF(Tabla_control[[#This Row],[Control_duplicados]]&gt;1,"Duplicado","Unico")</f>
        <v>Unico</v>
      </c>
      <c r="P1561" t="str">
        <f t="shared" si="97"/>
        <v>OK</v>
      </c>
      <c r="Q1561" t="str">
        <f t="shared" si="98"/>
        <v>OK</v>
      </c>
      <c r="R1561" t="str">
        <f t="shared" si="99"/>
        <v>OK</v>
      </c>
    </row>
    <row r="1562" spans="1:18" x14ac:dyDescent="0.3">
      <c r="A1562" s="1">
        <v>45934</v>
      </c>
      <c r="B1562" s="2" t="s">
        <v>2644</v>
      </c>
      <c r="C1562" s="2" t="s">
        <v>2541</v>
      </c>
      <c r="D1562" s="2" t="s">
        <v>2516</v>
      </c>
      <c r="E1562" s="2" t="s">
        <v>2517</v>
      </c>
      <c r="F1562" s="3">
        <v>91166</v>
      </c>
      <c r="G1562" s="3">
        <v>2900</v>
      </c>
      <c r="H1562" s="3">
        <v>325</v>
      </c>
      <c r="I1562" s="4">
        <v>733.59</v>
      </c>
      <c r="J1562" s="4">
        <v>65334.28</v>
      </c>
      <c r="K1562" s="3">
        <v>244</v>
      </c>
      <c r="L1562" s="2" t="s">
        <v>2523</v>
      </c>
      <c r="M1562" s="2" t="s">
        <v>2524</v>
      </c>
      <c r="N1562" s="6">
        <f t="shared" si="96"/>
        <v>1</v>
      </c>
      <c r="O1562" t="str">
        <f>IF(Tabla_control[[#This Row],[Control_duplicados]]&gt;1,"Duplicado","Unico")</f>
        <v>Unico</v>
      </c>
      <c r="P1562" t="str">
        <f t="shared" si="97"/>
        <v>OK</v>
      </c>
      <c r="Q1562" t="str">
        <f t="shared" si="98"/>
        <v>OK</v>
      </c>
      <c r="R1562" t="str">
        <f t="shared" si="99"/>
        <v>OK</v>
      </c>
    </row>
    <row r="1563" spans="1:18" x14ac:dyDescent="0.3">
      <c r="A1563" s="1">
        <v>45809</v>
      </c>
      <c r="B1563" s="2" t="s">
        <v>2619</v>
      </c>
      <c r="C1563" s="2" t="s">
        <v>2521</v>
      </c>
      <c r="D1563" s="2" t="s">
        <v>2528</v>
      </c>
      <c r="E1563" s="2" t="s">
        <v>2529</v>
      </c>
      <c r="F1563" s="3">
        <v>174485</v>
      </c>
      <c r="G1563" s="3">
        <v>8504</v>
      </c>
      <c r="H1563" s="3">
        <v>1126</v>
      </c>
      <c r="I1563" s="4">
        <v>12769.07</v>
      </c>
      <c r="J1563" s="4">
        <v>104774.34</v>
      </c>
      <c r="K1563" s="3">
        <v>851</v>
      </c>
      <c r="L1563" s="2" t="s">
        <v>2536</v>
      </c>
      <c r="M1563" s="2" t="s">
        <v>2546</v>
      </c>
      <c r="N1563" s="6">
        <f t="shared" si="96"/>
        <v>1</v>
      </c>
      <c r="O1563" t="str">
        <f>IF(Tabla_control[[#This Row],[Control_duplicados]]&gt;1,"Duplicado","Unico")</f>
        <v>Unico</v>
      </c>
      <c r="P1563" t="str">
        <f t="shared" si="97"/>
        <v>OK</v>
      </c>
      <c r="Q1563" t="str">
        <f t="shared" si="98"/>
        <v>OK</v>
      </c>
      <c r="R1563" t="str">
        <f t="shared" si="99"/>
        <v>OK</v>
      </c>
    </row>
    <row r="1564" spans="1:18" x14ac:dyDescent="0.3">
      <c r="A1564" s="1">
        <v>45896</v>
      </c>
      <c r="B1564" s="2" t="s">
        <v>2626</v>
      </c>
      <c r="C1564" s="2" t="s">
        <v>2533</v>
      </c>
      <c r="D1564" s="2" t="s">
        <v>2528</v>
      </c>
      <c r="E1564" s="2" t="s">
        <v>2529</v>
      </c>
      <c r="F1564" s="3">
        <v>86575</v>
      </c>
      <c r="G1564" s="3">
        <v>3825</v>
      </c>
      <c r="H1564" s="3">
        <v>308</v>
      </c>
      <c r="I1564" s="4">
        <v>5908.47</v>
      </c>
      <c r="J1564" s="4">
        <v>61375.07</v>
      </c>
      <c r="K1564" s="3">
        <v>229</v>
      </c>
      <c r="L1564" s="2" t="s">
        <v>2518</v>
      </c>
      <c r="M1564" s="2" t="s">
        <v>2524</v>
      </c>
      <c r="N1564" s="6">
        <f t="shared" si="96"/>
        <v>1</v>
      </c>
      <c r="O1564" t="str">
        <f>IF(Tabla_control[[#This Row],[Control_duplicados]]&gt;1,"Duplicado","Unico")</f>
        <v>Unico</v>
      </c>
      <c r="P1564" t="str">
        <f t="shared" si="97"/>
        <v>OK</v>
      </c>
      <c r="Q1564" t="str">
        <f t="shared" si="98"/>
        <v>OK</v>
      </c>
      <c r="R1564" t="str">
        <f t="shared" si="99"/>
        <v>OK</v>
      </c>
    </row>
    <row r="1565" spans="1:18" x14ac:dyDescent="0.3">
      <c r="A1565" s="1">
        <v>46015</v>
      </c>
      <c r="B1565" s="2" t="s">
        <v>2618</v>
      </c>
      <c r="C1565" s="2" t="s">
        <v>2527</v>
      </c>
      <c r="D1565" s="2" t="s">
        <v>2531</v>
      </c>
      <c r="E1565" s="2" t="s">
        <v>2529</v>
      </c>
      <c r="F1565" s="3">
        <v>94123</v>
      </c>
      <c r="G1565" s="3">
        <v>2531</v>
      </c>
      <c r="H1565" s="3">
        <v>125</v>
      </c>
      <c r="I1565" s="4">
        <v>2996.88</v>
      </c>
      <c r="J1565" s="4">
        <v>23461.31</v>
      </c>
      <c r="K1565" s="3">
        <v>78</v>
      </c>
      <c r="L1565" s="2" t="s">
        <v>2523</v>
      </c>
      <c r="M1565" s="2" t="s">
        <v>2519</v>
      </c>
      <c r="N1565" s="6">
        <f t="shared" si="96"/>
        <v>1</v>
      </c>
      <c r="O1565" t="str">
        <f>IF(Tabla_control[[#This Row],[Control_duplicados]]&gt;1,"Duplicado","Unico")</f>
        <v>Unico</v>
      </c>
      <c r="P1565" t="str">
        <f t="shared" si="97"/>
        <v>OK</v>
      </c>
      <c r="Q1565" t="str">
        <f t="shared" si="98"/>
        <v>OK</v>
      </c>
      <c r="R1565" t="str">
        <f t="shared" si="99"/>
        <v>OK</v>
      </c>
    </row>
    <row r="1566" spans="1:18" x14ac:dyDescent="0.3">
      <c r="A1566" s="1">
        <v>45823</v>
      </c>
      <c r="B1566" s="2" t="s">
        <v>2634</v>
      </c>
      <c r="C1566" s="2" t="s">
        <v>2527</v>
      </c>
      <c r="D1566" s="2" t="s">
        <v>2531</v>
      </c>
      <c r="E1566" s="2" t="s">
        <v>2529</v>
      </c>
      <c r="F1566" s="3">
        <v>41742</v>
      </c>
      <c r="G1566" s="3">
        <v>3075</v>
      </c>
      <c r="H1566" s="3">
        <v>180</v>
      </c>
      <c r="I1566" s="4">
        <v>2383.98</v>
      </c>
      <c r="J1566" s="4">
        <v>16501.62</v>
      </c>
      <c r="K1566" s="3">
        <v>144</v>
      </c>
      <c r="L1566" s="2" t="s">
        <v>2536</v>
      </c>
      <c r="M1566" s="2" t="s">
        <v>2524</v>
      </c>
      <c r="N1566" s="6">
        <f t="shared" si="96"/>
        <v>1</v>
      </c>
      <c r="O1566" t="str">
        <f>IF(Tabla_control[[#This Row],[Control_duplicados]]&gt;1,"Duplicado","Unico")</f>
        <v>Unico</v>
      </c>
      <c r="P1566" t="str">
        <f t="shared" si="97"/>
        <v>OK</v>
      </c>
      <c r="Q1566" t="str">
        <f t="shared" si="98"/>
        <v>OK</v>
      </c>
      <c r="R1566" t="str">
        <f t="shared" si="99"/>
        <v>OK</v>
      </c>
    </row>
    <row r="1567" spans="1:18" x14ac:dyDescent="0.3">
      <c r="A1567" s="1">
        <v>45809</v>
      </c>
      <c r="B1567" s="2" t="s">
        <v>2635</v>
      </c>
      <c r="C1567" s="2" t="s">
        <v>2527</v>
      </c>
      <c r="D1567" s="2" t="s">
        <v>2528</v>
      </c>
      <c r="E1567" s="2" t="s">
        <v>2529</v>
      </c>
      <c r="F1567" s="3">
        <v>88001</v>
      </c>
      <c r="G1567" s="3">
        <v>3204</v>
      </c>
      <c r="H1567" s="3">
        <v>334</v>
      </c>
      <c r="I1567" s="4">
        <v>2322.64</v>
      </c>
      <c r="J1567" s="4">
        <v>62734.87</v>
      </c>
      <c r="K1567" s="3">
        <v>282</v>
      </c>
      <c r="L1567" s="2" t="s">
        <v>2518</v>
      </c>
      <c r="M1567" s="2" t="s">
        <v>2537</v>
      </c>
      <c r="N1567" s="6">
        <f t="shared" si="96"/>
        <v>1</v>
      </c>
      <c r="O1567" t="str">
        <f>IF(Tabla_control[[#This Row],[Control_duplicados]]&gt;1,"Duplicado","Unico")</f>
        <v>Unico</v>
      </c>
      <c r="P1567" t="str">
        <f t="shared" si="97"/>
        <v>OK</v>
      </c>
      <c r="Q1567" t="str">
        <f t="shared" si="98"/>
        <v>OK</v>
      </c>
      <c r="R1567" t="str">
        <f t="shared" si="99"/>
        <v>OK</v>
      </c>
    </row>
    <row r="1568" spans="1:18" x14ac:dyDescent="0.3">
      <c r="A1568" s="1">
        <v>46022</v>
      </c>
      <c r="B1568" s="2" t="s">
        <v>2635</v>
      </c>
      <c r="C1568" s="2" t="s">
        <v>2541</v>
      </c>
      <c r="D1568" s="2" t="s">
        <v>2528</v>
      </c>
      <c r="E1568" s="2" t="s">
        <v>2529</v>
      </c>
      <c r="F1568" s="3">
        <v>45858</v>
      </c>
      <c r="G1568" s="3">
        <v>2950</v>
      </c>
      <c r="H1568" s="3">
        <v>391</v>
      </c>
      <c r="I1568" s="4">
        <v>3752.98</v>
      </c>
      <c r="J1568" s="4">
        <v>55230.080000000002</v>
      </c>
      <c r="K1568" s="3">
        <v>241</v>
      </c>
      <c r="L1568" s="2" t="s">
        <v>2523</v>
      </c>
      <c r="M1568" s="2" t="s">
        <v>2546</v>
      </c>
      <c r="N1568" s="6">
        <f t="shared" si="96"/>
        <v>1</v>
      </c>
      <c r="O1568" t="str">
        <f>IF(Tabla_control[[#This Row],[Control_duplicados]]&gt;1,"Duplicado","Unico")</f>
        <v>Unico</v>
      </c>
      <c r="P1568" t="str">
        <f t="shared" si="97"/>
        <v>OK</v>
      </c>
      <c r="Q1568" t="str">
        <f t="shared" si="98"/>
        <v>OK</v>
      </c>
      <c r="R1568" t="str">
        <f t="shared" si="99"/>
        <v>OK</v>
      </c>
    </row>
    <row r="1569" spans="1:18" x14ac:dyDescent="0.3">
      <c r="A1569" s="1">
        <v>45810</v>
      </c>
      <c r="B1569" s="2" t="s">
        <v>2641</v>
      </c>
      <c r="C1569" s="2" t="s">
        <v>2533</v>
      </c>
      <c r="D1569" s="2" t="s">
        <v>2528</v>
      </c>
      <c r="E1569" s="2" t="s">
        <v>2517</v>
      </c>
      <c r="F1569" s="3">
        <v>11350</v>
      </c>
      <c r="G1569" s="3">
        <v>603</v>
      </c>
      <c r="H1569" s="3">
        <v>10</v>
      </c>
      <c r="I1569" s="4">
        <v>237.73</v>
      </c>
      <c r="J1569" s="4">
        <v>954.66</v>
      </c>
      <c r="K1569" s="3">
        <v>5</v>
      </c>
      <c r="L1569" s="2" t="s">
        <v>2523</v>
      </c>
      <c r="M1569" s="2" t="s">
        <v>2519</v>
      </c>
      <c r="N1569" s="6">
        <f t="shared" si="96"/>
        <v>1</v>
      </c>
      <c r="O1569" t="str">
        <f>IF(Tabla_control[[#This Row],[Control_duplicados]]&gt;1,"Duplicado","Unico")</f>
        <v>Unico</v>
      </c>
      <c r="P1569" t="str">
        <f t="shared" si="97"/>
        <v>OK</v>
      </c>
      <c r="Q1569" t="str">
        <f t="shared" si="98"/>
        <v>OK</v>
      </c>
      <c r="R1569" t="str">
        <f t="shared" si="99"/>
        <v>OK</v>
      </c>
    </row>
    <row r="1570" spans="1:18" x14ac:dyDescent="0.3">
      <c r="A1570" s="1">
        <v>45867</v>
      </c>
      <c r="B1570" s="2" t="s">
        <v>2618</v>
      </c>
      <c r="C1570" s="2" t="s">
        <v>2521</v>
      </c>
      <c r="D1570" s="2" t="s">
        <v>2528</v>
      </c>
      <c r="E1570" s="2" t="s">
        <v>2517</v>
      </c>
      <c r="F1570" s="3">
        <v>74680</v>
      </c>
      <c r="G1570" s="3">
        <v>3150</v>
      </c>
      <c r="H1570" s="3">
        <v>59</v>
      </c>
      <c r="I1570" s="4">
        <v>565.36</v>
      </c>
      <c r="J1570" s="4">
        <v>2981.63</v>
      </c>
      <c r="K1570" s="3">
        <v>41</v>
      </c>
      <c r="L1570" s="2" t="s">
        <v>2523</v>
      </c>
      <c r="M1570" s="2" t="s">
        <v>2524</v>
      </c>
      <c r="N1570" s="6">
        <f t="shared" si="96"/>
        <v>1</v>
      </c>
      <c r="O1570" t="str">
        <f>IF(Tabla_control[[#This Row],[Control_duplicados]]&gt;1,"Duplicado","Unico")</f>
        <v>Unico</v>
      </c>
      <c r="P1570" t="str">
        <f t="shared" si="97"/>
        <v>OK</v>
      </c>
      <c r="Q1570" t="str">
        <f t="shared" si="98"/>
        <v>OK</v>
      </c>
      <c r="R1570" t="str">
        <f t="shared" si="99"/>
        <v>OK</v>
      </c>
    </row>
    <row r="1571" spans="1:18" x14ac:dyDescent="0.3">
      <c r="A1571" s="1">
        <v>45850</v>
      </c>
      <c r="B1571" s="2" t="s">
        <v>2616</v>
      </c>
      <c r="C1571" s="2" t="s">
        <v>2521</v>
      </c>
      <c r="D1571" s="2" t="s">
        <v>2528</v>
      </c>
      <c r="E1571" s="2" t="s">
        <v>2529</v>
      </c>
      <c r="F1571" s="3">
        <v>123567</v>
      </c>
      <c r="G1571" s="3">
        <v>9558</v>
      </c>
      <c r="H1571" s="3">
        <v>997</v>
      </c>
      <c r="I1571" s="4">
        <v>-7388.71</v>
      </c>
      <c r="J1571" s="4">
        <v>65729.63</v>
      </c>
      <c r="K1571" s="3">
        <v>607</v>
      </c>
      <c r="L1571" s="2" t="s">
        <v>2536</v>
      </c>
      <c r="M1571" s="2" t="s">
        <v>2526</v>
      </c>
      <c r="N1571" s="6">
        <f t="shared" si="96"/>
        <v>1</v>
      </c>
      <c r="O1571" t="str">
        <f>IF(Tabla_control[[#This Row],[Control_duplicados]]&gt;1,"Duplicado","Unico")</f>
        <v>Unico</v>
      </c>
      <c r="P1571" t="str">
        <f t="shared" si="97"/>
        <v>ERROR</v>
      </c>
      <c r="Q1571" t="str">
        <f t="shared" si="98"/>
        <v>OK</v>
      </c>
      <c r="R1571" t="str">
        <f t="shared" si="99"/>
        <v>OK</v>
      </c>
    </row>
    <row r="1572" spans="1:18" x14ac:dyDescent="0.3">
      <c r="A1572" s="1">
        <v>46020</v>
      </c>
      <c r="B1572" s="2" t="s">
        <v>2620</v>
      </c>
      <c r="C1572" s="2" t="s">
        <v>2533</v>
      </c>
      <c r="D1572" s="2" t="s">
        <v>2528</v>
      </c>
      <c r="E1572" s="2" t="s">
        <v>2529</v>
      </c>
      <c r="F1572" s="3">
        <v>91013</v>
      </c>
      <c r="G1572" s="3">
        <v>3403</v>
      </c>
      <c r="H1572" s="3">
        <v>211</v>
      </c>
      <c r="I1572" s="4">
        <v>2061.77</v>
      </c>
      <c r="J1572" s="4">
        <v>38741.919999999998</v>
      </c>
      <c r="K1572" s="3">
        <v>126</v>
      </c>
      <c r="L1572" s="2" t="s">
        <v>2539</v>
      </c>
      <c r="M1572" s="2" t="s">
        <v>2519</v>
      </c>
      <c r="N1572" s="6">
        <f t="shared" si="96"/>
        <v>1</v>
      </c>
      <c r="O1572" t="str">
        <f>IF(Tabla_control[[#This Row],[Control_duplicados]]&gt;1,"Duplicado","Unico")</f>
        <v>Unico</v>
      </c>
      <c r="P1572" t="str">
        <f t="shared" si="97"/>
        <v>OK</v>
      </c>
      <c r="Q1572" t="str">
        <f t="shared" si="98"/>
        <v>OK</v>
      </c>
      <c r="R1572" t="str">
        <f t="shared" si="99"/>
        <v>OK</v>
      </c>
    </row>
    <row r="1573" spans="1:18" x14ac:dyDescent="0.3">
      <c r="A1573" s="1">
        <v>45706</v>
      </c>
      <c r="B1573" s="2" t="s">
        <v>2625</v>
      </c>
      <c r="C1573" s="2" t="s">
        <v>2543</v>
      </c>
      <c r="D1573" s="2" t="s">
        <v>2528</v>
      </c>
      <c r="E1573" s="2" t="s">
        <v>2517</v>
      </c>
      <c r="F1573" s="3">
        <v>176740</v>
      </c>
      <c r="G1573" s="3">
        <v>10149</v>
      </c>
      <c r="H1573" s="3">
        <v>1252</v>
      </c>
      <c r="I1573" s="4">
        <v>21305.42</v>
      </c>
      <c r="J1573" s="4">
        <v>122622.73</v>
      </c>
      <c r="K1573" s="3">
        <v>716</v>
      </c>
      <c r="L1573" s="2" t="s">
        <v>2539</v>
      </c>
      <c r="M1573" s="2" t="s">
        <v>2546</v>
      </c>
      <c r="N1573" s="6">
        <f t="shared" si="96"/>
        <v>1</v>
      </c>
      <c r="O1573" t="str">
        <f>IF(Tabla_control[[#This Row],[Control_duplicados]]&gt;1,"Duplicado","Unico")</f>
        <v>Unico</v>
      </c>
      <c r="P1573" t="str">
        <f t="shared" si="97"/>
        <v>OK</v>
      </c>
      <c r="Q1573" t="str">
        <f t="shared" si="98"/>
        <v>OK</v>
      </c>
      <c r="R1573" t="str">
        <f t="shared" si="99"/>
        <v>OK</v>
      </c>
    </row>
    <row r="1574" spans="1:18" x14ac:dyDescent="0.3">
      <c r="A1574" s="1">
        <v>45906</v>
      </c>
      <c r="B1574" s="2" t="s">
        <v>2623</v>
      </c>
      <c r="C1574" s="2" t="s">
        <v>2533</v>
      </c>
      <c r="D1574" s="2" t="s">
        <v>2525</v>
      </c>
      <c r="E1574" s="2" t="s">
        <v>2517</v>
      </c>
      <c r="F1574" s="3">
        <v>110772</v>
      </c>
      <c r="G1574" s="3">
        <v>1358</v>
      </c>
      <c r="H1574" s="3">
        <v>185</v>
      </c>
      <c r="I1574" s="4">
        <v>2142.0700000000002</v>
      </c>
      <c r="J1574" s="4">
        <v>3234.59</v>
      </c>
      <c r="K1574" s="3">
        <v>102</v>
      </c>
      <c r="L1574" s="2" t="s">
        <v>2536</v>
      </c>
      <c r="M1574" s="2" t="s">
        <v>2546</v>
      </c>
      <c r="N1574" s="6">
        <f t="shared" si="96"/>
        <v>1</v>
      </c>
      <c r="O1574" t="str">
        <f>IF(Tabla_control[[#This Row],[Control_duplicados]]&gt;1,"Duplicado","Unico")</f>
        <v>Unico</v>
      </c>
      <c r="P1574" t="str">
        <f t="shared" si="97"/>
        <v>OK</v>
      </c>
      <c r="Q1574" t="str">
        <f t="shared" si="98"/>
        <v>OK</v>
      </c>
      <c r="R1574" t="str">
        <f t="shared" si="99"/>
        <v>OK</v>
      </c>
    </row>
    <row r="1575" spans="1:18" x14ac:dyDescent="0.3">
      <c r="A1575" s="1">
        <v>45691</v>
      </c>
      <c r="B1575" s="2" t="s">
        <v>2621</v>
      </c>
      <c r="C1575" s="2" t="s">
        <v>2515</v>
      </c>
      <c r="D1575" s="2" t="s">
        <v>2528</v>
      </c>
      <c r="E1575" s="2" t="s">
        <v>2534</v>
      </c>
      <c r="F1575" s="3">
        <v>13726</v>
      </c>
      <c r="G1575" s="3">
        <v>949</v>
      </c>
      <c r="H1575" s="3">
        <v>52</v>
      </c>
      <c r="I1575" s="4">
        <v>1111.44</v>
      </c>
      <c r="J1575" s="4">
        <v>5434.39</v>
      </c>
      <c r="K1575" s="3">
        <v>41</v>
      </c>
      <c r="L1575" s="2" t="s">
        <v>2518</v>
      </c>
      <c r="M1575" s="2" t="s">
        <v>2519</v>
      </c>
      <c r="N1575" s="6">
        <f t="shared" si="96"/>
        <v>1</v>
      </c>
      <c r="O1575" t="str">
        <f>IF(Tabla_control[[#This Row],[Control_duplicados]]&gt;1,"Duplicado","Unico")</f>
        <v>Unico</v>
      </c>
      <c r="P1575" t="str">
        <f t="shared" si="97"/>
        <v>OK</v>
      </c>
      <c r="Q1575" t="str">
        <f t="shared" si="98"/>
        <v>OK</v>
      </c>
      <c r="R1575" t="str">
        <f t="shared" si="99"/>
        <v>OK</v>
      </c>
    </row>
    <row r="1576" spans="1:18" x14ac:dyDescent="0.3">
      <c r="A1576" s="1">
        <v>45916</v>
      </c>
      <c r="B1576" s="2" t="s">
        <v>2627</v>
      </c>
      <c r="C1576" s="2" t="s">
        <v>2521</v>
      </c>
      <c r="D1576" s="2" t="s">
        <v>2528</v>
      </c>
      <c r="E1576" s="2" t="s">
        <v>2517</v>
      </c>
      <c r="F1576" s="3">
        <v>157486</v>
      </c>
      <c r="G1576" s="3">
        <v>12942</v>
      </c>
      <c r="H1576" s="3">
        <v>1529</v>
      </c>
      <c r="I1576" s="4">
        <v>10116.94</v>
      </c>
      <c r="J1576" s="4">
        <v>206637.16</v>
      </c>
      <c r="K1576" s="3">
        <v>1091</v>
      </c>
      <c r="L1576" s="2" t="s">
        <v>2539</v>
      </c>
      <c r="M1576" s="2" t="s">
        <v>2526</v>
      </c>
      <c r="N1576" s="6">
        <f t="shared" si="96"/>
        <v>1</v>
      </c>
      <c r="O1576" t="str">
        <f>IF(Tabla_control[[#This Row],[Control_duplicados]]&gt;1,"Duplicado","Unico")</f>
        <v>Unico</v>
      </c>
      <c r="P1576" t="str">
        <f t="shared" si="97"/>
        <v>OK</v>
      </c>
      <c r="Q1576" t="str">
        <f t="shared" si="98"/>
        <v>OK</v>
      </c>
      <c r="R1576" t="str">
        <f t="shared" si="99"/>
        <v>OK</v>
      </c>
    </row>
    <row r="1577" spans="1:18" x14ac:dyDescent="0.3">
      <c r="A1577" s="1">
        <v>45963</v>
      </c>
      <c r="B1577" s="2" t="s">
        <v>2619</v>
      </c>
      <c r="C1577" s="2" t="s">
        <v>2515</v>
      </c>
      <c r="D1577" s="2" t="s">
        <v>2525</v>
      </c>
      <c r="E1577" s="2" t="s">
        <v>2529</v>
      </c>
      <c r="F1577" s="3">
        <v>38730</v>
      </c>
      <c r="G1577" s="3">
        <v>1561</v>
      </c>
      <c r="H1577" s="3">
        <v>170</v>
      </c>
      <c r="I1577" s="4">
        <v>2202.38</v>
      </c>
      <c r="J1577" s="4">
        <v>26518.39</v>
      </c>
      <c r="K1577" s="3">
        <v>119</v>
      </c>
      <c r="L1577" s="2" t="s">
        <v>2523</v>
      </c>
      <c r="M1577" s="2" t="s">
        <v>2524</v>
      </c>
      <c r="N1577" s="6">
        <f t="shared" si="96"/>
        <v>1</v>
      </c>
      <c r="O1577" t="str">
        <f>IF(Tabla_control[[#This Row],[Control_duplicados]]&gt;1,"Duplicado","Unico")</f>
        <v>Unico</v>
      </c>
      <c r="P1577" t="str">
        <f t="shared" si="97"/>
        <v>OK</v>
      </c>
      <c r="Q1577" t="str">
        <f t="shared" si="98"/>
        <v>OK</v>
      </c>
      <c r="R1577" t="str">
        <f t="shared" si="99"/>
        <v>OK</v>
      </c>
    </row>
    <row r="1578" spans="1:18" x14ac:dyDescent="0.3">
      <c r="A1578" s="1">
        <v>45710</v>
      </c>
      <c r="B1578" s="2" t="s">
        <v>2644</v>
      </c>
      <c r="C1578" s="2" t="s">
        <v>2541</v>
      </c>
      <c r="D1578" s="2" t="s">
        <v>2528</v>
      </c>
      <c r="E1578" s="2" t="s">
        <v>2529</v>
      </c>
      <c r="F1578" s="3">
        <v>4752</v>
      </c>
      <c r="G1578" s="3">
        <v>164</v>
      </c>
      <c r="H1578" s="3">
        <v>17</v>
      </c>
      <c r="I1578" s="4">
        <v>177.56</v>
      </c>
      <c r="J1578" s="4">
        <v>1617.48</v>
      </c>
      <c r="K1578" s="3">
        <v>11</v>
      </c>
      <c r="L1578" s="2" t="s">
        <v>2523</v>
      </c>
      <c r="M1578" s="2" t="s">
        <v>2524</v>
      </c>
      <c r="N1578" s="6">
        <f t="shared" si="96"/>
        <v>1</v>
      </c>
      <c r="O1578" t="str">
        <f>IF(Tabla_control[[#This Row],[Control_duplicados]]&gt;1,"Duplicado","Unico")</f>
        <v>Unico</v>
      </c>
      <c r="P1578" t="str">
        <f t="shared" si="97"/>
        <v>OK</v>
      </c>
      <c r="Q1578" t="str">
        <f t="shared" si="98"/>
        <v>OK</v>
      </c>
      <c r="R1578" t="str">
        <f t="shared" si="99"/>
        <v>OK</v>
      </c>
    </row>
    <row r="1579" spans="1:18" x14ac:dyDescent="0.3">
      <c r="A1579" s="1">
        <v>45766</v>
      </c>
      <c r="B1579" s="2" t="s">
        <v>2643</v>
      </c>
      <c r="C1579" s="2" t="s">
        <v>2541</v>
      </c>
      <c r="D1579" s="2" t="s">
        <v>2525</v>
      </c>
      <c r="E1579" s="2" t="s">
        <v>2517</v>
      </c>
      <c r="F1579" s="3">
        <v>1185</v>
      </c>
      <c r="G1579" s="3">
        <v>88</v>
      </c>
      <c r="H1579" s="3">
        <v>10</v>
      </c>
      <c r="I1579" s="4">
        <v>181.64</v>
      </c>
      <c r="J1579" s="4">
        <v>1223.23</v>
      </c>
      <c r="K1579" s="3">
        <v>5</v>
      </c>
      <c r="L1579" s="2" t="s">
        <v>2539</v>
      </c>
      <c r="M1579" s="2" t="s">
        <v>2519</v>
      </c>
      <c r="N1579" s="6">
        <f t="shared" si="96"/>
        <v>1</v>
      </c>
      <c r="O1579" t="str">
        <f>IF(Tabla_control[[#This Row],[Control_duplicados]]&gt;1,"Duplicado","Unico")</f>
        <v>Unico</v>
      </c>
      <c r="P1579" t="str">
        <f t="shared" si="97"/>
        <v>OK</v>
      </c>
      <c r="Q1579" t="str">
        <f t="shared" si="98"/>
        <v>OK</v>
      </c>
      <c r="R1579" t="str">
        <f t="shared" si="99"/>
        <v>OK</v>
      </c>
    </row>
    <row r="1580" spans="1:18" x14ac:dyDescent="0.3">
      <c r="A1580" s="1">
        <v>45726</v>
      </c>
      <c r="B1580" s="2" t="s">
        <v>2640</v>
      </c>
      <c r="C1580" s="2" t="s">
        <v>2527</v>
      </c>
      <c r="D1580" s="2" t="s">
        <v>2525</v>
      </c>
      <c r="E1580" s="2" t="s">
        <v>2529</v>
      </c>
      <c r="F1580" s="3">
        <v>82624</v>
      </c>
      <c r="G1580" s="3">
        <v>4522</v>
      </c>
      <c r="H1580" s="3">
        <v>212</v>
      </c>
      <c r="I1580" s="4">
        <v>3235.26</v>
      </c>
      <c r="J1580" s="4">
        <v>15902.27</v>
      </c>
      <c r="K1580" s="3">
        <v>115</v>
      </c>
      <c r="L1580" s="2" t="s">
        <v>2536</v>
      </c>
      <c r="M1580" s="2" t="s">
        <v>2519</v>
      </c>
      <c r="N1580" s="6">
        <f t="shared" si="96"/>
        <v>1</v>
      </c>
      <c r="O1580" t="str">
        <f>IF(Tabla_control[[#This Row],[Control_duplicados]]&gt;1,"Duplicado","Unico")</f>
        <v>Unico</v>
      </c>
      <c r="P1580" t="str">
        <f t="shared" si="97"/>
        <v>OK</v>
      </c>
      <c r="Q1580" t="str">
        <f t="shared" si="98"/>
        <v>OK</v>
      </c>
      <c r="R1580" t="str">
        <f t="shared" si="99"/>
        <v>OK</v>
      </c>
    </row>
    <row r="1581" spans="1:18" x14ac:dyDescent="0.3">
      <c r="A1581" s="1">
        <v>46002</v>
      </c>
      <c r="B1581" s="2" t="s">
        <v>2617</v>
      </c>
      <c r="C1581" s="2" t="s">
        <v>2527</v>
      </c>
      <c r="D1581" s="2" t="s">
        <v>2528</v>
      </c>
      <c r="E1581" s="2" t="s">
        <v>2529</v>
      </c>
      <c r="F1581" s="3">
        <v>129286</v>
      </c>
      <c r="G1581" s="3">
        <v>9189</v>
      </c>
      <c r="H1581" s="3">
        <v>625</v>
      </c>
      <c r="I1581" s="4">
        <v>17817.09</v>
      </c>
      <c r="J1581" s="4">
        <v>46659.23</v>
      </c>
      <c r="K1581" s="3">
        <v>358</v>
      </c>
      <c r="L1581" s="2" t="s">
        <v>2518</v>
      </c>
      <c r="M1581" s="2" t="s">
        <v>2546</v>
      </c>
      <c r="N1581" s="6">
        <f t="shared" si="96"/>
        <v>1</v>
      </c>
      <c r="O1581" t="str">
        <f>IF(Tabla_control[[#This Row],[Control_duplicados]]&gt;1,"Duplicado","Unico")</f>
        <v>Unico</v>
      </c>
      <c r="P1581" t="str">
        <f t="shared" si="97"/>
        <v>OK</v>
      </c>
      <c r="Q1581" t="str">
        <f t="shared" si="98"/>
        <v>OK</v>
      </c>
      <c r="R1581" t="str">
        <f t="shared" si="99"/>
        <v>OK</v>
      </c>
    </row>
    <row r="1582" spans="1:18" x14ac:dyDescent="0.3">
      <c r="A1582" s="1">
        <v>45917</v>
      </c>
      <c r="B1582" s="2" t="s">
        <v>2626</v>
      </c>
      <c r="C1582" s="2" t="s">
        <v>2521</v>
      </c>
      <c r="D1582" s="2" t="s">
        <v>2522</v>
      </c>
      <c r="E1582" s="2" t="s">
        <v>2529</v>
      </c>
      <c r="F1582" s="3">
        <v>167190</v>
      </c>
      <c r="G1582" s="3">
        <v>2077</v>
      </c>
      <c r="H1582" s="3">
        <v>61</v>
      </c>
      <c r="I1582" s="4">
        <v>3229.3</v>
      </c>
      <c r="J1582" s="4">
        <v>2247.06</v>
      </c>
      <c r="K1582" s="3">
        <v>30</v>
      </c>
      <c r="L1582" s="2" t="s">
        <v>2518</v>
      </c>
      <c r="M1582" s="2" t="s">
        <v>2546</v>
      </c>
      <c r="N1582" s="6">
        <f t="shared" si="96"/>
        <v>1</v>
      </c>
      <c r="O1582" t="str">
        <f>IF(Tabla_control[[#This Row],[Control_duplicados]]&gt;1,"Duplicado","Unico")</f>
        <v>Unico</v>
      </c>
      <c r="P1582" t="str">
        <f t="shared" si="97"/>
        <v>OK</v>
      </c>
      <c r="Q1582" t="str">
        <f t="shared" si="98"/>
        <v>OK</v>
      </c>
      <c r="R1582" t="str">
        <f t="shared" si="99"/>
        <v>OK</v>
      </c>
    </row>
    <row r="1583" spans="1:18" x14ac:dyDescent="0.3">
      <c r="A1583" s="1">
        <v>45891</v>
      </c>
      <c r="B1583" s="2" t="s">
        <v>2636</v>
      </c>
      <c r="C1583" s="2" t="s">
        <v>2521</v>
      </c>
      <c r="D1583" s="2" t="s">
        <v>2528</v>
      </c>
      <c r="E1583" s="2" t="s">
        <v>2534</v>
      </c>
      <c r="F1583" s="3">
        <v>74186</v>
      </c>
      <c r="G1583" s="3">
        <v>4019</v>
      </c>
      <c r="H1583" s="3">
        <v>48</v>
      </c>
      <c r="I1583" s="4">
        <v>2379.06</v>
      </c>
      <c r="J1583" s="4">
        <v>5100.57</v>
      </c>
      <c r="K1583" s="3">
        <v>29</v>
      </c>
      <c r="L1583" s="2" t="s">
        <v>2518</v>
      </c>
      <c r="M1583" s="2" t="s">
        <v>2519</v>
      </c>
      <c r="N1583" s="6">
        <f t="shared" si="96"/>
        <v>1</v>
      </c>
      <c r="O1583" t="str">
        <f>IF(Tabla_control[[#This Row],[Control_duplicados]]&gt;1,"Duplicado","Unico")</f>
        <v>Unico</v>
      </c>
      <c r="P1583" t="str">
        <f t="shared" si="97"/>
        <v>OK</v>
      </c>
      <c r="Q1583" t="str">
        <f t="shared" si="98"/>
        <v>OK</v>
      </c>
      <c r="R1583" t="str">
        <f t="shared" si="99"/>
        <v>OK</v>
      </c>
    </row>
    <row r="1584" spans="1:18" x14ac:dyDescent="0.3">
      <c r="A1584" s="1">
        <v>45776</v>
      </c>
      <c r="B1584" s="2" t="s">
        <v>2624</v>
      </c>
      <c r="C1584" s="2" t="s">
        <v>2515</v>
      </c>
      <c r="D1584" s="2" t="s">
        <v>2528</v>
      </c>
      <c r="E1584" s="2" t="s">
        <v>2529</v>
      </c>
      <c r="F1584" s="3">
        <v>49392</v>
      </c>
      <c r="G1584" s="3">
        <v>2731</v>
      </c>
      <c r="H1584" s="3">
        <v>36</v>
      </c>
      <c r="I1584" s="4">
        <v>980.5</v>
      </c>
      <c r="J1584" s="4">
        <v>4555.1000000000004</v>
      </c>
      <c r="K1584" s="3">
        <v>21</v>
      </c>
      <c r="L1584" s="2" t="s">
        <v>2523</v>
      </c>
      <c r="M1584" s="2" t="s">
        <v>2537</v>
      </c>
      <c r="N1584" s="6">
        <f t="shared" si="96"/>
        <v>1</v>
      </c>
      <c r="O1584" t="str">
        <f>IF(Tabla_control[[#This Row],[Control_duplicados]]&gt;1,"Duplicado","Unico")</f>
        <v>Unico</v>
      </c>
      <c r="P1584" t="str">
        <f t="shared" si="97"/>
        <v>OK</v>
      </c>
      <c r="Q1584" t="str">
        <f t="shared" si="98"/>
        <v>OK</v>
      </c>
      <c r="R1584" t="str">
        <f t="shared" si="99"/>
        <v>OK</v>
      </c>
    </row>
    <row r="1585" spans="1:18" x14ac:dyDescent="0.3">
      <c r="A1585" s="1">
        <v>45846</v>
      </c>
      <c r="B1585" s="2" t="s">
        <v>2630</v>
      </c>
      <c r="C1585" s="2" t="s">
        <v>2533</v>
      </c>
      <c r="D1585" s="2" t="s">
        <v>2528</v>
      </c>
      <c r="E1585" s="2" t="s">
        <v>2517</v>
      </c>
      <c r="F1585" s="3">
        <v>57283</v>
      </c>
      <c r="G1585" s="3">
        <v>4474</v>
      </c>
      <c r="H1585" s="3">
        <v>396</v>
      </c>
      <c r="I1585" s="4">
        <v>6905.08</v>
      </c>
      <c r="J1585" s="4">
        <v>28974.29</v>
      </c>
      <c r="K1585" s="3">
        <v>206</v>
      </c>
      <c r="L1585" s="2" t="s">
        <v>2539</v>
      </c>
      <c r="M1585" s="2" t="s">
        <v>2519</v>
      </c>
      <c r="N1585" s="6">
        <f t="shared" si="96"/>
        <v>1</v>
      </c>
      <c r="O1585" t="str">
        <f>IF(Tabla_control[[#This Row],[Control_duplicados]]&gt;1,"Duplicado","Unico")</f>
        <v>Unico</v>
      </c>
      <c r="P1585" t="str">
        <f t="shared" si="97"/>
        <v>OK</v>
      </c>
      <c r="Q1585" t="str">
        <f t="shared" si="98"/>
        <v>OK</v>
      </c>
      <c r="R1585" t="str">
        <f t="shared" si="99"/>
        <v>OK</v>
      </c>
    </row>
    <row r="1586" spans="1:18" x14ac:dyDescent="0.3">
      <c r="A1586" s="1">
        <v>46002</v>
      </c>
      <c r="B1586" s="2" t="s">
        <v>2629</v>
      </c>
      <c r="C1586" s="2" t="s">
        <v>2533</v>
      </c>
      <c r="D1586" s="2" t="s">
        <v>2525</v>
      </c>
      <c r="E1586" s="2" t="s">
        <v>2517</v>
      </c>
      <c r="F1586" s="3">
        <v>104330</v>
      </c>
      <c r="G1586" s="3">
        <v>9220</v>
      </c>
      <c r="H1586" s="3">
        <v>979</v>
      </c>
      <c r="I1586" s="4">
        <v>10409.629999999999</v>
      </c>
      <c r="J1586" s="4">
        <v>41594.449999999997</v>
      </c>
      <c r="K1586" s="3">
        <v>472</v>
      </c>
      <c r="L1586" s="2" t="s">
        <v>2539</v>
      </c>
      <c r="M1586" s="2" t="s">
        <v>2546</v>
      </c>
      <c r="N1586" s="6">
        <f t="shared" si="96"/>
        <v>1</v>
      </c>
      <c r="O1586" t="str">
        <f>IF(Tabla_control[[#This Row],[Control_duplicados]]&gt;1,"Duplicado","Unico")</f>
        <v>Unico</v>
      </c>
      <c r="P1586" t="str">
        <f t="shared" si="97"/>
        <v>OK</v>
      </c>
      <c r="Q1586" t="str">
        <f t="shared" si="98"/>
        <v>OK</v>
      </c>
      <c r="R1586" t="str">
        <f t="shared" si="99"/>
        <v>OK</v>
      </c>
    </row>
    <row r="1587" spans="1:18" x14ac:dyDescent="0.3">
      <c r="A1587" s="1">
        <v>45681</v>
      </c>
      <c r="B1587" s="2" t="s">
        <v>2640</v>
      </c>
      <c r="C1587" s="2" t="s">
        <v>2543</v>
      </c>
      <c r="D1587" s="2" t="s">
        <v>2531</v>
      </c>
      <c r="E1587" s="2" t="s">
        <v>2517</v>
      </c>
      <c r="F1587" s="3">
        <v>84643</v>
      </c>
      <c r="G1587" s="3">
        <v>5051</v>
      </c>
      <c r="H1587" s="3">
        <v>554</v>
      </c>
      <c r="I1587" s="4">
        <v>4726.66</v>
      </c>
      <c r="J1587" s="4">
        <v>110230.7</v>
      </c>
      <c r="K1587" s="3">
        <v>321</v>
      </c>
      <c r="L1587" s="2" t="s">
        <v>2539</v>
      </c>
      <c r="M1587" s="2" t="s">
        <v>2546</v>
      </c>
      <c r="N1587" s="6">
        <f t="shared" si="96"/>
        <v>1</v>
      </c>
      <c r="O1587" t="str">
        <f>IF(Tabla_control[[#This Row],[Control_duplicados]]&gt;1,"Duplicado","Unico")</f>
        <v>Unico</v>
      </c>
      <c r="P1587" t="str">
        <f t="shared" si="97"/>
        <v>OK</v>
      </c>
      <c r="Q1587" t="str">
        <f t="shared" si="98"/>
        <v>OK</v>
      </c>
      <c r="R1587" t="str">
        <f t="shared" si="99"/>
        <v>OK</v>
      </c>
    </row>
    <row r="1588" spans="1:18" x14ac:dyDescent="0.3">
      <c r="A1588" s="1">
        <v>45952</v>
      </c>
      <c r="B1588" s="2" t="s">
        <v>2634</v>
      </c>
      <c r="C1588" s="2" t="s">
        <v>2527</v>
      </c>
      <c r="D1588" s="2" t="s">
        <v>2522</v>
      </c>
      <c r="E1588" s="2" t="s">
        <v>2529</v>
      </c>
      <c r="F1588" s="3">
        <v>178509</v>
      </c>
      <c r="G1588" s="3">
        <v>1179</v>
      </c>
      <c r="H1588" s="3">
        <v>77</v>
      </c>
      <c r="I1588" s="4">
        <v>1091.9100000000001</v>
      </c>
      <c r="J1588" s="4">
        <v>16699.88</v>
      </c>
      <c r="K1588" s="3">
        <v>37</v>
      </c>
      <c r="L1588" s="2" t="s">
        <v>2523</v>
      </c>
      <c r="M1588" s="2" t="s">
        <v>2526</v>
      </c>
      <c r="N1588" s="6">
        <f t="shared" si="96"/>
        <v>1</v>
      </c>
      <c r="O1588" t="str">
        <f>IF(Tabla_control[[#This Row],[Control_duplicados]]&gt;1,"Duplicado","Unico")</f>
        <v>Unico</v>
      </c>
      <c r="P1588" t="str">
        <f t="shared" si="97"/>
        <v>OK</v>
      </c>
      <c r="Q1588" t="str">
        <f t="shared" si="98"/>
        <v>OK</v>
      </c>
      <c r="R1588" t="str">
        <f t="shared" si="99"/>
        <v>OK</v>
      </c>
    </row>
    <row r="1589" spans="1:18" x14ac:dyDescent="0.3">
      <c r="A1589" s="1">
        <v>45893</v>
      </c>
      <c r="B1589" s="2" t="s">
        <v>2633</v>
      </c>
      <c r="C1589" s="2" t="s">
        <v>2515</v>
      </c>
      <c r="D1589" s="2" t="s">
        <v>2528</v>
      </c>
      <c r="E1589" s="2" t="s">
        <v>2517</v>
      </c>
      <c r="F1589" s="3">
        <v>123937</v>
      </c>
      <c r="G1589" s="3">
        <v>1556</v>
      </c>
      <c r="H1589" s="3">
        <v>95</v>
      </c>
      <c r="I1589" s="4">
        <v>2520.98</v>
      </c>
      <c r="J1589" s="4">
        <v>6338.43</v>
      </c>
      <c r="K1589" s="3">
        <v>42</v>
      </c>
      <c r="L1589" s="2" t="s">
        <v>2539</v>
      </c>
      <c r="M1589" s="2" t="s">
        <v>2519</v>
      </c>
      <c r="N1589" s="6">
        <f t="shared" si="96"/>
        <v>1</v>
      </c>
      <c r="O1589" t="str">
        <f>IF(Tabla_control[[#This Row],[Control_duplicados]]&gt;1,"Duplicado","Unico")</f>
        <v>Unico</v>
      </c>
      <c r="P1589" t="str">
        <f t="shared" si="97"/>
        <v>OK</v>
      </c>
      <c r="Q1589" t="str">
        <f t="shared" si="98"/>
        <v>OK</v>
      </c>
      <c r="R1589" t="str">
        <f t="shared" si="99"/>
        <v>OK</v>
      </c>
    </row>
    <row r="1590" spans="1:18" x14ac:dyDescent="0.3">
      <c r="A1590" s="1">
        <v>45997</v>
      </c>
      <c r="B1590" s="2" t="s">
        <v>2633</v>
      </c>
      <c r="C1590" s="2" t="s">
        <v>2515</v>
      </c>
      <c r="D1590" s="2" t="s">
        <v>2528</v>
      </c>
      <c r="E1590" s="2" t="s">
        <v>2517</v>
      </c>
      <c r="F1590" s="3">
        <v>21280</v>
      </c>
      <c r="G1590" s="3">
        <v>879</v>
      </c>
      <c r="H1590" s="3">
        <v>97</v>
      </c>
      <c r="I1590" s="4">
        <v>293.60000000000002</v>
      </c>
      <c r="J1590" s="4">
        <v>9794.2999999999993</v>
      </c>
      <c r="K1590" s="3">
        <v>47</v>
      </c>
      <c r="L1590" s="2" t="s">
        <v>2539</v>
      </c>
      <c r="M1590" s="2" t="s">
        <v>2519</v>
      </c>
      <c r="N1590" s="6">
        <f t="shared" si="96"/>
        <v>1</v>
      </c>
      <c r="O1590" t="str">
        <f>IF(Tabla_control[[#This Row],[Control_duplicados]]&gt;1,"Duplicado","Unico")</f>
        <v>Unico</v>
      </c>
      <c r="P1590" t="str">
        <f t="shared" si="97"/>
        <v>OK</v>
      </c>
      <c r="Q1590" t="str">
        <f t="shared" si="98"/>
        <v>OK</v>
      </c>
      <c r="R1590" t="str">
        <f t="shared" si="99"/>
        <v>OK</v>
      </c>
    </row>
    <row r="1591" spans="1:18" x14ac:dyDescent="0.3">
      <c r="A1591" s="1">
        <v>45665</v>
      </c>
      <c r="B1591" s="2" t="s">
        <v>2641</v>
      </c>
      <c r="C1591" s="2" t="s">
        <v>2533</v>
      </c>
      <c r="D1591" s="2" t="s">
        <v>2516</v>
      </c>
      <c r="E1591" s="2" t="s">
        <v>2517</v>
      </c>
      <c r="F1591" s="3">
        <v>139243</v>
      </c>
      <c r="G1591" s="3">
        <v>6012</v>
      </c>
      <c r="H1591" s="3">
        <v>566</v>
      </c>
      <c r="I1591" s="4">
        <v>8344.8799999999992</v>
      </c>
      <c r="J1591" s="4">
        <v>31694.12</v>
      </c>
      <c r="K1591" s="3">
        <v>384</v>
      </c>
      <c r="L1591" s="2" t="s">
        <v>2539</v>
      </c>
      <c r="M1591" s="2" t="s">
        <v>2526</v>
      </c>
      <c r="N1591" s="6">
        <f t="shared" si="96"/>
        <v>1</v>
      </c>
      <c r="O1591" t="str">
        <f>IF(Tabla_control[[#This Row],[Control_duplicados]]&gt;1,"Duplicado","Unico")</f>
        <v>Unico</v>
      </c>
      <c r="P1591" t="str">
        <f t="shared" si="97"/>
        <v>OK</v>
      </c>
      <c r="Q1591" t="str">
        <f t="shared" si="98"/>
        <v>OK</v>
      </c>
      <c r="R1591" t="str">
        <f t="shared" si="99"/>
        <v>OK</v>
      </c>
    </row>
    <row r="1592" spans="1:18" x14ac:dyDescent="0.3">
      <c r="A1592" s="1">
        <v>45911</v>
      </c>
      <c r="B1592" s="2" t="s">
        <v>2625</v>
      </c>
      <c r="C1592" s="2" t="s">
        <v>2543</v>
      </c>
      <c r="D1592" s="2" t="s">
        <v>2525</v>
      </c>
      <c r="E1592" s="2" t="s">
        <v>2517</v>
      </c>
      <c r="F1592" s="3">
        <v>123999</v>
      </c>
      <c r="G1592" s="3">
        <v>9153</v>
      </c>
      <c r="H1592" s="3">
        <v>916</v>
      </c>
      <c r="I1592" s="4">
        <v>1722.21</v>
      </c>
      <c r="J1592" s="4">
        <v>36661.31</v>
      </c>
      <c r="K1592" s="3">
        <v>768</v>
      </c>
      <c r="L1592" s="2" t="s">
        <v>2536</v>
      </c>
      <c r="M1592" s="2" t="s">
        <v>2645</v>
      </c>
      <c r="N1592" s="6">
        <f t="shared" si="96"/>
        <v>1</v>
      </c>
      <c r="O1592" t="str">
        <f>IF(Tabla_control[[#This Row],[Control_duplicados]]&gt;1,"Duplicado","Unico")</f>
        <v>Unico</v>
      </c>
      <c r="P1592" t="str">
        <f t="shared" si="97"/>
        <v>OK</v>
      </c>
      <c r="Q1592" t="str">
        <f t="shared" si="98"/>
        <v>OK</v>
      </c>
      <c r="R1592" t="str">
        <f t="shared" si="99"/>
        <v>OK</v>
      </c>
    </row>
    <row r="1593" spans="1:18" x14ac:dyDescent="0.3">
      <c r="A1593" s="1">
        <v>45822</v>
      </c>
      <c r="B1593" s="2" t="s">
        <v>2636</v>
      </c>
      <c r="C1593" s="2" t="s">
        <v>2543</v>
      </c>
      <c r="D1593" s="2" t="s">
        <v>2528</v>
      </c>
      <c r="E1593" s="2" t="s">
        <v>2529</v>
      </c>
      <c r="F1593" s="3">
        <v>54298</v>
      </c>
      <c r="G1593" s="3">
        <v>3585</v>
      </c>
      <c r="H1593" s="3">
        <v>474</v>
      </c>
      <c r="I1593" s="4">
        <v>1866.61</v>
      </c>
      <c r="J1593" s="4">
        <v>55675.3</v>
      </c>
      <c r="K1593" s="3">
        <v>365</v>
      </c>
      <c r="L1593" s="2" t="s">
        <v>2523</v>
      </c>
      <c r="M1593" s="2" t="s">
        <v>2546</v>
      </c>
      <c r="N1593" s="6">
        <f t="shared" si="96"/>
        <v>1</v>
      </c>
      <c r="O1593" t="str">
        <f>IF(Tabla_control[[#This Row],[Control_duplicados]]&gt;1,"Duplicado","Unico")</f>
        <v>Unico</v>
      </c>
      <c r="P1593" t="str">
        <f t="shared" si="97"/>
        <v>OK</v>
      </c>
      <c r="Q1593" t="str">
        <f t="shared" si="98"/>
        <v>OK</v>
      </c>
      <c r="R1593" t="str">
        <f t="shared" si="99"/>
        <v>OK</v>
      </c>
    </row>
    <row r="1594" spans="1:18" x14ac:dyDescent="0.3">
      <c r="A1594" s="1">
        <v>45774</v>
      </c>
      <c r="B1594" s="2" t="s">
        <v>2621</v>
      </c>
      <c r="C1594" s="2" t="s">
        <v>2527</v>
      </c>
      <c r="D1594" s="2" t="s">
        <v>2528</v>
      </c>
      <c r="E1594" s="2" t="s">
        <v>2529</v>
      </c>
      <c r="F1594" s="3">
        <v>14546</v>
      </c>
      <c r="G1594" s="3">
        <v>1006</v>
      </c>
      <c r="H1594" s="3">
        <v>27</v>
      </c>
      <c r="I1594" s="4">
        <v>178.34</v>
      </c>
      <c r="J1594" s="4">
        <v>1291.8699999999999</v>
      </c>
      <c r="K1594" s="3">
        <v>15</v>
      </c>
      <c r="L1594" s="2" t="s">
        <v>2523</v>
      </c>
      <c r="M1594" s="2" t="s">
        <v>2526</v>
      </c>
      <c r="N1594" s="6">
        <f t="shared" si="96"/>
        <v>1</v>
      </c>
      <c r="O1594" t="str">
        <f>IF(Tabla_control[[#This Row],[Control_duplicados]]&gt;1,"Duplicado","Unico")</f>
        <v>Unico</v>
      </c>
      <c r="P1594" t="str">
        <f t="shared" si="97"/>
        <v>OK</v>
      </c>
      <c r="Q1594" t="str">
        <f t="shared" si="98"/>
        <v>OK</v>
      </c>
      <c r="R1594" t="str">
        <f t="shared" si="99"/>
        <v>OK</v>
      </c>
    </row>
    <row r="1595" spans="1:18" x14ac:dyDescent="0.3">
      <c r="A1595" s="1">
        <v>45837</v>
      </c>
      <c r="B1595" s="2" t="s">
        <v>2635</v>
      </c>
      <c r="C1595" s="2" t="s">
        <v>2541</v>
      </c>
      <c r="D1595" s="2" t="s">
        <v>2531</v>
      </c>
      <c r="E1595" s="2" t="s">
        <v>2517</v>
      </c>
      <c r="F1595" s="3">
        <v>37219</v>
      </c>
      <c r="G1595" s="3">
        <v>1261</v>
      </c>
      <c r="H1595" s="3">
        <v>54</v>
      </c>
      <c r="I1595" s="4">
        <v>2110.19</v>
      </c>
      <c r="J1595" s="4">
        <v>3560.58</v>
      </c>
      <c r="K1595" s="3">
        <v>45</v>
      </c>
      <c r="L1595" s="2" t="s">
        <v>2523</v>
      </c>
      <c r="M1595" s="2" t="s">
        <v>2526</v>
      </c>
      <c r="N1595" s="6">
        <f t="shared" si="96"/>
        <v>1</v>
      </c>
      <c r="O1595" t="str">
        <f>IF(Tabla_control[[#This Row],[Control_duplicados]]&gt;1,"Duplicado","Unico")</f>
        <v>Unico</v>
      </c>
      <c r="P1595" t="str">
        <f t="shared" si="97"/>
        <v>OK</v>
      </c>
      <c r="Q1595" t="str">
        <f t="shared" si="98"/>
        <v>OK</v>
      </c>
      <c r="R1595" t="str">
        <f t="shared" si="99"/>
        <v>OK</v>
      </c>
    </row>
    <row r="1596" spans="1:18" x14ac:dyDescent="0.3">
      <c r="A1596" s="1">
        <v>45753</v>
      </c>
      <c r="B1596" s="2" t="s">
        <v>2640</v>
      </c>
      <c r="C1596" s="2" t="s">
        <v>2515</v>
      </c>
      <c r="D1596" s="2" t="s">
        <v>2528</v>
      </c>
      <c r="E1596" s="2" t="s">
        <v>2529</v>
      </c>
      <c r="F1596" s="3">
        <v>173819</v>
      </c>
      <c r="G1596" s="3">
        <v>12630</v>
      </c>
      <c r="H1596" s="3">
        <v>1384</v>
      </c>
      <c r="I1596" s="4">
        <v>18048.96</v>
      </c>
      <c r="J1596" s="4">
        <v>116701.43</v>
      </c>
      <c r="K1596" s="3">
        <v>663</v>
      </c>
      <c r="L1596" s="2" t="s">
        <v>2539</v>
      </c>
      <c r="M1596" s="2" t="s">
        <v>2526</v>
      </c>
      <c r="N1596" s="6">
        <f t="shared" si="96"/>
        <v>1</v>
      </c>
      <c r="O1596" t="str">
        <f>IF(Tabla_control[[#This Row],[Control_duplicados]]&gt;1,"Duplicado","Unico")</f>
        <v>Unico</v>
      </c>
      <c r="P1596" t="str">
        <f t="shared" si="97"/>
        <v>OK</v>
      </c>
      <c r="Q1596" t="str">
        <f t="shared" si="98"/>
        <v>OK</v>
      </c>
      <c r="R1596" t="str">
        <f t="shared" si="99"/>
        <v>OK</v>
      </c>
    </row>
    <row r="1597" spans="1:18" x14ac:dyDescent="0.3">
      <c r="A1597" s="1">
        <v>45976</v>
      </c>
      <c r="B1597" s="2" t="s">
        <v>2637</v>
      </c>
      <c r="C1597" s="2" t="s">
        <v>2533</v>
      </c>
      <c r="D1597" s="2" t="s">
        <v>2522</v>
      </c>
      <c r="E1597" s="2" t="s">
        <v>2517</v>
      </c>
      <c r="F1597" s="3">
        <v>121538</v>
      </c>
      <c r="G1597" s="3">
        <v>2165</v>
      </c>
      <c r="H1597" s="3">
        <v>260</v>
      </c>
      <c r="I1597" s="4">
        <v>3395.25</v>
      </c>
      <c r="J1597" s="4">
        <v>50662.65</v>
      </c>
      <c r="K1597" s="3">
        <v>214</v>
      </c>
      <c r="L1597" s="2" t="s">
        <v>2536</v>
      </c>
      <c r="M1597" s="2" t="s">
        <v>2526</v>
      </c>
      <c r="N1597" s="6">
        <f t="shared" si="96"/>
        <v>1</v>
      </c>
      <c r="O1597" t="str">
        <f>IF(Tabla_control[[#This Row],[Control_duplicados]]&gt;1,"Duplicado","Unico")</f>
        <v>Unico</v>
      </c>
      <c r="P1597" t="str">
        <f t="shared" si="97"/>
        <v>OK</v>
      </c>
      <c r="Q1597" t="str">
        <f t="shared" si="98"/>
        <v>OK</v>
      </c>
      <c r="R1597" t="str">
        <f t="shared" si="99"/>
        <v>OK</v>
      </c>
    </row>
    <row r="1598" spans="1:18" x14ac:dyDescent="0.3">
      <c r="A1598" s="1">
        <v>45690</v>
      </c>
      <c r="B1598" s="2" t="s">
        <v>2624</v>
      </c>
      <c r="C1598" s="2" t="s">
        <v>2543</v>
      </c>
      <c r="D1598" s="2" t="s">
        <v>2528</v>
      </c>
      <c r="E1598" s="2" t="s">
        <v>2517</v>
      </c>
      <c r="F1598" s="3">
        <v>13188</v>
      </c>
      <c r="G1598" s="3">
        <v>144</v>
      </c>
      <c r="H1598" s="3">
        <v>2</v>
      </c>
      <c r="I1598" s="4">
        <v>150.33000000000001</v>
      </c>
      <c r="J1598" s="4">
        <v>179.64</v>
      </c>
      <c r="K1598" s="3">
        <v>1</v>
      </c>
      <c r="L1598" s="2" t="s">
        <v>2539</v>
      </c>
      <c r="M1598" s="2" t="s">
        <v>2524</v>
      </c>
      <c r="N1598" s="6">
        <f t="shared" si="96"/>
        <v>1</v>
      </c>
      <c r="O1598" t="str">
        <f>IF(Tabla_control[[#This Row],[Control_duplicados]]&gt;1,"Duplicado","Unico")</f>
        <v>Unico</v>
      </c>
      <c r="P1598" t="str">
        <f t="shared" si="97"/>
        <v>OK</v>
      </c>
      <c r="Q1598" t="str">
        <f t="shared" si="98"/>
        <v>OK</v>
      </c>
      <c r="R1598" t="str">
        <f t="shared" si="99"/>
        <v>OK</v>
      </c>
    </row>
    <row r="1599" spans="1:18" x14ac:dyDescent="0.3">
      <c r="A1599" s="1">
        <v>45913</v>
      </c>
      <c r="B1599" s="2" t="s">
        <v>2644</v>
      </c>
      <c r="C1599" s="2" t="s">
        <v>2521</v>
      </c>
      <c r="D1599" s="2" t="s">
        <v>2645</v>
      </c>
      <c r="E1599" s="2" t="s">
        <v>2529</v>
      </c>
      <c r="F1599" s="3">
        <v>124056</v>
      </c>
      <c r="G1599" s="3">
        <v>5690</v>
      </c>
      <c r="H1599" s="3">
        <v>354</v>
      </c>
      <c r="I1599" s="4">
        <v>4860.13</v>
      </c>
      <c r="J1599" s="4">
        <v>69220.759999999995</v>
      </c>
      <c r="K1599" s="3">
        <v>196</v>
      </c>
      <c r="L1599" s="2" t="s">
        <v>2518</v>
      </c>
      <c r="M1599" s="2" t="s">
        <v>2537</v>
      </c>
      <c r="N1599" s="6">
        <f t="shared" si="96"/>
        <v>1</v>
      </c>
      <c r="O1599" t="str">
        <f>IF(Tabla_control[[#This Row],[Control_duplicados]]&gt;1,"Duplicado","Unico")</f>
        <v>Unico</v>
      </c>
      <c r="P1599" t="str">
        <f t="shared" si="97"/>
        <v>OK</v>
      </c>
      <c r="Q1599" t="str">
        <f t="shared" si="98"/>
        <v>OK</v>
      </c>
      <c r="R1599" t="str">
        <f t="shared" si="99"/>
        <v>OK</v>
      </c>
    </row>
    <row r="1600" spans="1:18" x14ac:dyDescent="0.3">
      <c r="A1600" s="1">
        <v>46010</v>
      </c>
      <c r="B1600" s="2" t="s">
        <v>2625</v>
      </c>
      <c r="C1600" s="2" t="s">
        <v>2541</v>
      </c>
      <c r="D1600" s="2" t="s">
        <v>2528</v>
      </c>
      <c r="E1600" s="2" t="s">
        <v>2529</v>
      </c>
      <c r="F1600" s="3">
        <v>17448</v>
      </c>
      <c r="G1600" s="3">
        <v>1127</v>
      </c>
      <c r="H1600" s="3">
        <v>91</v>
      </c>
      <c r="I1600" s="4">
        <v>2150.16</v>
      </c>
      <c r="J1600" s="4">
        <v>1420.76</v>
      </c>
      <c r="K1600" s="3">
        <v>74</v>
      </c>
      <c r="L1600" s="2" t="s">
        <v>2539</v>
      </c>
      <c r="M1600" s="2" t="s">
        <v>2519</v>
      </c>
      <c r="N1600" s="6">
        <f t="shared" si="96"/>
        <v>1</v>
      </c>
      <c r="O1600" t="str">
        <f>IF(Tabla_control[[#This Row],[Control_duplicados]]&gt;1,"Duplicado","Unico")</f>
        <v>Unico</v>
      </c>
      <c r="P1600" t="str">
        <f t="shared" si="97"/>
        <v>OK</v>
      </c>
      <c r="Q1600" t="str">
        <f t="shared" si="98"/>
        <v>OK</v>
      </c>
      <c r="R1600" t="str">
        <f t="shared" si="99"/>
        <v>OK</v>
      </c>
    </row>
    <row r="1601" spans="1:18" x14ac:dyDescent="0.3">
      <c r="A1601" s="1">
        <v>45715</v>
      </c>
      <c r="B1601" s="2" t="s">
        <v>2618</v>
      </c>
      <c r="C1601" s="2" t="s">
        <v>2533</v>
      </c>
      <c r="D1601" s="2" t="s">
        <v>2528</v>
      </c>
      <c r="E1601" s="2" t="s">
        <v>2529</v>
      </c>
      <c r="F1601" s="3">
        <v>160119</v>
      </c>
      <c r="G1601" s="3">
        <v>7944</v>
      </c>
      <c r="H1601" s="3">
        <v>93</v>
      </c>
      <c r="I1601" s="4">
        <v>1382.1</v>
      </c>
      <c r="J1601" s="4">
        <v>3713.46</v>
      </c>
      <c r="K1601" s="3">
        <v>73</v>
      </c>
      <c r="L1601" s="2" t="s">
        <v>2539</v>
      </c>
      <c r="M1601" s="2" t="s">
        <v>2546</v>
      </c>
      <c r="N1601" s="6">
        <f t="shared" si="96"/>
        <v>1</v>
      </c>
      <c r="O1601" t="str">
        <f>IF(Tabla_control[[#This Row],[Control_duplicados]]&gt;1,"Duplicado","Unico")</f>
        <v>Unico</v>
      </c>
      <c r="P1601" t="str">
        <f t="shared" si="97"/>
        <v>OK</v>
      </c>
      <c r="Q1601" t="str">
        <f t="shared" si="98"/>
        <v>OK</v>
      </c>
      <c r="R1601" t="str">
        <f t="shared" si="99"/>
        <v>OK</v>
      </c>
    </row>
    <row r="1602" spans="1:18" x14ac:dyDescent="0.3">
      <c r="A1602" s="1">
        <v>45877</v>
      </c>
      <c r="B1602" s="2" t="s">
        <v>2628</v>
      </c>
      <c r="C1602" s="2" t="s">
        <v>2515</v>
      </c>
      <c r="D1602" s="2" t="s">
        <v>2528</v>
      </c>
      <c r="E1602" s="2" t="s">
        <v>2529</v>
      </c>
      <c r="F1602" s="3">
        <v>102033</v>
      </c>
      <c r="G1602" s="3">
        <v>3550</v>
      </c>
      <c r="H1602" s="3">
        <v>365</v>
      </c>
      <c r="I1602" s="4">
        <v>4691.45</v>
      </c>
      <c r="J1602" s="4">
        <v>29458.14</v>
      </c>
      <c r="K1602" s="3">
        <v>268</v>
      </c>
      <c r="L1602" s="2" t="s">
        <v>2518</v>
      </c>
      <c r="M1602" s="2" t="s">
        <v>2524</v>
      </c>
      <c r="N1602" s="6">
        <f t="shared" ref="N1602:N1665" si="100">COUNTIFS($A$2:$A$2536,A1602,$B$2:$B$2536,B1602,$C$2:$C$2536,C1602,$D$2:$D$2536,D1602,$E$2:$E$2536,E1602,$F$2:$F$2536,F1602,$G$2:$G$2536,G1602,$H$2:$H$2536,H1602,$I$2:$I$2536,I1602,$J$2:$J$2536,J1602,$K$2:$K$2536,K1602,$L$2:$L$2536,L1602,$M$2:$M$2536,M1602)</f>
        <v>1</v>
      </c>
      <c r="O1602" t="str">
        <f>IF(Tabla_control[[#This Row],[Control_duplicados]]&gt;1,"Duplicado","Unico")</f>
        <v>Unico</v>
      </c>
      <c r="P1602" t="str">
        <f t="shared" ref="P1602:P1665" si="101">IF(OR(I1602="",I1602&lt;0),"ERROR","OK")</f>
        <v>OK</v>
      </c>
      <c r="Q1602" t="str">
        <f t="shared" ref="Q1602:Q1665" si="102">IF(H1602&gt;F1602,"ERROR","OK")</f>
        <v>OK</v>
      </c>
      <c r="R1602" t="str">
        <f t="shared" ref="R1602:R1665" si="103">IF(K1602&gt;H1602,"ERROR","OK")</f>
        <v>OK</v>
      </c>
    </row>
    <row r="1603" spans="1:18" x14ac:dyDescent="0.3">
      <c r="A1603" s="1">
        <v>46017</v>
      </c>
      <c r="B1603" s="2" t="s">
        <v>2624</v>
      </c>
      <c r="C1603" s="2" t="s">
        <v>2533</v>
      </c>
      <c r="D1603" s="2" t="s">
        <v>2528</v>
      </c>
      <c r="E1603" s="2" t="s">
        <v>2534</v>
      </c>
      <c r="F1603" s="3">
        <v>56132</v>
      </c>
      <c r="G1603" s="3">
        <v>4795</v>
      </c>
      <c r="H1603" s="3">
        <v>657</v>
      </c>
      <c r="I1603" s="4">
        <v>8067.37</v>
      </c>
      <c r="J1603" s="4">
        <v>16643.04</v>
      </c>
      <c r="K1603" s="3">
        <v>490</v>
      </c>
      <c r="L1603" s="2" t="s">
        <v>2539</v>
      </c>
      <c r="M1603" s="2" t="s">
        <v>2524</v>
      </c>
      <c r="N1603" s="6">
        <f t="shared" si="100"/>
        <v>1</v>
      </c>
      <c r="O1603" t="str">
        <f>IF(Tabla_control[[#This Row],[Control_duplicados]]&gt;1,"Duplicado","Unico")</f>
        <v>Unico</v>
      </c>
      <c r="P1603" t="str">
        <f t="shared" si="101"/>
        <v>OK</v>
      </c>
      <c r="Q1603" t="str">
        <f t="shared" si="102"/>
        <v>OK</v>
      </c>
      <c r="R1603" t="str">
        <f t="shared" si="103"/>
        <v>OK</v>
      </c>
    </row>
    <row r="1604" spans="1:18" x14ac:dyDescent="0.3">
      <c r="A1604" s="1">
        <v>46014</v>
      </c>
      <c r="B1604" s="2" t="s">
        <v>2638</v>
      </c>
      <c r="C1604" s="2" t="s">
        <v>2521</v>
      </c>
      <c r="D1604" s="2" t="s">
        <v>2516</v>
      </c>
      <c r="E1604" s="2" t="s">
        <v>2517</v>
      </c>
      <c r="F1604" s="3">
        <v>90513</v>
      </c>
      <c r="G1604" s="3">
        <v>6985</v>
      </c>
      <c r="H1604" s="3">
        <v>258</v>
      </c>
      <c r="I1604" s="4">
        <v>6921.46</v>
      </c>
      <c r="J1604" s="4">
        <v>14260.11</v>
      </c>
      <c r="K1604" s="3">
        <v>146</v>
      </c>
      <c r="L1604" s="2" t="s">
        <v>2539</v>
      </c>
      <c r="M1604" s="2" t="s">
        <v>2537</v>
      </c>
      <c r="N1604" s="6">
        <f t="shared" si="100"/>
        <v>1</v>
      </c>
      <c r="O1604" t="str">
        <f>IF(Tabla_control[[#This Row],[Control_duplicados]]&gt;1,"Duplicado","Unico")</f>
        <v>Unico</v>
      </c>
      <c r="P1604" t="str">
        <f t="shared" si="101"/>
        <v>OK</v>
      </c>
      <c r="Q1604" t="str">
        <f t="shared" si="102"/>
        <v>OK</v>
      </c>
      <c r="R1604" t="str">
        <f t="shared" si="103"/>
        <v>OK</v>
      </c>
    </row>
    <row r="1605" spans="1:18" x14ac:dyDescent="0.3">
      <c r="A1605" s="1">
        <v>45795</v>
      </c>
      <c r="B1605" s="2" t="s">
        <v>2616</v>
      </c>
      <c r="C1605" s="2" t="s">
        <v>2541</v>
      </c>
      <c r="D1605" s="2" t="s">
        <v>2522</v>
      </c>
      <c r="E1605" s="2" t="s">
        <v>2529</v>
      </c>
      <c r="F1605" s="3">
        <v>65699</v>
      </c>
      <c r="G1605" s="3">
        <v>1387</v>
      </c>
      <c r="H1605" s="3">
        <v>35</v>
      </c>
      <c r="I1605" s="4">
        <v>2659.35</v>
      </c>
      <c r="J1605" s="4">
        <v>4678.46</v>
      </c>
      <c r="K1605" s="3">
        <v>22</v>
      </c>
      <c r="L1605" s="2" t="s">
        <v>2539</v>
      </c>
      <c r="M1605" s="2" t="s">
        <v>2537</v>
      </c>
      <c r="N1605" s="6">
        <f t="shared" si="100"/>
        <v>1</v>
      </c>
      <c r="O1605" t="str">
        <f>IF(Tabla_control[[#This Row],[Control_duplicados]]&gt;1,"Duplicado","Unico")</f>
        <v>Unico</v>
      </c>
      <c r="P1605" t="str">
        <f t="shared" si="101"/>
        <v>OK</v>
      </c>
      <c r="Q1605" t="str">
        <f t="shared" si="102"/>
        <v>OK</v>
      </c>
      <c r="R1605" t="str">
        <f t="shared" si="103"/>
        <v>OK</v>
      </c>
    </row>
    <row r="1606" spans="1:18" x14ac:dyDescent="0.3">
      <c r="A1606" s="1">
        <v>45951</v>
      </c>
      <c r="B1606" s="2" t="s">
        <v>2618</v>
      </c>
      <c r="C1606" s="2" t="s">
        <v>2533</v>
      </c>
      <c r="D1606" s="2" t="s">
        <v>2516</v>
      </c>
      <c r="E1606" s="2" t="s">
        <v>2517</v>
      </c>
      <c r="F1606" s="3">
        <v>66844</v>
      </c>
      <c r="G1606" s="3">
        <v>2803</v>
      </c>
      <c r="H1606" s="3">
        <v>166</v>
      </c>
      <c r="I1606" s="4">
        <v>4311.42</v>
      </c>
      <c r="J1606" s="4">
        <v>21428.29</v>
      </c>
      <c r="K1606" s="3">
        <v>129</v>
      </c>
      <c r="L1606" s="2" t="s">
        <v>2536</v>
      </c>
      <c r="M1606" s="2" t="s">
        <v>2546</v>
      </c>
      <c r="N1606" s="6">
        <f t="shared" si="100"/>
        <v>1</v>
      </c>
      <c r="O1606" t="str">
        <f>IF(Tabla_control[[#This Row],[Control_duplicados]]&gt;1,"Duplicado","Unico")</f>
        <v>Unico</v>
      </c>
      <c r="P1606" t="str">
        <f t="shared" si="101"/>
        <v>OK</v>
      </c>
      <c r="Q1606" t="str">
        <f t="shared" si="102"/>
        <v>OK</v>
      </c>
      <c r="R1606" t="str">
        <f t="shared" si="103"/>
        <v>OK</v>
      </c>
    </row>
    <row r="1607" spans="1:18" x14ac:dyDescent="0.3">
      <c r="A1607" s="1">
        <v>45822</v>
      </c>
      <c r="B1607" s="2" t="s">
        <v>2640</v>
      </c>
      <c r="C1607" s="2" t="s">
        <v>2515</v>
      </c>
      <c r="D1607" s="2" t="s">
        <v>2528</v>
      </c>
      <c r="E1607" s="2" t="s">
        <v>2517</v>
      </c>
      <c r="F1607" s="3">
        <v>125492</v>
      </c>
      <c r="G1607" s="3">
        <v>2416</v>
      </c>
      <c r="H1607" s="3">
        <v>198</v>
      </c>
      <c r="I1607" s="4">
        <v>3077.51</v>
      </c>
      <c r="J1607" s="4">
        <v>3227.08</v>
      </c>
      <c r="K1607" s="3">
        <v>89</v>
      </c>
      <c r="L1607" s="2" t="s">
        <v>2518</v>
      </c>
      <c r="M1607" s="2" t="s">
        <v>2526</v>
      </c>
      <c r="N1607" s="6">
        <f t="shared" si="100"/>
        <v>1</v>
      </c>
      <c r="O1607" t="str">
        <f>IF(Tabla_control[[#This Row],[Control_duplicados]]&gt;1,"Duplicado","Unico")</f>
        <v>Unico</v>
      </c>
      <c r="P1607" t="str">
        <f t="shared" si="101"/>
        <v>OK</v>
      </c>
      <c r="Q1607" t="str">
        <f t="shared" si="102"/>
        <v>OK</v>
      </c>
      <c r="R1607" t="str">
        <f t="shared" si="103"/>
        <v>OK</v>
      </c>
    </row>
    <row r="1608" spans="1:18" x14ac:dyDescent="0.3">
      <c r="A1608" s="1">
        <v>45764</v>
      </c>
      <c r="B1608" s="2" t="s">
        <v>2637</v>
      </c>
      <c r="C1608" s="2" t="s">
        <v>2543</v>
      </c>
      <c r="D1608" s="2" t="s">
        <v>2528</v>
      </c>
      <c r="E1608" s="2" t="s">
        <v>2529</v>
      </c>
      <c r="F1608" s="3">
        <v>71498</v>
      </c>
      <c r="G1608" s="3">
        <v>5021</v>
      </c>
      <c r="H1608" s="3">
        <v>510</v>
      </c>
      <c r="I1608" s="4">
        <v>9677.1</v>
      </c>
      <c r="J1608" s="4">
        <v>64149.66</v>
      </c>
      <c r="K1608" s="3">
        <v>297</v>
      </c>
      <c r="L1608" s="2" t="s">
        <v>2539</v>
      </c>
      <c r="M1608" s="2" t="s">
        <v>2546</v>
      </c>
      <c r="N1608" s="6">
        <f t="shared" si="100"/>
        <v>1</v>
      </c>
      <c r="O1608" t="str">
        <f>IF(Tabla_control[[#This Row],[Control_duplicados]]&gt;1,"Duplicado","Unico")</f>
        <v>Unico</v>
      </c>
      <c r="P1608" t="str">
        <f t="shared" si="101"/>
        <v>OK</v>
      </c>
      <c r="Q1608" t="str">
        <f t="shared" si="102"/>
        <v>OK</v>
      </c>
      <c r="R1608" t="str">
        <f t="shared" si="103"/>
        <v>OK</v>
      </c>
    </row>
    <row r="1609" spans="1:18" x14ac:dyDescent="0.3">
      <c r="A1609" s="1">
        <v>45697</v>
      </c>
      <c r="B1609" s="2" t="s">
        <v>2641</v>
      </c>
      <c r="C1609" s="2" t="s">
        <v>2521</v>
      </c>
      <c r="D1609" s="2" t="s">
        <v>2528</v>
      </c>
      <c r="E1609" s="2" t="s">
        <v>2529</v>
      </c>
      <c r="F1609" s="3">
        <v>91373</v>
      </c>
      <c r="G1609" s="3">
        <v>830</v>
      </c>
      <c r="H1609" s="3">
        <v>6</v>
      </c>
      <c r="I1609" s="4">
        <v>1088.79</v>
      </c>
      <c r="J1609" s="4">
        <v>299.73</v>
      </c>
      <c r="K1609" s="3">
        <v>3</v>
      </c>
      <c r="L1609" s="2" t="s">
        <v>2518</v>
      </c>
      <c r="M1609" s="2" t="s">
        <v>2537</v>
      </c>
      <c r="N1609" s="6">
        <f t="shared" si="100"/>
        <v>1</v>
      </c>
      <c r="O1609" t="str">
        <f>IF(Tabla_control[[#This Row],[Control_duplicados]]&gt;1,"Duplicado","Unico")</f>
        <v>Unico</v>
      </c>
      <c r="P1609" t="str">
        <f t="shared" si="101"/>
        <v>OK</v>
      </c>
      <c r="Q1609" t="str">
        <f t="shared" si="102"/>
        <v>OK</v>
      </c>
      <c r="R1609" t="str">
        <f t="shared" si="103"/>
        <v>OK</v>
      </c>
    </row>
    <row r="1610" spans="1:18" x14ac:dyDescent="0.3">
      <c r="A1610" s="1">
        <v>45876</v>
      </c>
      <c r="B1610" s="2" t="s">
        <v>2639</v>
      </c>
      <c r="C1610" s="2" t="s">
        <v>2521</v>
      </c>
      <c r="D1610" s="2" t="s">
        <v>2525</v>
      </c>
      <c r="E1610" s="2" t="s">
        <v>2517</v>
      </c>
      <c r="F1610" s="3">
        <v>104043</v>
      </c>
      <c r="G1610" s="3">
        <v>3860</v>
      </c>
      <c r="H1610" s="3">
        <v>357</v>
      </c>
      <c r="I1610" s="4">
        <v>5329.12</v>
      </c>
      <c r="J1610" s="4">
        <v>30116.7</v>
      </c>
      <c r="K1610" s="3">
        <v>289</v>
      </c>
      <c r="L1610" s="2" t="s">
        <v>2523</v>
      </c>
      <c r="M1610" s="2" t="s">
        <v>2537</v>
      </c>
      <c r="N1610" s="6">
        <f t="shared" si="100"/>
        <v>1</v>
      </c>
      <c r="O1610" t="str">
        <f>IF(Tabla_control[[#This Row],[Control_duplicados]]&gt;1,"Duplicado","Unico")</f>
        <v>Unico</v>
      </c>
      <c r="P1610" t="str">
        <f t="shared" si="101"/>
        <v>OK</v>
      </c>
      <c r="Q1610" t="str">
        <f t="shared" si="102"/>
        <v>OK</v>
      </c>
      <c r="R1610" t="str">
        <f t="shared" si="103"/>
        <v>OK</v>
      </c>
    </row>
    <row r="1611" spans="1:18" x14ac:dyDescent="0.3">
      <c r="A1611" s="1">
        <v>45901</v>
      </c>
      <c r="B1611" s="2" t="s">
        <v>2635</v>
      </c>
      <c r="C1611" s="2" t="s">
        <v>2541</v>
      </c>
      <c r="D1611" s="2" t="s">
        <v>2528</v>
      </c>
      <c r="E1611" s="2" t="s">
        <v>2517</v>
      </c>
      <c r="F1611" s="3">
        <v>17017</v>
      </c>
      <c r="G1611" s="3">
        <v>1368</v>
      </c>
      <c r="H1611" s="3">
        <v>175</v>
      </c>
      <c r="I1611" s="4">
        <v>2400.86</v>
      </c>
      <c r="J1611" s="4">
        <v>21806.97</v>
      </c>
      <c r="K1611" s="3">
        <v>139</v>
      </c>
      <c r="L1611" s="2" t="s">
        <v>2536</v>
      </c>
      <c r="M1611" s="2" t="s">
        <v>2524</v>
      </c>
      <c r="N1611" s="6">
        <f t="shared" si="100"/>
        <v>1</v>
      </c>
      <c r="O1611" t="str">
        <f>IF(Tabla_control[[#This Row],[Control_duplicados]]&gt;1,"Duplicado","Unico")</f>
        <v>Unico</v>
      </c>
      <c r="P1611" t="str">
        <f t="shared" si="101"/>
        <v>OK</v>
      </c>
      <c r="Q1611" t="str">
        <f t="shared" si="102"/>
        <v>OK</v>
      </c>
      <c r="R1611" t="str">
        <f t="shared" si="103"/>
        <v>OK</v>
      </c>
    </row>
    <row r="1612" spans="1:18" x14ac:dyDescent="0.3">
      <c r="A1612" s="1">
        <v>45999</v>
      </c>
      <c r="B1612" s="2" t="s">
        <v>2632</v>
      </c>
      <c r="C1612" s="2" t="s">
        <v>2533</v>
      </c>
      <c r="D1612" s="2" t="s">
        <v>2528</v>
      </c>
      <c r="E1612" s="2" t="s">
        <v>2517</v>
      </c>
      <c r="F1612" s="3">
        <v>22089</v>
      </c>
      <c r="G1612" s="3">
        <v>767</v>
      </c>
      <c r="H1612" s="3">
        <v>39</v>
      </c>
      <c r="I1612" s="4">
        <v>511.54</v>
      </c>
      <c r="J1612" s="4">
        <v>5509.86</v>
      </c>
      <c r="K1612" s="3">
        <v>32</v>
      </c>
      <c r="L1612" s="2" t="s">
        <v>2539</v>
      </c>
      <c r="M1612" s="2" t="s">
        <v>2519</v>
      </c>
      <c r="N1612" s="6">
        <f t="shared" si="100"/>
        <v>1</v>
      </c>
      <c r="O1612" t="str">
        <f>IF(Tabla_control[[#This Row],[Control_duplicados]]&gt;1,"Duplicado","Unico")</f>
        <v>Unico</v>
      </c>
      <c r="P1612" t="str">
        <f t="shared" si="101"/>
        <v>OK</v>
      </c>
      <c r="Q1612" t="str">
        <f t="shared" si="102"/>
        <v>OK</v>
      </c>
      <c r="R1612" t="str">
        <f t="shared" si="103"/>
        <v>OK</v>
      </c>
    </row>
    <row r="1613" spans="1:18" x14ac:dyDescent="0.3">
      <c r="A1613" s="1">
        <v>45729</v>
      </c>
      <c r="B1613" s="2" t="s">
        <v>2628</v>
      </c>
      <c r="C1613" s="2" t="s">
        <v>2543</v>
      </c>
      <c r="D1613" s="2" t="s">
        <v>2528</v>
      </c>
      <c r="E1613" s="2" t="s">
        <v>2529</v>
      </c>
      <c r="F1613" s="3">
        <v>53503</v>
      </c>
      <c r="G1613" s="3">
        <v>2980</v>
      </c>
      <c r="H1613" s="3">
        <v>356</v>
      </c>
      <c r="I1613" s="4">
        <v>1686.23</v>
      </c>
      <c r="J1613" s="4">
        <v>28910.76</v>
      </c>
      <c r="K1613" s="3">
        <v>260</v>
      </c>
      <c r="L1613" s="2" t="s">
        <v>2518</v>
      </c>
      <c r="M1613" s="2" t="s">
        <v>2526</v>
      </c>
      <c r="N1613" s="6">
        <f t="shared" si="100"/>
        <v>1</v>
      </c>
      <c r="O1613" t="str">
        <f>IF(Tabla_control[[#This Row],[Control_duplicados]]&gt;1,"Duplicado","Unico")</f>
        <v>Unico</v>
      </c>
      <c r="P1613" t="str">
        <f t="shared" si="101"/>
        <v>OK</v>
      </c>
      <c r="Q1613" t="str">
        <f t="shared" si="102"/>
        <v>OK</v>
      </c>
      <c r="R1613" t="str">
        <f t="shared" si="103"/>
        <v>OK</v>
      </c>
    </row>
    <row r="1614" spans="1:18" x14ac:dyDescent="0.3">
      <c r="A1614" s="1">
        <v>45909</v>
      </c>
      <c r="B1614" s="2" t="s">
        <v>2630</v>
      </c>
      <c r="C1614" s="2" t="s">
        <v>2533</v>
      </c>
      <c r="D1614" s="2" t="s">
        <v>2525</v>
      </c>
      <c r="E1614" s="2" t="s">
        <v>2517</v>
      </c>
      <c r="F1614" s="3">
        <v>73951</v>
      </c>
      <c r="G1614" s="3">
        <v>2624</v>
      </c>
      <c r="H1614" s="3">
        <v>333</v>
      </c>
      <c r="I1614" s="4">
        <v>3254.98</v>
      </c>
      <c r="J1614" s="4">
        <v>23542.28</v>
      </c>
      <c r="K1614" s="3">
        <v>201</v>
      </c>
      <c r="L1614" s="2" t="s">
        <v>2539</v>
      </c>
      <c r="M1614" s="2" t="s">
        <v>2524</v>
      </c>
      <c r="N1614" s="6">
        <f t="shared" si="100"/>
        <v>1</v>
      </c>
      <c r="O1614" t="str">
        <f>IF(Tabla_control[[#This Row],[Control_duplicados]]&gt;1,"Duplicado","Unico")</f>
        <v>Unico</v>
      </c>
      <c r="P1614" t="str">
        <f t="shared" si="101"/>
        <v>OK</v>
      </c>
      <c r="Q1614" t="str">
        <f t="shared" si="102"/>
        <v>OK</v>
      </c>
      <c r="R1614" t="str">
        <f t="shared" si="103"/>
        <v>OK</v>
      </c>
    </row>
    <row r="1615" spans="1:18" x14ac:dyDescent="0.3">
      <c r="A1615" s="1">
        <v>45793</v>
      </c>
      <c r="B1615" s="2" t="s">
        <v>2615</v>
      </c>
      <c r="C1615" s="2" t="s">
        <v>2521</v>
      </c>
      <c r="D1615" s="2" t="s">
        <v>2522</v>
      </c>
      <c r="E1615" s="2" t="s">
        <v>2517</v>
      </c>
      <c r="F1615" s="3">
        <v>131478</v>
      </c>
      <c r="G1615" s="3">
        <v>5362</v>
      </c>
      <c r="H1615" s="3">
        <v>650</v>
      </c>
      <c r="I1615" s="4">
        <v>5076.24</v>
      </c>
      <c r="J1615" s="4">
        <v>120757.47</v>
      </c>
      <c r="K1615" s="3">
        <v>486</v>
      </c>
      <c r="L1615" s="2" t="s">
        <v>2518</v>
      </c>
      <c r="M1615" s="2" t="s">
        <v>2546</v>
      </c>
      <c r="N1615" s="6">
        <f t="shared" si="100"/>
        <v>1</v>
      </c>
      <c r="O1615" t="str">
        <f>IF(Tabla_control[[#This Row],[Control_duplicados]]&gt;1,"Duplicado","Unico")</f>
        <v>Unico</v>
      </c>
      <c r="P1615" t="str">
        <f t="shared" si="101"/>
        <v>OK</v>
      </c>
      <c r="Q1615" t="str">
        <f t="shared" si="102"/>
        <v>OK</v>
      </c>
      <c r="R1615" t="str">
        <f t="shared" si="103"/>
        <v>OK</v>
      </c>
    </row>
    <row r="1616" spans="1:18" x14ac:dyDescent="0.3">
      <c r="A1616" s="1">
        <v>45831</v>
      </c>
      <c r="B1616" s="2" t="s">
        <v>2619</v>
      </c>
      <c r="C1616" s="2" t="s">
        <v>2543</v>
      </c>
      <c r="D1616" s="2" t="s">
        <v>2531</v>
      </c>
      <c r="E1616" s="2" t="s">
        <v>2529</v>
      </c>
      <c r="F1616" s="3">
        <v>65993</v>
      </c>
      <c r="G1616" s="3">
        <v>2080</v>
      </c>
      <c r="H1616" s="3">
        <v>53</v>
      </c>
      <c r="I1616" s="4">
        <v>1320.35</v>
      </c>
      <c r="J1616" s="4">
        <v>8882.56</v>
      </c>
      <c r="K1616" s="3">
        <v>24</v>
      </c>
      <c r="L1616" s="2" t="s">
        <v>2536</v>
      </c>
      <c r="M1616" s="2" t="s">
        <v>2537</v>
      </c>
      <c r="N1616" s="6">
        <f t="shared" si="100"/>
        <v>1</v>
      </c>
      <c r="O1616" t="str">
        <f>IF(Tabla_control[[#This Row],[Control_duplicados]]&gt;1,"Duplicado","Unico")</f>
        <v>Unico</v>
      </c>
      <c r="P1616" t="str">
        <f t="shared" si="101"/>
        <v>OK</v>
      </c>
      <c r="Q1616" t="str">
        <f t="shared" si="102"/>
        <v>OK</v>
      </c>
      <c r="R1616" t="str">
        <f t="shared" si="103"/>
        <v>OK</v>
      </c>
    </row>
    <row r="1617" spans="1:18" x14ac:dyDescent="0.3">
      <c r="A1617" s="1">
        <v>45888</v>
      </c>
      <c r="B1617" s="2" t="s">
        <v>2643</v>
      </c>
      <c r="C1617" s="2" t="s">
        <v>2521</v>
      </c>
      <c r="D1617" s="2" t="s">
        <v>2516</v>
      </c>
      <c r="E1617" s="2" t="s">
        <v>2517</v>
      </c>
      <c r="F1617" s="3">
        <v>59500</v>
      </c>
      <c r="G1617" s="3">
        <v>2120</v>
      </c>
      <c r="H1617" s="3">
        <v>111</v>
      </c>
      <c r="I1617" s="4">
        <v>2125.35</v>
      </c>
      <c r="J1617" s="4">
        <v>10947.21</v>
      </c>
      <c r="K1617" s="3">
        <v>58</v>
      </c>
      <c r="L1617" s="2" t="s">
        <v>2536</v>
      </c>
      <c r="M1617" s="2" t="s">
        <v>2526</v>
      </c>
      <c r="N1617" s="6">
        <f t="shared" si="100"/>
        <v>1</v>
      </c>
      <c r="O1617" t="str">
        <f>IF(Tabla_control[[#This Row],[Control_duplicados]]&gt;1,"Duplicado","Unico")</f>
        <v>Unico</v>
      </c>
      <c r="P1617" t="str">
        <f t="shared" si="101"/>
        <v>OK</v>
      </c>
      <c r="Q1617" t="str">
        <f t="shared" si="102"/>
        <v>OK</v>
      </c>
      <c r="R1617" t="str">
        <f t="shared" si="103"/>
        <v>OK</v>
      </c>
    </row>
    <row r="1618" spans="1:18" x14ac:dyDescent="0.3">
      <c r="A1618" s="1">
        <v>45858</v>
      </c>
      <c r="B1618" s="2" t="s">
        <v>2623</v>
      </c>
      <c r="C1618" s="2" t="s">
        <v>2543</v>
      </c>
      <c r="D1618" s="2" t="s">
        <v>2528</v>
      </c>
      <c r="E1618" s="2" t="s">
        <v>2529</v>
      </c>
      <c r="F1618" s="3">
        <v>137385</v>
      </c>
      <c r="G1618" s="3">
        <v>12227</v>
      </c>
      <c r="H1618" s="3">
        <v>1349</v>
      </c>
      <c r="I1618" s="4">
        <v>24381.01</v>
      </c>
      <c r="J1618" s="4">
        <v>265670.28000000003</v>
      </c>
      <c r="K1618" s="3">
        <v>720</v>
      </c>
      <c r="L1618" s="2" t="s">
        <v>2523</v>
      </c>
      <c r="M1618" s="2" t="s">
        <v>2526</v>
      </c>
      <c r="N1618" s="6">
        <f t="shared" si="100"/>
        <v>1</v>
      </c>
      <c r="O1618" t="str">
        <f>IF(Tabla_control[[#This Row],[Control_duplicados]]&gt;1,"Duplicado","Unico")</f>
        <v>Unico</v>
      </c>
      <c r="P1618" t="str">
        <f t="shared" si="101"/>
        <v>OK</v>
      </c>
      <c r="Q1618" t="str">
        <f t="shared" si="102"/>
        <v>OK</v>
      </c>
      <c r="R1618" t="str">
        <f t="shared" si="103"/>
        <v>OK</v>
      </c>
    </row>
    <row r="1619" spans="1:18" x14ac:dyDescent="0.3">
      <c r="A1619" s="1">
        <v>45755</v>
      </c>
      <c r="B1619" s="2" t="s">
        <v>2644</v>
      </c>
      <c r="C1619" s="2" t="s">
        <v>2533</v>
      </c>
      <c r="D1619" s="2" t="s">
        <v>2528</v>
      </c>
      <c r="E1619" s="2" t="s">
        <v>2529</v>
      </c>
      <c r="F1619" s="3">
        <v>5924</v>
      </c>
      <c r="G1619" s="3">
        <v>36</v>
      </c>
      <c r="H1619" s="3">
        <v>4</v>
      </c>
      <c r="I1619" s="4">
        <v>10.82</v>
      </c>
      <c r="J1619" s="4">
        <v>744.24</v>
      </c>
      <c r="K1619" s="3">
        <v>3</v>
      </c>
      <c r="L1619" s="2" t="s">
        <v>2539</v>
      </c>
      <c r="M1619" s="2" t="s">
        <v>2537</v>
      </c>
      <c r="N1619" s="6">
        <f t="shared" si="100"/>
        <v>1</v>
      </c>
      <c r="O1619" t="str">
        <f>IF(Tabla_control[[#This Row],[Control_duplicados]]&gt;1,"Duplicado","Unico")</f>
        <v>Unico</v>
      </c>
      <c r="P1619" t="str">
        <f t="shared" si="101"/>
        <v>OK</v>
      </c>
      <c r="Q1619" t="str">
        <f t="shared" si="102"/>
        <v>OK</v>
      </c>
      <c r="R1619" t="str">
        <f t="shared" si="103"/>
        <v>OK</v>
      </c>
    </row>
    <row r="1620" spans="1:18" x14ac:dyDescent="0.3">
      <c r="A1620" s="1">
        <v>45846</v>
      </c>
      <c r="B1620" s="2" t="s">
        <v>2616</v>
      </c>
      <c r="C1620" s="2" t="s">
        <v>2521</v>
      </c>
      <c r="D1620" s="2" t="s">
        <v>2516</v>
      </c>
      <c r="E1620" s="2" t="s">
        <v>2534</v>
      </c>
      <c r="F1620" s="3">
        <v>122849</v>
      </c>
      <c r="G1620" s="3">
        <v>8784</v>
      </c>
      <c r="H1620" s="3">
        <v>175</v>
      </c>
      <c r="I1620" s="4">
        <v>2448.02</v>
      </c>
      <c r="J1620" s="4">
        <v>27271.61</v>
      </c>
      <c r="K1620" s="3">
        <v>102</v>
      </c>
      <c r="L1620" s="2" t="s">
        <v>2539</v>
      </c>
      <c r="M1620" s="2" t="s">
        <v>2526</v>
      </c>
      <c r="N1620" s="6">
        <f t="shared" si="100"/>
        <v>1</v>
      </c>
      <c r="O1620" t="str">
        <f>IF(Tabla_control[[#This Row],[Control_duplicados]]&gt;1,"Duplicado","Unico")</f>
        <v>Unico</v>
      </c>
      <c r="P1620" t="str">
        <f t="shared" si="101"/>
        <v>OK</v>
      </c>
      <c r="Q1620" t="str">
        <f t="shared" si="102"/>
        <v>OK</v>
      </c>
      <c r="R1620" t="str">
        <f t="shared" si="103"/>
        <v>OK</v>
      </c>
    </row>
    <row r="1621" spans="1:18" x14ac:dyDescent="0.3">
      <c r="A1621" s="1">
        <v>45956</v>
      </c>
      <c r="B1621" s="2" t="s">
        <v>2629</v>
      </c>
      <c r="C1621" s="2" t="s">
        <v>2527</v>
      </c>
      <c r="D1621" s="2" t="s">
        <v>2525</v>
      </c>
      <c r="E1621" s="2" t="s">
        <v>2517</v>
      </c>
      <c r="F1621" s="3">
        <v>57201</v>
      </c>
      <c r="G1621" s="3">
        <v>462</v>
      </c>
      <c r="H1621" s="3">
        <v>9</v>
      </c>
      <c r="I1621" s="4">
        <v>624.30999999999995</v>
      </c>
      <c r="J1621" s="4">
        <v>651.48</v>
      </c>
      <c r="K1621" s="3">
        <v>5</v>
      </c>
      <c r="L1621" s="2" t="s">
        <v>2523</v>
      </c>
      <c r="M1621" s="2" t="s">
        <v>2524</v>
      </c>
      <c r="N1621" s="6">
        <f t="shared" si="100"/>
        <v>1</v>
      </c>
      <c r="O1621" t="str">
        <f>IF(Tabla_control[[#This Row],[Control_duplicados]]&gt;1,"Duplicado","Unico")</f>
        <v>Unico</v>
      </c>
      <c r="P1621" t="str">
        <f t="shared" si="101"/>
        <v>OK</v>
      </c>
      <c r="Q1621" t="str">
        <f t="shared" si="102"/>
        <v>OK</v>
      </c>
      <c r="R1621" t="str">
        <f t="shared" si="103"/>
        <v>OK</v>
      </c>
    </row>
    <row r="1622" spans="1:18" x14ac:dyDescent="0.3">
      <c r="A1622" s="1">
        <v>45863</v>
      </c>
      <c r="B1622" s="2" t="s">
        <v>2625</v>
      </c>
      <c r="C1622" s="2" t="s">
        <v>2533</v>
      </c>
      <c r="D1622" s="2" t="s">
        <v>2525</v>
      </c>
      <c r="E1622" s="2" t="s">
        <v>2517</v>
      </c>
      <c r="F1622" s="3">
        <v>98819</v>
      </c>
      <c r="G1622" s="3">
        <v>672</v>
      </c>
      <c r="H1622" s="3">
        <v>74</v>
      </c>
      <c r="I1622" s="4">
        <v>261.18</v>
      </c>
      <c r="J1622" s="4">
        <v>6994.36</v>
      </c>
      <c r="K1622" s="3">
        <v>63</v>
      </c>
      <c r="L1622" s="2" t="s">
        <v>2523</v>
      </c>
      <c r="M1622" s="2" t="s">
        <v>2524</v>
      </c>
      <c r="N1622" s="6">
        <f t="shared" si="100"/>
        <v>1</v>
      </c>
      <c r="O1622" t="str">
        <f>IF(Tabla_control[[#This Row],[Control_duplicados]]&gt;1,"Duplicado","Unico")</f>
        <v>Unico</v>
      </c>
      <c r="P1622" t="str">
        <f t="shared" si="101"/>
        <v>OK</v>
      </c>
      <c r="Q1622" t="str">
        <f t="shared" si="102"/>
        <v>OK</v>
      </c>
      <c r="R1622" t="str">
        <f t="shared" si="103"/>
        <v>OK</v>
      </c>
    </row>
    <row r="1623" spans="1:18" x14ac:dyDescent="0.3">
      <c r="A1623" s="1">
        <v>46022</v>
      </c>
      <c r="B1623" s="2" t="s">
        <v>2618</v>
      </c>
      <c r="C1623" s="2" t="s">
        <v>2521</v>
      </c>
      <c r="D1623" s="2" t="s">
        <v>2516</v>
      </c>
      <c r="E1623" s="2" t="s">
        <v>2534</v>
      </c>
      <c r="F1623" s="3">
        <v>43699</v>
      </c>
      <c r="G1623" s="3">
        <v>3745</v>
      </c>
      <c r="H1623" s="3">
        <v>163</v>
      </c>
      <c r="I1623" s="4">
        <v>2934.64</v>
      </c>
      <c r="J1623" s="4">
        <v>3744.79</v>
      </c>
      <c r="K1623" s="3">
        <v>132</v>
      </c>
      <c r="L1623" s="2" t="s">
        <v>2536</v>
      </c>
      <c r="M1623" s="2" t="s">
        <v>2526</v>
      </c>
      <c r="N1623" s="6">
        <f t="shared" si="100"/>
        <v>1</v>
      </c>
      <c r="O1623" t="str">
        <f>IF(Tabla_control[[#This Row],[Control_duplicados]]&gt;1,"Duplicado","Unico")</f>
        <v>Unico</v>
      </c>
      <c r="P1623" t="str">
        <f t="shared" si="101"/>
        <v>OK</v>
      </c>
      <c r="Q1623" t="str">
        <f t="shared" si="102"/>
        <v>OK</v>
      </c>
      <c r="R1623" t="str">
        <f t="shared" si="103"/>
        <v>OK</v>
      </c>
    </row>
    <row r="1624" spans="1:18" x14ac:dyDescent="0.3">
      <c r="A1624" s="1">
        <v>45976</v>
      </c>
      <c r="B1624" s="2" t="s">
        <v>2615</v>
      </c>
      <c r="C1624" s="2" t="s">
        <v>2515</v>
      </c>
      <c r="D1624" s="2" t="s">
        <v>2516</v>
      </c>
      <c r="E1624" s="2" t="s">
        <v>2517</v>
      </c>
      <c r="F1624" s="3">
        <v>171047</v>
      </c>
      <c r="G1624" s="3">
        <v>2182</v>
      </c>
      <c r="H1624" s="3">
        <v>155</v>
      </c>
      <c r="I1624" s="4">
        <v>2980.57</v>
      </c>
      <c r="J1624" s="4">
        <v>18902.5</v>
      </c>
      <c r="K1624" s="3">
        <v>94</v>
      </c>
      <c r="L1624" s="2" t="s">
        <v>2518</v>
      </c>
      <c r="M1624" s="2" t="s">
        <v>2524</v>
      </c>
      <c r="N1624" s="6">
        <f t="shared" si="100"/>
        <v>1</v>
      </c>
      <c r="O1624" t="str">
        <f>IF(Tabla_control[[#This Row],[Control_duplicados]]&gt;1,"Duplicado","Unico")</f>
        <v>Unico</v>
      </c>
      <c r="P1624" t="str">
        <f t="shared" si="101"/>
        <v>OK</v>
      </c>
      <c r="Q1624" t="str">
        <f t="shared" si="102"/>
        <v>OK</v>
      </c>
      <c r="R1624" t="str">
        <f t="shared" si="103"/>
        <v>OK</v>
      </c>
    </row>
    <row r="1625" spans="1:18" x14ac:dyDescent="0.3">
      <c r="A1625" s="1">
        <v>45912</v>
      </c>
      <c r="B1625" s="2" t="s">
        <v>2619</v>
      </c>
      <c r="C1625" s="2" t="s">
        <v>2515</v>
      </c>
      <c r="D1625" s="2" t="s">
        <v>2528</v>
      </c>
      <c r="E1625" s="2" t="s">
        <v>2517</v>
      </c>
      <c r="F1625" s="3">
        <v>144284</v>
      </c>
      <c r="G1625" s="3">
        <v>7528</v>
      </c>
      <c r="H1625" s="3">
        <v>501</v>
      </c>
      <c r="I1625" s="4">
        <v>14677.35</v>
      </c>
      <c r="J1625" s="4">
        <v>94154.6</v>
      </c>
      <c r="K1625" s="3">
        <v>329</v>
      </c>
      <c r="L1625" s="2" t="s">
        <v>2536</v>
      </c>
      <c r="M1625" s="2" t="s">
        <v>2537</v>
      </c>
      <c r="N1625" s="6">
        <f t="shared" si="100"/>
        <v>1</v>
      </c>
      <c r="O1625" t="str">
        <f>IF(Tabla_control[[#This Row],[Control_duplicados]]&gt;1,"Duplicado","Unico")</f>
        <v>Unico</v>
      </c>
      <c r="P1625" t="str">
        <f t="shared" si="101"/>
        <v>OK</v>
      </c>
      <c r="Q1625" t="str">
        <f t="shared" si="102"/>
        <v>OK</v>
      </c>
      <c r="R1625" t="str">
        <f t="shared" si="103"/>
        <v>OK</v>
      </c>
    </row>
    <row r="1626" spans="1:18" x14ac:dyDescent="0.3">
      <c r="A1626" s="1">
        <v>45895</v>
      </c>
      <c r="B1626" s="2" t="s">
        <v>2630</v>
      </c>
      <c r="C1626" s="2" t="s">
        <v>2515</v>
      </c>
      <c r="D1626" s="2" t="s">
        <v>2528</v>
      </c>
      <c r="E1626" s="2" t="s">
        <v>2529</v>
      </c>
      <c r="F1626" s="3">
        <v>78711</v>
      </c>
      <c r="G1626" s="3">
        <v>5756</v>
      </c>
      <c r="H1626" s="3">
        <v>611</v>
      </c>
      <c r="I1626" s="4">
        <v>2861.34</v>
      </c>
      <c r="J1626" s="4">
        <v>99760.57</v>
      </c>
      <c r="K1626" s="3">
        <v>522</v>
      </c>
      <c r="L1626" s="2" t="s">
        <v>2523</v>
      </c>
      <c r="M1626" s="2" t="s">
        <v>2537</v>
      </c>
      <c r="N1626" s="6">
        <f t="shared" si="100"/>
        <v>1</v>
      </c>
      <c r="O1626" t="str">
        <f>IF(Tabla_control[[#This Row],[Control_duplicados]]&gt;1,"Duplicado","Unico")</f>
        <v>Unico</v>
      </c>
      <c r="P1626" t="str">
        <f t="shared" si="101"/>
        <v>OK</v>
      </c>
      <c r="Q1626" t="str">
        <f t="shared" si="102"/>
        <v>OK</v>
      </c>
      <c r="R1626" t="str">
        <f t="shared" si="103"/>
        <v>OK</v>
      </c>
    </row>
    <row r="1627" spans="1:18" x14ac:dyDescent="0.3">
      <c r="A1627" s="1">
        <v>45880</v>
      </c>
      <c r="B1627" s="2" t="s">
        <v>2618</v>
      </c>
      <c r="C1627" s="2" t="s">
        <v>2515</v>
      </c>
      <c r="D1627" s="2" t="s">
        <v>2525</v>
      </c>
      <c r="E1627" s="2" t="s">
        <v>2529</v>
      </c>
      <c r="F1627" s="3">
        <v>77997</v>
      </c>
      <c r="G1627" s="3">
        <v>1274</v>
      </c>
      <c r="H1627" s="3">
        <v>94</v>
      </c>
      <c r="I1627" s="4">
        <v>1441.47</v>
      </c>
      <c r="J1627" s="4">
        <v>5544.5</v>
      </c>
      <c r="K1627" s="3">
        <v>73</v>
      </c>
      <c r="L1627" s="2" t="s">
        <v>2518</v>
      </c>
      <c r="M1627" s="2" t="s">
        <v>2524</v>
      </c>
      <c r="N1627" s="6">
        <f t="shared" si="100"/>
        <v>1</v>
      </c>
      <c r="O1627" t="str">
        <f>IF(Tabla_control[[#This Row],[Control_duplicados]]&gt;1,"Duplicado","Unico")</f>
        <v>Unico</v>
      </c>
      <c r="P1627" t="str">
        <f t="shared" si="101"/>
        <v>OK</v>
      </c>
      <c r="Q1627" t="str">
        <f t="shared" si="102"/>
        <v>OK</v>
      </c>
      <c r="R1627" t="str">
        <f t="shared" si="103"/>
        <v>OK</v>
      </c>
    </row>
    <row r="1628" spans="1:18" x14ac:dyDescent="0.3">
      <c r="A1628" s="1">
        <v>45684</v>
      </c>
      <c r="B1628" s="2" t="s">
        <v>2639</v>
      </c>
      <c r="C1628" s="2" t="s">
        <v>2533</v>
      </c>
      <c r="D1628" s="2" t="s">
        <v>2525</v>
      </c>
      <c r="E1628" s="2" t="s">
        <v>2534</v>
      </c>
      <c r="F1628" s="3">
        <v>165204</v>
      </c>
      <c r="G1628" s="3">
        <v>12204</v>
      </c>
      <c r="H1628" s="3">
        <v>470</v>
      </c>
      <c r="I1628" s="4">
        <v>10390.040000000001</v>
      </c>
      <c r="J1628" s="4">
        <v>80861.14</v>
      </c>
      <c r="K1628" s="3">
        <v>408</v>
      </c>
      <c r="L1628" s="2" t="s">
        <v>2518</v>
      </c>
      <c r="M1628" s="2" t="s">
        <v>2526</v>
      </c>
      <c r="N1628" s="6">
        <f t="shared" si="100"/>
        <v>1</v>
      </c>
      <c r="O1628" t="str">
        <f>IF(Tabla_control[[#This Row],[Control_duplicados]]&gt;1,"Duplicado","Unico")</f>
        <v>Unico</v>
      </c>
      <c r="P1628" t="str">
        <f t="shared" si="101"/>
        <v>OK</v>
      </c>
      <c r="Q1628" t="str">
        <f t="shared" si="102"/>
        <v>OK</v>
      </c>
      <c r="R1628" t="str">
        <f t="shared" si="103"/>
        <v>OK</v>
      </c>
    </row>
    <row r="1629" spans="1:18" x14ac:dyDescent="0.3">
      <c r="A1629" s="1">
        <v>45808</v>
      </c>
      <c r="B1629" s="2" t="s">
        <v>2635</v>
      </c>
      <c r="C1629" s="2" t="s">
        <v>2521</v>
      </c>
      <c r="D1629" s="2" t="s">
        <v>2528</v>
      </c>
      <c r="E1629" s="2" t="s">
        <v>2517</v>
      </c>
      <c r="F1629" s="3">
        <v>174851</v>
      </c>
      <c r="G1629" s="3">
        <v>3727</v>
      </c>
      <c r="H1629" s="3">
        <v>90</v>
      </c>
      <c r="I1629" s="4">
        <v>1228.3599999999999</v>
      </c>
      <c r="J1629" s="4">
        <v>9191.2900000000009</v>
      </c>
      <c r="K1629" s="3">
        <v>64</v>
      </c>
      <c r="L1629" s="2" t="s">
        <v>2536</v>
      </c>
      <c r="M1629" s="2" t="s">
        <v>2519</v>
      </c>
      <c r="N1629" s="6">
        <f t="shared" si="100"/>
        <v>1</v>
      </c>
      <c r="O1629" t="str">
        <f>IF(Tabla_control[[#This Row],[Control_duplicados]]&gt;1,"Duplicado","Unico")</f>
        <v>Unico</v>
      </c>
      <c r="P1629" t="str">
        <f t="shared" si="101"/>
        <v>OK</v>
      </c>
      <c r="Q1629" t="str">
        <f t="shared" si="102"/>
        <v>OK</v>
      </c>
      <c r="R1629" t="str">
        <f t="shared" si="103"/>
        <v>OK</v>
      </c>
    </row>
    <row r="1630" spans="1:18" x14ac:dyDescent="0.3">
      <c r="A1630" s="1">
        <v>45725</v>
      </c>
      <c r="B1630" s="2" t="s">
        <v>2617</v>
      </c>
      <c r="C1630" s="2" t="s">
        <v>2543</v>
      </c>
      <c r="D1630" s="2" t="s">
        <v>2528</v>
      </c>
      <c r="E1630" s="2" t="s">
        <v>2517</v>
      </c>
      <c r="F1630" s="3">
        <v>59836</v>
      </c>
      <c r="G1630" s="3">
        <v>2678</v>
      </c>
      <c r="H1630" s="3">
        <v>277</v>
      </c>
      <c r="I1630" s="4">
        <v>2101.9</v>
      </c>
      <c r="J1630" s="4">
        <v>9658.89</v>
      </c>
      <c r="K1630" s="3">
        <v>209</v>
      </c>
      <c r="L1630" s="2" t="s">
        <v>2539</v>
      </c>
      <c r="M1630" s="2" t="s">
        <v>2537</v>
      </c>
      <c r="N1630" s="6">
        <f t="shared" si="100"/>
        <v>1</v>
      </c>
      <c r="O1630" t="str">
        <f>IF(Tabla_control[[#This Row],[Control_duplicados]]&gt;1,"Duplicado","Unico")</f>
        <v>Unico</v>
      </c>
      <c r="P1630" t="str">
        <f t="shared" si="101"/>
        <v>OK</v>
      </c>
      <c r="Q1630" t="str">
        <f t="shared" si="102"/>
        <v>OK</v>
      </c>
      <c r="R1630" t="str">
        <f t="shared" si="103"/>
        <v>OK</v>
      </c>
    </row>
    <row r="1631" spans="1:18" x14ac:dyDescent="0.3">
      <c r="A1631" s="1">
        <v>45932</v>
      </c>
      <c r="B1631" s="2" t="s">
        <v>2642</v>
      </c>
      <c r="C1631" s="2" t="s">
        <v>2527</v>
      </c>
      <c r="D1631" s="2" t="s">
        <v>2525</v>
      </c>
      <c r="E1631" s="2" t="s">
        <v>2529</v>
      </c>
      <c r="F1631" s="3">
        <v>53631</v>
      </c>
      <c r="G1631" s="3">
        <v>1537</v>
      </c>
      <c r="H1631" s="3">
        <v>68</v>
      </c>
      <c r="I1631" s="4">
        <v>2958.95</v>
      </c>
      <c r="J1631" s="4">
        <v>4047.44</v>
      </c>
      <c r="K1631" s="3">
        <v>31</v>
      </c>
      <c r="L1631" s="2" t="s">
        <v>2523</v>
      </c>
      <c r="M1631" s="2" t="s">
        <v>2519</v>
      </c>
      <c r="N1631" s="6">
        <f t="shared" si="100"/>
        <v>1</v>
      </c>
      <c r="O1631" t="str">
        <f>IF(Tabla_control[[#This Row],[Control_duplicados]]&gt;1,"Duplicado","Unico")</f>
        <v>Unico</v>
      </c>
      <c r="P1631" t="str">
        <f t="shared" si="101"/>
        <v>OK</v>
      </c>
      <c r="Q1631" t="str">
        <f t="shared" si="102"/>
        <v>OK</v>
      </c>
      <c r="R1631" t="str">
        <f t="shared" si="103"/>
        <v>OK</v>
      </c>
    </row>
    <row r="1632" spans="1:18" x14ac:dyDescent="0.3">
      <c r="A1632" s="1">
        <v>45943</v>
      </c>
      <c r="B1632" s="2" t="s">
        <v>2639</v>
      </c>
      <c r="C1632" s="2" t="s">
        <v>2543</v>
      </c>
      <c r="D1632" s="2" t="s">
        <v>2516</v>
      </c>
      <c r="E1632" s="2" t="s">
        <v>2529</v>
      </c>
      <c r="F1632" s="3">
        <v>154473</v>
      </c>
      <c r="G1632" s="3">
        <v>12215</v>
      </c>
      <c r="H1632" s="3">
        <v>955</v>
      </c>
      <c r="I1632" s="4">
        <v>20863.400000000001</v>
      </c>
      <c r="J1632" s="4">
        <v>190050.32</v>
      </c>
      <c r="K1632" s="3">
        <v>802</v>
      </c>
      <c r="L1632" s="2" t="s">
        <v>2523</v>
      </c>
      <c r="M1632" s="2" t="s">
        <v>2546</v>
      </c>
      <c r="N1632" s="6">
        <f t="shared" si="100"/>
        <v>1</v>
      </c>
      <c r="O1632" t="str">
        <f>IF(Tabla_control[[#This Row],[Control_duplicados]]&gt;1,"Duplicado","Unico")</f>
        <v>Unico</v>
      </c>
      <c r="P1632" t="str">
        <f t="shared" si="101"/>
        <v>OK</v>
      </c>
      <c r="Q1632" t="str">
        <f t="shared" si="102"/>
        <v>OK</v>
      </c>
      <c r="R1632" t="str">
        <f t="shared" si="103"/>
        <v>OK</v>
      </c>
    </row>
    <row r="1633" spans="1:18" x14ac:dyDescent="0.3">
      <c r="A1633" s="1">
        <v>45747</v>
      </c>
      <c r="B1633" s="2" t="s">
        <v>2617</v>
      </c>
      <c r="C1633" s="2" t="s">
        <v>2533</v>
      </c>
      <c r="D1633" s="2" t="s">
        <v>2528</v>
      </c>
      <c r="E1633" s="2" t="s">
        <v>2529</v>
      </c>
      <c r="F1633" s="3">
        <v>159572</v>
      </c>
      <c r="G1633" s="3">
        <v>6822</v>
      </c>
      <c r="H1633" s="3">
        <v>822</v>
      </c>
      <c r="I1633" s="4">
        <v>5267.14</v>
      </c>
      <c r="J1633" s="4">
        <v>171886.75</v>
      </c>
      <c r="K1633" s="3">
        <v>428</v>
      </c>
      <c r="L1633" s="2" t="s">
        <v>2523</v>
      </c>
      <c r="M1633" s="2" t="s">
        <v>2519</v>
      </c>
      <c r="N1633" s="6">
        <f t="shared" si="100"/>
        <v>1</v>
      </c>
      <c r="O1633" t="str">
        <f>IF(Tabla_control[[#This Row],[Control_duplicados]]&gt;1,"Duplicado","Unico")</f>
        <v>Unico</v>
      </c>
      <c r="P1633" t="str">
        <f t="shared" si="101"/>
        <v>OK</v>
      </c>
      <c r="Q1633" t="str">
        <f t="shared" si="102"/>
        <v>OK</v>
      </c>
      <c r="R1633" t="str">
        <f t="shared" si="103"/>
        <v>OK</v>
      </c>
    </row>
    <row r="1634" spans="1:18" x14ac:dyDescent="0.3">
      <c r="A1634" s="1">
        <v>45816</v>
      </c>
      <c r="B1634" s="2" t="s">
        <v>2643</v>
      </c>
      <c r="C1634" s="2" t="s">
        <v>2543</v>
      </c>
      <c r="D1634" s="2" t="s">
        <v>2531</v>
      </c>
      <c r="E1634" s="2" t="s">
        <v>2529</v>
      </c>
      <c r="F1634" s="3">
        <v>151478</v>
      </c>
      <c r="G1634" s="3">
        <v>3984</v>
      </c>
      <c r="H1634" s="3">
        <v>435</v>
      </c>
      <c r="I1634" s="4">
        <v>2136.9699999999998</v>
      </c>
      <c r="J1634" s="4">
        <v>26101.71</v>
      </c>
      <c r="K1634" s="3">
        <v>283</v>
      </c>
      <c r="L1634" s="2" t="s">
        <v>2539</v>
      </c>
      <c r="M1634" s="2" t="s">
        <v>2524</v>
      </c>
      <c r="N1634" s="6">
        <f t="shared" si="100"/>
        <v>1</v>
      </c>
      <c r="O1634" t="str">
        <f>IF(Tabla_control[[#This Row],[Control_duplicados]]&gt;1,"Duplicado","Unico")</f>
        <v>Unico</v>
      </c>
      <c r="P1634" t="str">
        <f t="shared" si="101"/>
        <v>OK</v>
      </c>
      <c r="Q1634" t="str">
        <f t="shared" si="102"/>
        <v>OK</v>
      </c>
      <c r="R1634" t="str">
        <f t="shared" si="103"/>
        <v>OK</v>
      </c>
    </row>
    <row r="1635" spans="1:18" x14ac:dyDescent="0.3">
      <c r="A1635" s="1">
        <v>45742</v>
      </c>
      <c r="B1635" s="2" t="s">
        <v>2633</v>
      </c>
      <c r="C1635" s="2" t="s">
        <v>2541</v>
      </c>
      <c r="D1635" s="2" t="s">
        <v>2525</v>
      </c>
      <c r="E1635" s="2" t="s">
        <v>2517</v>
      </c>
      <c r="F1635" s="3">
        <v>40226</v>
      </c>
      <c r="G1635" s="3">
        <v>1822</v>
      </c>
      <c r="H1635" s="3">
        <v>76</v>
      </c>
      <c r="I1635" s="4">
        <v>1629.87</v>
      </c>
      <c r="J1635" s="4">
        <v>1988.08</v>
      </c>
      <c r="K1635" s="3">
        <v>60</v>
      </c>
      <c r="L1635" s="2" t="s">
        <v>2539</v>
      </c>
      <c r="M1635" s="2" t="s">
        <v>2524</v>
      </c>
      <c r="N1635" s="6">
        <f t="shared" si="100"/>
        <v>1</v>
      </c>
      <c r="O1635" t="str">
        <f>IF(Tabla_control[[#This Row],[Control_duplicados]]&gt;1,"Duplicado","Unico")</f>
        <v>Unico</v>
      </c>
      <c r="P1635" t="str">
        <f t="shared" si="101"/>
        <v>OK</v>
      </c>
      <c r="Q1635" t="str">
        <f t="shared" si="102"/>
        <v>OK</v>
      </c>
      <c r="R1635" t="str">
        <f t="shared" si="103"/>
        <v>OK</v>
      </c>
    </row>
    <row r="1636" spans="1:18" x14ac:dyDescent="0.3">
      <c r="A1636" s="1">
        <v>45690</v>
      </c>
      <c r="B1636" s="2" t="s">
        <v>2619</v>
      </c>
      <c r="C1636" s="2" t="s">
        <v>2533</v>
      </c>
      <c r="D1636" s="2" t="s">
        <v>2525</v>
      </c>
      <c r="E1636" s="2" t="s">
        <v>2517</v>
      </c>
      <c r="F1636" s="3">
        <v>60226</v>
      </c>
      <c r="G1636" s="3">
        <v>3144</v>
      </c>
      <c r="H1636" s="3">
        <v>297</v>
      </c>
      <c r="I1636" s="4">
        <v>6373.52</v>
      </c>
      <c r="J1636" s="4">
        <v>42517.43</v>
      </c>
      <c r="K1636" s="3">
        <v>212</v>
      </c>
      <c r="L1636" s="2" t="s">
        <v>2539</v>
      </c>
      <c r="M1636" s="2" t="s">
        <v>2537</v>
      </c>
      <c r="N1636" s="6">
        <f t="shared" si="100"/>
        <v>1</v>
      </c>
      <c r="O1636" t="str">
        <f>IF(Tabla_control[[#This Row],[Control_duplicados]]&gt;1,"Duplicado","Unico")</f>
        <v>Unico</v>
      </c>
      <c r="P1636" t="str">
        <f t="shared" si="101"/>
        <v>OK</v>
      </c>
      <c r="Q1636" t="str">
        <f t="shared" si="102"/>
        <v>OK</v>
      </c>
      <c r="R1636" t="str">
        <f t="shared" si="103"/>
        <v>OK</v>
      </c>
    </row>
    <row r="1637" spans="1:18" x14ac:dyDescent="0.3">
      <c r="A1637" s="1">
        <v>45781</v>
      </c>
      <c r="B1637" s="2" t="s">
        <v>2616</v>
      </c>
      <c r="C1637" s="2" t="s">
        <v>2515</v>
      </c>
      <c r="D1637" s="2" t="s">
        <v>2525</v>
      </c>
      <c r="E1637" s="2" t="s">
        <v>2517</v>
      </c>
      <c r="F1637" s="3">
        <v>57217</v>
      </c>
      <c r="G1637" s="3">
        <v>4309</v>
      </c>
      <c r="H1637" s="3">
        <v>98</v>
      </c>
      <c r="I1637" s="4">
        <v>1968.98</v>
      </c>
      <c r="J1637" s="4">
        <v>12456.97</v>
      </c>
      <c r="K1637" s="3">
        <v>74</v>
      </c>
      <c r="L1637" s="2" t="s">
        <v>2523</v>
      </c>
      <c r="M1637" s="2" t="s">
        <v>2519</v>
      </c>
      <c r="N1637" s="6">
        <f t="shared" si="100"/>
        <v>1</v>
      </c>
      <c r="O1637" t="str">
        <f>IF(Tabla_control[[#This Row],[Control_duplicados]]&gt;1,"Duplicado","Unico")</f>
        <v>Unico</v>
      </c>
      <c r="P1637" t="str">
        <f t="shared" si="101"/>
        <v>OK</v>
      </c>
      <c r="Q1637" t="str">
        <f t="shared" si="102"/>
        <v>OK</v>
      </c>
      <c r="R1637" t="str">
        <f t="shared" si="103"/>
        <v>OK</v>
      </c>
    </row>
    <row r="1638" spans="1:18" x14ac:dyDescent="0.3">
      <c r="A1638" s="1">
        <v>45950</v>
      </c>
      <c r="B1638" s="2" t="s">
        <v>2633</v>
      </c>
      <c r="C1638" s="2" t="s">
        <v>2515</v>
      </c>
      <c r="D1638" s="2" t="s">
        <v>2525</v>
      </c>
      <c r="E1638" s="2" t="s">
        <v>2517</v>
      </c>
      <c r="F1638" s="3">
        <v>79965</v>
      </c>
      <c r="G1638" s="3">
        <v>4389</v>
      </c>
      <c r="H1638" s="3">
        <v>594</v>
      </c>
      <c r="I1638" s="4">
        <v>7429.03</v>
      </c>
      <c r="J1638" s="4">
        <v>114589.17</v>
      </c>
      <c r="K1638" s="3">
        <v>322</v>
      </c>
      <c r="L1638" s="2" t="s">
        <v>2518</v>
      </c>
      <c r="M1638" s="2" t="s">
        <v>2546</v>
      </c>
      <c r="N1638" s="6">
        <f t="shared" si="100"/>
        <v>1</v>
      </c>
      <c r="O1638" t="str">
        <f>IF(Tabla_control[[#This Row],[Control_duplicados]]&gt;1,"Duplicado","Unico")</f>
        <v>Unico</v>
      </c>
      <c r="P1638" t="str">
        <f t="shared" si="101"/>
        <v>OK</v>
      </c>
      <c r="Q1638" t="str">
        <f t="shared" si="102"/>
        <v>OK</v>
      </c>
      <c r="R1638" t="str">
        <f t="shared" si="103"/>
        <v>OK</v>
      </c>
    </row>
    <row r="1639" spans="1:18" x14ac:dyDescent="0.3">
      <c r="A1639" s="1">
        <v>45997</v>
      </c>
      <c r="B1639" s="2" t="s">
        <v>2644</v>
      </c>
      <c r="C1639" s="2" t="s">
        <v>2541</v>
      </c>
      <c r="D1639" s="2" t="s">
        <v>2528</v>
      </c>
      <c r="E1639" s="2" t="s">
        <v>2517</v>
      </c>
      <c r="F1639" s="3">
        <v>103225</v>
      </c>
      <c r="G1639" s="3">
        <v>7533</v>
      </c>
      <c r="H1639" s="3">
        <v>565</v>
      </c>
      <c r="I1639" s="4">
        <v>6438.13</v>
      </c>
      <c r="J1639" s="4">
        <v>63160.72</v>
      </c>
      <c r="K1639" s="3">
        <v>503</v>
      </c>
      <c r="L1639" s="2" t="s">
        <v>2536</v>
      </c>
      <c r="M1639" s="2" t="s">
        <v>2546</v>
      </c>
      <c r="N1639" s="6">
        <f t="shared" si="100"/>
        <v>1</v>
      </c>
      <c r="O1639" t="str">
        <f>IF(Tabla_control[[#This Row],[Control_duplicados]]&gt;1,"Duplicado","Unico")</f>
        <v>Unico</v>
      </c>
      <c r="P1639" t="str">
        <f t="shared" si="101"/>
        <v>OK</v>
      </c>
      <c r="Q1639" t="str">
        <f t="shared" si="102"/>
        <v>OK</v>
      </c>
      <c r="R1639" t="str">
        <f t="shared" si="103"/>
        <v>OK</v>
      </c>
    </row>
    <row r="1640" spans="1:18" x14ac:dyDescent="0.3">
      <c r="A1640" s="1">
        <v>45681</v>
      </c>
      <c r="B1640" s="2" t="s">
        <v>2634</v>
      </c>
      <c r="C1640" s="2" t="s">
        <v>2515</v>
      </c>
      <c r="D1640" s="2" t="s">
        <v>2528</v>
      </c>
      <c r="E1640" s="2" t="s">
        <v>2529</v>
      </c>
      <c r="F1640" s="3">
        <v>92355</v>
      </c>
      <c r="G1640" s="3">
        <v>6337</v>
      </c>
      <c r="H1640" s="3">
        <v>362</v>
      </c>
      <c r="I1640" s="4">
        <v>10062.56</v>
      </c>
      <c r="J1640" s="4">
        <v>52193.1</v>
      </c>
      <c r="K1640" s="3">
        <v>300</v>
      </c>
      <c r="L1640" s="2" t="s">
        <v>2523</v>
      </c>
      <c r="M1640" s="2" t="s">
        <v>2546</v>
      </c>
      <c r="N1640" s="6">
        <f t="shared" si="100"/>
        <v>1</v>
      </c>
      <c r="O1640" t="str">
        <f>IF(Tabla_control[[#This Row],[Control_duplicados]]&gt;1,"Duplicado","Unico")</f>
        <v>Unico</v>
      </c>
      <c r="P1640" t="str">
        <f t="shared" si="101"/>
        <v>OK</v>
      </c>
      <c r="Q1640" t="str">
        <f t="shared" si="102"/>
        <v>OK</v>
      </c>
      <c r="R1640" t="str">
        <f t="shared" si="103"/>
        <v>OK</v>
      </c>
    </row>
    <row r="1641" spans="1:18" x14ac:dyDescent="0.3">
      <c r="A1641" s="1">
        <v>45710</v>
      </c>
      <c r="B1641" s="2" t="s">
        <v>2629</v>
      </c>
      <c r="C1641" s="2" t="s">
        <v>2515</v>
      </c>
      <c r="D1641" s="2" t="s">
        <v>2516</v>
      </c>
      <c r="E1641" s="2" t="s">
        <v>2529</v>
      </c>
      <c r="F1641" s="3">
        <v>126534</v>
      </c>
      <c r="G1641" s="3">
        <v>2187</v>
      </c>
      <c r="H1641" s="3">
        <v>67</v>
      </c>
      <c r="I1641" s="4">
        <v>3788.89</v>
      </c>
      <c r="J1641" s="4">
        <v>7216.29</v>
      </c>
      <c r="K1641" s="3">
        <v>55</v>
      </c>
      <c r="L1641" s="2" t="s">
        <v>2518</v>
      </c>
      <c r="M1641" s="2" t="s">
        <v>2524</v>
      </c>
      <c r="N1641" s="6">
        <f t="shared" si="100"/>
        <v>1</v>
      </c>
      <c r="O1641" t="str">
        <f>IF(Tabla_control[[#This Row],[Control_duplicados]]&gt;1,"Duplicado","Unico")</f>
        <v>Unico</v>
      </c>
      <c r="P1641" t="str">
        <f t="shared" si="101"/>
        <v>OK</v>
      </c>
      <c r="Q1641" t="str">
        <f t="shared" si="102"/>
        <v>OK</v>
      </c>
      <c r="R1641" t="str">
        <f t="shared" si="103"/>
        <v>OK</v>
      </c>
    </row>
    <row r="1642" spans="1:18" x14ac:dyDescent="0.3">
      <c r="A1642" s="1">
        <v>45853</v>
      </c>
      <c r="B1642" s="2" t="s">
        <v>2639</v>
      </c>
      <c r="C1642" s="2" t="s">
        <v>2543</v>
      </c>
      <c r="D1642" s="2" t="s">
        <v>2528</v>
      </c>
      <c r="E1642" s="2" t="s">
        <v>2529</v>
      </c>
      <c r="F1642" s="3">
        <v>128741</v>
      </c>
      <c r="G1642" s="3">
        <v>10758</v>
      </c>
      <c r="H1642" s="3">
        <v>1348</v>
      </c>
      <c r="I1642" s="4">
        <v>3988.1</v>
      </c>
      <c r="J1642" s="4">
        <v>214146.53</v>
      </c>
      <c r="K1642" s="3">
        <v>623</v>
      </c>
      <c r="L1642" s="2" t="s">
        <v>2539</v>
      </c>
      <c r="M1642" s="2" t="s">
        <v>2645</v>
      </c>
      <c r="N1642" s="6">
        <f t="shared" si="100"/>
        <v>1</v>
      </c>
      <c r="O1642" t="str">
        <f>IF(Tabla_control[[#This Row],[Control_duplicados]]&gt;1,"Duplicado","Unico")</f>
        <v>Unico</v>
      </c>
      <c r="P1642" t="str">
        <f t="shared" si="101"/>
        <v>OK</v>
      </c>
      <c r="Q1642" t="str">
        <f t="shared" si="102"/>
        <v>OK</v>
      </c>
      <c r="R1642" t="str">
        <f t="shared" si="103"/>
        <v>OK</v>
      </c>
    </row>
    <row r="1643" spans="1:18" x14ac:dyDescent="0.3">
      <c r="A1643" s="1">
        <v>45741</v>
      </c>
      <c r="B1643" s="2" t="s">
        <v>2634</v>
      </c>
      <c r="C1643" s="2" t="s">
        <v>2533</v>
      </c>
      <c r="D1643" s="2" t="s">
        <v>2528</v>
      </c>
      <c r="E1643" s="2" t="s">
        <v>2517</v>
      </c>
      <c r="F1643" s="3">
        <v>50009</v>
      </c>
      <c r="G1643" s="3">
        <v>1129</v>
      </c>
      <c r="H1643" s="3">
        <v>68</v>
      </c>
      <c r="I1643" s="4">
        <v>1425.48</v>
      </c>
      <c r="J1643" s="4">
        <v>2778.11</v>
      </c>
      <c r="K1643" s="3">
        <v>46</v>
      </c>
      <c r="L1643" s="2" t="s">
        <v>2523</v>
      </c>
      <c r="M1643" s="2" t="s">
        <v>2526</v>
      </c>
      <c r="N1643" s="6">
        <f t="shared" si="100"/>
        <v>1</v>
      </c>
      <c r="O1643" t="str">
        <f>IF(Tabla_control[[#This Row],[Control_duplicados]]&gt;1,"Duplicado","Unico")</f>
        <v>Unico</v>
      </c>
      <c r="P1643" t="str">
        <f t="shared" si="101"/>
        <v>OK</v>
      </c>
      <c r="Q1643" t="str">
        <f t="shared" si="102"/>
        <v>OK</v>
      </c>
      <c r="R1643" t="str">
        <f t="shared" si="103"/>
        <v>OK</v>
      </c>
    </row>
    <row r="1644" spans="1:18" x14ac:dyDescent="0.3">
      <c r="A1644" s="1">
        <v>45740</v>
      </c>
      <c r="B1644" s="2" t="s">
        <v>2634</v>
      </c>
      <c r="C1644" s="2" t="s">
        <v>2541</v>
      </c>
      <c r="D1644" s="2" t="s">
        <v>2528</v>
      </c>
      <c r="E1644" s="2" t="s">
        <v>2517</v>
      </c>
      <c r="F1644" s="3">
        <v>76275</v>
      </c>
      <c r="G1644" s="3">
        <v>1883</v>
      </c>
      <c r="H1644" s="3">
        <v>76</v>
      </c>
      <c r="I1644" s="4">
        <v>984.24</v>
      </c>
      <c r="J1644" s="4">
        <v>16585</v>
      </c>
      <c r="K1644" s="3">
        <v>51</v>
      </c>
      <c r="L1644" s="2" t="s">
        <v>2523</v>
      </c>
      <c r="M1644" s="2" t="s">
        <v>2524</v>
      </c>
      <c r="N1644" s="6">
        <f t="shared" si="100"/>
        <v>1</v>
      </c>
      <c r="O1644" t="str">
        <f>IF(Tabla_control[[#This Row],[Control_duplicados]]&gt;1,"Duplicado","Unico")</f>
        <v>Unico</v>
      </c>
      <c r="P1644" t="str">
        <f t="shared" si="101"/>
        <v>OK</v>
      </c>
      <c r="Q1644" t="str">
        <f t="shared" si="102"/>
        <v>OK</v>
      </c>
      <c r="R1644" t="str">
        <f t="shared" si="103"/>
        <v>OK</v>
      </c>
    </row>
    <row r="1645" spans="1:18" x14ac:dyDescent="0.3">
      <c r="A1645" s="1">
        <v>45995</v>
      </c>
      <c r="B1645" s="2" t="s">
        <v>2630</v>
      </c>
      <c r="C1645" s="2" t="s">
        <v>2515</v>
      </c>
      <c r="D1645" s="2" t="s">
        <v>2528</v>
      </c>
      <c r="E1645" s="2" t="s">
        <v>2517</v>
      </c>
      <c r="F1645" s="3">
        <v>30295</v>
      </c>
      <c r="G1645" s="3">
        <v>544</v>
      </c>
      <c r="H1645" s="3">
        <v>75</v>
      </c>
      <c r="I1645" s="4">
        <v>90.66</v>
      </c>
      <c r="J1645" s="4">
        <v>5560.59</v>
      </c>
      <c r="K1645" s="3">
        <v>52</v>
      </c>
      <c r="L1645" s="2" t="s">
        <v>2539</v>
      </c>
      <c r="M1645" s="2" t="s">
        <v>2524</v>
      </c>
      <c r="N1645" s="6">
        <f t="shared" si="100"/>
        <v>1</v>
      </c>
      <c r="O1645" t="str">
        <f>IF(Tabla_control[[#This Row],[Control_duplicados]]&gt;1,"Duplicado","Unico")</f>
        <v>Unico</v>
      </c>
      <c r="P1645" t="str">
        <f t="shared" si="101"/>
        <v>OK</v>
      </c>
      <c r="Q1645" t="str">
        <f t="shared" si="102"/>
        <v>OK</v>
      </c>
      <c r="R1645" t="str">
        <f t="shared" si="103"/>
        <v>OK</v>
      </c>
    </row>
    <row r="1646" spans="1:18" x14ac:dyDescent="0.3">
      <c r="A1646" s="1">
        <v>45803</v>
      </c>
      <c r="B1646" s="2" t="s">
        <v>2624</v>
      </c>
      <c r="C1646" s="2" t="s">
        <v>2521</v>
      </c>
      <c r="D1646" s="2" t="s">
        <v>2516</v>
      </c>
      <c r="E1646" s="2" t="s">
        <v>2534</v>
      </c>
      <c r="F1646" s="3">
        <v>58288</v>
      </c>
      <c r="G1646" s="3">
        <v>541</v>
      </c>
      <c r="H1646" s="3">
        <v>18</v>
      </c>
      <c r="I1646" s="4">
        <v>1050.04</v>
      </c>
      <c r="J1646" s="4">
        <v>1165.99</v>
      </c>
      <c r="K1646" s="3">
        <v>14</v>
      </c>
      <c r="L1646" s="2" t="s">
        <v>2539</v>
      </c>
      <c r="M1646" s="2" t="s">
        <v>2524</v>
      </c>
      <c r="N1646" s="6">
        <f t="shared" si="100"/>
        <v>1</v>
      </c>
      <c r="O1646" t="str">
        <f>IF(Tabla_control[[#This Row],[Control_duplicados]]&gt;1,"Duplicado","Unico")</f>
        <v>Unico</v>
      </c>
      <c r="P1646" t="str">
        <f t="shared" si="101"/>
        <v>OK</v>
      </c>
      <c r="Q1646" t="str">
        <f t="shared" si="102"/>
        <v>OK</v>
      </c>
      <c r="R1646" t="str">
        <f t="shared" si="103"/>
        <v>OK</v>
      </c>
    </row>
    <row r="1647" spans="1:18" x14ac:dyDescent="0.3">
      <c r="A1647" s="1">
        <v>45779</v>
      </c>
      <c r="B1647" s="2" t="s">
        <v>2625</v>
      </c>
      <c r="C1647" s="2" t="s">
        <v>2527</v>
      </c>
      <c r="D1647" s="2" t="s">
        <v>2525</v>
      </c>
      <c r="E1647" s="2" t="s">
        <v>2529</v>
      </c>
      <c r="F1647" s="3">
        <v>69888</v>
      </c>
      <c r="G1647" s="3">
        <v>4232</v>
      </c>
      <c r="H1647" s="3">
        <v>478</v>
      </c>
      <c r="I1647" s="4">
        <v>3565.32</v>
      </c>
      <c r="J1647" s="4">
        <v>68391.899999999994</v>
      </c>
      <c r="K1647" s="3">
        <v>381</v>
      </c>
      <c r="L1647" s="2" t="s">
        <v>2518</v>
      </c>
      <c r="M1647" s="2" t="s">
        <v>2537</v>
      </c>
      <c r="N1647" s="6">
        <f t="shared" si="100"/>
        <v>1</v>
      </c>
      <c r="O1647" t="str">
        <f>IF(Tabla_control[[#This Row],[Control_duplicados]]&gt;1,"Duplicado","Unico")</f>
        <v>Unico</v>
      </c>
      <c r="P1647" t="str">
        <f t="shared" si="101"/>
        <v>OK</v>
      </c>
      <c r="Q1647" t="str">
        <f t="shared" si="102"/>
        <v>OK</v>
      </c>
      <c r="R1647" t="str">
        <f t="shared" si="103"/>
        <v>OK</v>
      </c>
    </row>
    <row r="1648" spans="1:18" x14ac:dyDescent="0.3">
      <c r="A1648" s="1">
        <v>45863</v>
      </c>
      <c r="B1648" s="2" t="s">
        <v>2633</v>
      </c>
      <c r="C1648" s="2" t="s">
        <v>2515</v>
      </c>
      <c r="D1648" s="2" t="s">
        <v>2528</v>
      </c>
      <c r="E1648" s="2" t="s">
        <v>2529</v>
      </c>
      <c r="F1648" s="3">
        <v>174292</v>
      </c>
      <c r="G1648" s="3">
        <v>11071</v>
      </c>
      <c r="H1648" s="3">
        <v>1081</v>
      </c>
      <c r="I1648" s="4">
        <v>11628.8</v>
      </c>
      <c r="J1648" s="4">
        <v>37260.120000000003</v>
      </c>
      <c r="K1648" s="3">
        <v>544</v>
      </c>
      <c r="L1648" s="2" t="s">
        <v>2518</v>
      </c>
      <c r="M1648" s="2" t="s">
        <v>2524</v>
      </c>
      <c r="N1648" s="6">
        <f t="shared" si="100"/>
        <v>1</v>
      </c>
      <c r="O1648" t="str">
        <f>IF(Tabla_control[[#This Row],[Control_duplicados]]&gt;1,"Duplicado","Unico")</f>
        <v>Unico</v>
      </c>
      <c r="P1648" t="str">
        <f t="shared" si="101"/>
        <v>OK</v>
      </c>
      <c r="Q1648" t="str">
        <f t="shared" si="102"/>
        <v>OK</v>
      </c>
      <c r="R1648" t="str">
        <f t="shared" si="103"/>
        <v>OK</v>
      </c>
    </row>
    <row r="1649" spans="1:18" x14ac:dyDescent="0.3">
      <c r="A1649" s="1">
        <v>45952</v>
      </c>
      <c r="B1649" s="2" t="s">
        <v>2636</v>
      </c>
      <c r="C1649" s="2" t="s">
        <v>2515</v>
      </c>
      <c r="D1649" s="2" t="s">
        <v>2531</v>
      </c>
      <c r="E1649" s="2" t="s">
        <v>2517</v>
      </c>
      <c r="F1649" s="3">
        <v>17186</v>
      </c>
      <c r="G1649" s="3">
        <v>1443</v>
      </c>
      <c r="H1649" s="3">
        <v>52</v>
      </c>
      <c r="I1649" s="4">
        <v>1021.04</v>
      </c>
      <c r="J1649" s="4">
        <v>4010.28</v>
      </c>
      <c r="K1649" s="3">
        <v>42</v>
      </c>
      <c r="L1649" s="2" t="s">
        <v>2518</v>
      </c>
      <c r="M1649" s="2" t="s">
        <v>2546</v>
      </c>
      <c r="N1649" s="6">
        <f t="shared" si="100"/>
        <v>1</v>
      </c>
      <c r="O1649" t="str">
        <f>IF(Tabla_control[[#This Row],[Control_duplicados]]&gt;1,"Duplicado","Unico")</f>
        <v>Unico</v>
      </c>
      <c r="P1649" t="str">
        <f t="shared" si="101"/>
        <v>OK</v>
      </c>
      <c r="Q1649" t="str">
        <f t="shared" si="102"/>
        <v>OK</v>
      </c>
      <c r="R1649" t="str">
        <f t="shared" si="103"/>
        <v>OK</v>
      </c>
    </row>
    <row r="1650" spans="1:18" x14ac:dyDescent="0.3">
      <c r="A1650" s="1">
        <v>45877</v>
      </c>
      <c r="B1650" s="2" t="s">
        <v>2627</v>
      </c>
      <c r="C1650" s="2" t="s">
        <v>2521</v>
      </c>
      <c r="D1650" s="2" t="s">
        <v>2516</v>
      </c>
      <c r="E1650" s="2" t="s">
        <v>2534</v>
      </c>
      <c r="F1650" s="3">
        <v>144140</v>
      </c>
      <c r="G1650" s="3">
        <v>2560</v>
      </c>
      <c r="H1650" s="3">
        <v>138</v>
      </c>
      <c r="I1650" s="4">
        <v>4516.4399999999996</v>
      </c>
      <c r="J1650" s="4">
        <v>25555.58</v>
      </c>
      <c r="K1650" s="3">
        <v>92</v>
      </c>
      <c r="L1650" s="2" t="s">
        <v>2518</v>
      </c>
      <c r="M1650" s="2" t="s">
        <v>2537</v>
      </c>
      <c r="N1650" s="6">
        <f t="shared" si="100"/>
        <v>1</v>
      </c>
      <c r="O1650" t="str">
        <f>IF(Tabla_control[[#This Row],[Control_duplicados]]&gt;1,"Duplicado","Unico")</f>
        <v>Unico</v>
      </c>
      <c r="P1650" t="str">
        <f t="shared" si="101"/>
        <v>OK</v>
      </c>
      <c r="Q1650" t="str">
        <f t="shared" si="102"/>
        <v>OK</v>
      </c>
      <c r="R1650" t="str">
        <f t="shared" si="103"/>
        <v>OK</v>
      </c>
    </row>
    <row r="1651" spans="1:18" x14ac:dyDescent="0.3">
      <c r="A1651" s="1">
        <v>45802</v>
      </c>
      <c r="B1651" s="2" t="s">
        <v>2636</v>
      </c>
      <c r="C1651" s="2" t="s">
        <v>2521</v>
      </c>
      <c r="D1651" s="2" t="s">
        <v>2528</v>
      </c>
      <c r="E1651" s="2" t="s">
        <v>2529</v>
      </c>
      <c r="F1651" s="3">
        <v>136387</v>
      </c>
      <c r="G1651" s="3">
        <v>6380</v>
      </c>
      <c r="H1651" s="3">
        <v>526</v>
      </c>
      <c r="I1651" s="4">
        <v>6756.57</v>
      </c>
      <c r="J1651" s="4">
        <v>94809.26</v>
      </c>
      <c r="K1651" s="3">
        <v>386</v>
      </c>
      <c r="L1651" s="2" t="s">
        <v>2518</v>
      </c>
      <c r="M1651" s="2" t="s">
        <v>2537</v>
      </c>
      <c r="N1651" s="6">
        <f t="shared" si="100"/>
        <v>1</v>
      </c>
      <c r="O1651" t="str">
        <f>IF(Tabla_control[[#This Row],[Control_duplicados]]&gt;1,"Duplicado","Unico")</f>
        <v>Unico</v>
      </c>
      <c r="P1651" t="str">
        <f t="shared" si="101"/>
        <v>OK</v>
      </c>
      <c r="Q1651" t="str">
        <f t="shared" si="102"/>
        <v>OK</v>
      </c>
      <c r="R1651" t="str">
        <f t="shared" si="103"/>
        <v>OK</v>
      </c>
    </row>
    <row r="1652" spans="1:18" x14ac:dyDescent="0.3">
      <c r="A1652" s="1">
        <v>45794</v>
      </c>
      <c r="B1652" s="2" t="s">
        <v>2630</v>
      </c>
      <c r="C1652" s="2" t="s">
        <v>2521</v>
      </c>
      <c r="D1652" s="2" t="s">
        <v>2528</v>
      </c>
      <c r="E1652" s="2" t="s">
        <v>2517</v>
      </c>
      <c r="F1652" s="3">
        <v>53539</v>
      </c>
      <c r="G1652" s="3">
        <v>2300</v>
      </c>
      <c r="H1652" s="3">
        <v>269</v>
      </c>
      <c r="I1652" s="4">
        <v>2971</v>
      </c>
      <c r="J1652" s="4">
        <v>49829.98</v>
      </c>
      <c r="K1652" s="3">
        <v>195</v>
      </c>
      <c r="L1652" s="2" t="s">
        <v>2523</v>
      </c>
      <c r="M1652" s="2" t="s">
        <v>2526</v>
      </c>
      <c r="N1652" s="6">
        <f t="shared" si="100"/>
        <v>1</v>
      </c>
      <c r="O1652" t="str">
        <f>IF(Tabla_control[[#This Row],[Control_duplicados]]&gt;1,"Duplicado","Unico")</f>
        <v>Unico</v>
      </c>
      <c r="P1652" t="str">
        <f t="shared" si="101"/>
        <v>OK</v>
      </c>
      <c r="Q1652" t="str">
        <f t="shared" si="102"/>
        <v>OK</v>
      </c>
      <c r="R1652" t="str">
        <f t="shared" si="103"/>
        <v>OK</v>
      </c>
    </row>
    <row r="1653" spans="1:18" x14ac:dyDescent="0.3">
      <c r="A1653" s="1">
        <v>45783</v>
      </c>
      <c r="B1653" s="2" t="s">
        <v>2634</v>
      </c>
      <c r="C1653" s="2" t="s">
        <v>2521</v>
      </c>
      <c r="D1653" s="2" t="s">
        <v>2516</v>
      </c>
      <c r="E1653" s="2" t="s">
        <v>2529</v>
      </c>
      <c r="F1653" s="3">
        <v>47096</v>
      </c>
      <c r="G1653" s="3">
        <v>2219</v>
      </c>
      <c r="H1653" s="3">
        <v>112</v>
      </c>
      <c r="I1653" s="4">
        <v>2862.5</v>
      </c>
      <c r="J1653" s="4">
        <v>9526.36</v>
      </c>
      <c r="K1653" s="3">
        <v>65</v>
      </c>
      <c r="L1653" s="2" t="s">
        <v>2536</v>
      </c>
      <c r="M1653" s="2" t="s">
        <v>2526</v>
      </c>
      <c r="N1653" s="6">
        <f t="shared" si="100"/>
        <v>1</v>
      </c>
      <c r="O1653" t="str">
        <f>IF(Tabla_control[[#This Row],[Control_duplicados]]&gt;1,"Duplicado","Unico")</f>
        <v>Unico</v>
      </c>
      <c r="P1653" t="str">
        <f t="shared" si="101"/>
        <v>OK</v>
      </c>
      <c r="Q1653" t="str">
        <f t="shared" si="102"/>
        <v>OK</v>
      </c>
      <c r="R1653" t="str">
        <f t="shared" si="103"/>
        <v>OK</v>
      </c>
    </row>
    <row r="1654" spans="1:18" x14ac:dyDescent="0.3">
      <c r="A1654" s="1">
        <v>45832</v>
      </c>
      <c r="B1654" s="2" t="s">
        <v>2641</v>
      </c>
      <c r="C1654" s="2" t="s">
        <v>2515</v>
      </c>
      <c r="D1654" s="2" t="s">
        <v>2528</v>
      </c>
      <c r="E1654" s="2" t="s">
        <v>2517</v>
      </c>
      <c r="F1654" s="3">
        <v>44197</v>
      </c>
      <c r="G1654" s="3">
        <v>3556</v>
      </c>
      <c r="H1654" s="3">
        <v>129</v>
      </c>
      <c r="I1654" s="4">
        <v>6956.5</v>
      </c>
      <c r="J1654" s="4">
        <v>19843.04</v>
      </c>
      <c r="K1654" s="3">
        <v>98</v>
      </c>
      <c r="L1654" s="2" t="s">
        <v>2523</v>
      </c>
      <c r="M1654" s="2" t="s">
        <v>2524</v>
      </c>
      <c r="N1654" s="6">
        <f t="shared" si="100"/>
        <v>1</v>
      </c>
      <c r="O1654" t="str">
        <f>IF(Tabla_control[[#This Row],[Control_duplicados]]&gt;1,"Duplicado","Unico")</f>
        <v>Unico</v>
      </c>
      <c r="P1654" t="str">
        <f t="shared" si="101"/>
        <v>OK</v>
      </c>
      <c r="Q1654" t="str">
        <f t="shared" si="102"/>
        <v>OK</v>
      </c>
      <c r="R1654" t="str">
        <f t="shared" si="103"/>
        <v>OK</v>
      </c>
    </row>
    <row r="1655" spans="1:18" x14ac:dyDescent="0.3">
      <c r="A1655" s="1">
        <v>45999</v>
      </c>
      <c r="B1655" s="2" t="s">
        <v>2638</v>
      </c>
      <c r="C1655" s="2" t="s">
        <v>2541</v>
      </c>
      <c r="D1655" s="2" t="s">
        <v>2531</v>
      </c>
      <c r="E1655" s="2" t="s">
        <v>2529</v>
      </c>
      <c r="F1655" s="3">
        <v>129330</v>
      </c>
      <c r="G1655" s="3">
        <v>3958</v>
      </c>
      <c r="H1655" s="3">
        <v>537</v>
      </c>
      <c r="I1655" s="4">
        <v>6327.34</v>
      </c>
      <c r="J1655" s="4">
        <v>13102.43</v>
      </c>
      <c r="K1655" s="3">
        <v>341</v>
      </c>
      <c r="L1655" s="2" t="s">
        <v>2539</v>
      </c>
      <c r="M1655" s="2" t="s">
        <v>2537</v>
      </c>
      <c r="N1655" s="6">
        <f t="shared" si="100"/>
        <v>1</v>
      </c>
      <c r="O1655" t="str">
        <f>IF(Tabla_control[[#This Row],[Control_duplicados]]&gt;1,"Duplicado","Unico")</f>
        <v>Unico</v>
      </c>
      <c r="P1655" t="str">
        <f t="shared" si="101"/>
        <v>OK</v>
      </c>
      <c r="Q1655" t="str">
        <f t="shared" si="102"/>
        <v>OK</v>
      </c>
      <c r="R1655" t="str">
        <f t="shared" si="103"/>
        <v>OK</v>
      </c>
    </row>
    <row r="1656" spans="1:18" x14ac:dyDescent="0.3">
      <c r="A1656" s="1">
        <v>45990</v>
      </c>
      <c r="B1656" s="2" t="s">
        <v>2636</v>
      </c>
      <c r="C1656" s="2" t="s">
        <v>2533</v>
      </c>
      <c r="D1656" s="2" t="s">
        <v>2528</v>
      </c>
      <c r="E1656" s="2" t="s">
        <v>2529</v>
      </c>
      <c r="F1656" s="3">
        <v>143675</v>
      </c>
      <c r="G1656" s="3">
        <v>9233</v>
      </c>
      <c r="H1656" s="3">
        <v>675</v>
      </c>
      <c r="I1656" s="4">
        <v>14029.04</v>
      </c>
      <c r="J1656" s="4">
        <v>97109.759999999995</v>
      </c>
      <c r="K1656" s="3">
        <v>457</v>
      </c>
      <c r="L1656" s="2" t="s">
        <v>2539</v>
      </c>
      <c r="M1656" s="2" t="s">
        <v>2526</v>
      </c>
      <c r="N1656" s="6">
        <f t="shared" si="100"/>
        <v>1</v>
      </c>
      <c r="O1656" t="str">
        <f>IF(Tabla_control[[#This Row],[Control_duplicados]]&gt;1,"Duplicado","Unico")</f>
        <v>Unico</v>
      </c>
      <c r="P1656" t="str">
        <f t="shared" si="101"/>
        <v>OK</v>
      </c>
      <c r="Q1656" t="str">
        <f t="shared" si="102"/>
        <v>OK</v>
      </c>
      <c r="R1656" t="str">
        <f t="shared" si="103"/>
        <v>OK</v>
      </c>
    </row>
    <row r="1657" spans="1:18" x14ac:dyDescent="0.3">
      <c r="A1657" s="1">
        <v>45827</v>
      </c>
      <c r="B1657" s="2" t="s">
        <v>2632</v>
      </c>
      <c r="C1657" s="2" t="s">
        <v>2515</v>
      </c>
      <c r="D1657" s="2" t="s">
        <v>2528</v>
      </c>
      <c r="E1657" s="2" t="s">
        <v>2517</v>
      </c>
      <c r="F1657" s="3">
        <v>112733</v>
      </c>
      <c r="G1657" s="3">
        <v>9308</v>
      </c>
      <c r="H1657" s="3">
        <v>749</v>
      </c>
      <c r="I1657" s="4">
        <v>1451.53</v>
      </c>
      <c r="J1657" s="4">
        <v>116310.66</v>
      </c>
      <c r="K1657" s="3">
        <v>446</v>
      </c>
      <c r="L1657" s="2" t="s">
        <v>2518</v>
      </c>
      <c r="M1657" s="2" t="s">
        <v>2526</v>
      </c>
      <c r="N1657" s="6">
        <f t="shared" si="100"/>
        <v>1</v>
      </c>
      <c r="O1657" t="str">
        <f>IF(Tabla_control[[#This Row],[Control_duplicados]]&gt;1,"Duplicado","Unico")</f>
        <v>Unico</v>
      </c>
      <c r="P1657" t="str">
        <f t="shared" si="101"/>
        <v>OK</v>
      </c>
      <c r="Q1657" t="str">
        <f t="shared" si="102"/>
        <v>OK</v>
      </c>
      <c r="R1657" t="str">
        <f t="shared" si="103"/>
        <v>OK</v>
      </c>
    </row>
    <row r="1658" spans="1:18" x14ac:dyDescent="0.3">
      <c r="A1658" s="1">
        <v>45961</v>
      </c>
      <c r="B1658" s="2" t="s">
        <v>2644</v>
      </c>
      <c r="C1658" s="2" t="s">
        <v>2515</v>
      </c>
      <c r="D1658" s="2" t="s">
        <v>2531</v>
      </c>
      <c r="E1658" s="2" t="s">
        <v>2517</v>
      </c>
      <c r="F1658" s="3">
        <v>42340</v>
      </c>
      <c r="G1658" s="3">
        <v>1606</v>
      </c>
      <c r="H1658" s="3">
        <v>70</v>
      </c>
      <c r="I1658" s="4">
        <v>1866.26</v>
      </c>
      <c r="J1658" s="4">
        <v>12329.02</v>
      </c>
      <c r="K1658" s="3">
        <v>50</v>
      </c>
      <c r="L1658" s="2" t="s">
        <v>2539</v>
      </c>
      <c r="M1658" s="2" t="s">
        <v>2537</v>
      </c>
      <c r="N1658" s="6">
        <f t="shared" si="100"/>
        <v>1</v>
      </c>
      <c r="O1658" t="str">
        <f>IF(Tabla_control[[#This Row],[Control_duplicados]]&gt;1,"Duplicado","Unico")</f>
        <v>Unico</v>
      </c>
      <c r="P1658" t="str">
        <f t="shared" si="101"/>
        <v>OK</v>
      </c>
      <c r="Q1658" t="str">
        <f t="shared" si="102"/>
        <v>OK</v>
      </c>
      <c r="R1658" t="str">
        <f t="shared" si="103"/>
        <v>OK</v>
      </c>
    </row>
    <row r="1659" spans="1:18" x14ac:dyDescent="0.3">
      <c r="A1659" s="1">
        <v>45770</v>
      </c>
      <c r="B1659" s="2" t="s">
        <v>2626</v>
      </c>
      <c r="C1659" s="2" t="s">
        <v>2541</v>
      </c>
      <c r="D1659" s="2" t="s">
        <v>2525</v>
      </c>
      <c r="E1659" s="2" t="s">
        <v>2529</v>
      </c>
      <c r="F1659" s="3">
        <v>31492</v>
      </c>
      <c r="G1659" s="3">
        <v>295</v>
      </c>
      <c r="H1659" s="3">
        <v>29</v>
      </c>
      <c r="I1659" s="4">
        <v>110.79</v>
      </c>
      <c r="J1659" s="4">
        <v>5986.31</v>
      </c>
      <c r="K1659" s="3">
        <v>22</v>
      </c>
      <c r="L1659" s="2" t="s">
        <v>2523</v>
      </c>
      <c r="M1659" s="2" t="s">
        <v>2537</v>
      </c>
      <c r="N1659" s="6">
        <f t="shared" si="100"/>
        <v>1</v>
      </c>
      <c r="O1659" t="str">
        <f>IF(Tabla_control[[#This Row],[Control_duplicados]]&gt;1,"Duplicado","Unico")</f>
        <v>Unico</v>
      </c>
      <c r="P1659" t="str">
        <f t="shared" si="101"/>
        <v>OK</v>
      </c>
      <c r="Q1659" t="str">
        <f t="shared" si="102"/>
        <v>OK</v>
      </c>
      <c r="R1659" t="str">
        <f t="shared" si="103"/>
        <v>OK</v>
      </c>
    </row>
    <row r="1660" spans="1:18" x14ac:dyDescent="0.3">
      <c r="A1660" s="1">
        <v>45883</v>
      </c>
      <c r="B1660" s="2" t="s">
        <v>2619</v>
      </c>
      <c r="C1660" s="2" t="s">
        <v>2521</v>
      </c>
      <c r="D1660" s="2" t="s">
        <v>2531</v>
      </c>
      <c r="E1660" s="2" t="s">
        <v>2517</v>
      </c>
      <c r="F1660" s="3">
        <v>90363</v>
      </c>
      <c r="G1660" s="3">
        <v>3498</v>
      </c>
      <c r="H1660" s="3">
        <v>133</v>
      </c>
      <c r="I1660" s="4">
        <v>6450.37</v>
      </c>
      <c r="J1660" s="4">
        <v>10041.27</v>
      </c>
      <c r="K1660" s="3">
        <v>81</v>
      </c>
      <c r="L1660" s="2" t="s">
        <v>2539</v>
      </c>
      <c r="M1660" s="2" t="s">
        <v>2526</v>
      </c>
      <c r="N1660" s="6">
        <f t="shared" si="100"/>
        <v>1</v>
      </c>
      <c r="O1660" t="str">
        <f>IF(Tabla_control[[#This Row],[Control_duplicados]]&gt;1,"Duplicado","Unico")</f>
        <v>Unico</v>
      </c>
      <c r="P1660" t="str">
        <f t="shared" si="101"/>
        <v>OK</v>
      </c>
      <c r="Q1660" t="str">
        <f t="shared" si="102"/>
        <v>OK</v>
      </c>
      <c r="R1660" t="str">
        <f t="shared" si="103"/>
        <v>OK</v>
      </c>
    </row>
    <row r="1661" spans="1:18" x14ac:dyDescent="0.3">
      <c r="A1661" s="1">
        <v>45781</v>
      </c>
      <c r="B1661" s="2" t="s">
        <v>2644</v>
      </c>
      <c r="C1661" s="2" t="s">
        <v>2527</v>
      </c>
      <c r="D1661" s="2" t="s">
        <v>2528</v>
      </c>
      <c r="E1661" s="2" t="s">
        <v>2517</v>
      </c>
      <c r="F1661" s="3">
        <v>123182</v>
      </c>
      <c r="G1661" s="3">
        <v>6427</v>
      </c>
      <c r="H1661" s="3">
        <v>886</v>
      </c>
      <c r="I1661" s="4">
        <v>11730.17</v>
      </c>
      <c r="J1661" s="4">
        <v>72957.87</v>
      </c>
      <c r="K1661" s="3">
        <v>459</v>
      </c>
      <c r="L1661" s="2" t="s">
        <v>2518</v>
      </c>
      <c r="M1661" s="2" t="s">
        <v>2546</v>
      </c>
      <c r="N1661" s="6">
        <f t="shared" si="100"/>
        <v>2</v>
      </c>
      <c r="O1661" t="str">
        <f>IF(Tabla_control[[#This Row],[Control_duplicados]]&gt;1,"Duplicado","Unico")</f>
        <v>Duplicado</v>
      </c>
      <c r="P1661" t="str">
        <f t="shared" si="101"/>
        <v>OK</v>
      </c>
      <c r="Q1661" t="str">
        <f t="shared" si="102"/>
        <v>OK</v>
      </c>
      <c r="R1661" t="str">
        <f t="shared" si="103"/>
        <v>OK</v>
      </c>
    </row>
    <row r="1662" spans="1:18" x14ac:dyDescent="0.3">
      <c r="A1662" s="1">
        <v>45906</v>
      </c>
      <c r="B1662" s="2" t="s">
        <v>2635</v>
      </c>
      <c r="C1662" s="2" t="s">
        <v>2521</v>
      </c>
      <c r="D1662" s="2" t="s">
        <v>2525</v>
      </c>
      <c r="E1662" s="2" t="s">
        <v>2534</v>
      </c>
      <c r="F1662" s="3">
        <v>141620</v>
      </c>
      <c r="G1662" s="3">
        <v>2087</v>
      </c>
      <c r="H1662" s="3">
        <v>246</v>
      </c>
      <c r="I1662" s="4">
        <v>3863.75</v>
      </c>
      <c r="J1662" s="4">
        <v>3873.3</v>
      </c>
      <c r="K1662" s="3">
        <v>202</v>
      </c>
      <c r="L1662" s="2" t="s">
        <v>2518</v>
      </c>
      <c r="M1662" s="2" t="s">
        <v>2526</v>
      </c>
      <c r="N1662" s="6">
        <f t="shared" si="100"/>
        <v>1</v>
      </c>
      <c r="O1662" t="str">
        <f>IF(Tabla_control[[#This Row],[Control_duplicados]]&gt;1,"Duplicado","Unico")</f>
        <v>Unico</v>
      </c>
      <c r="P1662" t="str">
        <f t="shared" si="101"/>
        <v>OK</v>
      </c>
      <c r="Q1662" t="str">
        <f t="shared" si="102"/>
        <v>OK</v>
      </c>
      <c r="R1662" t="str">
        <f t="shared" si="103"/>
        <v>OK</v>
      </c>
    </row>
    <row r="1663" spans="1:18" x14ac:dyDescent="0.3">
      <c r="A1663" s="1">
        <v>45917</v>
      </c>
      <c r="B1663" s="2" t="s">
        <v>2620</v>
      </c>
      <c r="C1663" s="2" t="s">
        <v>2521</v>
      </c>
      <c r="D1663" s="2" t="s">
        <v>2525</v>
      </c>
      <c r="E1663" s="2" t="s">
        <v>2529</v>
      </c>
      <c r="F1663" s="3">
        <v>178042</v>
      </c>
      <c r="G1663" s="3">
        <v>7705</v>
      </c>
      <c r="H1663" s="3">
        <v>326</v>
      </c>
      <c r="I1663" s="4">
        <v>12192.09</v>
      </c>
      <c r="J1663" s="4">
        <v>7117.62</v>
      </c>
      <c r="K1663" s="3">
        <v>274</v>
      </c>
      <c r="L1663" s="2" t="s">
        <v>2536</v>
      </c>
      <c r="M1663" s="2" t="s">
        <v>2526</v>
      </c>
      <c r="N1663" s="6">
        <f t="shared" si="100"/>
        <v>1</v>
      </c>
      <c r="O1663" t="str">
        <f>IF(Tabla_control[[#This Row],[Control_duplicados]]&gt;1,"Duplicado","Unico")</f>
        <v>Unico</v>
      </c>
      <c r="P1663" t="str">
        <f t="shared" si="101"/>
        <v>OK</v>
      </c>
      <c r="Q1663" t="str">
        <f t="shared" si="102"/>
        <v>OK</v>
      </c>
      <c r="R1663" t="str">
        <f t="shared" si="103"/>
        <v>OK</v>
      </c>
    </row>
    <row r="1664" spans="1:18" x14ac:dyDescent="0.3">
      <c r="A1664" s="1">
        <v>45668</v>
      </c>
      <c r="B1664" s="2" t="s">
        <v>2620</v>
      </c>
      <c r="C1664" s="2" t="s">
        <v>2521</v>
      </c>
      <c r="D1664" s="2" t="s">
        <v>2528</v>
      </c>
      <c r="E1664" s="2" t="s">
        <v>2529</v>
      </c>
      <c r="F1664" s="3">
        <v>88774</v>
      </c>
      <c r="G1664" s="3">
        <v>2587</v>
      </c>
      <c r="H1664" s="3">
        <v>72</v>
      </c>
      <c r="I1664" s="4">
        <v>4843.7</v>
      </c>
      <c r="J1664" s="4">
        <v>2206.5100000000002</v>
      </c>
      <c r="K1664" s="3">
        <v>37</v>
      </c>
      <c r="L1664" s="2" t="s">
        <v>2539</v>
      </c>
      <c r="M1664" s="2" t="s">
        <v>2546</v>
      </c>
      <c r="N1664" s="6">
        <f t="shared" si="100"/>
        <v>1</v>
      </c>
      <c r="O1664" t="str">
        <f>IF(Tabla_control[[#This Row],[Control_duplicados]]&gt;1,"Duplicado","Unico")</f>
        <v>Unico</v>
      </c>
      <c r="P1664" t="str">
        <f t="shared" si="101"/>
        <v>OK</v>
      </c>
      <c r="Q1664" t="str">
        <f t="shared" si="102"/>
        <v>OK</v>
      </c>
      <c r="R1664" t="str">
        <f t="shared" si="103"/>
        <v>OK</v>
      </c>
    </row>
    <row r="1665" spans="1:18" x14ac:dyDescent="0.3">
      <c r="A1665" s="1">
        <v>45749</v>
      </c>
      <c r="B1665" s="2" t="s">
        <v>2637</v>
      </c>
      <c r="C1665" s="2" t="s">
        <v>2521</v>
      </c>
      <c r="D1665" s="2" t="s">
        <v>2528</v>
      </c>
      <c r="E1665" s="2" t="s">
        <v>2529</v>
      </c>
      <c r="F1665" s="3">
        <v>157435</v>
      </c>
      <c r="G1665" s="3">
        <v>12647</v>
      </c>
      <c r="H1665" s="3">
        <v>1226</v>
      </c>
      <c r="I1665" s="4">
        <v>4268</v>
      </c>
      <c r="J1665" s="4">
        <v>168110.35</v>
      </c>
      <c r="K1665" s="3">
        <v>1003</v>
      </c>
      <c r="L1665" s="2" t="s">
        <v>2518</v>
      </c>
      <c r="M1665" s="2" t="s">
        <v>2546</v>
      </c>
      <c r="N1665" s="6">
        <f t="shared" si="100"/>
        <v>1</v>
      </c>
      <c r="O1665" t="str">
        <f>IF(Tabla_control[[#This Row],[Control_duplicados]]&gt;1,"Duplicado","Unico")</f>
        <v>Unico</v>
      </c>
      <c r="P1665" t="str">
        <f t="shared" si="101"/>
        <v>OK</v>
      </c>
      <c r="Q1665" t="str">
        <f t="shared" si="102"/>
        <v>OK</v>
      </c>
      <c r="R1665" t="str">
        <f t="shared" si="103"/>
        <v>OK</v>
      </c>
    </row>
    <row r="1666" spans="1:18" x14ac:dyDescent="0.3">
      <c r="A1666" s="1">
        <v>45957</v>
      </c>
      <c r="B1666" s="2" t="s">
        <v>2623</v>
      </c>
      <c r="C1666" s="2" t="s">
        <v>2521</v>
      </c>
      <c r="D1666" s="2" t="s">
        <v>2528</v>
      </c>
      <c r="E1666" s="2" t="s">
        <v>2534</v>
      </c>
      <c r="F1666" s="3">
        <v>139763</v>
      </c>
      <c r="G1666" s="3">
        <v>6259</v>
      </c>
      <c r="H1666" s="3">
        <v>359</v>
      </c>
      <c r="I1666" s="4">
        <v>8484.2999999999993</v>
      </c>
      <c r="J1666" s="4">
        <v>64103.44</v>
      </c>
      <c r="K1666" s="3">
        <v>178</v>
      </c>
      <c r="L1666" s="2" t="s">
        <v>2523</v>
      </c>
      <c r="M1666" s="2" t="s">
        <v>2546</v>
      </c>
      <c r="N1666" s="6">
        <f t="shared" ref="N1666:N1729" si="104">COUNTIFS($A$2:$A$2536,A1666,$B$2:$B$2536,B1666,$C$2:$C$2536,C1666,$D$2:$D$2536,D1666,$E$2:$E$2536,E1666,$F$2:$F$2536,F1666,$G$2:$G$2536,G1666,$H$2:$H$2536,H1666,$I$2:$I$2536,I1666,$J$2:$J$2536,J1666,$K$2:$K$2536,K1666,$L$2:$L$2536,L1666,$M$2:$M$2536,M1666)</f>
        <v>1</v>
      </c>
      <c r="O1666" t="str">
        <f>IF(Tabla_control[[#This Row],[Control_duplicados]]&gt;1,"Duplicado","Unico")</f>
        <v>Unico</v>
      </c>
      <c r="P1666" t="str">
        <f t="shared" ref="P1666:P1729" si="105">IF(OR(I1666="",I1666&lt;0),"ERROR","OK")</f>
        <v>OK</v>
      </c>
      <c r="Q1666" t="str">
        <f t="shared" ref="Q1666:Q1729" si="106">IF(H1666&gt;F1666,"ERROR","OK")</f>
        <v>OK</v>
      </c>
      <c r="R1666" t="str">
        <f t="shared" ref="R1666:R1729" si="107">IF(K1666&gt;H1666,"ERROR","OK")</f>
        <v>OK</v>
      </c>
    </row>
    <row r="1667" spans="1:18" x14ac:dyDescent="0.3">
      <c r="A1667" s="1">
        <v>45850</v>
      </c>
      <c r="B1667" s="2" t="s">
        <v>2616</v>
      </c>
      <c r="C1667" s="2" t="s">
        <v>2533</v>
      </c>
      <c r="D1667" s="2" t="s">
        <v>2525</v>
      </c>
      <c r="E1667" s="2" t="s">
        <v>2517</v>
      </c>
      <c r="F1667" s="3">
        <v>67773</v>
      </c>
      <c r="G1667" s="3">
        <v>1335</v>
      </c>
      <c r="H1667" s="3">
        <v>119</v>
      </c>
      <c r="I1667" s="4">
        <v>2595.13</v>
      </c>
      <c r="J1667" s="4">
        <v>13373.04</v>
      </c>
      <c r="K1667" s="3">
        <v>98</v>
      </c>
      <c r="L1667" s="2" t="s">
        <v>2518</v>
      </c>
      <c r="M1667" s="2" t="s">
        <v>2537</v>
      </c>
      <c r="N1667" s="6">
        <f t="shared" si="104"/>
        <v>1</v>
      </c>
      <c r="O1667" t="str">
        <f>IF(Tabla_control[[#This Row],[Control_duplicados]]&gt;1,"Duplicado","Unico")</f>
        <v>Unico</v>
      </c>
      <c r="P1667" t="str">
        <f t="shared" si="105"/>
        <v>OK</v>
      </c>
      <c r="Q1667" t="str">
        <f t="shared" si="106"/>
        <v>OK</v>
      </c>
      <c r="R1667" t="str">
        <f t="shared" si="107"/>
        <v>OK</v>
      </c>
    </row>
    <row r="1668" spans="1:18" x14ac:dyDescent="0.3">
      <c r="A1668" s="1">
        <v>46007</v>
      </c>
      <c r="B1668" s="2" t="s">
        <v>2620</v>
      </c>
      <c r="C1668" s="2" t="s">
        <v>2527</v>
      </c>
      <c r="D1668" s="2" t="s">
        <v>2522</v>
      </c>
      <c r="E1668" s="2" t="s">
        <v>2517</v>
      </c>
      <c r="F1668" s="3">
        <v>118595</v>
      </c>
      <c r="G1668" s="3">
        <v>4660</v>
      </c>
      <c r="H1668" s="3">
        <v>87</v>
      </c>
      <c r="I1668" s="4">
        <v>8501.32</v>
      </c>
      <c r="J1668" s="4">
        <v>14293.45</v>
      </c>
      <c r="K1668" s="3">
        <v>44</v>
      </c>
      <c r="L1668" s="2" t="s">
        <v>2539</v>
      </c>
      <c r="M1668" s="2" t="s">
        <v>2537</v>
      </c>
      <c r="N1668" s="6">
        <f t="shared" si="104"/>
        <v>1</v>
      </c>
      <c r="O1668" t="str">
        <f>IF(Tabla_control[[#This Row],[Control_duplicados]]&gt;1,"Duplicado","Unico")</f>
        <v>Unico</v>
      </c>
      <c r="P1668" t="str">
        <f t="shared" si="105"/>
        <v>OK</v>
      </c>
      <c r="Q1668" t="str">
        <f t="shared" si="106"/>
        <v>OK</v>
      </c>
      <c r="R1668" t="str">
        <f t="shared" si="107"/>
        <v>OK</v>
      </c>
    </row>
    <row r="1669" spans="1:18" x14ac:dyDescent="0.3">
      <c r="A1669" s="1">
        <v>45665</v>
      </c>
      <c r="B1669" s="2" t="s">
        <v>2637</v>
      </c>
      <c r="C1669" s="2" t="s">
        <v>2533</v>
      </c>
      <c r="D1669" s="2" t="s">
        <v>2528</v>
      </c>
      <c r="E1669" s="2" t="s">
        <v>2529</v>
      </c>
      <c r="F1669" s="3">
        <v>20382</v>
      </c>
      <c r="G1669" s="3">
        <v>179</v>
      </c>
      <c r="H1669" s="3">
        <v>24</v>
      </c>
      <c r="I1669" s="4">
        <v>317.06</v>
      </c>
      <c r="J1669" s="4">
        <v>2047.64</v>
      </c>
      <c r="K1669" s="3">
        <v>11</v>
      </c>
      <c r="L1669" s="2" t="s">
        <v>2536</v>
      </c>
      <c r="M1669" s="2" t="s">
        <v>2519</v>
      </c>
      <c r="N1669" s="6">
        <f t="shared" si="104"/>
        <v>1</v>
      </c>
      <c r="O1669" t="str">
        <f>IF(Tabla_control[[#This Row],[Control_duplicados]]&gt;1,"Duplicado","Unico")</f>
        <v>Unico</v>
      </c>
      <c r="P1669" t="str">
        <f t="shared" si="105"/>
        <v>OK</v>
      </c>
      <c r="Q1669" t="str">
        <f t="shared" si="106"/>
        <v>OK</v>
      </c>
      <c r="R1669" t="str">
        <f t="shared" si="107"/>
        <v>OK</v>
      </c>
    </row>
    <row r="1670" spans="1:18" x14ac:dyDescent="0.3">
      <c r="A1670" s="1">
        <v>45951</v>
      </c>
      <c r="B1670" s="2" t="s">
        <v>2631</v>
      </c>
      <c r="C1670" s="2" t="s">
        <v>2541</v>
      </c>
      <c r="D1670" s="2" t="s">
        <v>2516</v>
      </c>
      <c r="E1670" s="2" t="s">
        <v>2517</v>
      </c>
      <c r="F1670" s="3">
        <v>129278</v>
      </c>
      <c r="G1670" s="3">
        <v>11046</v>
      </c>
      <c r="H1670" s="3">
        <v>642</v>
      </c>
      <c r="I1670" s="4">
        <v>21174.01</v>
      </c>
      <c r="J1670" s="4">
        <v>59348.53</v>
      </c>
      <c r="K1670" s="3">
        <v>421</v>
      </c>
      <c r="L1670" s="2" t="s">
        <v>2523</v>
      </c>
      <c r="M1670" s="2" t="s">
        <v>2526</v>
      </c>
      <c r="N1670" s="6">
        <f t="shared" si="104"/>
        <v>1</v>
      </c>
      <c r="O1670" t="str">
        <f>IF(Tabla_control[[#This Row],[Control_duplicados]]&gt;1,"Duplicado","Unico")</f>
        <v>Unico</v>
      </c>
      <c r="P1670" t="str">
        <f t="shared" si="105"/>
        <v>OK</v>
      </c>
      <c r="Q1670" t="str">
        <f t="shared" si="106"/>
        <v>OK</v>
      </c>
      <c r="R1670" t="str">
        <f t="shared" si="107"/>
        <v>OK</v>
      </c>
    </row>
    <row r="1671" spans="1:18" x14ac:dyDescent="0.3">
      <c r="A1671" s="1">
        <v>45696</v>
      </c>
      <c r="B1671" s="2" t="s">
        <v>2627</v>
      </c>
      <c r="C1671" s="2" t="s">
        <v>2533</v>
      </c>
      <c r="D1671" s="2" t="s">
        <v>2528</v>
      </c>
      <c r="E1671" s="2" t="s">
        <v>2529</v>
      </c>
      <c r="F1671" s="3">
        <v>107469</v>
      </c>
      <c r="G1671" s="3">
        <v>2622</v>
      </c>
      <c r="H1671" s="3">
        <v>338</v>
      </c>
      <c r="I1671" s="4">
        <v>3303.12</v>
      </c>
      <c r="J1671" s="4">
        <v>23129.02</v>
      </c>
      <c r="K1671" s="3">
        <v>207</v>
      </c>
      <c r="L1671" s="2" t="s">
        <v>2539</v>
      </c>
      <c r="M1671" s="2" t="s">
        <v>2519</v>
      </c>
      <c r="N1671" s="6">
        <f t="shared" si="104"/>
        <v>1</v>
      </c>
      <c r="O1671" t="str">
        <f>IF(Tabla_control[[#This Row],[Control_duplicados]]&gt;1,"Duplicado","Unico")</f>
        <v>Unico</v>
      </c>
      <c r="P1671" t="str">
        <f t="shared" si="105"/>
        <v>OK</v>
      </c>
      <c r="Q1671" t="str">
        <f t="shared" si="106"/>
        <v>OK</v>
      </c>
      <c r="R1671" t="str">
        <f t="shared" si="107"/>
        <v>OK</v>
      </c>
    </row>
    <row r="1672" spans="1:18" x14ac:dyDescent="0.3">
      <c r="A1672" s="1">
        <v>45884</v>
      </c>
      <c r="B1672" s="2" t="s">
        <v>2640</v>
      </c>
      <c r="C1672" s="2" t="s">
        <v>2521</v>
      </c>
      <c r="D1672" s="2" t="s">
        <v>2516</v>
      </c>
      <c r="E1672" s="2" t="s">
        <v>2529</v>
      </c>
      <c r="F1672" s="3">
        <v>18515</v>
      </c>
      <c r="G1672" s="3">
        <v>1484</v>
      </c>
      <c r="H1672" s="3">
        <v>86</v>
      </c>
      <c r="I1672" s="4">
        <v>1336.04</v>
      </c>
      <c r="J1672" s="4">
        <v>6390.85</v>
      </c>
      <c r="K1672" s="3">
        <v>63</v>
      </c>
      <c r="L1672" s="2" t="s">
        <v>2536</v>
      </c>
      <c r="M1672" s="2" t="s">
        <v>2519</v>
      </c>
      <c r="N1672" s="6">
        <f t="shared" si="104"/>
        <v>1</v>
      </c>
      <c r="O1672" t="str">
        <f>IF(Tabla_control[[#This Row],[Control_duplicados]]&gt;1,"Duplicado","Unico")</f>
        <v>Unico</v>
      </c>
      <c r="P1672" t="str">
        <f t="shared" si="105"/>
        <v>OK</v>
      </c>
      <c r="Q1672" t="str">
        <f t="shared" si="106"/>
        <v>OK</v>
      </c>
      <c r="R1672" t="str">
        <f t="shared" si="107"/>
        <v>OK</v>
      </c>
    </row>
    <row r="1673" spans="1:18" x14ac:dyDescent="0.3">
      <c r="A1673" s="1">
        <v>46004</v>
      </c>
      <c r="B1673" s="2" t="s">
        <v>2640</v>
      </c>
      <c r="C1673" s="2" t="s">
        <v>2543</v>
      </c>
      <c r="D1673" s="2" t="s">
        <v>2531</v>
      </c>
      <c r="E1673" s="2" t="s">
        <v>2529</v>
      </c>
      <c r="F1673" s="3">
        <v>71270</v>
      </c>
      <c r="G1673" s="3">
        <v>2427</v>
      </c>
      <c r="H1673" s="3">
        <v>83</v>
      </c>
      <c r="I1673" s="4">
        <v>2284.38</v>
      </c>
      <c r="J1673" s="4">
        <v>9875.7999999999993</v>
      </c>
      <c r="K1673" s="3">
        <v>44</v>
      </c>
      <c r="L1673" s="2" t="s">
        <v>2523</v>
      </c>
      <c r="M1673" s="2" t="s">
        <v>2546</v>
      </c>
      <c r="N1673" s="6">
        <f t="shared" si="104"/>
        <v>1</v>
      </c>
      <c r="O1673" t="str">
        <f>IF(Tabla_control[[#This Row],[Control_duplicados]]&gt;1,"Duplicado","Unico")</f>
        <v>Unico</v>
      </c>
      <c r="P1673" t="str">
        <f t="shared" si="105"/>
        <v>OK</v>
      </c>
      <c r="Q1673" t="str">
        <f t="shared" si="106"/>
        <v>OK</v>
      </c>
      <c r="R1673" t="str">
        <f t="shared" si="107"/>
        <v>OK</v>
      </c>
    </row>
    <row r="1674" spans="1:18" x14ac:dyDescent="0.3">
      <c r="A1674" s="1">
        <v>45953</v>
      </c>
      <c r="B1674" s="2" t="s">
        <v>2627</v>
      </c>
      <c r="C1674" s="2" t="s">
        <v>2543</v>
      </c>
      <c r="D1674" s="2" t="s">
        <v>2528</v>
      </c>
      <c r="E1674" s="2" t="s">
        <v>2529</v>
      </c>
      <c r="F1674" s="3">
        <v>105096</v>
      </c>
      <c r="G1674" s="3">
        <v>7790</v>
      </c>
      <c r="H1674" s="3">
        <v>739</v>
      </c>
      <c r="I1674" s="4">
        <v>15918.42</v>
      </c>
      <c r="J1674" s="4">
        <v>119560.1</v>
      </c>
      <c r="K1674" s="3">
        <v>555</v>
      </c>
      <c r="L1674" s="2" t="s">
        <v>2523</v>
      </c>
      <c r="M1674" s="2" t="s">
        <v>2526</v>
      </c>
      <c r="N1674" s="6">
        <f t="shared" si="104"/>
        <v>2</v>
      </c>
      <c r="O1674" t="str">
        <f>IF(Tabla_control[[#This Row],[Control_duplicados]]&gt;1,"Duplicado","Unico")</f>
        <v>Duplicado</v>
      </c>
      <c r="P1674" t="str">
        <f t="shared" si="105"/>
        <v>OK</v>
      </c>
      <c r="Q1674" t="str">
        <f t="shared" si="106"/>
        <v>OK</v>
      </c>
      <c r="R1674" t="str">
        <f t="shared" si="107"/>
        <v>OK</v>
      </c>
    </row>
    <row r="1675" spans="1:18" x14ac:dyDescent="0.3">
      <c r="A1675" s="1">
        <v>45868</v>
      </c>
      <c r="B1675" s="2" t="s">
        <v>2628</v>
      </c>
      <c r="C1675" s="2" t="s">
        <v>2543</v>
      </c>
      <c r="D1675" s="2" t="s">
        <v>2528</v>
      </c>
      <c r="E1675" s="2" t="s">
        <v>2529</v>
      </c>
      <c r="F1675" s="3">
        <v>84955</v>
      </c>
      <c r="G1675" s="3">
        <v>6069</v>
      </c>
      <c r="H1675" s="3">
        <v>206</v>
      </c>
      <c r="I1675" s="4">
        <v>8405.56</v>
      </c>
      <c r="J1675" s="4">
        <v>9875.9599999999991</v>
      </c>
      <c r="K1675" s="3">
        <v>124</v>
      </c>
      <c r="L1675" s="2" t="s">
        <v>2536</v>
      </c>
      <c r="M1675" s="2" t="s">
        <v>2537</v>
      </c>
      <c r="N1675" s="6">
        <f t="shared" si="104"/>
        <v>1</v>
      </c>
      <c r="O1675" t="str">
        <f>IF(Tabla_control[[#This Row],[Control_duplicados]]&gt;1,"Duplicado","Unico")</f>
        <v>Unico</v>
      </c>
      <c r="P1675" t="str">
        <f t="shared" si="105"/>
        <v>OK</v>
      </c>
      <c r="Q1675" t="str">
        <f t="shared" si="106"/>
        <v>OK</v>
      </c>
      <c r="R1675" t="str">
        <f t="shared" si="107"/>
        <v>OK</v>
      </c>
    </row>
    <row r="1676" spans="1:18" x14ac:dyDescent="0.3">
      <c r="A1676" s="1">
        <v>45702</v>
      </c>
      <c r="B1676" s="2" t="s">
        <v>2628</v>
      </c>
      <c r="C1676" s="2" t="s">
        <v>2521</v>
      </c>
      <c r="D1676" s="2" t="s">
        <v>2516</v>
      </c>
      <c r="E1676" s="2" t="s">
        <v>2529</v>
      </c>
      <c r="F1676" s="3">
        <v>102907</v>
      </c>
      <c r="G1676" s="3">
        <v>6578</v>
      </c>
      <c r="H1676" s="3">
        <v>368</v>
      </c>
      <c r="I1676" s="4">
        <v>888.98</v>
      </c>
      <c r="J1676" s="4">
        <v>58956.7</v>
      </c>
      <c r="K1676" s="3">
        <v>298</v>
      </c>
      <c r="L1676" s="2" t="s">
        <v>2536</v>
      </c>
      <c r="M1676" s="2" t="s">
        <v>2526</v>
      </c>
      <c r="N1676" s="6">
        <f t="shared" si="104"/>
        <v>1</v>
      </c>
      <c r="O1676" t="str">
        <f>IF(Tabla_control[[#This Row],[Control_duplicados]]&gt;1,"Duplicado","Unico")</f>
        <v>Unico</v>
      </c>
      <c r="P1676" t="str">
        <f t="shared" si="105"/>
        <v>OK</v>
      </c>
      <c r="Q1676" t="str">
        <f t="shared" si="106"/>
        <v>OK</v>
      </c>
      <c r="R1676" t="str">
        <f t="shared" si="107"/>
        <v>OK</v>
      </c>
    </row>
    <row r="1677" spans="1:18" x14ac:dyDescent="0.3">
      <c r="A1677" s="1">
        <v>45925</v>
      </c>
      <c r="B1677" s="2" t="s">
        <v>2634</v>
      </c>
      <c r="C1677" s="2" t="s">
        <v>2515</v>
      </c>
      <c r="D1677" s="2" t="s">
        <v>2528</v>
      </c>
      <c r="E1677" s="2" t="s">
        <v>2517</v>
      </c>
      <c r="F1677" s="3">
        <v>19470</v>
      </c>
      <c r="G1677" s="3">
        <v>594</v>
      </c>
      <c r="H1677" s="3">
        <v>3</v>
      </c>
      <c r="I1677" s="4">
        <v>496.55</v>
      </c>
      <c r="J1677" s="4">
        <v>432.63</v>
      </c>
      <c r="K1677" s="3">
        <v>2</v>
      </c>
      <c r="L1677" s="2" t="s">
        <v>2518</v>
      </c>
      <c r="M1677" s="2" t="s">
        <v>2524</v>
      </c>
      <c r="N1677" s="6">
        <f t="shared" si="104"/>
        <v>1</v>
      </c>
      <c r="O1677" t="str">
        <f>IF(Tabla_control[[#This Row],[Control_duplicados]]&gt;1,"Duplicado","Unico")</f>
        <v>Unico</v>
      </c>
      <c r="P1677" t="str">
        <f t="shared" si="105"/>
        <v>OK</v>
      </c>
      <c r="Q1677" t="str">
        <f t="shared" si="106"/>
        <v>OK</v>
      </c>
      <c r="R1677" t="str">
        <f t="shared" si="107"/>
        <v>OK</v>
      </c>
    </row>
    <row r="1678" spans="1:18" x14ac:dyDescent="0.3">
      <c r="A1678" s="1">
        <v>45677</v>
      </c>
      <c r="B1678" s="2" t="s">
        <v>2637</v>
      </c>
      <c r="C1678" s="2" t="s">
        <v>2645</v>
      </c>
      <c r="D1678" s="2" t="s">
        <v>2516</v>
      </c>
      <c r="E1678" s="2" t="s">
        <v>2529</v>
      </c>
      <c r="F1678" s="3">
        <v>176321</v>
      </c>
      <c r="G1678" s="3">
        <v>11037</v>
      </c>
      <c r="H1678" s="3">
        <v>405</v>
      </c>
      <c r="I1678" s="4">
        <v>23020.23</v>
      </c>
      <c r="J1678" s="4">
        <v>87304.1</v>
      </c>
      <c r="K1678" s="3">
        <v>284</v>
      </c>
      <c r="L1678" s="2" t="s">
        <v>2518</v>
      </c>
      <c r="M1678" s="2" t="s">
        <v>2519</v>
      </c>
      <c r="N1678" s="6">
        <f t="shared" si="104"/>
        <v>1</v>
      </c>
      <c r="O1678" t="str">
        <f>IF(Tabla_control[[#This Row],[Control_duplicados]]&gt;1,"Duplicado","Unico")</f>
        <v>Unico</v>
      </c>
      <c r="P1678" t="str">
        <f t="shared" si="105"/>
        <v>OK</v>
      </c>
      <c r="Q1678" t="str">
        <f t="shared" si="106"/>
        <v>OK</v>
      </c>
      <c r="R1678" t="str">
        <f t="shared" si="107"/>
        <v>OK</v>
      </c>
    </row>
    <row r="1679" spans="1:18" x14ac:dyDescent="0.3">
      <c r="A1679" s="1">
        <v>45786</v>
      </c>
      <c r="B1679" s="2" t="s">
        <v>2636</v>
      </c>
      <c r="C1679" s="2" t="s">
        <v>2527</v>
      </c>
      <c r="D1679" s="2" t="s">
        <v>2522</v>
      </c>
      <c r="E1679" s="2" t="s">
        <v>2517</v>
      </c>
      <c r="F1679" s="3">
        <v>122990</v>
      </c>
      <c r="G1679" s="3">
        <v>6837</v>
      </c>
      <c r="H1679" s="3">
        <v>759</v>
      </c>
      <c r="I1679" s="4">
        <v>7912.84</v>
      </c>
      <c r="J1679" s="4">
        <v>143743.07999999999</v>
      </c>
      <c r="K1679" s="3">
        <v>442</v>
      </c>
      <c r="L1679" s="2" t="s">
        <v>2539</v>
      </c>
      <c r="M1679" s="2" t="s">
        <v>2537</v>
      </c>
      <c r="N1679" s="6">
        <f t="shared" si="104"/>
        <v>1</v>
      </c>
      <c r="O1679" t="str">
        <f>IF(Tabla_control[[#This Row],[Control_duplicados]]&gt;1,"Duplicado","Unico")</f>
        <v>Unico</v>
      </c>
      <c r="P1679" t="str">
        <f t="shared" si="105"/>
        <v>OK</v>
      </c>
      <c r="Q1679" t="str">
        <f t="shared" si="106"/>
        <v>OK</v>
      </c>
      <c r="R1679" t="str">
        <f t="shared" si="107"/>
        <v>OK</v>
      </c>
    </row>
    <row r="1680" spans="1:18" x14ac:dyDescent="0.3">
      <c r="A1680" s="1">
        <v>45909</v>
      </c>
      <c r="B1680" s="2" t="s">
        <v>2634</v>
      </c>
      <c r="C1680" s="2" t="s">
        <v>2543</v>
      </c>
      <c r="D1680" s="2" t="s">
        <v>2531</v>
      </c>
      <c r="E1680" s="2" t="s">
        <v>2529</v>
      </c>
      <c r="F1680" s="3">
        <v>130718</v>
      </c>
      <c r="G1680" s="3">
        <v>5467</v>
      </c>
      <c r="H1680" s="3">
        <v>350</v>
      </c>
      <c r="I1680" s="4">
        <v>2267.9</v>
      </c>
      <c r="J1680" s="4">
        <v>9727.36</v>
      </c>
      <c r="K1680" s="3">
        <v>238</v>
      </c>
      <c r="L1680" s="2" t="s">
        <v>2536</v>
      </c>
      <c r="M1680" s="2" t="s">
        <v>2526</v>
      </c>
      <c r="N1680" s="6">
        <f t="shared" si="104"/>
        <v>1</v>
      </c>
      <c r="O1680" t="str">
        <f>IF(Tabla_control[[#This Row],[Control_duplicados]]&gt;1,"Duplicado","Unico")</f>
        <v>Unico</v>
      </c>
      <c r="P1680" t="str">
        <f t="shared" si="105"/>
        <v>OK</v>
      </c>
      <c r="Q1680" t="str">
        <f t="shared" si="106"/>
        <v>OK</v>
      </c>
      <c r="R1680" t="str">
        <f t="shared" si="107"/>
        <v>OK</v>
      </c>
    </row>
    <row r="1681" spans="1:18" x14ac:dyDescent="0.3">
      <c r="A1681" s="1">
        <v>45905</v>
      </c>
      <c r="B1681" s="2" t="s">
        <v>2641</v>
      </c>
      <c r="C1681" s="2" t="s">
        <v>2515</v>
      </c>
      <c r="D1681" s="2" t="s">
        <v>2525</v>
      </c>
      <c r="E1681" s="2" t="s">
        <v>2517</v>
      </c>
      <c r="F1681" s="3">
        <v>137056</v>
      </c>
      <c r="G1681" s="3">
        <v>3460</v>
      </c>
      <c r="H1681" s="3">
        <v>230</v>
      </c>
      <c r="I1681" s="4">
        <v>3508.33</v>
      </c>
      <c r="J1681" s="4">
        <v>40684.11</v>
      </c>
      <c r="K1681" s="3">
        <v>120</v>
      </c>
      <c r="L1681" s="2" t="s">
        <v>2518</v>
      </c>
      <c r="M1681" s="2" t="s">
        <v>2526</v>
      </c>
      <c r="N1681" s="6">
        <f t="shared" si="104"/>
        <v>1</v>
      </c>
      <c r="O1681" t="str">
        <f>IF(Tabla_control[[#This Row],[Control_duplicados]]&gt;1,"Duplicado","Unico")</f>
        <v>Unico</v>
      </c>
      <c r="P1681" t="str">
        <f t="shared" si="105"/>
        <v>OK</v>
      </c>
      <c r="Q1681" t="str">
        <f t="shared" si="106"/>
        <v>OK</v>
      </c>
      <c r="R1681" t="str">
        <f t="shared" si="107"/>
        <v>OK</v>
      </c>
    </row>
    <row r="1682" spans="1:18" x14ac:dyDescent="0.3">
      <c r="A1682" s="1">
        <v>45709</v>
      </c>
      <c r="B1682" s="2" t="s">
        <v>2624</v>
      </c>
      <c r="C1682" s="2" t="s">
        <v>2527</v>
      </c>
      <c r="D1682" s="2" t="s">
        <v>2516</v>
      </c>
      <c r="E1682" s="2" t="s">
        <v>2529</v>
      </c>
      <c r="F1682" s="3">
        <v>148207</v>
      </c>
      <c r="G1682" s="3">
        <v>13173</v>
      </c>
      <c r="H1682" s="3">
        <v>327</v>
      </c>
      <c r="I1682" s="4">
        <v>3704.99</v>
      </c>
      <c r="J1682" s="4">
        <v>16065.05</v>
      </c>
      <c r="K1682" s="3">
        <v>209</v>
      </c>
      <c r="L1682" s="2" t="s">
        <v>2539</v>
      </c>
      <c r="M1682" s="2" t="s">
        <v>2524</v>
      </c>
      <c r="N1682" s="6">
        <f t="shared" si="104"/>
        <v>1</v>
      </c>
      <c r="O1682" t="str">
        <f>IF(Tabla_control[[#This Row],[Control_duplicados]]&gt;1,"Duplicado","Unico")</f>
        <v>Unico</v>
      </c>
      <c r="P1682" t="str">
        <f t="shared" si="105"/>
        <v>OK</v>
      </c>
      <c r="Q1682" t="str">
        <f t="shared" si="106"/>
        <v>OK</v>
      </c>
      <c r="R1682" t="str">
        <f t="shared" si="107"/>
        <v>OK</v>
      </c>
    </row>
    <row r="1683" spans="1:18" x14ac:dyDescent="0.3">
      <c r="A1683" s="1">
        <v>45745</v>
      </c>
      <c r="B1683" s="2" t="s">
        <v>2638</v>
      </c>
      <c r="C1683" s="2" t="s">
        <v>2515</v>
      </c>
      <c r="D1683" s="2" t="s">
        <v>2531</v>
      </c>
      <c r="E1683" s="2" t="s">
        <v>2517</v>
      </c>
      <c r="F1683" s="3">
        <v>26489</v>
      </c>
      <c r="G1683" s="3">
        <v>1840</v>
      </c>
      <c r="H1683" s="3">
        <v>123</v>
      </c>
      <c r="I1683" s="4">
        <v>929.01</v>
      </c>
      <c r="J1683" s="4">
        <v>21737.73</v>
      </c>
      <c r="K1683" s="3">
        <v>65</v>
      </c>
      <c r="L1683" s="2" t="s">
        <v>2536</v>
      </c>
      <c r="M1683" s="2" t="s">
        <v>2537</v>
      </c>
      <c r="N1683" s="6">
        <f t="shared" si="104"/>
        <v>1</v>
      </c>
      <c r="O1683" t="str">
        <f>IF(Tabla_control[[#This Row],[Control_duplicados]]&gt;1,"Duplicado","Unico")</f>
        <v>Unico</v>
      </c>
      <c r="P1683" t="str">
        <f t="shared" si="105"/>
        <v>OK</v>
      </c>
      <c r="Q1683" t="str">
        <f t="shared" si="106"/>
        <v>OK</v>
      </c>
      <c r="R1683" t="str">
        <f t="shared" si="107"/>
        <v>OK</v>
      </c>
    </row>
    <row r="1684" spans="1:18" x14ac:dyDescent="0.3">
      <c r="A1684" s="1">
        <v>45963</v>
      </c>
      <c r="B1684" s="2" t="s">
        <v>2629</v>
      </c>
      <c r="C1684" s="2" t="s">
        <v>2533</v>
      </c>
      <c r="D1684" s="2" t="s">
        <v>2525</v>
      </c>
      <c r="E1684" s="2" t="s">
        <v>2517</v>
      </c>
      <c r="F1684" s="3">
        <v>31047</v>
      </c>
      <c r="G1684" s="3">
        <v>1527</v>
      </c>
      <c r="H1684" s="3">
        <v>26</v>
      </c>
      <c r="I1684" s="4">
        <v>2123.6</v>
      </c>
      <c r="J1684" s="4">
        <v>2912.84</v>
      </c>
      <c r="K1684" s="3">
        <v>15</v>
      </c>
      <c r="L1684" s="2" t="s">
        <v>2518</v>
      </c>
      <c r="M1684" s="2" t="s">
        <v>2524</v>
      </c>
      <c r="N1684" s="6">
        <f t="shared" si="104"/>
        <v>1</v>
      </c>
      <c r="O1684" t="str">
        <f>IF(Tabla_control[[#This Row],[Control_duplicados]]&gt;1,"Duplicado","Unico")</f>
        <v>Unico</v>
      </c>
      <c r="P1684" t="str">
        <f t="shared" si="105"/>
        <v>OK</v>
      </c>
      <c r="Q1684" t="str">
        <f t="shared" si="106"/>
        <v>OK</v>
      </c>
      <c r="R1684" t="str">
        <f t="shared" si="107"/>
        <v>OK</v>
      </c>
    </row>
    <row r="1685" spans="1:18" x14ac:dyDescent="0.3">
      <c r="A1685" s="1">
        <v>45846</v>
      </c>
      <c r="B1685" s="2" t="s">
        <v>2618</v>
      </c>
      <c r="C1685" s="2" t="s">
        <v>2533</v>
      </c>
      <c r="D1685" s="2" t="s">
        <v>2531</v>
      </c>
      <c r="E1685" s="2" t="s">
        <v>2517</v>
      </c>
      <c r="F1685" s="3">
        <v>18855</v>
      </c>
      <c r="G1685" s="3">
        <v>625</v>
      </c>
      <c r="H1685" s="3">
        <v>68</v>
      </c>
      <c r="I1685" s="4">
        <v>1279.21</v>
      </c>
      <c r="J1685" s="4">
        <v>7861.78</v>
      </c>
      <c r="K1685" s="3">
        <v>55</v>
      </c>
      <c r="L1685" s="2" t="s">
        <v>2539</v>
      </c>
      <c r="M1685" s="2" t="s">
        <v>2526</v>
      </c>
      <c r="N1685" s="6">
        <f t="shared" si="104"/>
        <v>1</v>
      </c>
      <c r="O1685" t="str">
        <f>IF(Tabla_control[[#This Row],[Control_duplicados]]&gt;1,"Duplicado","Unico")</f>
        <v>Unico</v>
      </c>
      <c r="P1685" t="str">
        <f t="shared" si="105"/>
        <v>OK</v>
      </c>
      <c r="Q1685" t="str">
        <f t="shared" si="106"/>
        <v>OK</v>
      </c>
      <c r="R1685" t="str">
        <f t="shared" si="107"/>
        <v>OK</v>
      </c>
    </row>
    <row r="1686" spans="1:18" x14ac:dyDescent="0.3">
      <c r="A1686" s="1">
        <v>45876</v>
      </c>
      <c r="B1686" s="2" t="s">
        <v>2620</v>
      </c>
      <c r="C1686" s="2" t="s">
        <v>2541</v>
      </c>
      <c r="D1686" s="2" t="s">
        <v>2528</v>
      </c>
      <c r="E1686" s="2" t="s">
        <v>2529</v>
      </c>
      <c r="F1686" s="3">
        <v>75070</v>
      </c>
      <c r="G1686" s="3">
        <v>984</v>
      </c>
      <c r="H1686" s="3">
        <v>94</v>
      </c>
      <c r="I1686" s="4">
        <v>1968.19</v>
      </c>
      <c r="J1686" s="4">
        <v>4807.8100000000004</v>
      </c>
      <c r="K1686" s="3">
        <v>63</v>
      </c>
      <c r="L1686" s="2" t="s">
        <v>2539</v>
      </c>
      <c r="M1686" s="2" t="s">
        <v>2537</v>
      </c>
      <c r="N1686" s="6">
        <f t="shared" si="104"/>
        <v>1</v>
      </c>
      <c r="O1686" t="str">
        <f>IF(Tabla_control[[#This Row],[Control_duplicados]]&gt;1,"Duplicado","Unico")</f>
        <v>Unico</v>
      </c>
      <c r="P1686" t="str">
        <f t="shared" si="105"/>
        <v>OK</v>
      </c>
      <c r="Q1686" t="str">
        <f t="shared" si="106"/>
        <v>OK</v>
      </c>
      <c r="R1686" t="str">
        <f t="shared" si="107"/>
        <v>OK</v>
      </c>
    </row>
    <row r="1687" spans="1:18" x14ac:dyDescent="0.3">
      <c r="A1687" s="1">
        <v>45800</v>
      </c>
      <c r="B1687" s="2" t="s">
        <v>2622</v>
      </c>
      <c r="C1687" s="2" t="s">
        <v>2541</v>
      </c>
      <c r="D1687" s="2" t="s">
        <v>2525</v>
      </c>
      <c r="E1687" s="2" t="s">
        <v>2517</v>
      </c>
      <c r="F1687" s="3">
        <v>80241</v>
      </c>
      <c r="G1687" s="3">
        <v>3049</v>
      </c>
      <c r="H1687" s="3">
        <v>292</v>
      </c>
      <c r="I1687" s="4">
        <v>3202.37</v>
      </c>
      <c r="J1687" s="4">
        <v>46025.760000000002</v>
      </c>
      <c r="K1687" s="3">
        <v>217</v>
      </c>
      <c r="L1687" s="2" t="s">
        <v>2539</v>
      </c>
      <c r="M1687" s="2" t="s">
        <v>2526</v>
      </c>
      <c r="N1687" s="6">
        <f t="shared" si="104"/>
        <v>1</v>
      </c>
      <c r="O1687" t="str">
        <f>IF(Tabla_control[[#This Row],[Control_duplicados]]&gt;1,"Duplicado","Unico")</f>
        <v>Unico</v>
      </c>
      <c r="P1687" t="str">
        <f t="shared" si="105"/>
        <v>OK</v>
      </c>
      <c r="Q1687" t="str">
        <f t="shared" si="106"/>
        <v>OK</v>
      </c>
      <c r="R1687" t="str">
        <f t="shared" si="107"/>
        <v>OK</v>
      </c>
    </row>
    <row r="1688" spans="1:18" x14ac:dyDescent="0.3">
      <c r="A1688" s="1">
        <v>45996</v>
      </c>
      <c r="B1688" s="2" t="s">
        <v>2630</v>
      </c>
      <c r="C1688" s="2" t="s">
        <v>2527</v>
      </c>
      <c r="D1688" s="2" t="s">
        <v>2525</v>
      </c>
      <c r="E1688" s="2" t="s">
        <v>2517</v>
      </c>
      <c r="F1688" s="3">
        <v>120799</v>
      </c>
      <c r="G1688" s="3">
        <v>10487</v>
      </c>
      <c r="H1688" s="3">
        <v>1230</v>
      </c>
      <c r="I1688" s="4">
        <v>7788.06</v>
      </c>
      <c r="J1688" s="4">
        <v>244041</v>
      </c>
      <c r="K1688" s="3">
        <v>573</v>
      </c>
      <c r="L1688" s="2" t="s">
        <v>2518</v>
      </c>
      <c r="M1688" s="2" t="s">
        <v>2537</v>
      </c>
      <c r="N1688" s="6">
        <f t="shared" si="104"/>
        <v>1</v>
      </c>
      <c r="O1688" t="str">
        <f>IF(Tabla_control[[#This Row],[Control_duplicados]]&gt;1,"Duplicado","Unico")</f>
        <v>Unico</v>
      </c>
      <c r="P1688" t="str">
        <f t="shared" si="105"/>
        <v>OK</v>
      </c>
      <c r="Q1688" t="str">
        <f t="shared" si="106"/>
        <v>OK</v>
      </c>
      <c r="R1688" t="str">
        <f t="shared" si="107"/>
        <v>OK</v>
      </c>
    </row>
    <row r="1689" spans="1:18" x14ac:dyDescent="0.3">
      <c r="A1689" s="1">
        <v>45839</v>
      </c>
      <c r="B1689" s="2" t="s">
        <v>2634</v>
      </c>
      <c r="C1689" s="2" t="s">
        <v>2521</v>
      </c>
      <c r="D1689" s="2" t="s">
        <v>2525</v>
      </c>
      <c r="E1689" s="2" t="s">
        <v>2517</v>
      </c>
      <c r="F1689" s="3">
        <v>136766</v>
      </c>
      <c r="G1689" s="3">
        <v>10170</v>
      </c>
      <c r="H1689" s="3">
        <v>174</v>
      </c>
      <c r="I1689" s="4">
        <v>10915.04</v>
      </c>
      <c r="J1689" s="4">
        <v>33205.279999999999</v>
      </c>
      <c r="K1689" s="3">
        <v>145</v>
      </c>
      <c r="L1689" s="2" t="s">
        <v>2539</v>
      </c>
      <c r="M1689" s="2" t="s">
        <v>2645</v>
      </c>
      <c r="N1689" s="6">
        <f t="shared" si="104"/>
        <v>1</v>
      </c>
      <c r="O1689" t="str">
        <f>IF(Tabla_control[[#This Row],[Control_duplicados]]&gt;1,"Duplicado","Unico")</f>
        <v>Unico</v>
      </c>
      <c r="P1689" t="str">
        <f t="shared" si="105"/>
        <v>OK</v>
      </c>
      <c r="Q1689" t="str">
        <f t="shared" si="106"/>
        <v>OK</v>
      </c>
      <c r="R1689" t="str">
        <f t="shared" si="107"/>
        <v>OK</v>
      </c>
    </row>
    <row r="1690" spans="1:18" x14ac:dyDescent="0.3">
      <c r="A1690" s="1">
        <v>45769</v>
      </c>
      <c r="B1690" s="2" t="s">
        <v>2641</v>
      </c>
      <c r="C1690" s="2" t="s">
        <v>2527</v>
      </c>
      <c r="D1690" s="2" t="s">
        <v>2516</v>
      </c>
      <c r="E1690" s="2" t="s">
        <v>2529</v>
      </c>
      <c r="F1690" s="3">
        <v>101204</v>
      </c>
      <c r="G1690" s="3">
        <v>4432</v>
      </c>
      <c r="H1690" s="3">
        <v>344</v>
      </c>
      <c r="I1690" s="4">
        <v>5400.91</v>
      </c>
      <c r="J1690" s="4">
        <v>14429.54</v>
      </c>
      <c r="K1690" s="3">
        <v>302</v>
      </c>
      <c r="L1690" s="2" t="s">
        <v>2523</v>
      </c>
      <c r="M1690" s="2" t="s">
        <v>2524</v>
      </c>
      <c r="N1690" s="6">
        <f t="shared" si="104"/>
        <v>1</v>
      </c>
      <c r="O1690" t="str">
        <f>IF(Tabla_control[[#This Row],[Control_duplicados]]&gt;1,"Duplicado","Unico")</f>
        <v>Unico</v>
      </c>
      <c r="P1690" t="str">
        <f t="shared" si="105"/>
        <v>OK</v>
      </c>
      <c r="Q1690" t="str">
        <f t="shared" si="106"/>
        <v>OK</v>
      </c>
      <c r="R1690" t="str">
        <f t="shared" si="107"/>
        <v>OK</v>
      </c>
    </row>
    <row r="1691" spans="1:18" x14ac:dyDescent="0.3">
      <c r="A1691" s="1">
        <v>45706</v>
      </c>
      <c r="B1691" s="2" t="s">
        <v>2633</v>
      </c>
      <c r="C1691" s="2" t="s">
        <v>2543</v>
      </c>
      <c r="D1691" s="2" t="s">
        <v>2531</v>
      </c>
      <c r="E1691" s="2" t="s">
        <v>2529</v>
      </c>
      <c r="F1691" s="3">
        <v>1697</v>
      </c>
      <c r="G1691" s="3">
        <v>142</v>
      </c>
      <c r="H1691" s="3">
        <v>4</v>
      </c>
      <c r="I1691" s="4">
        <v>142.97</v>
      </c>
      <c r="J1691" s="4">
        <v>758.38</v>
      </c>
      <c r="K1691" s="3">
        <v>2</v>
      </c>
      <c r="L1691" s="2" t="s">
        <v>2518</v>
      </c>
      <c r="M1691" s="2" t="s">
        <v>2524</v>
      </c>
      <c r="N1691" s="6">
        <f t="shared" si="104"/>
        <v>1</v>
      </c>
      <c r="O1691" t="str">
        <f>IF(Tabla_control[[#This Row],[Control_duplicados]]&gt;1,"Duplicado","Unico")</f>
        <v>Unico</v>
      </c>
      <c r="P1691" t="str">
        <f t="shared" si="105"/>
        <v>OK</v>
      </c>
      <c r="Q1691" t="str">
        <f t="shared" si="106"/>
        <v>OK</v>
      </c>
      <c r="R1691" t="str">
        <f t="shared" si="107"/>
        <v>OK</v>
      </c>
    </row>
    <row r="1692" spans="1:18" x14ac:dyDescent="0.3">
      <c r="A1692" s="1">
        <v>45954</v>
      </c>
      <c r="B1692" s="2" t="s">
        <v>2632</v>
      </c>
      <c r="C1692" s="2" t="s">
        <v>2541</v>
      </c>
      <c r="D1692" s="2" t="s">
        <v>2522</v>
      </c>
      <c r="E1692" s="2" t="s">
        <v>2517</v>
      </c>
      <c r="F1692" s="3">
        <v>154146</v>
      </c>
      <c r="G1692" s="3">
        <v>13559</v>
      </c>
      <c r="H1692" s="3">
        <v>952</v>
      </c>
      <c r="I1692" s="4">
        <v>2633.54</v>
      </c>
      <c r="J1692" s="4">
        <v>115941</v>
      </c>
      <c r="K1692" s="3">
        <v>815</v>
      </c>
      <c r="L1692" s="2" t="s">
        <v>2518</v>
      </c>
      <c r="M1692" s="2" t="s">
        <v>2546</v>
      </c>
      <c r="N1692" s="6">
        <f t="shared" si="104"/>
        <v>1</v>
      </c>
      <c r="O1692" t="str">
        <f>IF(Tabla_control[[#This Row],[Control_duplicados]]&gt;1,"Duplicado","Unico")</f>
        <v>Unico</v>
      </c>
      <c r="P1692" t="str">
        <f t="shared" si="105"/>
        <v>OK</v>
      </c>
      <c r="Q1692" t="str">
        <f t="shared" si="106"/>
        <v>OK</v>
      </c>
      <c r="R1692" t="str">
        <f t="shared" si="107"/>
        <v>OK</v>
      </c>
    </row>
    <row r="1693" spans="1:18" x14ac:dyDescent="0.3">
      <c r="A1693" s="1">
        <v>45877</v>
      </c>
      <c r="B1693" s="2" t="s">
        <v>2622</v>
      </c>
      <c r="C1693" s="2" t="s">
        <v>2541</v>
      </c>
      <c r="D1693" s="2" t="s">
        <v>2522</v>
      </c>
      <c r="E1693" s="2" t="s">
        <v>2529</v>
      </c>
      <c r="F1693" s="3">
        <v>150754</v>
      </c>
      <c r="G1693" s="3">
        <v>11738</v>
      </c>
      <c r="H1693" s="3">
        <v>149</v>
      </c>
      <c r="I1693" s="4">
        <v>1953.69</v>
      </c>
      <c r="J1693" s="4">
        <v>23602.22</v>
      </c>
      <c r="K1693" s="3">
        <v>123</v>
      </c>
      <c r="L1693" s="2" t="s">
        <v>2539</v>
      </c>
      <c r="M1693" s="2" t="s">
        <v>2524</v>
      </c>
      <c r="N1693" s="6">
        <f t="shared" si="104"/>
        <v>1</v>
      </c>
      <c r="O1693" t="str">
        <f>IF(Tabla_control[[#This Row],[Control_duplicados]]&gt;1,"Duplicado","Unico")</f>
        <v>Unico</v>
      </c>
      <c r="P1693" t="str">
        <f t="shared" si="105"/>
        <v>OK</v>
      </c>
      <c r="Q1693" t="str">
        <f t="shared" si="106"/>
        <v>OK</v>
      </c>
      <c r="R1693" t="str">
        <f t="shared" si="107"/>
        <v>OK</v>
      </c>
    </row>
    <row r="1694" spans="1:18" x14ac:dyDescent="0.3">
      <c r="A1694" s="1">
        <v>45668</v>
      </c>
      <c r="B1694" s="2" t="s">
        <v>2635</v>
      </c>
      <c r="C1694" s="2" t="s">
        <v>2533</v>
      </c>
      <c r="D1694" s="2" t="s">
        <v>2528</v>
      </c>
      <c r="E1694" s="2" t="s">
        <v>2529</v>
      </c>
      <c r="F1694" s="3">
        <v>40340</v>
      </c>
      <c r="G1694" s="3">
        <v>1202</v>
      </c>
      <c r="H1694" s="3">
        <v>93</v>
      </c>
      <c r="I1694" s="4">
        <v>1314.69</v>
      </c>
      <c r="J1694" s="4">
        <v>19489.400000000001</v>
      </c>
      <c r="K1694" s="3">
        <v>47</v>
      </c>
      <c r="L1694" s="2" t="s">
        <v>2539</v>
      </c>
      <c r="M1694" s="2" t="s">
        <v>2537</v>
      </c>
      <c r="N1694" s="6">
        <f t="shared" si="104"/>
        <v>1</v>
      </c>
      <c r="O1694" t="str">
        <f>IF(Tabla_control[[#This Row],[Control_duplicados]]&gt;1,"Duplicado","Unico")</f>
        <v>Unico</v>
      </c>
      <c r="P1694" t="str">
        <f t="shared" si="105"/>
        <v>OK</v>
      </c>
      <c r="Q1694" t="str">
        <f t="shared" si="106"/>
        <v>OK</v>
      </c>
      <c r="R1694" t="str">
        <f t="shared" si="107"/>
        <v>OK</v>
      </c>
    </row>
    <row r="1695" spans="1:18" x14ac:dyDescent="0.3">
      <c r="A1695" s="1">
        <v>45892</v>
      </c>
      <c r="B1695" s="2" t="s">
        <v>2617</v>
      </c>
      <c r="C1695" s="2" t="s">
        <v>2543</v>
      </c>
      <c r="D1695" s="2" t="s">
        <v>2528</v>
      </c>
      <c r="E1695" s="2" t="s">
        <v>2517</v>
      </c>
      <c r="F1695" s="3">
        <v>174511</v>
      </c>
      <c r="G1695" s="3">
        <v>14130</v>
      </c>
      <c r="H1695" s="3">
        <v>1288</v>
      </c>
      <c r="I1695" s="4">
        <v>18973.89</v>
      </c>
      <c r="J1695" s="4">
        <v>91710.59</v>
      </c>
      <c r="K1695" s="3">
        <v>1031</v>
      </c>
      <c r="L1695" s="2" t="s">
        <v>2539</v>
      </c>
      <c r="M1695" s="2" t="s">
        <v>2519</v>
      </c>
      <c r="N1695" s="6">
        <f t="shared" si="104"/>
        <v>1</v>
      </c>
      <c r="O1695" t="str">
        <f>IF(Tabla_control[[#This Row],[Control_duplicados]]&gt;1,"Duplicado","Unico")</f>
        <v>Unico</v>
      </c>
      <c r="P1695" t="str">
        <f t="shared" si="105"/>
        <v>OK</v>
      </c>
      <c r="Q1695" t="str">
        <f t="shared" si="106"/>
        <v>OK</v>
      </c>
      <c r="R1695" t="str">
        <f t="shared" si="107"/>
        <v>OK</v>
      </c>
    </row>
    <row r="1696" spans="1:18" x14ac:dyDescent="0.3">
      <c r="A1696" s="1">
        <v>45711</v>
      </c>
      <c r="B1696" s="2" t="s">
        <v>2622</v>
      </c>
      <c r="C1696" s="2" t="s">
        <v>2533</v>
      </c>
      <c r="D1696" s="2" t="s">
        <v>2522</v>
      </c>
      <c r="E1696" s="2" t="s">
        <v>2517</v>
      </c>
      <c r="F1696" s="3">
        <v>14410</v>
      </c>
      <c r="G1696" s="3">
        <v>847</v>
      </c>
      <c r="H1696" s="3">
        <v>88</v>
      </c>
      <c r="I1696" s="4">
        <v>960.73</v>
      </c>
      <c r="J1696" s="4">
        <v>14248.2</v>
      </c>
      <c r="K1696" s="3">
        <v>49</v>
      </c>
      <c r="L1696" s="2" t="s">
        <v>2518</v>
      </c>
      <c r="M1696" s="2" t="s">
        <v>2546</v>
      </c>
      <c r="N1696" s="6">
        <f t="shared" si="104"/>
        <v>1</v>
      </c>
      <c r="O1696" t="str">
        <f>IF(Tabla_control[[#This Row],[Control_duplicados]]&gt;1,"Duplicado","Unico")</f>
        <v>Unico</v>
      </c>
      <c r="P1696" t="str">
        <f t="shared" si="105"/>
        <v>OK</v>
      </c>
      <c r="Q1696" t="str">
        <f t="shared" si="106"/>
        <v>OK</v>
      </c>
      <c r="R1696" t="str">
        <f t="shared" si="107"/>
        <v>OK</v>
      </c>
    </row>
    <row r="1697" spans="1:18" x14ac:dyDescent="0.3">
      <c r="A1697" s="1">
        <v>45833</v>
      </c>
      <c r="B1697" s="2" t="s">
        <v>2639</v>
      </c>
      <c r="C1697" s="2" t="s">
        <v>2521</v>
      </c>
      <c r="D1697" s="2" t="s">
        <v>2522</v>
      </c>
      <c r="E1697" s="2" t="s">
        <v>2529</v>
      </c>
      <c r="F1697" s="3">
        <v>10122</v>
      </c>
      <c r="G1697" s="3">
        <v>449</v>
      </c>
      <c r="H1697" s="3">
        <v>21</v>
      </c>
      <c r="I1697" s="4">
        <v>165.59</v>
      </c>
      <c r="J1697" s="4">
        <v>3870.17</v>
      </c>
      <c r="K1697" s="3">
        <v>13</v>
      </c>
      <c r="L1697" s="2" t="s">
        <v>2536</v>
      </c>
      <c r="M1697" s="2" t="s">
        <v>2524</v>
      </c>
      <c r="N1697" s="6">
        <f t="shared" si="104"/>
        <v>1</v>
      </c>
      <c r="O1697" t="str">
        <f>IF(Tabla_control[[#This Row],[Control_duplicados]]&gt;1,"Duplicado","Unico")</f>
        <v>Unico</v>
      </c>
      <c r="P1697" t="str">
        <f t="shared" si="105"/>
        <v>OK</v>
      </c>
      <c r="Q1697" t="str">
        <f t="shared" si="106"/>
        <v>OK</v>
      </c>
      <c r="R1697" t="str">
        <f t="shared" si="107"/>
        <v>OK</v>
      </c>
    </row>
    <row r="1698" spans="1:18" x14ac:dyDescent="0.3">
      <c r="A1698" s="1">
        <v>45980</v>
      </c>
      <c r="B1698" s="2" t="s">
        <v>2635</v>
      </c>
      <c r="C1698" s="2" t="s">
        <v>2521</v>
      </c>
      <c r="D1698" s="2" t="s">
        <v>2528</v>
      </c>
      <c r="E1698" s="2" t="s">
        <v>2517</v>
      </c>
      <c r="F1698" s="3">
        <v>12799</v>
      </c>
      <c r="G1698" s="3">
        <v>142</v>
      </c>
      <c r="H1698" s="3">
        <v>7</v>
      </c>
      <c r="I1698" s="4">
        <v>187.28</v>
      </c>
      <c r="J1698" s="4">
        <v>1304.92</v>
      </c>
      <c r="K1698" s="3">
        <v>4</v>
      </c>
      <c r="L1698" s="2" t="s">
        <v>2523</v>
      </c>
      <c r="M1698" s="2" t="s">
        <v>2519</v>
      </c>
      <c r="N1698" s="6">
        <f t="shared" si="104"/>
        <v>1</v>
      </c>
      <c r="O1698" t="str">
        <f>IF(Tabla_control[[#This Row],[Control_duplicados]]&gt;1,"Duplicado","Unico")</f>
        <v>Unico</v>
      </c>
      <c r="P1698" t="str">
        <f t="shared" si="105"/>
        <v>OK</v>
      </c>
      <c r="Q1698" t="str">
        <f t="shared" si="106"/>
        <v>OK</v>
      </c>
      <c r="R1698" t="str">
        <f t="shared" si="107"/>
        <v>OK</v>
      </c>
    </row>
    <row r="1699" spans="1:18" x14ac:dyDescent="0.3">
      <c r="A1699" s="1">
        <v>45916</v>
      </c>
      <c r="B1699" s="2" t="s">
        <v>2633</v>
      </c>
      <c r="C1699" s="2" t="s">
        <v>2541</v>
      </c>
      <c r="D1699" s="2" t="s">
        <v>2525</v>
      </c>
      <c r="E1699" s="2" t="s">
        <v>2529</v>
      </c>
      <c r="F1699" s="3">
        <v>18706</v>
      </c>
      <c r="G1699" s="3">
        <v>1581</v>
      </c>
      <c r="H1699" s="3">
        <v>87</v>
      </c>
      <c r="I1699" s="4">
        <v>355.27</v>
      </c>
      <c r="J1699" s="4">
        <v>12333.36</v>
      </c>
      <c r="K1699" s="3">
        <v>52</v>
      </c>
      <c r="L1699" s="2" t="s">
        <v>2539</v>
      </c>
      <c r="M1699" s="2" t="s">
        <v>2546</v>
      </c>
      <c r="N1699" s="6">
        <f t="shared" si="104"/>
        <v>1</v>
      </c>
      <c r="O1699" t="str">
        <f>IF(Tabla_control[[#This Row],[Control_duplicados]]&gt;1,"Duplicado","Unico")</f>
        <v>Unico</v>
      </c>
      <c r="P1699" t="str">
        <f t="shared" si="105"/>
        <v>OK</v>
      </c>
      <c r="Q1699" t="str">
        <f t="shared" si="106"/>
        <v>OK</v>
      </c>
      <c r="R1699" t="str">
        <f t="shared" si="107"/>
        <v>OK</v>
      </c>
    </row>
    <row r="1700" spans="1:18" x14ac:dyDescent="0.3">
      <c r="A1700" s="1">
        <v>45784</v>
      </c>
      <c r="B1700" s="2" t="s">
        <v>2630</v>
      </c>
      <c r="C1700" s="2" t="s">
        <v>2527</v>
      </c>
      <c r="D1700" s="2" t="s">
        <v>2525</v>
      </c>
      <c r="E1700" s="2" t="s">
        <v>2517</v>
      </c>
      <c r="F1700" s="3">
        <v>139562</v>
      </c>
      <c r="G1700" s="3">
        <v>1394</v>
      </c>
      <c r="H1700" s="3">
        <v>80</v>
      </c>
      <c r="I1700" s="4">
        <v>2778.08</v>
      </c>
      <c r="J1700" s="4">
        <v>16089.63</v>
      </c>
      <c r="K1700" s="3">
        <v>68</v>
      </c>
      <c r="L1700" s="2" t="s">
        <v>2536</v>
      </c>
      <c r="M1700" s="2" t="s">
        <v>2519</v>
      </c>
      <c r="N1700" s="6">
        <f t="shared" si="104"/>
        <v>1</v>
      </c>
      <c r="O1700" t="str">
        <f>IF(Tabla_control[[#This Row],[Control_duplicados]]&gt;1,"Duplicado","Unico")</f>
        <v>Unico</v>
      </c>
      <c r="P1700" t="str">
        <f t="shared" si="105"/>
        <v>OK</v>
      </c>
      <c r="Q1700" t="str">
        <f t="shared" si="106"/>
        <v>OK</v>
      </c>
      <c r="R1700" t="str">
        <f t="shared" si="107"/>
        <v>OK</v>
      </c>
    </row>
    <row r="1701" spans="1:18" x14ac:dyDescent="0.3">
      <c r="A1701" s="1">
        <v>45753</v>
      </c>
      <c r="B1701" s="2" t="s">
        <v>2625</v>
      </c>
      <c r="C1701" s="2" t="s">
        <v>2515</v>
      </c>
      <c r="D1701" s="2" t="s">
        <v>2531</v>
      </c>
      <c r="E1701" s="2" t="s">
        <v>2529</v>
      </c>
      <c r="F1701" s="3">
        <v>1045</v>
      </c>
      <c r="G1701" s="3">
        <v>57</v>
      </c>
      <c r="H1701" s="3">
        <v>5</v>
      </c>
      <c r="I1701" s="4">
        <v>16.059999999999999</v>
      </c>
      <c r="J1701" s="4">
        <v>601.88</v>
      </c>
      <c r="K1701" s="3">
        <v>3</v>
      </c>
      <c r="L1701" s="2" t="s">
        <v>2539</v>
      </c>
      <c r="M1701" s="2" t="s">
        <v>2526</v>
      </c>
      <c r="N1701" s="6">
        <f t="shared" si="104"/>
        <v>1</v>
      </c>
      <c r="O1701" t="str">
        <f>IF(Tabla_control[[#This Row],[Control_duplicados]]&gt;1,"Duplicado","Unico")</f>
        <v>Unico</v>
      </c>
      <c r="P1701" t="str">
        <f t="shared" si="105"/>
        <v>OK</v>
      </c>
      <c r="Q1701" t="str">
        <f t="shared" si="106"/>
        <v>OK</v>
      </c>
      <c r="R1701" t="str">
        <f t="shared" si="107"/>
        <v>OK</v>
      </c>
    </row>
    <row r="1702" spans="1:18" x14ac:dyDescent="0.3">
      <c r="A1702" s="1">
        <v>45727</v>
      </c>
      <c r="B1702" s="2" t="s">
        <v>2638</v>
      </c>
      <c r="C1702" s="2" t="s">
        <v>2521</v>
      </c>
      <c r="D1702" s="2" t="s">
        <v>2528</v>
      </c>
      <c r="E1702" s="2" t="s">
        <v>2517</v>
      </c>
      <c r="F1702" s="3">
        <v>118298</v>
      </c>
      <c r="G1702" s="3">
        <v>2597</v>
      </c>
      <c r="H1702" s="3">
        <v>168</v>
      </c>
      <c r="I1702" s="4">
        <v>1371.48</v>
      </c>
      <c r="J1702" s="4">
        <v>32389.16</v>
      </c>
      <c r="K1702" s="3">
        <v>79</v>
      </c>
      <c r="L1702" s="2" t="s">
        <v>2518</v>
      </c>
      <c r="M1702" s="2" t="s">
        <v>2546</v>
      </c>
      <c r="N1702" s="6">
        <f t="shared" si="104"/>
        <v>1</v>
      </c>
      <c r="O1702" t="str">
        <f>IF(Tabla_control[[#This Row],[Control_duplicados]]&gt;1,"Duplicado","Unico")</f>
        <v>Unico</v>
      </c>
      <c r="P1702" t="str">
        <f t="shared" si="105"/>
        <v>OK</v>
      </c>
      <c r="Q1702" t="str">
        <f t="shared" si="106"/>
        <v>OK</v>
      </c>
      <c r="R1702" t="str">
        <f t="shared" si="107"/>
        <v>OK</v>
      </c>
    </row>
    <row r="1703" spans="1:18" x14ac:dyDescent="0.3">
      <c r="A1703" s="1">
        <v>45834</v>
      </c>
      <c r="B1703" s="2" t="s">
        <v>2622</v>
      </c>
      <c r="C1703" s="2" t="s">
        <v>2541</v>
      </c>
      <c r="D1703" s="2" t="s">
        <v>2528</v>
      </c>
      <c r="E1703" s="2" t="s">
        <v>2529</v>
      </c>
      <c r="F1703" s="3">
        <v>141228</v>
      </c>
      <c r="G1703" s="3">
        <v>7146</v>
      </c>
      <c r="H1703" s="3">
        <v>763</v>
      </c>
      <c r="I1703" s="4">
        <v>10618.99</v>
      </c>
      <c r="J1703" s="4">
        <v>88142.19</v>
      </c>
      <c r="K1703" s="3">
        <v>452</v>
      </c>
      <c r="L1703" s="2" t="s">
        <v>2536</v>
      </c>
      <c r="M1703" s="2" t="s">
        <v>2537</v>
      </c>
      <c r="N1703" s="6">
        <f t="shared" si="104"/>
        <v>1</v>
      </c>
      <c r="O1703" t="str">
        <f>IF(Tabla_control[[#This Row],[Control_duplicados]]&gt;1,"Duplicado","Unico")</f>
        <v>Unico</v>
      </c>
      <c r="P1703" t="str">
        <f t="shared" si="105"/>
        <v>OK</v>
      </c>
      <c r="Q1703" t="str">
        <f t="shared" si="106"/>
        <v>OK</v>
      </c>
      <c r="R1703" t="str">
        <f t="shared" si="107"/>
        <v>OK</v>
      </c>
    </row>
    <row r="1704" spans="1:18" x14ac:dyDescent="0.3">
      <c r="A1704" s="1">
        <v>45819</v>
      </c>
      <c r="B1704" s="2" t="s">
        <v>2622</v>
      </c>
      <c r="C1704" s="2" t="s">
        <v>2533</v>
      </c>
      <c r="D1704" s="2" t="s">
        <v>2531</v>
      </c>
      <c r="E1704" s="2" t="s">
        <v>2529</v>
      </c>
      <c r="F1704" s="3">
        <v>127234</v>
      </c>
      <c r="G1704" s="3">
        <v>3025</v>
      </c>
      <c r="H1704" s="3">
        <v>172</v>
      </c>
      <c r="I1704" s="4">
        <v>4569.9399999999996</v>
      </c>
      <c r="J1704" s="4">
        <v>10814.74</v>
      </c>
      <c r="K1704" s="3">
        <v>128</v>
      </c>
      <c r="L1704" s="2" t="s">
        <v>2536</v>
      </c>
      <c r="M1704" s="2" t="s">
        <v>2524</v>
      </c>
      <c r="N1704" s="6">
        <f t="shared" si="104"/>
        <v>1</v>
      </c>
      <c r="O1704" t="str">
        <f>IF(Tabla_control[[#This Row],[Control_duplicados]]&gt;1,"Duplicado","Unico")</f>
        <v>Unico</v>
      </c>
      <c r="P1704" t="str">
        <f t="shared" si="105"/>
        <v>OK</v>
      </c>
      <c r="Q1704" t="str">
        <f t="shared" si="106"/>
        <v>OK</v>
      </c>
      <c r="R1704" t="str">
        <f t="shared" si="107"/>
        <v>OK</v>
      </c>
    </row>
    <row r="1705" spans="1:18" x14ac:dyDescent="0.3">
      <c r="A1705" s="1">
        <v>45956</v>
      </c>
      <c r="B1705" s="2" t="s">
        <v>2641</v>
      </c>
      <c r="C1705" s="2" t="s">
        <v>2527</v>
      </c>
      <c r="D1705" s="2" t="s">
        <v>2516</v>
      </c>
      <c r="E1705" s="2" t="s">
        <v>2529</v>
      </c>
      <c r="F1705" s="3">
        <v>139892</v>
      </c>
      <c r="G1705" s="3">
        <v>4626</v>
      </c>
      <c r="H1705" s="3">
        <v>624</v>
      </c>
      <c r="I1705" s="4">
        <v>5658.42</v>
      </c>
      <c r="J1705" s="4">
        <v>126598.12</v>
      </c>
      <c r="K1705" s="3">
        <v>345</v>
      </c>
      <c r="L1705" s="2" t="s">
        <v>2518</v>
      </c>
      <c r="M1705" s="2" t="s">
        <v>2546</v>
      </c>
      <c r="N1705" s="6">
        <f t="shared" si="104"/>
        <v>1</v>
      </c>
      <c r="O1705" t="str">
        <f>IF(Tabla_control[[#This Row],[Control_duplicados]]&gt;1,"Duplicado","Unico")</f>
        <v>Unico</v>
      </c>
      <c r="P1705" t="str">
        <f t="shared" si="105"/>
        <v>OK</v>
      </c>
      <c r="Q1705" t="str">
        <f t="shared" si="106"/>
        <v>OK</v>
      </c>
      <c r="R1705" t="str">
        <f t="shared" si="107"/>
        <v>OK</v>
      </c>
    </row>
    <row r="1706" spans="1:18" x14ac:dyDescent="0.3">
      <c r="A1706" s="1">
        <v>45684</v>
      </c>
      <c r="B1706" s="2" t="s">
        <v>2629</v>
      </c>
      <c r="C1706" s="2" t="s">
        <v>2521</v>
      </c>
      <c r="D1706" s="2" t="s">
        <v>2528</v>
      </c>
      <c r="E1706" s="2" t="s">
        <v>2529</v>
      </c>
      <c r="F1706" s="3">
        <v>4195</v>
      </c>
      <c r="G1706" s="3">
        <v>66</v>
      </c>
      <c r="H1706" s="3">
        <v>6</v>
      </c>
      <c r="I1706" s="4">
        <v>107.39</v>
      </c>
      <c r="J1706" s="4">
        <v>742.25</v>
      </c>
      <c r="K1706" s="3">
        <v>5</v>
      </c>
      <c r="L1706" s="2" t="s">
        <v>2539</v>
      </c>
      <c r="M1706" s="2" t="s">
        <v>2546</v>
      </c>
      <c r="N1706" s="6">
        <f t="shared" si="104"/>
        <v>1</v>
      </c>
      <c r="O1706" t="str">
        <f>IF(Tabla_control[[#This Row],[Control_duplicados]]&gt;1,"Duplicado","Unico")</f>
        <v>Unico</v>
      </c>
      <c r="P1706" t="str">
        <f t="shared" si="105"/>
        <v>OK</v>
      </c>
      <c r="Q1706" t="str">
        <f t="shared" si="106"/>
        <v>OK</v>
      </c>
      <c r="R1706" t="str">
        <f t="shared" si="107"/>
        <v>OK</v>
      </c>
    </row>
    <row r="1707" spans="1:18" x14ac:dyDescent="0.3">
      <c r="A1707" s="1">
        <v>45964</v>
      </c>
      <c r="B1707" s="2" t="s">
        <v>2627</v>
      </c>
      <c r="C1707" s="2" t="s">
        <v>2521</v>
      </c>
      <c r="D1707" s="2" t="s">
        <v>2528</v>
      </c>
      <c r="E1707" s="2" t="s">
        <v>2517</v>
      </c>
      <c r="F1707" s="3">
        <v>23227</v>
      </c>
      <c r="G1707" s="3">
        <v>1609</v>
      </c>
      <c r="H1707" s="3">
        <v>169</v>
      </c>
      <c r="I1707" s="4">
        <v>2068.5500000000002</v>
      </c>
      <c r="J1707" s="4">
        <v>35208.660000000003</v>
      </c>
      <c r="K1707" s="3">
        <v>77</v>
      </c>
      <c r="L1707" s="2" t="s">
        <v>2523</v>
      </c>
      <c r="M1707" s="2" t="s">
        <v>2546</v>
      </c>
      <c r="N1707" s="6">
        <f t="shared" si="104"/>
        <v>1</v>
      </c>
      <c r="O1707" t="str">
        <f>IF(Tabla_control[[#This Row],[Control_duplicados]]&gt;1,"Duplicado","Unico")</f>
        <v>Unico</v>
      </c>
      <c r="P1707" t="str">
        <f t="shared" si="105"/>
        <v>OK</v>
      </c>
      <c r="Q1707" t="str">
        <f t="shared" si="106"/>
        <v>OK</v>
      </c>
      <c r="R1707" t="str">
        <f t="shared" si="107"/>
        <v>OK</v>
      </c>
    </row>
    <row r="1708" spans="1:18" x14ac:dyDescent="0.3">
      <c r="A1708" s="1">
        <v>45933</v>
      </c>
      <c r="B1708" s="2" t="s">
        <v>2641</v>
      </c>
      <c r="C1708" s="2" t="s">
        <v>2541</v>
      </c>
      <c r="D1708" s="2" t="s">
        <v>2528</v>
      </c>
      <c r="E1708" s="2" t="s">
        <v>2534</v>
      </c>
      <c r="F1708" s="3">
        <v>26333</v>
      </c>
      <c r="G1708" s="3">
        <v>2286</v>
      </c>
      <c r="H1708" s="3">
        <v>286</v>
      </c>
      <c r="I1708" s="4">
        <v>2857.63</v>
      </c>
      <c r="J1708" s="4">
        <v>13204.82</v>
      </c>
      <c r="K1708" s="3">
        <v>210</v>
      </c>
      <c r="L1708" s="2" t="s">
        <v>2523</v>
      </c>
      <c r="M1708" s="2" t="s">
        <v>2546</v>
      </c>
      <c r="N1708" s="6">
        <f t="shared" si="104"/>
        <v>1</v>
      </c>
      <c r="O1708" t="str">
        <f>IF(Tabla_control[[#This Row],[Control_duplicados]]&gt;1,"Duplicado","Unico")</f>
        <v>Unico</v>
      </c>
      <c r="P1708" t="str">
        <f t="shared" si="105"/>
        <v>OK</v>
      </c>
      <c r="Q1708" t="str">
        <f t="shared" si="106"/>
        <v>OK</v>
      </c>
      <c r="R1708" t="str">
        <f t="shared" si="107"/>
        <v>OK</v>
      </c>
    </row>
    <row r="1709" spans="1:18" x14ac:dyDescent="0.3">
      <c r="A1709" s="1">
        <v>45743</v>
      </c>
      <c r="B1709" s="2" t="s">
        <v>2632</v>
      </c>
      <c r="C1709" s="2" t="s">
        <v>2541</v>
      </c>
      <c r="D1709" s="2" t="s">
        <v>2528</v>
      </c>
      <c r="E1709" s="2" t="s">
        <v>2517</v>
      </c>
      <c r="F1709" s="3">
        <v>99851</v>
      </c>
      <c r="G1709" s="3">
        <v>8765</v>
      </c>
      <c r="H1709" s="3">
        <v>822</v>
      </c>
      <c r="I1709" s="4">
        <v>1123.72</v>
      </c>
      <c r="J1709" s="4">
        <v>38184.92</v>
      </c>
      <c r="K1709" s="3">
        <v>462</v>
      </c>
      <c r="L1709" s="2" t="s">
        <v>2536</v>
      </c>
      <c r="M1709" s="2" t="s">
        <v>2537</v>
      </c>
      <c r="N1709" s="6">
        <f t="shared" si="104"/>
        <v>1</v>
      </c>
      <c r="O1709" t="str">
        <f>IF(Tabla_control[[#This Row],[Control_duplicados]]&gt;1,"Duplicado","Unico")</f>
        <v>Unico</v>
      </c>
      <c r="P1709" t="str">
        <f t="shared" si="105"/>
        <v>OK</v>
      </c>
      <c r="Q1709" t="str">
        <f t="shared" si="106"/>
        <v>OK</v>
      </c>
      <c r="R1709" t="str">
        <f t="shared" si="107"/>
        <v>OK</v>
      </c>
    </row>
    <row r="1710" spans="1:18" x14ac:dyDescent="0.3">
      <c r="A1710" s="1">
        <v>45998</v>
      </c>
      <c r="B1710" s="2" t="s">
        <v>2625</v>
      </c>
      <c r="C1710" s="2" t="s">
        <v>2541</v>
      </c>
      <c r="D1710" s="2" t="s">
        <v>2528</v>
      </c>
      <c r="E1710" s="2" t="s">
        <v>2529</v>
      </c>
      <c r="F1710" s="3">
        <v>63444</v>
      </c>
      <c r="G1710" s="3">
        <v>2372</v>
      </c>
      <c r="H1710" s="3">
        <v>66</v>
      </c>
      <c r="I1710" s="4">
        <v>4733.28</v>
      </c>
      <c r="J1710" s="4">
        <v>8771.9</v>
      </c>
      <c r="K1710" s="3">
        <v>44</v>
      </c>
      <c r="L1710" s="2" t="s">
        <v>2518</v>
      </c>
      <c r="M1710" s="2" t="s">
        <v>2519</v>
      </c>
      <c r="N1710" s="6">
        <f t="shared" si="104"/>
        <v>1</v>
      </c>
      <c r="O1710" t="str">
        <f>IF(Tabla_control[[#This Row],[Control_duplicados]]&gt;1,"Duplicado","Unico")</f>
        <v>Unico</v>
      </c>
      <c r="P1710" t="str">
        <f t="shared" si="105"/>
        <v>OK</v>
      </c>
      <c r="Q1710" t="str">
        <f t="shared" si="106"/>
        <v>OK</v>
      </c>
      <c r="R1710" t="str">
        <f t="shared" si="107"/>
        <v>OK</v>
      </c>
    </row>
    <row r="1711" spans="1:18" x14ac:dyDescent="0.3">
      <c r="A1711" s="1">
        <v>45670</v>
      </c>
      <c r="B1711" s="2" t="s">
        <v>2635</v>
      </c>
      <c r="C1711" s="2" t="s">
        <v>2527</v>
      </c>
      <c r="D1711" s="2" t="s">
        <v>2522</v>
      </c>
      <c r="E1711" s="2" t="s">
        <v>2517</v>
      </c>
      <c r="F1711" s="3">
        <v>123358</v>
      </c>
      <c r="G1711" s="3">
        <v>4880</v>
      </c>
      <c r="H1711" s="3">
        <v>325</v>
      </c>
      <c r="I1711" s="4">
        <v>1291.0899999999999</v>
      </c>
      <c r="J1711" s="4">
        <v>11770.39</v>
      </c>
      <c r="K1711" s="3">
        <v>242</v>
      </c>
      <c r="L1711" s="2" t="s">
        <v>2536</v>
      </c>
      <c r="M1711" s="2" t="s">
        <v>2537</v>
      </c>
      <c r="N1711" s="6">
        <f t="shared" si="104"/>
        <v>1</v>
      </c>
      <c r="O1711" t="str">
        <f>IF(Tabla_control[[#This Row],[Control_duplicados]]&gt;1,"Duplicado","Unico")</f>
        <v>Unico</v>
      </c>
      <c r="P1711" t="str">
        <f t="shared" si="105"/>
        <v>OK</v>
      </c>
      <c r="Q1711" t="str">
        <f t="shared" si="106"/>
        <v>OK</v>
      </c>
      <c r="R1711" t="str">
        <f t="shared" si="107"/>
        <v>OK</v>
      </c>
    </row>
    <row r="1712" spans="1:18" x14ac:dyDescent="0.3">
      <c r="A1712" s="1">
        <v>45812</v>
      </c>
      <c r="B1712" s="2" t="s">
        <v>2644</v>
      </c>
      <c r="C1712" s="2" t="s">
        <v>2543</v>
      </c>
      <c r="D1712" s="2" t="s">
        <v>2528</v>
      </c>
      <c r="E1712" s="2" t="s">
        <v>2529</v>
      </c>
      <c r="F1712" s="3">
        <v>161895</v>
      </c>
      <c r="G1712" s="3">
        <v>9629</v>
      </c>
      <c r="H1712" s="3">
        <v>1143</v>
      </c>
      <c r="I1712" s="4">
        <v>2884.55</v>
      </c>
      <c r="J1712" s="4">
        <v>33193.589999999997</v>
      </c>
      <c r="K1712" s="3">
        <v>989</v>
      </c>
      <c r="L1712" s="2" t="s">
        <v>2536</v>
      </c>
      <c r="M1712" s="2" t="s">
        <v>2526</v>
      </c>
      <c r="N1712" s="6">
        <f t="shared" si="104"/>
        <v>1</v>
      </c>
      <c r="O1712" t="str">
        <f>IF(Tabla_control[[#This Row],[Control_duplicados]]&gt;1,"Duplicado","Unico")</f>
        <v>Unico</v>
      </c>
      <c r="P1712" t="str">
        <f t="shared" si="105"/>
        <v>OK</v>
      </c>
      <c r="Q1712" t="str">
        <f t="shared" si="106"/>
        <v>OK</v>
      </c>
      <c r="R1712" t="str">
        <f t="shared" si="107"/>
        <v>OK</v>
      </c>
    </row>
    <row r="1713" spans="1:18" x14ac:dyDescent="0.3">
      <c r="A1713" s="1">
        <v>45723</v>
      </c>
      <c r="B1713" s="2" t="s">
        <v>2630</v>
      </c>
      <c r="C1713" s="2" t="s">
        <v>2533</v>
      </c>
      <c r="D1713" s="2" t="s">
        <v>2516</v>
      </c>
      <c r="E1713" s="2" t="s">
        <v>2529</v>
      </c>
      <c r="F1713" s="3">
        <v>93118</v>
      </c>
      <c r="G1713" s="3">
        <v>4502</v>
      </c>
      <c r="H1713" s="3">
        <v>189</v>
      </c>
      <c r="I1713" s="4">
        <v>2101.59</v>
      </c>
      <c r="J1713" s="4">
        <v>9058.67</v>
      </c>
      <c r="K1713" s="3">
        <v>157</v>
      </c>
      <c r="L1713" s="2" t="s">
        <v>2536</v>
      </c>
      <c r="M1713" s="2" t="s">
        <v>2526</v>
      </c>
      <c r="N1713" s="6">
        <f t="shared" si="104"/>
        <v>1</v>
      </c>
      <c r="O1713" t="str">
        <f>IF(Tabla_control[[#This Row],[Control_duplicados]]&gt;1,"Duplicado","Unico")</f>
        <v>Unico</v>
      </c>
      <c r="P1713" t="str">
        <f t="shared" si="105"/>
        <v>OK</v>
      </c>
      <c r="Q1713" t="str">
        <f t="shared" si="106"/>
        <v>OK</v>
      </c>
      <c r="R1713" t="str">
        <f t="shared" si="107"/>
        <v>OK</v>
      </c>
    </row>
    <row r="1714" spans="1:18" x14ac:dyDescent="0.3">
      <c r="A1714" s="1">
        <v>45707</v>
      </c>
      <c r="B1714" s="2" t="s">
        <v>2618</v>
      </c>
      <c r="C1714" s="2" t="s">
        <v>2527</v>
      </c>
      <c r="D1714" s="2" t="s">
        <v>2525</v>
      </c>
      <c r="E1714" s="2" t="s">
        <v>2517</v>
      </c>
      <c r="F1714" s="3">
        <v>56356</v>
      </c>
      <c r="G1714" s="3">
        <v>2188</v>
      </c>
      <c r="H1714" s="3">
        <v>286</v>
      </c>
      <c r="I1714" s="4">
        <v>4505.33</v>
      </c>
      <c r="J1714" s="4">
        <v>50748.61</v>
      </c>
      <c r="K1714" s="3">
        <v>147</v>
      </c>
      <c r="L1714" s="2" t="s">
        <v>2536</v>
      </c>
      <c r="M1714" s="2" t="s">
        <v>2519</v>
      </c>
      <c r="N1714" s="6">
        <f t="shared" si="104"/>
        <v>1</v>
      </c>
      <c r="O1714" t="str">
        <f>IF(Tabla_control[[#This Row],[Control_duplicados]]&gt;1,"Duplicado","Unico")</f>
        <v>Unico</v>
      </c>
      <c r="P1714" t="str">
        <f t="shared" si="105"/>
        <v>OK</v>
      </c>
      <c r="Q1714" t="str">
        <f t="shared" si="106"/>
        <v>OK</v>
      </c>
      <c r="R1714" t="str">
        <f t="shared" si="107"/>
        <v>OK</v>
      </c>
    </row>
    <row r="1715" spans="1:18" x14ac:dyDescent="0.3">
      <c r="A1715" s="1">
        <v>45747</v>
      </c>
      <c r="B1715" s="2" t="s">
        <v>2624</v>
      </c>
      <c r="C1715" s="2" t="s">
        <v>2521</v>
      </c>
      <c r="D1715" s="2" t="s">
        <v>2525</v>
      </c>
      <c r="E1715" s="2" t="s">
        <v>2517</v>
      </c>
      <c r="F1715" s="3">
        <v>145171</v>
      </c>
      <c r="G1715" s="3">
        <v>12456</v>
      </c>
      <c r="H1715" s="3">
        <v>508</v>
      </c>
      <c r="I1715" s="4">
        <v>-20537.830000000002</v>
      </c>
      <c r="J1715" s="4">
        <v>19365.689999999999</v>
      </c>
      <c r="K1715" s="3">
        <v>307</v>
      </c>
      <c r="L1715" s="2" t="s">
        <v>2536</v>
      </c>
      <c r="M1715" s="2" t="s">
        <v>2519</v>
      </c>
      <c r="N1715" s="6">
        <f t="shared" si="104"/>
        <v>1</v>
      </c>
      <c r="O1715" t="str">
        <f>IF(Tabla_control[[#This Row],[Control_duplicados]]&gt;1,"Duplicado","Unico")</f>
        <v>Unico</v>
      </c>
      <c r="P1715" t="str">
        <f t="shared" si="105"/>
        <v>ERROR</v>
      </c>
      <c r="Q1715" t="str">
        <f t="shared" si="106"/>
        <v>OK</v>
      </c>
      <c r="R1715" t="str">
        <f t="shared" si="107"/>
        <v>OK</v>
      </c>
    </row>
    <row r="1716" spans="1:18" x14ac:dyDescent="0.3">
      <c r="A1716" s="1">
        <v>45786</v>
      </c>
      <c r="B1716" s="2" t="s">
        <v>2620</v>
      </c>
      <c r="C1716" s="2" t="s">
        <v>2541</v>
      </c>
      <c r="D1716" s="2" t="s">
        <v>2522</v>
      </c>
      <c r="E1716" s="2" t="s">
        <v>2529</v>
      </c>
      <c r="F1716" s="3">
        <v>58071</v>
      </c>
      <c r="G1716" s="3">
        <v>4374</v>
      </c>
      <c r="H1716" s="3">
        <v>365</v>
      </c>
      <c r="I1716" s="4">
        <v>3925.64</v>
      </c>
      <c r="J1716" s="4">
        <v>32178.39</v>
      </c>
      <c r="K1716" s="3">
        <v>180</v>
      </c>
      <c r="L1716" s="2" t="s">
        <v>2518</v>
      </c>
      <c r="M1716" s="2" t="s">
        <v>2519</v>
      </c>
      <c r="N1716" s="6">
        <f t="shared" si="104"/>
        <v>1</v>
      </c>
      <c r="O1716" t="str">
        <f>IF(Tabla_control[[#This Row],[Control_duplicados]]&gt;1,"Duplicado","Unico")</f>
        <v>Unico</v>
      </c>
      <c r="P1716" t="str">
        <f t="shared" si="105"/>
        <v>OK</v>
      </c>
      <c r="Q1716" t="str">
        <f t="shared" si="106"/>
        <v>OK</v>
      </c>
      <c r="R1716" t="str">
        <f t="shared" si="107"/>
        <v>OK</v>
      </c>
    </row>
    <row r="1717" spans="1:18" x14ac:dyDescent="0.3">
      <c r="A1717" s="1">
        <v>45811</v>
      </c>
      <c r="B1717" s="2" t="s">
        <v>2638</v>
      </c>
      <c r="C1717" s="2" t="s">
        <v>2533</v>
      </c>
      <c r="D1717" s="2" t="s">
        <v>2522</v>
      </c>
      <c r="E1717" s="2" t="s">
        <v>2517</v>
      </c>
      <c r="F1717" s="3">
        <v>58427</v>
      </c>
      <c r="G1717" s="3">
        <v>3771</v>
      </c>
      <c r="H1717" s="3">
        <v>507</v>
      </c>
      <c r="I1717" s="4">
        <v>4728.2</v>
      </c>
      <c r="J1717" s="4">
        <v>44661.55</v>
      </c>
      <c r="K1717" s="3">
        <v>342</v>
      </c>
      <c r="L1717" s="2" t="s">
        <v>2539</v>
      </c>
      <c r="M1717" s="2" t="s">
        <v>2524</v>
      </c>
      <c r="N1717" s="6">
        <f t="shared" si="104"/>
        <v>1</v>
      </c>
      <c r="O1717" t="str">
        <f>IF(Tabla_control[[#This Row],[Control_duplicados]]&gt;1,"Duplicado","Unico")</f>
        <v>Unico</v>
      </c>
      <c r="P1717" t="str">
        <f t="shared" si="105"/>
        <v>OK</v>
      </c>
      <c r="Q1717" t="str">
        <f t="shared" si="106"/>
        <v>OK</v>
      </c>
      <c r="R1717" t="str">
        <f t="shared" si="107"/>
        <v>OK</v>
      </c>
    </row>
    <row r="1718" spans="1:18" x14ac:dyDescent="0.3">
      <c r="A1718" s="1">
        <v>45933</v>
      </c>
      <c r="B1718" s="2" t="s">
        <v>2633</v>
      </c>
      <c r="C1718" s="2" t="s">
        <v>2515</v>
      </c>
      <c r="D1718" s="2" t="s">
        <v>2528</v>
      </c>
      <c r="E1718" s="2" t="s">
        <v>2517</v>
      </c>
      <c r="F1718" s="3">
        <v>176407</v>
      </c>
      <c r="G1718" s="3">
        <v>7991</v>
      </c>
      <c r="H1718" s="3">
        <v>1116</v>
      </c>
      <c r="I1718" s="4">
        <v>10936.21</v>
      </c>
      <c r="J1718" s="4">
        <v>208030.1</v>
      </c>
      <c r="K1718" s="3">
        <v>746</v>
      </c>
      <c r="L1718" s="2" t="s">
        <v>2536</v>
      </c>
      <c r="M1718" s="2" t="s">
        <v>2537</v>
      </c>
      <c r="N1718" s="6">
        <f t="shared" si="104"/>
        <v>1</v>
      </c>
      <c r="O1718" t="str">
        <f>IF(Tabla_control[[#This Row],[Control_duplicados]]&gt;1,"Duplicado","Unico")</f>
        <v>Unico</v>
      </c>
      <c r="P1718" t="str">
        <f t="shared" si="105"/>
        <v>OK</v>
      </c>
      <c r="Q1718" t="str">
        <f t="shared" si="106"/>
        <v>OK</v>
      </c>
      <c r="R1718" t="str">
        <f t="shared" si="107"/>
        <v>OK</v>
      </c>
    </row>
    <row r="1719" spans="1:18" x14ac:dyDescent="0.3">
      <c r="A1719" s="1">
        <v>45809</v>
      </c>
      <c r="B1719" s="2" t="s">
        <v>2638</v>
      </c>
      <c r="C1719" s="2" t="s">
        <v>2543</v>
      </c>
      <c r="D1719" s="2" t="s">
        <v>2528</v>
      </c>
      <c r="E1719" s="2" t="s">
        <v>2529</v>
      </c>
      <c r="F1719" s="3">
        <v>33358</v>
      </c>
      <c r="G1719" s="3">
        <v>964</v>
      </c>
      <c r="H1719" s="3">
        <v>58</v>
      </c>
      <c r="I1719" s="4">
        <v>1755.87</v>
      </c>
      <c r="J1719" s="4">
        <v>2721.23</v>
      </c>
      <c r="K1719" s="3">
        <v>39</v>
      </c>
      <c r="L1719" s="2" t="s">
        <v>2518</v>
      </c>
      <c r="M1719" s="2" t="s">
        <v>2546</v>
      </c>
      <c r="N1719" s="6">
        <f t="shared" si="104"/>
        <v>1</v>
      </c>
      <c r="O1719" t="str">
        <f>IF(Tabla_control[[#This Row],[Control_duplicados]]&gt;1,"Duplicado","Unico")</f>
        <v>Unico</v>
      </c>
      <c r="P1719" t="str">
        <f t="shared" si="105"/>
        <v>OK</v>
      </c>
      <c r="Q1719" t="str">
        <f t="shared" si="106"/>
        <v>OK</v>
      </c>
      <c r="R1719" t="str">
        <f t="shared" si="107"/>
        <v>OK</v>
      </c>
    </row>
    <row r="1720" spans="1:18" x14ac:dyDescent="0.3">
      <c r="A1720" s="1">
        <v>45788</v>
      </c>
      <c r="B1720" s="2" t="s">
        <v>2617</v>
      </c>
      <c r="C1720" s="2" t="s">
        <v>2533</v>
      </c>
      <c r="D1720" s="2" t="s">
        <v>2525</v>
      </c>
      <c r="E1720" s="2" t="s">
        <v>2517</v>
      </c>
      <c r="F1720" s="3">
        <v>41459</v>
      </c>
      <c r="G1720" s="3">
        <v>1945</v>
      </c>
      <c r="H1720" s="3">
        <v>63</v>
      </c>
      <c r="I1720" s="4">
        <v>2951.7</v>
      </c>
      <c r="J1720" s="4">
        <v>12222.5</v>
      </c>
      <c r="K1720" s="3">
        <v>55</v>
      </c>
      <c r="L1720" s="2" t="s">
        <v>2518</v>
      </c>
      <c r="M1720" s="2" t="s">
        <v>2519</v>
      </c>
      <c r="N1720" s="6">
        <f t="shared" si="104"/>
        <v>1</v>
      </c>
      <c r="O1720" t="str">
        <f>IF(Tabla_control[[#This Row],[Control_duplicados]]&gt;1,"Duplicado","Unico")</f>
        <v>Unico</v>
      </c>
      <c r="P1720" t="str">
        <f t="shared" si="105"/>
        <v>OK</v>
      </c>
      <c r="Q1720" t="str">
        <f t="shared" si="106"/>
        <v>OK</v>
      </c>
      <c r="R1720" t="str">
        <f t="shared" si="107"/>
        <v>OK</v>
      </c>
    </row>
    <row r="1721" spans="1:18" x14ac:dyDescent="0.3">
      <c r="A1721" s="1">
        <v>45658</v>
      </c>
      <c r="B1721" s="2" t="s">
        <v>2625</v>
      </c>
      <c r="C1721" s="2" t="s">
        <v>2515</v>
      </c>
      <c r="D1721" s="2" t="s">
        <v>2525</v>
      </c>
      <c r="E1721" s="2" t="s">
        <v>2517</v>
      </c>
      <c r="F1721" s="3">
        <v>134323</v>
      </c>
      <c r="G1721" s="3">
        <v>1574</v>
      </c>
      <c r="H1721" s="3">
        <v>60</v>
      </c>
      <c r="I1721" s="4">
        <v>177.69</v>
      </c>
      <c r="J1721" s="4">
        <v>12122.03</v>
      </c>
      <c r="K1721" s="3">
        <v>28</v>
      </c>
      <c r="L1721" s="2" t="s">
        <v>2536</v>
      </c>
      <c r="M1721" s="2" t="s">
        <v>2519</v>
      </c>
      <c r="N1721" s="6">
        <f t="shared" si="104"/>
        <v>1</v>
      </c>
      <c r="O1721" t="str">
        <f>IF(Tabla_control[[#This Row],[Control_duplicados]]&gt;1,"Duplicado","Unico")</f>
        <v>Unico</v>
      </c>
      <c r="P1721" t="str">
        <f t="shared" si="105"/>
        <v>OK</v>
      </c>
      <c r="Q1721" t="str">
        <f t="shared" si="106"/>
        <v>OK</v>
      </c>
      <c r="R1721" t="str">
        <f t="shared" si="107"/>
        <v>OK</v>
      </c>
    </row>
    <row r="1722" spans="1:18" x14ac:dyDescent="0.3">
      <c r="A1722" s="1">
        <v>45893</v>
      </c>
      <c r="B1722" s="2" t="s">
        <v>2620</v>
      </c>
      <c r="C1722" s="2" t="s">
        <v>2521</v>
      </c>
      <c r="D1722" s="2" t="s">
        <v>2516</v>
      </c>
      <c r="E1722" s="2" t="s">
        <v>2529</v>
      </c>
      <c r="F1722" s="3">
        <v>96925</v>
      </c>
      <c r="G1722" s="3">
        <v>7251</v>
      </c>
      <c r="H1722" s="3">
        <v>324</v>
      </c>
      <c r="I1722" s="4">
        <v>2361.02</v>
      </c>
      <c r="J1722" s="4">
        <v>38712.78</v>
      </c>
      <c r="K1722" s="3">
        <v>186</v>
      </c>
      <c r="L1722" s="2" t="s">
        <v>2518</v>
      </c>
      <c r="M1722" s="2" t="s">
        <v>2526</v>
      </c>
      <c r="N1722" s="6">
        <f t="shared" si="104"/>
        <v>1</v>
      </c>
      <c r="O1722" t="str">
        <f>IF(Tabla_control[[#This Row],[Control_duplicados]]&gt;1,"Duplicado","Unico")</f>
        <v>Unico</v>
      </c>
      <c r="P1722" t="str">
        <f t="shared" si="105"/>
        <v>OK</v>
      </c>
      <c r="Q1722" t="str">
        <f t="shared" si="106"/>
        <v>OK</v>
      </c>
      <c r="R1722" t="str">
        <f t="shared" si="107"/>
        <v>OK</v>
      </c>
    </row>
    <row r="1723" spans="1:18" x14ac:dyDescent="0.3">
      <c r="A1723" s="1">
        <v>45898</v>
      </c>
      <c r="B1723" s="2" t="s">
        <v>2617</v>
      </c>
      <c r="C1723" s="2" t="s">
        <v>2527</v>
      </c>
      <c r="D1723" s="2" t="s">
        <v>2528</v>
      </c>
      <c r="E1723" s="2" t="s">
        <v>2529</v>
      </c>
      <c r="F1723" s="3">
        <v>84359</v>
      </c>
      <c r="G1723" s="3">
        <v>5061</v>
      </c>
      <c r="H1723" s="3">
        <v>633</v>
      </c>
      <c r="I1723" s="4">
        <v>10614.4</v>
      </c>
      <c r="J1723" s="4">
        <v>28661.53</v>
      </c>
      <c r="K1723" s="3">
        <v>562</v>
      </c>
      <c r="L1723" s="2" t="s">
        <v>2539</v>
      </c>
      <c r="M1723" s="2" t="s">
        <v>2546</v>
      </c>
      <c r="N1723" s="6">
        <f t="shared" si="104"/>
        <v>1</v>
      </c>
      <c r="O1723" t="str">
        <f>IF(Tabla_control[[#This Row],[Control_duplicados]]&gt;1,"Duplicado","Unico")</f>
        <v>Unico</v>
      </c>
      <c r="P1723" t="str">
        <f t="shared" si="105"/>
        <v>OK</v>
      </c>
      <c r="Q1723" t="str">
        <f t="shared" si="106"/>
        <v>OK</v>
      </c>
      <c r="R1723" t="str">
        <f t="shared" si="107"/>
        <v>OK</v>
      </c>
    </row>
    <row r="1724" spans="1:18" x14ac:dyDescent="0.3">
      <c r="A1724" s="1">
        <v>45731</v>
      </c>
      <c r="B1724" s="2" t="s">
        <v>2631</v>
      </c>
      <c r="C1724" s="2" t="s">
        <v>2541</v>
      </c>
      <c r="D1724" s="2" t="s">
        <v>2528</v>
      </c>
      <c r="E1724" s="2" t="s">
        <v>2529</v>
      </c>
      <c r="F1724" s="3">
        <v>170105</v>
      </c>
      <c r="G1724" s="3">
        <v>7698</v>
      </c>
      <c r="H1724" s="3">
        <v>341</v>
      </c>
      <c r="I1724" s="4">
        <v>12745.51</v>
      </c>
      <c r="J1724" s="4">
        <v>70127.520000000004</v>
      </c>
      <c r="K1724" s="3">
        <v>164</v>
      </c>
      <c r="L1724" s="2" t="s">
        <v>2536</v>
      </c>
      <c r="M1724" s="2" t="s">
        <v>2519</v>
      </c>
      <c r="N1724" s="6">
        <f t="shared" si="104"/>
        <v>1</v>
      </c>
      <c r="O1724" t="str">
        <f>IF(Tabla_control[[#This Row],[Control_duplicados]]&gt;1,"Duplicado","Unico")</f>
        <v>Unico</v>
      </c>
      <c r="P1724" t="str">
        <f t="shared" si="105"/>
        <v>OK</v>
      </c>
      <c r="Q1724" t="str">
        <f t="shared" si="106"/>
        <v>OK</v>
      </c>
      <c r="R1724" t="str">
        <f t="shared" si="107"/>
        <v>OK</v>
      </c>
    </row>
    <row r="1725" spans="1:18" x14ac:dyDescent="0.3">
      <c r="A1725" s="1">
        <v>45930</v>
      </c>
      <c r="B1725" s="2" t="s">
        <v>2633</v>
      </c>
      <c r="C1725" s="2" t="s">
        <v>2527</v>
      </c>
      <c r="D1725" s="2" t="s">
        <v>2531</v>
      </c>
      <c r="E1725" s="2" t="s">
        <v>2529</v>
      </c>
      <c r="F1725" s="3">
        <v>55036</v>
      </c>
      <c r="G1725" s="3">
        <v>4880</v>
      </c>
      <c r="H1725" s="3">
        <v>437</v>
      </c>
      <c r="I1725" s="4">
        <v>2174.38</v>
      </c>
      <c r="J1725" s="4">
        <v>74826.22</v>
      </c>
      <c r="K1725" s="3">
        <v>329</v>
      </c>
      <c r="L1725" s="2" t="s">
        <v>2523</v>
      </c>
      <c r="M1725" s="2" t="s">
        <v>2546</v>
      </c>
      <c r="N1725" s="6">
        <f t="shared" si="104"/>
        <v>1</v>
      </c>
      <c r="O1725" t="str">
        <f>IF(Tabla_control[[#This Row],[Control_duplicados]]&gt;1,"Duplicado","Unico")</f>
        <v>Unico</v>
      </c>
      <c r="P1725" t="str">
        <f t="shared" si="105"/>
        <v>OK</v>
      </c>
      <c r="Q1725" t="str">
        <f t="shared" si="106"/>
        <v>OK</v>
      </c>
      <c r="R1725" t="str">
        <f t="shared" si="107"/>
        <v>OK</v>
      </c>
    </row>
    <row r="1726" spans="1:18" x14ac:dyDescent="0.3">
      <c r="A1726" s="1">
        <v>45818</v>
      </c>
      <c r="B1726" s="2" t="s">
        <v>2623</v>
      </c>
      <c r="C1726" s="2" t="s">
        <v>2541</v>
      </c>
      <c r="D1726" s="2" t="s">
        <v>2516</v>
      </c>
      <c r="E1726" s="2" t="s">
        <v>2529</v>
      </c>
      <c r="F1726" s="3">
        <v>38955</v>
      </c>
      <c r="G1726" s="3">
        <v>310</v>
      </c>
      <c r="H1726" s="3">
        <v>36</v>
      </c>
      <c r="I1726" s="4">
        <v>639.95000000000005</v>
      </c>
      <c r="J1726" s="4">
        <v>2953.84</v>
      </c>
      <c r="K1726" s="3">
        <v>24</v>
      </c>
      <c r="L1726" s="2" t="s">
        <v>2536</v>
      </c>
      <c r="M1726" s="2" t="s">
        <v>2526</v>
      </c>
      <c r="N1726" s="6">
        <f t="shared" si="104"/>
        <v>1</v>
      </c>
      <c r="O1726" t="str">
        <f>IF(Tabla_control[[#This Row],[Control_duplicados]]&gt;1,"Duplicado","Unico")</f>
        <v>Unico</v>
      </c>
      <c r="P1726" t="str">
        <f t="shared" si="105"/>
        <v>OK</v>
      </c>
      <c r="Q1726" t="str">
        <f t="shared" si="106"/>
        <v>OK</v>
      </c>
      <c r="R1726" t="str">
        <f t="shared" si="107"/>
        <v>OK</v>
      </c>
    </row>
    <row r="1727" spans="1:18" x14ac:dyDescent="0.3">
      <c r="A1727" s="1">
        <v>45976</v>
      </c>
      <c r="B1727" s="2" t="s">
        <v>2640</v>
      </c>
      <c r="C1727" s="2" t="s">
        <v>2541</v>
      </c>
      <c r="D1727" s="2" t="s">
        <v>2528</v>
      </c>
      <c r="E1727" s="2" t="s">
        <v>2517</v>
      </c>
      <c r="F1727" s="3">
        <v>27542</v>
      </c>
      <c r="G1727" s="3">
        <v>1825</v>
      </c>
      <c r="H1727" s="3">
        <v>95</v>
      </c>
      <c r="I1727" s="4">
        <v>243.51</v>
      </c>
      <c r="J1727" s="4">
        <v>10176.469999999999</v>
      </c>
      <c r="K1727" s="3">
        <v>75</v>
      </c>
      <c r="L1727" s="2" t="s">
        <v>2536</v>
      </c>
      <c r="M1727" s="2" t="s">
        <v>2546</v>
      </c>
      <c r="N1727" s="6">
        <f t="shared" si="104"/>
        <v>1</v>
      </c>
      <c r="O1727" t="str">
        <f>IF(Tabla_control[[#This Row],[Control_duplicados]]&gt;1,"Duplicado","Unico")</f>
        <v>Unico</v>
      </c>
      <c r="P1727" t="str">
        <f t="shared" si="105"/>
        <v>OK</v>
      </c>
      <c r="Q1727" t="str">
        <f t="shared" si="106"/>
        <v>OK</v>
      </c>
      <c r="R1727" t="str">
        <f t="shared" si="107"/>
        <v>OK</v>
      </c>
    </row>
    <row r="1728" spans="1:18" x14ac:dyDescent="0.3">
      <c r="A1728" s="1">
        <v>45767</v>
      </c>
      <c r="B1728" s="2" t="s">
        <v>2625</v>
      </c>
      <c r="C1728" s="2" t="s">
        <v>2543</v>
      </c>
      <c r="D1728" s="2" t="s">
        <v>2516</v>
      </c>
      <c r="E1728" s="2" t="s">
        <v>2529</v>
      </c>
      <c r="F1728" s="3">
        <v>68320</v>
      </c>
      <c r="G1728" s="3">
        <v>1288</v>
      </c>
      <c r="H1728" s="3">
        <v>15</v>
      </c>
      <c r="I1728" s="4">
        <v>562.63</v>
      </c>
      <c r="J1728" s="4">
        <v>1280.8399999999999</v>
      </c>
      <c r="K1728" s="3">
        <v>7</v>
      </c>
      <c r="L1728" s="2" t="s">
        <v>2523</v>
      </c>
      <c r="M1728" s="2" t="s">
        <v>2524</v>
      </c>
      <c r="N1728" s="6">
        <f t="shared" si="104"/>
        <v>1</v>
      </c>
      <c r="O1728" t="str">
        <f>IF(Tabla_control[[#This Row],[Control_duplicados]]&gt;1,"Duplicado","Unico")</f>
        <v>Unico</v>
      </c>
      <c r="P1728" t="str">
        <f t="shared" si="105"/>
        <v>OK</v>
      </c>
      <c r="Q1728" t="str">
        <f t="shared" si="106"/>
        <v>OK</v>
      </c>
      <c r="R1728" t="str">
        <f t="shared" si="107"/>
        <v>OK</v>
      </c>
    </row>
    <row r="1729" spans="1:18" x14ac:dyDescent="0.3">
      <c r="A1729" s="1">
        <v>45779</v>
      </c>
      <c r="B1729" s="2" t="s">
        <v>2627</v>
      </c>
      <c r="C1729" s="2" t="s">
        <v>2515</v>
      </c>
      <c r="D1729" s="2" t="s">
        <v>2516</v>
      </c>
      <c r="E1729" s="2" t="s">
        <v>2529</v>
      </c>
      <c r="F1729" s="3">
        <v>89511</v>
      </c>
      <c r="G1729" s="3">
        <v>1980</v>
      </c>
      <c r="H1729" s="3">
        <v>74</v>
      </c>
      <c r="I1729" s="4">
        <v>2050.7199999999998</v>
      </c>
      <c r="J1729" s="4">
        <v>7692.95</v>
      </c>
      <c r="K1729" s="3">
        <v>64</v>
      </c>
      <c r="L1729" s="2" t="s">
        <v>2523</v>
      </c>
      <c r="M1729" s="2" t="s">
        <v>2524</v>
      </c>
      <c r="N1729" s="6">
        <f t="shared" si="104"/>
        <v>1</v>
      </c>
      <c r="O1729" t="str">
        <f>IF(Tabla_control[[#This Row],[Control_duplicados]]&gt;1,"Duplicado","Unico")</f>
        <v>Unico</v>
      </c>
      <c r="P1729" t="str">
        <f t="shared" si="105"/>
        <v>OK</v>
      </c>
      <c r="Q1729" t="str">
        <f t="shared" si="106"/>
        <v>OK</v>
      </c>
      <c r="R1729" t="str">
        <f t="shared" si="107"/>
        <v>OK</v>
      </c>
    </row>
    <row r="1730" spans="1:18" x14ac:dyDescent="0.3">
      <c r="A1730" s="1">
        <v>46018</v>
      </c>
      <c r="B1730" s="2" t="s">
        <v>2639</v>
      </c>
      <c r="C1730" s="2" t="s">
        <v>2533</v>
      </c>
      <c r="D1730" s="2" t="s">
        <v>2531</v>
      </c>
      <c r="E1730" s="2" t="s">
        <v>2529</v>
      </c>
      <c r="F1730" s="3">
        <v>20489</v>
      </c>
      <c r="G1730" s="3">
        <v>511</v>
      </c>
      <c r="H1730" s="3">
        <v>20</v>
      </c>
      <c r="I1730" s="4">
        <v>601.01</v>
      </c>
      <c r="J1730" s="4">
        <v>1475.16</v>
      </c>
      <c r="K1730" s="3">
        <v>16</v>
      </c>
      <c r="L1730" s="2" t="s">
        <v>2536</v>
      </c>
      <c r="M1730" s="2" t="s">
        <v>2524</v>
      </c>
      <c r="N1730" s="6">
        <f t="shared" ref="N1730:N1793" si="108">COUNTIFS($A$2:$A$2536,A1730,$B$2:$B$2536,B1730,$C$2:$C$2536,C1730,$D$2:$D$2536,D1730,$E$2:$E$2536,E1730,$F$2:$F$2536,F1730,$G$2:$G$2536,G1730,$H$2:$H$2536,H1730,$I$2:$I$2536,I1730,$J$2:$J$2536,J1730,$K$2:$K$2536,K1730,$L$2:$L$2536,L1730,$M$2:$M$2536,M1730)</f>
        <v>1</v>
      </c>
      <c r="O1730" t="str">
        <f>IF(Tabla_control[[#This Row],[Control_duplicados]]&gt;1,"Duplicado","Unico")</f>
        <v>Unico</v>
      </c>
      <c r="P1730" t="str">
        <f t="shared" ref="P1730:P1793" si="109">IF(OR(I1730="",I1730&lt;0),"ERROR","OK")</f>
        <v>OK</v>
      </c>
      <c r="Q1730" t="str">
        <f t="shared" ref="Q1730:Q1793" si="110">IF(H1730&gt;F1730,"ERROR","OK")</f>
        <v>OK</v>
      </c>
      <c r="R1730" t="str">
        <f t="shared" ref="R1730:R1793" si="111">IF(K1730&gt;H1730,"ERROR","OK")</f>
        <v>OK</v>
      </c>
    </row>
    <row r="1731" spans="1:18" x14ac:dyDescent="0.3">
      <c r="A1731" s="1">
        <v>45739</v>
      </c>
      <c r="B1731" s="2" t="s">
        <v>2644</v>
      </c>
      <c r="C1731" s="2" t="s">
        <v>2533</v>
      </c>
      <c r="D1731" s="2" t="s">
        <v>2528</v>
      </c>
      <c r="E1731" s="2" t="s">
        <v>2529</v>
      </c>
      <c r="F1731" s="3">
        <v>79949</v>
      </c>
      <c r="G1731" s="3">
        <v>80141</v>
      </c>
      <c r="H1731" s="3">
        <v>146</v>
      </c>
      <c r="I1731" s="4">
        <v>5485.13</v>
      </c>
      <c r="J1731" s="4">
        <v>19925.189999999999</v>
      </c>
      <c r="K1731" s="3">
        <v>127</v>
      </c>
      <c r="L1731" s="2" t="s">
        <v>2539</v>
      </c>
      <c r="M1731" s="2" t="s">
        <v>2519</v>
      </c>
      <c r="N1731" s="6">
        <f t="shared" si="108"/>
        <v>1</v>
      </c>
      <c r="O1731" t="str">
        <f>IF(Tabla_control[[#This Row],[Control_duplicados]]&gt;1,"Duplicado","Unico")</f>
        <v>Unico</v>
      </c>
      <c r="P1731" t="str">
        <f t="shared" si="109"/>
        <v>OK</v>
      </c>
      <c r="Q1731" t="str">
        <f t="shared" si="110"/>
        <v>OK</v>
      </c>
      <c r="R1731" t="str">
        <f t="shared" si="111"/>
        <v>OK</v>
      </c>
    </row>
    <row r="1732" spans="1:18" x14ac:dyDescent="0.3">
      <c r="A1732" s="1">
        <v>45733</v>
      </c>
      <c r="B1732" s="2" t="s">
        <v>2621</v>
      </c>
      <c r="C1732" s="2" t="s">
        <v>2541</v>
      </c>
      <c r="D1732" s="2" t="s">
        <v>2525</v>
      </c>
      <c r="E1732" s="2" t="s">
        <v>2529</v>
      </c>
      <c r="F1732" s="3">
        <v>85085</v>
      </c>
      <c r="G1732" s="3">
        <v>6266</v>
      </c>
      <c r="H1732" s="3">
        <v>700</v>
      </c>
      <c r="I1732" s="4">
        <v>5126.92</v>
      </c>
      <c r="J1732" s="4">
        <v>17932.77</v>
      </c>
      <c r="K1732" s="3">
        <v>548</v>
      </c>
      <c r="L1732" s="2" t="s">
        <v>2518</v>
      </c>
      <c r="M1732" s="2" t="s">
        <v>2519</v>
      </c>
      <c r="N1732" s="6">
        <f t="shared" si="108"/>
        <v>1</v>
      </c>
      <c r="O1732" t="str">
        <f>IF(Tabla_control[[#This Row],[Control_duplicados]]&gt;1,"Duplicado","Unico")</f>
        <v>Unico</v>
      </c>
      <c r="P1732" t="str">
        <f t="shared" si="109"/>
        <v>OK</v>
      </c>
      <c r="Q1732" t="str">
        <f t="shared" si="110"/>
        <v>OK</v>
      </c>
      <c r="R1732" t="str">
        <f t="shared" si="111"/>
        <v>OK</v>
      </c>
    </row>
    <row r="1733" spans="1:18" x14ac:dyDescent="0.3">
      <c r="A1733" s="1">
        <v>45659</v>
      </c>
      <c r="B1733" s="2" t="s">
        <v>2644</v>
      </c>
      <c r="C1733" s="2" t="s">
        <v>2515</v>
      </c>
      <c r="D1733" s="2" t="s">
        <v>2528</v>
      </c>
      <c r="E1733" s="2" t="s">
        <v>2517</v>
      </c>
      <c r="F1733" s="3">
        <v>63958</v>
      </c>
      <c r="G1733" s="3">
        <v>1582</v>
      </c>
      <c r="H1733" s="3">
        <v>214</v>
      </c>
      <c r="I1733" s="4">
        <v>1336.7</v>
      </c>
      <c r="J1733" s="4">
        <v>20203.12</v>
      </c>
      <c r="K1733" s="3">
        <v>100</v>
      </c>
      <c r="L1733" s="2" t="s">
        <v>2539</v>
      </c>
      <c r="M1733" s="2" t="s">
        <v>2524</v>
      </c>
      <c r="N1733" s="6">
        <f t="shared" si="108"/>
        <v>1</v>
      </c>
      <c r="O1733" t="str">
        <f>IF(Tabla_control[[#This Row],[Control_duplicados]]&gt;1,"Duplicado","Unico")</f>
        <v>Unico</v>
      </c>
      <c r="P1733" t="str">
        <f t="shared" si="109"/>
        <v>OK</v>
      </c>
      <c r="Q1733" t="str">
        <f t="shared" si="110"/>
        <v>OK</v>
      </c>
      <c r="R1733" t="str">
        <f t="shared" si="111"/>
        <v>OK</v>
      </c>
    </row>
    <row r="1734" spans="1:18" x14ac:dyDescent="0.3">
      <c r="A1734" s="1">
        <v>45916</v>
      </c>
      <c r="B1734" s="2" t="s">
        <v>2633</v>
      </c>
      <c r="C1734" s="2" t="s">
        <v>2541</v>
      </c>
      <c r="D1734" s="2" t="s">
        <v>2531</v>
      </c>
      <c r="E1734" s="2" t="s">
        <v>2529</v>
      </c>
      <c r="F1734" s="3">
        <v>161238</v>
      </c>
      <c r="G1734" s="3">
        <v>161852</v>
      </c>
      <c r="H1734" s="3">
        <v>256</v>
      </c>
      <c r="I1734" s="4">
        <v>5213.91</v>
      </c>
      <c r="J1734" s="4">
        <v>24852.43</v>
      </c>
      <c r="K1734" s="3">
        <v>227</v>
      </c>
      <c r="L1734" s="2" t="s">
        <v>2539</v>
      </c>
      <c r="M1734" s="2" t="s">
        <v>2524</v>
      </c>
      <c r="N1734" s="6">
        <f t="shared" si="108"/>
        <v>1</v>
      </c>
      <c r="O1734" t="str">
        <f>IF(Tabla_control[[#This Row],[Control_duplicados]]&gt;1,"Duplicado","Unico")</f>
        <v>Unico</v>
      </c>
      <c r="P1734" t="str">
        <f t="shared" si="109"/>
        <v>OK</v>
      </c>
      <c r="Q1734" t="str">
        <f t="shared" si="110"/>
        <v>OK</v>
      </c>
      <c r="R1734" t="str">
        <f t="shared" si="111"/>
        <v>OK</v>
      </c>
    </row>
    <row r="1735" spans="1:18" x14ac:dyDescent="0.3">
      <c r="A1735" s="1">
        <v>46006</v>
      </c>
      <c r="B1735" s="2" t="s">
        <v>2636</v>
      </c>
      <c r="C1735" s="2" t="s">
        <v>2515</v>
      </c>
      <c r="D1735" s="2" t="s">
        <v>2525</v>
      </c>
      <c r="E1735" s="2" t="s">
        <v>2529</v>
      </c>
      <c r="F1735" s="3">
        <v>111304</v>
      </c>
      <c r="G1735" s="3">
        <v>8163</v>
      </c>
      <c r="H1735" s="3">
        <v>715</v>
      </c>
      <c r="I1735" s="4">
        <v>13104.11</v>
      </c>
      <c r="J1735" s="4">
        <v>37182.57</v>
      </c>
      <c r="K1735" s="3">
        <v>598</v>
      </c>
      <c r="L1735" s="2" t="s">
        <v>2539</v>
      </c>
      <c r="M1735" s="2" t="s">
        <v>2524</v>
      </c>
      <c r="N1735" s="6">
        <f t="shared" si="108"/>
        <v>1</v>
      </c>
      <c r="O1735" t="str">
        <f>IF(Tabla_control[[#This Row],[Control_duplicados]]&gt;1,"Duplicado","Unico")</f>
        <v>Unico</v>
      </c>
      <c r="P1735" t="str">
        <f t="shared" si="109"/>
        <v>OK</v>
      </c>
      <c r="Q1735" t="str">
        <f t="shared" si="110"/>
        <v>OK</v>
      </c>
      <c r="R1735" t="str">
        <f t="shared" si="111"/>
        <v>OK</v>
      </c>
    </row>
    <row r="1736" spans="1:18" x14ac:dyDescent="0.3">
      <c r="A1736" s="1">
        <v>45723</v>
      </c>
      <c r="B1736" s="2" t="s">
        <v>2636</v>
      </c>
      <c r="C1736" s="2" t="s">
        <v>2543</v>
      </c>
      <c r="D1736" s="2" t="s">
        <v>2528</v>
      </c>
      <c r="E1736" s="2" t="s">
        <v>2517</v>
      </c>
      <c r="F1736" s="3">
        <v>71000</v>
      </c>
      <c r="G1736" s="3">
        <v>6041</v>
      </c>
      <c r="H1736" s="3">
        <v>595</v>
      </c>
      <c r="I1736" s="4">
        <v>10482.06</v>
      </c>
      <c r="J1736" s="4">
        <v>21993.18</v>
      </c>
      <c r="K1736" s="3">
        <v>295</v>
      </c>
      <c r="L1736" s="2" t="s">
        <v>2539</v>
      </c>
      <c r="M1736" s="2" t="s">
        <v>2537</v>
      </c>
      <c r="N1736" s="6">
        <f t="shared" si="108"/>
        <v>2</v>
      </c>
      <c r="O1736" t="str">
        <f>IF(Tabla_control[[#This Row],[Control_duplicados]]&gt;1,"Duplicado","Unico")</f>
        <v>Duplicado</v>
      </c>
      <c r="P1736" t="str">
        <f t="shared" si="109"/>
        <v>OK</v>
      </c>
      <c r="Q1736" t="str">
        <f t="shared" si="110"/>
        <v>OK</v>
      </c>
      <c r="R1736" t="str">
        <f t="shared" si="111"/>
        <v>OK</v>
      </c>
    </row>
    <row r="1737" spans="1:18" x14ac:dyDescent="0.3">
      <c r="A1737" s="1">
        <v>45726</v>
      </c>
      <c r="B1737" s="2" t="s">
        <v>2633</v>
      </c>
      <c r="C1737" s="2" t="s">
        <v>2515</v>
      </c>
      <c r="D1737" s="2" t="s">
        <v>2522</v>
      </c>
      <c r="E1737" s="2" t="s">
        <v>2529</v>
      </c>
      <c r="F1737" s="3">
        <v>158940</v>
      </c>
      <c r="G1737" s="3">
        <v>3126</v>
      </c>
      <c r="H1737" s="3">
        <v>232</v>
      </c>
      <c r="I1737" s="4">
        <v>2547.5500000000002</v>
      </c>
      <c r="J1737" s="4">
        <v>14925.51</v>
      </c>
      <c r="K1737" s="3">
        <v>178</v>
      </c>
      <c r="L1737" s="2" t="s">
        <v>2536</v>
      </c>
      <c r="M1737" s="2" t="s">
        <v>2524</v>
      </c>
      <c r="N1737" s="6">
        <f t="shared" si="108"/>
        <v>1</v>
      </c>
      <c r="O1737" t="str">
        <f>IF(Tabla_control[[#This Row],[Control_duplicados]]&gt;1,"Duplicado","Unico")</f>
        <v>Unico</v>
      </c>
      <c r="P1737" t="str">
        <f t="shared" si="109"/>
        <v>OK</v>
      </c>
      <c r="Q1737" t="str">
        <f t="shared" si="110"/>
        <v>OK</v>
      </c>
      <c r="R1737" t="str">
        <f t="shared" si="111"/>
        <v>OK</v>
      </c>
    </row>
    <row r="1738" spans="1:18" x14ac:dyDescent="0.3">
      <c r="A1738" s="1">
        <v>45910</v>
      </c>
      <c r="B1738" s="2" t="s">
        <v>2616</v>
      </c>
      <c r="C1738" s="2" t="s">
        <v>2543</v>
      </c>
      <c r="D1738" s="2" t="s">
        <v>2528</v>
      </c>
      <c r="E1738" s="2" t="s">
        <v>2517</v>
      </c>
      <c r="F1738" s="3">
        <v>134119</v>
      </c>
      <c r="G1738" s="3">
        <v>1770</v>
      </c>
      <c r="H1738" s="3">
        <v>205</v>
      </c>
      <c r="I1738" s="4">
        <v>3370.63</v>
      </c>
      <c r="J1738" s="4">
        <v>8382.23</v>
      </c>
      <c r="K1738" s="3">
        <v>120</v>
      </c>
      <c r="L1738" s="2" t="s">
        <v>2536</v>
      </c>
      <c r="M1738" s="2" t="s">
        <v>2526</v>
      </c>
      <c r="N1738" s="6">
        <f t="shared" si="108"/>
        <v>1</v>
      </c>
      <c r="O1738" t="str">
        <f>IF(Tabla_control[[#This Row],[Control_duplicados]]&gt;1,"Duplicado","Unico")</f>
        <v>Unico</v>
      </c>
      <c r="P1738" t="str">
        <f t="shared" si="109"/>
        <v>OK</v>
      </c>
      <c r="Q1738" t="str">
        <f t="shared" si="110"/>
        <v>OK</v>
      </c>
      <c r="R1738" t="str">
        <f t="shared" si="111"/>
        <v>OK</v>
      </c>
    </row>
    <row r="1739" spans="1:18" x14ac:dyDescent="0.3">
      <c r="A1739" s="1">
        <v>45754</v>
      </c>
      <c r="B1739" s="2" t="s">
        <v>2634</v>
      </c>
      <c r="C1739" s="2" t="s">
        <v>2533</v>
      </c>
      <c r="D1739" s="2" t="s">
        <v>2528</v>
      </c>
      <c r="E1739" s="2" t="s">
        <v>2529</v>
      </c>
      <c r="F1739" s="3">
        <v>13902</v>
      </c>
      <c r="G1739" s="3">
        <v>888</v>
      </c>
      <c r="H1739" s="3">
        <v>60</v>
      </c>
      <c r="I1739" s="4">
        <v>1196.96</v>
      </c>
      <c r="J1739" s="4">
        <v>7104.14</v>
      </c>
      <c r="K1739" s="3">
        <v>40</v>
      </c>
      <c r="L1739" s="2" t="s">
        <v>2518</v>
      </c>
      <c r="M1739" s="2" t="s">
        <v>2524</v>
      </c>
      <c r="N1739" s="6">
        <f t="shared" si="108"/>
        <v>1</v>
      </c>
      <c r="O1739" t="str">
        <f>IF(Tabla_control[[#This Row],[Control_duplicados]]&gt;1,"Duplicado","Unico")</f>
        <v>Unico</v>
      </c>
      <c r="P1739" t="str">
        <f t="shared" si="109"/>
        <v>OK</v>
      </c>
      <c r="Q1739" t="str">
        <f t="shared" si="110"/>
        <v>OK</v>
      </c>
      <c r="R1739" t="str">
        <f t="shared" si="111"/>
        <v>OK</v>
      </c>
    </row>
    <row r="1740" spans="1:18" x14ac:dyDescent="0.3">
      <c r="A1740" s="1">
        <v>45684</v>
      </c>
      <c r="B1740" s="2" t="s">
        <v>2638</v>
      </c>
      <c r="C1740" s="2" t="s">
        <v>2515</v>
      </c>
      <c r="D1740" s="2" t="s">
        <v>2531</v>
      </c>
      <c r="E1740" s="2" t="s">
        <v>2529</v>
      </c>
      <c r="F1740" s="3">
        <v>173555</v>
      </c>
      <c r="G1740" s="3">
        <v>8407</v>
      </c>
      <c r="H1740" s="3">
        <v>602</v>
      </c>
      <c r="I1740" s="4">
        <v>16612.59</v>
      </c>
      <c r="J1740" s="4">
        <v>102311.14</v>
      </c>
      <c r="K1740" s="3">
        <v>277</v>
      </c>
      <c r="L1740" s="2" t="s">
        <v>2518</v>
      </c>
      <c r="M1740" s="2" t="s">
        <v>2537</v>
      </c>
      <c r="N1740" s="6">
        <f t="shared" si="108"/>
        <v>1</v>
      </c>
      <c r="O1740" t="str">
        <f>IF(Tabla_control[[#This Row],[Control_duplicados]]&gt;1,"Duplicado","Unico")</f>
        <v>Unico</v>
      </c>
      <c r="P1740" t="str">
        <f t="shared" si="109"/>
        <v>OK</v>
      </c>
      <c r="Q1740" t="str">
        <f t="shared" si="110"/>
        <v>OK</v>
      </c>
      <c r="R1740" t="str">
        <f t="shared" si="111"/>
        <v>OK</v>
      </c>
    </row>
    <row r="1741" spans="1:18" x14ac:dyDescent="0.3">
      <c r="A1741" s="1">
        <v>45965</v>
      </c>
      <c r="B1741" s="2" t="s">
        <v>2632</v>
      </c>
      <c r="C1741" s="2" t="s">
        <v>2521</v>
      </c>
      <c r="D1741" s="2" t="s">
        <v>2528</v>
      </c>
      <c r="E1741" s="2" t="s">
        <v>2517</v>
      </c>
      <c r="F1741" s="3">
        <v>110256</v>
      </c>
      <c r="G1741" s="3">
        <v>6225</v>
      </c>
      <c r="H1741" s="3">
        <v>847</v>
      </c>
      <c r="I1741" s="4">
        <v>1365.63</v>
      </c>
      <c r="J1741" s="4">
        <v>146779.74</v>
      </c>
      <c r="K1741" s="3">
        <v>419</v>
      </c>
      <c r="L1741" s="2" t="s">
        <v>2539</v>
      </c>
      <c r="M1741" s="2" t="s">
        <v>2537</v>
      </c>
      <c r="N1741" s="6">
        <f t="shared" si="108"/>
        <v>1</v>
      </c>
      <c r="O1741" t="str">
        <f>IF(Tabla_control[[#This Row],[Control_duplicados]]&gt;1,"Duplicado","Unico")</f>
        <v>Unico</v>
      </c>
      <c r="P1741" t="str">
        <f t="shared" si="109"/>
        <v>OK</v>
      </c>
      <c r="Q1741" t="str">
        <f t="shared" si="110"/>
        <v>OK</v>
      </c>
      <c r="R1741" t="str">
        <f t="shared" si="111"/>
        <v>OK</v>
      </c>
    </row>
    <row r="1742" spans="1:18" x14ac:dyDescent="0.3">
      <c r="A1742" s="1">
        <v>45818</v>
      </c>
      <c r="B1742" s="2" t="s">
        <v>2624</v>
      </c>
      <c r="C1742" s="2" t="s">
        <v>2541</v>
      </c>
      <c r="D1742" s="2" t="s">
        <v>2525</v>
      </c>
      <c r="E1742" s="2" t="s">
        <v>2517</v>
      </c>
      <c r="F1742" s="3">
        <v>37623</v>
      </c>
      <c r="G1742" s="3">
        <v>2251</v>
      </c>
      <c r="H1742" s="3">
        <v>25</v>
      </c>
      <c r="I1742" s="4">
        <v>2238.0500000000002</v>
      </c>
      <c r="J1742" s="4">
        <v>3473.93</v>
      </c>
      <c r="K1742" s="3">
        <v>13</v>
      </c>
      <c r="L1742" s="2" t="s">
        <v>2536</v>
      </c>
      <c r="M1742" s="2" t="s">
        <v>2537</v>
      </c>
      <c r="N1742" s="6">
        <f t="shared" si="108"/>
        <v>1</v>
      </c>
      <c r="O1742" t="str">
        <f>IF(Tabla_control[[#This Row],[Control_duplicados]]&gt;1,"Duplicado","Unico")</f>
        <v>Unico</v>
      </c>
      <c r="P1742" t="str">
        <f t="shared" si="109"/>
        <v>OK</v>
      </c>
      <c r="Q1742" t="str">
        <f t="shared" si="110"/>
        <v>OK</v>
      </c>
      <c r="R1742" t="str">
        <f t="shared" si="111"/>
        <v>OK</v>
      </c>
    </row>
    <row r="1743" spans="1:18" x14ac:dyDescent="0.3">
      <c r="A1743" s="1">
        <v>45680</v>
      </c>
      <c r="B1743" s="2" t="s">
        <v>2627</v>
      </c>
      <c r="C1743" s="2" t="s">
        <v>2515</v>
      </c>
      <c r="D1743" s="2" t="s">
        <v>2528</v>
      </c>
      <c r="E1743" s="2" t="s">
        <v>2529</v>
      </c>
      <c r="F1743" s="3">
        <v>162744</v>
      </c>
      <c r="G1743" s="3">
        <v>4537</v>
      </c>
      <c r="H1743" s="3">
        <v>606</v>
      </c>
      <c r="I1743" s="4">
        <v>3385.13</v>
      </c>
      <c r="J1743" s="4">
        <v>39174.6</v>
      </c>
      <c r="K1743" s="3">
        <v>382</v>
      </c>
      <c r="L1743" s="2" t="s">
        <v>2523</v>
      </c>
      <c r="M1743" s="2" t="s">
        <v>2526</v>
      </c>
      <c r="N1743" s="6">
        <f t="shared" si="108"/>
        <v>1</v>
      </c>
      <c r="O1743" t="str">
        <f>IF(Tabla_control[[#This Row],[Control_duplicados]]&gt;1,"Duplicado","Unico")</f>
        <v>Unico</v>
      </c>
      <c r="P1743" t="str">
        <f t="shared" si="109"/>
        <v>OK</v>
      </c>
      <c r="Q1743" t="str">
        <f t="shared" si="110"/>
        <v>OK</v>
      </c>
      <c r="R1743" t="str">
        <f t="shared" si="111"/>
        <v>OK</v>
      </c>
    </row>
    <row r="1744" spans="1:18" x14ac:dyDescent="0.3">
      <c r="A1744" s="1">
        <v>45779</v>
      </c>
      <c r="B1744" s="2" t="s">
        <v>2644</v>
      </c>
      <c r="C1744" s="2" t="s">
        <v>2521</v>
      </c>
      <c r="D1744" s="2" t="s">
        <v>2525</v>
      </c>
      <c r="E1744" s="2" t="s">
        <v>2529</v>
      </c>
      <c r="F1744" s="3">
        <v>5807</v>
      </c>
      <c r="G1744" s="3">
        <v>300</v>
      </c>
      <c r="H1744" s="3">
        <v>29</v>
      </c>
      <c r="I1744" s="4">
        <v>286.5</v>
      </c>
      <c r="J1744" s="4">
        <v>1562.21</v>
      </c>
      <c r="K1744" s="3">
        <v>14</v>
      </c>
      <c r="L1744" s="2" t="s">
        <v>2539</v>
      </c>
      <c r="M1744" s="2" t="s">
        <v>2524</v>
      </c>
      <c r="N1744" s="6">
        <f t="shared" si="108"/>
        <v>1</v>
      </c>
      <c r="O1744" t="str">
        <f>IF(Tabla_control[[#This Row],[Control_duplicados]]&gt;1,"Duplicado","Unico")</f>
        <v>Unico</v>
      </c>
      <c r="P1744" t="str">
        <f t="shared" si="109"/>
        <v>OK</v>
      </c>
      <c r="Q1744" t="str">
        <f t="shared" si="110"/>
        <v>OK</v>
      </c>
      <c r="R1744" t="str">
        <f t="shared" si="111"/>
        <v>OK</v>
      </c>
    </row>
    <row r="1745" spans="1:18" x14ac:dyDescent="0.3">
      <c r="A1745" s="1">
        <v>45988</v>
      </c>
      <c r="B1745" s="2" t="s">
        <v>2617</v>
      </c>
      <c r="C1745" s="2" t="s">
        <v>2543</v>
      </c>
      <c r="D1745" s="2" t="s">
        <v>2522</v>
      </c>
      <c r="E1745" s="2" t="s">
        <v>2534</v>
      </c>
      <c r="F1745" s="3">
        <v>20878</v>
      </c>
      <c r="G1745" s="3">
        <v>1089</v>
      </c>
      <c r="H1745" s="3">
        <v>82</v>
      </c>
      <c r="I1745" s="4">
        <v>191.2</v>
      </c>
      <c r="J1745" s="4">
        <v>14734.74</v>
      </c>
      <c r="K1745" s="3">
        <v>63</v>
      </c>
      <c r="L1745" s="2" t="s">
        <v>2518</v>
      </c>
      <c r="M1745" s="2" t="s">
        <v>2537</v>
      </c>
      <c r="N1745" s="6">
        <f t="shared" si="108"/>
        <v>1</v>
      </c>
      <c r="O1745" t="str">
        <f>IF(Tabla_control[[#This Row],[Control_duplicados]]&gt;1,"Duplicado","Unico")</f>
        <v>Unico</v>
      </c>
      <c r="P1745" t="str">
        <f t="shared" si="109"/>
        <v>OK</v>
      </c>
      <c r="Q1745" t="str">
        <f t="shared" si="110"/>
        <v>OK</v>
      </c>
      <c r="R1745" t="str">
        <f t="shared" si="111"/>
        <v>OK</v>
      </c>
    </row>
    <row r="1746" spans="1:18" x14ac:dyDescent="0.3">
      <c r="A1746" s="1">
        <v>45879</v>
      </c>
      <c r="B1746" s="2" t="s">
        <v>2622</v>
      </c>
      <c r="C1746" s="2" t="s">
        <v>2533</v>
      </c>
      <c r="D1746" s="2" t="s">
        <v>2528</v>
      </c>
      <c r="E1746" s="2" t="s">
        <v>2534</v>
      </c>
      <c r="F1746" s="3">
        <v>172286</v>
      </c>
      <c r="G1746" s="3">
        <v>9270</v>
      </c>
      <c r="H1746" s="3">
        <v>1220</v>
      </c>
      <c r="I1746" s="4">
        <v>6995.42</v>
      </c>
      <c r="J1746" s="4">
        <v>100829.39</v>
      </c>
      <c r="K1746" s="3">
        <v>767</v>
      </c>
      <c r="L1746" s="2" t="s">
        <v>2523</v>
      </c>
      <c r="M1746" s="2" t="s">
        <v>2526</v>
      </c>
      <c r="N1746" s="6">
        <f t="shared" si="108"/>
        <v>1</v>
      </c>
      <c r="O1746" t="str">
        <f>IF(Tabla_control[[#This Row],[Control_duplicados]]&gt;1,"Duplicado","Unico")</f>
        <v>Unico</v>
      </c>
      <c r="P1746" t="str">
        <f t="shared" si="109"/>
        <v>OK</v>
      </c>
      <c r="Q1746" t="str">
        <f t="shared" si="110"/>
        <v>OK</v>
      </c>
      <c r="R1746" t="str">
        <f t="shared" si="111"/>
        <v>OK</v>
      </c>
    </row>
    <row r="1747" spans="1:18" x14ac:dyDescent="0.3">
      <c r="A1747" s="1">
        <v>45785</v>
      </c>
      <c r="B1747" s="2" t="s">
        <v>2625</v>
      </c>
      <c r="C1747" s="2" t="s">
        <v>2521</v>
      </c>
      <c r="D1747" s="2" t="s">
        <v>2528</v>
      </c>
      <c r="E1747" s="2" t="s">
        <v>2534</v>
      </c>
      <c r="F1747" s="3">
        <v>107450</v>
      </c>
      <c r="G1747" s="3">
        <v>565</v>
      </c>
      <c r="H1747" s="3">
        <v>6</v>
      </c>
      <c r="I1747" s="4">
        <v>930.25</v>
      </c>
      <c r="J1747" s="4">
        <v>632.48</v>
      </c>
      <c r="K1747" s="3">
        <v>4</v>
      </c>
      <c r="L1747" s="2" t="s">
        <v>2539</v>
      </c>
      <c r="M1747" s="2" t="s">
        <v>2526</v>
      </c>
      <c r="N1747" s="6">
        <f t="shared" si="108"/>
        <v>1</v>
      </c>
      <c r="O1747" t="str">
        <f>IF(Tabla_control[[#This Row],[Control_duplicados]]&gt;1,"Duplicado","Unico")</f>
        <v>Unico</v>
      </c>
      <c r="P1747" t="str">
        <f t="shared" si="109"/>
        <v>OK</v>
      </c>
      <c r="Q1747" t="str">
        <f t="shared" si="110"/>
        <v>OK</v>
      </c>
      <c r="R1747" t="str">
        <f t="shared" si="111"/>
        <v>OK</v>
      </c>
    </row>
    <row r="1748" spans="1:18" x14ac:dyDescent="0.3">
      <c r="A1748" s="1">
        <v>45675</v>
      </c>
      <c r="B1748" s="2" t="s">
        <v>2629</v>
      </c>
      <c r="C1748" s="2" t="s">
        <v>2541</v>
      </c>
      <c r="D1748" s="2" t="s">
        <v>2528</v>
      </c>
      <c r="E1748" s="2" t="s">
        <v>2529</v>
      </c>
      <c r="F1748" s="3">
        <v>66156</v>
      </c>
      <c r="G1748" s="3">
        <v>5816</v>
      </c>
      <c r="H1748" s="3">
        <v>772</v>
      </c>
      <c r="I1748" s="4">
        <v>2044.42</v>
      </c>
      <c r="J1748" s="4">
        <v>82965.960000000006</v>
      </c>
      <c r="K1748" s="3">
        <v>638</v>
      </c>
      <c r="L1748" s="2" t="s">
        <v>2536</v>
      </c>
      <c r="M1748" s="2" t="s">
        <v>2526</v>
      </c>
      <c r="N1748" s="6">
        <f t="shared" si="108"/>
        <v>1</v>
      </c>
      <c r="O1748" t="str">
        <f>IF(Tabla_control[[#This Row],[Control_duplicados]]&gt;1,"Duplicado","Unico")</f>
        <v>Unico</v>
      </c>
      <c r="P1748" t="str">
        <f t="shared" si="109"/>
        <v>OK</v>
      </c>
      <c r="Q1748" t="str">
        <f t="shared" si="110"/>
        <v>OK</v>
      </c>
      <c r="R1748" t="str">
        <f t="shared" si="111"/>
        <v>OK</v>
      </c>
    </row>
    <row r="1749" spans="1:18" x14ac:dyDescent="0.3">
      <c r="A1749" s="1">
        <v>45947</v>
      </c>
      <c r="B1749" s="2" t="s">
        <v>2622</v>
      </c>
      <c r="C1749" s="2" t="s">
        <v>2543</v>
      </c>
      <c r="D1749" s="2" t="s">
        <v>2528</v>
      </c>
      <c r="E1749" s="2" t="s">
        <v>2529</v>
      </c>
      <c r="F1749" s="3">
        <v>3493</v>
      </c>
      <c r="G1749" s="3">
        <v>104</v>
      </c>
      <c r="H1749" s="3">
        <v>11</v>
      </c>
      <c r="I1749" s="4">
        <v>69.33</v>
      </c>
      <c r="J1749" s="4">
        <v>1212.42</v>
      </c>
      <c r="K1749" s="3">
        <v>9</v>
      </c>
      <c r="L1749" s="2" t="s">
        <v>2523</v>
      </c>
      <c r="M1749" s="2" t="s">
        <v>2524</v>
      </c>
      <c r="N1749" s="6">
        <f t="shared" si="108"/>
        <v>1</v>
      </c>
      <c r="O1749" t="str">
        <f>IF(Tabla_control[[#This Row],[Control_duplicados]]&gt;1,"Duplicado","Unico")</f>
        <v>Unico</v>
      </c>
      <c r="P1749" t="str">
        <f t="shared" si="109"/>
        <v>OK</v>
      </c>
      <c r="Q1749" t="str">
        <f t="shared" si="110"/>
        <v>OK</v>
      </c>
      <c r="R1749" t="str">
        <f t="shared" si="111"/>
        <v>OK</v>
      </c>
    </row>
    <row r="1750" spans="1:18" x14ac:dyDescent="0.3">
      <c r="A1750" s="1">
        <v>45764</v>
      </c>
      <c r="B1750" s="2" t="s">
        <v>2630</v>
      </c>
      <c r="C1750" s="2" t="s">
        <v>2533</v>
      </c>
      <c r="D1750" s="2" t="s">
        <v>2528</v>
      </c>
      <c r="E1750" s="2" t="s">
        <v>2517</v>
      </c>
      <c r="F1750" s="3">
        <v>160153</v>
      </c>
      <c r="G1750" s="3">
        <v>8582</v>
      </c>
      <c r="H1750" s="3">
        <v>153</v>
      </c>
      <c r="I1750" s="4">
        <v>10778.68</v>
      </c>
      <c r="J1750" s="4">
        <v>29127.03</v>
      </c>
      <c r="K1750" s="3">
        <v>78</v>
      </c>
      <c r="L1750" s="2" t="s">
        <v>2518</v>
      </c>
      <c r="M1750" s="2" t="s">
        <v>2546</v>
      </c>
      <c r="N1750" s="6">
        <f t="shared" si="108"/>
        <v>1</v>
      </c>
      <c r="O1750" t="str">
        <f>IF(Tabla_control[[#This Row],[Control_duplicados]]&gt;1,"Duplicado","Unico")</f>
        <v>Unico</v>
      </c>
      <c r="P1750" t="str">
        <f t="shared" si="109"/>
        <v>OK</v>
      </c>
      <c r="Q1750" t="str">
        <f t="shared" si="110"/>
        <v>OK</v>
      </c>
      <c r="R1750" t="str">
        <f t="shared" si="111"/>
        <v>OK</v>
      </c>
    </row>
    <row r="1751" spans="1:18" x14ac:dyDescent="0.3">
      <c r="A1751" s="1">
        <v>45838</v>
      </c>
      <c r="B1751" s="2" t="s">
        <v>2631</v>
      </c>
      <c r="C1751" s="2" t="s">
        <v>2527</v>
      </c>
      <c r="D1751" s="2" t="s">
        <v>2528</v>
      </c>
      <c r="E1751" s="2" t="s">
        <v>2517</v>
      </c>
      <c r="F1751" s="3">
        <v>36280</v>
      </c>
      <c r="G1751" s="3">
        <v>2113</v>
      </c>
      <c r="H1751" s="3">
        <v>107</v>
      </c>
      <c r="I1751" s="4">
        <v>3075.35</v>
      </c>
      <c r="J1751" s="4">
        <v>17404.29</v>
      </c>
      <c r="K1751" s="3">
        <v>93</v>
      </c>
      <c r="L1751" s="2" t="s">
        <v>2523</v>
      </c>
      <c r="M1751" s="2" t="s">
        <v>2524</v>
      </c>
      <c r="N1751" s="6">
        <f t="shared" si="108"/>
        <v>1</v>
      </c>
      <c r="O1751" t="str">
        <f>IF(Tabla_control[[#This Row],[Control_duplicados]]&gt;1,"Duplicado","Unico")</f>
        <v>Unico</v>
      </c>
      <c r="P1751" t="str">
        <f t="shared" si="109"/>
        <v>OK</v>
      </c>
      <c r="Q1751" t="str">
        <f t="shared" si="110"/>
        <v>OK</v>
      </c>
      <c r="R1751" t="str">
        <f t="shared" si="111"/>
        <v>OK</v>
      </c>
    </row>
    <row r="1752" spans="1:18" x14ac:dyDescent="0.3">
      <c r="A1752" s="1">
        <v>45828</v>
      </c>
      <c r="B1752" s="2" t="s">
        <v>2634</v>
      </c>
      <c r="C1752" s="2" t="s">
        <v>2527</v>
      </c>
      <c r="D1752" s="2" t="s">
        <v>2528</v>
      </c>
      <c r="E1752" s="2" t="s">
        <v>2529</v>
      </c>
      <c r="F1752" s="3">
        <v>15095</v>
      </c>
      <c r="G1752" s="3">
        <v>1116</v>
      </c>
      <c r="H1752" s="3">
        <v>63</v>
      </c>
      <c r="I1752" s="4">
        <v>118.9</v>
      </c>
      <c r="J1752" s="4">
        <v>9937.09</v>
      </c>
      <c r="K1752" s="3">
        <v>50</v>
      </c>
      <c r="L1752" s="2" t="s">
        <v>2523</v>
      </c>
      <c r="M1752" s="2" t="s">
        <v>2526</v>
      </c>
      <c r="N1752" s="6">
        <f t="shared" si="108"/>
        <v>1</v>
      </c>
      <c r="O1752" t="str">
        <f>IF(Tabla_control[[#This Row],[Control_duplicados]]&gt;1,"Duplicado","Unico")</f>
        <v>Unico</v>
      </c>
      <c r="P1752" t="str">
        <f t="shared" si="109"/>
        <v>OK</v>
      </c>
      <c r="Q1752" t="str">
        <f t="shared" si="110"/>
        <v>OK</v>
      </c>
      <c r="R1752" t="str">
        <f t="shared" si="111"/>
        <v>OK</v>
      </c>
    </row>
    <row r="1753" spans="1:18" x14ac:dyDescent="0.3">
      <c r="A1753" s="1">
        <v>45714</v>
      </c>
      <c r="B1753" s="2" t="s">
        <v>2618</v>
      </c>
      <c r="C1753" s="2" t="s">
        <v>2515</v>
      </c>
      <c r="D1753" s="2" t="s">
        <v>2528</v>
      </c>
      <c r="E1753" s="2" t="s">
        <v>2529</v>
      </c>
      <c r="F1753" s="3">
        <v>143160</v>
      </c>
      <c r="G1753" s="3">
        <v>9648</v>
      </c>
      <c r="H1753" s="3">
        <v>787</v>
      </c>
      <c r="I1753" s="4">
        <v>7430.46</v>
      </c>
      <c r="J1753" s="4">
        <v>165462.25</v>
      </c>
      <c r="K1753" s="3">
        <v>529</v>
      </c>
      <c r="L1753" s="2" t="s">
        <v>2536</v>
      </c>
      <c r="M1753" s="2" t="s">
        <v>2537</v>
      </c>
      <c r="N1753" s="6">
        <f t="shared" si="108"/>
        <v>1</v>
      </c>
      <c r="O1753" t="str">
        <f>IF(Tabla_control[[#This Row],[Control_duplicados]]&gt;1,"Duplicado","Unico")</f>
        <v>Unico</v>
      </c>
      <c r="P1753" t="str">
        <f t="shared" si="109"/>
        <v>OK</v>
      </c>
      <c r="Q1753" t="str">
        <f t="shared" si="110"/>
        <v>OK</v>
      </c>
      <c r="R1753" t="str">
        <f t="shared" si="111"/>
        <v>OK</v>
      </c>
    </row>
    <row r="1754" spans="1:18" x14ac:dyDescent="0.3">
      <c r="A1754" s="1">
        <v>45665</v>
      </c>
      <c r="B1754" s="2" t="s">
        <v>2637</v>
      </c>
      <c r="C1754" s="2" t="s">
        <v>2541</v>
      </c>
      <c r="D1754" s="2" t="s">
        <v>2531</v>
      </c>
      <c r="E1754" s="2" t="s">
        <v>2517</v>
      </c>
      <c r="F1754" s="3">
        <v>87666</v>
      </c>
      <c r="G1754" s="3">
        <v>924</v>
      </c>
      <c r="H1754" s="3">
        <v>72</v>
      </c>
      <c r="I1754" s="4">
        <v>264.01</v>
      </c>
      <c r="J1754" s="4">
        <v>13539.19</v>
      </c>
      <c r="K1754" s="3">
        <v>43</v>
      </c>
      <c r="L1754" s="2" t="s">
        <v>2518</v>
      </c>
      <c r="M1754" s="2" t="s">
        <v>2526</v>
      </c>
      <c r="N1754" s="6">
        <f t="shared" si="108"/>
        <v>1</v>
      </c>
      <c r="O1754" t="str">
        <f>IF(Tabla_control[[#This Row],[Control_duplicados]]&gt;1,"Duplicado","Unico")</f>
        <v>Unico</v>
      </c>
      <c r="P1754" t="str">
        <f t="shared" si="109"/>
        <v>OK</v>
      </c>
      <c r="Q1754" t="str">
        <f t="shared" si="110"/>
        <v>OK</v>
      </c>
      <c r="R1754" t="str">
        <f t="shared" si="111"/>
        <v>OK</v>
      </c>
    </row>
    <row r="1755" spans="1:18" x14ac:dyDescent="0.3">
      <c r="A1755" s="1">
        <v>45742</v>
      </c>
      <c r="B1755" s="2" t="s">
        <v>2642</v>
      </c>
      <c r="C1755" s="2" t="s">
        <v>2533</v>
      </c>
      <c r="D1755" s="2" t="s">
        <v>2525</v>
      </c>
      <c r="E1755" s="2" t="s">
        <v>2517</v>
      </c>
      <c r="F1755" s="3">
        <v>127806</v>
      </c>
      <c r="G1755" s="3">
        <v>5253</v>
      </c>
      <c r="H1755" s="3">
        <v>313</v>
      </c>
      <c r="I1755" s="4">
        <v>6909.33</v>
      </c>
      <c r="J1755" s="4">
        <v>14525.96</v>
      </c>
      <c r="K1755" s="3">
        <v>194</v>
      </c>
      <c r="L1755" s="2" t="s">
        <v>2523</v>
      </c>
      <c r="M1755" s="2" t="s">
        <v>2537</v>
      </c>
      <c r="N1755" s="6">
        <f t="shared" si="108"/>
        <v>1</v>
      </c>
      <c r="O1755" t="str">
        <f>IF(Tabla_control[[#This Row],[Control_duplicados]]&gt;1,"Duplicado","Unico")</f>
        <v>Unico</v>
      </c>
      <c r="P1755" t="str">
        <f t="shared" si="109"/>
        <v>OK</v>
      </c>
      <c r="Q1755" t="str">
        <f t="shared" si="110"/>
        <v>OK</v>
      </c>
      <c r="R1755" t="str">
        <f t="shared" si="111"/>
        <v>OK</v>
      </c>
    </row>
    <row r="1756" spans="1:18" x14ac:dyDescent="0.3">
      <c r="A1756" s="1">
        <v>45697</v>
      </c>
      <c r="B1756" s="2" t="s">
        <v>2641</v>
      </c>
      <c r="C1756" s="2" t="s">
        <v>2521</v>
      </c>
      <c r="D1756" s="2" t="s">
        <v>2528</v>
      </c>
      <c r="E1756" s="2" t="s">
        <v>2529</v>
      </c>
      <c r="F1756" s="3">
        <v>74047</v>
      </c>
      <c r="G1756" s="3">
        <v>6354</v>
      </c>
      <c r="H1756" s="3">
        <v>738</v>
      </c>
      <c r="I1756" s="4">
        <v>12247.42</v>
      </c>
      <c r="J1756" s="4">
        <v>160987.62</v>
      </c>
      <c r="K1756" s="3">
        <v>340</v>
      </c>
      <c r="L1756" s="2" t="s">
        <v>2523</v>
      </c>
      <c r="M1756" s="2" t="s">
        <v>2546</v>
      </c>
      <c r="N1756" s="6">
        <f t="shared" si="108"/>
        <v>1</v>
      </c>
      <c r="O1756" t="str">
        <f>IF(Tabla_control[[#This Row],[Control_duplicados]]&gt;1,"Duplicado","Unico")</f>
        <v>Unico</v>
      </c>
      <c r="P1756" t="str">
        <f t="shared" si="109"/>
        <v>OK</v>
      </c>
      <c r="Q1756" t="str">
        <f t="shared" si="110"/>
        <v>OK</v>
      </c>
      <c r="R1756" t="str">
        <f t="shared" si="111"/>
        <v>OK</v>
      </c>
    </row>
    <row r="1757" spans="1:18" x14ac:dyDescent="0.3">
      <c r="A1757" s="1">
        <v>45715</v>
      </c>
      <c r="B1757" s="2" t="s">
        <v>2634</v>
      </c>
      <c r="C1757" s="2" t="s">
        <v>2515</v>
      </c>
      <c r="D1757" s="2" t="s">
        <v>2522</v>
      </c>
      <c r="E1757" s="2" t="s">
        <v>2529</v>
      </c>
      <c r="F1757" s="3">
        <v>137650</v>
      </c>
      <c r="G1757" s="3">
        <v>7641</v>
      </c>
      <c r="H1757" s="3">
        <v>924</v>
      </c>
      <c r="I1757" s="4">
        <v>5783.98</v>
      </c>
      <c r="J1757" s="4">
        <v>139695.4</v>
      </c>
      <c r="K1757" s="3">
        <v>626</v>
      </c>
      <c r="L1757" s="2" t="s">
        <v>2518</v>
      </c>
      <c r="M1757" s="2" t="s">
        <v>2537</v>
      </c>
      <c r="N1757" s="6">
        <f t="shared" si="108"/>
        <v>1</v>
      </c>
      <c r="O1757" t="str">
        <f>IF(Tabla_control[[#This Row],[Control_duplicados]]&gt;1,"Duplicado","Unico")</f>
        <v>Unico</v>
      </c>
      <c r="P1757" t="str">
        <f t="shared" si="109"/>
        <v>OK</v>
      </c>
      <c r="Q1757" t="str">
        <f t="shared" si="110"/>
        <v>OK</v>
      </c>
      <c r="R1757" t="str">
        <f t="shared" si="111"/>
        <v>OK</v>
      </c>
    </row>
    <row r="1758" spans="1:18" x14ac:dyDescent="0.3">
      <c r="A1758" s="1">
        <v>45696</v>
      </c>
      <c r="B1758" s="2" t="s">
        <v>2617</v>
      </c>
      <c r="C1758" s="2" t="s">
        <v>2521</v>
      </c>
      <c r="D1758" s="2" t="s">
        <v>2528</v>
      </c>
      <c r="E1758" s="2" t="s">
        <v>2534</v>
      </c>
      <c r="F1758" s="3">
        <v>27096</v>
      </c>
      <c r="G1758" s="3">
        <v>827</v>
      </c>
      <c r="H1758" s="3">
        <v>60</v>
      </c>
      <c r="I1758" s="4">
        <v>395.45</v>
      </c>
      <c r="J1758" s="4">
        <v>9264.81</v>
      </c>
      <c r="K1758" s="3">
        <v>43</v>
      </c>
      <c r="L1758" s="2" t="s">
        <v>2539</v>
      </c>
      <c r="M1758" s="2" t="s">
        <v>2546</v>
      </c>
      <c r="N1758" s="6">
        <f t="shared" si="108"/>
        <v>1</v>
      </c>
      <c r="O1758" t="str">
        <f>IF(Tabla_control[[#This Row],[Control_duplicados]]&gt;1,"Duplicado","Unico")</f>
        <v>Unico</v>
      </c>
      <c r="P1758" t="str">
        <f t="shared" si="109"/>
        <v>OK</v>
      </c>
      <c r="Q1758" t="str">
        <f t="shared" si="110"/>
        <v>OK</v>
      </c>
      <c r="R1758" t="str">
        <f t="shared" si="111"/>
        <v>OK</v>
      </c>
    </row>
    <row r="1759" spans="1:18" x14ac:dyDescent="0.3">
      <c r="A1759" s="1">
        <v>45680</v>
      </c>
      <c r="B1759" s="2" t="s">
        <v>2636</v>
      </c>
      <c r="C1759" s="2" t="s">
        <v>2541</v>
      </c>
      <c r="D1759" s="2" t="s">
        <v>2528</v>
      </c>
      <c r="E1759" s="2" t="s">
        <v>2529</v>
      </c>
      <c r="F1759" s="3">
        <v>47702</v>
      </c>
      <c r="G1759" s="3">
        <v>1835</v>
      </c>
      <c r="H1759" s="3">
        <v>12</v>
      </c>
      <c r="I1759" s="4">
        <v>363.17</v>
      </c>
      <c r="J1759" s="4">
        <v>1811.29</v>
      </c>
      <c r="K1759" s="3">
        <v>10</v>
      </c>
      <c r="L1759" s="2" t="s">
        <v>2539</v>
      </c>
      <c r="M1759" s="2" t="s">
        <v>2546</v>
      </c>
      <c r="N1759" s="6">
        <f t="shared" si="108"/>
        <v>1</v>
      </c>
      <c r="O1759" t="str">
        <f>IF(Tabla_control[[#This Row],[Control_duplicados]]&gt;1,"Duplicado","Unico")</f>
        <v>Unico</v>
      </c>
      <c r="P1759" t="str">
        <f t="shared" si="109"/>
        <v>OK</v>
      </c>
      <c r="Q1759" t="str">
        <f t="shared" si="110"/>
        <v>OK</v>
      </c>
      <c r="R1759" t="str">
        <f t="shared" si="111"/>
        <v>OK</v>
      </c>
    </row>
    <row r="1760" spans="1:18" x14ac:dyDescent="0.3">
      <c r="A1760" s="1">
        <v>45847</v>
      </c>
      <c r="B1760" s="2" t="s">
        <v>2629</v>
      </c>
      <c r="C1760" s="2" t="s">
        <v>2521</v>
      </c>
      <c r="D1760" s="2" t="s">
        <v>2522</v>
      </c>
      <c r="E1760" s="2" t="s">
        <v>2529</v>
      </c>
      <c r="F1760" s="3">
        <v>147670</v>
      </c>
      <c r="G1760" s="3">
        <v>11953</v>
      </c>
      <c r="H1760" s="3">
        <v>493</v>
      </c>
      <c r="I1760" s="4">
        <v>21518.48</v>
      </c>
      <c r="J1760" s="4">
        <v>7704.74</v>
      </c>
      <c r="K1760" s="3">
        <v>352</v>
      </c>
      <c r="L1760" s="2" t="s">
        <v>2536</v>
      </c>
      <c r="M1760" s="2" t="s">
        <v>2546</v>
      </c>
      <c r="N1760" s="6">
        <f t="shared" si="108"/>
        <v>1</v>
      </c>
      <c r="O1760" t="str">
        <f>IF(Tabla_control[[#This Row],[Control_duplicados]]&gt;1,"Duplicado","Unico")</f>
        <v>Unico</v>
      </c>
      <c r="P1760" t="str">
        <f t="shared" si="109"/>
        <v>OK</v>
      </c>
      <c r="Q1760" t="str">
        <f t="shared" si="110"/>
        <v>OK</v>
      </c>
      <c r="R1760" t="str">
        <f t="shared" si="111"/>
        <v>OK</v>
      </c>
    </row>
    <row r="1761" spans="1:18" x14ac:dyDescent="0.3">
      <c r="A1761" s="1">
        <v>45959</v>
      </c>
      <c r="B1761" s="2" t="s">
        <v>2634</v>
      </c>
      <c r="C1761" s="2" t="s">
        <v>2533</v>
      </c>
      <c r="D1761" s="2" t="s">
        <v>2528</v>
      </c>
      <c r="E1761" s="2" t="s">
        <v>2517</v>
      </c>
      <c r="F1761" s="3">
        <v>147726</v>
      </c>
      <c r="G1761" s="3">
        <v>2516</v>
      </c>
      <c r="H1761" s="3">
        <v>265</v>
      </c>
      <c r="I1761" s="4">
        <v>4783.37</v>
      </c>
      <c r="J1761" s="4">
        <v>36378.480000000003</v>
      </c>
      <c r="K1761" s="3">
        <v>236</v>
      </c>
      <c r="L1761" s="2" t="s">
        <v>2518</v>
      </c>
      <c r="M1761" s="2" t="s">
        <v>2524</v>
      </c>
      <c r="N1761" s="6">
        <f t="shared" si="108"/>
        <v>1</v>
      </c>
      <c r="O1761" t="str">
        <f>IF(Tabla_control[[#This Row],[Control_duplicados]]&gt;1,"Duplicado","Unico")</f>
        <v>Unico</v>
      </c>
      <c r="P1761" t="str">
        <f t="shared" si="109"/>
        <v>OK</v>
      </c>
      <c r="Q1761" t="str">
        <f t="shared" si="110"/>
        <v>OK</v>
      </c>
      <c r="R1761" t="str">
        <f t="shared" si="111"/>
        <v>OK</v>
      </c>
    </row>
    <row r="1762" spans="1:18" x14ac:dyDescent="0.3">
      <c r="A1762" s="1">
        <v>45900</v>
      </c>
      <c r="B1762" s="2" t="s">
        <v>2639</v>
      </c>
      <c r="C1762" s="2" t="s">
        <v>2541</v>
      </c>
      <c r="D1762" s="2" t="s">
        <v>2528</v>
      </c>
      <c r="E1762" s="2" t="s">
        <v>2517</v>
      </c>
      <c r="F1762" s="3">
        <v>78481</v>
      </c>
      <c r="G1762" s="3">
        <v>2599</v>
      </c>
      <c r="H1762" s="3">
        <v>153</v>
      </c>
      <c r="I1762" s="4">
        <v>4713.8599999999997</v>
      </c>
      <c r="J1762" s="4">
        <v>10484.18</v>
      </c>
      <c r="K1762" s="3">
        <v>122</v>
      </c>
      <c r="L1762" s="2" t="s">
        <v>2539</v>
      </c>
      <c r="M1762" s="2" t="s">
        <v>2519</v>
      </c>
      <c r="N1762" s="6">
        <f t="shared" si="108"/>
        <v>1</v>
      </c>
      <c r="O1762" t="str">
        <f>IF(Tabla_control[[#This Row],[Control_duplicados]]&gt;1,"Duplicado","Unico")</f>
        <v>Unico</v>
      </c>
      <c r="P1762" t="str">
        <f t="shared" si="109"/>
        <v>OK</v>
      </c>
      <c r="Q1762" t="str">
        <f t="shared" si="110"/>
        <v>OK</v>
      </c>
      <c r="R1762" t="str">
        <f t="shared" si="111"/>
        <v>OK</v>
      </c>
    </row>
    <row r="1763" spans="1:18" x14ac:dyDescent="0.3">
      <c r="A1763" s="1">
        <v>45687</v>
      </c>
      <c r="B1763" s="2" t="s">
        <v>2622</v>
      </c>
      <c r="C1763" s="2" t="s">
        <v>2521</v>
      </c>
      <c r="D1763" s="2" t="s">
        <v>2525</v>
      </c>
      <c r="E1763" s="2" t="s">
        <v>2529</v>
      </c>
      <c r="F1763" s="3">
        <v>62597</v>
      </c>
      <c r="G1763" s="3">
        <v>5016</v>
      </c>
      <c r="H1763" s="3">
        <v>620</v>
      </c>
      <c r="I1763" s="4">
        <v>7294.12</v>
      </c>
      <c r="J1763" s="4">
        <v>54392.639999999999</v>
      </c>
      <c r="K1763" s="3">
        <v>491</v>
      </c>
      <c r="L1763" s="2" t="s">
        <v>2536</v>
      </c>
      <c r="M1763" s="2" t="s">
        <v>2546</v>
      </c>
      <c r="N1763" s="6">
        <f t="shared" si="108"/>
        <v>1</v>
      </c>
      <c r="O1763" t="str">
        <f>IF(Tabla_control[[#This Row],[Control_duplicados]]&gt;1,"Duplicado","Unico")</f>
        <v>Unico</v>
      </c>
      <c r="P1763" t="str">
        <f t="shared" si="109"/>
        <v>OK</v>
      </c>
      <c r="Q1763" t="str">
        <f t="shared" si="110"/>
        <v>OK</v>
      </c>
      <c r="R1763" t="str">
        <f t="shared" si="111"/>
        <v>OK</v>
      </c>
    </row>
    <row r="1764" spans="1:18" x14ac:dyDescent="0.3">
      <c r="A1764" s="1">
        <v>45886</v>
      </c>
      <c r="B1764" s="2" t="s">
        <v>2633</v>
      </c>
      <c r="C1764" s="2" t="s">
        <v>2527</v>
      </c>
      <c r="D1764" s="2" t="s">
        <v>2525</v>
      </c>
      <c r="E1764" s="2" t="s">
        <v>2517</v>
      </c>
      <c r="F1764" s="3">
        <v>51934</v>
      </c>
      <c r="G1764" s="3">
        <v>3978</v>
      </c>
      <c r="H1764" s="3">
        <v>479</v>
      </c>
      <c r="I1764" s="4">
        <v>6005.07</v>
      </c>
      <c r="J1764" s="4">
        <v>79987.27</v>
      </c>
      <c r="K1764" s="3">
        <v>274</v>
      </c>
      <c r="L1764" s="2" t="s">
        <v>2523</v>
      </c>
      <c r="M1764" s="2" t="s">
        <v>2526</v>
      </c>
      <c r="N1764" s="6">
        <f t="shared" si="108"/>
        <v>1</v>
      </c>
      <c r="O1764" t="str">
        <f>IF(Tabla_control[[#This Row],[Control_duplicados]]&gt;1,"Duplicado","Unico")</f>
        <v>Unico</v>
      </c>
      <c r="P1764" t="str">
        <f t="shared" si="109"/>
        <v>OK</v>
      </c>
      <c r="Q1764" t="str">
        <f t="shared" si="110"/>
        <v>OK</v>
      </c>
      <c r="R1764" t="str">
        <f t="shared" si="111"/>
        <v>OK</v>
      </c>
    </row>
    <row r="1765" spans="1:18" x14ac:dyDescent="0.3">
      <c r="A1765" s="1">
        <v>45834</v>
      </c>
      <c r="B1765" s="2" t="s">
        <v>2626</v>
      </c>
      <c r="C1765" s="2" t="s">
        <v>2515</v>
      </c>
      <c r="D1765" s="2" t="s">
        <v>2528</v>
      </c>
      <c r="E1765" s="2" t="s">
        <v>2529</v>
      </c>
      <c r="F1765" s="3">
        <v>65123</v>
      </c>
      <c r="G1765" s="3">
        <v>4674</v>
      </c>
      <c r="H1765" s="3">
        <v>380</v>
      </c>
      <c r="I1765" s="4">
        <v>6109.13</v>
      </c>
      <c r="J1765" s="4">
        <v>76086.97</v>
      </c>
      <c r="K1765" s="3">
        <v>212</v>
      </c>
      <c r="L1765" s="2" t="s">
        <v>2523</v>
      </c>
      <c r="M1765" s="2" t="s">
        <v>2526</v>
      </c>
      <c r="N1765" s="6">
        <f t="shared" si="108"/>
        <v>1</v>
      </c>
      <c r="O1765" t="str">
        <f>IF(Tabla_control[[#This Row],[Control_duplicados]]&gt;1,"Duplicado","Unico")</f>
        <v>Unico</v>
      </c>
      <c r="P1765" t="str">
        <f t="shared" si="109"/>
        <v>OK</v>
      </c>
      <c r="Q1765" t="str">
        <f t="shared" si="110"/>
        <v>OK</v>
      </c>
      <c r="R1765" t="str">
        <f t="shared" si="111"/>
        <v>OK</v>
      </c>
    </row>
    <row r="1766" spans="1:18" x14ac:dyDescent="0.3">
      <c r="A1766" s="1">
        <v>45785</v>
      </c>
      <c r="B1766" s="2" t="s">
        <v>2634</v>
      </c>
      <c r="C1766" s="2" t="s">
        <v>2515</v>
      </c>
      <c r="D1766" s="2" t="s">
        <v>2528</v>
      </c>
      <c r="E1766" s="2" t="s">
        <v>2517</v>
      </c>
      <c r="F1766" s="3">
        <v>132492</v>
      </c>
      <c r="G1766" s="3">
        <v>7639</v>
      </c>
      <c r="H1766" s="3">
        <v>337</v>
      </c>
      <c r="I1766" s="4">
        <v>2256.1799999999998</v>
      </c>
      <c r="J1766" s="4">
        <v>54184.43</v>
      </c>
      <c r="K1766" s="3">
        <v>182</v>
      </c>
      <c r="L1766" s="2" t="s">
        <v>2539</v>
      </c>
      <c r="M1766" s="2" t="s">
        <v>2519</v>
      </c>
      <c r="N1766" s="6">
        <f t="shared" si="108"/>
        <v>1</v>
      </c>
      <c r="O1766" t="str">
        <f>IF(Tabla_control[[#This Row],[Control_duplicados]]&gt;1,"Duplicado","Unico")</f>
        <v>Unico</v>
      </c>
      <c r="P1766" t="str">
        <f t="shared" si="109"/>
        <v>OK</v>
      </c>
      <c r="Q1766" t="str">
        <f t="shared" si="110"/>
        <v>OK</v>
      </c>
      <c r="R1766" t="str">
        <f t="shared" si="111"/>
        <v>OK</v>
      </c>
    </row>
    <row r="1767" spans="1:18" x14ac:dyDescent="0.3">
      <c r="A1767" s="1">
        <v>45876</v>
      </c>
      <c r="B1767" s="2" t="s">
        <v>2630</v>
      </c>
      <c r="C1767" s="2" t="s">
        <v>2527</v>
      </c>
      <c r="D1767" s="2" t="s">
        <v>2528</v>
      </c>
      <c r="E1767" s="2" t="s">
        <v>2529</v>
      </c>
      <c r="F1767" s="3">
        <v>11461</v>
      </c>
      <c r="G1767" s="3">
        <v>204</v>
      </c>
      <c r="H1767" s="3">
        <v>14</v>
      </c>
      <c r="I1767" s="4">
        <v>251.08</v>
      </c>
      <c r="J1767" s="4">
        <v>2607.5500000000002</v>
      </c>
      <c r="K1767" s="3">
        <v>10</v>
      </c>
      <c r="L1767" s="2" t="s">
        <v>2523</v>
      </c>
      <c r="M1767" s="2" t="s">
        <v>2526</v>
      </c>
      <c r="N1767" s="6">
        <f t="shared" si="108"/>
        <v>1</v>
      </c>
      <c r="O1767" t="str">
        <f>IF(Tabla_control[[#This Row],[Control_duplicados]]&gt;1,"Duplicado","Unico")</f>
        <v>Unico</v>
      </c>
      <c r="P1767" t="str">
        <f t="shared" si="109"/>
        <v>OK</v>
      </c>
      <c r="Q1767" t="str">
        <f t="shared" si="110"/>
        <v>OK</v>
      </c>
      <c r="R1767" t="str">
        <f t="shared" si="111"/>
        <v>OK</v>
      </c>
    </row>
    <row r="1768" spans="1:18" x14ac:dyDescent="0.3">
      <c r="A1768" s="1">
        <v>45813</v>
      </c>
      <c r="B1768" s="2" t="s">
        <v>2619</v>
      </c>
      <c r="C1768" s="2" t="s">
        <v>2527</v>
      </c>
      <c r="D1768" s="2" t="s">
        <v>2528</v>
      </c>
      <c r="E1768" s="2" t="s">
        <v>2517</v>
      </c>
      <c r="F1768" s="3">
        <v>59892</v>
      </c>
      <c r="G1768" s="3">
        <v>5217</v>
      </c>
      <c r="H1768" s="3">
        <v>608</v>
      </c>
      <c r="I1768" s="4">
        <v>10943.23</v>
      </c>
      <c r="J1768" s="4">
        <v>64142.42</v>
      </c>
      <c r="K1768" s="3">
        <v>368</v>
      </c>
      <c r="L1768" s="2" t="s">
        <v>2523</v>
      </c>
      <c r="M1768" s="2" t="s">
        <v>2546</v>
      </c>
      <c r="N1768" s="6">
        <f t="shared" si="108"/>
        <v>1</v>
      </c>
      <c r="O1768" t="str">
        <f>IF(Tabla_control[[#This Row],[Control_duplicados]]&gt;1,"Duplicado","Unico")</f>
        <v>Unico</v>
      </c>
      <c r="P1768" t="str">
        <f t="shared" si="109"/>
        <v>OK</v>
      </c>
      <c r="Q1768" t="str">
        <f t="shared" si="110"/>
        <v>OK</v>
      </c>
      <c r="R1768" t="str">
        <f t="shared" si="111"/>
        <v>OK</v>
      </c>
    </row>
    <row r="1769" spans="1:18" x14ac:dyDescent="0.3">
      <c r="A1769" s="1">
        <v>45773</v>
      </c>
      <c r="B1769" s="2" t="s">
        <v>2624</v>
      </c>
      <c r="C1769" s="2" t="s">
        <v>2645</v>
      </c>
      <c r="D1769" s="2" t="s">
        <v>2531</v>
      </c>
      <c r="E1769" s="2" t="s">
        <v>2517</v>
      </c>
      <c r="F1769" s="3">
        <v>100417</v>
      </c>
      <c r="G1769" s="3">
        <v>5269</v>
      </c>
      <c r="H1769" s="3">
        <v>624</v>
      </c>
      <c r="I1769" s="4">
        <v>9251.64</v>
      </c>
      <c r="J1769" s="4">
        <v>41214.949999999997</v>
      </c>
      <c r="K1769" s="3">
        <v>344</v>
      </c>
      <c r="L1769" s="2" t="s">
        <v>2539</v>
      </c>
      <c r="M1769" s="2" t="s">
        <v>2546</v>
      </c>
      <c r="N1769" s="6">
        <f t="shared" si="108"/>
        <v>1</v>
      </c>
      <c r="O1769" t="str">
        <f>IF(Tabla_control[[#This Row],[Control_duplicados]]&gt;1,"Duplicado","Unico")</f>
        <v>Unico</v>
      </c>
      <c r="P1769" t="str">
        <f t="shared" si="109"/>
        <v>OK</v>
      </c>
      <c r="Q1769" t="str">
        <f t="shared" si="110"/>
        <v>OK</v>
      </c>
      <c r="R1769" t="str">
        <f t="shared" si="111"/>
        <v>OK</v>
      </c>
    </row>
    <row r="1770" spans="1:18" x14ac:dyDescent="0.3">
      <c r="A1770" s="1">
        <v>45731</v>
      </c>
      <c r="B1770" s="2" t="s">
        <v>2615</v>
      </c>
      <c r="C1770" s="2" t="s">
        <v>2541</v>
      </c>
      <c r="D1770" s="2" t="s">
        <v>2528</v>
      </c>
      <c r="E1770" s="2" t="s">
        <v>2517</v>
      </c>
      <c r="F1770" s="3">
        <v>102092</v>
      </c>
      <c r="G1770" s="3">
        <v>5843</v>
      </c>
      <c r="H1770" s="3">
        <v>656</v>
      </c>
      <c r="I1770" s="4">
        <v>3221.96</v>
      </c>
      <c r="J1770" s="4">
        <v>67843.3</v>
      </c>
      <c r="K1770" s="3">
        <v>360</v>
      </c>
      <c r="L1770" s="2" t="s">
        <v>2536</v>
      </c>
      <c r="M1770" s="2" t="s">
        <v>2537</v>
      </c>
      <c r="N1770" s="6">
        <f t="shared" si="108"/>
        <v>1</v>
      </c>
      <c r="O1770" t="str">
        <f>IF(Tabla_control[[#This Row],[Control_duplicados]]&gt;1,"Duplicado","Unico")</f>
        <v>Unico</v>
      </c>
      <c r="P1770" t="str">
        <f t="shared" si="109"/>
        <v>OK</v>
      </c>
      <c r="Q1770" t="str">
        <f t="shared" si="110"/>
        <v>OK</v>
      </c>
      <c r="R1770" t="str">
        <f t="shared" si="111"/>
        <v>OK</v>
      </c>
    </row>
    <row r="1771" spans="1:18" x14ac:dyDescent="0.3">
      <c r="A1771" s="1">
        <v>45936</v>
      </c>
      <c r="B1771" s="2" t="s">
        <v>2622</v>
      </c>
      <c r="C1771" s="2" t="s">
        <v>2527</v>
      </c>
      <c r="D1771" s="2" t="s">
        <v>2528</v>
      </c>
      <c r="E1771" s="2" t="s">
        <v>2529</v>
      </c>
      <c r="F1771" s="3">
        <v>49388</v>
      </c>
      <c r="G1771" s="3">
        <v>652</v>
      </c>
      <c r="H1771" s="3">
        <v>19</v>
      </c>
      <c r="I1771" s="4">
        <v>1364.07</v>
      </c>
      <c r="J1771" s="4">
        <v>3981.32</v>
      </c>
      <c r="K1771" s="3">
        <v>15</v>
      </c>
      <c r="L1771" s="2" t="s">
        <v>2539</v>
      </c>
      <c r="M1771" s="2" t="s">
        <v>2546</v>
      </c>
      <c r="N1771" s="6">
        <f t="shared" si="108"/>
        <v>1</v>
      </c>
      <c r="O1771" t="str">
        <f>IF(Tabla_control[[#This Row],[Control_duplicados]]&gt;1,"Duplicado","Unico")</f>
        <v>Unico</v>
      </c>
      <c r="P1771" t="str">
        <f t="shared" si="109"/>
        <v>OK</v>
      </c>
      <c r="Q1771" t="str">
        <f t="shared" si="110"/>
        <v>OK</v>
      </c>
      <c r="R1771" t="str">
        <f t="shared" si="111"/>
        <v>OK</v>
      </c>
    </row>
    <row r="1772" spans="1:18" x14ac:dyDescent="0.3">
      <c r="A1772" s="1">
        <v>45682</v>
      </c>
      <c r="B1772" s="2" t="s">
        <v>2638</v>
      </c>
      <c r="C1772" s="2" t="s">
        <v>2541</v>
      </c>
      <c r="D1772" s="2" t="s">
        <v>2528</v>
      </c>
      <c r="E1772" s="2" t="s">
        <v>2529</v>
      </c>
      <c r="F1772" s="3">
        <v>178964</v>
      </c>
      <c r="G1772" s="3">
        <v>4222</v>
      </c>
      <c r="H1772" s="3">
        <v>579</v>
      </c>
      <c r="I1772" s="4">
        <v>5335.65</v>
      </c>
      <c r="J1772" s="4">
        <v>116716.25</v>
      </c>
      <c r="K1772" s="3">
        <v>301</v>
      </c>
      <c r="L1772" s="2" t="s">
        <v>2518</v>
      </c>
      <c r="M1772" s="2" t="s">
        <v>2537</v>
      </c>
      <c r="N1772" s="6">
        <f t="shared" si="108"/>
        <v>1</v>
      </c>
      <c r="O1772" t="str">
        <f>IF(Tabla_control[[#This Row],[Control_duplicados]]&gt;1,"Duplicado","Unico")</f>
        <v>Unico</v>
      </c>
      <c r="P1772" t="str">
        <f t="shared" si="109"/>
        <v>OK</v>
      </c>
      <c r="Q1772" t="str">
        <f t="shared" si="110"/>
        <v>OK</v>
      </c>
      <c r="R1772" t="str">
        <f t="shared" si="111"/>
        <v>OK</v>
      </c>
    </row>
    <row r="1773" spans="1:18" x14ac:dyDescent="0.3">
      <c r="A1773" s="1">
        <v>46022</v>
      </c>
      <c r="B1773" s="2" t="s">
        <v>2631</v>
      </c>
      <c r="C1773" s="2" t="s">
        <v>2521</v>
      </c>
      <c r="D1773" s="2" t="s">
        <v>2525</v>
      </c>
      <c r="E1773" s="2" t="s">
        <v>2529</v>
      </c>
      <c r="F1773" s="3">
        <v>75126</v>
      </c>
      <c r="G1773" s="3">
        <v>1891</v>
      </c>
      <c r="H1773" s="3">
        <v>30</v>
      </c>
      <c r="I1773" s="4">
        <v>1829.86</v>
      </c>
      <c r="J1773" s="4">
        <v>5022.1099999999997</v>
      </c>
      <c r="K1773" s="3">
        <v>17</v>
      </c>
      <c r="L1773" s="2" t="s">
        <v>2518</v>
      </c>
      <c r="M1773" s="2" t="s">
        <v>2519</v>
      </c>
      <c r="N1773" s="6">
        <f t="shared" si="108"/>
        <v>1</v>
      </c>
      <c r="O1773" t="str">
        <f>IF(Tabla_control[[#This Row],[Control_duplicados]]&gt;1,"Duplicado","Unico")</f>
        <v>Unico</v>
      </c>
      <c r="P1773" t="str">
        <f t="shared" si="109"/>
        <v>OK</v>
      </c>
      <c r="Q1773" t="str">
        <f t="shared" si="110"/>
        <v>OK</v>
      </c>
      <c r="R1773" t="str">
        <f t="shared" si="111"/>
        <v>OK</v>
      </c>
    </row>
    <row r="1774" spans="1:18" x14ac:dyDescent="0.3">
      <c r="A1774" s="1">
        <v>45981</v>
      </c>
      <c r="B1774" s="2" t="s">
        <v>2634</v>
      </c>
      <c r="C1774" s="2" t="s">
        <v>2533</v>
      </c>
      <c r="D1774" s="2" t="s">
        <v>2525</v>
      </c>
      <c r="E1774" s="2" t="s">
        <v>2529</v>
      </c>
      <c r="F1774" s="3">
        <v>141857</v>
      </c>
      <c r="G1774" s="3">
        <v>5244</v>
      </c>
      <c r="H1774" s="3">
        <v>191</v>
      </c>
      <c r="I1774" s="4">
        <v>4697.51</v>
      </c>
      <c r="J1774" s="4">
        <v>38988.93</v>
      </c>
      <c r="K1774" s="3">
        <v>158</v>
      </c>
      <c r="L1774" s="2" t="s">
        <v>2518</v>
      </c>
      <c r="M1774" s="2" t="s">
        <v>2546</v>
      </c>
      <c r="N1774" s="6">
        <f t="shared" si="108"/>
        <v>1</v>
      </c>
      <c r="O1774" t="str">
        <f>IF(Tabla_control[[#This Row],[Control_duplicados]]&gt;1,"Duplicado","Unico")</f>
        <v>Unico</v>
      </c>
      <c r="P1774" t="str">
        <f t="shared" si="109"/>
        <v>OK</v>
      </c>
      <c r="Q1774" t="str">
        <f t="shared" si="110"/>
        <v>OK</v>
      </c>
      <c r="R1774" t="str">
        <f t="shared" si="111"/>
        <v>OK</v>
      </c>
    </row>
    <row r="1775" spans="1:18" x14ac:dyDescent="0.3">
      <c r="A1775" s="1">
        <v>45733</v>
      </c>
      <c r="B1775" s="2" t="s">
        <v>2618</v>
      </c>
      <c r="C1775" s="2" t="s">
        <v>2541</v>
      </c>
      <c r="D1775" s="2" t="s">
        <v>2525</v>
      </c>
      <c r="E1775" s="2" t="s">
        <v>2529</v>
      </c>
      <c r="F1775" s="3">
        <v>177929</v>
      </c>
      <c r="G1775" s="3">
        <v>13233</v>
      </c>
      <c r="H1775" s="3">
        <v>989</v>
      </c>
      <c r="I1775" s="4">
        <v>9525.44</v>
      </c>
      <c r="J1775" s="4">
        <v>92152.4</v>
      </c>
      <c r="K1775" s="3">
        <v>449</v>
      </c>
      <c r="L1775" s="2" t="s">
        <v>2523</v>
      </c>
      <c r="M1775" s="2" t="s">
        <v>2537</v>
      </c>
      <c r="N1775" s="6">
        <f t="shared" si="108"/>
        <v>1</v>
      </c>
      <c r="O1775" t="str">
        <f>IF(Tabla_control[[#This Row],[Control_duplicados]]&gt;1,"Duplicado","Unico")</f>
        <v>Unico</v>
      </c>
      <c r="P1775" t="str">
        <f t="shared" si="109"/>
        <v>OK</v>
      </c>
      <c r="Q1775" t="str">
        <f t="shared" si="110"/>
        <v>OK</v>
      </c>
      <c r="R1775" t="str">
        <f t="shared" si="111"/>
        <v>OK</v>
      </c>
    </row>
    <row r="1776" spans="1:18" x14ac:dyDescent="0.3">
      <c r="A1776" s="1">
        <v>45845</v>
      </c>
      <c r="B1776" s="2" t="s">
        <v>2640</v>
      </c>
      <c r="C1776" s="2" t="s">
        <v>2543</v>
      </c>
      <c r="D1776" s="2" t="s">
        <v>2522</v>
      </c>
      <c r="E1776" s="2" t="s">
        <v>2517</v>
      </c>
      <c r="F1776" s="3">
        <v>86565</v>
      </c>
      <c r="G1776" s="3">
        <v>1242</v>
      </c>
      <c r="H1776" s="3">
        <v>162</v>
      </c>
      <c r="I1776" s="4">
        <v>1753.32</v>
      </c>
      <c r="J1776" s="4">
        <v>22439.1</v>
      </c>
      <c r="K1776" s="3">
        <v>130</v>
      </c>
      <c r="L1776" s="2" t="s">
        <v>2518</v>
      </c>
      <c r="M1776" s="2" t="s">
        <v>2546</v>
      </c>
      <c r="N1776" s="6">
        <f t="shared" si="108"/>
        <v>1</v>
      </c>
      <c r="O1776" t="str">
        <f>IF(Tabla_control[[#This Row],[Control_duplicados]]&gt;1,"Duplicado","Unico")</f>
        <v>Unico</v>
      </c>
      <c r="P1776" t="str">
        <f t="shared" si="109"/>
        <v>OK</v>
      </c>
      <c r="Q1776" t="str">
        <f t="shared" si="110"/>
        <v>OK</v>
      </c>
      <c r="R1776" t="str">
        <f t="shared" si="111"/>
        <v>OK</v>
      </c>
    </row>
    <row r="1777" spans="1:18" x14ac:dyDescent="0.3">
      <c r="A1777" s="1">
        <v>45864</v>
      </c>
      <c r="B1777" s="2" t="s">
        <v>2642</v>
      </c>
      <c r="C1777" s="2" t="s">
        <v>2543</v>
      </c>
      <c r="D1777" s="2" t="s">
        <v>2528</v>
      </c>
      <c r="E1777" s="2" t="s">
        <v>2517</v>
      </c>
      <c r="F1777" s="3">
        <v>7855</v>
      </c>
      <c r="G1777" s="3">
        <v>649</v>
      </c>
      <c r="H1777" s="3">
        <v>33</v>
      </c>
      <c r="I1777" s="4">
        <v>633.92999999999995</v>
      </c>
      <c r="J1777" s="4">
        <v>4191.26</v>
      </c>
      <c r="K1777" s="3">
        <v>21</v>
      </c>
      <c r="L1777" s="2" t="s">
        <v>2523</v>
      </c>
      <c r="M1777" s="2" t="s">
        <v>2537</v>
      </c>
      <c r="N1777" s="6">
        <f t="shared" si="108"/>
        <v>1</v>
      </c>
      <c r="O1777" t="str">
        <f>IF(Tabla_control[[#This Row],[Control_duplicados]]&gt;1,"Duplicado","Unico")</f>
        <v>Unico</v>
      </c>
      <c r="P1777" t="str">
        <f t="shared" si="109"/>
        <v>OK</v>
      </c>
      <c r="Q1777" t="str">
        <f t="shared" si="110"/>
        <v>OK</v>
      </c>
      <c r="R1777" t="str">
        <f t="shared" si="111"/>
        <v>OK</v>
      </c>
    </row>
    <row r="1778" spans="1:18" x14ac:dyDescent="0.3">
      <c r="A1778" s="1">
        <v>45810</v>
      </c>
      <c r="B1778" s="2" t="s">
        <v>2620</v>
      </c>
      <c r="C1778" s="2" t="s">
        <v>2541</v>
      </c>
      <c r="D1778" s="2" t="s">
        <v>2531</v>
      </c>
      <c r="E1778" s="2" t="s">
        <v>2529</v>
      </c>
      <c r="F1778" s="3">
        <v>179102</v>
      </c>
      <c r="G1778" s="3">
        <v>12322</v>
      </c>
      <c r="H1778" s="3">
        <v>1326</v>
      </c>
      <c r="I1778" s="4">
        <v>24258.639999999999</v>
      </c>
      <c r="J1778" s="4">
        <v>191459.43</v>
      </c>
      <c r="K1778" s="3">
        <v>598</v>
      </c>
      <c r="L1778" s="2" t="s">
        <v>2518</v>
      </c>
      <c r="M1778" s="2" t="s">
        <v>2537</v>
      </c>
      <c r="N1778" s="6">
        <f t="shared" si="108"/>
        <v>1</v>
      </c>
      <c r="O1778" t="str">
        <f>IF(Tabla_control[[#This Row],[Control_duplicados]]&gt;1,"Duplicado","Unico")</f>
        <v>Unico</v>
      </c>
      <c r="P1778" t="str">
        <f t="shared" si="109"/>
        <v>OK</v>
      </c>
      <c r="Q1778" t="str">
        <f t="shared" si="110"/>
        <v>OK</v>
      </c>
      <c r="R1778" t="str">
        <f t="shared" si="111"/>
        <v>OK</v>
      </c>
    </row>
    <row r="1779" spans="1:18" x14ac:dyDescent="0.3">
      <c r="A1779" s="1">
        <v>45887</v>
      </c>
      <c r="B1779" s="2" t="s">
        <v>2634</v>
      </c>
      <c r="C1779" s="2" t="s">
        <v>2541</v>
      </c>
      <c r="D1779" s="2" t="s">
        <v>2528</v>
      </c>
      <c r="E1779" s="2" t="s">
        <v>2517</v>
      </c>
      <c r="F1779" s="3">
        <v>136783</v>
      </c>
      <c r="G1779" s="3">
        <v>5272</v>
      </c>
      <c r="H1779" s="3">
        <v>245</v>
      </c>
      <c r="I1779" s="4">
        <v>7627.22</v>
      </c>
      <c r="J1779" s="4">
        <v>14292.61</v>
      </c>
      <c r="K1779" s="3">
        <v>209</v>
      </c>
      <c r="L1779" s="2" t="s">
        <v>2536</v>
      </c>
      <c r="M1779" s="2" t="s">
        <v>2526</v>
      </c>
      <c r="N1779" s="6">
        <f t="shared" si="108"/>
        <v>1</v>
      </c>
      <c r="O1779" t="str">
        <f>IF(Tabla_control[[#This Row],[Control_duplicados]]&gt;1,"Duplicado","Unico")</f>
        <v>Unico</v>
      </c>
      <c r="P1779" t="str">
        <f t="shared" si="109"/>
        <v>OK</v>
      </c>
      <c r="Q1779" t="str">
        <f t="shared" si="110"/>
        <v>OK</v>
      </c>
      <c r="R1779" t="str">
        <f t="shared" si="111"/>
        <v>OK</v>
      </c>
    </row>
    <row r="1780" spans="1:18" x14ac:dyDescent="0.3">
      <c r="A1780" s="1">
        <v>45855</v>
      </c>
      <c r="B1780" s="2" t="s">
        <v>2631</v>
      </c>
      <c r="C1780" s="2" t="s">
        <v>2527</v>
      </c>
      <c r="D1780" s="2" t="s">
        <v>2528</v>
      </c>
      <c r="E1780" s="2" t="s">
        <v>2517</v>
      </c>
      <c r="F1780" s="3">
        <v>173373</v>
      </c>
      <c r="G1780" s="3">
        <v>9272</v>
      </c>
      <c r="H1780" s="3">
        <v>777</v>
      </c>
      <c r="I1780" s="4">
        <v>4290.95</v>
      </c>
      <c r="J1780" s="4">
        <v>143550.54</v>
      </c>
      <c r="K1780" s="3">
        <v>440</v>
      </c>
      <c r="L1780" s="2" t="s">
        <v>2539</v>
      </c>
      <c r="M1780" s="2" t="s">
        <v>2546</v>
      </c>
      <c r="N1780" s="6">
        <f t="shared" si="108"/>
        <v>2</v>
      </c>
      <c r="O1780" t="str">
        <f>IF(Tabla_control[[#This Row],[Control_duplicados]]&gt;1,"Duplicado","Unico")</f>
        <v>Duplicado</v>
      </c>
      <c r="P1780" t="str">
        <f t="shared" si="109"/>
        <v>OK</v>
      </c>
      <c r="Q1780" t="str">
        <f t="shared" si="110"/>
        <v>OK</v>
      </c>
      <c r="R1780" t="str">
        <f t="shared" si="111"/>
        <v>OK</v>
      </c>
    </row>
    <row r="1781" spans="1:18" x14ac:dyDescent="0.3">
      <c r="A1781" s="1">
        <v>45800</v>
      </c>
      <c r="B1781" s="2" t="s">
        <v>2620</v>
      </c>
      <c r="C1781" s="2" t="s">
        <v>2527</v>
      </c>
      <c r="D1781" s="2" t="s">
        <v>2528</v>
      </c>
      <c r="E1781" s="2" t="s">
        <v>2529</v>
      </c>
      <c r="F1781" s="3">
        <v>32172</v>
      </c>
      <c r="G1781" s="3">
        <v>636</v>
      </c>
      <c r="H1781" s="3">
        <v>71</v>
      </c>
      <c r="I1781" s="4">
        <v>1101.44</v>
      </c>
      <c r="J1781" s="4">
        <v>13528.45</v>
      </c>
      <c r="K1781" s="3">
        <v>49</v>
      </c>
      <c r="L1781" s="2" t="s">
        <v>2536</v>
      </c>
      <c r="M1781" s="2" t="s">
        <v>2524</v>
      </c>
      <c r="N1781" s="6">
        <f t="shared" si="108"/>
        <v>1</v>
      </c>
      <c r="O1781" t="str">
        <f>IF(Tabla_control[[#This Row],[Control_duplicados]]&gt;1,"Duplicado","Unico")</f>
        <v>Unico</v>
      </c>
      <c r="P1781" t="str">
        <f t="shared" si="109"/>
        <v>OK</v>
      </c>
      <c r="Q1781" t="str">
        <f t="shared" si="110"/>
        <v>OK</v>
      </c>
      <c r="R1781" t="str">
        <f t="shared" si="111"/>
        <v>OK</v>
      </c>
    </row>
    <row r="1782" spans="1:18" x14ac:dyDescent="0.3">
      <c r="A1782" s="1">
        <v>45964</v>
      </c>
      <c r="B1782" s="2" t="s">
        <v>2622</v>
      </c>
      <c r="C1782" s="2" t="s">
        <v>2541</v>
      </c>
      <c r="D1782" s="2" t="s">
        <v>2525</v>
      </c>
      <c r="E1782" s="2" t="s">
        <v>2517</v>
      </c>
      <c r="F1782" s="3">
        <v>81445</v>
      </c>
      <c r="G1782" s="3">
        <v>6354</v>
      </c>
      <c r="H1782" s="3">
        <v>856</v>
      </c>
      <c r="I1782" s="4">
        <v>4659.68</v>
      </c>
      <c r="J1782" s="4">
        <v>160667.25</v>
      </c>
      <c r="K1782" s="3">
        <v>392</v>
      </c>
      <c r="L1782" s="2" t="s">
        <v>2539</v>
      </c>
      <c r="M1782" s="2" t="s">
        <v>2537</v>
      </c>
      <c r="N1782" s="6">
        <f t="shared" si="108"/>
        <v>1</v>
      </c>
      <c r="O1782" t="str">
        <f>IF(Tabla_control[[#This Row],[Control_duplicados]]&gt;1,"Duplicado","Unico")</f>
        <v>Unico</v>
      </c>
      <c r="P1782" t="str">
        <f t="shared" si="109"/>
        <v>OK</v>
      </c>
      <c r="Q1782" t="str">
        <f t="shared" si="110"/>
        <v>OK</v>
      </c>
      <c r="R1782" t="str">
        <f t="shared" si="111"/>
        <v>OK</v>
      </c>
    </row>
    <row r="1783" spans="1:18" x14ac:dyDescent="0.3">
      <c r="A1783" s="1">
        <v>45841</v>
      </c>
      <c r="B1783" s="2" t="s">
        <v>2636</v>
      </c>
      <c r="C1783" s="2" t="s">
        <v>2533</v>
      </c>
      <c r="D1783" s="2" t="s">
        <v>2531</v>
      </c>
      <c r="E1783" s="2" t="s">
        <v>2517</v>
      </c>
      <c r="F1783" s="3">
        <v>159005</v>
      </c>
      <c r="G1783" s="3">
        <v>10666</v>
      </c>
      <c r="H1783" s="3">
        <v>807</v>
      </c>
      <c r="I1783" s="4">
        <v>16460.810000000001</v>
      </c>
      <c r="J1783" s="4">
        <v>67452.5</v>
      </c>
      <c r="K1783" s="3">
        <v>638</v>
      </c>
      <c r="L1783" s="2" t="s">
        <v>2536</v>
      </c>
      <c r="M1783" s="2" t="s">
        <v>2526</v>
      </c>
      <c r="N1783" s="6">
        <f t="shared" si="108"/>
        <v>1</v>
      </c>
      <c r="O1783" t="str">
        <f>IF(Tabla_control[[#This Row],[Control_duplicados]]&gt;1,"Duplicado","Unico")</f>
        <v>Unico</v>
      </c>
      <c r="P1783" t="str">
        <f t="shared" si="109"/>
        <v>OK</v>
      </c>
      <c r="Q1783" t="str">
        <f t="shared" si="110"/>
        <v>OK</v>
      </c>
      <c r="R1783" t="str">
        <f t="shared" si="111"/>
        <v>OK</v>
      </c>
    </row>
    <row r="1784" spans="1:18" x14ac:dyDescent="0.3">
      <c r="A1784" s="1">
        <v>46003</v>
      </c>
      <c r="B1784" s="2" t="s">
        <v>2625</v>
      </c>
      <c r="C1784" s="2" t="s">
        <v>2521</v>
      </c>
      <c r="D1784" s="2" t="s">
        <v>2522</v>
      </c>
      <c r="E1784" s="2" t="s">
        <v>2517</v>
      </c>
      <c r="F1784" s="3">
        <v>172622</v>
      </c>
      <c r="G1784" s="3">
        <v>12451</v>
      </c>
      <c r="H1784" s="3">
        <v>1400</v>
      </c>
      <c r="I1784" s="4">
        <v>9068.3799999999992</v>
      </c>
      <c r="J1784" s="4">
        <v>112979.69</v>
      </c>
      <c r="K1784" s="3">
        <v>1109</v>
      </c>
      <c r="L1784" s="2" t="s">
        <v>2536</v>
      </c>
      <c r="M1784" s="2" t="s">
        <v>2546</v>
      </c>
      <c r="N1784" s="6">
        <f t="shared" si="108"/>
        <v>1</v>
      </c>
      <c r="O1784" t="str">
        <f>IF(Tabla_control[[#This Row],[Control_duplicados]]&gt;1,"Duplicado","Unico")</f>
        <v>Unico</v>
      </c>
      <c r="P1784" t="str">
        <f t="shared" si="109"/>
        <v>OK</v>
      </c>
      <c r="Q1784" t="str">
        <f t="shared" si="110"/>
        <v>OK</v>
      </c>
      <c r="R1784" t="str">
        <f t="shared" si="111"/>
        <v>OK</v>
      </c>
    </row>
    <row r="1785" spans="1:18" x14ac:dyDescent="0.3">
      <c r="A1785" s="1">
        <v>45853</v>
      </c>
      <c r="B1785" s="2" t="s">
        <v>2639</v>
      </c>
      <c r="C1785" s="2" t="s">
        <v>2521</v>
      </c>
      <c r="D1785" s="2" t="s">
        <v>2528</v>
      </c>
      <c r="E1785" s="2" t="s">
        <v>2517</v>
      </c>
      <c r="F1785" s="3">
        <v>97138</v>
      </c>
      <c r="G1785" s="3">
        <v>7880</v>
      </c>
      <c r="H1785" s="3">
        <v>354</v>
      </c>
      <c r="I1785" s="4">
        <v>6258.9</v>
      </c>
      <c r="J1785" s="4">
        <v>74907.87</v>
      </c>
      <c r="K1785" s="3">
        <v>270</v>
      </c>
      <c r="L1785" s="2" t="s">
        <v>2518</v>
      </c>
      <c r="M1785" s="2" t="s">
        <v>2546</v>
      </c>
      <c r="N1785" s="6">
        <f t="shared" si="108"/>
        <v>1</v>
      </c>
      <c r="O1785" t="str">
        <f>IF(Tabla_control[[#This Row],[Control_duplicados]]&gt;1,"Duplicado","Unico")</f>
        <v>Unico</v>
      </c>
      <c r="P1785" t="str">
        <f t="shared" si="109"/>
        <v>OK</v>
      </c>
      <c r="Q1785" t="str">
        <f t="shared" si="110"/>
        <v>OK</v>
      </c>
      <c r="R1785" t="str">
        <f t="shared" si="111"/>
        <v>OK</v>
      </c>
    </row>
    <row r="1786" spans="1:18" x14ac:dyDescent="0.3">
      <c r="A1786" s="1">
        <v>45903</v>
      </c>
      <c r="B1786" s="2" t="s">
        <v>2639</v>
      </c>
      <c r="C1786" s="2" t="s">
        <v>2527</v>
      </c>
      <c r="D1786" s="2" t="s">
        <v>2528</v>
      </c>
      <c r="E1786" s="2" t="s">
        <v>2517</v>
      </c>
      <c r="F1786" s="3">
        <v>54196</v>
      </c>
      <c r="G1786" s="3">
        <v>3954</v>
      </c>
      <c r="H1786" s="3">
        <v>434</v>
      </c>
      <c r="I1786" s="4">
        <v>6382.16</v>
      </c>
      <c r="J1786" s="4">
        <v>53810.61</v>
      </c>
      <c r="K1786" s="3">
        <v>331</v>
      </c>
      <c r="L1786" s="2" t="s">
        <v>2523</v>
      </c>
      <c r="M1786" s="2" t="s">
        <v>2537</v>
      </c>
      <c r="N1786" s="6">
        <f t="shared" si="108"/>
        <v>1</v>
      </c>
      <c r="O1786" t="str">
        <f>IF(Tabla_control[[#This Row],[Control_duplicados]]&gt;1,"Duplicado","Unico")</f>
        <v>Unico</v>
      </c>
      <c r="P1786" t="str">
        <f t="shared" si="109"/>
        <v>OK</v>
      </c>
      <c r="Q1786" t="str">
        <f t="shared" si="110"/>
        <v>OK</v>
      </c>
      <c r="R1786" t="str">
        <f t="shared" si="111"/>
        <v>OK</v>
      </c>
    </row>
    <row r="1787" spans="1:18" x14ac:dyDescent="0.3">
      <c r="A1787" s="1">
        <v>45996</v>
      </c>
      <c r="B1787" s="2" t="s">
        <v>2641</v>
      </c>
      <c r="C1787" s="2" t="s">
        <v>2515</v>
      </c>
      <c r="D1787" s="2" t="s">
        <v>2531</v>
      </c>
      <c r="E1787" s="2" t="s">
        <v>2529</v>
      </c>
      <c r="F1787" s="3">
        <v>97664</v>
      </c>
      <c r="G1787" s="3">
        <v>5523</v>
      </c>
      <c r="H1787" s="3">
        <v>85</v>
      </c>
      <c r="I1787" s="4">
        <v>8944.33</v>
      </c>
      <c r="J1787" s="4">
        <v>9054.4500000000007</v>
      </c>
      <c r="K1787" s="3">
        <v>75</v>
      </c>
      <c r="L1787" s="2" t="s">
        <v>2536</v>
      </c>
      <c r="M1787" s="2" t="s">
        <v>2645</v>
      </c>
      <c r="N1787" s="6">
        <f t="shared" si="108"/>
        <v>1</v>
      </c>
      <c r="O1787" t="str">
        <f>IF(Tabla_control[[#This Row],[Control_duplicados]]&gt;1,"Duplicado","Unico")</f>
        <v>Unico</v>
      </c>
      <c r="P1787" t="str">
        <f t="shared" si="109"/>
        <v>OK</v>
      </c>
      <c r="Q1787" t="str">
        <f t="shared" si="110"/>
        <v>OK</v>
      </c>
      <c r="R1787" t="str">
        <f t="shared" si="111"/>
        <v>OK</v>
      </c>
    </row>
    <row r="1788" spans="1:18" x14ac:dyDescent="0.3">
      <c r="A1788" s="1">
        <v>46019</v>
      </c>
      <c r="B1788" s="2" t="s">
        <v>2633</v>
      </c>
      <c r="C1788" s="2" t="s">
        <v>2527</v>
      </c>
      <c r="D1788" s="2" t="s">
        <v>2525</v>
      </c>
      <c r="E1788" s="2" t="s">
        <v>2529</v>
      </c>
      <c r="F1788" s="3">
        <v>42471</v>
      </c>
      <c r="G1788" s="3">
        <v>1116</v>
      </c>
      <c r="H1788" s="3">
        <v>26</v>
      </c>
      <c r="I1788" s="4">
        <v>2010.77</v>
      </c>
      <c r="J1788" s="4">
        <v>525.9</v>
      </c>
      <c r="K1788" s="3">
        <v>14</v>
      </c>
      <c r="L1788" s="2" t="s">
        <v>2536</v>
      </c>
      <c r="M1788" s="2" t="s">
        <v>2524</v>
      </c>
      <c r="N1788" s="6">
        <f t="shared" si="108"/>
        <v>1</v>
      </c>
      <c r="O1788" t="str">
        <f>IF(Tabla_control[[#This Row],[Control_duplicados]]&gt;1,"Duplicado","Unico")</f>
        <v>Unico</v>
      </c>
      <c r="P1788" t="str">
        <f t="shared" si="109"/>
        <v>OK</v>
      </c>
      <c r="Q1788" t="str">
        <f t="shared" si="110"/>
        <v>OK</v>
      </c>
      <c r="R1788" t="str">
        <f t="shared" si="111"/>
        <v>OK</v>
      </c>
    </row>
    <row r="1789" spans="1:18" x14ac:dyDescent="0.3">
      <c r="A1789" s="1">
        <v>45797</v>
      </c>
      <c r="B1789" s="2" t="s">
        <v>2628</v>
      </c>
      <c r="C1789" s="2" t="s">
        <v>2515</v>
      </c>
      <c r="D1789" s="2" t="s">
        <v>2528</v>
      </c>
      <c r="E1789" s="2" t="s">
        <v>2517</v>
      </c>
      <c r="F1789" s="3">
        <v>90932</v>
      </c>
      <c r="G1789" s="3">
        <v>1302</v>
      </c>
      <c r="H1789" s="3">
        <v>172</v>
      </c>
      <c r="I1789" s="4">
        <v>635.32000000000005</v>
      </c>
      <c r="J1789" s="4">
        <v>17159.52</v>
      </c>
      <c r="K1789" s="3">
        <v>107</v>
      </c>
      <c r="L1789" s="2" t="s">
        <v>2518</v>
      </c>
      <c r="M1789" s="2" t="s">
        <v>2519</v>
      </c>
      <c r="N1789" s="6">
        <f t="shared" si="108"/>
        <v>1</v>
      </c>
      <c r="O1789" t="str">
        <f>IF(Tabla_control[[#This Row],[Control_duplicados]]&gt;1,"Duplicado","Unico")</f>
        <v>Unico</v>
      </c>
      <c r="P1789" t="str">
        <f t="shared" si="109"/>
        <v>OK</v>
      </c>
      <c r="Q1789" t="str">
        <f t="shared" si="110"/>
        <v>OK</v>
      </c>
      <c r="R1789" t="str">
        <f t="shared" si="111"/>
        <v>OK</v>
      </c>
    </row>
    <row r="1790" spans="1:18" x14ac:dyDescent="0.3">
      <c r="A1790" s="1">
        <v>45970</v>
      </c>
      <c r="B1790" s="2" t="s">
        <v>2625</v>
      </c>
      <c r="C1790" s="2" t="s">
        <v>2533</v>
      </c>
      <c r="D1790" s="2" t="s">
        <v>2528</v>
      </c>
      <c r="E1790" s="2" t="s">
        <v>2529</v>
      </c>
      <c r="F1790" s="3">
        <v>64603</v>
      </c>
      <c r="G1790" s="3">
        <v>3827</v>
      </c>
      <c r="H1790" s="3">
        <v>156</v>
      </c>
      <c r="I1790" s="4">
        <v>3961.49</v>
      </c>
      <c r="J1790" s="4">
        <v>17807.47</v>
      </c>
      <c r="K1790" s="3">
        <v>70</v>
      </c>
      <c r="L1790" s="2" t="s">
        <v>2539</v>
      </c>
      <c r="M1790" s="2" t="s">
        <v>2537</v>
      </c>
      <c r="N1790" s="6">
        <f t="shared" si="108"/>
        <v>1</v>
      </c>
      <c r="O1790" t="str">
        <f>IF(Tabla_control[[#This Row],[Control_duplicados]]&gt;1,"Duplicado","Unico")</f>
        <v>Unico</v>
      </c>
      <c r="P1790" t="str">
        <f t="shared" si="109"/>
        <v>OK</v>
      </c>
      <c r="Q1790" t="str">
        <f t="shared" si="110"/>
        <v>OK</v>
      </c>
      <c r="R1790" t="str">
        <f t="shared" si="111"/>
        <v>OK</v>
      </c>
    </row>
    <row r="1791" spans="1:18" x14ac:dyDescent="0.3">
      <c r="A1791" s="1">
        <v>45879</v>
      </c>
      <c r="B1791" s="2" t="s">
        <v>2644</v>
      </c>
      <c r="C1791" s="2" t="s">
        <v>2521</v>
      </c>
      <c r="D1791" s="2" t="s">
        <v>2531</v>
      </c>
      <c r="E1791" s="2" t="s">
        <v>2529</v>
      </c>
      <c r="F1791" s="3">
        <v>95785</v>
      </c>
      <c r="G1791" s="3">
        <v>7858</v>
      </c>
      <c r="H1791" s="3">
        <v>877</v>
      </c>
      <c r="I1791" s="4">
        <v>7858.81</v>
      </c>
      <c r="J1791" s="4">
        <v>69761.100000000006</v>
      </c>
      <c r="K1791" s="3">
        <v>550</v>
      </c>
      <c r="L1791" s="2" t="s">
        <v>2523</v>
      </c>
      <c r="M1791" s="2" t="s">
        <v>2519</v>
      </c>
      <c r="N1791" s="6">
        <f t="shared" si="108"/>
        <v>1</v>
      </c>
      <c r="O1791" t="str">
        <f>IF(Tabla_control[[#This Row],[Control_duplicados]]&gt;1,"Duplicado","Unico")</f>
        <v>Unico</v>
      </c>
      <c r="P1791" t="str">
        <f t="shared" si="109"/>
        <v>OK</v>
      </c>
      <c r="Q1791" t="str">
        <f t="shared" si="110"/>
        <v>OK</v>
      </c>
      <c r="R1791" t="str">
        <f t="shared" si="111"/>
        <v>OK</v>
      </c>
    </row>
    <row r="1792" spans="1:18" x14ac:dyDescent="0.3">
      <c r="A1792" s="1">
        <v>45932</v>
      </c>
      <c r="B1792" s="2" t="s">
        <v>2632</v>
      </c>
      <c r="C1792" s="2" t="s">
        <v>2543</v>
      </c>
      <c r="D1792" s="2" t="s">
        <v>2522</v>
      </c>
      <c r="E1792" s="2" t="s">
        <v>2517</v>
      </c>
      <c r="F1792" s="3">
        <v>10851</v>
      </c>
      <c r="G1792" s="3">
        <v>423</v>
      </c>
      <c r="H1792" s="3">
        <v>8</v>
      </c>
      <c r="I1792" s="4">
        <v>397.49</v>
      </c>
      <c r="J1792" s="4">
        <v>418.72</v>
      </c>
      <c r="K1792" s="3">
        <v>6</v>
      </c>
      <c r="L1792" s="2" t="s">
        <v>2536</v>
      </c>
      <c r="M1792" s="2" t="s">
        <v>2526</v>
      </c>
      <c r="N1792" s="6">
        <f t="shared" si="108"/>
        <v>1</v>
      </c>
      <c r="O1792" t="str">
        <f>IF(Tabla_control[[#This Row],[Control_duplicados]]&gt;1,"Duplicado","Unico")</f>
        <v>Unico</v>
      </c>
      <c r="P1792" t="str">
        <f t="shared" si="109"/>
        <v>OK</v>
      </c>
      <c r="Q1792" t="str">
        <f t="shared" si="110"/>
        <v>OK</v>
      </c>
      <c r="R1792" t="str">
        <f t="shared" si="111"/>
        <v>OK</v>
      </c>
    </row>
    <row r="1793" spans="1:18" x14ac:dyDescent="0.3">
      <c r="A1793" s="1">
        <v>45664</v>
      </c>
      <c r="B1793" s="2" t="s">
        <v>2635</v>
      </c>
      <c r="C1793" s="2" t="s">
        <v>2541</v>
      </c>
      <c r="D1793" s="2" t="s">
        <v>2528</v>
      </c>
      <c r="E1793" s="2" t="s">
        <v>2517</v>
      </c>
      <c r="F1793" s="3">
        <v>11652</v>
      </c>
      <c r="G1793" s="3">
        <v>806</v>
      </c>
      <c r="H1793" s="3">
        <v>44</v>
      </c>
      <c r="I1793" s="4">
        <v>515.67999999999995</v>
      </c>
      <c r="J1793" s="4">
        <v>5721.09</v>
      </c>
      <c r="K1793" s="3">
        <v>35</v>
      </c>
      <c r="L1793" s="2" t="s">
        <v>2523</v>
      </c>
      <c r="M1793" s="2" t="s">
        <v>2546</v>
      </c>
      <c r="N1793" s="6">
        <f t="shared" si="108"/>
        <v>1</v>
      </c>
      <c r="O1793" t="str">
        <f>IF(Tabla_control[[#This Row],[Control_duplicados]]&gt;1,"Duplicado","Unico")</f>
        <v>Unico</v>
      </c>
      <c r="P1793" t="str">
        <f t="shared" si="109"/>
        <v>OK</v>
      </c>
      <c r="Q1793" t="str">
        <f t="shared" si="110"/>
        <v>OK</v>
      </c>
      <c r="R1793" t="str">
        <f t="shared" si="111"/>
        <v>OK</v>
      </c>
    </row>
    <row r="1794" spans="1:18" x14ac:dyDescent="0.3">
      <c r="A1794" s="1">
        <v>45756</v>
      </c>
      <c r="B1794" s="2" t="s">
        <v>2634</v>
      </c>
      <c r="C1794" s="2" t="s">
        <v>2527</v>
      </c>
      <c r="D1794" s="2" t="s">
        <v>2528</v>
      </c>
      <c r="E1794" s="2" t="s">
        <v>2529</v>
      </c>
      <c r="F1794" s="3">
        <v>72154</v>
      </c>
      <c r="G1794" s="3">
        <v>73029</v>
      </c>
      <c r="H1794" s="3">
        <v>545</v>
      </c>
      <c r="I1794" s="4">
        <v>9586.16</v>
      </c>
      <c r="J1794" s="4">
        <v>38129.86</v>
      </c>
      <c r="K1794" s="3">
        <v>304</v>
      </c>
      <c r="L1794" s="2" t="s">
        <v>2523</v>
      </c>
      <c r="M1794" s="2" t="s">
        <v>2519</v>
      </c>
      <c r="N1794" s="6">
        <f t="shared" ref="N1794:N1857" si="112">COUNTIFS($A$2:$A$2536,A1794,$B$2:$B$2536,B1794,$C$2:$C$2536,C1794,$D$2:$D$2536,D1794,$E$2:$E$2536,E1794,$F$2:$F$2536,F1794,$G$2:$G$2536,G1794,$H$2:$H$2536,H1794,$I$2:$I$2536,I1794,$J$2:$J$2536,J1794,$K$2:$K$2536,K1794,$L$2:$L$2536,L1794,$M$2:$M$2536,M1794)</f>
        <v>1</v>
      </c>
      <c r="O1794" t="str">
        <f>IF(Tabla_control[[#This Row],[Control_duplicados]]&gt;1,"Duplicado","Unico")</f>
        <v>Unico</v>
      </c>
      <c r="P1794" t="str">
        <f t="shared" ref="P1794:P1857" si="113">IF(OR(I1794="",I1794&lt;0),"ERROR","OK")</f>
        <v>OK</v>
      </c>
      <c r="Q1794" t="str">
        <f t="shared" ref="Q1794:Q1857" si="114">IF(H1794&gt;F1794,"ERROR","OK")</f>
        <v>OK</v>
      </c>
      <c r="R1794" t="str">
        <f t="shared" ref="R1794:R1857" si="115">IF(K1794&gt;H1794,"ERROR","OK")</f>
        <v>OK</v>
      </c>
    </row>
    <row r="1795" spans="1:18" x14ac:dyDescent="0.3">
      <c r="A1795" s="1">
        <v>45672</v>
      </c>
      <c r="B1795" s="2" t="s">
        <v>2639</v>
      </c>
      <c r="C1795" s="2" t="s">
        <v>2541</v>
      </c>
      <c r="D1795" s="2" t="s">
        <v>2528</v>
      </c>
      <c r="E1795" s="2" t="s">
        <v>2529</v>
      </c>
      <c r="F1795" s="3">
        <v>66037</v>
      </c>
      <c r="G1795" s="3">
        <v>2416</v>
      </c>
      <c r="H1795" s="3">
        <v>55</v>
      </c>
      <c r="I1795" s="4">
        <v>593.58000000000004</v>
      </c>
      <c r="J1795" s="4">
        <v>1279.83</v>
      </c>
      <c r="K1795" s="3">
        <v>36</v>
      </c>
      <c r="L1795" s="2" t="s">
        <v>2536</v>
      </c>
      <c r="M1795" s="2" t="s">
        <v>2526</v>
      </c>
      <c r="N1795" s="6">
        <f t="shared" si="112"/>
        <v>1</v>
      </c>
      <c r="O1795" t="str">
        <f>IF(Tabla_control[[#This Row],[Control_duplicados]]&gt;1,"Duplicado","Unico")</f>
        <v>Unico</v>
      </c>
      <c r="P1795" t="str">
        <f t="shared" si="113"/>
        <v>OK</v>
      </c>
      <c r="Q1795" t="str">
        <f t="shared" si="114"/>
        <v>OK</v>
      </c>
      <c r="R1795" t="str">
        <f t="shared" si="115"/>
        <v>OK</v>
      </c>
    </row>
    <row r="1796" spans="1:18" x14ac:dyDescent="0.3">
      <c r="A1796" s="1">
        <v>45808</v>
      </c>
      <c r="B1796" s="2" t="s">
        <v>2638</v>
      </c>
      <c r="C1796" s="2" t="s">
        <v>2527</v>
      </c>
      <c r="D1796" s="2" t="s">
        <v>2531</v>
      </c>
      <c r="E1796" s="2" t="s">
        <v>2529</v>
      </c>
      <c r="F1796" s="3">
        <v>70344</v>
      </c>
      <c r="G1796" s="3">
        <v>4111</v>
      </c>
      <c r="H1796" s="3">
        <v>338</v>
      </c>
      <c r="I1796" s="4">
        <v>3361.51</v>
      </c>
      <c r="J1796" s="4">
        <v>56576.27</v>
      </c>
      <c r="K1796" s="3">
        <v>162</v>
      </c>
      <c r="L1796" s="2" t="s">
        <v>2523</v>
      </c>
      <c r="M1796" s="2" t="s">
        <v>2537</v>
      </c>
      <c r="N1796" s="6">
        <f t="shared" si="112"/>
        <v>1</v>
      </c>
      <c r="O1796" t="str">
        <f>IF(Tabla_control[[#This Row],[Control_duplicados]]&gt;1,"Duplicado","Unico")</f>
        <v>Unico</v>
      </c>
      <c r="P1796" t="str">
        <f t="shared" si="113"/>
        <v>OK</v>
      </c>
      <c r="Q1796" t="str">
        <f t="shared" si="114"/>
        <v>OK</v>
      </c>
      <c r="R1796" t="str">
        <f t="shared" si="115"/>
        <v>OK</v>
      </c>
    </row>
    <row r="1797" spans="1:18" x14ac:dyDescent="0.3">
      <c r="A1797" s="1">
        <v>45989</v>
      </c>
      <c r="B1797" s="2" t="s">
        <v>2639</v>
      </c>
      <c r="C1797" s="2" t="s">
        <v>2515</v>
      </c>
      <c r="D1797" s="2" t="s">
        <v>2528</v>
      </c>
      <c r="E1797" s="2" t="s">
        <v>2517</v>
      </c>
      <c r="F1797" s="3">
        <v>84877</v>
      </c>
      <c r="G1797" s="3">
        <v>4421</v>
      </c>
      <c r="H1797" s="3">
        <v>74</v>
      </c>
      <c r="I1797" s="4">
        <v>8776.5499999999993</v>
      </c>
      <c r="J1797" s="4">
        <v>15209.49</v>
      </c>
      <c r="K1797" s="3">
        <v>43</v>
      </c>
      <c r="L1797" s="2" t="s">
        <v>2539</v>
      </c>
      <c r="M1797" s="2" t="s">
        <v>2537</v>
      </c>
      <c r="N1797" s="6">
        <f t="shared" si="112"/>
        <v>1</v>
      </c>
      <c r="O1797" t="str">
        <f>IF(Tabla_control[[#This Row],[Control_duplicados]]&gt;1,"Duplicado","Unico")</f>
        <v>Unico</v>
      </c>
      <c r="P1797" t="str">
        <f t="shared" si="113"/>
        <v>OK</v>
      </c>
      <c r="Q1797" t="str">
        <f t="shared" si="114"/>
        <v>OK</v>
      </c>
      <c r="R1797" t="str">
        <f t="shared" si="115"/>
        <v>OK</v>
      </c>
    </row>
    <row r="1798" spans="1:18" x14ac:dyDescent="0.3">
      <c r="A1798" s="1">
        <v>45865</v>
      </c>
      <c r="B1798" s="2" t="s">
        <v>2616</v>
      </c>
      <c r="C1798" s="2" t="s">
        <v>2543</v>
      </c>
      <c r="D1798" s="2" t="s">
        <v>2531</v>
      </c>
      <c r="E1798" s="2" t="s">
        <v>2517</v>
      </c>
      <c r="F1798" s="3">
        <v>13545</v>
      </c>
      <c r="G1798" s="3">
        <v>253</v>
      </c>
      <c r="H1798" s="3">
        <v>29</v>
      </c>
      <c r="I1798" s="4">
        <v>424.78</v>
      </c>
      <c r="J1798" s="4">
        <v>3750.25</v>
      </c>
      <c r="K1798" s="3">
        <v>16</v>
      </c>
      <c r="L1798" s="2" t="s">
        <v>2518</v>
      </c>
      <c r="M1798" s="2" t="s">
        <v>2526</v>
      </c>
      <c r="N1798" s="6">
        <f t="shared" si="112"/>
        <v>1</v>
      </c>
      <c r="O1798" t="str">
        <f>IF(Tabla_control[[#This Row],[Control_duplicados]]&gt;1,"Duplicado","Unico")</f>
        <v>Unico</v>
      </c>
      <c r="P1798" t="str">
        <f t="shared" si="113"/>
        <v>OK</v>
      </c>
      <c r="Q1798" t="str">
        <f t="shared" si="114"/>
        <v>OK</v>
      </c>
      <c r="R1798" t="str">
        <f t="shared" si="115"/>
        <v>OK</v>
      </c>
    </row>
    <row r="1799" spans="1:18" x14ac:dyDescent="0.3">
      <c r="A1799" s="1">
        <v>46019</v>
      </c>
      <c r="B1799" s="2" t="s">
        <v>2626</v>
      </c>
      <c r="C1799" s="2" t="s">
        <v>2521</v>
      </c>
      <c r="D1799" s="2" t="s">
        <v>2528</v>
      </c>
      <c r="E1799" s="2" t="s">
        <v>2529</v>
      </c>
      <c r="F1799" s="3">
        <v>150469</v>
      </c>
      <c r="G1799" s="3">
        <v>2089</v>
      </c>
      <c r="H1799" s="3">
        <v>215</v>
      </c>
      <c r="I1799" s="4">
        <v>4146.28</v>
      </c>
      <c r="J1799" s="4">
        <v>7867.52</v>
      </c>
      <c r="K1799" s="3">
        <v>164</v>
      </c>
      <c r="L1799" s="2" t="s">
        <v>2536</v>
      </c>
      <c r="M1799" s="2" t="s">
        <v>2524</v>
      </c>
      <c r="N1799" s="6">
        <f t="shared" si="112"/>
        <v>1</v>
      </c>
      <c r="O1799" t="str">
        <f>IF(Tabla_control[[#This Row],[Control_duplicados]]&gt;1,"Duplicado","Unico")</f>
        <v>Unico</v>
      </c>
      <c r="P1799" t="str">
        <f t="shared" si="113"/>
        <v>OK</v>
      </c>
      <c r="Q1799" t="str">
        <f t="shared" si="114"/>
        <v>OK</v>
      </c>
      <c r="R1799" t="str">
        <f t="shared" si="115"/>
        <v>OK</v>
      </c>
    </row>
    <row r="1800" spans="1:18" x14ac:dyDescent="0.3">
      <c r="A1800" s="1">
        <v>45944</v>
      </c>
      <c r="B1800" s="2" t="s">
        <v>2627</v>
      </c>
      <c r="C1800" s="2" t="s">
        <v>2521</v>
      </c>
      <c r="D1800" s="2" t="s">
        <v>2525</v>
      </c>
      <c r="E1800" s="2" t="s">
        <v>2529</v>
      </c>
      <c r="F1800" s="3">
        <v>7356</v>
      </c>
      <c r="G1800" s="3">
        <v>162</v>
      </c>
      <c r="H1800" s="3">
        <v>8</v>
      </c>
      <c r="I1800" s="4">
        <v>60.24</v>
      </c>
      <c r="J1800" s="4">
        <v>760.64</v>
      </c>
      <c r="K1800" s="3">
        <v>6</v>
      </c>
      <c r="L1800" s="2" t="s">
        <v>2536</v>
      </c>
      <c r="M1800" s="2" t="s">
        <v>2526</v>
      </c>
      <c r="N1800" s="6">
        <f t="shared" si="112"/>
        <v>1</v>
      </c>
      <c r="O1800" t="str">
        <f>IF(Tabla_control[[#This Row],[Control_duplicados]]&gt;1,"Duplicado","Unico")</f>
        <v>Unico</v>
      </c>
      <c r="P1800" t="str">
        <f t="shared" si="113"/>
        <v>OK</v>
      </c>
      <c r="Q1800" t="str">
        <f t="shared" si="114"/>
        <v>OK</v>
      </c>
      <c r="R1800" t="str">
        <f t="shared" si="115"/>
        <v>OK</v>
      </c>
    </row>
    <row r="1801" spans="1:18" x14ac:dyDescent="0.3">
      <c r="A1801" s="1">
        <v>45882</v>
      </c>
      <c r="B1801" s="2" t="s">
        <v>2634</v>
      </c>
      <c r="C1801" s="2" t="s">
        <v>2515</v>
      </c>
      <c r="D1801" s="2" t="s">
        <v>2525</v>
      </c>
      <c r="E1801" s="2" t="s">
        <v>2529</v>
      </c>
      <c r="F1801" s="3">
        <v>144729</v>
      </c>
      <c r="G1801" s="3">
        <v>7786</v>
      </c>
      <c r="H1801" s="3">
        <v>730</v>
      </c>
      <c r="I1801" s="4">
        <v>2415.6799999999998</v>
      </c>
      <c r="J1801" s="4">
        <v>61879.08</v>
      </c>
      <c r="K1801" s="3">
        <v>623</v>
      </c>
      <c r="L1801" s="2" t="s">
        <v>2518</v>
      </c>
      <c r="M1801" s="2" t="s">
        <v>2537</v>
      </c>
      <c r="N1801" s="6">
        <f t="shared" si="112"/>
        <v>1</v>
      </c>
      <c r="O1801" t="str">
        <f>IF(Tabla_control[[#This Row],[Control_duplicados]]&gt;1,"Duplicado","Unico")</f>
        <v>Unico</v>
      </c>
      <c r="P1801" t="str">
        <f t="shared" si="113"/>
        <v>OK</v>
      </c>
      <c r="Q1801" t="str">
        <f t="shared" si="114"/>
        <v>OK</v>
      </c>
      <c r="R1801" t="str">
        <f t="shared" si="115"/>
        <v>OK</v>
      </c>
    </row>
    <row r="1802" spans="1:18" x14ac:dyDescent="0.3">
      <c r="A1802" s="1">
        <v>45792</v>
      </c>
      <c r="B1802" s="2" t="s">
        <v>2625</v>
      </c>
      <c r="C1802" s="2" t="s">
        <v>2515</v>
      </c>
      <c r="D1802" s="2" t="s">
        <v>2528</v>
      </c>
      <c r="E1802" s="2" t="s">
        <v>2529</v>
      </c>
      <c r="F1802" s="3">
        <v>46391</v>
      </c>
      <c r="G1802" s="3">
        <v>4052</v>
      </c>
      <c r="H1802" s="3">
        <v>566</v>
      </c>
      <c r="I1802" s="4">
        <v>7701.91</v>
      </c>
      <c r="J1802" s="4">
        <v>56826.89</v>
      </c>
      <c r="K1802" s="3">
        <v>407</v>
      </c>
      <c r="L1802" s="2" t="s">
        <v>2523</v>
      </c>
      <c r="M1802" s="2" t="s">
        <v>2524</v>
      </c>
      <c r="N1802" s="6">
        <f t="shared" si="112"/>
        <v>1</v>
      </c>
      <c r="O1802" t="str">
        <f>IF(Tabla_control[[#This Row],[Control_duplicados]]&gt;1,"Duplicado","Unico")</f>
        <v>Unico</v>
      </c>
      <c r="P1802" t="str">
        <f t="shared" si="113"/>
        <v>OK</v>
      </c>
      <c r="Q1802" t="str">
        <f t="shared" si="114"/>
        <v>OK</v>
      </c>
      <c r="R1802" t="str">
        <f t="shared" si="115"/>
        <v>OK</v>
      </c>
    </row>
    <row r="1803" spans="1:18" x14ac:dyDescent="0.3">
      <c r="A1803" s="1">
        <v>45793</v>
      </c>
      <c r="B1803" s="2" t="s">
        <v>2635</v>
      </c>
      <c r="C1803" s="2" t="s">
        <v>2533</v>
      </c>
      <c r="D1803" s="2" t="s">
        <v>2528</v>
      </c>
      <c r="E1803" s="2" t="s">
        <v>2529</v>
      </c>
      <c r="F1803" s="3">
        <v>147529</v>
      </c>
      <c r="G1803" s="3">
        <v>6475</v>
      </c>
      <c r="H1803" s="3">
        <v>572</v>
      </c>
      <c r="I1803" s="4">
        <v>3302.13</v>
      </c>
      <c r="J1803" s="4">
        <v>29813.23</v>
      </c>
      <c r="K1803" s="3">
        <v>420</v>
      </c>
      <c r="L1803" s="2" t="s">
        <v>2539</v>
      </c>
      <c r="M1803" s="2" t="s">
        <v>2524</v>
      </c>
      <c r="N1803" s="6">
        <f t="shared" si="112"/>
        <v>1</v>
      </c>
      <c r="O1803" t="str">
        <f>IF(Tabla_control[[#This Row],[Control_duplicados]]&gt;1,"Duplicado","Unico")</f>
        <v>Unico</v>
      </c>
      <c r="P1803" t="str">
        <f t="shared" si="113"/>
        <v>OK</v>
      </c>
      <c r="Q1803" t="str">
        <f t="shared" si="114"/>
        <v>OK</v>
      </c>
      <c r="R1803" t="str">
        <f t="shared" si="115"/>
        <v>OK</v>
      </c>
    </row>
    <row r="1804" spans="1:18" x14ac:dyDescent="0.3">
      <c r="A1804" s="1">
        <v>45766</v>
      </c>
      <c r="B1804" s="2" t="s">
        <v>2637</v>
      </c>
      <c r="C1804" s="2" t="s">
        <v>2527</v>
      </c>
      <c r="D1804" s="2" t="s">
        <v>2525</v>
      </c>
      <c r="E1804" s="2" t="s">
        <v>2517</v>
      </c>
      <c r="F1804" s="3">
        <v>11759</v>
      </c>
      <c r="G1804" s="3">
        <v>678</v>
      </c>
      <c r="H1804" s="3">
        <v>43</v>
      </c>
      <c r="I1804" s="4">
        <v>218.78</v>
      </c>
      <c r="J1804" s="4">
        <v>6826.64</v>
      </c>
      <c r="K1804" s="3">
        <v>30</v>
      </c>
      <c r="L1804" s="2" t="s">
        <v>2523</v>
      </c>
      <c r="M1804" s="2" t="s">
        <v>2524</v>
      </c>
      <c r="N1804" s="6">
        <f t="shared" si="112"/>
        <v>1</v>
      </c>
      <c r="O1804" t="str">
        <f>IF(Tabla_control[[#This Row],[Control_duplicados]]&gt;1,"Duplicado","Unico")</f>
        <v>Unico</v>
      </c>
      <c r="P1804" t="str">
        <f t="shared" si="113"/>
        <v>OK</v>
      </c>
      <c r="Q1804" t="str">
        <f t="shared" si="114"/>
        <v>OK</v>
      </c>
      <c r="R1804" t="str">
        <f t="shared" si="115"/>
        <v>OK</v>
      </c>
    </row>
    <row r="1805" spans="1:18" x14ac:dyDescent="0.3">
      <c r="A1805" s="1">
        <v>45844</v>
      </c>
      <c r="B1805" s="2" t="s">
        <v>2623</v>
      </c>
      <c r="C1805" s="2" t="s">
        <v>2515</v>
      </c>
      <c r="D1805" s="2" t="s">
        <v>2528</v>
      </c>
      <c r="E1805" s="2" t="s">
        <v>2529</v>
      </c>
      <c r="F1805" s="3">
        <v>10749</v>
      </c>
      <c r="G1805" s="3">
        <v>747</v>
      </c>
      <c r="H1805" s="3">
        <v>43</v>
      </c>
      <c r="I1805" s="4">
        <v>1070.3499999999999</v>
      </c>
      <c r="J1805" s="4">
        <v>2908.08</v>
      </c>
      <c r="K1805" s="3">
        <v>26</v>
      </c>
      <c r="L1805" s="2" t="s">
        <v>2539</v>
      </c>
      <c r="M1805" s="2" t="s">
        <v>2526</v>
      </c>
      <c r="N1805" s="6">
        <f t="shared" si="112"/>
        <v>1</v>
      </c>
      <c r="O1805" t="str">
        <f>IF(Tabla_control[[#This Row],[Control_duplicados]]&gt;1,"Duplicado","Unico")</f>
        <v>Unico</v>
      </c>
      <c r="P1805" t="str">
        <f t="shared" si="113"/>
        <v>OK</v>
      </c>
      <c r="Q1805" t="str">
        <f t="shared" si="114"/>
        <v>OK</v>
      </c>
      <c r="R1805" t="str">
        <f t="shared" si="115"/>
        <v>OK</v>
      </c>
    </row>
    <row r="1806" spans="1:18" x14ac:dyDescent="0.3">
      <c r="A1806" s="1">
        <v>45721</v>
      </c>
      <c r="B1806" s="2" t="s">
        <v>2631</v>
      </c>
      <c r="C1806" s="2" t="s">
        <v>2527</v>
      </c>
      <c r="D1806" s="2" t="s">
        <v>2516</v>
      </c>
      <c r="E1806" s="2" t="s">
        <v>2529</v>
      </c>
      <c r="F1806" s="3">
        <v>74153</v>
      </c>
      <c r="G1806" s="3">
        <v>1066</v>
      </c>
      <c r="H1806" s="3">
        <v>125</v>
      </c>
      <c r="I1806" s="4">
        <v>263.64999999999998</v>
      </c>
      <c r="J1806" s="4">
        <v>8715.89</v>
      </c>
      <c r="K1806" s="3">
        <v>111</v>
      </c>
      <c r="L1806" s="2" t="s">
        <v>2523</v>
      </c>
      <c r="M1806" s="2" t="s">
        <v>2546</v>
      </c>
      <c r="N1806" s="6">
        <f t="shared" si="112"/>
        <v>1</v>
      </c>
      <c r="O1806" t="str">
        <f>IF(Tabla_control[[#This Row],[Control_duplicados]]&gt;1,"Duplicado","Unico")</f>
        <v>Unico</v>
      </c>
      <c r="P1806" t="str">
        <f t="shared" si="113"/>
        <v>OK</v>
      </c>
      <c r="Q1806" t="str">
        <f t="shared" si="114"/>
        <v>OK</v>
      </c>
      <c r="R1806" t="str">
        <f t="shared" si="115"/>
        <v>OK</v>
      </c>
    </row>
    <row r="1807" spans="1:18" x14ac:dyDescent="0.3">
      <c r="A1807" s="1">
        <v>45695</v>
      </c>
      <c r="B1807" s="2" t="s">
        <v>2633</v>
      </c>
      <c r="C1807" s="2" t="s">
        <v>2515</v>
      </c>
      <c r="D1807" s="2" t="s">
        <v>2528</v>
      </c>
      <c r="E1807" s="2" t="s">
        <v>2529</v>
      </c>
      <c r="F1807" s="3">
        <v>45452</v>
      </c>
      <c r="G1807" s="3">
        <v>3858</v>
      </c>
      <c r="H1807" s="3">
        <v>66</v>
      </c>
      <c r="I1807" s="4">
        <v>5607.9</v>
      </c>
      <c r="J1807" s="4">
        <v>13285.37</v>
      </c>
      <c r="K1807" s="3">
        <v>58</v>
      </c>
      <c r="L1807" s="2" t="s">
        <v>2518</v>
      </c>
      <c r="M1807" s="2" t="s">
        <v>2519</v>
      </c>
      <c r="N1807" s="6">
        <f t="shared" si="112"/>
        <v>1</v>
      </c>
      <c r="O1807" t="str">
        <f>IF(Tabla_control[[#This Row],[Control_duplicados]]&gt;1,"Duplicado","Unico")</f>
        <v>Unico</v>
      </c>
      <c r="P1807" t="str">
        <f t="shared" si="113"/>
        <v>OK</v>
      </c>
      <c r="Q1807" t="str">
        <f t="shared" si="114"/>
        <v>OK</v>
      </c>
      <c r="R1807" t="str">
        <f t="shared" si="115"/>
        <v>OK</v>
      </c>
    </row>
    <row r="1808" spans="1:18" x14ac:dyDescent="0.3">
      <c r="A1808" s="1">
        <v>45685</v>
      </c>
      <c r="B1808" s="2" t="s">
        <v>2627</v>
      </c>
      <c r="C1808" s="2" t="s">
        <v>2515</v>
      </c>
      <c r="D1808" s="2" t="s">
        <v>2525</v>
      </c>
      <c r="E1808" s="2" t="s">
        <v>2534</v>
      </c>
      <c r="F1808" s="3">
        <v>79615</v>
      </c>
      <c r="G1808" s="3">
        <v>5249</v>
      </c>
      <c r="H1808" s="3">
        <v>215</v>
      </c>
      <c r="I1808" s="4">
        <v>2127.0100000000002</v>
      </c>
      <c r="J1808" s="4">
        <v>15654.98</v>
      </c>
      <c r="K1808" s="3">
        <v>146</v>
      </c>
      <c r="L1808" s="2" t="s">
        <v>2539</v>
      </c>
      <c r="M1808" s="2" t="s">
        <v>2546</v>
      </c>
      <c r="N1808" s="6">
        <f t="shared" si="112"/>
        <v>1</v>
      </c>
      <c r="O1808" t="str">
        <f>IF(Tabla_control[[#This Row],[Control_duplicados]]&gt;1,"Duplicado","Unico")</f>
        <v>Unico</v>
      </c>
      <c r="P1808" t="str">
        <f t="shared" si="113"/>
        <v>OK</v>
      </c>
      <c r="Q1808" t="str">
        <f t="shared" si="114"/>
        <v>OK</v>
      </c>
      <c r="R1808" t="str">
        <f t="shared" si="115"/>
        <v>OK</v>
      </c>
    </row>
    <row r="1809" spans="1:18" x14ac:dyDescent="0.3">
      <c r="A1809" s="1">
        <v>45734</v>
      </c>
      <c r="B1809" s="2" t="s">
        <v>2641</v>
      </c>
      <c r="C1809" s="2" t="s">
        <v>2515</v>
      </c>
      <c r="D1809" s="2" t="s">
        <v>2528</v>
      </c>
      <c r="E1809" s="2" t="s">
        <v>2517</v>
      </c>
      <c r="F1809" s="3">
        <v>21547</v>
      </c>
      <c r="G1809" s="3">
        <v>363</v>
      </c>
      <c r="H1809" s="3">
        <v>18</v>
      </c>
      <c r="J1809" s="4">
        <v>1251.1400000000001</v>
      </c>
      <c r="K1809" s="3">
        <v>10</v>
      </c>
      <c r="L1809" s="2" t="s">
        <v>2536</v>
      </c>
      <c r="M1809" s="2" t="s">
        <v>2526</v>
      </c>
      <c r="N1809" s="6">
        <f t="shared" si="112"/>
        <v>0</v>
      </c>
      <c r="O1809" t="str">
        <f>IF(Tabla_control[[#This Row],[Control_duplicados]]&gt;1,"Duplicado","Unico")</f>
        <v>Unico</v>
      </c>
      <c r="P1809" t="str">
        <f t="shared" si="113"/>
        <v>ERROR</v>
      </c>
      <c r="Q1809" t="str">
        <f t="shared" si="114"/>
        <v>OK</v>
      </c>
      <c r="R1809" t="str">
        <f t="shared" si="115"/>
        <v>OK</v>
      </c>
    </row>
    <row r="1810" spans="1:18" x14ac:dyDescent="0.3">
      <c r="A1810" s="1">
        <v>45839</v>
      </c>
      <c r="B1810" s="2" t="s">
        <v>2636</v>
      </c>
      <c r="C1810" s="2" t="s">
        <v>2521</v>
      </c>
      <c r="D1810" s="2" t="s">
        <v>2528</v>
      </c>
      <c r="E1810" s="2" t="s">
        <v>2529</v>
      </c>
      <c r="F1810" s="3">
        <v>17910</v>
      </c>
      <c r="G1810" s="3">
        <v>250</v>
      </c>
      <c r="H1810" s="3">
        <v>2</v>
      </c>
      <c r="I1810" s="4">
        <v>202.26</v>
      </c>
      <c r="J1810" s="4">
        <v>237.55</v>
      </c>
      <c r="K1810" s="3">
        <v>1</v>
      </c>
      <c r="L1810" s="2" t="s">
        <v>2539</v>
      </c>
      <c r="M1810" s="2" t="s">
        <v>2537</v>
      </c>
      <c r="N1810" s="6">
        <f t="shared" si="112"/>
        <v>1</v>
      </c>
      <c r="O1810" t="str">
        <f>IF(Tabla_control[[#This Row],[Control_duplicados]]&gt;1,"Duplicado","Unico")</f>
        <v>Unico</v>
      </c>
      <c r="P1810" t="str">
        <f t="shared" si="113"/>
        <v>OK</v>
      </c>
      <c r="Q1810" t="str">
        <f t="shared" si="114"/>
        <v>OK</v>
      </c>
      <c r="R1810" t="str">
        <f t="shared" si="115"/>
        <v>OK</v>
      </c>
    </row>
    <row r="1811" spans="1:18" x14ac:dyDescent="0.3">
      <c r="A1811" s="1">
        <v>45710</v>
      </c>
      <c r="B1811" s="2" t="s">
        <v>2634</v>
      </c>
      <c r="C1811" s="2" t="s">
        <v>2527</v>
      </c>
      <c r="D1811" s="2" t="s">
        <v>2531</v>
      </c>
      <c r="E1811" s="2" t="s">
        <v>2529</v>
      </c>
      <c r="F1811" s="3">
        <v>24544</v>
      </c>
      <c r="G1811" s="3">
        <v>934</v>
      </c>
      <c r="H1811" s="3">
        <v>76</v>
      </c>
      <c r="I1811" s="4">
        <v>1307.1500000000001</v>
      </c>
      <c r="J1811" s="4">
        <v>9350.6</v>
      </c>
      <c r="K1811" s="3">
        <v>66</v>
      </c>
      <c r="L1811" s="2" t="s">
        <v>2523</v>
      </c>
      <c r="M1811" s="2" t="s">
        <v>2524</v>
      </c>
      <c r="N1811" s="6">
        <f t="shared" si="112"/>
        <v>1</v>
      </c>
      <c r="O1811" t="str">
        <f>IF(Tabla_control[[#This Row],[Control_duplicados]]&gt;1,"Duplicado","Unico")</f>
        <v>Unico</v>
      </c>
      <c r="P1811" t="str">
        <f t="shared" si="113"/>
        <v>OK</v>
      </c>
      <c r="Q1811" t="str">
        <f t="shared" si="114"/>
        <v>OK</v>
      </c>
      <c r="R1811" t="str">
        <f t="shared" si="115"/>
        <v>OK</v>
      </c>
    </row>
    <row r="1812" spans="1:18" x14ac:dyDescent="0.3">
      <c r="A1812" s="1">
        <v>46008</v>
      </c>
      <c r="B1812" s="2" t="s">
        <v>2643</v>
      </c>
      <c r="C1812" s="2" t="s">
        <v>2541</v>
      </c>
      <c r="D1812" s="2" t="s">
        <v>2525</v>
      </c>
      <c r="E1812" s="2" t="s">
        <v>2529</v>
      </c>
      <c r="F1812" s="3">
        <v>126646</v>
      </c>
      <c r="G1812" s="3">
        <v>8908</v>
      </c>
      <c r="H1812" s="3">
        <v>191</v>
      </c>
      <c r="I1812" s="4">
        <v>5105.7700000000004</v>
      </c>
      <c r="J1812" s="4">
        <v>17217.29</v>
      </c>
      <c r="K1812" s="3">
        <v>142</v>
      </c>
      <c r="L1812" s="2" t="s">
        <v>2518</v>
      </c>
      <c r="M1812" s="2" t="s">
        <v>2526</v>
      </c>
      <c r="N1812" s="6">
        <f t="shared" si="112"/>
        <v>1</v>
      </c>
      <c r="O1812" t="str">
        <f>IF(Tabla_control[[#This Row],[Control_duplicados]]&gt;1,"Duplicado","Unico")</f>
        <v>Unico</v>
      </c>
      <c r="P1812" t="str">
        <f t="shared" si="113"/>
        <v>OK</v>
      </c>
      <c r="Q1812" t="str">
        <f t="shared" si="114"/>
        <v>OK</v>
      </c>
      <c r="R1812" t="str">
        <f t="shared" si="115"/>
        <v>OK</v>
      </c>
    </row>
    <row r="1813" spans="1:18" x14ac:dyDescent="0.3">
      <c r="A1813" s="1">
        <v>45833</v>
      </c>
      <c r="B1813" s="2" t="s">
        <v>2637</v>
      </c>
      <c r="C1813" s="2" t="s">
        <v>2515</v>
      </c>
      <c r="D1813" s="2" t="s">
        <v>2528</v>
      </c>
      <c r="E1813" s="2" t="s">
        <v>2517</v>
      </c>
      <c r="F1813" s="3">
        <v>28619</v>
      </c>
      <c r="G1813" s="3">
        <v>2304</v>
      </c>
      <c r="H1813" s="3">
        <v>153</v>
      </c>
      <c r="I1813" s="4">
        <v>4577.62</v>
      </c>
      <c r="J1813" s="4">
        <v>8727.06</v>
      </c>
      <c r="K1813" s="3">
        <v>112</v>
      </c>
      <c r="L1813" s="2" t="s">
        <v>2518</v>
      </c>
      <c r="M1813" s="2" t="s">
        <v>2526</v>
      </c>
      <c r="N1813" s="6">
        <f t="shared" si="112"/>
        <v>1</v>
      </c>
      <c r="O1813" t="str">
        <f>IF(Tabla_control[[#This Row],[Control_duplicados]]&gt;1,"Duplicado","Unico")</f>
        <v>Unico</v>
      </c>
      <c r="P1813" t="str">
        <f t="shared" si="113"/>
        <v>OK</v>
      </c>
      <c r="Q1813" t="str">
        <f t="shared" si="114"/>
        <v>OK</v>
      </c>
      <c r="R1813" t="str">
        <f t="shared" si="115"/>
        <v>OK</v>
      </c>
    </row>
    <row r="1814" spans="1:18" x14ac:dyDescent="0.3">
      <c r="A1814" s="1">
        <v>45983</v>
      </c>
      <c r="B1814" s="2" t="s">
        <v>2626</v>
      </c>
      <c r="C1814" s="2" t="s">
        <v>2541</v>
      </c>
      <c r="D1814" s="2" t="s">
        <v>2522</v>
      </c>
      <c r="E1814" s="2" t="s">
        <v>2529</v>
      </c>
      <c r="F1814" s="3">
        <v>126780</v>
      </c>
      <c r="G1814" s="3">
        <v>9423</v>
      </c>
      <c r="H1814" s="3">
        <v>794</v>
      </c>
      <c r="I1814" s="4">
        <v>14223.2</v>
      </c>
      <c r="J1814" s="4">
        <v>135883.66</v>
      </c>
      <c r="K1814" s="3">
        <v>611</v>
      </c>
      <c r="L1814" s="2" t="s">
        <v>2518</v>
      </c>
      <c r="M1814" s="2" t="s">
        <v>2519</v>
      </c>
      <c r="N1814" s="6">
        <f t="shared" si="112"/>
        <v>1</v>
      </c>
      <c r="O1814" t="str">
        <f>IF(Tabla_control[[#This Row],[Control_duplicados]]&gt;1,"Duplicado","Unico")</f>
        <v>Unico</v>
      </c>
      <c r="P1814" t="str">
        <f t="shared" si="113"/>
        <v>OK</v>
      </c>
      <c r="Q1814" t="str">
        <f t="shared" si="114"/>
        <v>OK</v>
      </c>
      <c r="R1814" t="str">
        <f t="shared" si="115"/>
        <v>OK</v>
      </c>
    </row>
    <row r="1815" spans="1:18" x14ac:dyDescent="0.3">
      <c r="A1815" s="1">
        <v>45877</v>
      </c>
      <c r="B1815" s="2" t="s">
        <v>2635</v>
      </c>
      <c r="C1815" s="2" t="s">
        <v>2521</v>
      </c>
      <c r="D1815" s="2" t="s">
        <v>2528</v>
      </c>
      <c r="E1815" s="2" t="s">
        <v>2517</v>
      </c>
      <c r="F1815" s="3">
        <v>70764</v>
      </c>
      <c r="G1815" s="3">
        <v>2336</v>
      </c>
      <c r="H1815" s="3">
        <v>228</v>
      </c>
      <c r="I1815" s="4">
        <v>942.98</v>
      </c>
      <c r="J1815" s="4">
        <v>41745.86</v>
      </c>
      <c r="K1815" s="3">
        <v>116</v>
      </c>
      <c r="L1815" s="2" t="s">
        <v>2539</v>
      </c>
      <c r="M1815" s="2" t="s">
        <v>2519</v>
      </c>
      <c r="N1815" s="6">
        <f t="shared" si="112"/>
        <v>1</v>
      </c>
      <c r="O1815" t="str">
        <f>IF(Tabla_control[[#This Row],[Control_duplicados]]&gt;1,"Duplicado","Unico")</f>
        <v>Unico</v>
      </c>
      <c r="P1815" t="str">
        <f t="shared" si="113"/>
        <v>OK</v>
      </c>
      <c r="Q1815" t="str">
        <f t="shared" si="114"/>
        <v>OK</v>
      </c>
      <c r="R1815" t="str">
        <f t="shared" si="115"/>
        <v>OK</v>
      </c>
    </row>
    <row r="1816" spans="1:18" x14ac:dyDescent="0.3">
      <c r="A1816" s="1">
        <v>45944</v>
      </c>
      <c r="B1816" s="2" t="s">
        <v>2633</v>
      </c>
      <c r="C1816" s="2" t="s">
        <v>2533</v>
      </c>
      <c r="D1816" s="2" t="s">
        <v>2528</v>
      </c>
      <c r="E1816" s="2" t="s">
        <v>2517</v>
      </c>
      <c r="F1816" s="3">
        <v>118667</v>
      </c>
      <c r="G1816" s="3">
        <v>4655</v>
      </c>
      <c r="H1816" s="3">
        <v>231</v>
      </c>
      <c r="I1816" s="4">
        <v>4241.1099999999997</v>
      </c>
      <c r="J1816" s="4">
        <v>44804.83</v>
      </c>
      <c r="K1816" s="3">
        <v>205</v>
      </c>
      <c r="L1816" s="2" t="s">
        <v>2518</v>
      </c>
      <c r="M1816" s="2" t="s">
        <v>2537</v>
      </c>
      <c r="N1816" s="6">
        <f t="shared" si="112"/>
        <v>1</v>
      </c>
      <c r="O1816" t="str">
        <f>IF(Tabla_control[[#This Row],[Control_duplicados]]&gt;1,"Duplicado","Unico")</f>
        <v>Unico</v>
      </c>
      <c r="P1816" t="str">
        <f t="shared" si="113"/>
        <v>OK</v>
      </c>
      <c r="Q1816" t="str">
        <f t="shared" si="114"/>
        <v>OK</v>
      </c>
      <c r="R1816" t="str">
        <f t="shared" si="115"/>
        <v>OK</v>
      </c>
    </row>
    <row r="1817" spans="1:18" x14ac:dyDescent="0.3">
      <c r="A1817" s="1">
        <v>45763</v>
      </c>
      <c r="B1817" s="2" t="s">
        <v>2636</v>
      </c>
      <c r="C1817" s="2" t="s">
        <v>2543</v>
      </c>
      <c r="D1817" s="2" t="s">
        <v>2522</v>
      </c>
      <c r="E1817" s="2" t="s">
        <v>2529</v>
      </c>
      <c r="F1817" s="3">
        <v>48889</v>
      </c>
      <c r="G1817" s="3">
        <v>2667</v>
      </c>
      <c r="H1817" s="3">
        <v>56</v>
      </c>
      <c r="I1817" s="4">
        <v>374.14</v>
      </c>
      <c r="J1817" s="4">
        <v>9864.67</v>
      </c>
      <c r="K1817" s="3">
        <v>47</v>
      </c>
      <c r="L1817" s="2" t="s">
        <v>2523</v>
      </c>
      <c r="M1817" s="2" t="s">
        <v>2526</v>
      </c>
      <c r="N1817" s="6">
        <f t="shared" si="112"/>
        <v>1</v>
      </c>
      <c r="O1817" t="str">
        <f>IF(Tabla_control[[#This Row],[Control_duplicados]]&gt;1,"Duplicado","Unico")</f>
        <v>Unico</v>
      </c>
      <c r="P1817" t="str">
        <f t="shared" si="113"/>
        <v>OK</v>
      </c>
      <c r="Q1817" t="str">
        <f t="shared" si="114"/>
        <v>OK</v>
      </c>
      <c r="R1817" t="str">
        <f t="shared" si="115"/>
        <v>OK</v>
      </c>
    </row>
    <row r="1818" spans="1:18" x14ac:dyDescent="0.3">
      <c r="A1818" s="1">
        <v>46020</v>
      </c>
      <c r="B1818" s="2" t="s">
        <v>2628</v>
      </c>
      <c r="C1818" s="2" t="s">
        <v>2521</v>
      </c>
      <c r="D1818" s="2" t="s">
        <v>2531</v>
      </c>
      <c r="E1818" s="2" t="s">
        <v>2517</v>
      </c>
      <c r="F1818" s="3">
        <v>115130</v>
      </c>
      <c r="G1818" s="3">
        <v>7384</v>
      </c>
      <c r="H1818" s="3">
        <v>372</v>
      </c>
      <c r="I1818" s="4">
        <v>6867.44</v>
      </c>
      <c r="J1818" s="4">
        <v>63344.39</v>
      </c>
      <c r="K1818" s="3">
        <v>231</v>
      </c>
      <c r="L1818" s="2" t="s">
        <v>2518</v>
      </c>
      <c r="M1818" s="2" t="s">
        <v>2546</v>
      </c>
      <c r="N1818" s="6">
        <f t="shared" si="112"/>
        <v>1</v>
      </c>
      <c r="O1818" t="str">
        <f>IF(Tabla_control[[#This Row],[Control_duplicados]]&gt;1,"Duplicado","Unico")</f>
        <v>Unico</v>
      </c>
      <c r="P1818" t="str">
        <f t="shared" si="113"/>
        <v>OK</v>
      </c>
      <c r="Q1818" t="str">
        <f t="shared" si="114"/>
        <v>OK</v>
      </c>
      <c r="R1818" t="str">
        <f t="shared" si="115"/>
        <v>OK</v>
      </c>
    </row>
    <row r="1819" spans="1:18" x14ac:dyDescent="0.3">
      <c r="A1819" s="1">
        <v>45811</v>
      </c>
      <c r="B1819" s="2" t="s">
        <v>2616</v>
      </c>
      <c r="C1819" s="2" t="s">
        <v>2541</v>
      </c>
      <c r="D1819" s="2" t="s">
        <v>2528</v>
      </c>
      <c r="E1819" s="2" t="s">
        <v>2529</v>
      </c>
      <c r="F1819" s="3">
        <v>41080</v>
      </c>
      <c r="G1819" s="3">
        <v>2746</v>
      </c>
      <c r="H1819" s="3">
        <v>19</v>
      </c>
      <c r="I1819" s="4">
        <v>5692.78</v>
      </c>
      <c r="J1819" s="4">
        <v>392.69</v>
      </c>
      <c r="K1819" s="3">
        <v>9</v>
      </c>
      <c r="L1819" s="2" t="s">
        <v>2536</v>
      </c>
      <c r="M1819" s="2" t="s">
        <v>2546</v>
      </c>
      <c r="N1819" s="6">
        <f t="shared" si="112"/>
        <v>1</v>
      </c>
      <c r="O1819" t="str">
        <f>IF(Tabla_control[[#This Row],[Control_duplicados]]&gt;1,"Duplicado","Unico")</f>
        <v>Unico</v>
      </c>
      <c r="P1819" t="str">
        <f t="shared" si="113"/>
        <v>OK</v>
      </c>
      <c r="Q1819" t="str">
        <f t="shared" si="114"/>
        <v>OK</v>
      </c>
      <c r="R1819" t="str">
        <f t="shared" si="115"/>
        <v>OK</v>
      </c>
    </row>
    <row r="1820" spans="1:18" x14ac:dyDescent="0.3">
      <c r="A1820" s="1">
        <v>45727</v>
      </c>
      <c r="B1820" s="2" t="s">
        <v>2620</v>
      </c>
      <c r="C1820" s="2" t="s">
        <v>2541</v>
      </c>
      <c r="D1820" s="2" t="s">
        <v>2525</v>
      </c>
      <c r="E1820" s="2" t="s">
        <v>2517</v>
      </c>
      <c r="F1820" s="3">
        <v>165228</v>
      </c>
      <c r="G1820" s="3">
        <v>6505</v>
      </c>
      <c r="H1820" s="3">
        <v>508</v>
      </c>
      <c r="I1820" s="4">
        <v>9112.89</v>
      </c>
      <c r="J1820" s="4">
        <v>110448.03</v>
      </c>
      <c r="K1820" s="3">
        <v>311</v>
      </c>
      <c r="L1820" s="2" t="s">
        <v>2536</v>
      </c>
      <c r="M1820" s="2" t="s">
        <v>2524</v>
      </c>
      <c r="N1820" s="6">
        <f t="shared" si="112"/>
        <v>1</v>
      </c>
      <c r="O1820" t="str">
        <f>IF(Tabla_control[[#This Row],[Control_duplicados]]&gt;1,"Duplicado","Unico")</f>
        <v>Unico</v>
      </c>
      <c r="P1820" t="str">
        <f t="shared" si="113"/>
        <v>OK</v>
      </c>
      <c r="Q1820" t="str">
        <f t="shared" si="114"/>
        <v>OK</v>
      </c>
      <c r="R1820" t="str">
        <f t="shared" si="115"/>
        <v>OK</v>
      </c>
    </row>
    <row r="1821" spans="1:18" x14ac:dyDescent="0.3">
      <c r="A1821" s="1">
        <v>45916</v>
      </c>
      <c r="B1821" s="2" t="s">
        <v>2636</v>
      </c>
      <c r="C1821" s="2" t="s">
        <v>2541</v>
      </c>
      <c r="D1821" s="2" t="s">
        <v>2528</v>
      </c>
      <c r="E1821" s="2" t="s">
        <v>2529</v>
      </c>
      <c r="F1821" s="3">
        <v>112826</v>
      </c>
      <c r="G1821" s="3">
        <v>5729</v>
      </c>
      <c r="H1821" s="3">
        <v>585</v>
      </c>
      <c r="I1821" s="4">
        <v>718.93</v>
      </c>
      <c r="J1821" s="4">
        <v>16510.23</v>
      </c>
      <c r="K1821" s="3">
        <v>267</v>
      </c>
      <c r="L1821" s="2" t="s">
        <v>2518</v>
      </c>
      <c r="M1821" s="2" t="s">
        <v>2524</v>
      </c>
      <c r="N1821" s="6">
        <f t="shared" si="112"/>
        <v>1</v>
      </c>
      <c r="O1821" t="str">
        <f>IF(Tabla_control[[#This Row],[Control_duplicados]]&gt;1,"Duplicado","Unico")</f>
        <v>Unico</v>
      </c>
      <c r="P1821" t="str">
        <f t="shared" si="113"/>
        <v>OK</v>
      </c>
      <c r="Q1821" t="str">
        <f t="shared" si="114"/>
        <v>OK</v>
      </c>
      <c r="R1821" t="str">
        <f t="shared" si="115"/>
        <v>OK</v>
      </c>
    </row>
    <row r="1822" spans="1:18" x14ac:dyDescent="0.3">
      <c r="A1822" s="1">
        <v>45797</v>
      </c>
      <c r="B1822" s="2" t="s">
        <v>2626</v>
      </c>
      <c r="C1822" s="2" t="s">
        <v>2515</v>
      </c>
      <c r="D1822" s="2" t="s">
        <v>2525</v>
      </c>
      <c r="E1822" s="2" t="s">
        <v>2529</v>
      </c>
      <c r="F1822" s="3">
        <v>134931</v>
      </c>
      <c r="G1822" s="3">
        <v>10889</v>
      </c>
      <c r="H1822" s="3">
        <v>442</v>
      </c>
      <c r="I1822" s="4">
        <v>12321.9</v>
      </c>
      <c r="J1822" s="4">
        <v>20768.240000000002</v>
      </c>
      <c r="K1822" s="3">
        <v>372</v>
      </c>
      <c r="L1822" s="2" t="s">
        <v>2518</v>
      </c>
      <c r="M1822" s="2" t="s">
        <v>2537</v>
      </c>
      <c r="N1822" s="6">
        <f t="shared" si="112"/>
        <v>1</v>
      </c>
      <c r="O1822" t="str">
        <f>IF(Tabla_control[[#This Row],[Control_duplicados]]&gt;1,"Duplicado","Unico")</f>
        <v>Unico</v>
      </c>
      <c r="P1822" t="str">
        <f t="shared" si="113"/>
        <v>OK</v>
      </c>
      <c r="Q1822" t="str">
        <f t="shared" si="114"/>
        <v>OK</v>
      </c>
      <c r="R1822" t="str">
        <f t="shared" si="115"/>
        <v>OK</v>
      </c>
    </row>
    <row r="1823" spans="1:18" x14ac:dyDescent="0.3">
      <c r="A1823" s="1">
        <v>45859</v>
      </c>
      <c r="B1823" s="2" t="s">
        <v>2616</v>
      </c>
      <c r="C1823" s="2" t="s">
        <v>2527</v>
      </c>
      <c r="D1823" s="2" t="s">
        <v>2528</v>
      </c>
      <c r="E1823" s="2" t="s">
        <v>2529</v>
      </c>
      <c r="F1823" s="3">
        <v>135732</v>
      </c>
      <c r="G1823" s="3">
        <v>10013</v>
      </c>
      <c r="H1823" s="3">
        <v>407</v>
      </c>
      <c r="I1823" s="4">
        <v>3419.13</v>
      </c>
      <c r="J1823" s="4">
        <v>11069.38</v>
      </c>
      <c r="K1823" s="3">
        <v>294</v>
      </c>
      <c r="L1823" s="2" t="s">
        <v>2536</v>
      </c>
      <c r="M1823" s="2" t="s">
        <v>2546</v>
      </c>
      <c r="N1823" s="6">
        <f t="shared" si="112"/>
        <v>1</v>
      </c>
      <c r="O1823" t="str">
        <f>IF(Tabla_control[[#This Row],[Control_duplicados]]&gt;1,"Duplicado","Unico")</f>
        <v>Unico</v>
      </c>
      <c r="P1823" t="str">
        <f t="shared" si="113"/>
        <v>OK</v>
      </c>
      <c r="Q1823" t="str">
        <f t="shared" si="114"/>
        <v>OK</v>
      </c>
      <c r="R1823" t="str">
        <f t="shared" si="115"/>
        <v>OK</v>
      </c>
    </row>
    <row r="1824" spans="1:18" x14ac:dyDescent="0.3">
      <c r="A1824" s="1">
        <v>45667</v>
      </c>
      <c r="B1824" s="2" t="s">
        <v>2617</v>
      </c>
      <c r="C1824" s="2" t="s">
        <v>2541</v>
      </c>
      <c r="D1824" s="2" t="s">
        <v>2528</v>
      </c>
      <c r="E1824" s="2" t="s">
        <v>2517</v>
      </c>
      <c r="F1824" s="3">
        <v>97859</v>
      </c>
      <c r="G1824" s="3">
        <v>6860</v>
      </c>
      <c r="H1824" s="3">
        <v>200</v>
      </c>
      <c r="I1824" s="4">
        <v>10942.62</v>
      </c>
      <c r="J1824" s="4">
        <v>34323.25</v>
      </c>
      <c r="K1824" s="3">
        <v>160</v>
      </c>
      <c r="L1824" s="2" t="s">
        <v>2539</v>
      </c>
      <c r="M1824" s="2" t="s">
        <v>2519</v>
      </c>
      <c r="N1824" s="6">
        <f t="shared" si="112"/>
        <v>1</v>
      </c>
      <c r="O1824" t="str">
        <f>IF(Tabla_control[[#This Row],[Control_duplicados]]&gt;1,"Duplicado","Unico")</f>
        <v>Unico</v>
      </c>
      <c r="P1824" t="str">
        <f t="shared" si="113"/>
        <v>OK</v>
      </c>
      <c r="Q1824" t="str">
        <f t="shared" si="114"/>
        <v>OK</v>
      </c>
      <c r="R1824" t="str">
        <f t="shared" si="115"/>
        <v>OK</v>
      </c>
    </row>
    <row r="1825" spans="1:18" x14ac:dyDescent="0.3">
      <c r="A1825" s="1">
        <v>45787</v>
      </c>
      <c r="B1825" s="2" t="s">
        <v>2629</v>
      </c>
      <c r="C1825" s="2" t="s">
        <v>2541</v>
      </c>
      <c r="D1825" s="2" t="s">
        <v>2522</v>
      </c>
      <c r="E1825" s="2" t="s">
        <v>2529</v>
      </c>
      <c r="F1825" s="3">
        <v>42268</v>
      </c>
      <c r="G1825" s="3">
        <v>3621</v>
      </c>
      <c r="H1825" s="3">
        <v>45</v>
      </c>
      <c r="I1825" s="4">
        <v>1117.83</v>
      </c>
      <c r="J1825" s="4">
        <v>9084.07</v>
      </c>
      <c r="K1825" s="3">
        <v>30</v>
      </c>
      <c r="L1825" s="2" t="s">
        <v>2523</v>
      </c>
      <c r="M1825" s="2" t="s">
        <v>2537</v>
      </c>
      <c r="N1825" s="6">
        <f t="shared" si="112"/>
        <v>1</v>
      </c>
      <c r="O1825" t="str">
        <f>IF(Tabla_control[[#This Row],[Control_duplicados]]&gt;1,"Duplicado","Unico")</f>
        <v>Unico</v>
      </c>
      <c r="P1825" t="str">
        <f t="shared" si="113"/>
        <v>OK</v>
      </c>
      <c r="Q1825" t="str">
        <f t="shared" si="114"/>
        <v>OK</v>
      </c>
      <c r="R1825" t="str">
        <f t="shared" si="115"/>
        <v>OK</v>
      </c>
    </row>
    <row r="1826" spans="1:18" x14ac:dyDescent="0.3">
      <c r="A1826" s="1">
        <v>45784</v>
      </c>
      <c r="B1826" s="2" t="s">
        <v>2623</v>
      </c>
      <c r="C1826" s="2" t="s">
        <v>2533</v>
      </c>
      <c r="D1826" s="2" t="s">
        <v>2528</v>
      </c>
      <c r="E1826" s="2" t="s">
        <v>2529</v>
      </c>
      <c r="F1826" s="3">
        <v>60910</v>
      </c>
      <c r="G1826" s="3">
        <v>4426</v>
      </c>
      <c r="H1826" s="3">
        <v>71</v>
      </c>
      <c r="I1826" s="4">
        <v>2179.3200000000002</v>
      </c>
      <c r="J1826" s="4">
        <v>4649.97</v>
      </c>
      <c r="K1826" s="3">
        <v>36</v>
      </c>
      <c r="L1826" s="2" t="s">
        <v>2539</v>
      </c>
      <c r="M1826" s="2" t="s">
        <v>2546</v>
      </c>
      <c r="N1826" s="6">
        <f t="shared" si="112"/>
        <v>1</v>
      </c>
      <c r="O1826" t="str">
        <f>IF(Tabla_control[[#This Row],[Control_duplicados]]&gt;1,"Duplicado","Unico")</f>
        <v>Unico</v>
      </c>
      <c r="P1826" t="str">
        <f t="shared" si="113"/>
        <v>OK</v>
      </c>
      <c r="Q1826" t="str">
        <f t="shared" si="114"/>
        <v>OK</v>
      </c>
      <c r="R1826" t="str">
        <f t="shared" si="115"/>
        <v>OK</v>
      </c>
    </row>
    <row r="1827" spans="1:18" x14ac:dyDescent="0.3">
      <c r="A1827" s="1">
        <v>45960</v>
      </c>
      <c r="B1827" s="2" t="s">
        <v>2626</v>
      </c>
      <c r="C1827" s="2" t="s">
        <v>2533</v>
      </c>
      <c r="D1827" s="2" t="s">
        <v>2528</v>
      </c>
      <c r="E1827" s="2" t="s">
        <v>2529</v>
      </c>
      <c r="F1827" s="3">
        <v>160354</v>
      </c>
      <c r="G1827" s="3">
        <v>13002</v>
      </c>
      <c r="H1827" s="3">
        <v>1646</v>
      </c>
      <c r="I1827" s="4">
        <v>13289.46</v>
      </c>
      <c r="J1827" s="4">
        <v>94181.96</v>
      </c>
      <c r="K1827" s="3">
        <v>1425</v>
      </c>
      <c r="L1827" s="2" t="s">
        <v>2539</v>
      </c>
      <c r="M1827" s="2" t="s">
        <v>2546</v>
      </c>
      <c r="N1827" s="6">
        <f t="shared" si="112"/>
        <v>1</v>
      </c>
      <c r="O1827" t="str">
        <f>IF(Tabla_control[[#This Row],[Control_duplicados]]&gt;1,"Duplicado","Unico")</f>
        <v>Unico</v>
      </c>
      <c r="P1827" t="str">
        <f t="shared" si="113"/>
        <v>OK</v>
      </c>
      <c r="Q1827" t="str">
        <f t="shared" si="114"/>
        <v>OK</v>
      </c>
      <c r="R1827" t="str">
        <f t="shared" si="115"/>
        <v>OK</v>
      </c>
    </row>
    <row r="1828" spans="1:18" x14ac:dyDescent="0.3">
      <c r="A1828" s="1">
        <v>46016</v>
      </c>
      <c r="B1828" s="2" t="s">
        <v>2632</v>
      </c>
      <c r="C1828" s="2" t="s">
        <v>2533</v>
      </c>
      <c r="D1828" s="2" t="s">
        <v>2528</v>
      </c>
      <c r="E1828" s="2" t="s">
        <v>2517</v>
      </c>
      <c r="F1828" s="3">
        <v>120771</v>
      </c>
      <c r="G1828" s="3">
        <v>9939</v>
      </c>
      <c r="H1828" s="3">
        <v>454</v>
      </c>
      <c r="I1828" s="4">
        <v>12548.96</v>
      </c>
      <c r="J1828" s="4">
        <v>92492.11</v>
      </c>
      <c r="K1828" s="3">
        <v>277</v>
      </c>
      <c r="L1828" s="2" t="s">
        <v>2536</v>
      </c>
      <c r="M1828" s="2" t="s">
        <v>2524</v>
      </c>
      <c r="N1828" s="6">
        <f t="shared" si="112"/>
        <v>1</v>
      </c>
      <c r="O1828" t="str">
        <f>IF(Tabla_control[[#This Row],[Control_duplicados]]&gt;1,"Duplicado","Unico")</f>
        <v>Unico</v>
      </c>
      <c r="P1828" t="str">
        <f t="shared" si="113"/>
        <v>OK</v>
      </c>
      <c r="Q1828" t="str">
        <f t="shared" si="114"/>
        <v>OK</v>
      </c>
      <c r="R1828" t="str">
        <f t="shared" si="115"/>
        <v>OK</v>
      </c>
    </row>
    <row r="1829" spans="1:18" x14ac:dyDescent="0.3">
      <c r="A1829" s="1">
        <v>45769</v>
      </c>
      <c r="B1829" s="2" t="s">
        <v>2638</v>
      </c>
      <c r="C1829" s="2" t="s">
        <v>2521</v>
      </c>
      <c r="D1829" s="2" t="s">
        <v>2528</v>
      </c>
      <c r="E1829" s="2" t="s">
        <v>2529</v>
      </c>
      <c r="F1829" s="3">
        <v>82713</v>
      </c>
      <c r="G1829" s="3">
        <v>6216</v>
      </c>
      <c r="H1829" s="3">
        <v>147</v>
      </c>
      <c r="I1829" s="4">
        <v>8090.35</v>
      </c>
      <c r="J1829" s="4">
        <v>22804.69</v>
      </c>
      <c r="K1829" s="3">
        <v>98</v>
      </c>
      <c r="L1829" s="2" t="s">
        <v>2539</v>
      </c>
      <c r="M1829" s="2" t="s">
        <v>2546</v>
      </c>
      <c r="N1829" s="6">
        <f t="shared" si="112"/>
        <v>1</v>
      </c>
      <c r="O1829" t="str">
        <f>IF(Tabla_control[[#This Row],[Control_duplicados]]&gt;1,"Duplicado","Unico")</f>
        <v>Unico</v>
      </c>
      <c r="P1829" t="str">
        <f t="shared" si="113"/>
        <v>OK</v>
      </c>
      <c r="Q1829" t="str">
        <f t="shared" si="114"/>
        <v>OK</v>
      </c>
      <c r="R1829" t="str">
        <f t="shared" si="115"/>
        <v>OK</v>
      </c>
    </row>
    <row r="1830" spans="1:18" x14ac:dyDescent="0.3">
      <c r="A1830" s="1">
        <v>46009</v>
      </c>
      <c r="B1830" s="2" t="s">
        <v>2615</v>
      </c>
      <c r="C1830" s="2" t="s">
        <v>2543</v>
      </c>
      <c r="D1830" s="2" t="s">
        <v>2528</v>
      </c>
      <c r="E1830" s="2" t="s">
        <v>2529</v>
      </c>
      <c r="F1830" s="3">
        <v>103509</v>
      </c>
      <c r="G1830" s="3">
        <v>4912</v>
      </c>
      <c r="H1830" s="3">
        <v>476</v>
      </c>
      <c r="I1830" s="4">
        <v>6582.7</v>
      </c>
      <c r="J1830" s="4">
        <v>20151.060000000001</v>
      </c>
      <c r="K1830" s="3">
        <v>301</v>
      </c>
      <c r="L1830" s="2" t="s">
        <v>2518</v>
      </c>
      <c r="M1830" s="2" t="s">
        <v>2526</v>
      </c>
      <c r="N1830" s="6">
        <f t="shared" si="112"/>
        <v>1</v>
      </c>
      <c r="O1830" t="str">
        <f>IF(Tabla_control[[#This Row],[Control_duplicados]]&gt;1,"Duplicado","Unico")</f>
        <v>Unico</v>
      </c>
      <c r="P1830" t="str">
        <f t="shared" si="113"/>
        <v>OK</v>
      </c>
      <c r="Q1830" t="str">
        <f t="shared" si="114"/>
        <v>OK</v>
      </c>
      <c r="R1830" t="str">
        <f t="shared" si="115"/>
        <v>OK</v>
      </c>
    </row>
    <row r="1831" spans="1:18" x14ac:dyDescent="0.3">
      <c r="A1831" s="1">
        <v>45993</v>
      </c>
      <c r="B1831" s="2" t="s">
        <v>2630</v>
      </c>
      <c r="C1831" s="2" t="s">
        <v>2527</v>
      </c>
      <c r="D1831" s="2" t="s">
        <v>2531</v>
      </c>
      <c r="E1831" s="2" t="s">
        <v>2517</v>
      </c>
      <c r="F1831" s="3">
        <v>32140</v>
      </c>
      <c r="G1831" s="3">
        <v>1259</v>
      </c>
      <c r="H1831" s="3">
        <v>43</v>
      </c>
      <c r="I1831" s="4">
        <v>1932.05</v>
      </c>
      <c r="J1831" s="4">
        <v>7121.66</v>
      </c>
      <c r="K1831" s="3">
        <v>28</v>
      </c>
      <c r="L1831" s="2" t="s">
        <v>2539</v>
      </c>
      <c r="M1831" s="2" t="s">
        <v>2526</v>
      </c>
      <c r="N1831" s="6">
        <f t="shared" si="112"/>
        <v>1</v>
      </c>
      <c r="O1831" t="str">
        <f>IF(Tabla_control[[#This Row],[Control_duplicados]]&gt;1,"Duplicado","Unico")</f>
        <v>Unico</v>
      </c>
      <c r="P1831" t="str">
        <f t="shared" si="113"/>
        <v>OK</v>
      </c>
      <c r="Q1831" t="str">
        <f t="shared" si="114"/>
        <v>OK</v>
      </c>
      <c r="R1831" t="str">
        <f t="shared" si="115"/>
        <v>OK</v>
      </c>
    </row>
    <row r="1832" spans="1:18" x14ac:dyDescent="0.3">
      <c r="A1832" s="1">
        <v>45982</v>
      </c>
      <c r="B1832" s="2" t="s">
        <v>2629</v>
      </c>
      <c r="C1832" s="2" t="s">
        <v>2527</v>
      </c>
      <c r="D1832" s="2" t="s">
        <v>2531</v>
      </c>
      <c r="E1832" s="2" t="s">
        <v>2534</v>
      </c>
      <c r="F1832" s="3">
        <v>5454</v>
      </c>
      <c r="G1832" s="3">
        <v>266</v>
      </c>
      <c r="H1832" s="3">
        <v>2</v>
      </c>
      <c r="I1832" s="4">
        <v>133.44999999999999</v>
      </c>
      <c r="J1832" s="4">
        <v>419.21</v>
      </c>
      <c r="K1832" s="3">
        <v>1</v>
      </c>
      <c r="L1832" s="2" t="s">
        <v>2539</v>
      </c>
      <c r="M1832" s="2" t="s">
        <v>2526</v>
      </c>
      <c r="N1832" s="6">
        <f t="shared" si="112"/>
        <v>1</v>
      </c>
      <c r="O1832" t="str">
        <f>IF(Tabla_control[[#This Row],[Control_duplicados]]&gt;1,"Duplicado","Unico")</f>
        <v>Unico</v>
      </c>
      <c r="P1832" t="str">
        <f t="shared" si="113"/>
        <v>OK</v>
      </c>
      <c r="Q1832" t="str">
        <f t="shared" si="114"/>
        <v>OK</v>
      </c>
      <c r="R1832" t="str">
        <f t="shared" si="115"/>
        <v>OK</v>
      </c>
    </row>
    <row r="1833" spans="1:18" x14ac:dyDescent="0.3">
      <c r="A1833" s="1">
        <v>45718</v>
      </c>
      <c r="B1833" s="2" t="s">
        <v>2629</v>
      </c>
      <c r="C1833" s="2" t="s">
        <v>2527</v>
      </c>
      <c r="D1833" s="2" t="s">
        <v>2528</v>
      </c>
      <c r="E1833" s="2" t="s">
        <v>2529</v>
      </c>
      <c r="F1833" s="3">
        <v>45667</v>
      </c>
      <c r="G1833" s="3">
        <v>2666</v>
      </c>
      <c r="H1833" s="3">
        <v>317</v>
      </c>
      <c r="I1833" s="4">
        <v>1083.77</v>
      </c>
      <c r="J1833" s="4">
        <v>48036.36</v>
      </c>
      <c r="K1833" s="3">
        <v>225</v>
      </c>
      <c r="L1833" s="2" t="s">
        <v>2539</v>
      </c>
      <c r="M1833" s="2" t="s">
        <v>2526</v>
      </c>
      <c r="N1833" s="6">
        <f t="shared" si="112"/>
        <v>1</v>
      </c>
      <c r="O1833" t="str">
        <f>IF(Tabla_control[[#This Row],[Control_duplicados]]&gt;1,"Duplicado","Unico")</f>
        <v>Unico</v>
      </c>
      <c r="P1833" t="str">
        <f t="shared" si="113"/>
        <v>OK</v>
      </c>
      <c r="Q1833" t="str">
        <f t="shared" si="114"/>
        <v>OK</v>
      </c>
      <c r="R1833" t="str">
        <f t="shared" si="115"/>
        <v>OK</v>
      </c>
    </row>
    <row r="1834" spans="1:18" x14ac:dyDescent="0.3">
      <c r="A1834" s="1">
        <v>45983</v>
      </c>
      <c r="B1834" s="2" t="s">
        <v>2630</v>
      </c>
      <c r="C1834" s="2" t="s">
        <v>2527</v>
      </c>
      <c r="D1834" s="2" t="s">
        <v>2516</v>
      </c>
      <c r="E1834" s="2" t="s">
        <v>2517</v>
      </c>
      <c r="F1834" s="3">
        <v>76502</v>
      </c>
      <c r="G1834" s="3">
        <v>1199</v>
      </c>
      <c r="H1834" s="3">
        <v>108</v>
      </c>
      <c r="I1834" s="4">
        <v>1313.8</v>
      </c>
      <c r="J1834" s="4">
        <v>19299.580000000002</v>
      </c>
      <c r="K1834" s="3">
        <v>58</v>
      </c>
      <c r="L1834" s="2" t="s">
        <v>2539</v>
      </c>
      <c r="M1834" s="2" t="s">
        <v>2546</v>
      </c>
      <c r="N1834" s="6">
        <f t="shared" si="112"/>
        <v>1</v>
      </c>
      <c r="O1834" t="str">
        <f>IF(Tabla_control[[#This Row],[Control_duplicados]]&gt;1,"Duplicado","Unico")</f>
        <v>Unico</v>
      </c>
      <c r="P1834" t="str">
        <f t="shared" si="113"/>
        <v>OK</v>
      </c>
      <c r="Q1834" t="str">
        <f t="shared" si="114"/>
        <v>OK</v>
      </c>
      <c r="R1834" t="str">
        <f t="shared" si="115"/>
        <v>OK</v>
      </c>
    </row>
    <row r="1835" spans="1:18" x14ac:dyDescent="0.3">
      <c r="A1835" s="1">
        <v>45701</v>
      </c>
      <c r="B1835" s="2" t="s">
        <v>2644</v>
      </c>
      <c r="C1835" s="2" t="s">
        <v>2515</v>
      </c>
      <c r="D1835" s="2" t="s">
        <v>2516</v>
      </c>
      <c r="E1835" s="2" t="s">
        <v>2534</v>
      </c>
      <c r="F1835" s="3">
        <v>109487</v>
      </c>
      <c r="G1835" s="3">
        <v>4072</v>
      </c>
      <c r="H1835" s="3">
        <v>524</v>
      </c>
      <c r="I1835" s="4">
        <v>7935.09</v>
      </c>
      <c r="J1835" s="4">
        <v>20676.3</v>
      </c>
      <c r="K1835" s="3">
        <v>273</v>
      </c>
      <c r="L1835" s="2" t="s">
        <v>2536</v>
      </c>
      <c r="M1835" s="2" t="s">
        <v>2526</v>
      </c>
      <c r="N1835" s="6">
        <f t="shared" si="112"/>
        <v>1</v>
      </c>
      <c r="O1835" t="str">
        <f>IF(Tabla_control[[#This Row],[Control_duplicados]]&gt;1,"Duplicado","Unico")</f>
        <v>Unico</v>
      </c>
      <c r="P1835" t="str">
        <f t="shared" si="113"/>
        <v>OK</v>
      </c>
      <c r="Q1835" t="str">
        <f t="shared" si="114"/>
        <v>OK</v>
      </c>
      <c r="R1835" t="str">
        <f t="shared" si="115"/>
        <v>OK</v>
      </c>
    </row>
    <row r="1836" spans="1:18" x14ac:dyDescent="0.3">
      <c r="A1836" s="1">
        <v>45660</v>
      </c>
      <c r="B1836" s="2" t="s">
        <v>2617</v>
      </c>
      <c r="C1836" s="2" t="s">
        <v>2533</v>
      </c>
      <c r="D1836" s="2" t="s">
        <v>2528</v>
      </c>
      <c r="E1836" s="2" t="s">
        <v>2517</v>
      </c>
      <c r="F1836" s="3">
        <v>40177</v>
      </c>
      <c r="G1836" s="3">
        <v>1228</v>
      </c>
      <c r="H1836" s="3">
        <v>167</v>
      </c>
      <c r="I1836" s="4">
        <v>2377.66</v>
      </c>
      <c r="J1836" s="4">
        <v>13197.06</v>
      </c>
      <c r="K1836" s="3">
        <v>119</v>
      </c>
      <c r="L1836" s="2" t="s">
        <v>2536</v>
      </c>
      <c r="M1836" s="2" t="s">
        <v>2519</v>
      </c>
      <c r="N1836" s="6">
        <f t="shared" si="112"/>
        <v>1</v>
      </c>
      <c r="O1836" t="str">
        <f>IF(Tabla_control[[#This Row],[Control_duplicados]]&gt;1,"Duplicado","Unico")</f>
        <v>Unico</v>
      </c>
      <c r="P1836" t="str">
        <f t="shared" si="113"/>
        <v>OK</v>
      </c>
      <c r="Q1836" t="str">
        <f t="shared" si="114"/>
        <v>OK</v>
      </c>
      <c r="R1836" t="str">
        <f t="shared" si="115"/>
        <v>OK</v>
      </c>
    </row>
    <row r="1837" spans="1:18" x14ac:dyDescent="0.3">
      <c r="A1837" s="1">
        <v>45738</v>
      </c>
      <c r="B1837" s="2" t="s">
        <v>2640</v>
      </c>
      <c r="C1837" s="2" t="s">
        <v>2541</v>
      </c>
      <c r="D1837" s="2" t="s">
        <v>2528</v>
      </c>
      <c r="E1837" s="2" t="s">
        <v>2529</v>
      </c>
      <c r="F1837" s="3">
        <v>145027</v>
      </c>
      <c r="G1837" s="3">
        <v>10461</v>
      </c>
      <c r="H1837" s="3">
        <v>292</v>
      </c>
      <c r="I1837" s="4">
        <v>14532.19</v>
      </c>
      <c r="J1837" s="4">
        <v>54028.79</v>
      </c>
      <c r="K1837" s="3">
        <v>166</v>
      </c>
      <c r="L1837" s="2" t="s">
        <v>2518</v>
      </c>
      <c r="M1837" s="2" t="s">
        <v>2546</v>
      </c>
      <c r="N1837" s="6">
        <f t="shared" si="112"/>
        <v>1</v>
      </c>
      <c r="O1837" t="str">
        <f>IF(Tabla_control[[#This Row],[Control_duplicados]]&gt;1,"Duplicado","Unico")</f>
        <v>Unico</v>
      </c>
      <c r="P1837" t="str">
        <f t="shared" si="113"/>
        <v>OK</v>
      </c>
      <c r="Q1837" t="str">
        <f t="shared" si="114"/>
        <v>OK</v>
      </c>
      <c r="R1837" t="str">
        <f t="shared" si="115"/>
        <v>OK</v>
      </c>
    </row>
    <row r="1838" spans="1:18" x14ac:dyDescent="0.3">
      <c r="A1838" s="1">
        <v>45673</v>
      </c>
      <c r="B1838" s="2" t="s">
        <v>2635</v>
      </c>
      <c r="C1838" s="2" t="s">
        <v>2521</v>
      </c>
      <c r="D1838" s="2" t="s">
        <v>2522</v>
      </c>
      <c r="E1838" s="2" t="s">
        <v>2529</v>
      </c>
      <c r="F1838" s="3">
        <v>1790</v>
      </c>
      <c r="G1838" s="3">
        <v>124</v>
      </c>
      <c r="H1838" s="3">
        <v>7</v>
      </c>
      <c r="I1838" s="4">
        <v>60.51</v>
      </c>
      <c r="J1838" s="4">
        <v>1073.8</v>
      </c>
      <c r="K1838" s="3">
        <v>5</v>
      </c>
      <c r="L1838" s="2" t="s">
        <v>2539</v>
      </c>
      <c r="M1838" s="2" t="s">
        <v>2546</v>
      </c>
      <c r="N1838" s="6">
        <f t="shared" si="112"/>
        <v>1</v>
      </c>
      <c r="O1838" t="str">
        <f>IF(Tabla_control[[#This Row],[Control_duplicados]]&gt;1,"Duplicado","Unico")</f>
        <v>Unico</v>
      </c>
      <c r="P1838" t="str">
        <f t="shared" si="113"/>
        <v>OK</v>
      </c>
      <c r="Q1838" t="str">
        <f t="shared" si="114"/>
        <v>OK</v>
      </c>
      <c r="R1838" t="str">
        <f t="shared" si="115"/>
        <v>OK</v>
      </c>
    </row>
    <row r="1839" spans="1:18" x14ac:dyDescent="0.3">
      <c r="A1839" s="1">
        <v>45997</v>
      </c>
      <c r="B1839" s="2" t="s">
        <v>2631</v>
      </c>
      <c r="C1839" s="2" t="s">
        <v>2515</v>
      </c>
      <c r="D1839" s="2" t="s">
        <v>2528</v>
      </c>
      <c r="E1839" s="2" t="s">
        <v>2529</v>
      </c>
      <c r="F1839" s="3">
        <v>98657</v>
      </c>
      <c r="G1839" s="3">
        <v>8242</v>
      </c>
      <c r="H1839" s="3">
        <v>61</v>
      </c>
      <c r="I1839" s="4">
        <v>17053.27</v>
      </c>
      <c r="J1839" s="4">
        <v>12471.91</v>
      </c>
      <c r="K1839" s="3">
        <v>54</v>
      </c>
      <c r="L1839" s="2" t="s">
        <v>2536</v>
      </c>
      <c r="M1839" s="2" t="s">
        <v>2524</v>
      </c>
      <c r="N1839" s="6">
        <f t="shared" si="112"/>
        <v>1</v>
      </c>
      <c r="O1839" t="str">
        <f>IF(Tabla_control[[#This Row],[Control_duplicados]]&gt;1,"Duplicado","Unico")</f>
        <v>Unico</v>
      </c>
      <c r="P1839" t="str">
        <f t="shared" si="113"/>
        <v>OK</v>
      </c>
      <c r="Q1839" t="str">
        <f t="shared" si="114"/>
        <v>OK</v>
      </c>
      <c r="R1839" t="str">
        <f t="shared" si="115"/>
        <v>OK</v>
      </c>
    </row>
    <row r="1840" spans="1:18" x14ac:dyDescent="0.3">
      <c r="A1840" s="1">
        <v>45729</v>
      </c>
      <c r="B1840" s="2" t="s">
        <v>2627</v>
      </c>
      <c r="C1840" s="2" t="s">
        <v>2521</v>
      </c>
      <c r="D1840" s="2" t="s">
        <v>2525</v>
      </c>
      <c r="E1840" s="2" t="s">
        <v>2517</v>
      </c>
      <c r="F1840" s="3">
        <v>26958</v>
      </c>
      <c r="G1840" s="3">
        <v>2171</v>
      </c>
      <c r="H1840" s="3">
        <v>119</v>
      </c>
      <c r="I1840" s="4">
        <v>3432.61</v>
      </c>
      <c r="J1840" s="4">
        <v>7566.82</v>
      </c>
      <c r="K1840" s="3">
        <v>101</v>
      </c>
      <c r="L1840" s="2" t="s">
        <v>2539</v>
      </c>
      <c r="M1840" s="2" t="s">
        <v>2519</v>
      </c>
      <c r="N1840" s="6">
        <f t="shared" si="112"/>
        <v>1</v>
      </c>
      <c r="O1840" t="str">
        <f>IF(Tabla_control[[#This Row],[Control_duplicados]]&gt;1,"Duplicado","Unico")</f>
        <v>Unico</v>
      </c>
      <c r="P1840" t="str">
        <f t="shared" si="113"/>
        <v>OK</v>
      </c>
      <c r="Q1840" t="str">
        <f t="shared" si="114"/>
        <v>OK</v>
      </c>
      <c r="R1840" t="str">
        <f t="shared" si="115"/>
        <v>OK</v>
      </c>
    </row>
    <row r="1841" spans="1:18" x14ac:dyDescent="0.3">
      <c r="A1841" s="1">
        <v>45716</v>
      </c>
      <c r="B1841" s="2" t="s">
        <v>2633</v>
      </c>
      <c r="C1841" s="2" t="s">
        <v>2541</v>
      </c>
      <c r="D1841" s="2" t="s">
        <v>2516</v>
      </c>
      <c r="E1841" s="2" t="s">
        <v>2529</v>
      </c>
      <c r="F1841" s="3">
        <v>40464</v>
      </c>
      <c r="G1841" s="3">
        <v>346</v>
      </c>
      <c r="H1841" s="3">
        <v>38</v>
      </c>
      <c r="I1841" s="4">
        <v>684.03</v>
      </c>
      <c r="J1841" s="4">
        <v>2469.0700000000002</v>
      </c>
      <c r="K1841" s="3">
        <v>19</v>
      </c>
      <c r="L1841" s="2" t="s">
        <v>2539</v>
      </c>
      <c r="M1841" s="2" t="s">
        <v>2546</v>
      </c>
      <c r="N1841" s="6">
        <f t="shared" si="112"/>
        <v>1</v>
      </c>
      <c r="O1841" t="str">
        <f>IF(Tabla_control[[#This Row],[Control_duplicados]]&gt;1,"Duplicado","Unico")</f>
        <v>Unico</v>
      </c>
      <c r="P1841" t="str">
        <f t="shared" si="113"/>
        <v>OK</v>
      </c>
      <c r="Q1841" t="str">
        <f t="shared" si="114"/>
        <v>OK</v>
      </c>
      <c r="R1841" t="str">
        <f t="shared" si="115"/>
        <v>OK</v>
      </c>
    </row>
    <row r="1842" spans="1:18" x14ac:dyDescent="0.3">
      <c r="A1842" s="1">
        <v>45681</v>
      </c>
      <c r="B1842" s="2" t="s">
        <v>2639</v>
      </c>
      <c r="C1842" s="2" t="s">
        <v>2533</v>
      </c>
      <c r="D1842" s="2" t="s">
        <v>2525</v>
      </c>
      <c r="E1842" s="2" t="s">
        <v>2529</v>
      </c>
      <c r="F1842" s="3">
        <v>16309</v>
      </c>
      <c r="G1842" s="3">
        <v>348</v>
      </c>
      <c r="H1842" s="3">
        <v>47</v>
      </c>
      <c r="I1842" s="4">
        <v>613.04999999999995</v>
      </c>
      <c r="J1842" s="4">
        <v>6296.08</v>
      </c>
      <c r="K1842" s="3">
        <v>41</v>
      </c>
      <c r="L1842" s="2" t="s">
        <v>2518</v>
      </c>
      <c r="M1842" s="2" t="s">
        <v>2546</v>
      </c>
      <c r="N1842" s="6">
        <f t="shared" si="112"/>
        <v>1</v>
      </c>
      <c r="O1842" t="str">
        <f>IF(Tabla_control[[#This Row],[Control_duplicados]]&gt;1,"Duplicado","Unico")</f>
        <v>Unico</v>
      </c>
      <c r="P1842" t="str">
        <f t="shared" si="113"/>
        <v>OK</v>
      </c>
      <c r="Q1842" t="str">
        <f t="shared" si="114"/>
        <v>OK</v>
      </c>
      <c r="R1842" t="str">
        <f t="shared" si="115"/>
        <v>OK</v>
      </c>
    </row>
    <row r="1843" spans="1:18" x14ac:dyDescent="0.3">
      <c r="A1843" s="1">
        <v>45851</v>
      </c>
      <c r="B1843" s="2" t="s">
        <v>2622</v>
      </c>
      <c r="C1843" s="2" t="s">
        <v>2527</v>
      </c>
      <c r="D1843" s="2" t="s">
        <v>2516</v>
      </c>
      <c r="E1843" s="2" t="s">
        <v>2534</v>
      </c>
      <c r="F1843" s="3">
        <v>43720</v>
      </c>
      <c r="G1843" s="3">
        <v>398</v>
      </c>
      <c r="H1843" s="3">
        <v>52</v>
      </c>
      <c r="I1843" s="4">
        <v>165.78</v>
      </c>
      <c r="J1843" s="4">
        <v>8094.14</v>
      </c>
      <c r="K1843" s="3">
        <v>29</v>
      </c>
      <c r="L1843" s="2" t="s">
        <v>2523</v>
      </c>
      <c r="M1843" s="2" t="s">
        <v>2546</v>
      </c>
      <c r="N1843" s="6">
        <f t="shared" si="112"/>
        <v>1</v>
      </c>
      <c r="O1843" t="str">
        <f>IF(Tabla_control[[#This Row],[Control_duplicados]]&gt;1,"Duplicado","Unico")</f>
        <v>Unico</v>
      </c>
      <c r="P1843" t="str">
        <f t="shared" si="113"/>
        <v>OK</v>
      </c>
      <c r="Q1843" t="str">
        <f t="shared" si="114"/>
        <v>OK</v>
      </c>
      <c r="R1843" t="str">
        <f t="shared" si="115"/>
        <v>OK</v>
      </c>
    </row>
    <row r="1844" spans="1:18" x14ac:dyDescent="0.3">
      <c r="A1844" s="1">
        <v>45736</v>
      </c>
      <c r="B1844" s="2" t="s">
        <v>2640</v>
      </c>
      <c r="C1844" s="2" t="s">
        <v>2515</v>
      </c>
      <c r="D1844" s="2" t="s">
        <v>2528</v>
      </c>
      <c r="E1844" s="2" t="s">
        <v>2517</v>
      </c>
      <c r="F1844" s="3">
        <v>17126</v>
      </c>
      <c r="G1844" s="3">
        <v>1484</v>
      </c>
      <c r="H1844" s="3">
        <v>145</v>
      </c>
      <c r="I1844" s="4">
        <v>915.11</v>
      </c>
      <c r="J1844" s="4">
        <v>5807.89</v>
      </c>
      <c r="K1844" s="3">
        <v>82</v>
      </c>
      <c r="L1844" s="2" t="s">
        <v>2523</v>
      </c>
      <c r="M1844" s="2" t="s">
        <v>2537</v>
      </c>
      <c r="N1844" s="6">
        <f t="shared" si="112"/>
        <v>1</v>
      </c>
      <c r="O1844" t="str">
        <f>IF(Tabla_control[[#This Row],[Control_duplicados]]&gt;1,"Duplicado","Unico")</f>
        <v>Unico</v>
      </c>
      <c r="P1844" t="str">
        <f t="shared" si="113"/>
        <v>OK</v>
      </c>
      <c r="Q1844" t="str">
        <f t="shared" si="114"/>
        <v>OK</v>
      </c>
      <c r="R1844" t="str">
        <f t="shared" si="115"/>
        <v>OK</v>
      </c>
    </row>
    <row r="1845" spans="1:18" x14ac:dyDescent="0.3">
      <c r="A1845" s="1">
        <v>45951</v>
      </c>
      <c r="B1845" s="2" t="s">
        <v>2640</v>
      </c>
      <c r="C1845" s="2" t="s">
        <v>2541</v>
      </c>
      <c r="D1845" s="2" t="s">
        <v>2528</v>
      </c>
      <c r="E1845" s="2" t="s">
        <v>2529</v>
      </c>
      <c r="F1845" s="3">
        <v>149731</v>
      </c>
      <c r="G1845" s="3">
        <v>7766</v>
      </c>
      <c r="H1845" s="3">
        <v>137</v>
      </c>
      <c r="I1845" s="4">
        <v>14779.22</v>
      </c>
      <c r="J1845" s="4">
        <v>20507.400000000001</v>
      </c>
      <c r="K1845" s="3">
        <v>81</v>
      </c>
      <c r="L1845" s="2" t="s">
        <v>2518</v>
      </c>
      <c r="M1845" s="2" t="s">
        <v>2546</v>
      </c>
      <c r="N1845" s="6">
        <f t="shared" si="112"/>
        <v>1</v>
      </c>
      <c r="O1845" t="str">
        <f>IF(Tabla_control[[#This Row],[Control_duplicados]]&gt;1,"Duplicado","Unico")</f>
        <v>Unico</v>
      </c>
      <c r="P1845" t="str">
        <f t="shared" si="113"/>
        <v>OK</v>
      </c>
      <c r="Q1845" t="str">
        <f t="shared" si="114"/>
        <v>OK</v>
      </c>
      <c r="R1845" t="str">
        <f t="shared" si="115"/>
        <v>OK</v>
      </c>
    </row>
    <row r="1846" spans="1:18" x14ac:dyDescent="0.3">
      <c r="A1846" s="1">
        <v>45694</v>
      </c>
      <c r="B1846" s="2" t="s">
        <v>2634</v>
      </c>
      <c r="C1846" s="2" t="s">
        <v>2541</v>
      </c>
      <c r="D1846" s="2" t="s">
        <v>2516</v>
      </c>
      <c r="E1846" s="2" t="s">
        <v>2529</v>
      </c>
      <c r="F1846" s="3">
        <v>89065</v>
      </c>
      <c r="G1846" s="3">
        <v>978</v>
      </c>
      <c r="H1846" s="3">
        <v>73</v>
      </c>
      <c r="I1846" s="4">
        <v>723.14</v>
      </c>
      <c r="J1846" s="4">
        <v>5774.03</v>
      </c>
      <c r="K1846" s="3">
        <v>60</v>
      </c>
      <c r="L1846" s="2" t="s">
        <v>2518</v>
      </c>
      <c r="M1846" s="2" t="s">
        <v>2526</v>
      </c>
      <c r="N1846" s="6">
        <f t="shared" si="112"/>
        <v>1</v>
      </c>
      <c r="O1846" t="str">
        <f>IF(Tabla_control[[#This Row],[Control_duplicados]]&gt;1,"Duplicado","Unico")</f>
        <v>Unico</v>
      </c>
      <c r="P1846" t="str">
        <f t="shared" si="113"/>
        <v>OK</v>
      </c>
      <c r="Q1846" t="str">
        <f t="shared" si="114"/>
        <v>OK</v>
      </c>
      <c r="R1846" t="str">
        <f t="shared" si="115"/>
        <v>OK</v>
      </c>
    </row>
    <row r="1847" spans="1:18" x14ac:dyDescent="0.3">
      <c r="A1847" s="1">
        <v>45823</v>
      </c>
      <c r="B1847" s="2" t="s">
        <v>2620</v>
      </c>
      <c r="C1847" s="2" t="s">
        <v>2515</v>
      </c>
      <c r="D1847" s="2" t="s">
        <v>2528</v>
      </c>
      <c r="E1847" s="2" t="s">
        <v>2517</v>
      </c>
      <c r="F1847" s="3">
        <v>139245</v>
      </c>
      <c r="G1847" s="3">
        <v>6131</v>
      </c>
      <c r="H1847" s="3">
        <v>277</v>
      </c>
      <c r="I1847" s="4">
        <v>1509.48</v>
      </c>
      <c r="J1847" s="4">
        <v>57779.83</v>
      </c>
      <c r="K1847" s="3">
        <v>199</v>
      </c>
      <c r="L1847" s="2" t="s">
        <v>2539</v>
      </c>
      <c r="M1847" s="2" t="s">
        <v>2519</v>
      </c>
      <c r="N1847" s="6">
        <f t="shared" si="112"/>
        <v>1</v>
      </c>
      <c r="O1847" t="str">
        <f>IF(Tabla_control[[#This Row],[Control_duplicados]]&gt;1,"Duplicado","Unico")</f>
        <v>Unico</v>
      </c>
      <c r="P1847" t="str">
        <f t="shared" si="113"/>
        <v>OK</v>
      </c>
      <c r="Q1847" t="str">
        <f t="shared" si="114"/>
        <v>OK</v>
      </c>
      <c r="R1847" t="str">
        <f t="shared" si="115"/>
        <v>OK</v>
      </c>
    </row>
    <row r="1848" spans="1:18" x14ac:dyDescent="0.3">
      <c r="A1848" s="1">
        <v>45912</v>
      </c>
      <c r="B1848" s="2" t="s">
        <v>2624</v>
      </c>
      <c r="C1848" s="2" t="s">
        <v>2527</v>
      </c>
      <c r="D1848" s="2" t="s">
        <v>2528</v>
      </c>
      <c r="E1848" s="2" t="s">
        <v>2529</v>
      </c>
      <c r="F1848" s="3">
        <v>44691</v>
      </c>
      <c r="G1848" s="3">
        <v>3406</v>
      </c>
      <c r="H1848" s="3">
        <v>262</v>
      </c>
      <c r="I1848" s="4">
        <v>2630.13</v>
      </c>
      <c r="J1848" s="4">
        <v>14022.01</v>
      </c>
      <c r="K1848" s="3">
        <v>222</v>
      </c>
      <c r="L1848" s="2" t="s">
        <v>2536</v>
      </c>
      <c r="M1848" s="2" t="s">
        <v>2519</v>
      </c>
      <c r="N1848" s="6">
        <f t="shared" si="112"/>
        <v>1</v>
      </c>
      <c r="O1848" t="str">
        <f>IF(Tabla_control[[#This Row],[Control_duplicados]]&gt;1,"Duplicado","Unico")</f>
        <v>Unico</v>
      </c>
      <c r="P1848" t="str">
        <f t="shared" si="113"/>
        <v>OK</v>
      </c>
      <c r="Q1848" t="str">
        <f t="shared" si="114"/>
        <v>OK</v>
      </c>
      <c r="R1848" t="str">
        <f t="shared" si="115"/>
        <v>OK</v>
      </c>
    </row>
    <row r="1849" spans="1:18" x14ac:dyDescent="0.3">
      <c r="A1849" s="1">
        <v>45992</v>
      </c>
      <c r="B1849" s="2" t="s">
        <v>2633</v>
      </c>
      <c r="C1849" s="2" t="s">
        <v>2527</v>
      </c>
      <c r="D1849" s="2" t="s">
        <v>2528</v>
      </c>
      <c r="E1849" s="2" t="s">
        <v>2534</v>
      </c>
      <c r="F1849" s="3">
        <v>119134</v>
      </c>
      <c r="G1849" s="3">
        <v>3132</v>
      </c>
      <c r="H1849" s="3">
        <v>278</v>
      </c>
      <c r="I1849" s="4">
        <v>611.01</v>
      </c>
      <c r="J1849" s="4">
        <v>45579.34</v>
      </c>
      <c r="K1849" s="3">
        <v>200</v>
      </c>
      <c r="L1849" s="2" t="s">
        <v>2518</v>
      </c>
      <c r="M1849" s="2" t="s">
        <v>2537</v>
      </c>
      <c r="N1849" s="6">
        <f t="shared" si="112"/>
        <v>1</v>
      </c>
      <c r="O1849" t="str">
        <f>IF(Tabla_control[[#This Row],[Control_duplicados]]&gt;1,"Duplicado","Unico")</f>
        <v>Unico</v>
      </c>
      <c r="P1849" t="str">
        <f t="shared" si="113"/>
        <v>OK</v>
      </c>
      <c r="Q1849" t="str">
        <f t="shared" si="114"/>
        <v>OK</v>
      </c>
      <c r="R1849" t="str">
        <f t="shared" si="115"/>
        <v>OK</v>
      </c>
    </row>
    <row r="1850" spans="1:18" x14ac:dyDescent="0.3">
      <c r="A1850" s="1">
        <v>45726</v>
      </c>
      <c r="B1850" s="2" t="s">
        <v>2632</v>
      </c>
      <c r="C1850" s="2" t="s">
        <v>2543</v>
      </c>
      <c r="D1850" s="2" t="s">
        <v>2528</v>
      </c>
      <c r="E1850" s="2" t="s">
        <v>2517</v>
      </c>
      <c r="F1850" s="3">
        <v>80048</v>
      </c>
      <c r="G1850" s="3">
        <v>2177</v>
      </c>
      <c r="H1850" s="3">
        <v>292</v>
      </c>
      <c r="I1850" s="4">
        <v>3831.29</v>
      </c>
      <c r="J1850" s="4">
        <v>9155.19</v>
      </c>
      <c r="K1850" s="3">
        <v>257</v>
      </c>
      <c r="L1850" s="2" t="s">
        <v>2539</v>
      </c>
      <c r="M1850" s="2" t="s">
        <v>2524</v>
      </c>
      <c r="N1850" s="6">
        <f t="shared" si="112"/>
        <v>1</v>
      </c>
      <c r="O1850" t="str">
        <f>IF(Tabla_control[[#This Row],[Control_duplicados]]&gt;1,"Duplicado","Unico")</f>
        <v>Unico</v>
      </c>
      <c r="P1850" t="str">
        <f t="shared" si="113"/>
        <v>OK</v>
      </c>
      <c r="Q1850" t="str">
        <f t="shared" si="114"/>
        <v>OK</v>
      </c>
      <c r="R1850" t="str">
        <f t="shared" si="115"/>
        <v>OK</v>
      </c>
    </row>
    <row r="1851" spans="1:18" x14ac:dyDescent="0.3">
      <c r="A1851" s="1">
        <v>45792</v>
      </c>
      <c r="B1851" s="2" t="s">
        <v>2638</v>
      </c>
      <c r="C1851" s="2" t="s">
        <v>2521</v>
      </c>
      <c r="D1851" s="2" t="s">
        <v>2516</v>
      </c>
      <c r="E1851" s="2" t="s">
        <v>2529</v>
      </c>
      <c r="F1851" s="3">
        <v>144130</v>
      </c>
      <c r="G1851" s="3">
        <v>4243</v>
      </c>
      <c r="H1851" s="3">
        <v>38</v>
      </c>
      <c r="I1851" s="4">
        <v>2684.92</v>
      </c>
      <c r="J1851" s="4">
        <v>8087.33</v>
      </c>
      <c r="K1851" s="3">
        <v>31</v>
      </c>
      <c r="L1851" s="2" t="s">
        <v>2523</v>
      </c>
      <c r="M1851" s="2" t="s">
        <v>2526</v>
      </c>
      <c r="N1851" s="6">
        <f t="shared" si="112"/>
        <v>1</v>
      </c>
      <c r="O1851" t="str">
        <f>IF(Tabla_control[[#This Row],[Control_duplicados]]&gt;1,"Duplicado","Unico")</f>
        <v>Unico</v>
      </c>
      <c r="P1851" t="str">
        <f t="shared" si="113"/>
        <v>OK</v>
      </c>
      <c r="Q1851" t="str">
        <f t="shared" si="114"/>
        <v>OK</v>
      </c>
      <c r="R1851" t="str">
        <f t="shared" si="115"/>
        <v>OK</v>
      </c>
    </row>
    <row r="1852" spans="1:18" x14ac:dyDescent="0.3">
      <c r="A1852" s="1">
        <v>45707</v>
      </c>
      <c r="B1852" s="2" t="s">
        <v>2623</v>
      </c>
      <c r="C1852" s="2" t="s">
        <v>2527</v>
      </c>
      <c r="D1852" s="2" t="s">
        <v>2645</v>
      </c>
      <c r="E1852" s="2" t="s">
        <v>2517</v>
      </c>
      <c r="F1852" s="3">
        <v>27620</v>
      </c>
      <c r="G1852" s="3">
        <v>1741</v>
      </c>
      <c r="H1852" s="3">
        <v>107</v>
      </c>
      <c r="I1852" s="4">
        <v>410.57</v>
      </c>
      <c r="J1852" s="4">
        <v>11658.12</v>
      </c>
      <c r="K1852" s="3">
        <v>64</v>
      </c>
      <c r="L1852" s="2" t="s">
        <v>2536</v>
      </c>
      <c r="M1852" s="2" t="s">
        <v>2524</v>
      </c>
      <c r="N1852" s="6">
        <f t="shared" si="112"/>
        <v>1</v>
      </c>
      <c r="O1852" t="str">
        <f>IF(Tabla_control[[#This Row],[Control_duplicados]]&gt;1,"Duplicado","Unico")</f>
        <v>Unico</v>
      </c>
      <c r="P1852" t="str">
        <f t="shared" si="113"/>
        <v>OK</v>
      </c>
      <c r="Q1852" t="str">
        <f t="shared" si="114"/>
        <v>OK</v>
      </c>
      <c r="R1852" t="str">
        <f t="shared" si="115"/>
        <v>OK</v>
      </c>
    </row>
    <row r="1853" spans="1:18" x14ac:dyDescent="0.3">
      <c r="A1853" s="1">
        <v>45973</v>
      </c>
      <c r="B1853" s="2" t="s">
        <v>2634</v>
      </c>
      <c r="C1853" s="2" t="s">
        <v>2527</v>
      </c>
      <c r="D1853" s="2" t="s">
        <v>2528</v>
      </c>
      <c r="E1853" s="2" t="s">
        <v>2529</v>
      </c>
      <c r="F1853" s="3">
        <v>31708</v>
      </c>
      <c r="G1853" s="3">
        <v>1919</v>
      </c>
      <c r="H1853" s="3">
        <v>180</v>
      </c>
      <c r="I1853" s="4">
        <v>2963.09</v>
      </c>
      <c r="J1853" s="4">
        <v>2949.81</v>
      </c>
      <c r="K1853" s="3">
        <v>86</v>
      </c>
      <c r="L1853" s="2" t="s">
        <v>2518</v>
      </c>
      <c r="M1853" s="2" t="s">
        <v>2519</v>
      </c>
      <c r="N1853" s="6">
        <f t="shared" si="112"/>
        <v>1</v>
      </c>
      <c r="O1853" t="str">
        <f>IF(Tabla_control[[#This Row],[Control_duplicados]]&gt;1,"Duplicado","Unico")</f>
        <v>Unico</v>
      </c>
      <c r="P1853" t="str">
        <f t="shared" si="113"/>
        <v>OK</v>
      </c>
      <c r="Q1853" t="str">
        <f t="shared" si="114"/>
        <v>OK</v>
      </c>
      <c r="R1853" t="str">
        <f t="shared" si="115"/>
        <v>OK</v>
      </c>
    </row>
    <row r="1854" spans="1:18" x14ac:dyDescent="0.3">
      <c r="A1854" s="1">
        <v>45727</v>
      </c>
      <c r="B1854" s="2" t="s">
        <v>2628</v>
      </c>
      <c r="C1854" s="2" t="s">
        <v>2543</v>
      </c>
      <c r="D1854" s="2" t="s">
        <v>2528</v>
      </c>
      <c r="E1854" s="2" t="s">
        <v>2529</v>
      </c>
      <c r="F1854" s="3">
        <v>15432</v>
      </c>
      <c r="G1854" s="3">
        <v>872</v>
      </c>
      <c r="H1854" s="3">
        <v>74</v>
      </c>
      <c r="I1854" s="4">
        <v>1473.67</v>
      </c>
      <c r="J1854" s="4">
        <v>1155.6199999999999</v>
      </c>
      <c r="K1854" s="3">
        <v>33</v>
      </c>
      <c r="L1854" s="2" t="s">
        <v>2518</v>
      </c>
      <c r="M1854" s="2" t="s">
        <v>2546</v>
      </c>
      <c r="N1854" s="6">
        <f t="shared" si="112"/>
        <v>1</v>
      </c>
      <c r="O1854" t="str">
        <f>IF(Tabla_control[[#This Row],[Control_duplicados]]&gt;1,"Duplicado","Unico")</f>
        <v>Unico</v>
      </c>
      <c r="P1854" t="str">
        <f t="shared" si="113"/>
        <v>OK</v>
      </c>
      <c r="Q1854" t="str">
        <f t="shared" si="114"/>
        <v>OK</v>
      </c>
      <c r="R1854" t="str">
        <f t="shared" si="115"/>
        <v>OK</v>
      </c>
    </row>
    <row r="1855" spans="1:18" x14ac:dyDescent="0.3">
      <c r="A1855" s="1">
        <v>45760</v>
      </c>
      <c r="B1855" s="2" t="s">
        <v>2620</v>
      </c>
      <c r="C1855" s="2" t="s">
        <v>2541</v>
      </c>
      <c r="D1855" s="2" t="s">
        <v>2516</v>
      </c>
      <c r="E1855" s="2" t="s">
        <v>2517</v>
      </c>
      <c r="F1855" s="3">
        <v>103017</v>
      </c>
      <c r="G1855" s="3">
        <v>2685</v>
      </c>
      <c r="H1855" s="3">
        <v>163</v>
      </c>
      <c r="I1855" s="4">
        <v>789.5</v>
      </c>
      <c r="J1855" s="4">
        <v>27544.91</v>
      </c>
      <c r="K1855" s="3">
        <v>124</v>
      </c>
      <c r="L1855" s="2" t="s">
        <v>2518</v>
      </c>
      <c r="M1855" s="2" t="s">
        <v>2524</v>
      </c>
      <c r="N1855" s="6">
        <f t="shared" si="112"/>
        <v>1</v>
      </c>
      <c r="O1855" t="str">
        <f>IF(Tabla_control[[#This Row],[Control_duplicados]]&gt;1,"Duplicado","Unico")</f>
        <v>Unico</v>
      </c>
      <c r="P1855" t="str">
        <f t="shared" si="113"/>
        <v>OK</v>
      </c>
      <c r="Q1855" t="str">
        <f t="shared" si="114"/>
        <v>OK</v>
      </c>
      <c r="R1855" t="str">
        <f t="shared" si="115"/>
        <v>OK</v>
      </c>
    </row>
    <row r="1856" spans="1:18" x14ac:dyDescent="0.3">
      <c r="A1856" s="1">
        <v>45907</v>
      </c>
      <c r="B1856" s="2" t="s">
        <v>2635</v>
      </c>
      <c r="C1856" s="2" t="s">
        <v>2541</v>
      </c>
      <c r="D1856" s="2" t="s">
        <v>2528</v>
      </c>
      <c r="E1856" s="2" t="s">
        <v>2517</v>
      </c>
      <c r="F1856" s="3">
        <v>82771</v>
      </c>
      <c r="G1856" s="3">
        <v>4626</v>
      </c>
      <c r="H1856" s="3">
        <v>184</v>
      </c>
      <c r="I1856" s="4">
        <v>7231.41</v>
      </c>
      <c r="J1856" s="4">
        <v>29883.53</v>
      </c>
      <c r="K1856" s="3">
        <v>162</v>
      </c>
      <c r="L1856" s="2" t="s">
        <v>2536</v>
      </c>
      <c r="M1856" s="2" t="s">
        <v>2519</v>
      </c>
      <c r="N1856" s="6">
        <f t="shared" si="112"/>
        <v>1</v>
      </c>
      <c r="O1856" t="str">
        <f>IF(Tabla_control[[#This Row],[Control_duplicados]]&gt;1,"Duplicado","Unico")</f>
        <v>Unico</v>
      </c>
      <c r="P1856" t="str">
        <f t="shared" si="113"/>
        <v>OK</v>
      </c>
      <c r="Q1856" t="str">
        <f t="shared" si="114"/>
        <v>OK</v>
      </c>
      <c r="R1856" t="str">
        <f t="shared" si="115"/>
        <v>OK</v>
      </c>
    </row>
    <row r="1857" spans="1:18" x14ac:dyDescent="0.3">
      <c r="A1857" s="1">
        <v>45843</v>
      </c>
      <c r="B1857" s="2" t="s">
        <v>2628</v>
      </c>
      <c r="C1857" s="2" t="s">
        <v>2533</v>
      </c>
      <c r="D1857" s="2" t="s">
        <v>2528</v>
      </c>
      <c r="E1857" s="2" t="s">
        <v>2529</v>
      </c>
      <c r="F1857" s="3">
        <v>122318</v>
      </c>
      <c r="G1857" s="3">
        <v>10376</v>
      </c>
      <c r="H1857" s="3">
        <v>1285</v>
      </c>
      <c r="I1857" s="4">
        <v>15263.31</v>
      </c>
      <c r="J1857" s="4">
        <v>143302.43</v>
      </c>
      <c r="K1857" s="3">
        <v>689</v>
      </c>
      <c r="L1857" s="2" t="s">
        <v>2523</v>
      </c>
      <c r="M1857" s="2" t="s">
        <v>2519</v>
      </c>
      <c r="N1857" s="6">
        <f t="shared" si="112"/>
        <v>1</v>
      </c>
      <c r="O1857" t="str">
        <f>IF(Tabla_control[[#This Row],[Control_duplicados]]&gt;1,"Duplicado","Unico")</f>
        <v>Unico</v>
      </c>
      <c r="P1857" t="str">
        <f t="shared" si="113"/>
        <v>OK</v>
      </c>
      <c r="Q1857" t="str">
        <f t="shared" si="114"/>
        <v>OK</v>
      </c>
      <c r="R1857" t="str">
        <f t="shared" si="115"/>
        <v>OK</v>
      </c>
    </row>
    <row r="1858" spans="1:18" x14ac:dyDescent="0.3">
      <c r="A1858" s="1">
        <v>45871</v>
      </c>
      <c r="B1858" s="2" t="s">
        <v>2625</v>
      </c>
      <c r="C1858" s="2" t="s">
        <v>2543</v>
      </c>
      <c r="D1858" s="2" t="s">
        <v>2525</v>
      </c>
      <c r="E1858" s="2" t="s">
        <v>2517</v>
      </c>
      <c r="F1858" s="3">
        <v>143509</v>
      </c>
      <c r="G1858" s="3">
        <v>7560</v>
      </c>
      <c r="H1858" s="3">
        <v>529</v>
      </c>
      <c r="I1858" s="4">
        <v>7404.78</v>
      </c>
      <c r="J1858" s="4">
        <v>57905.71</v>
      </c>
      <c r="K1858" s="3">
        <v>472</v>
      </c>
      <c r="L1858" s="2" t="s">
        <v>2523</v>
      </c>
      <c r="M1858" s="2" t="s">
        <v>2519</v>
      </c>
      <c r="N1858" s="6">
        <f t="shared" ref="N1858:N1921" si="116">COUNTIFS($A$2:$A$2536,A1858,$B$2:$B$2536,B1858,$C$2:$C$2536,C1858,$D$2:$D$2536,D1858,$E$2:$E$2536,E1858,$F$2:$F$2536,F1858,$G$2:$G$2536,G1858,$H$2:$H$2536,H1858,$I$2:$I$2536,I1858,$J$2:$J$2536,J1858,$K$2:$K$2536,K1858,$L$2:$L$2536,L1858,$M$2:$M$2536,M1858)</f>
        <v>1</v>
      </c>
      <c r="O1858" t="str">
        <f>IF(Tabla_control[[#This Row],[Control_duplicados]]&gt;1,"Duplicado","Unico")</f>
        <v>Unico</v>
      </c>
      <c r="P1858" t="str">
        <f t="shared" ref="P1858:P1921" si="117">IF(OR(I1858="",I1858&lt;0),"ERROR","OK")</f>
        <v>OK</v>
      </c>
      <c r="Q1858" t="str">
        <f t="shared" ref="Q1858:Q1921" si="118">IF(H1858&gt;F1858,"ERROR","OK")</f>
        <v>OK</v>
      </c>
      <c r="R1858" t="str">
        <f t="shared" ref="R1858:R1921" si="119">IF(K1858&gt;H1858,"ERROR","OK")</f>
        <v>OK</v>
      </c>
    </row>
    <row r="1859" spans="1:18" x14ac:dyDescent="0.3">
      <c r="A1859" s="1">
        <v>45795</v>
      </c>
      <c r="B1859" s="2" t="s">
        <v>2616</v>
      </c>
      <c r="C1859" s="2" t="s">
        <v>2533</v>
      </c>
      <c r="D1859" s="2" t="s">
        <v>2516</v>
      </c>
      <c r="E1859" s="2" t="s">
        <v>2529</v>
      </c>
      <c r="F1859" s="3">
        <v>104385</v>
      </c>
      <c r="G1859" s="3">
        <v>1278</v>
      </c>
      <c r="H1859" s="3">
        <v>165</v>
      </c>
      <c r="I1859" s="4">
        <v>1350.77</v>
      </c>
      <c r="J1859" s="4">
        <v>33313.96</v>
      </c>
      <c r="K1859" s="3">
        <v>106</v>
      </c>
      <c r="L1859" s="2" t="s">
        <v>2518</v>
      </c>
      <c r="M1859" s="2" t="s">
        <v>2524</v>
      </c>
      <c r="N1859" s="6">
        <f t="shared" si="116"/>
        <v>1</v>
      </c>
      <c r="O1859" t="str">
        <f>IF(Tabla_control[[#This Row],[Control_duplicados]]&gt;1,"Duplicado","Unico")</f>
        <v>Unico</v>
      </c>
      <c r="P1859" t="str">
        <f t="shared" si="117"/>
        <v>OK</v>
      </c>
      <c r="Q1859" t="str">
        <f t="shared" si="118"/>
        <v>OK</v>
      </c>
      <c r="R1859" t="str">
        <f t="shared" si="119"/>
        <v>OK</v>
      </c>
    </row>
    <row r="1860" spans="1:18" x14ac:dyDescent="0.3">
      <c r="A1860" s="1">
        <v>45960</v>
      </c>
      <c r="B1860" s="2" t="s">
        <v>2621</v>
      </c>
      <c r="C1860" s="2" t="s">
        <v>2521</v>
      </c>
      <c r="D1860" s="2" t="s">
        <v>2528</v>
      </c>
      <c r="E1860" s="2" t="s">
        <v>2517</v>
      </c>
      <c r="F1860" s="3">
        <v>25281</v>
      </c>
      <c r="G1860" s="3">
        <v>660</v>
      </c>
      <c r="H1860" s="3">
        <v>69</v>
      </c>
      <c r="I1860" s="4">
        <v>375.16</v>
      </c>
      <c r="J1860" s="4">
        <v>4135.01</v>
      </c>
      <c r="K1860" s="3">
        <v>49</v>
      </c>
      <c r="L1860" s="2" t="s">
        <v>2536</v>
      </c>
      <c r="M1860" s="2" t="s">
        <v>2524</v>
      </c>
      <c r="N1860" s="6">
        <f t="shared" si="116"/>
        <v>1</v>
      </c>
      <c r="O1860" t="str">
        <f>IF(Tabla_control[[#This Row],[Control_duplicados]]&gt;1,"Duplicado","Unico")</f>
        <v>Unico</v>
      </c>
      <c r="P1860" t="str">
        <f t="shared" si="117"/>
        <v>OK</v>
      </c>
      <c r="Q1860" t="str">
        <f t="shared" si="118"/>
        <v>OK</v>
      </c>
      <c r="R1860" t="str">
        <f t="shared" si="119"/>
        <v>OK</v>
      </c>
    </row>
    <row r="1861" spans="1:18" x14ac:dyDescent="0.3">
      <c r="A1861" s="1">
        <v>45716</v>
      </c>
      <c r="B1861" s="2" t="s">
        <v>2627</v>
      </c>
      <c r="C1861" s="2" t="s">
        <v>2527</v>
      </c>
      <c r="D1861" s="2" t="s">
        <v>2525</v>
      </c>
      <c r="E1861" s="2" t="s">
        <v>2517</v>
      </c>
      <c r="F1861" s="3">
        <v>118475</v>
      </c>
      <c r="G1861" s="3">
        <v>9672</v>
      </c>
      <c r="H1861" s="3">
        <v>288</v>
      </c>
      <c r="I1861" s="4">
        <v>17048.98</v>
      </c>
      <c r="J1861" s="4">
        <v>39606.400000000001</v>
      </c>
      <c r="K1861" s="3">
        <v>158</v>
      </c>
      <c r="L1861" s="2" t="s">
        <v>2536</v>
      </c>
      <c r="M1861" s="2" t="s">
        <v>2519</v>
      </c>
      <c r="N1861" s="6">
        <f t="shared" si="116"/>
        <v>1</v>
      </c>
      <c r="O1861" t="str">
        <f>IF(Tabla_control[[#This Row],[Control_duplicados]]&gt;1,"Duplicado","Unico")</f>
        <v>Unico</v>
      </c>
      <c r="P1861" t="str">
        <f t="shared" si="117"/>
        <v>OK</v>
      </c>
      <c r="Q1861" t="str">
        <f t="shared" si="118"/>
        <v>OK</v>
      </c>
      <c r="R1861" t="str">
        <f t="shared" si="119"/>
        <v>OK</v>
      </c>
    </row>
    <row r="1862" spans="1:18" x14ac:dyDescent="0.3">
      <c r="A1862" s="1">
        <v>45773</v>
      </c>
      <c r="B1862" s="2" t="s">
        <v>2621</v>
      </c>
      <c r="C1862" s="2" t="s">
        <v>2515</v>
      </c>
      <c r="D1862" s="2" t="s">
        <v>2528</v>
      </c>
      <c r="E1862" s="2" t="s">
        <v>2529</v>
      </c>
      <c r="F1862" s="3">
        <v>145644</v>
      </c>
      <c r="G1862" s="3">
        <v>10729</v>
      </c>
      <c r="H1862" s="3">
        <v>1421</v>
      </c>
      <c r="I1862" s="4">
        <v>1453.02</v>
      </c>
      <c r="J1862" s="4">
        <v>250329.44</v>
      </c>
      <c r="K1862" s="3">
        <v>1263</v>
      </c>
      <c r="L1862" s="2" t="s">
        <v>2536</v>
      </c>
      <c r="M1862" s="2" t="s">
        <v>2537</v>
      </c>
      <c r="N1862" s="6">
        <f t="shared" si="116"/>
        <v>2</v>
      </c>
      <c r="O1862" t="str">
        <f>IF(Tabla_control[[#This Row],[Control_duplicados]]&gt;1,"Duplicado","Unico")</f>
        <v>Duplicado</v>
      </c>
      <c r="P1862" t="str">
        <f t="shared" si="117"/>
        <v>OK</v>
      </c>
      <c r="Q1862" t="str">
        <f t="shared" si="118"/>
        <v>OK</v>
      </c>
      <c r="R1862" t="str">
        <f t="shared" si="119"/>
        <v>OK</v>
      </c>
    </row>
    <row r="1863" spans="1:18" x14ac:dyDescent="0.3">
      <c r="A1863" s="1">
        <v>45945</v>
      </c>
      <c r="B1863" s="2" t="s">
        <v>2636</v>
      </c>
      <c r="C1863" s="2" t="s">
        <v>2515</v>
      </c>
      <c r="D1863" s="2" t="s">
        <v>2528</v>
      </c>
      <c r="E1863" s="2" t="s">
        <v>2529</v>
      </c>
      <c r="F1863" s="3">
        <v>111755</v>
      </c>
      <c r="G1863" s="3">
        <v>4484</v>
      </c>
      <c r="H1863" s="3">
        <v>518</v>
      </c>
      <c r="I1863" s="4">
        <v>4645.1099999999997</v>
      </c>
      <c r="J1863" s="4">
        <v>66062.97</v>
      </c>
      <c r="K1863" s="3">
        <v>285</v>
      </c>
      <c r="L1863" s="2" t="s">
        <v>2523</v>
      </c>
      <c r="M1863" s="2" t="s">
        <v>2537</v>
      </c>
      <c r="N1863" s="6">
        <f t="shared" si="116"/>
        <v>1</v>
      </c>
      <c r="O1863" t="str">
        <f>IF(Tabla_control[[#This Row],[Control_duplicados]]&gt;1,"Duplicado","Unico")</f>
        <v>Unico</v>
      </c>
      <c r="P1863" t="str">
        <f t="shared" si="117"/>
        <v>OK</v>
      </c>
      <c r="Q1863" t="str">
        <f t="shared" si="118"/>
        <v>OK</v>
      </c>
      <c r="R1863" t="str">
        <f t="shared" si="119"/>
        <v>OK</v>
      </c>
    </row>
    <row r="1864" spans="1:18" x14ac:dyDescent="0.3">
      <c r="A1864" s="1">
        <v>45967</v>
      </c>
      <c r="B1864" s="2" t="s">
        <v>2628</v>
      </c>
      <c r="C1864" s="2" t="s">
        <v>2543</v>
      </c>
      <c r="D1864" s="2" t="s">
        <v>2522</v>
      </c>
      <c r="E1864" s="2" t="s">
        <v>2529</v>
      </c>
      <c r="F1864" s="3">
        <v>25795</v>
      </c>
      <c r="G1864" s="3">
        <v>538</v>
      </c>
      <c r="H1864" s="3">
        <v>32</v>
      </c>
      <c r="I1864" s="4">
        <v>854.29</v>
      </c>
      <c r="J1864" s="4">
        <v>4547.2299999999996</v>
      </c>
      <c r="K1864" s="3">
        <v>20</v>
      </c>
      <c r="L1864" s="2" t="s">
        <v>2536</v>
      </c>
      <c r="M1864" s="2" t="s">
        <v>2519</v>
      </c>
      <c r="N1864" s="6">
        <f t="shared" si="116"/>
        <v>1</v>
      </c>
      <c r="O1864" t="str">
        <f>IF(Tabla_control[[#This Row],[Control_duplicados]]&gt;1,"Duplicado","Unico")</f>
        <v>Unico</v>
      </c>
      <c r="P1864" t="str">
        <f t="shared" si="117"/>
        <v>OK</v>
      </c>
      <c r="Q1864" t="str">
        <f t="shared" si="118"/>
        <v>OK</v>
      </c>
      <c r="R1864" t="str">
        <f t="shared" si="119"/>
        <v>OK</v>
      </c>
    </row>
    <row r="1865" spans="1:18" x14ac:dyDescent="0.3">
      <c r="A1865" s="1">
        <v>45785</v>
      </c>
      <c r="B1865" s="2" t="s">
        <v>2640</v>
      </c>
      <c r="C1865" s="2" t="s">
        <v>2541</v>
      </c>
      <c r="D1865" s="2" t="s">
        <v>2528</v>
      </c>
      <c r="E1865" s="2" t="s">
        <v>2529</v>
      </c>
      <c r="F1865" s="3">
        <v>169372</v>
      </c>
      <c r="G1865" s="3">
        <v>5683</v>
      </c>
      <c r="H1865" s="3">
        <v>120</v>
      </c>
      <c r="I1865" s="4">
        <v>11345.02</v>
      </c>
      <c r="J1865" s="4">
        <v>8349.73</v>
      </c>
      <c r="K1865" s="3">
        <v>56</v>
      </c>
      <c r="L1865" s="2" t="s">
        <v>2536</v>
      </c>
      <c r="M1865" s="2" t="s">
        <v>2526</v>
      </c>
      <c r="N1865" s="6">
        <f t="shared" si="116"/>
        <v>1</v>
      </c>
      <c r="O1865" t="str">
        <f>IF(Tabla_control[[#This Row],[Control_duplicados]]&gt;1,"Duplicado","Unico")</f>
        <v>Unico</v>
      </c>
      <c r="P1865" t="str">
        <f t="shared" si="117"/>
        <v>OK</v>
      </c>
      <c r="Q1865" t="str">
        <f t="shared" si="118"/>
        <v>OK</v>
      </c>
      <c r="R1865" t="str">
        <f t="shared" si="119"/>
        <v>OK</v>
      </c>
    </row>
    <row r="1866" spans="1:18" x14ac:dyDescent="0.3">
      <c r="A1866" s="1">
        <v>46022</v>
      </c>
      <c r="B1866" s="2" t="s">
        <v>2641</v>
      </c>
      <c r="C1866" s="2" t="s">
        <v>2543</v>
      </c>
      <c r="D1866" s="2" t="s">
        <v>2522</v>
      </c>
      <c r="E1866" s="2" t="s">
        <v>2529</v>
      </c>
      <c r="F1866" s="3">
        <v>50581</v>
      </c>
      <c r="G1866" s="3">
        <v>2820</v>
      </c>
      <c r="H1866" s="3">
        <v>330</v>
      </c>
      <c r="I1866" s="4">
        <v>3644.68</v>
      </c>
      <c r="J1866" s="4">
        <v>36594.050000000003</v>
      </c>
      <c r="K1866" s="3">
        <v>231</v>
      </c>
      <c r="L1866" s="2" t="s">
        <v>2536</v>
      </c>
      <c r="M1866" s="2" t="s">
        <v>2524</v>
      </c>
      <c r="N1866" s="6">
        <f t="shared" si="116"/>
        <v>1</v>
      </c>
      <c r="O1866" t="str">
        <f>IF(Tabla_control[[#This Row],[Control_duplicados]]&gt;1,"Duplicado","Unico")</f>
        <v>Unico</v>
      </c>
      <c r="P1866" t="str">
        <f t="shared" si="117"/>
        <v>OK</v>
      </c>
      <c r="Q1866" t="str">
        <f t="shared" si="118"/>
        <v>OK</v>
      </c>
      <c r="R1866" t="str">
        <f t="shared" si="119"/>
        <v>OK</v>
      </c>
    </row>
    <row r="1867" spans="1:18" x14ac:dyDescent="0.3">
      <c r="A1867" s="1">
        <v>45899</v>
      </c>
      <c r="B1867" s="2" t="s">
        <v>2618</v>
      </c>
      <c r="C1867" s="2" t="s">
        <v>2543</v>
      </c>
      <c r="D1867" s="2" t="s">
        <v>2528</v>
      </c>
      <c r="E1867" s="2" t="s">
        <v>2529</v>
      </c>
      <c r="F1867" s="3">
        <v>157479</v>
      </c>
      <c r="G1867" s="3">
        <v>11320</v>
      </c>
      <c r="H1867" s="3">
        <v>580</v>
      </c>
      <c r="I1867" s="4">
        <v>21510.639999999999</v>
      </c>
      <c r="J1867" s="4">
        <v>110852.74</v>
      </c>
      <c r="K1867" s="3">
        <v>369</v>
      </c>
      <c r="L1867" s="2" t="s">
        <v>2539</v>
      </c>
      <c r="M1867" s="2" t="s">
        <v>2546</v>
      </c>
      <c r="N1867" s="6">
        <f t="shared" si="116"/>
        <v>1</v>
      </c>
      <c r="O1867" t="str">
        <f>IF(Tabla_control[[#This Row],[Control_duplicados]]&gt;1,"Duplicado","Unico")</f>
        <v>Unico</v>
      </c>
      <c r="P1867" t="str">
        <f t="shared" si="117"/>
        <v>OK</v>
      </c>
      <c r="Q1867" t="str">
        <f t="shared" si="118"/>
        <v>OK</v>
      </c>
      <c r="R1867" t="str">
        <f t="shared" si="119"/>
        <v>OK</v>
      </c>
    </row>
    <row r="1868" spans="1:18" x14ac:dyDescent="0.3">
      <c r="A1868" s="1">
        <v>46000</v>
      </c>
      <c r="B1868" s="2" t="s">
        <v>2623</v>
      </c>
      <c r="C1868" s="2" t="s">
        <v>2515</v>
      </c>
      <c r="D1868" s="2" t="s">
        <v>2528</v>
      </c>
      <c r="E1868" s="2" t="s">
        <v>2517</v>
      </c>
      <c r="F1868" s="3">
        <v>178936</v>
      </c>
      <c r="G1868" s="3">
        <v>12867</v>
      </c>
      <c r="H1868" s="3">
        <v>1207</v>
      </c>
      <c r="I1868" s="4">
        <v>15102.35</v>
      </c>
      <c r="J1868" s="4">
        <v>94161.79</v>
      </c>
      <c r="K1868" s="3">
        <v>571</v>
      </c>
      <c r="L1868" s="2" t="s">
        <v>2518</v>
      </c>
      <c r="M1868" s="2" t="s">
        <v>2526</v>
      </c>
      <c r="N1868" s="6">
        <f t="shared" si="116"/>
        <v>1</v>
      </c>
      <c r="O1868" t="str">
        <f>IF(Tabla_control[[#This Row],[Control_duplicados]]&gt;1,"Duplicado","Unico")</f>
        <v>Unico</v>
      </c>
      <c r="P1868" t="str">
        <f t="shared" si="117"/>
        <v>OK</v>
      </c>
      <c r="Q1868" t="str">
        <f t="shared" si="118"/>
        <v>OK</v>
      </c>
      <c r="R1868" t="str">
        <f t="shared" si="119"/>
        <v>OK</v>
      </c>
    </row>
    <row r="1869" spans="1:18" x14ac:dyDescent="0.3">
      <c r="A1869" s="1">
        <v>45859</v>
      </c>
      <c r="B1869" s="2" t="s">
        <v>2617</v>
      </c>
      <c r="C1869" s="2" t="s">
        <v>2533</v>
      </c>
      <c r="D1869" s="2" t="s">
        <v>2528</v>
      </c>
      <c r="E1869" s="2" t="s">
        <v>2529</v>
      </c>
      <c r="F1869" s="3">
        <v>37674</v>
      </c>
      <c r="G1869" s="3">
        <v>2366</v>
      </c>
      <c r="H1869" s="3">
        <v>237</v>
      </c>
      <c r="I1869" s="4">
        <v>1886.28</v>
      </c>
      <c r="J1869" s="4">
        <v>11793.92</v>
      </c>
      <c r="K1869" s="3">
        <v>197</v>
      </c>
      <c r="L1869" s="2" t="s">
        <v>2539</v>
      </c>
      <c r="M1869" s="2" t="s">
        <v>2526</v>
      </c>
      <c r="N1869" s="6">
        <f t="shared" si="116"/>
        <v>1</v>
      </c>
      <c r="O1869" t="str">
        <f>IF(Tabla_control[[#This Row],[Control_duplicados]]&gt;1,"Duplicado","Unico")</f>
        <v>Unico</v>
      </c>
      <c r="P1869" t="str">
        <f t="shared" si="117"/>
        <v>OK</v>
      </c>
      <c r="Q1869" t="str">
        <f t="shared" si="118"/>
        <v>OK</v>
      </c>
      <c r="R1869" t="str">
        <f t="shared" si="119"/>
        <v>OK</v>
      </c>
    </row>
    <row r="1870" spans="1:18" x14ac:dyDescent="0.3">
      <c r="A1870" s="1">
        <v>45767</v>
      </c>
      <c r="B1870" s="2" t="s">
        <v>2630</v>
      </c>
      <c r="C1870" s="2" t="s">
        <v>2527</v>
      </c>
      <c r="D1870" s="2" t="s">
        <v>2516</v>
      </c>
      <c r="E1870" s="2" t="s">
        <v>2517</v>
      </c>
      <c r="F1870" s="3">
        <v>137270</v>
      </c>
      <c r="G1870" s="3">
        <v>11403</v>
      </c>
      <c r="H1870" s="3">
        <v>1431</v>
      </c>
      <c r="I1870" s="4">
        <v>9931.2000000000007</v>
      </c>
      <c r="J1870" s="4">
        <v>52877.94</v>
      </c>
      <c r="K1870" s="3">
        <v>644</v>
      </c>
      <c r="L1870" s="2" t="s">
        <v>2518</v>
      </c>
      <c r="M1870" s="2" t="s">
        <v>2526</v>
      </c>
      <c r="N1870" s="6">
        <f t="shared" si="116"/>
        <v>1</v>
      </c>
      <c r="O1870" t="str">
        <f>IF(Tabla_control[[#This Row],[Control_duplicados]]&gt;1,"Duplicado","Unico")</f>
        <v>Unico</v>
      </c>
      <c r="P1870" t="str">
        <f t="shared" si="117"/>
        <v>OK</v>
      </c>
      <c r="Q1870" t="str">
        <f t="shared" si="118"/>
        <v>OK</v>
      </c>
      <c r="R1870" t="str">
        <f t="shared" si="119"/>
        <v>OK</v>
      </c>
    </row>
    <row r="1871" spans="1:18" x14ac:dyDescent="0.3">
      <c r="A1871" s="1">
        <v>45810</v>
      </c>
      <c r="B1871" s="2" t="s">
        <v>2618</v>
      </c>
      <c r="C1871" s="2" t="s">
        <v>2533</v>
      </c>
      <c r="D1871" s="2" t="s">
        <v>2522</v>
      </c>
      <c r="E1871" s="2" t="s">
        <v>2517</v>
      </c>
      <c r="F1871" s="3">
        <v>146091</v>
      </c>
      <c r="G1871" s="3">
        <v>7753</v>
      </c>
      <c r="H1871" s="3">
        <v>380</v>
      </c>
      <c r="I1871" s="4">
        <v>5213.29</v>
      </c>
      <c r="J1871" s="4">
        <v>17244.330000000002</v>
      </c>
      <c r="K1871" s="3">
        <v>268</v>
      </c>
      <c r="L1871" s="2" t="s">
        <v>2539</v>
      </c>
      <c r="M1871" s="2" t="s">
        <v>2524</v>
      </c>
      <c r="N1871" s="6">
        <f t="shared" si="116"/>
        <v>1</v>
      </c>
      <c r="O1871" t="str">
        <f>IF(Tabla_control[[#This Row],[Control_duplicados]]&gt;1,"Duplicado","Unico")</f>
        <v>Unico</v>
      </c>
      <c r="P1871" t="str">
        <f t="shared" si="117"/>
        <v>OK</v>
      </c>
      <c r="Q1871" t="str">
        <f t="shared" si="118"/>
        <v>OK</v>
      </c>
      <c r="R1871" t="str">
        <f t="shared" si="119"/>
        <v>OK</v>
      </c>
    </row>
    <row r="1872" spans="1:18" x14ac:dyDescent="0.3">
      <c r="A1872" s="1">
        <v>45998</v>
      </c>
      <c r="B1872" s="2" t="s">
        <v>2638</v>
      </c>
      <c r="C1872" s="2" t="s">
        <v>2527</v>
      </c>
      <c r="D1872" s="2" t="s">
        <v>2516</v>
      </c>
      <c r="E1872" s="2" t="s">
        <v>2529</v>
      </c>
      <c r="F1872" s="3">
        <v>118399</v>
      </c>
      <c r="G1872" s="3">
        <v>4829</v>
      </c>
      <c r="H1872" s="3">
        <v>550</v>
      </c>
      <c r="I1872" s="4">
        <v>8532.07</v>
      </c>
      <c r="J1872" s="4">
        <v>54040.98</v>
      </c>
      <c r="K1872" s="3">
        <v>384</v>
      </c>
      <c r="L1872" s="2" t="s">
        <v>2523</v>
      </c>
      <c r="M1872" s="2" t="s">
        <v>2526</v>
      </c>
      <c r="N1872" s="6">
        <f t="shared" si="116"/>
        <v>1</v>
      </c>
      <c r="O1872" t="str">
        <f>IF(Tabla_control[[#This Row],[Control_duplicados]]&gt;1,"Duplicado","Unico")</f>
        <v>Unico</v>
      </c>
      <c r="P1872" t="str">
        <f t="shared" si="117"/>
        <v>OK</v>
      </c>
      <c r="Q1872" t="str">
        <f t="shared" si="118"/>
        <v>OK</v>
      </c>
      <c r="R1872" t="str">
        <f t="shared" si="119"/>
        <v>OK</v>
      </c>
    </row>
    <row r="1873" spans="1:18" x14ac:dyDescent="0.3">
      <c r="A1873" s="1">
        <v>45914</v>
      </c>
      <c r="B1873" s="2" t="s">
        <v>2625</v>
      </c>
      <c r="C1873" s="2" t="s">
        <v>2521</v>
      </c>
      <c r="D1873" s="2" t="s">
        <v>2525</v>
      </c>
      <c r="E1873" s="2" t="s">
        <v>2517</v>
      </c>
      <c r="F1873" s="3">
        <v>54632</v>
      </c>
      <c r="G1873" s="3">
        <v>1658</v>
      </c>
      <c r="H1873" s="3">
        <v>217</v>
      </c>
      <c r="I1873" s="4">
        <v>1870.33</v>
      </c>
      <c r="J1873" s="4">
        <v>31200.34</v>
      </c>
      <c r="K1873" s="3">
        <v>191</v>
      </c>
      <c r="L1873" s="2" t="s">
        <v>2523</v>
      </c>
      <c r="M1873" s="2" t="s">
        <v>2537</v>
      </c>
      <c r="N1873" s="6">
        <f t="shared" si="116"/>
        <v>1</v>
      </c>
      <c r="O1873" t="str">
        <f>IF(Tabla_control[[#This Row],[Control_duplicados]]&gt;1,"Duplicado","Unico")</f>
        <v>Unico</v>
      </c>
      <c r="P1873" t="str">
        <f t="shared" si="117"/>
        <v>OK</v>
      </c>
      <c r="Q1873" t="str">
        <f t="shared" si="118"/>
        <v>OK</v>
      </c>
      <c r="R1873" t="str">
        <f t="shared" si="119"/>
        <v>OK</v>
      </c>
    </row>
    <row r="1874" spans="1:18" x14ac:dyDescent="0.3">
      <c r="A1874" s="1">
        <v>45848</v>
      </c>
      <c r="B1874" s="2" t="s">
        <v>2620</v>
      </c>
      <c r="C1874" s="2" t="s">
        <v>2527</v>
      </c>
      <c r="D1874" s="2" t="s">
        <v>2528</v>
      </c>
      <c r="E1874" s="2" t="s">
        <v>2517</v>
      </c>
      <c r="F1874" s="3">
        <v>77155</v>
      </c>
      <c r="G1874" s="3">
        <v>4533</v>
      </c>
      <c r="H1874" s="3">
        <v>481</v>
      </c>
      <c r="I1874" s="4">
        <v>1916.34</v>
      </c>
      <c r="J1874" s="4">
        <v>70290.28</v>
      </c>
      <c r="K1874" s="3">
        <v>284</v>
      </c>
      <c r="L1874" s="2" t="s">
        <v>2539</v>
      </c>
      <c r="M1874" s="2" t="s">
        <v>2537</v>
      </c>
      <c r="N1874" s="6">
        <f t="shared" si="116"/>
        <v>1</v>
      </c>
      <c r="O1874" t="str">
        <f>IF(Tabla_control[[#This Row],[Control_duplicados]]&gt;1,"Duplicado","Unico")</f>
        <v>Unico</v>
      </c>
      <c r="P1874" t="str">
        <f t="shared" si="117"/>
        <v>OK</v>
      </c>
      <c r="Q1874" t="str">
        <f t="shared" si="118"/>
        <v>OK</v>
      </c>
      <c r="R1874" t="str">
        <f t="shared" si="119"/>
        <v>OK</v>
      </c>
    </row>
    <row r="1875" spans="1:18" x14ac:dyDescent="0.3">
      <c r="A1875" s="1">
        <v>45898</v>
      </c>
      <c r="B1875" s="2" t="s">
        <v>2633</v>
      </c>
      <c r="C1875" s="2" t="s">
        <v>2515</v>
      </c>
      <c r="D1875" s="2" t="s">
        <v>2522</v>
      </c>
      <c r="E1875" s="2" t="s">
        <v>2529</v>
      </c>
      <c r="F1875" s="3">
        <v>149635</v>
      </c>
      <c r="G1875" s="3">
        <v>1360</v>
      </c>
      <c r="H1875" s="3">
        <v>115</v>
      </c>
      <c r="I1875" s="4">
        <v>2378.31</v>
      </c>
      <c r="J1875" s="4">
        <v>10830.63</v>
      </c>
      <c r="K1875" s="3">
        <v>85</v>
      </c>
      <c r="L1875" s="2" t="s">
        <v>2518</v>
      </c>
      <c r="M1875" s="2" t="s">
        <v>2537</v>
      </c>
      <c r="N1875" s="6">
        <f t="shared" si="116"/>
        <v>1</v>
      </c>
      <c r="O1875" t="str">
        <f>IF(Tabla_control[[#This Row],[Control_duplicados]]&gt;1,"Duplicado","Unico")</f>
        <v>Unico</v>
      </c>
      <c r="P1875" t="str">
        <f t="shared" si="117"/>
        <v>OK</v>
      </c>
      <c r="Q1875" t="str">
        <f t="shared" si="118"/>
        <v>OK</v>
      </c>
      <c r="R1875" t="str">
        <f t="shared" si="119"/>
        <v>OK</v>
      </c>
    </row>
    <row r="1876" spans="1:18" x14ac:dyDescent="0.3">
      <c r="A1876" s="1">
        <v>45782</v>
      </c>
      <c r="B1876" s="2" t="s">
        <v>2636</v>
      </c>
      <c r="C1876" s="2" t="s">
        <v>2521</v>
      </c>
      <c r="D1876" s="2" t="s">
        <v>2516</v>
      </c>
      <c r="E1876" s="2" t="s">
        <v>2517</v>
      </c>
      <c r="F1876" s="3">
        <v>110178</v>
      </c>
      <c r="G1876" s="3">
        <v>9281</v>
      </c>
      <c r="H1876" s="3">
        <v>289</v>
      </c>
      <c r="I1876" s="4">
        <v>15392.83</v>
      </c>
      <c r="J1876" s="4">
        <v>49443.06</v>
      </c>
      <c r="K1876" s="3">
        <v>193</v>
      </c>
      <c r="L1876" s="2" t="s">
        <v>2523</v>
      </c>
      <c r="M1876" s="2" t="s">
        <v>2524</v>
      </c>
      <c r="N1876" s="6">
        <f t="shared" si="116"/>
        <v>1</v>
      </c>
      <c r="O1876" t="str">
        <f>IF(Tabla_control[[#This Row],[Control_duplicados]]&gt;1,"Duplicado","Unico")</f>
        <v>Unico</v>
      </c>
      <c r="P1876" t="str">
        <f t="shared" si="117"/>
        <v>OK</v>
      </c>
      <c r="Q1876" t="str">
        <f t="shared" si="118"/>
        <v>OK</v>
      </c>
      <c r="R1876" t="str">
        <f t="shared" si="119"/>
        <v>OK</v>
      </c>
    </row>
    <row r="1877" spans="1:18" x14ac:dyDescent="0.3">
      <c r="A1877" s="1">
        <v>45719</v>
      </c>
      <c r="B1877" s="2" t="s">
        <v>2623</v>
      </c>
      <c r="C1877" s="2" t="s">
        <v>2543</v>
      </c>
      <c r="D1877" s="2" t="s">
        <v>2528</v>
      </c>
      <c r="E1877" s="2" t="s">
        <v>2534</v>
      </c>
      <c r="F1877" s="3">
        <v>158051</v>
      </c>
      <c r="G1877" s="3">
        <v>4672</v>
      </c>
      <c r="H1877" s="3">
        <v>455</v>
      </c>
      <c r="I1877" s="4">
        <v>4193.1400000000003</v>
      </c>
      <c r="J1877" s="4">
        <v>84820.31</v>
      </c>
      <c r="K1877" s="3">
        <v>366</v>
      </c>
      <c r="L1877" s="2" t="s">
        <v>2536</v>
      </c>
      <c r="M1877" s="2" t="s">
        <v>2537</v>
      </c>
      <c r="N1877" s="6">
        <f t="shared" si="116"/>
        <v>1</v>
      </c>
      <c r="O1877" t="str">
        <f>IF(Tabla_control[[#This Row],[Control_duplicados]]&gt;1,"Duplicado","Unico")</f>
        <v>Unico</v>
      </c>
      <c r="P1877" t="str">
        <f t="shared" si="117"/>
        <v>OK</v>
      </c>
      <c r="Q1877" t="str">
        <f t="shared" si="118"/>
        <v>OK</v>
      </c>
      <c r="R1877" t="str">
        <f t="shared" si="119"/>
        <v>OK</v>
      </c>
    </row>
    <row r="1878" spans="1:18" x14ac:dyDescent="0.3">
      <c r="A1878" s="1">
        <v>45752</v>
      </c>
      <c r="B1878" s="2" t="s">
        <v>2628</v>
      </c>
      <c r="C1878" s="2" t="s">
        <v>2543</v>
      </c>
      <c r="D1878" s="2" t="s">
        <v>2525</v>
      </c>
      <c r="E1878" s="2" t="s">
        <v>2517</v>
      </c>
      <c r="F1878" s="3">
        <v>45805</v>
      </c>
      <c r="G1878" s="3">
        <v>3258</v>
      </c>
      <c r="H1878" s="3">
        <v>410</v>
      </c>
      <c r="I1878" s="4">
        <v>1084.5899999999999</v>
      </c>
      <c r="J1878" s="4">
        <v>36306</v>
      </c>
      <c r="K1878" s="3">
        <v>298</v>
      </c>
      <c r="L1878" s="2" t="s">
        <v>2536</v>
      </c>
      <c r="M1878" s="2" t="s">
        <v>2524</v>
      </c>
      <c r="N1878" s="6">
        <f t="shared" si="116"/>
        <v>1</v>
      </c>
      <c r="O1878" t="str">
        <f>IF(Tabla_control[[#This Row],[Control_duplicados]]&gt;1,"Duplicado","Unico")</f>
        <v>Unico</v>
      </c>
      <c r="P1878" t="str">
        <f t="shared" si="117"/>
        <v>OK</v>
      </c>
      <c r="Q1878" t="str">
        <f t="shared" si="118"/>
        <v>OK</v>
      </c>
      <c r="R1878" t="str">
        <f t="shared" si="119"/>
        <v>OK</v>
      </c>
    </row>
    <row r="1879" spans="1:18" x14ac:dyDescent="0.3">
      <c r="A1879" s="1">
        <v>45898</v>
      </c>
      <c r="B1879" s="2" t="s">
        <v>2630</v>
      </c>
      <c r="C1879" s="2" t="s">
        <v>2543</v>
      </c>
      <c r="D1879" s="2" t="s">
        <v>2531</v>
      </c>
      <c r="E1879" s="2" t="s">
        <v>2517</v>
      </c>
      <c r="F1879" s="3">
        <v>10947</v>
      </c>
      <c r="G1879" s="3">
        <v>326</v>
      </c>
      <c r="H1879" s="3">
        <v>7</v>
      </c>
      <c r="I1879" s="4">
        <v>75.48</v>
      </c>
      <c r="J1879" s="4">
        <v>1468.96</v>
      </c>
      <c r="K1879" s="3">
        <v>3</v>
      </c>
      <c r="L1879" s="2" t="s">
        <v>2536</v>
      </c>
      <c r="M1879" s="2" t="s">
        <v>2537</v>
      </c>
      <c r="N1879" s="6">
        <f t="shared" si="116"/>
        <v>1</v>
      </c>
      <c r="O1879" t="str">
        <f>IF(Tabla_control[[#This Row],[Control_duplicados]]&gt;1,"Duplicado","Unico")</f>
        <v>Unico</v>
      </c>
      <c r="P1879" t="str">
        <f t="shared" si="117"/>
        <v>OK</v>
      </c>
      <c r="Q1879" t="str">
        <f t="shared" si="118"/>
        <v>OK</v>
      </c>
      <c r="R1879" t="str">
        <f t="shared" si="119"/>
        <v>OK</v>
      </c>
    </row>
    <row r="1880" spans="1:18" x14ac:dyDescent="0.3">
      <c r="A1880" s="1">
        <v>45889</v>
      </c>
      <c r="B1880" s="2" t="s">
        <v>2633</v>
      </c>
      <c r="C1880" s="2" t="s">
        <v>2543</v>
      </c>
      <c r="D1880" s="2" t="s">
        <v>2528</v>
      </c>
      <c r="E1880" s="2" t="s">
        <v>2529</v>
      </c>
      <c r="F1880" s="3">
        <v>122807</v>
      </c>
      <c r="G1880" s="3">
        <v>1876</v>
      </c>
      <c r="H1880" s="3">
        <v>58</v>
      </c>
      <c r="I1880" s="4">
        <v>587.19000000000005</v>
      </c>
      <c r="J1880" s="4">
        <v>3911.33</v>
      </c>
      <c r="K1880" s="3">
        <v>42</v>
      </c>
      <c r="L1880" s="2" t="s">
        <v>2539</v>
      </c>
      <c r="M1880" s="2" t="s">
        <v>2519</v>
      </c>
      <c r="N1880" s="6">
        <f t="shared" si="116"/>
        <v>1</v>
      </c>
      <c r="O1880" t="str">
        <f>IF(Tabla_control[[#This Row],[Control_duplicados]]&gt;1,"Duplicado","Unico")</f>
        <v>Unico</v>
      </c>
      <c r="P1880" t="str">
        <f t="shared" si="117"/>
        <v>OK</v>
      </c>
      <c r="Q1880" t="str">
        <f t="shared" si="118"/>
        <v>OK</v>
      </c>
      <c r="R1880" t="str">
        <f t="shared" si="119"/>
        <v>OK</v>
      </c>
    </row>
    <row r="1881" spans="1:18" x14ac:dyDescent="0.3">
      <c r="A1881" s="1">
        <v>45664</v>
      </c>
      <c r="B1881" s="2" t="s">
        <v>2633</v>
      </c>
      <c r="C1881" s="2" t="s">
        <v>2543</v>
      </c>
      <c r="D1881" s="2" t="s">
        <v>2522</v>
      </c>
      <c r="E1881" s="2" t="s">
        <v>2529</v>
      </c>
      <c r="F1881" s="3">
        <v>25058</v>
      </c>
      <c r="G1881" s="3">
        <v>2223</v>
      </c>
      <c r="H1881" s="3">
        <v>293</v>
      </c>
      <c r="I1881" s="4">
        <v>970.53</v>
      </c>
      <c r="J1881" s="4">
        <v>42482.03</v>
      </c>
      <c r="K1881" s="3">
        <v>204</v>
      </c>
      <c r="L1881" s="2" t="s">
        <v>2523</v>
      </c>
      <c r="M1881" s="2" t="s">
        <v>2526</v>
      </c>
      <c r="N1881" s="6">
        <f t="shared" si="116"/>
        <v>1</v>
      </c>
      <c r="O1881" t="str">
        <f>IF(Tabla_control[[#This Row],[Control_duplicados]]&gt;1,"Duplicado","Unico")</f>
        <v>Unico</v>
      </c>
      <c r="P1881" t="str">
        <f t="shared" si="117"/>
        <v>OK</v>
      </c>
      <c r="Q1881" t="str">
        <f t="shared" si="118"/>
        <v>OK</v>
      </c>
      <c r="R1881" t="str">
        <f t="shared" si="119"/>
        <v>OK</v>
      </c>
    </row>
    <row r="1882" spans="1:18" x14ac:dyDescent="0.3">
      <c r="A1882" s="1">
        <v>45748</v>
      </c>
      <c r="B1882" s="2" t="s">
        <v>2641</v>
      </c>
      <c r="C1882" s="2" t="s">
        <v>2543</v>
      </c>
      <c r="D1882" s="2" t="s">
        <v>2528</v>
      </c>
      <c r="E1882" s="2" t="s">
        <v>2534</v>
      </c>
      <c r="F1882" s="3">
        <v>103587</v>
      </c>
      <c r="G1882" s="3">
        <v>4822</v>
      </c>
      <c r="H1882" s="3">
        <v>549</v>
      </c>
      <c r="I1882" s="4">
        <v>4184.0200000000004</v>
      </c>
      <c r="J1882" s="4">
        <v>24604.25</v>
      </c>
      <c r="K1882" s="3">
        <v>293</v>
      </c>
      <c r="L1882" s="2" t="s">
        <v>2523</v>
      </c>
      <c r="M1882" s="2" t="s">
        <v>2546</v>
      </c>
      <c r="N1882" s="6">
        <f t="shared" si="116"/>
        <v>1</v>
      </c>
      <c r="O1882" t="str">
        <f>IF(Tabla_control[[#This Row],[Control_duplicados]]&gt;1,"Duplicado","Unico")</f>
        <v>Unico</v>
      </c>
      <c r="P1882" t="str">
        <f t="shared" si="117"/>
        <v>OK</v>
      </c>
      <c r="Q1882" t="str">
        <f t="shared" si="118"/>
        <v>OK</v>
      </c>
      <c r="R1882" t="str">
        <f t="shared" si="119"/>
        <v>OK</v>
      </c>
    </row>
    <row r="1883" spans="1:18" x14ac:dyDescent="0.3">
      <c r="A1883" s="1">
        <v>45812</v>
      </c>
      <c r="B1883" s="2" t="s">
        <v>2640</v>
      </c>
      <c r="C1883" s="2" t="s">
        <v>2515</v>
      </c>
      <c r="D1883" s="2" t="s">
        <v>2516</v>
      </c>
      <c r="E1883" s="2" t="s">
        <v>2517</v>
      </c>
      <c r="F1883" s="3">
        <v>175358</v>
      </c>
      <c r="G1883" s="3">
        <v>5248</v>
      </c>
      <c r="H1883" s="3">
        <v>56</v>
      </c>
      <c r="I1883" s="4">
        <v>6824.61</v>
      </c>
      <c r="J1883" s="4">
        <v>3668.82</v>
      </c>
      <c r="K1883" s="3">
        <v>50</v>
      </c>
      <c r="L1883" s="2" t="s">
        <v>2523</v>
      </c>
      <c r="M1883" s="2" t="s">
        <v>2526</v>
      </c>
      <c r="N1883" s="6">
        <f t="shared" si="116"/>
        <v>1</v>
      </c>
      <c r="O1883" t="str">
        <f>IF(Tabla_control[[#This Row],[Control_duplicados]]&gt;1,"Duplicado","Unico")</f>
        <v>Unico</v>
      </c>
      <c r="P1883" t="str">
        <f t="shared" si="117"/>
        <v>OK</v>
      </c>
      <c r="Q1883" t="str">
        <f t="shared" si="118"/>
        <v>OK</v>
      </c>
      <c r="R1883" t="str">
        <f t="shared" si="119"/>
        <v>OK</v>
      </c>
    </row>
    <row r="1884" spans="1:18" x14ac:dyDescent="0.3">
      <c r="A1884" s="1">
        <v>45757</v>
      </c>
      <c r="B1884" s="2" t="s">
        <v>2629</v>
      </c>
      <c r="C1884" s="2" t="s">
        <v>2543</v>
      </c>
      <c r="D1884" s="2" t="s">
        <v>2528</v>
      </c>
      <c r="E1884" s="2" t="s">
        <v>2529</v>
      </c>
      <c r="F1884" s="3">
        <v>153110</v>
      </c>
      <c r="G1884" s="3">
        <v>4746</v>
      </c>
      <c r="H1884" s="3">
        <v>645</v>
      </c>
      <c r="I1884" s="4">
        <v>8654.0300000000007</v>
      </c>
      <c r="J1884" s="4">
        <v>141495.57</v>
      </c>
      <c r="K1884" s="3">
        <v>534</v>
      </c>
      <c r="L1884" s="2" t="s">
        <v>2539</v>
      </c>
      <c r="M1884" s="2" t="s">
        <v>2524</v>
      </c>
      <c r="N1884" s="6">
        <f t="shared" si="116"/>
        <v>1</v>
      </c>
      <c r="O1884" t="str">
        <f>IF(Tabla_control[[#This Row],[Control_duplicados]]&gt;1,"Duplicado","Unico")</f>
        <v>Unico</v>
      </c>
      <c r="P1884" t="str">
        <f t="shared" si="117"/>
        <v>OK</v>
      </c>
      <c r="Q1884" t="str">
        <f t="shared" si="118"/>
        <v>OK</v>
      </c>
      <c r="R1884" t="str">
        <f t="shared" si="119"/>
        <v>OK</v>
      </c>
    </row>
    <row r="1885" spans="1:18" x14ac:dyDescent="0.3">
      <c r="A1885" s="1">
        <v>45957</v>
      </c>
      <c r="B1885" s="2" t="s">
        <v>2622</v>
      </c>
      <c r="C1885" s="2" t="s">
        <v>2521</v>
      </c>
      <c r="D1885" s="2" t="s">
        <v>2528</v>
      </c>
      <c r="E1885" s="2" t="s">
        <v>2517</v>
      </c>
      <c r="F1885" s="3">
        <v>59478</v>
      </c>
      <c r="G1885" s="3">
        <v>2226</v>
      </c>
      <c r="H1885" s="3">
        <v>125</v>
      </c>
      <c r="I1885" s="4">
        <v>3107.93</v>
      </c>
      <c r="J1885" s="4">
        <v>27356.43</v>
      </c>
      <c r="K1885" s="3">
        <v>87</v>
      </c>
      <c r="L1885" s="2" t="s">
        <v>2536</v>
      </c>
      <c r="M1885" s="2" t="s">
        <v>2537</v>
      </c>
      <c r="N1885" s="6">
        <f t="shared" si="116"/>
        <v>1</v>
      </c>
      <c r="O1885" t="str">
        <f>IF(Tabla_control[[#This Row],[Control_duplicados]]&gt;1,"Duplicado","Unico")</f>
        <v>Unico</v>
      </c>
      <c r="P1885" t="str">
        <f t="shared" si="117"/>
        <v>OK</v>
      </c>
      <c r="Q1885" t="str">
        <f t="shared" si="118"/>
        <v>OK</v>
      </c>
      <c r="R1885" t="str">
        <f t="shared" si="119"/>
        <v>OK</v>
      </c>
    </row>
    <row r="1886" spans="1:18" x14ac:dyDescent="0.3">
      <c r="A1886" s="1">
        <v>45659</v>
      </c>
      <c r="B1886" s="2" t="s">
        <v>2628</v>
      </c>
      <c r="C1886" s="2" t="s">
        <v>2515</v>
      </c>
      <c r="D1886" s="2" t="s">
        <v>2528</v>
      </c>
      <c r="E1886" s="2" t="s">
        <v>2517</v>
      </c>
      <c r="F1886" s="3">
        <v>69094</v>
      </c>
      <c r="G1886" s="3">
        <v>1728</v>
      </c>
      <c r="H1886" s="3">
        <v>219</v>
      </c>
      <c r="I1886" s="4">
        <v>1231.92</v>
      </c>
      <c r="J1886" s="4">
        <v>11381.53</v>
      </c>
      <c r="K1886" s="3">
        <v>144</v>
      </c>
      <c r="L1886" s="2" t="s">
        <v>2518</v>
      </c>
      <c r="M1886" s="2" t="s">
        <v>2519</v>
      </c>
      <c r="N1886" s="6">
        <f t="shared" si="116"/>
        <v>1</v>
      </c>
      <c r="O1886" t="str">
        <f>IF(Tabla_control[[#This Row],[Control_duplicados]]&gt;1,"Duplicado","Unico")</f>
        <v>Unico</v>
      </c>
      <c r="P1886" t="str">
        <f t="shared" si="117"/>
        <v>OK</v>
      </c>
      <c r="Q1886" t="str">
        <f t="shared" si="118"/>
        <v>OK</v>
      </c>
      <c r="R1886" t="str">
        <f t="shared" si="119"/>
        <v>OK</v>
      </c>
    </row>
    <row r="1887" spans="1:18" x14ac:dyDescent="0.3">
      <c r="A1887" s="1">
        <v>45970</v>
      </c>
      <c r="B1887" s="2" t="s">
        <v>2617</v>
      </c>
      <c r="C1887" s="2" t="s">
        <v>2541</v>
      </c>
      <c r="D1887" s="2" t="s">
        <v>2516</v>
      </c>
      <c r="E1887" s="2" t="s">
        <v>2517</v>
      </c>
      <c r="F1887" s="3">
        <v>111238</v>
      </c>
      <c r="G1887" s="3">
        <v>502</v>
      </c>
      <c r="H1887" s="3">
        <v>16</v>
      </c>
      <c r="I1887" s="4">
        <v>503.14</v>
      </c>
      <c r="J1887" s="4">
        <v>682.97</v>
      </c>
      <c r="K1887" s="3">
        <v>13</v>
      </c>
      <c r="L1887" s="2" t="s">
        <v>2523</v>
      </c>
      <c r="M1887" s="2" t="s">
        <v>2519</v>
      </c>
      <c r="N1887" s="6">
        <f t="shared" si="116"/>
        <v>1</v>
      </c>
      <c r="O1887" t="str">
        <f>IF(Tabla_control[[#This Row],[Control_duplicados]]&gt;1,"Duplicado","Unico")</f>
        <v>Unico</v>
      </c>
      <c r="P1887" t="str">
        <f t="shared" si="117"/>
        <v>OK</v>
      </c>
      <c r="Q1887" t="str">
        <f t="shared" si="118"/>
        <v>OK</v>
      </c>
      <c r="R1887" t="str">
        <f t="shared" si="119"/>
        <v>OK</v>
      </c>
    </row>
    <row r="1888" spans="1:18" x14ac:dyDescent="0.3">
      <c r="A1888" s="1">
        <v>45919</v>
      </c>
      <c r="B1888" s="2" t="s">
        <v>2642</v>
      </c>
      <c r="C1888" s="2" t="s">
        <v>2521</v>
      </c>
      <c r="D1888" s="2" t="s">
        <v>2525</v>
      </c>
      <c r="E1888" s="2" t="s">
        <v>2517</v>
      </c>
      <c r="F1888" s="3">
        <v>148849</v>
      </c>
      <c r="G1888" s="3">
        <v>12219</v>
      </c>
      <c r="H1888" s="3">
        <v>1061</v>
      </c>
      <c r="I1888" s="4">
        <v>4473.55</v>
      </c>
      <c r="J1888" s="4">
        <v>137304.51999999999</v>
      </c>
      <c r="K1888" s="3">
        <v>623</v>
      </c>
      <c r="L1888" s="2" t="s">
        <v>2518</v>
      </c>
      <c r="M1888" s="2" t="s">
        <v>2526</v>
      </c>
      <c r="N1888" s="6">
        <f t="shared" si="116"/>
        <v>1</v>
      </c>
      <c r="O1888" t="str">
        <f>IF(Tabla_control[[#This Row],[Control_duplicados]]&gt;1,"Duplicado","Unico")</f>
        <v>Unico</v>
      </c>
      <c r="P1888" t="str">
        <f t="shared" si="117"/>
        <v>OK</v>
      </c>
      <c r="Q1888" t="str">
        <f t="shared" si="118"/>
        <v>OK</v>
      </c>
      <c r="R1888" t="str">
        <f t="shared" si="119"/>
        <v>OK</v>
      </c>
    </row>
    <row r="1889" spans="1:18" x14ac:dyDescent="0.3">
      <c r="A1889" s="1">
        <v>45734</v>
      </c>
      <c r="B1889" s="2" t="s">
        <v>2628</v>
      </c>
      <c r="C1889" s="2" t="s">
        <v>2541</v>
      </c>
      <c r="D1889" s="2" t="s">
        <v>2531</v>
      </c>
      <c r="E1889" s="2" t="s">
        <v>2517</v>
      </c>
      <c r="F1889" s="3">
        <v>168033</v>
      </c>
      <c r="G1889" s="3">
        <v>12506</v>
      </c>
      <c r="H1889" s="3">
        <v>486</v>
      </c>
      <c r="I1889" s="4">
        <v>2215.1</v>
      </c>
      <c r="J1889" s="4">
        <v>32812.89</v>
      </c>
      <c r="K1889" s="3">
        <v>272</v>
      </c>
      <c r="L1889" s="2" t="s">
        <v>2539</v>
      </c>
      <c r="M1889" s="2" t="s">
        <v>2524</v>
      </c>
      <c r="N1889" s="6">
        <f t="shared" si="116"/>
        <v>1</v>
      </c>
      <c r="O1889" t="str">
        <f>IF(Tabla_control[[#This Row],[Control_duplicados]]&gt;1,"Duplicado","Unico")</f>
        <v>Unico</v>
      </c>
      <c r="P1889" t="str">
        <f t="shared" si="117"/>
        <v>OK</v>
      </c>
      <c r="Q1889" t="str">
        <f t="shared" si="118"/>
        <v>OK</v>
      </c>
      <c r="R1889" t="str">
        <f t="shared" si="119"/>
        <v>OK</v>
      </c>
    </row>
    <row r="1890" spans="1:18" x14ac:dyDescent="0.3">
      <c r="A1890" s="1">
        <v>45661</v>
      </c>
      <c r="B1890" s="2" t="s">
        <v>2640</v>
      </c>
      <c r="C1890" s="2" t="s">
        <v>2543</v>
      </c>
      <c r="D1890" s="2" t="s">
        <v>2528</v>
      </c>
      <c r="E1890" s="2" t="s">
        <v>2517</v>
      </c>
      <c r="F1890" s="3">
        <v>81262</v>
      </c>
      <c r="G1890" s="3">
        <v>1487</v>
      </c>
      <c r="H1890" s="3">
        <v>146</v>
      </c>
      <c r="I1890" s="4">
        <v>1327.11</v>
      </c>
      <c r="J1890" s="4">
        <v>4018.82</v>
      </c>
      <c r="K1890" s="3">
        <v>76</v>
      </c>
      <c r="L1890" s="2" t="s">
        <v>2539</v>
      </c>
      <c r="M1890" s="2" t="s">
        <v>2526</v>
      </c>
      <c r="N1890" s="6">
        <f t="shared" si="116"/>
        <v>1</v>
      </c>
      <c r="O1890" t="str">
        <f>IF(Tabla_control[[#This Row],[Control_duplicados]]&gt;1,"Duplicado","Unico")</f>
        <v>Unico</v>
      </c>
      <c r="P1890" t="str">
        <f t="shared" si="117"/>
        <v>OK</v>
      </c>
      <c r="Q1890" t="str">
        <f t="shared" si="118"/>
        <v>OK</v>
      </c>
      <c r="R1890" t="str">
        <f t="shared" si="119"/>
        <v>OK</v>
      </c>
    </row>
    <row r="1891" spans="1:18" x14ac:dyDescent="0.3">
      <c r="A1891" s="1">
        <v>45820</v>
      </c>
      <c r="B1891" s="2" t="s">
        <v>2641</v>
      </c>
      <c r="C1891" s="2" t="s">
        <v>2521</v>
      </c>
      <c r="D1891" s="2" t="s">
        <v>2522</v>
      </c>
      <c r="E1891" s="2" t="s">
        <v>2517</v>
      </c>
      <c r="F1891" s="3">
        <v>162004</v>
      </c>
      <c r="G1891" s="3">
        <v>9775</v>
      </c>
      <c r="H1891" s="3">
        <v>237</v>
      </c>
      <c r="I1891" s="4">
        <v>18277.810000000001</v>
      </c>
      <c r="J1891" s="4">
        <v>31829.01</v>
      </c>
      <c r="K1891" s="3">
        <v>179</v>
      </c>
      <c r="L1891" s="2" t="s">
        <v>2536</v>
      </c>
      <c r="M1891" s="2" t="s">
        <v>2526</v>
      </c>
      <c r="N1891" s="6">
        <f t="shared" si="116"/>
        <v>1</v>
      </c>
      <c r="O1891" t="str">
        <f>IF(Tabla_control[[#This Row],[Control_duplicados]]&gt;1,"Duplicado","Unico")</f>
        <v>Unico</v>
      </c>
      <c r="P1891" t="str">
        <f t="shared" si="117"/>
        <v>OK</v>
      </c>
      <c r="Q1891" t="str">
        <f t="shared" si="118"/>
        <v>OK</v>
      </c>
      <c r="R1891" t="str">
        <f t="shared" si="119"/>
        <v>OK</v>
      </c>
    </row>
    <row r="1892" spans="1:18" x14ac:dyDescent="0.3">
      <c r="A1892" s="1">
        <v>45968</v>
      </c>
      <c r="B1892" s="2" t="s">
        <v>2629</v>
      </c>
      <c r="C1892" s="2" t="s">
        <v>2521</v>
      </c>
      <c r="D1892" s="2" t="s">
        <v>2525</v>
      </c>
      <c r="E1892" s="2" t="s">
        <v>2517</v>
      </c>
      <c r="F1892" s="3">
        <v>136775</v>
      </c>
      <c r="G1892" s="3">
        <v>8867</v>
      </c>
      <c r="H1892" s="3">
        <v>1101</v>
      </c>
      <c r="I1892" s="4">
        <v>11072</v>
      </c>
      <c r="J1892" s="4">
        <v>121842.3</v>
      </c>
      <c r="K1892" s="3">
        <v>662</v>
      </c>
      <c r="L1892" s="2" t="s">
        <v>2518</v>
      </c>
      <c r="M1892" s="2" t="s">
        <v>2526</v>
      </c>
      <c r="N1892" s="6">
        <f t="shared" si="116"/>
        <v>1</v>
      </c>
      <c r="O1892" t="str">
        <f>IF(Tabla_control[[#This Row],[Control_duplicados]]&gt;1,"Duplicado","Unico")</f>
        <v>Unico</v>
      </c>
      <c r="P1892" t="str">
        <f t="shared" si="117"/>
        <v>OK</v>
      </c>
      <c r="Q1892" t="str">
        <f t="shared" si="118"/>
        <v>OK</v>
      </c>
      <c r="R1892" t="str">
        <f t="shared" si="119"/>
        <v>OK</v>
      </c>
    </row>
    <row r="1893" spans="1:18" x14ac:dyDescent="0.3">
      <c r="A1893" s="1">
        <v>45663</v>
      </c>
      <c r="B1893" s="2" t="s">
        <v>2635</v>
      </c>
      <c r="C1893" s="2" t="s">
        <v>2521</v>
      </c>
      <c r="D1893" s="2" t="s">
        <v>2528</v>
      </c>
      <c r="E1893" s="2" t="s">
        <v>2529</v>
      </c>
      <c r="F1893" s="3">
        <v>164065</v>
      </c>
      <c r="G1893" s="3">
        <v>11085</v>
      </c>
      <c r="H1893" s="3">
        <v>652</v>
      </c>
      <c r="I1893" s="4">
        <v>7830.81</v>
      </c>
      <c r="J1893" s="4">
        <v>51218.41</v>
      </c>
      <c r="K1893" s="3">
        <v>533</v>
      </c>
      <c r="L1893" s="2" t="s">
        <v>2536</v>
      </c>
      <c r="M1893" s="2" t="s">
        <v>2546</v>
      </c>
      <c r="N1893" s="6">
        <f t="shared" si="116"/>
        <v>1</v>
      </c>
      <c r="O1893" t="str">
        <f>IF(Tabla_control[[#This Row],[Control_duplicados]]&gt;1,"Duplicado","Unico")</f>
        <v>Unico</v>
      </c>
      <c r="P1893" t="str">
        <f t="shared" si="117"/>
        <v>OK</v>
      </c>
      <c r="Q1893" t="str">
        <f t="shared" si="118"/>
        <v>OK</v>
      </c>
      <c r="R1893" t="str">
        <f t="shared" si="119"/>
        <v>OK</v>
      </c>
    </row>
    <row r="1894" spans="1:18" x14ac:dyDescent="0.3">
      <c r="A1894" s="1">
        <v>45841</v>
      </c>
      <c r="B1894" s="2" t="s">
        <v>2635</v>
      </c>
      <c r="C1894" s="2" t="s">
        <v>2521</v>
      </c>
      <c r="D1894" s="2" t="s">
        <v>2528</v>
      </c>
      <c r="E1894" s="2" t="s">
        <v>2534</v>
      </c>
      <c r="F1894" s="3">
        <v>174569</v>
      </c>
      <c r="G1894" s="3">
        <v>2974</v>
      </c>
      <c r="H1894" s="3">
        <v>201</v>
      </c>
      <c r="I1894" s="4">
        <v>1697.27</v>
      </c>
      <c r="J1894" s="4">
        <v>3555.73</v>
      </c>
      <c r="K1894" s="3">
        <v>116</v>
      </c>
      <c r="L1894" s="2" t="s">
        <v>2523</v>
      </c>
      <c r="M1894" s="2" t="s">
        <v>2524</v>
      </c>
      <c r="N1894" s="6">
        <f t="shared" si="116"/>
        <v>1</v>
      </c>
      <c r="O1894" t="str">
        <f>IF(Tabla_control[[#This Row],[Control_duplicados]]&gt;1,"Duplicado","Unico")</f>
        <v>Unico</v>
      </c>
      <c r="P1894" t="str">
        <f t="shared" si="117"/>
        <v>OK</v>
      </c>
      <c r="Q1894" t="str">
        <f t="shared" si="118"/>
        <v>OK</v>
      </c>
      <c r="R1894" t="str">
        <f t="shared" si="119"/>
        <v>OK</v>
      </c>
    </row>
    <row r="1895" spans="1:18" x14ac:dyDescent="0.3">
      <c r="A1895" s="1">
        <v>45815</v>
      </c>
      <c r="B1895" s="2" t="s">
        <v>2617</v>
      </c>
      <c r="C1895" s="2" t="s">
        <v>2521</v>
      </c>
      <c r="D1895" s="2" t="s">
        <v>2528</v>
      </c>
      <c r="E1895" s="2" t="s">
        <v>2529</v>
      </c>
      <c r="F1895" s="3">
        <v>119688</v>
      </c>
      <c r="G1895" s="3">
        <v>1519</v>
      </c>
      <c r="H1895" s="3">
        <v>174</v>
      </c>
      <c r="I1895" s="4">
        <v>1971.2</v>
      </c>
      <c r="J1895" s="4">
        <v>23770.55</v>
      </c>
      <c r="K1895" s="3">
        <v>91</v>
      </c>
      <c r="L1895" s="2" t="s">
        <v>2518</v>
      </c>
      <c r="M1895" s="2" t="s">
        <v>2524</v>
      </c>
      <c r="N1895" s="6">
        <f t="shared" si="116"/>
        <v>1</v>
      </c>
      <c r="O1895" t="str">
        <f>IF(Tabla_control[[#This Row],[Control_duplicados]]&gt;1,"Duplicado","Unico")</f>
        <v>Unico</v>
      </c>
      <c r="P1895" t="str">
        <f t="shared" si="117"/>
        <v>OK</v>
      </c>
      <c r="Q1895" t="str">
        <f t="shared" si="118"/>
        <v>OK</v>
      </c>
      <c r="R1895" t="str">
        <f t="shared" si="119"/>
        <v>OK</v>
      </c>
    </row>
    <row r="1896" spans="1:18" x14ac:dyDescent="0.3">
      <c r="A1896" s="1">
        <v>45904</v>
      </c>
      <c r="B1896" s="2" t="s">
        <v>2618</v>
      </c>
      <c r="C1896" s="2" t="s">
        <v>2527</v>
      </c>
      <c r="D1896" s="2" t="s">
        <v>2528</v>
      </c>
      <c r="E1896" s="2" t="s">
        <v>2517</v>
      </c>
      <c r="F1896" s="3">
        <v>74351</v>
      </c>
      <c r="G1896" s="3">
        <v>914</v>
      </c>
      <c r="H1896" s="3">
        <v>111</v>
      </c>
      <c r="I1896" s="4">
        <v>1040.53</v>
      </c>
      <c r="J1896" s="4">
        <v>21470.76</v>
      </c>
      <c r="K1896" s="3">
        <v>69</v>
      </c>
      <c r="L1896" s="2" t="s">
        <v>2536</v>
      </c>
      <c r="M1896" s="2" t="s">
        <v>2526</v>
      </c>
      <c r="N1896" s="6">
        <f t="shared" si="116"/>
        <v>1</v>
      </c>
      <c r="O1896" t="str">
        <f>IF(Tabla_control[[#This Row],[Control_duplicados]]&gt;1,"Duplicado","Unico")</f>
        <v>Unico</v>
      </c>
      <c r="P1896" t="str">
        <f t="shared" si="117"/>
        <v>OK</v>
      </c>
      <c r="Q1896" t="str">
        <f t="shared" si="118"/>
        <v>OK</v>
      </c>
      <c r="R1896" t="str">
        <f t="shared" si="119"/>
        <v>OK</v>
      </c>
    </row>
    <row r="1897" spans="1:18" x14ac:dyDescent="0.3">
      <c r="A1897" s="1">
        <v>45682</v>
      </c>
      <c r="B1897" s="2" t="s">
        <v>2628</v>
      </c>
      <c r="C1897" s="2" t="s">
        <v>2541</v>
      </c>
      <c r="D1897" s="2" t="s">
        <v>2522</v>
      </c>
      <c r="E1897" s="2" t="s">
        <v>2517</v>
      </c>
      <c r="F1897" s="3">
        <v>85746</v>
      </c>
      <c r="G1897" s="3">
        <v>6753</v>
      </c>
      <c r="H1897" s="3">
        <v>851</v>
      </c>
      <c r="I1897" s="4">
        <v>3960.59</v>
      </c>
      <c r="J1897" s="4">
        <v>126285.9</v>
      </c>
      <c r="K1897" s="3">
        <v>556</v>
      </c>
      <c r="L1897" s="2" t="s">
        <v>2518</v>
      </c>
      <c r="M1897" s="2" t="s">
        <v>2524</v>
      </c>
      <c r="N1897" s="6">
        <f t="shared" si="116"/>
        <v>1</v>
      </c>
      <c r="O1897" t="str">
        <f>IF(Tabla_control[[#This Row],[Control_duplicados]]&gt;1,"Duplicado","Unico")</f>
        <v>Unico</v>
      </c>
      <c r="P1897" t="str">
        <f t="shared" si="117"/>
        <v>OK</v>
      </c>
      <c r="Q1897" t="str">
        <f t="shared" si="118"/>
        <v>OK</v>
      </c>
      <c r="R1897" t="str">
        <f t="shared" si="119"/>
        <v>OK</v>
      </c>
    </row>
    <row r="1898" spans="1:18" x14ac:dyDescent="0.3">
      <c r="A1898" s="1">
        <v>45986</v>
      </c>
      <c r="B1898" s="2" t="s">
        <v>2644</v>
      </c>
      <c r="C1898" s="2" t="s">
        <v>2527</v>
      </c>
      <c r="D1898" s="2" t="s">
        <v>2525</v>
      </c>
      <c r="E1898" s="2" t="s">
        <v>2529</v>
      </c>
      <c r="F1898" s="3">
        <v>71318</v>
      </c>
      <c r="G1898" s="3">
        <v>4825</v>
      </c>
      <c r="H1898" s="3">
        <v>281</v>
      </c>
      <c r="I1898" s="4">
        <v>9905.76</v>
      </c>
      <c r="J1898" s="4">
        <v>25491.32</v>
      </c>
      <c r="K1898" s="3">
        <v>127</v>
      </c>
      <c r="L1898" s="2" t="s">
        <v>2518</v>
      </c>
      <c r="M1898" s="2" t="s">
        <v>2546</v>
      </c>
      <c r="N1898" s="6">
        <f t="shared" si="116"/>
        <v>1</v>
      </c>
      <c r="O1898" t="str">
        <f>IF(Tabla_control[[#This Row],[Control_duplicados]]&gt;1,"Duplicado","Unico")</f>
        <v>Unico</v>
      </c>
      <c r="P1898" t="str">
        <f t="shared" si="117"/>
        <v>OK</v>
      </c>
      <c r="Q1898" t="str">
        <f t="shared" si="118"/>
        <v>OK</v>
      </c>
      <c r="R1898" t="str">
        <f t="shared" si="119"/>
        <v>OK</v>
      </c>
    </row>
    <row r="1899" spans="1:18" x14ac:dyDescent="0.3">
      <c r="A1899" s="1">
        <v>45934</v>
      </c>
      <c r="B1899" s="2" t="s">
        <v>2622</v>
      </c>
      <c r="C1899" s="2" t="s">
        <v>2543</v>
      </c>
      <c r="D1899" s="2" t="s">
        <v>2525</v>
      </c>
      <c r="E1899" s="2" t="s">
        <v>2529</v>
      </c>
      <c r="F1899" s="3">
        <v>98300</v>
      </c>
      <c r="G1899" s="3">
        <v>4012</v>
      </c>
      <c r="H1899" s="3">
        <v>436</v>
      </c>
      <c r="I1899" s="4">
        <v>7101.02</v>
      </c>
      <c r="J1899" s="4">
        <v>51097.13</v>
      </c>
      <c r="K1899" s="3">
        <v>253</v>
      </c>
      <c r="L1899" s="2" t="s">
        <v>2539</v>
      </c>
      <c r="M1899" s="2" t="s">
        <v>2519</v>
      </c>
      <c r="N1899" s="6">
        <f t="shared" si="116"/>
        <v>2</v>
      </c>
      <c r="O1899" t="str">
        <f>IF(Tabla_control[[#This Row],[Control_duplicados]]&gt;1,"Duplicado","Unico")</f>
        <v>Duplicado</v>
      </c>
      <c r="P1899" t="str">
        <f t="shared" si="117"/>
        <v>OK</v>
      </c>
      <c r="Q1899" t="str">
        <f t="shared" si="118"/>
        <v>OK</v>
      </c>
      <c r="R1899" t="str">
        <f t="shared" si="119"/>
        <v>OK</v>
      </c>
    </row>
    <row r="1900" spans="1:18" x14ac:dyDescent="0.3">
      <c r="A1900" s="1">
        <v>45800</v>
      </c>
      <c r="B1900" s="2" t="s">
        <v>2620</v>
      </c>
      <c r="C1900" s="2" t="s">
        <v>2533</v>
      </c>
      <c r="D1900" s="2" t="s">
        <v>2528</v>
      </c>
      <c r="E1900" s="2" t="s">
        <v>2529</v>
      </c>
      <c r="F1900" s="3">
        <v>153271</v>
      </c>
      <c r="G1900" s="3">
        <v>4361</v>
      </c>
      <c r="H1900" s="3">
        <v>27</v>
      </c>
      <c r="I1900" s="4">
        <v>3003.87</v>
      </c>
      <c r="J1900" s="4">
        <v>1174.8800000000001</v>
      </c>
      <c r="K1900" s="3">
        <v>18</v>
      </c>
      <c r="L1900" s="2" t="s">
        <v>2523</v>
      </c>
      <c r="M1900" s="2" t="s">
        <v>2519</v>
      </c>
      <c r="N1900" s="6">
        <f t="shared" si="116"/>
        <v>1</v>
      </c>
      <c r="O1900" t="str">
        <f>IF(Tabla_control[[#This Row],[Control_duplicados]]&gt;1,"Duplicado","Unico")</f>
        <v>Unico</v>
      </c>
      <c r="P1900" t="str">
        <f t="shared" si="117"/>
        <v>OK</v>
      </c>
      <c r="Q1900" t="str">
        <f t="shared" si="118"/>
        <v>OK</v>
      </c>
      <c r="R1900" t="str">
        <f t="shared" si="119"/>
        <v>OK</v>
      </c>
    </row>
    <row r="1901" spans="1:18" x14ac:dyDescent="0.3">
      <c r="A1901" s="1">
        <v>45965</v>
      </c>
      <c r="B1901" s="2" t="s">
        <v>2640</v>
      </c>
      <c r="C1901" s="2" t="s">
        <v>2533</v>
      </c>
      <c r="D1901" s="2" t="s">
        <v>2525</v>
      </c>
      <c r="E1901" s="2" t="s">
        <v>2517</v>
      </c>
      <c r="F1901" s="3">
        <v>80590</v>
      </c>
      <c r="G1901" s="3">
        <v>3985</v>
      </c>
      <c r="H1901" s="3">
        <v>280</v>
      </c>
      <c r="I1901" s="4">
        <v>2228.39</v>
      </c>
      <c r="J1901" s="4">
        <v>16841.28</v>
      </c>
      <c r="K1901" s="3">
        <v>199</v>
      </c>
      <c r="L1901" s="2" t="s">
        <v>2536</v>
      </c>
      <c r="M1901" s="2" t="s">
        <v>2526</v>
      </c>
      <c r="N1901" s="6">
        <f t="shared" si="116"/>
        <v>1</v>
      </c>
      <c r="O1901" t="str">
        <f>IF(Tabla_control[[#This Row],[Control_duplicados]]&gt;1,"Duplicado","Unico")</f>
        <v>Unico</v>
      </c>
      <c r="P1901" t="str">
        <f t="shared" si="117"/>
        <v>OK</v>
      </c>
      <c r="Q1901" t="str">
        <f t="shared" si="118"/>
        <v>OK</v>
      </c>
      <c r="R1901" t="str">
        <f t="shared" si="119"/>
        <v>OK</v>
      </c>
    </row>
    <row r="1902" spans="1:18" x14ac:dyDescent="0.3">
      <c r="A1902" s="1">
        <v>45782</v>
      </c>
      <c r="B1902" s="2" t="s">
        <v>2624</v>
      </c>
      <c r="C1902" s="2" t="s">
        <v>2515</v>
      </c>
      <c r="D1902" s="2" t="s">
        <v>2522</v>
      </c>
      <c r="E1902" s="2" t="s">
        <v>2529</v>
      </c>
      <c r="F1902" s="3">
        <v>119018</v>
      </c>
      <c r="G1902" s="3">
        <v>10423</v>
      </c>
      <c r="H1902" s="3">
        <v>206</v>
      </c>
      <c r="I1902" s="4">
        <v>11639.73</v>
      </c>
      <c r="J1902" s="4">
        <v>10962.59</v>
      </c>
      <c r="K1902" s="3">
        <v>118</v>
      </c>
      <c r="L1902" s="2" t="s">
        <v>2523</v>
      </c>
      <c r="M1902" s="2" t="s">
        <v>2537</v>
      </c>
      <c r="N1902" s="6">
        <f t="shared" si="116"/>
        <v>1</v>
      </c>
      <c r="O1902" t="str">
        <f>IF(Tabla_control[[#This Row],[Control_duplicados]]&gt;1,"Duplicado","Unico")</f>
        <v>Unico</v>
      </c>
      <c r="P1902" t="str">
        <f t="shared" si="117"/>
        <v>OK</v>
      </c>
      <c r="Q1902" t="str">
        <f t="shared" si="118"/>
        <v>OK</v>
      </c>
      <c r="R1902" t="str">
        <f t="shared" si="119"/>
        <v>OK</v>
      </c>
    </row>
    <row r="1903" spans="1:18" x14ac:dyDescent="0.3">
      <c r="A1903" s="1">
        <v>45723</v>
      </c>
      <c r="B1903" s="2" t="s">
        <v>2636</v>
      </c>
      <c r="C1903" s="2" t="s">
        <v>2543</v>
      </c>
      <c r="D1903" s="2" t="s">
        <v>2528</v>
      </c>
      <c r="E1903" s="2" t="s">
        <v>2517</v>
      </c>
      <c r="F1903" s="3">
        <v>71000</v>
      </c>
      <c r="G1903" s="3">
        <v>6041</v>
      </c>
      <c r="H1903" s="3">
        <v>595</v>
      </c>
      <c r="I1903" s="4">
        <v>10482.06</v>
      </c>
      <c r="J1903" s="4">
        <v>21993.18</v>
      </c>
      <c r="K1903" s="3">
        <v>295</v>
      </c>
      <c r="L1903" s="2" t="s">
        <v>2539</v>
      </c>
      <c r="M1903" s="2" t="s">
        <v>2537</v>
      </c>
      <c r="N1903" s="6">
        <f t="shared" si="116"/>
        <v>2</v>
      </c>
      <c r="O1903" t="str">
        <f>IF(Tabla_control[[#This Row],[Control_duplicados]]&gt;1,"Duplicado","Unico")</f>
        <v>Duplicado</v>
      </c>
      <c r="P1903" t="str">
        <f t="shared" si="117"/>
        <v>OK</v>
      </c>
      <c r="Q1903" t="str">
        <f t="shared" si="118"/>
        <v>OK</v>
      </c>
      <c r="R1903" t="str">
        <f t="shared" si="119"/>
        <v>OK</v>
      </c>
    </row>
    <row r="1904" spans="1:18" x14ac:dyDescent="0.3">
      <c r="A1904" s="1">
        <v>45695</v>
      </c>
      <c r="B1904" s="2" t="s">
        <v>2616</v>
      </c>
      <c r="C1904" s="2" t="s">
        <v>2527</v>
      </c>
      <c r="D1904" s="2" t="s">
        <v>2516</v>
      </c>
      <c r="E1904" s="2" t="s">
        <v>2529</v>
      </c>
      <c r="F1904" s="3">
        <v>12131</v>
      </c>
      <c r="G1904" s="3">
        <v>98</v>
      </c>
      <c r="H1904" s="3">
        <v>9</v>
      </c>
      <c r="I1904" s="4">
        <v>85.25</v>
      </c>
      <c r="J1904" s="4">
        <v>734.79</v>
      </c>
      <c r="K1904" s="3">
        <v>7</v>
      </c>
      <c r="L1904" s="2" t="s">
        <v>2523</v>
      </c>
      <c r="M1904" s="2" t="s">
        <v>2546</v>
      </c>
      <c r="N1904" s="6">
        <f t="shared" si="116"/>
        <v>1</v>
      </c>
      <c r="O1904" t="str">
        <f>IF(Tabla_control[[#This Row],[Control_duplicados]]&gt;1,"Duplicado","Unico")</f>
        <v>Unico</v>
      </c>
      <c r="P1904" t="str">
        <f t="shared" si="117"/>
        <v>OK</v>
      </c>
      <c r="Q1904" t="str">
        <f t="shared" si="118"/>
        <v>OK</v>
      </c>
      <c r="R1904" t="str">
        <f t="shared" si="119"/>
        <v>OK</v>
      </c>
    </row>
    <row r="1905" spans="1:18" x14ac:dyDescent="0.3">
      <c r="A1905" s="1">
        <v>45987</v>
      </c>
      <c r="B1905" s="2" t="s">
        <v>2638</v>
      </c>
      <c r="C1905" s="2" t="s">
        <v>2527</v>
      </c>
      <c r="D1905" s="2" t="s">
        <v>2528</v>
      </c>
      <c r="E1905" s="2" t="s">
        <v>2517</v>
      </c>
      <c r="F1905" s="3">
        <v>39921</v>
      </c>
      <c r="G1905" s="3">
        <v>780</v>
      </c>
      <c r="H1905" s="3">
        <v>6</v>
      </c>
      <c r="I1905" s="4">
        <v>1284.75</v>
      </c>
      <c r="J1905" s="4">
        <v>1184.5899999999999</v>
      </c>
      <c r="K1905" s="3">
        <v>3</v>
      </c>
      <c r="L1905" s="2" t="s">
        <v>2539</v>
      </c>
      <c r="M1905" s="2" t="s">
        <v>2537</v>
      </c>
      <c r="N1905" s="6">
        <f t="shared" si="116"/>
        <v>1</v>
      </c>
      <c r="O1905" t="str">
        <f>IF(Tabla_control[[#This Row],[Control_duplicados]]&gt;1,"Duplicado","Unico")</f>
        <v>Unico</v>
      </c>
      <c r="P1905" t="str">
        <f t="shared" si="117"/>
        <v>OK</v>
      </c>
      <c r="Q1905" t="str">
        <f t="shared" si="118"/>
        <v>OK</v>
      </c>
      <c r="R1905" t="str">
        <f t="shared" si="119"/>
        <v>OK</v>
      </c>
    </row>
    <row r="1906" spans="1:18" x14ac:dyDescent="0.3">
      <c r="A1906" s="1">
        <v>45969</v>
      </c>
      <c r="B1906" s="2" t="s">
        <v>2622</v>
      </c>
      <c r="C1906" s="2" t="s">
        <v>2527</v>
      </c>
      <c r="D1906" s="2" t="s">
        <v>2528</v>
      </c>
      <c r="E1906" s="2" t="s">
        <v>2517</v>
      </c>
      <c r="F1906" s="3">
        <v>35956</v>
      </c>
      <c r="G1906" s="3">
        <v>1017</v>
      </c>
      <c r="H1906" s="3">
        <v>102</v>
      </c>
      <c r="I1906" s="4">
        <v>2030.72</v>
      </c>
      <c r="J1906" s="4">
        <v>12013.95</v>
      </c>
      <c r="K1906" s="3">
        <v>90</v>
      </c>
      <c r="L1906" s="2" t="s">
        <v>2539</v>
      </c>
      <c r="M1906" s="2" t="s">
        <v>2524</v>
      </c>
      <c r="N1906" s="6">
        <f t="shared" si="116"/>
        <v>1</v>
      </c>
      <c r="O1906" t="str">
        <f>IF(Tabla_control[[#This Row],[Control_duplicados]]&gt;1,"Duplicado","Unico")</f>
        <v>Unico</v>
      </c>
      <c r="P1906" t="str">
        <f t="shared" si="117"/>
        <v>OK</v>
      </c>
      <c r="Q1906" t="str">
        <f t="shared" si="118"/>
        <v>OK</v>
      </c>
      <c r="R1906" t="str">
        <f t="shared" si="119"/>
        <v>OK</v>
      </c>
    </row>
    <row r="1907" spans="1:18" x14ac:dyDescent="0.3">
      <c r="A1907" s="1">
        <v>45679</v>
      </c>
      <c r="B1907" s="2" t="s">
        <v>2631</v>
      </c>
      <c r="C1907" s="2" t="s">
        <v>2543</v>
      </c>
      <c r="D1907" s="2" t="s">
        <v>2528</v>
      </c>
      <c r="E1907" s="2" t="s">
        <v>2517</v>
      </c>
      <c r="F1907" s="3">
        <v>138985</v>
      </c>
      <c r="G1907" s="3">
        <v>8834</v>
      </c>
      <c r="H1907" s="3">
        <v>430</v>
      </c>
      <c r="I1907" s="4">
        <v>4707.72</v>
      </c>
      <c r="J1907" s="4">
        <v>73397.649999999994</v>
      </c>
      <c r="K1907" s="3">
        <v>221</v>
      </c>
      <c r="L1907" s="2" t="s">
        <v>2536</v>
      </c>
      <c r="M1907" s="2" t="s">
        <v>2526</v>
      </c>
      <c r="N1907" s="6">
        <f t="shared" si="116"/>
        <v>1</v>
      </c>
      <c r="O1907" t="str">
        <f>IF(Tabla_control[[#This Row],[Control_duplicados]]&gt;1,"Duplicado","Unico")</f>
        <v>Unico</v>
      </c>
      <c r="P1907" t="str">
        <f t="shared" si="117"/>
        <v>OK</v>
      </c>
      <c r="Q1907" t="str">
        <f t="shared" si="118"/>
        <v>OK</v>
      </c>
      <c r="R1907" t="str">
        <f t="shared" si="119"/>
        <v>OK</v>
      </c>
    </row>
    <row r="1908" spans="1:18" x14ac:dyDescent="0.3">
      <c r="A1908" s="1">
        <v>45918</v>
      </c>
      <c r="B1908" s="2" t="s">
        <v>2616</v>
      </c>
      <c r="C1908" s="2" t="s">
        <v>2527</v>
      </c>
      <c r="D1908" s="2" t="s">
        <v>2528</v>
      </c>
      <c r="E1908" s="2" t="s">
        <v>2517</v>
      </c>
      <c r="F1908" s="3">
        <v>59458</v>
      </c>
      <c r="G1908" s="3">
        <v>2241</v>
      </c>
      <c r="H1908" s="3">
        <v>298</v>
      </c>
      <c r="I1908" s="4">
        <v>1447.74</v>
      </c>
      <c r="J1908" s="4">
        <v>41737.980000000003</v>
      </c>
      <c r="K1908" s="3">
        <v>154</v>
      </c>
      <c r="L1908" s="2" t="s">
        <v>2523</v>
      </c>
      <c r="M1908" s="2" t="s">
        <v>2546</v>
      </c>
      <c r="N1908" s="6">
        <f t="shared" si="116"/>
        <v>1</v>
      </c>
      <c r="O1908" t="str">
        <f>IF(Tabla_control[[#This Row],[Control_duplicados]]&gt;1,"Duplicado","Unico")</f>
        <v>Unico</v>
      </c>
      <c r="P1908" t="str">
        <f t="shared" si="117"/>
        <v>OK</v>
      </c>
      <c r="Q1908" t="str">
        <f t="shared" si="118"/>
        <v>OK</v>
      </c>
      <c r="R1908" t="str">
        <f t="shared" si="119"/>
        <v>OK</v>
      </c>
    </row>
    <row r="1909" spans="1:18" x14ac:dyDescent="0.3">
      <c r="A1909" s="1">
        <v>46010</v>
      </c>
      <c r="B1909" s="2" t="s">
        <v>2639</v>
      </c>
      <c r="C1909" s="2" t="s">
        <v>2543</v>
      </c>
      <c r="D1909" s="2" t="s">
        <v>2516</v>
      </c>
      <c r="E1909" s="2" t="s">
        <v>2517</v>
      </c>
      <c r="F1909" s="3">
        <v>157363</v>
      </c>
      <c r="G1909" s="3">
        <v>7694</v>
      </c>
      <c r="H1909" s="3">
        <v>242</v>
      </c>
      <c r="I1909" s="4">
        <v>14323.28</v>
      </c>
      <c r="J1909" s="4">
        <v>16875.37</v>
      </c>
      <c r="K1909" s="3">
        <v>192</v>
      </c>
      <c r="L1909" s="2" t="s">
        <v>2539</v>
      </c>
      <c r="M1909" s="2" t="s">
        <v>2526</v>
      </c>
      <c r="N1909" s="6">
        <f t="shared" si="116"/>
        <v>1</v>
      </c>
      <c r="O1909" t="str">
        <f>IF(Tabla_control[[#This Row],[Control_duplicados]]&gt;1,"Duplicado","Unico")</f>
        <v>Unico</v>
      </c>
      <c r="P1909" t="str">
        <f t="shared" si="117"/>
        <v>OK</v>
      </c>
      <c r="Q1909" t="str">
        <f t="shared" si="118"/>
        <v>OK</v>
      </c>
      <c r="R1909" t="str">
        <f t="shared" si="119"/>
        <v>OK</v>
      </c>
    </row>
    <row r="1910" spans="1:18" x14ac:dyDescent="0.3">
      <c r="A1910" s="1">
        <v>45758</v>
      </c>
      <c r="B1910" s="2" t="s">
        <v>2628</v>
      </c>
      <c r="C1910" s="2" t="s">
        <v>2527</v>
      </c>
      <c r="D1910" s="2" t="s">
        <v>2528</v>
      </c>
      <c r="E1910" s="2" t="s">
        <v>2529</v>
      </c>
      <c r="F1910" s="3">
        <v>166554</v>
      </c>
      <c r="G1910" s="3">
        <v>5839</v>
      </c>
      <c r="H1910" s="3">
        <v>315</v>
      </c>
      <c r="I1910" s="4">
        <v>8298.14</v>
      </c>
      <c r="J1910" s="4">
        <v>23373.65</v>
      </c>
      <c r="K1910" s="3">
        <v>184</v>
      </c>
      <c r="L1910" s="2" t="s">
        <v>2536</v>
      </c>
      <c r="M1910" s="2" t="s">
        <v>2519</v>
      </c>
      <c r="N1910" s="6">
        <f t="shared" si="116"/>
        <v>1</v>
      </c>
      <c r="O1910" t="str">
        <f>IF(Tabla_control[[#This Row],[Control_duplicados]]&gt;1,"Duplicado","Unico")</f>
        <v>Unico</v>
      </c>
      <c r="P1910" t="str">
        <f t="shared" si="117"/>
        <v>OK</v>
      </c>
      <c r="Q1910" t="str">
        <f t="shared" si="118"/>
        <v>OK</v>
      </c>
      <c r="R1910" t="str">
        <f t="shared" si="119"/>
        <v>OK</v>
      </c>
    </row>
    <row r="1911" spans="1:18" x14ac:dyDescent="0.3">
      <c r="A1911" s="1">
        <v>45864</v>
      </c>
      <c r="B1911" s="2" t="s">
        <v>2615</v>
      </c>
      <c r="C1911" s="2" t="s">
        <v>2521</v>
      </c>
      <c r="D1911" s="2" t="s">
        <v>2528</v>
      </c>
      <c r="E1911" s="2" t="s">
        <v>2529</v>
      </c>
      <c r="F1911" s="3">
        <v>25120</v>
      </c>
      <c r="G1911" s="3">
        <v>2123</v>
      </c>
      <c r="H1911" s="3">
        <v>86</v>
      </c>
      <c r="I1911" s="4">
        <v>2715.22</v>
      </c>
      <c r="J1911" s="4">
        <v>2690.07</v>
      </c>
      <c r="K1911" s="3">
        <v>46</v>
      </c>
      <c r="L1911" s="2" t="s">
        <v>2539</v>
      </c>
      <c r="M1911" s="2" t="s">
        <v>2546</v>
      </c>
      <c r="N1911" s="6">
        <f t="shared" si="116"/>
        <v>1</v>
      </c>
      <c r="O1911" t="str">
        <f>IF(Tabla_control[[#This Row],[Control_duplicados]]&gt;1,"Duplicado","Unico")</f>
        <v>Unico</v>
      </c>
      <c r="P1911" t="str">
        <f t="shared" si="117"/>
        <v>OK</v>
      </c>
      <c r="Q1911" t="str">
        <f t="shared" si="118"/>
        <v>OK</v>
      </c>
      <c r="R1911" t="str">
        <f t="shared" si="119"/>
        <v>OK</v>
      </c>
    </row>
    <row r="1912" spans="1:18" x14ac:dyDescent="0.3">
      <c r="A1912" s="1">
        <v>45760</v>
      </c>
      <c r="B1912" s="2" t="s">
        <v>2633</v>
      </c>
      <c r="C1912" s="2" t="s">
        <v>2515</v>
      </c>
      <c r="D1912" s="2" t="s">
        <v>2525</v>
      </c>
      <c r="E1912" s="2" t="s">
        <v>2517</v>
      </c>
      <c r="F1912" s="3">
        <v>118486</v>
      </c>
      <c r="G1912" s="3">
        <v>10086</v>
      </c>
      <c r="H1912" s="3">
        <v>10092</v>
      </c>
      <c r="I1912" s="4">
        <v>4646.57</v>
      </c>
      <c r="J1912" s="4">
        <v>74476.759999999995</v>
      </c>
      <c r="K1912" s="3">
        <v>327</v>
      </c>
      <c r="L1912" s="2" t="s">
        <v>2539</v>
      </c>
      <c r="M1912" s="2" t="s">
        <v>2537</v>
      </c>
      <c r="N1912" s="6">
        <f t="shared" si="116"/>
        <v>1</v>
      </c>
      <c r="O1912" t="str">
        <f>IF(Tabla_control[[#This Row],[Control_duplicados]]&gt;1,"Duplicado","Unico")</f>
        <v>Unico</v>
      </c>
      <c r="P1912" t="str">
        <f t="shared" si="117"/>
        <v>OK</v>
      </c>
      <c r="Q1912" t="str">
        <f t="shared" si="118"/>
        <v>OK</v>
      </c>
      <c r="R1912" t="str">
        <f t="shared" si="119"/>
        <v>OK</v>
      </c>
    </row>
    <row r="1913" spans="1:18" x14ac:dyDescent="0.3">
      <c r="A1913" s="1">
        <v>45948</v>
      </c>
      <c r="B1913" s="2" t="s">
        <v>2626</v>
      </c>
      <c r="C1913" s="2" t="s">
        <v>2515</v>
      </c>
      <c r="D1913" s="2" t="s">
        <v>2525</v>
      </c>
      <c r="E1913" s="2" t="s">
        <v>2529</v>
      </c>
      <c r="F1913" s="3">
        <v>69602</v>
      </c>
      <c r="G1913" s="3">
        <v>5574</v>
      </c>
      <c r="H1913" s="3">
        <v>59</v>
      </c>
      <c r="I1913" s="4">
        <v>4069.89</v>
      </c>
      <c r="J1913" s="4">
        <v>1936.86</v>
      </c>
      <c r="K1913" s="3">
        <v>37</v>
      </c>
      <c r="L1913" s="2" t="s">
        <v>2523</v>
      </c>
      <c r="M1913" s="2" t="s">
        <v>2524</v>
      </c>
      <c r="N1913" s="6">
        <f t="shared" si="116"/>
        <v>2</v>
      </c>
      <c r="O1913" t="str">
        <f>IF(Tabla_control[[#This Row],[Control_duplicados]]&gt;1,"Duplicado","Unico")</f>
        <v>Duplicado</v>
      </c>
      <c r="P1913" t="str">
        <f t="shared" si="117"/>
        <v>OK</v>
      </c>
      <c r="Q1913" t="str">
        <f t="shared" si="118"/>
        <v>OK</v>
      </c>
      <c r="R1913" t="str">
        <f t="shared" si="119"/>
        <v>OK</v>
      </c>
    </row>
    <row r="1914" spans="1:18" x14ac:dyDescent="0.3">
      <c r="A1914" s="1">
        <v>45771</v>
      </c>
      <c r="B1914" s="2" t="s">
        <v>2628</v>
      </c>
      <c r="C1914" s="2" t="s">
        <v>2543</v>
      </c>
      <c r="D1914" s="2" t="s">
        <v>2516</v>
      </c>
      <c r="E1914" s="2" t="s">
        <v>2529</v>
      </c>
      <c r="F1914" s="3">
        <v>17800</v>
      </c>
      <c r="G1914" s="3">
        <v>814</v>
      </c>
      <c r="H1914" s="3">
        <v>24</v>
      </c>
      <c r="I1914" s="4">
        <v>1487.15</v>
      </c>
      <c r="J1914" s="4">
        <v>4936.29</v>
      </c>
      <c r="K1914" s="3">
        <v>14</v>
      </c>
      <c r="L1914" s="2" t="s">
        <v>2539</v>
      </c>
      <c r="M1914" s="2" t="s">
        <v>2537</v>
      </c>
      <c r="N1914" s="6">
        <f t="shared" si="116"/>
        <v>1</v>
      </c>
      <c r="O1914" t="str">
        <f>IF(Tabla_control[[#This Row],[Control_duplicados]]&gt;1,"Duplicado","Unico")</f>
        <v>Unico</v>
      </c>
      <c r="P1914" t="str">
        <f t="shared" si="117"/>
        <v>OK</v>
      </c>
      <c r="Q1914" t="str">
        <f t="shared" si="118"/>
        <v>OK</v>
      </c>
      <c r="R1914" t="str">
        <f t="shared" si="119"/>
        <v>OK</v>
      </c>
    </row>
    <row r="1915" spans="1:18" x14ac:dyDescent="0.3">
      <c r="A1915" s="1">
        <v>46016</v>
      </c>
      <c r="B1915" s="2" t="s">
        <v>2622</v>
      </c>
      <c r="C1915" s="2" t="s">
        <v>2541</v>
      </c>
      <c r="D1915" s="2" t="s">
        <v>2528</v>
      </c>
      <c r="E1915" s="2" t="s">
        <v>2534</v>
      </c>
      <c r="F1915" s="3">
        <v>51472</v>
      </c>
      <c r="G1915" s="3">
        <v>3131</v>
      </c>
      <c r="H1915" s="3">
        <v>430</v>
      </c>
      <c r="I1915" s="4">
        <v>6397.83</v>
      </c>
      <c r="J1915" s="4">
        <v>44922.43</v>
      </c>
      <c r="K1915" s="3">
        <v>213</v>
      </c>
      <c r="L1915" s="2" t="s">
        <v>2539</v>
      </c>
      <c r="M1915" s="2" t="s">
        <v>2526</v>
      </c>
      <c r="N1915" s="6">
        <f t="shared" si="116"/>
        <v>1</v>
      </c>
      <c r="O1915" t="str">
        <f>IF(Tabla_control[[#This Row],[Control_duplicados]]&gt;1,"Duplicado","Unico")</f>
        <v>Unico</v>
      </c>
      <c r="P1915" t="str">
        <f t="shared" si="117"/>
        <v>OK</v>
      </c>
      <c r="Q1915" t="str">
        <f t="shared" si="118"/>
        <v>OK</v>
      </c>
      <c r="R1915" t="str">
        <f t="shared" si="119"/>
        <v>OK</v>
      </c>
    </row>
    <row r="1916" spans="1:18" x14ac:dyDescent="0.3">
      <c r="A1916" s="1">
        <v>45693</v>
      </c>
      <c r="B1916" s="2" t="s">
        <v>2618</v>
      </c>
      <c r="C1916" s="2" t="s">
        <v>2543</v>
      </c>
      <c r="D1916" s="2" t="s">
        <v>2528</v>
      </c>
      <c r="E1916" s="2" t="s">
        <v>2534</v>
      </c>
      <c r="F1916" s="3">
        <v>155342</v>
      </c>
      <c r="G1916" s="3">
        <v>9491</v>
      </c>
      <c r="H1916" s="3">
        <v>164</v>
      </c>
      <c r="I1916" s="4">
        <v>6288.72</v>
      </c>
      <c r="J1916" s="4">
        <v>2754.04</v>
      </c>
      <c r="K1916" s="3">
        <v>92</v>
      </c>
      <c r="L1916" s="2" t="s">
        <v>2539</v>
      </c>
      <c r="M1916" s="2" t="s">
        <v>2546</v>
      </c>
      <c r="N1916" s="6">
        <f t="shared" si="116"/>
        <v>1</v>
      </c>
      <c r="O1916" t="str">
        <f>IF(Tabla_control[[#This Row],[Control_duplicados]]&gt;1,"Duplicado","Unico")</f>
        <v>Unico</v>
      </c>
      <c r="P1916" t="str">
        <f t="shared" si="117"/>
        <v>OK</v>
      </c>
      <c r="Q1916" t="str">
        <f t="shared" si="118"/>
        <v>OK</v>
      </c>
      <c r="R1916" t="str">
        <f t="shared" si="119"/>
        <v>OK</v>
      </c>
    </row>
    <row r="1917" spans="1:18" x14ac:dyDescent="0.3">
      <c r="A1917" s="1">
        <v>45726</v>
      </c>
      <c r="B1917" s="2" t="s">
        <v>2630</v>
      </c>
      <c r="C1917" s="2" t="s">
        <v>2527</v>
      </c>
      <c r="D1917" s="2" t="s">
        <v>2528</v>
      </c>
      <c r="E1917" s="2" t="s">
        <v>2517</v>
      </c>
      <c r="F1917" s="3">
        <v>133922</v>
      </c>
      <c r="G1917" s="3">
        <v>11643</v>
      </c>
      <c r="H1917" s="3">
        <v>292</v>
      </c>
      <c r="I1917" s="4">
        <v>22990.62</v>
      </c>
      <c r="J1917" s="4">
        <v>38986.5</v>
      </c>
      <c r="K1917" s="3">
        <v>250</v>
      </c>
      <c r="L1917" s="2" t="s">
        <v>2539</v>
      </c>
      <c r="M1917" s="2" t="s">
        <v>2537</v>
      </c>
      <c r="N1917" s="6">
        <f t="shared" si="116"/>
        <v>1</v>
      </c>
      <c r="O1917" t="str">
        <f>IF(Tabla_control[[#This Row],[Control_duplicados]]&gt;1,"Duplicado","Unico")</f>
        <v>Unico</v>
      </c>
      <c r="P1917" t="str">
        <f t="shared" si="117"/>
        <v>OK</v>
      </c>
      <c r="Q1917" t="str">
        <f t="shared" si="118"/>
        <v>OK</v>
      </c>
      <c r="R1917" t="str">
        <f t="shared" si="119"/>
        <v>OK</v>
      </c>
    </row>
    <row r="1918" spans="1:18" x14ac:dyDescent="0.3">
      <c r="A1918" s="1">
        <v>45831</v>
      </c>
      <c r="B1918" s="2" t="s">
        <v>2629</v>
      </c>
      <c r="C1918" s="2" t="s">
        <v>2533</v>
      </c>
      <c r="D1918" s="2" t="s">
        <v>2531</v>
      </c>
      <c r="E1918" s="2" t="s">
        <v>2529</v>
      </c>
      <c r="F1918" s="3">
        <v>89122</v>
      </c>
      <c r="G1918" s="3">
        <v>3889</v>
      </c>
      <c r="H1918" s="3">
        <v>44</v>
      </c>
      <c r="I1918" s="4">
        <v>7781.66</v>
      </c>
      <c r="J1918" s="4">
        <v>5817.83</v>
      </c>
      <c r="K1918" s="3">
        <v>39</v>
      </c>
      <c r="L1918" s="2" t="s">
        <v>2523</v>
      </c>
      <c r="M1918" s="2" t="s">
        <v>2519</v>
      </c>
      <c r="N1918" s="6">
        <f t="shared" si="116"/>
        <v>1</v>
      </c>
      <c r="O1918" t="str">
        <f>IF(Tabla_control[[#This Row],[Control_duplicados]]&gt;1,"Duplicado","Unico")</f>
        <v>Unico</v>
      </c>
      <c r="P1918" t="str">
        <f t="shared" si="117"/>
        <v>OK</v>
      </c>
      <c r="Q1918" t="str">
        <f t="shared" si="118"/>
        <v>OK</v>
      </c>
      <c r="R1918" t="str">
        <f t="shared" si="119"/>
        <v>OK</v>
      </c>
    </row>
    <row r="1919" spans="1:18" x14ac:dyDescent="0.3">
      <c r="A1919" s="1">
        <v>45778</v>
      </c>
      <c r="B1919" s="2" t="s">
        <v>2626</v>
      </c>
      <c r="C1919" s="2" t="s">
        <v>2515</v>
      </c>
      <c r="D1919" s="2" t="s">
        <v>2528</v>
      </c>
      <c r="E1919" s="2" t="s">
        <v>2534</v>
      </c>
      <c r="F1919" s="3">
        <v>149192</v>
      </c>
      <c r="G1919" s="3">
        <v>1800</v>
      </c>
      <c r="H1919" s="3">
        <v>139</v>
      </c>
      <c r="I1919" s="4">
        <v>2336.64</v>
      </c>
      <c r="J1919" s="4">
        <v>17837.95</v>
      </c>
      <c r="K1919" s="3">
        <v>75</v>
      </c>
      <c r="L1919" s="2" t="s">
        <v>2539</v>
      </c>
      <c r="M1919" s="2" t="s">
        <v>2537</v>
      </c>
      <c r="N1919" s="6">
        <f t="shared" si="116"/>
        <v>1</v>
      </c>
      <c r="O1919" t="str">
        <f>IF(Tabla_control[[#This Row],[Control_duplicados]]&gt;1,"Duplicado","Unico")</f>
        <v>Unico</v>
      </c>
      <c r="P1919" t="str">
        <f t="shared" si="117"/>
        <v>OK</v>
      </c>
      <c r="Q1919" t="str">
        <f t="shared" si="118"/>
        <v>OK</v>
      </c>
      <c r="R1919" t="str">
        <f t="shared" si="119"/>
        <v>OK</v>
      </c>
    </row>
    <row r="1920" spans="1:18" x14ac:dyDescent="0.3">
      <c r="A1920" s="1">
        <v>45863</v>
      </c>
      <c r="B1920" s="2" t="s">
        <v>2643</v>
      </c>
      <c r="C1920" s="2" t="s">
        <v>2521</v>
      </c>
      <c r="D1920" s="2" t="s">
        <v>2528</v>
      </c>
      <c r="E1920" s="2" t="s">
        <v>2534</v>
      </c>
      <c r="F1920" s="3">
        <v>165121</v>
      </c>
      <c r="G1920" s="3">
        <v>2900</v>
      </c>
      <c r="H1920" s="3">
        <v>157</v>
      </c>
      <c r="I1920" s="4">
        <v>1962.5</v>
      </c>
      <c r="J1920" s="4">
        <v>3243.78</v>
      </c>
      <c r="K1920" s="3">
        <v>135</v>
      </c>
      <c r="L1920" s="2" t="s">
        <v>2518</v>
      </c>
      <c r="M1920" s="2" t="s">
        <v>2519</v>
      </c>
      <c r="N1920" s="6">
        <f t="shared" si="116"/>
        <v>1</v>
      </c>
      <c r="O1920" t="str">
        <f>IF(Tabla_control[[#This Row],[Control_duplicados]]&gt;1,"Duplicado","Unico")</f>
        <v>Unico</v>
      </c>
      <c r="P1920" t="str">
        <f t="shared" si="117"/>
        <v>OK</v>
      </c>
      <c r="Q1920" t="str">
        <f t="shared" si="118"/>
        <v>OK</v>
      </c>
      <c r="R1920" t="str">
        <f t="shared" si="119"/>
        <v>OK</v>
      </c>
    </row>
    <row r="1921" spans="1:18" x14ac:dyDescent="0.3">
      <c r="A1921" s="1">
        <v>45911</v>
      </c>
      <c r="B1921" s="2" t="s">
        <v>2639</v>
      </c>
      <c r="C1921" s="2" t="s">
        <v>2533</v>
      </c>
      <c r="D1921" s="2" t="s">
        <v>2531</v>
      </c>
      <c r="E1921" s="2" t="s">
        <v>2529</v>
      </c>
      <c r="F1921" s="3">
        <v>35239</v>
      </c>
      <c r="G1921" s="3">
        <v>1514</v>
      </c>
      <c r="H1921" s="3">
        <v>202</v>
      </c>
      <c r="I1921" s="4">
        <v>2209.39</v>
      </c>
      <c r="J1921" s="4">
        <v>7285.93</v>
      </c>
      <c r="K1921" s="3">
        <v>116</v>
      </c>
      <c r="L1921" s="2" t="s">
        <v>2539</v>
      </c>
      <c r="M1921" s="2" t="s">
        <v>2526</v>
      </c>
      <c r="N1921" s="6">
        <f t="shared" si="116"/>
        <v>1</v>
      </c>
      <c r="O1921" t="str">
        <f>IF(Tabla_control[[#This Row],[Control_duplicados]]&gt;1,"Duplicado","Unico")</f>
        <v>Unico</v>
      </c>
      <c r="P1921" t="str">
        <f t="shared" si="117"/>
        <v>OK</v>
      </c>
      <c r="Q1921" t="str">
        <f t="shared" si="118"/>
        <v>OK</v>
      </c>
      <c r="R1921" t="str">
        <f t="shared" si="119"/>
        <v>OK</v>
      </c>
    </row>
    <row r="1922" spans="1:18" x14ac:dyDescent="0.3">
      <c r="A1922" s="1">
        <v>45711</v>
      </c>
      <c r="B1922" s="2" t="s">
        <v>2642</v>
      </c>
      <c r="C1922" s="2" t="s">
        <v>2527</v>
      </c>
      <c r="D1922" s="2" t="s">
        <v>2528</v>
      </c>
      <c r="E1922" s="2" t="s">
        <v>2529</v>
      </c>
      <c r="F1922" s="3">
        <v>155954</v>
      </c>
      <c r="G1922" s="3">
        <v>13563</v>
      </c>
      <c r="H1922" s="3">
        <v>1680</v>
      </c>
      <c r="I1922" s="4">
        <v>13089.58</v>
      </c>
      <c r="J1922" s="4">
        <v>204974.81</v>
      </c>
      <c r="K1922" s="3">
        <v>1418</v>
      </c>
      <c r="L1922" s="2" t="s">
        <v>2536</v>
      </c>
      <c r="M1922" s="2" t="s">
        <v>2537</v>
      </c>
      <c r="N1922" s="6">
        <f t="shared" ref="N1922:N1985" si="120">COUNTIFS($A$2:$A$2536,A1922,$B$2:$B$2536,B1922,$C$2:$C$2536,C1922,$D$2:$D$2536,D1922,$E$2:$E$2536,E1922,$F$2:$F$2536,F1922,$G$2:$G$2536,G1922,$H$2:$H$2536,H1922,$I$2:$I$2536,I1922,$J$2:$J$2536,J1922,$K$2:$K$2536,K1922,$L$2:$L$2536,L1922,$M$2:$M$2536,M1922)</f>
        <v>1</v>
      </c>
      <c r="O1922" t="str">
        <f>IF(Tabla_control[[#This Row],[Control_duplicados]]&gt;1,"Duplicado","Unico")</f>
        <v>Unico</v>
      </c>
      <c r="P1922" t="str">
        <f t="shared" ref="P1922:P1985" si="121">IF(OR(I1922="",I1922&lt;0),"ERROR","OK")</f>
        <v>OK</v>
      </c>
      <c r="Q1922" t="str">
        <f t="shared" ref="Q1922:Q1985" si="122">IF(H1922&gt;F1922,"ERROR","OK")</f>
        <v>OK</v>
      </c>
      <c r="R1922" t="str">
        <f t="shared" ref="R1922:R1985" si="123">IF(K1922&gt;H1922,"ERROR","OK")</f>
        <v>OK</v>
      </c>
    </row>
    <row r="1923" spans="1:18" x14ac:dyDescent="0.3">
      <c r="A1923" s="1">
        <v>45896</v>
      </c>
      <c r="B1923" s="2" t="s">
        <v>2640</v>
      </c>
      <c r="C1923" s="2" t="s">
        <v>2515</v>
      </c>
      <c r="D1923" s="2" t="s">
        <v>2528</v>
      </c>
      <c r="E1923" s="2" t="s">
        <v>2517</v>
      </c>
      <c r="F1923" s="3">
        <v>83081</v>
      </c>
      <c r="G1923" s="3">
        <v>1684</v>
      </c>
      <c r="H1923" s="3">
        <v>146</v>
      </c>
      <c r="I1923" s="4">
        <v>695.77</v>
      </c>
      <c r="J1923" s="4">
        <v>15050.27</v>
      </c>
      <c r="K1923" s="3">
        <v>78</v>
      </c>
      <c r="L1923" s="2" t="s">
        <v>2518</v>
      </c>
      <c r="M1923" s="2" t="s">
        <v>2546</v>
      </c>
      <c r="N1923" s="6">
        <f t="shared" si="120"/>
        <v>1</v>
      </c>
      <c r="O1923" t="str">
        <f>IF(Tabla_control[[#This Row],[Control_duplicados]]&gt;1,"Duplicado","Unico")</f>
        <v>Unico</v>
      </c>
      <c r="P1923" t="str">
        <f t="shared" si="121"/>
        <v>OK</v>
      </c>
      <c r="Q1923" t="str">
        <f t="shared" si="122"/>
        <v>OK</v>
      </c>
      <c r="R1923" t="str">
        <f t="shared" si="123"/>
        <v>OK</v>
      </c>
    </row>
    <row r="1924" spans="1:18" x14ac:dyDescent="0.3">
      <c r="A1924" s="1">
        <v>45788</v>
      </c>
      <c r="B1924" s="2" t="s">
        <v>2615</v>
      </c>
      <c r="C1924" s="2" t="s">
        <v>2515</v>
      </c>
      <c r="D1924" s="2" t="s">
        <v>2522</v>
      </c>
      <c r="E1924" s="2" t="s">
        <v>2517</v>
      </c>
      <c r="F1924" s="3">
        <v>95331</v>
      </c>
      <c r="G1924" s="3">
        <v>3981</v>
      </c>
      <c r="H1924" s="3">
        <v>214</v>
      </c>
      <c r="I1924" s="4">
        <v>2083.36</v>
      </c>
      <c r="J1924" s="4">
        <v>25624.62</v>
      </c>
      <c r="K1924" s="3">
        <v>116</v>
      </c>
      <c r="L1924" s="2" t="s">
        <v>2523</v>
      </c>
      <c r="M1924" s="2" t="s">
        <v>2524</v>
      </c>
      <c r="N1924" s="6">
        <f t="shared" si="120"/>
        <v>1</v>
      </c>
      <c r="O1924" t="str">
        <f>IF(Tabla_control[[#This Row],[Control_duplicados]]&gt;1,"Duplicado","Unico")</f>
        <v>Unico</v>
      </c>
      <c r="P1924" t="str">
        <f t="shared" si="121"/>
        <v>OK</v>
      </c>
      <c r="Q1924" t="str">
        <f t="shared" si="122"/>
        <v>OK</v>
      </c>
      <c r="R1924" t="str">
        <f t="shared" si="123"/>
        <v>OK</v>
      </c>
    </row>
    <row r="1925" spans="1:18" x14ac:dyDescent="0.3">
      <c r="A1925" s="1">
        <v>45807</v>
      </c>
      <c r="B1925" s="2" t="s">
        <v>2640</v>
      </c>
      <c r="C1925" s="2" t="s">
        <v>2521</v>
      </c>
      <c r="D1925" s="2" t="s">
        <v>2528</v>
      </c>
      <c r="E1925" s="2" t="s">
        <v>2517</v>
      </c>
      <c r="F1925" s="3">
        <v>160703</v>
      </c>
      <c r="G1925" s="3">
        <v>11513</v>
      </c>
      <c r="H1925" s="3">
        <v>74</v>
      </c>
      <c r="I1925" s="4">
        <v>3305.89</v>
      </c>
      <c r="J1925" s="4">
        <v>14144.31</v>
      </c>
      <c r="K1925" s="3">
        <v>38</v>
      </c>
      <c r="L1925" s="2" t="s">
        <v>2536</v>
      </c>
      <c r="M1925" s="2" t="s">
        <v>2546</v>
      </c>
      <c r="N1925" s="6">
        <f t="shared" si="120"/>
        <v>1</v>
      </c>
      <c r="O1925" t="str">
        <f>IF(Tabla_control[[#This Row],[Control_duplicados]]&gt;1,"Duplicado","Unico")</f>
        <v>Unico</v>
      </c>
      <c r="P1925" t="str">
        <f t="shared" si="121"/>
        <v>OK</v>
      </c>
      <c r="Q1925" t="str">
        <f t="shared" si="122"/>
        <v>OK</v>
      </c>
      <c r="R1925" t="str">
        <f t="shared" si="123"/>
        <v>OK</v>
      </c>
    </row>
    <row r="1926" spans="1:18" x14ac:dyDescent="0.3">
      <c r="A1926" s="1">
        <v>45794</v>
      </c>
      <c r="B1926" s="2" t="s">
        <v>2624</v>
      </c>
      <c r="C1926" s="2" t="s">
        <v>2521</v>
      </c>
      <c r="D1926" s="2" t="s">
        <v>2528</v>
      </c>
      <c r="E1926" s="2" t="s">
        <v>2529</v>
      </c>
      <c r="F1926" s="3">
        <v>11787</v>
      </c>
      <c r="G1926" s="3">
        <v>953</v>
      </c>
      <c r="H1926" s="3">
        <v>130</v>
      </c>
      <c r="I1926" s="4">
        <v>822.27</v>
      </c>
      <c r="J1926" s="4">
        <v>21415.73</v>
      </c>
      <c r="K1926" s="3">
        <v>93</v>
      </c>
      <c r="L1926" s="2" t="s">
        <v>2536</v>
      </c>
      <c r="M1926" s="2" t="s">
        <v>2519</v>
      </c>
      <c r="N1926" s="6">
        <f t="shared" si="120"/>
        <v>1</v>
      </c>
      <c r="O1926" t="str">
        <f>IF(Tabla_control[[#This Row],[Control_duplicados]]&gt;1,"Duplicado","Unico")</f>
        <v>Unico</v>
      </c>
      <c r="P1926" t="str">
        <f t="shared" si="121"/>
        <v>OK</v>
      </c>
      <c r="Q1926" t="str">
        <f t="shared" si="122"/>
        <v>OK</v>
      </c>
      <c r="R1926" t="str">
        <f t="shared" si="123"/>
        <v>OK</v>
      </c>
    </row>
    <row r="1927" spans="1:18" x14ac:dyDescent="0.3">
      <c r="A1927" s="1">
        <v>45993</v>
      </c>
      <c r="B1927" s="2" t="s">
        <v>2635</v>
      </c>
      <c r="C1927" s="2" t="s">
        <v>2533</v>
      </c>
      <c r="D1927" s="2" t="s">
        <v>2525</v>
      </c>
      <c r="E1927" s="2" t="s">
        <v>2529</v>
      </c>
      <c r="F1927" s="3">
        <v>25625</v>
      </c>
      <c r="G1927" s="3">
        <v>1755</v>
      </c>
      <c r="H1927" s="3">
        <v>196</v>
      </c>
      <c r="I1927" s="4">
        <v>3488.11</v>
      </c>
      <c r="J1927" s="4">
        <v>17968.07</v>
      </c>
      <c r="K1927" s="3">
        <v>129</v>
      </c>
      <c r="L1927" s="2" t="s">
        <v>2536</v>
      </c>
      <c r="M1927" s="2" t="s">
        <v>2546</v>
      </c>
      <c r="N1927" s="6">
        <f t="shared" si="120"/>
        <v>1</v>
      </c>
      <c r="O1927" t="str">
        <f>IF(Tabla_control[[#This Row],[Control_duplicados]]&gt;1,"Duplicado","Unico")</f>
        <v>Unico</v>
      </c>
      <c r="P1927" t="str">
        <f t="shared" si="121"/>
        <v>OK</v>
      </c>
      <c r="Q1927" t="str">
        <f t="shared" si="122"/>
        <v>OK</v>
      </c>
      <c r="R1927" t="str">
        <f t="shared" si="123"/>
        <v>OK</v>
      </c>
    </row>
    <row r="1928" spans="1:18" x14ac:dyDescent="0.3">
      <c r="A1928" s="1">
        <v>45849</v>
      </c>
      <c r="B1928" s="2" t="s">
        <v>2622</v>
      </c>
      <c r="C1928" s="2" t="s">
        <v>2533</v>
      </c>
      <c r="D1928" s="2" t="s">
        <v>2528</v>
      </c>
      <c r="E1928" s="2" t="s">
        <v>2517</v>
      </c>
      <c r="F1928" s="3">
        <v>175832</v>
      </c>
      <c r="G1928" s="3">
        <v>9818</v>
      </c>
      <c r="H1928" s="3">
        <v>571</v>
      </c>
      <c r="I1928" s="4">
        <v>18853.419999999998</v>
      </c>
      <c r="J1928" s="4">
        <v>22761.46</v>
      </c>
      <c r="K1928" s="3">
        <v>471</v>
      </c>
      <c r="L1928" s="2" t="s">
        <v>2536</v>
      </c>
      <c r="M1928" s="2" t="s">
        <v>2524</v>
      </c>
      <c r="N1928" s="6">
        <f t="shared" si="120"/>
        <v>1</v>
      </c>
      <c r="O1928" t="str">
        <f>IF(Tabla_control[[#This Row],[Control_duplicados]]&gt;1,"Duplicado","Unico")</f>
        <v>Unico</v>
      </c>
      <c r="P1928" t="str">
        <f t="shared" si="121"/>
        <v>OK</v>
      </c>
      <c r="Q1928" t="str">
        <f t="shared" si="122"/>
        <v>OK</v>
      </c>
      <c r="R1928" t="str">
        <f t="shared" si="123"/>
        <v>OK</v>
      </c>
    </row>
    <row r="1929" spans="1:18" x14ac:dyDescent="0.3">
      <c r="A1929" s="1">
        <v>45824</v>
      </c>
      <c r="B1929" s="2" t="s">
        <v>2624</v>
      </c>
      <c r="C1929" s="2" t="s">
        <v>2527</v>
      </c>
      <c r="D1929" s="2" t="s">
        <v>2516</v>
      </c>
      <c r="E1929" s="2" t="s">
        <v>2517</v>
      </c>
      <c r="F1929" s="3">
        <v>127737</v>
      </c>
      <c r="G1929" s="3">
        <v>4842</v>
      </c>
      <c r="H1929" s="3">
        <v>310</v>
      </c>
      <c r="I1929" s="4">
        <v>1881.95</v>
      </c>
      <c r="J1929" s="4">
        <v>25695.14</v>
      </c>
      <c r="K1929" s="3">
        <v>240</v>
      </c>
      <c r="L1929" s="2" t="s">
        <v>2539</v>
      </c>
      <c r="M1929" s="2" t="s">
        <v>2524</v>
      </c>
      <c r="N1929" s="6">
        <f t="shared" si="120"/>
        <v>1</v>
      </c>
      <c r="O1929" t="str">
        <f>IF(Tabla_control[[#This Row],[Control_duplicados]]&gt;1,"Duplicado","Unico")</f>
        <v>Unico</v>
      </c>
      <c r="P1929" t="str">
        <f t="shared" si="121"/>
        <v>OK</v>
      </c>
      <c r="Q1929" t="str">
        <f t="shared" si="122"/>
        <v>OK</v>
      </c>
      <c r="R1929" t="str">
        <f t="shared" si="123"/>
        <v>OK</v>
      </c>
    </row>
    <row r="1930" spans="1:18" x14ac:dyDescent="0.3">
      <c r="A1930" s="1">
        <v>45774</v>
      </c>
      <c r="B1930" s="2" t="s">
        <v>2616</v>
      </c>
      <c r="C1930" s="2" t="s">
        <v>2533</v>
      </c>
      <c r="D1930" s="2" t="s">
        <v>2528</v>
      </c>
      <c r="E1930" s="2" t="s">
        <v>2517</v>
      </c>
      <c r="F1930" s="3">
        <v>110340</v>
      </c>
      <c r="G1930" s="3">
        <v>7142</v>
      </c>
      <c r="H1930" s="3">
        <v>815</v>
      </c>
      <c r="I1930" s="4">
        <v>3077.68</v>
      </c>
      <c r="J1930" s="4">
        <v>168967.51</v>
      </c>
      <c r="K1930" s="3">
        <v>732</v>
      </c>
      <c r="L1930" s="2" t="s">
        <v>2536</v>
      </c>
      <c r="M1930" s="2" t="s">
        <v>2546</v>
      </c>
      <c r="N1930" s="6">
        <f t="shared" si="120"/>
        <v>1</v>
      </c>
      <c r="O1930" t="str">
        <f>IF(Tabla_control[[#This Row],[Control_duplicados]]&gt;1,"Duplicado","Unico")</f>
        <v>Unico</v>
      </c>
      <c r="P1930" t="str">
        <f t="shared" si="121"/>
        <v>OK</v>
      </c>
      <c r="Q1930" t="str">
        <f t="shared" si="122"/>
        <v>OK</v>
      </c>
      <c r="R1930" t="str">
        <f t="shared" si="123"/>
        <v>OK</v>
      </c>
    </row>
    <row r="1931" spans="1:18" x14ac:dyDescent="0.3">
      <c r="A1931" s="1">
        <v>45895</v>
      </c>
      <c r="B1931" s="2" t="s">
        <v>2632</v>
      </c>
      <c r="C1931" s="2" t="s">
        <v>2521</v>
      </c>
      <c r="D1931" s="2" t="s">
        <v>2516</v>
      </c>
      <c r="E1931" s="2" t="s">
        <v>2529</v>
      </c>
      <c r="F1931" s="3">
        <v>133215</v>
      </c>
      <c r="G1931" s="3">
        <v>2039</v>
      </c>
      <c r="H1931" s="3">
        <v>180</v>
      </c>
      <c r="I1931" s="4">
        <v>3847.71</v>
      </c>
      <c r="J1931" s="4">
        <v>21270.85</v>
      </c>
      <c r="K1931" s="3">
        <v>120</v>
      </c>
      <c r="L1931" s="2" t="s">
        <v>2539</v>
      </c>
      <c r="M1931" s="2" t="s">
        <v>2526</v>
      </c>
      <c r="N1931" s="6">
        <f t="shared" si="120"/>
        <v>1</v>
      </c>
      <c r="O1931" t="str">
        <f>IF(Tabla_control[[#This Row],[Control_duplicados]]&gt;1,"Duplicado","Unico")</f>
        <v>Unico</v>
      </c>
      <c r="P1931" t="str">
        <f t="shared" si="121"/>
        <v>OK</v>
      </c>
      <c r="Q1931" t="str">
        <f t="shared" si="122"/>
        <v>OK</v>
      </c>
      <c r="R1931" t="str">
        <f t="shared" si="123"/>
        <v>OK</v>
      </c>
    </row>
    <row r="1932" spans="1:18" x14ac:dyDescent="0.3">
      <c r="A1932" s="1">
        <v>45684</v>
      </c>
      <c r="B1932" s="2" t="s">
        <v>2634</v>
      </c>
      <c r="C1932" s="2" t="s">
        <v>2527</v>
      </c>
      <c r="D1932" s="2" t="s">
        <v>2528</v>
      </c>
      <c r="E1932" s="2" t="s">
        <v>2517</v>
      </c>
      <c r="F1932" s="3">
        <v>98070</v>
      </c>
      <c r="G1932" s="3">
        <v>1205</v>
      </c>
      <c r="H1932" s="3">
        <v>100</v>
      </c>
      <c r="I1932" s="4">
        <v>292.14999999999998</v>
      </c>
      <c r="J1932" s="4">
        <v>9796.69</v>
      </c>
      <c r="K1932" s="3">
        <v>71</v>
      </c>
      <c r="L1932" s="2" t="s">
        <v>2518</v>
      </c>
      <c r="M1932" s="2" t="s">
        <v>2519</v>
      </c>
      <c r="N1932" s="6">
        <f t="shared" si="120"/>
        <v>1</v>
      </c>
      <c r="O1932" t="str">
        <f>IF(Tabla_control[[#This Row],[Control_duplicados]]&gt;1,"Duplicado","Unico")</f>
        <v>Unico</v>
      </c>
      <c r="P1932" t="str">
        <f t="shared" si="121"/>
        <v>OK</v>
      </c>
      <c r="Q1932" t="str">
        <f t="shared" si="122"/>
        <v>OK</v>
      </c>
      <c r="R1932" t="str">
        <f t="shared" si="123"/>
        <v>OK</v>
      </c>
    </row>
    <row r="1933" spans="1:18" x14ac:dyDescent="0.3">
      <c r="A1933" s="1">
        <v>45932</v>
      </c>
      <c r="B1933" s="2" t="s">
        <v>2641</v>
      </c>
      <c r="C1933" s="2" t="s">
        <v>2527</v>
      </c>
      <c r="D1933" s="2" t="s">
        <v>2516</v>
      </c>
      <c r="E1933" s="2" t="s">
        <v>2529</v>
      </c>
      <c r="F1933" s="3">
        <v>114371</v>
      </c>
      <c r="G1933" s="3">
        <v>10151</v>
      </c>
      <c r="H1933" s="3">
        <v>1095</v>
      </c>
      <c r="I1933" s="4">
        <v>16880.87</v>
      </c>
      <c r="J1933" s="4">
        <v>177102.23</v>
      </c>
      <c r="K1933" s="3">
        <v>723</v>
      </c>
      <c r="L1933" s="2" t="s">
        <v>2523</v>
      </c>
      <c r="M1933" s="2" t="s">
        <v>2537</v>
      </c>
      <c r="N1933" s="6">
        <f t="shared" si="120"/>
        <v>1</v>
      </c>
      <c r="O1933" t="str">
        <f>IF(Tabla_control[[#This Row],[Control_duplicados]]&gt;1,"Duplicado","Unico")</f>
        <v>Unico</v>
      </c>
      <c r="P1933" t="str">
        <f t="shared" si="121"/>
        <v>OK</v>
      </c>
      <c r="Q1933" t="str">
        <f t="shared" si="122"/>
        <v>OK</v>
      </c>
      <c r="R1933" t="str">
        <f t="shared" si="123"/>
        <v>OK</v>
      </c>
    </row>
    <row r="1934" spans="1:18" x14ac:dyDescent="0.3">
      <c r="A1934" s="1">
        <v>45811</v>
      </c>
      <c r="B1934" s="2" t="s">
        <v>2618</v>
      </c>
      <c r="C1934" s="2" t="s">
        <v>2543</v>
      </c>
      <c r="D1934" s="2" t="s">
        <v>2528</v>
      </c>
      <c r="E1934" s="2" t="s">
        <v>2529</v>
      </c>
      <c r="F1934" s="3">
        <v>119206</v>
      </c>
      <c r="G1934" s="3">
        <v>2804</v>
      </c>
      <c r="H1934" s="3">
        <v>128</v>
      </c>
      <c r="I1934" s="4">
        <v>4155.9399999999996</v>
      </c>
      <c r="J1934" s="4">
        <v>22821.55</v>
      </c>
      <c r="K1934" s="3">
        <v>82</v>
      </c>
      <c r="L1934" s="2" t="s">
        <v>2518</v>
      </c>
      <c r="M1934" s="2" t="s">
        <v>2537</v>
      </c>
      <c r="N1934" s="6">
        <f t="shared" si="120"/>
        <v>1</v>
      </c>
      <c r="O1934" t="str">
        <f>IF(Tabla_control[[#This Row],[Control_duplicados]]&gt;1,"Duplicado","Unico")</f>
        <v>Unico</v>
      </c>
      <c r="P1934" t="str">
        <f t="shared" si="121"/>
        <v>OK</v>
      </c>
      <c r="Q1934" t="str">
        <f t="shared" si="122"/>
        <v>OK</v>
      </c>
      <c r="R1934" t="str">
        <f t="shared" si="123"/>
        <v>OK</v>
      </c>
    </row>
    <row r="1935" spans="1:18" x14ac:dyDescent="0.3">
      <c r="A1935" s="1">
        <v>45733</v>
      </c>
      <c r="B1935" s="2" t="s">
        <v>2627</v>
      </c>
      <c r="C1935" s="2" t="s">
        <v>2515</v>
      </c>
      <c r="D1935" s="2" t="s">
        <v>2516</v>
      </c>
      <c r="E1935" s="2" t="s">
        <v>2517</v>
      </c>
      <c r="F1935" s="3">
        <v>94235</v>
      </c>
      <c r="G1935" s="3">
        <v>3938</v>
      </c>
      <c r="H1935" s="3">
        <v>55</v>
      </c>
      <c r="I1935" s="4">
        <v>3488.87</v>
      </c>
      <c r="J1935" s="4">
        <v>1090.6600000000001</v>
      </c>
      <c r="K1935" s="3">
        <v>39</v>
      </c>
      <c r="L1935" s="2" t="s">
        <v>2536</v>
      </c>
      <c r="M1935" s="2" t="s">
        <v>2526</v>
      </c>
      <c r="N1935" s="6">
        <f t="shared" si="120"/>
        <v>1</v>
      </c>
      <c r="O1935" t="str">
        <f>IF(Tabla_control[[#This Row],[Control_duplicados]]&gt;1,"Duplicado","Unico")</f>
        <v>Unico</v>
      </c>
      <c r="P1935" t="str">
        <f t="shared" si="121"/>
        <v>OK</v>
      </c>
      <c r="Q1935" t="str">
        <f t="shared" si="122"/>
        <v>OK</v>
      </c>
      <c r="R1935" t="str">
        <f t="shared" si="123"/>
        <v>OK</v>
      </c>
    </row>
    <row r="1936" spans="1:18" x14ac:dyDescent="0.3">
      <c r="A1936" s="1">
        <v>45993</v>
      </c>
      <c r="B1936" s="2" t="s">
        <v>2633</v>
      </c>
      <c r="C1936" s="2" t="s">
        <v>2527</v>
      </c>
      <c r="D1936" s="2" t="s">
        <v>2522</v>
      </c>
      <c r="E1936" s="2" t="s">
        <v>2529</v>
      </c>
      <c r="F1936" s="3">
        <v>26394</v>
      </c>
      <c r="G1936" s="3">
        <v>1183</v>
      </c>
      <c r="H1936" s="3">
        <v>128</v>
      </c>
      <c r="I1936" s="4">
        <v>2090.09</v>
      </c>
      <c r="J1936" s="4">
        <v>8463.31</v>
      </c>
      <c r="K1936" s="3">
        <v>80</v>
      </c>
      <c r="L1936" s="2" t="s">
        <v>2518</v>
      </c>
      <c r="M1936" s="2" t="s">
        <v>2519</v>
      </c>
      <c r="N1936" s="6">
        <f t="shared" si="120"/>
        <v>1</v>
      </c>
      <c r="O1936" t="str">
        <f>IF(Tabla_control[[#This Row],[Control_duplicados]]&gt;1,"Duplicado","Unico")</f>
        <v>Unico</v>
      </c>
      <c r="P1936" t="str">
        <f t="shared" si="121"/>
        <v>OK</v>
      </c>
      <c r="Q1936" t="str">
        <f t="shared" si="122"/>
        <v>OK</v>
      </c>
      <c r="R1936" t="str">
        <f t="shared" si="123"/>
        <v>OK</v>
      </c>
    </row>
    <row r="1937" spans="1:18" x14ac:dyDescent="0.3">
      <c r="A1937" s="1">
        <v>45775</v>
      </c>
      <c r="B1937" s="2" t="s">
        <v>2638</v>
      </c>
      <c r="C1937" s="2" t="s">
        <v>2533</v>
      </c>
      <c r="D1937" s="2" t="s">
        <v>2522</v>
      </c>
      <c r="E1937" s="2" t="s">
        <v>2517</v>
      </c>
      <c r="F1937" s="3">
        <v>145465</v>
      </c>
      <c r="G1937" s="3">
        <v>11107</v>
      </c>
      <c r="H1937" s="3">
        <v>367</v>
      </c>
      <c r="I1937" s="4">
        <v>12015.8</v>
      </c>
      <c r="J1937" s="4">
        <v>76083.960000000006</v>
      </c>
      <c r="K1937" s="3">
        <v>218</v>
      </c>
      <c r="L1937" s="2" t="s">
        <v>2523</v>
      </c>
      <c r="M1937" s="2" t="s">
        <v>2537</v>
      </c>
      <c r="N1937" s="6">
        <f t="shared" si="120"/>
        <v>1</v>
      </c>
      <c r="O1937" t="str">
        <f>IF(Tabla_control[[#This Row],[Control_duplicados]]&gt;1,"Duplicado","Unico")</f>
        <v>Unico</v>
      </c>
      <c r="P1937" t="str">
        <f t="shared" si="121"/>
        <v>OK</v>
      </c>
      <c r="Q1937" t="str">
        <f t="shared" si="122"/>
        <v>OK</v>
      </c>
      <c r="R1937" t="str">
        <f t="shared" si="123"/>
        <v>OK</v>
      </c>
    </row>
    <row r="1938" spans="1:18" x14ac:dyDescent="0.3">
      <c r="A1938" s="1">
        <v>45760</v>
      </c>
      <c r="B1938" s="2" t="s">
        <v>2639</v>
      </c>
      <c r="C1938" s="2" t="s">
        <v>2543</v>
      </c>
      <c r="D1938" s="2" t="s">
        <v>2528</v>
      </c>
      <c r="E1938" s="2" t="s">
        <v>2529</v>
      </c>
      <c r="F1938" s="3">
        <v>44429</v>
      </c>
      <c r="G1938" s="3">
        <v>3957</v>
      </c>
      <c r="H1938" s="3">
        <v>287</v>
      </c>
      <c r="I1938" s="4">
        <v>3227.51</v>
      </c>
      <c r="J1938" s="4">
        <v>27310.7</v>
      </c>
      <c r="K1938" s="3">
        <v>171</v>
      </c>
      <c r="L1938" s="2" t="s">
        <v>2539</v>
      </c>
      <c r="M1938" s="2" t="s">
        <v>2537</v>
      </c>
      <c r="N1938" s="6">
        <f t="shared" si="120"/>
        <v>1</v>
      </c>
      <c r="O1938" t="str">
        <f>IF(Tabla_control[[#This Row],[Control_duplicados]]&gt;1,"Duplicado","Unico")</f>
        <v>Unico</v>
      </c>
      <c r="P1938" t="str">
        <f t="shared" si="121"/>
        <v>OK</v>
      </c>
      <c r="Q1938" t="str">
        <f t="shared" si="122"/>
        <v>OK</v>
      </c>
      <c r="R1938" t="str">
        <f t="shared" si="123"/>
        <v>OK</v>
      </c>
    </row>
    <row r="1939" spans="1:18" x14ac:dyDescent="0.3">
      <c r="A1939" s="1">
        <v>45845</v>
      </c>
      <c r="B1939" s="2" t="s">
        <v>2638</v>
      </c>
      <c r="C1939" s="2" t="s">
        <v>2533</v>
      </c>
      <c r="D1939" s="2" t="s">
        <v>2528</v>
      </c>
      <c r="E1939" s="2" t="s">
        <v>2517</v>
      </c>
      <c r="F1939" s="3">
        <v>36262</v>
      </c>
      <c r="G1939" s="3">
        <v>2613</v>
      </c>
      <c r="H1939" s="3">
        <v>30</v>
      </c>
      <c r="I1939" s="4">
        <v>4109.28</v>
      </c>
      <c r="J1939" s="4">
        <v>5164.04</v>
      </c>
      <c r="K1939" s="3">
        <v>23</v>
      </c>
      <c r="L1939" s="2" t="s">
        <v>2518</v>
      </c>
      <c r="M1939" s="2" t="s">
        <v>2537</v>
      </c>
      <c r="N1939" s="6">
        <f t="shared" si="120"/>
        <v>1</v>
      </c>
      <c r="O1939" t="str">
        <f>IF(Tabla_control[[#This Row],[Control_duplicados]]&gt;1,"Duplicado","Unico")</f>
        <v>Unico</v>
      </c>
      <c r="P1939" t="str">
        <f t="shared" si="121"/>
        <v>OK</v>
      </c>
      <c r="Q1939" t="str">
        <f t="shared" si="122"/>
        <v>OK</v>
      </c>
      <c r="R1939" t="str">
        <f t="shared" si="123"/>
        <v>OK</v>
      </c>
    </row>
    <row r="1940" spans="1:18" x14ac:dyDescent="0.3">
      <c r="A1940" s="1">
        <v>45866</v>
      </c>
      <c r="B1940" s="2" t="s">
        <v>2637</v>
      </c>
      <c r="C1940" s="2" t="s">
        <v>2527</v>
      </c>
      <c r="D1940" s="2" t="s">
        <v>2525</v>
      </c>
      <c r="E1940" s="2" t="s">
        <v>2517</v>
      </c>
      <c r="F1940" s="3">
        <v>163322</v>
      </c>
      <c r="G1940" s="3">
        <v>12431</v>
      </c>
      <c r="H1940" s="3">
        <v>782</v>
      </c>
      <c r="I1940" s="4">
        <v>8726.0400000000009</v>
      </c>
      <c r="J1940" s="4">
        <v>105315.12</v>
      </c>
      <c r="K1940" s="3">
        <v>626</v>
      </c>
      <c r="L1940" s="2" t="s">
        <v>2536</v>
      </c>
      <c r="M1940" s="2" t="s">
        <v>2524</v>
      </c>
      <c r="N1940" s="6">
        <f t="shared" si="120"/>
        <v>1</v>
      </c>
      <c r="O1940" t="str">
        <f>IF(Tabla_control[[#This Row],[Control_duplicados]]&gt;1,"Duplicado","Unico")</f>
        <v>Unico</v>
      </c>
      <c r="P1940" t="str">
        <f t="shared" si="121"/>
        <v>OK</v>
      </c>
      <c r="Q1940" t="str">
        <f t="shared" si="122"/>
        <v>OK</v>
      </c>
      <c r="R1940" t="str">
        <f t="shared" si="123"/>
        <v>OK</v>
      </c>
    </row>
    <row r="1941" spans="1:18" x14ac:dyDescent="0.3">
      <c r="A1941" s="1">
        <v>45707</v>
      </c>
      <c r="B1941" s="2" t="s">
        <v>2639</v>
      </c>
      <c r="C1941" s="2" t="s">
        <v>2521</v>
      </c>
      <c r="D1941" s="2" t="s">
        <v>2516</v>
      </c>
      <c r="E1941" s="2" t="s">
        <v>2529</v>
      </c>
      <c r="F1941" s="3">
        <v>31924</v>
      </c>
      <c r="G1941" s="3">
        <v>1669</v>
      </c>
      <c r="H1941" s="3">
        <v>201</v>
      </c>
      <c r="I1941" s="4">
        <v>1260.77</v>
      </c>
      <c r="J1941" s="4">
        <v>43815.67</v>
      </c>
      <c r="K1941" s="3">
        <v>171</v>
      </c>
      <c r="L1941" s="2" t="s">
        <v>2518</v>
      </c>
      <c r="M1941" s="2" t="s">
        <v>2519</v>
      </c>
      <c r="N1941" s="6">
        <f t="shared" si="120"/>
        <v>1</v>
      </c>
      <c r="O1941" t="str">
        <f>IF(Tabla_control[[#This Row],[Control_duplicados]]&gt;1,"Duplicado","Unico")</f>
        <v>Unico</v>
      </c>
      <c r="P1941" t="str">
        <f t="shared" si="121"/>
        <v>OK</v>
      </c>
      <c r="Q1941" t="str">
        <f t="shared" si="122"/>
        <v>OK</v>
      </c>
      <c r="R1941" t="str">
        <f t="shared" si="123"/>
        <v>OK</v>
      </c>
    </row>
    <row r="1942" spans="1:18" x14ac:dyDescent="0.3">
      <c r="A1942" s="1">
        <v>45979</v>
      </c>
      <c r="B1942" s="2" t="s">
        <v>2629</v>
      </c>
      <c r="C1942" s="2" t="s">
        <v>2541</v>
      </c>
      <c r="D1942" s="2" t="s">
        <v>2528</v>
      </c>
      <c r="E1942" s="2" t="s">
        <v>2517</v>
      </c>
      <c r="F1942" s="3">
        <v>26901</v>
      </c>
      <c r="G1942" s="3">
        <v>496</v>
      </c>
      <c r="H1942" s="3">
        <v>62</v>
      </c>
      <c r="I1942" s="4">
        <v>595.51</v>
      </c>
      <c r="J1942" s="4">
        <v>6864.83</v>
      </c>
      <c r="K1942" s="3">
        <v>40</v>
      </c>
      <c r="L1942" s="2" t="s">
        <v>2536</v>
      </c>
      <c r="M1942" s="2" t="s">
        <v>2537</v>
      </c>
      <c r="N1942" s="6">
        <f t="shared" si="120"/>
        <v>1</v>
      </c>
      <c r="O1942" t="str">
        <f>IF(Tabla_control[[#This Row],[Control_duplicados]]&gt;1,"Duplicado","Unico")</f>
        <v>Unico</v>
      </c>
      <c r="P1942" t="str">
        <f t="shared" si="121"/>
        <v>OK</v>
      </c>
      <c r="Q1942" t="str">
        <f t="shared" si="122"/>
        <v>OK</v>
      </c>
      <c r="R1942" t="str">
        <f t="shared" si="123"/>
        <v>OK</v>
      </c>
    </row>
    <row r="1943" spans="1:18" x14ac:dyDescent="0.3">
      <c r="A1943" s="1">
        <v>45808</v>
      </c>
      <c r="B1943" s="2" t="s">
        <v>2643</v>
      </c>
      <c r="C1943" s="2" t="s">
        <v>2541</v>
      </c>
      <c r="D1943" s="2" t="s">
        <v>2522</v>
      </c>
      <c r="E1943" s="2" t="s">
        <v>2534</v>
      </c>
      <c r="F1943" s="3">
        <v>37641</v>
      </c>
      <c r="G1943" s="3">
        <v>2283</v>
      </c>
      <c r="H1943" s="3">
        <v>52</v>
      </c>
      <c r="I1943" s="4">
        <v>4719.12</v>
      </c>
      <c r="J1943" s="4">
        <v>5765.99</v>
      </c>
      <c r="K1943" s="3">
        <v>27</v>
      </c>
      <c r="L1943" s="2" t="s">
        <v>2536</v>
      </c>
      <c r="M1943" s="2" t="s">
        <v>2537</v>
      </c>
      <c r="N1943" s="6">
        <f t="shared" si="120"/>
        <v>1</v>
      </c>
      <c r="O1943" t="str">
        <f>IF(Tabla_control[[#This Row],[Control_duplicados]]&gt;1,"Duplicado","Unico")</f>
        <v>Unico</v>
      </c>
      <c r="P1943" t="str">
        <f t="shared" si="121"/>
        <v>OK</v>
      </c>
      <c r="Q1943" t="str">
        <f t="shared" si="122"/>
        <v>OK</v>
      </c>
      <c r="R1943" t="str">
        <f t="shared" si="123"/>
        <v>OK</v>
      </c>
    </row>
    <row r="1944" spans="1:18" x14ac:dyDescent="0.3">
      <c r="A1944" s="1">
        <v>45858</v>
      </c>
      <c r="B1944" s="2" t="s">
        <v>2623</v>
      </c>
      <c r="C1944" s="2" t="s">
        <v>2541</v>
      </c>
      <c r="D1944" s="2" t="s">
        <v>2516</v>
      </c>
      <c r="E1944" s="2" t="s">
        <v>2529</v>
      </c>
      <c r="F1944" s="3">
        <v>81211</v>
      </c>
      <c r="G1944" s="3">
        <v>844</v>
      </c>
      <c r="H1944" s="3">
        <v>6</v>
      </c>
      <c r="I1944" s="4">
        <v>1365.3</v>
      </c>
      <c r="J1944" s="4">
        <v>1259.8699999999999</v>
      </c>
      <c r="K1944" s="3">
        <v>3</v>
      </c>
      <c r="L1944" s="2" t="s">
        <v>2523</v>
      </c>
      <c r="M1944" s="2" t="s">
        <v>2524</v>
      </c>
      <c r="N1944" s="6">
        <f t="shared" si="120"/>
        <v>1</v>
      </c>
      <c r="O1944" t="str">
        <f>IF(Tabla_control[[#This Row],[Control_duplicados]]&gt;1,"Duplicado","Unico")</f>
        <v>Unico</v>
      </c>
      <c r="P1944" t="str">
        <f t="shared" si="121"/>
        <v>OK</v>
      </c>
      <c r="Q1944" t="str">
        <f t="shared" si="122"/>
        <v>OK</v>
      </c>
      <c r="R1944" t="str">
        <f t="shared" si="123"/>
        <v>OK</v>
      </c>
    </row>
    <row r="1945" spans="1:18" x14ac:dyDescent="0.3">
      <c r="A1945" s="1">
        <v>45802</v>
      </c>
      <c r="B1945" s="2" t="s">
        <v>2638</v>
      </c>
      <c r="C1945" s="2" t="s">
        <v>2515</v>
      </c>
      <c r="D1945" s="2" t="s">
        <v>2528</v>
      </c>
      <c r="E1945" s="2" t="s">
        <v>2529</v>
      </c>
      <c r="F1945" s="3">
        <v>30393</v>
      </c>
      <c r="G1945" s="3">
        <v>863</v>
      </c>
      <c r="H1945" s="3">
        <v>78</v>
      </c>
      <c r="I1945" s="4">
        <v>483.09</v>
      </c>
      <c r="J1945" s="4">
        <v>6549.03</v>
      </c>
      <c r="K1945" s="3">
        <v>48</v>
      </c>
      <c r="L1945" s="2" t="s">
        <v>2518</v>
      </c>
      <c r="M1945" s="2" t="s">
        <v>2526</v>
      </c>
      <c r="N1945" s="6">
        <f t="shared" si="120"/>
        <v>1</v>
      </c>
      <c r="O1945" t="str">
        <f>IF(Tabla_control[[#This Row],[Control_duplicados]]&gt;1,"Duplicado","Unico")</f>
        <v>Unico</v>
      </c>
      <c r="P1945" t="str">
        <f t="shared" si="121"/>
        <v>OK</v>
      </c>
      <c r="Q1945" t="str">
        <f t="shared" si="122"/>
        <v>OK</v>
      </c>
      <c r="R1945" t="str">
        <f t="shared" si="123"/>
        <v>OK</v>
      </c>
    </row>
    <row r="1946" spans="1:18" x14ac:dyDescent="0.3">
      <c r="A1946" s="1">
        <v>45905</v>
      </c>
      <c r="B1946" s="2" t="s">
        <v>2631</v>
      </c>
      <c r="C1946" s="2" t="s">
        <v>2541</v>
      </c>
      <c r="D1946" s="2" t="s">
        <v>2528</v>
      </c>
      <c r="E1946" s="2" t="s">
        <v>2517</v>
      </c>
      <c r="F1946" s="3">
        <v>158320</v>
      </c>
      <c r="G1946" s="3">
        <v>10990</v>
      </c>
      <c r="H1946" s="3">
        <v>1044</v>
      </c>
      <c r="I1946" s="4">
        <v>22877.119999999999</v>
      </c>
      <c r="J1946" s="4">
        <v>105252.64</v>
      </c>
      <c r="K1946" s="3">
        <v>861</v>
      </c>
      <c r="L1946" s="2" t="s">
        <v>2518</v>
      </c>
      <c r="M1946" s="2" t="s">
        <v>2519</v>
      </c>
      <c r="N1946" s="6">
        <f t="shared" si="120"/>
        <v>1</v>
      </c>
      <c r="O1946" t="str">
        <f>IF(Tabla_control[[#This Row],[Control_duplicados]]&gt;1,"Duplicado","Unico")</f>
        <v>Unico</v>
      </c>
      <c r="P1946" t="str">
        <f t="shared" si="121"/>
        <v>OK</v>
      </c>
      <c r="Q1946" t="str">
        <f t="shared" si="122"/>
        <v>OK</v>
      </c>
      <c r="R1946" t="str">
        <f t="shared" si="123"/>
        <v>OK</v>
      </c>
    </row>
    <row r="1947" spans="1:18" x14ac:dyDescent="0.3">
      <c r="A1947" s="1">
        <v>45997</v>
      </c>
      <c r="B1947" s="2" t="s">
        <v>2618</v>
      </c>
      <c r="C1947" s="2" t="s">
        <v>2533</v>
      </c>
      <c r="D1947" s="2" t="s">
        <v>2525</v>
      </c>
      <c r="E1947" s="2" t="s">
        <v>2529</v>
      </c>
      <c r="F1947" s="3">
        <v>105167</v>
      </c>
      <c r="G1947" s="3">
        <v>8585</v>
      </c>
      <c r="H1947" s="3">
        <v>1019</v>
      </c>
      <c r="I1947" s="4">
        <v>5080.42</v>
      </c>
      <c r="J1947" s="4">
        <v>214698.07</v>
      </c>
      <c r="K1947" s="3">
        <v>908</v>
      </c>
      <c r="L1947" s="2" t="s">
        <v>2523</v>
      </c>
      <c r="M1947" s="2" t="s">
        <v>2519</v>
      </c>
      <c r="N1947" s="6">
        <f t="shared" si="120"/>
        <v>1</v>
      </c>
      <c r="O1947" t="str">
        <f>IF(Tabla_control[[#This Row],[Control_duplicados]]&gt;1,"Duplicado","Unico")</f>
        <v>Unico</v>
      </c>
      <c r="P1947" t="str">
        <f t="shared" si="121"/>
        <v>OK</v>
      </c>
      <c r="Q1947" t="str">
        <f t="shared" si="122"/>
        <v>OK</v>
      </c>
      <c r="R1947" t="str">
        <f t="shared" si="123"/>
        <v>OK</v>
      </c>
    </row>
    <row r="1948" spans="1:18" x14ac:dyDescent="0.3">
      <c r="A1948" s="1">
        <v>45865</v>
      </c>
      <c r="B1948" s="2" t="s">
        <v>2625</v>
      </c>
      <c r="C1948" s="2" t="s">
        <v>2543</v>
      </c>
      <c r="D1948" s="2" t="s">
        <v>2528</v>
      </c>
      <c r="E1948" s="2" t="s">
        <v>2517</v>
      </c>
      <c r="F1948" s="3">
        <v>22681</v>
      </c>
      <c r="G1948" s="3">
        <v>684</v>
      </c>
      <c r="H1948" s="3">
        <v>65</v>
      </c>
      <c r="I1948" s="4">
        <v>516.62</v>
      </c>
      <c r="J1948" s="4">
        <v>10600.82</v>
      </c>
      <c r="K1948" s="3">
        <v>35</v>
      </c>
      <c r="L1948" s="2" t="s">
        <v>2523</v>
      </c>
      <c r="M1948" s="2" t="s">
        <v>2526</v>
      </c>
      <c r="N1948" s="6">
        <f t="shared" si="120"/>
        <v>1</v>
      </c>
      <c r="O1948" t="str">
        <f>IF(Tabla_control[[#This Row],[Control_duplicados]]&gt;1,"Duplicado","Unico")</f>
        <v>Unico</v>
      </c>
      <c r="P1948" t="str">
        <f t="shared" si="121"/>
        <v>OK</v>
      </c>
      <c r="Q1948" t="str">
        <f t="shared" si="122"/>
        <v>OK</v>
      </c>
      <c r="R1948" t="str">
        <f t="shared" si="123"/>
        <v>OK</v>
      </c>
    </row>
    <row r="1949" spans="1:18" x14ac:dyDescent="0.3">
      <c r="A1949" s="1">
        <v>45922</v>
      </c>
      <c r="B1949" s="2" t="s">
        <v>2635</v>
      </c>
      <c r="C1949" s="2" t="s">
        <v>2533</v>
      </c>
      <c r="D1949" s="2" t="s">
        <v>2525</v>
      </c>
      <c r="E1949" s="2" t="s">
        <v>2517</v>
      </c>
      <c r="F1949" s="3">
        <v>1975</v>
      </c>
      <c r="G1949" s="3">
        <v>143</v>
      </c>
      <c r="H1949" s="3">
        <v>0</v>
      </c>
      <c r="I1949" s="4">
        <v>48.79</v>
      </c>
      <c r="J1949" s="4">
        <v>0</v>
      </c>
      <c r="K1949" s="3">
        <v>0</v>
      </c>
      <c r="L1949" s="2" t="s">
        <v>2536</v>
      </c>
      <c r="M1949" s="2" t="s">
        <v>2526</v>
      </c>
      <c r="N1949" s="6">
        <f t="shared" si="120"/>
        <v>1</v>
      </c>
      <c r="O1949" t="str">
        <f>IF(Tabla_control[[#This Row],[Control_duplicados]]&gt;1,"Duplicado","Unico")</f>
        <v>Unico</v>
      </c>
      <c r="P1949" t="str">
        <f t="shared" si="121"/>
        <v>OK</v>
      </c>
      <c r="Q1949" t="str">
        <f t="shared" si="122"/>
        <v>OK</v>
      </c>
      <c r="R1949" t="str">
        <f t="shared" si="123"/>
        <v>OK</v>
      </c>
    </row>
    <row r="1950" spans="1:18" x14ac:dyDescent="0.3">
      <c r="A1950" s="1">
        <v>45664</v>
      </c>
      <c r="B1950" s="2" t="s">
        <v>2617</v>
      </c>
      <c r="C1950" s="2" t="s">
        <v>2541</v>
      </c>
      <c r="D1950" s="2" t="s">
        <v>2525</v>
      </c>
      <c r="E1950" s="2" t="s">
        <v>2517</v>
      </c>
      <c r="F1950" s="3">
        <v>61093</v>
      </c>
      <c r="G1950" s="3">
        <v>2027</v>
      </c>
      <c r="H1950" s="3">
        <v>279</v>
      </c>
      <c r="I1950" s="4">
        <v>760.04</v>
      </c>
      <c r="J1950" s="4">
        <v>56800.39</v>
      </c>
      <c r="K1950" s="3">
        <v>244</v>
      </c>
      <c r="L1950" s="2" t="s">
        <v>2523</v>
      </c>
      <c r="M1950" s="2" t="s">
        <v>2519</v>
      </c>
      <c r="N1950" s="6">
        <f t="shared" si="120"/>
        <v>1</v>
      </c>
      <c r="O1950" t="str">
        <f>IF(Tabla_control[[#This Row],[Control_duplicados]]&gt;1,"Duplicado","Unico")</f>
        <v>Unico</v>
      </c>
      <c r="P1950" t="str">
        <f t="shared" si="121"/>
        <v>OK</v>
      </c>
      <c r="Q1950" t="str">
        <f t="shared" si="122"/>
        <v>OK</v>
      </c>
      <c r="R1950" t="str">
        <f t="shared" si="123"/>
        <v>OK</v>
      </c>
    </row>
    <row r="1951" spans="1:18" x14ac:dyDescent="0.3">
      <c r="A1951" s="1">
        <v>45764</v>
      </c>
      <c r="B1951" s="2" t="s">
        <v>2630</v>
      </c>
      <c r="C1951" s="2" t="s">
        <v>2521</v>
      </c>
      <c r="D1951" s="2" t="s">
        <v>2528</v>
      </c>
      <c r="E1951" s="2" t="s">
        <v>2529</v>
      </c>
      <c r="F1951" s="3">
        <v>153656</v>
      </c>
      <c r="G1951" s="3">
        <v>7598</v>
      </c>
      <c r="H1951" s="3">
        <v>123</v>
      </c>
      <c r="I1951" s="4">
        <v>6764.56</v>
      </c>
      <c r="J1951" s="4">
        <v>12714.87</v>
      </c>
      <c r="K1951" s="3">
        <v>94</v>
      </c>
      <c r="L1951" s="2" t="s">
        <v>2518</v>
      </c>
      <c r="M1951" s="2" t="s">
        <v>2524</v>
      </c>
      <c r="N1951" s="6">
        <f t="shared" si="120"/>
        <v>1</v>
      </c>
      <c r="O1951" t="str">
        <f>IF(Tabla_control[[#This Row],[Control_duplicados]]&gt;1,"Duplicado","Unico")</f>
        <v>Unico</v>
      </c>
      <c r="P1951" t="str">
        <f t="shared" si="121"/>
        <v>OK</v>
      </c>
      <c r="Q1951" t="str">
        <f t="shared" si="122"/>
        <v>OK</v>
      </c>
      <c r="R1951" t="str">
        <f t="shared" si="123"/>
        <v>OK</v>
      </c>
    </row>
    <row r="1952" spans="1:18" x14ac:dyDescent="0.3">
      <c r="A1952" s="1">
        <v>45798</v>
      </c>
      <c r="B1952" s="2" t="s">
        <v>2636</v>
      </c>
      <c r="C1952" s="2" t="s">
        <v>2541</v>
      </c>
      <c r="D1952" s="2" t="s">
        <v>2528</v>
      </c>
      <c r="E1952" s="2" t="s">
        <v>2517</v>
      </c>
      <c r="F1952" s="3">
        <v>9384</v>
      </c>
      <c r="G1952" s="3">
        <v>226</v>
      </c>
      <c r="H1952" s="3">
        <v>6</v>
      </c>
      <c r="I1952" s="4">
        <v>381.14</v>
      </c>
      <c r="J1952" s="4">
        <v>939.39</v>
      </c>
      <c r="K1952" s="3">
        <v>2</v>
      </c>
      <c r="L1952" s="2" t="s">
        <v>2536</v>
      </c>
      <c r="M1952" s="2" t="s">
        <v>2537</v>
      </c>
      <c r="N1952" s="6">
        <f t="shared" si="120"/>
        <v>1</v>
      </c>
      <c r="O1952" t="str">
        <f>IF(Tabla_control[[#This Row],[Control_duplicados]]&gt;1,"Duplicado","Unico")</f>
        <v>Unico</v>
      </c>
      <c r="P1952" t="str">
        <f t="shared" si="121"/>
        <v>OK</v>
      </c>
      <c r="Q1952" t="str">
        <f t="shared" si="122"/>
        <v>OK</v>
      </c>
      <c r="R1952" t="str">
        <f t="shared" si="123"/>
        <v>OK</v>
      </c>
    </row>
    <row r="1953" spans="1:18" x14ac:dyDescent="0.3">
      <c r="A1953" s="1">
        <v>45674</v>
      </c>
      <c r="B1953" s="2" t="s">
        <v>2622</v>
      </c>
      <c r="C1953" s="2" t="s">
        <v>2515</v>
      </c>
      <c r="D1953" s="2" t="s">
        <v>2516</v>
      </c>
      <c r="E1953" s="2" t="s">
        <v>2517</v>
      </c>
      <c r="F1953" s="3">
        <v>51292</v>
      </c>
      <c r="G1953" s="3">
        <v>1018</v>
      </c>
      <c r="H1953" s="3">
        <v>76</v>
      </c>
      <c r="I1953" s="4">
        <v>1168.0899999999999</v>
      </c>
      <c r="J1953" s="4">
        <v>1941.86</v>
      </c>
      <c r="K1953" s="3">
        <v>59</v>
      </c>
      <c r="L1953" s="2" t="s">
        <v>2536</v>
      </c>
      <c r="M1953" s="2" t="s">
        <v>2524</v>
      </c>
      <c r="N1953" s="6">
        <f t="shared" si="120"/>
        <v>1</v>
      </c>
      <c r="O1953" t="str">
        <f>IF(Tabla_control[[#This Row],[Control_duplicados]]&gt;1,"Duplicado","Unico")</f>
        <v>Unico</v>
      </c>
      <c r="P1953" t="str">
        <f t="shared" si="121"/>
        <v>OK</v>
      </c>
      <c r="Q1953" t="str">
        <f t="shared" si="122"/>
        <v>OK</v>
      </c>
      <c r="R1953" t="str">
        <f t="shared" si="123"/>
        <v>OK</v>
      </c>
    </row>
    <row r="1954" spans="1:18" x14ac:dyDescent="0.3">
      <c r="A1954" s="1">
        <v>45829</v>
      </c>
      <c r="B1954" s="2" t="s">
        <v>2632</v>
      </c>
      <c r="C1954" s="2" t="s">
        <v>2533</v>
      </c>
      <c r="D1954" s="2" t="s">
        <v>2525</v>
      </c>
      <c r="E1954" s="2" t="s">
        <v>2529</v>
      </c>
      <c r="F1954" s="3">
        <v>61936</v>
      </c>
      <c r="G1954" s="3">
        <v>1364</v>
      </c>
      <c r="H1954" s="3">
        <v>89</v>
      </c>
      <c r="I1954" s="4">
        <v>1487.51</v>
      </c>
      <c r="J1954" s="4">
        <v>1902.28</v>
      </c>
      <c r="K1954" s="3">
        <v>43</v>
      </c>
      <c r="L1954" s="2" t="s">
        <v>2536</v>
      </c>
      <c r="M1954" s="2" t="s">
        <v>2526</v>
      </c>
      <c r="N1954" s="6">
        <f t="shared" si="120"/>
        <v>2</v>
      </c>
      <c r="O1954" t="str">
        <f>IF(Tabla_control[[#This Row],[Control_duplicados]]&gt;1,"Duplicado","Unico")</f>
        <v>Duplicado</v>
      </c>
      <c r="P1954" t="str">
        <f t="shared" si="121"/>
        <v>OK</v>
      </c>
      <c r="Q1954" t="str">
        <f t="shared" si="122"/>
        <v>OK</v>
      </c>
      <c r="R1954" t="str">
        <f t="shared" si="123"/>
        <v>OK</v>
      </c>
    </row>
    <row r="1955" spans="1:18" x14ac:dyDescent="0.3">
      <c r="A1955" s="1">
        <v>45718</v>
      </c>
      <c r="B1955" s="2" t="s">
        <v>2616</v>
      </c>
      <c r="C1955" s="2" t="s">
        <v>2527</v>
      </c>
      <c r="D1955" s="2" t="s">
        <v>2528</v>
      </c>
      <c r="E1955" s="2" t="s">
        <v>2534</v>
      </c>
      <c r="F1955" s="3">
        <v>76423</v>
      </c>
      <c r="G1955" s="3">
        <v>5557</v>
      </c>
      <c r="H1955" s="3">
        <v>424</v>
      </c>
      <c r="J1955" s="4">
        <v>25679.91</v>
      </c>
      <c r="K1955" s="3">
        <v>332</v>
      </c>
      <c r="L1955" s="2" t="s">
        <v>2539</v>
      </c>
      <c r="M1955" s="2" t="s">
        <v>2546</v>
      </c>
      <c r="N1955" s="6">
        <f t="shared" si="120"/>
        <v>0</v>
      </c>
      <c r="O1955" t="str">
        <f>IF(Tabla_control[[#This Row],[Control_duplicados]]&gt;1,"Duplicado","Unico")</f>
        <v>Unico</v>
      </c>
      <c r="P1955" t="str">
        <f t="shared" si="121"/>
        <v>ERROR</v>
      </c>
      <c r="Q1955" t="str">
        <f t="shared" si="122"/>
        <v>OK</v>
      </c>
      <c r="R1955" t="str">
        <f t="shared" si="123"/>
        <v>OK</v>
      </c>
    </row>
    <row r="1956" spans="1:18" x14ac:dyDescent="0.3">
      <c r="A1956" s="1">
        <v>45755</v>
      </c>
      <c r="B1956" s="2" t="s">
        <v>2622</v>
      </c>
      <c r="C1956" s="2" t="s">
        <v>2543</v>
      </c>
      <c r="D1956" s="2" t="s">
        <v>2531</v>
      </c>
      <c r="E1956" s="2" t="s">
        <v>2517</v>
      </c>
      <c r="F1956" s="3">
        <v>67537</v>
      </c>
      <c r="G1956" s="3">
        <v>2094</v>
      </c>
      <c r="H1956" s="3">
        <v>16</v>
      </c>
      <c r="I1956" s="4">
        <v>3308.28</v>
      </c>
      <c r="J1956" s="4">
        <v>2798.67</v>
      </c>
      <c r="K1956" s="3">
        <v>7</v>
      </c>
      <c r="L1956" s="2" t="s">
        <v>2539</v>
      </c>
      <c r="M1956" s="2" t="s">
        <v>2526</v>
      </c>
      <c r="N1956" s="6">
        <f t="shared" si="120"/>
        <v>1</v>
      </c>
      <c r="O1956" t="str">
        <f>IF(Tabla_control[[#This Row],[Control_duplicados]]&gt;1,"Duplicado","Unico")</f>
        <v>Unico</v>
      </c>
      <c r="P1956" t="str">
        <f t="shared" si="121"/>
        <v>OK</v>
      </c>
      <c r="Q1956" t="str">
        <f t="shared" si="122"/>
        <v>OK</v>
      </c>
      <c r="R1956" t="str">
        <f t="shared" si="123"/>
        <v>OK</v>
      </c>
    </row>
    <row r="1957" spans="1:18" x14ac:dyDescent="0.3">
      <c r="A1957" s="1">
        <v>45908</v>
      </c>
      <c r="B1957" s="2" t="s">
        <v>2635</v>
      </c>
      <c r="C1957" s="2" t="s">
        <v>2521</v>
      </c>
      <c r="D1957" s="2" t="s">
        <v>2531</v>
      </c>
      <c r="E1957" s="2" t="s">
        <v>2517</v>
      </c>
      <c r="F1957" s="3">
        <v>133554</v>
      </c>
      <c r="G1957" s="3">
        <v>4595</v>
      </c>
      <c r="H1957" s="3">
        <v>271</v>
      </c>
      <c r="I1957" s="4">
        <v>7493.83</v>
      </c>
      <c r="J1957" s="4">
        <v>15937.73</v>
      </c>
      <c r="K1957" s="3">
        <v>172</v>
      </c>
      <c r="L1957" s="2" t="s">
        <v>2523</v>
      </c>
      <c r="M1957" s="2" t="s">
        <v>2537</v>
      </c>
      <c r="N1957" s="6">
        <f t="shared" si="120"/>
        <v>1</v>
      </c>
      <c r="O1957" t="str">
        <f>IF(Tabla_control[[#This Row],[Control_duplicados]]&gt;1,"Duplicado","Unico")</f>
        <v>Unico</v>
      </c>
      <c r="P1957" t="str">
        <f t="shared" si="121"/>
        <v>OK</v>
      </c>
      <c r="Q1957" t="str">
        <f t="shared" si="122"/>
        <v>OK</v>
      </c>
      <c r="R1957" t="str">
        <f t="shared" si="123"/>
        <v>OK</v>
      </c>
    </row>
    <row r="1958" spans="1:18" x14ac:dyDescent="0.3">
      <c r="A1958" s="1">
        <v>45950</v>
      </c>
      <c r="B1958" s="2" t="s">
        <v>2635</v>
      </c>
      <c r="C1958" s="2" t="s">
        <v>2543</v>
      </c>
      <c r="D1958" s="2" t="s">
        <v>2525</v>
      </c>
      <c r="E1958" s="2" t="s">
        <v>2517</v>
      </c>
      <c r="F1958" s="3">
        <v>13528</v>
      </c>
      <c r="G1958" s="3">
        <v>289</v>
      </c>
      <c r="H1958" s="3">
        <v>37</v>
      </c>
      <c r="I1958" s="4">
        <v>73.08</v>
      </c>
      <c r="J1958" s="4">
        <v>6376.19</v>
      </c>
      <c r="K1958" s="3">
        <v>31</v>
      </c>
      <c r="L1958" s="2" t="s">
        <v>2539</v>
      </c>
      <c r="M1958" s="2" t="s">
        <v>2526</v>
      </c>
      <c r="N1958" s="6">
        <f t="shared" si="120"/>
        <v>1</v>
      </c>
      <c r="O1958" t="str">
        <f>IF(Tabla_control[[#This Row],[Control_duplicados]]&gt;1,"Duplicado","Unico")</f>
        <v>Unico</v>
      </c>
      <c r="P1958" t="str">
        <f t="shared" si="121"/>
        <v>OK</v>
      </c>
      <c r="Q1958" t="str">
        <f t="shared" si="122"/>
        <v>OK</v>
      </c>
      <c r="R1958" t="str">
        <f t="shared" si="123"/>
        <v>OK</v>
      </c>
    </row>
    <row r="1959" spans="1:18" x14ac:dyDescent="0.3">
      <c r="A1959" s="1">
        <v>46018</v>
      </c>
      <c r="B1959" s="2" t="s">
        <v>2625</v>
      </c>
      <c r="C1959" s="2" t="s">
        <v>2527</v>
      </c>
      <c r="D1959" s="2" t="s">
        <v>2522</v>
      </c>
      <c r="E1959" s="2" t="s">
        <v>2529</v>
      </c>
      <c r="F1959" s="3">
        <v>54939</v>
      </c>
      <c r="G1959" s="3">
        <v>1743</v>
      </c>
      <c r="H1959" s="3">
        <v>42</v>
      </c>
      <c r="I1959" s="4">
        <v>1289.76</v>
      </c>
      <c r="J1959" s="4">
        <v>2276.7199999999998</v>
      </c>
      <c r="K1959" s="3">
        <v>31</v>
      </c>
      <c r="L1959" s="2" t="s">
        <v>2539</v>
      </c>
      <c r="M1959" s="2" t="s">
        <v>2526</v>
      </c>
      <c r="N1959" s="6">
        <f t="shared" si="120"/>
        <v>1</v>
      </c>
      <c r="O1959" t="str">
        <f>IF(Tabla_control[[#This Row],[Control_duplicados]]&gt;1,"Duplicado","Unico")</f>
        <v>Unico</v>
      </c>
      <c r="P1959" t="str">
        <f t="shared" si="121"/>
        <v>OK</v>
      </c>
      <c r="Q1959" t="str">
        <f t="shared" si="122"/>
        <v>OK</v>
      </c>
      <c r="R1959" t="str">
        <f t="shared" si="123"/>
        <v>OK</v>
      </c>
    </row>
    <row r="1960" spans="1:18" x14ac:dyDescent="0.3">
      <c r="A1960" s="1">
        <v>45908</v>
      </c>
      <c r="B1960" s="2" t="s">
        <v>2620</v>
      </c>
      <c r="C1960" s="2" t="s">
        <v>2541</v>
      </c>
      <c r="D1960" s="2" t="s">
        <v>2516</v>
      </c>
      <c r="E1960" s="2" t="s">
        <v>2517</v>
      </c>
      <c r="F1960" s="3">
        <v>5395</v>
      </c>
      <c r="G1960" s="3">
        <v>343</v>
      </c>
      <c r="H1960" s="3">
        <v>7</v>
      </c>
      <c r="I1960" s="4">
        <v>196.49</v>
      </c>
      <c r="J1960" s="4">
        <v>1038.3399999999999</v>
      </c>
      <c r="K1960" s="3">
        <v>4</v>
      </c>
      <c r="L1960" s="2" t="s">
        <v>2523</v>
      </c>
      <c r="M1960" s="2" t="s">
        <v>2524</v>
      </c>
      <c r="N1960" s="6">
        <f t="shared" si="120"/>
        <v>1</v>
      </c>
      <c r="O1960" t="str">
        <f>IF(Tabla_control[[#This Row],[Control_duplicados]]&gt;1,"Duplicado","Unico")</f>
        <v>Unico</v>
      </c>
      <c r="P1960" t="str">
        <f t="shared" si="121"/>
        <v>OK</v>
      </c>
      <c r="Q1960" t="str">
        <f t="shared" si="122"/>
        <v>OK</v>
      </c>
      <c r="R1960" t="str">
        <f t="shared" si="123"/>
        <v>OK</v>
      </c>
    </row>
    <row r="1961" spans="1:18" x14ac:dyDescent="0.3">
      <c r="A1961" s="1">
        <v>45709</v>
      </c>
      <c r="B1961" s="2" t="s">
        <v>2620</v>
      </c>
      <c r="C1961" s="2" t="s">
        <v>2533</v>
      </c>
      <c r="D1961" s="2" t="s">
        <v>2528</v>
      </c>
      <c r="E1961" s="2" t="s">
        <v>2529</v>
      </c>
      <c r="F1961" s="3">
        <v>159226</v>
      </c>
      <c r="G1961" s="3">
        <v>13263</v>
      </c>
      <c r="H1961" s="3">
        <v>1756</v>
      </c>
      <c r="I1961" s="4">
        <v>11829.55</v>
      </c>
      <c r="J1961" s="4">
        <v>222152.81</v>
      </c>
      <c r="K1961" s="3">
        <v>1280</v>
      </c>
      <c r="L1961" s="2" t="s">
        <v>2523</v>
      </c>
      <c r="M1961" s="2" t="s">
        <v>2526</v>
      </c>
      <c r="N1961" s="6">
        <f t="shared" si="120"/>
        <v>1</v>
      </c>
      <c r="O1961" t="str">
        <f>IF(Tabla_control[[#This Row],[Control_duplicados]]&gt;1,"Duplicado","Unico")</f>
        <v>Unico</v>
      </c>
      <c r="P1961" t="str">
        <f t="shared" si="121"/>
        <v>OK</v>
      </c>
      <c r="Q1961" t="str">
        <f t="shared" si="122"/>
        <v>OK</v>
      </c>
      <c r="R1961" t="str">
        <f t="shared" si="123"/>
        <v>OK</v>
      </c>
    </row>
    <row r="1962" spans="1:18" x14ac:dyDescent="0.3">
      <c r="A1962" s="1">
        <v>45782</v>
      </c>
      <c r="B1962" s="2" t="s">
        <v>2644</v>
      </c>
      <c r="C1962" s="2" t="s">
        <v>2527</v>
      </c>
      <c r="D1962" s="2" t="s">
        <v>2516</v>
      </c>
      <c r="E1962" s="2" t="s">
        <v>2529</v>
      </c>
      <c r="F1962" s="3">
        <v>55221</v>
      </c>
      <c r="G1962" s="3">
        <v>3419</v>
      </c>
      <c r="H1962" s="3">
        <v>288</v>
      </c>
      <c r="I1962" s="4">
        <v>4247.17</v>
      </c>
      <c r="J1962" s="4">
        <v>11912.6</v>
      </c>
      <c r="K1962" s="3">
        <v>138</v>
      </c>
      <c r="L1962" s="2" t="s">
        <v>2536</v>
      </c>
      <c r="M1962" s="2" t="s">
        <v>2546</v>
      </c>
      <c r="N1962" s="6">
        <f t="shared" si="120"/>
        <v>1</v>
      </c>
      <c r="O1962" t="str">
        <f>IF(Tabla_control[[#This Row],[Control_duplicados]]&gt;1,"Duplicado","Unico")</f>
        <v>Unico</v>
      </c>
      <c r="P1962" t="str">
        <f t="shared" si="121"/>
        <v>OK</v>
      </c>
      <c r="Q1962" t="str">
        <f t="shared" si="122"/>
        <v>OK</v>
      </c>
      <c r="R1962" t="str">
        <f t="shared" si="123"/>
        <v>OK</v>
      </c>
    </row>
    <row r="1963" spans="1:18" x14ac:dyDescent="0.3">
      <c r="A1963" s="1">
        <v>45680</v>
      </c>
      <c r="B1963" s="2" t="s">
        <v>2620</v>
      </c>
      <c r="C1963" s="2" t="s">
        <v>2521</v>
      </c>
      <c r="D1963" s="2" t="s">
        <v>2516</v>
      </c>
      <c r="E1963" s="2" t="s">
        <v>2529</v>
      </c>
      <c r="F1963" s="3">
        <v>120716</v>
      </c>
      <c r="G1963" s="3">
        <v>3874</v>
      </c>
      <c r="H1963" s="3">
        <v>477</v>
      </c>
      <c r="I1963" s="4">
        <v>3947.54</v>
      </c>
      <c r="J1963" s="4">
        <v>52889.29</v>
      </c>
      <c r="K1963" s="3">
        <v>360</v>
      </c>
      <c r="L1963" s="2" t="s">
        <v>2523</v>
      </c>
      <c r="M1963" s="2" t="s">
        <v>2537</v>
      </c>
      <c r="N1963" s="6">
        <f t="shared" si="120"/>
        <v>1</v>
      </c>
      <c r="O1963" t="str">
        <f>IF(Tabla_control[[#This Row],[Control_duplicados]]&gt;1,"Duplicado","Unico")</f>
        <v>Unico</v>
      </c>
      <c r="P1963" t="str">
        <f t="shared" si="121"/>
        <v>OK</v>
      </c>
      <c r="Q1963" t="str">
        <f t="shared" si="122"/>
        <v>OK</v>
      </c>
      <c r="R1963" t="str">
        <f t="shared" si="123"/>
        <v>OK</v>
      </c>
    </row>
    <row r="1964" spans="1:18" x14ac:dyDescent="0.3">
      <c r="A1964" s="1">
        <v>45875</v>
      </c>
      <c r="B1964" s="2" t="s">
        <v>2640</v>
      </c>
      <c r="C1964" s="2" t="s">
        <v>2541</v>
      </c>
      <c r="D1964" s="2" t="s">
        <v>2528</v>
      </c>
      <c r="E1964" s="2" t="s">
        <v>2517</v>
      </c>
      <c r="F1964" s="3">
        <v>94504</v>
      </c>
      <c r="G1964" s="3">
        <v>6519</v>
      </c>
      <c r="H1964" s="3">
        <v>105</v>
      </c>
      <c r="I1964" s="4">
        <v>9159.01</v>
      </c>
      <c r="J1964" s="4">
        <v>11042.59</v>
      </c>
      <c r="K1964" s="3">
        <v>64</v>
      </c>
      <c r="L1964" s="2" t="s">
        <v>2518</v>
      </c>
      <c r="M1964" s="2" t="s">
        <v>2537</v>
      </c>
      <c r="N1964" s="6">
        <f t="shared" si="120"/>
        <v>1</v>
      </c>
      <c r="O1964" t="str">
        <f>IF(Tabla_control[[#This Row],[Control_duplicados]]&gt;1,"Duplicado","Unico")</f>
        <v>Unico</v>
      </c>
      <c r="P1964" t="str">
        <f t="shared" si="121"/>
        <v>OK</v>
      </c>
      <c r="Q1964" t="str">
        <f t="shared" si="122"/>
        <v>OK</v>
      </c>
      <c r="R1964" t="str">
        <f t="shared" si="123"/>
        <v>OK</v>
      </c>
    </row>
    <row r="1965" spans="1:18" x14ac:dyDescent="0.3">
      <c r="A1965" s="1">
        <v>45827</v>
      </c>
      <c r="B1965" s="2" t="s">
        <v>2627</v>
      </c>
      <c r="C1965" s="2" t="s">
        <v>2543</v>
      </c>
      <c r="D1965" s="2" t="s">
        <v>2528</v>
      </c>
      <c r="E1965" s="2" t="s">
        <v>2529</v>
      </c>
      <c r="F1965" s="3">
        <v>130858</v>
      </c>
      <c r="G1965" s="3">
        <v>5398</v>
      </c>
      <c r="H1965" s="3">
        <v>467</v>
      </c>
      <c r="I1965" s="4">
        <v>3814.01</v>
      </c>
      <c r="J1965" s="4">
        <v>20812.7</v>
      </c>
      <c r="K1965" s="3">
        <v>338</v>
      </c>
      <c r="L1965" s="2" t="s">
        <v>2518</v>
      </c>
      <c r="M1965" s="2" t="s">
        <v>2526</v>
      </c>
      <c r="N1965" s="6">
        <f t="shared" si="120"/>
        <v>1</v>
      </c>
      <c r="O1965" t="str">
        <f>IF(Tabla_control[[#This Row],[Control_duplicados]]&gt;1,"Duplicado","Unico")</f>
        <v>Unico</v>
      </c>
      <c r="P1965" t="str">
        <f t="shared" si="121"/>
        <v>OK</v>
      </c>
      <c r="Q1965" t="str">
        <f t="shared" si="122"/>
        <v>OK</v>
      </c>
      <c r="R1965" t="str">
        <f t="shared" si="123"/>
        <v>OK</v>
      </c>
    </row>
    <row r="1966" spans="1:18" x14ac:dyDescent="0.3">
      <c r="A1966" s="1">
        <v>46002</v>
      </c>
      <c r="B1966" s="2" t="s">
        <v>2624</v>
      </c>
      <c r="C1966" s="2" t="s">
        <v>2543</v>
      </c>
      <c r="D1966" s="2" t="s">
        <v>2528</v>
      </c>
      <c r="E1966" s="2" t="s">
        <v>2517</v>
      </c>
      <c r="F1966" s="3">
        <v>37196</v>
      </c>
      <c r="G1966" s="3">
        <v>3241</v>
      </c>
      <c r="H1966" s="3">
        <v>95</v>
      </c>
      <c r="I1966" s="4">
        <v>6767.88</v>
      </c>
      <c r="J1966" s="4">
        <v>18718.849999999999</v>
      </c>
      <c r="K1966" s="3">
        <v>84</v>
      </c>
      <c r="L1966" s="2" t="s">
        <v>2523</v>
      </c>
      <c r="M1966" s="2" t="s">
        <v>2524</v>
      </c>
      <c r="N1966" s="6">
        <f t="shared" si="120"/>
        <v>1</v>
      </c>
      <c r="O1966" t="str">
        <f>IF(Tabla_control[[#This Row],[Control_duplicados]]&gt;1,"Duplicado","Unico")</f>
        <v>Unico</v>
      </c>
      <c r="P1966" t="str">
        <f t="shared" si="121"/>
        <v>OK</v>
      </c>
      <c r="Q1966" t="str">
        <f t="shared" si="122"/>
        <v>OK</v>
      </c>
      <c r="R1966" t="str">
        <f t="shared" si="123"/>
        <v>OK</v>
      </c>
    </row>
    <row r="1967" spans="1:18" x14ac:dyDescent="0.3">
      <c r="A1967" s="1">
        <v>45667</v>
      </c>
      <c r="B1967" s="2" t="s">
        <v>2626</v>
      </c>
      <c r="C1967" s="2" t="s">
        <v>2541</v>
      </c>
      <c r="D1967" s="2" t="s">
        <v>2531</v>
      </c>
      <c r="E1967" s="2" t="s">
        <v>2517</v>
      </c>
      <c r="F1967" s="3">
        <v>134932</v>
      </c>
      <c r="G1967" s="3">
        <v>4325</v>
      </c>
      <c r="H1967" s="3">
        <v>517</v>
      </c>
      <c r="I1967" s="4">
        <v>4564.93</v>
      </c>
      <c r="J1967" s="4">
        <v>56619.33</v>
      </c>
      <c r="K1967" s="3">
        <v>460</v>
      </c>
      <c r="L1967" s="2" t="s">
        <v>2536</v>
      </c>
      <c r="M1967" s="2" t="s">
        <v>2524</v>
      </c>
      <c r="N1967" s="6">
        <f t="shared" si="120"/>
        <v>1</v>
      </c>
      <c r="O1967" t="str">
        <f>IF(Tabla_control[[#This Row],[Control_duplicados]]&gt;1,"Duplicado","Unico")</f>
        <v>Unico</v>
      </c>
      <c r="P1967" t="str">
        <f t="shared" si="121"/>
        <v>OK</v>
      </c>
      <c r="Q1967" t="str">
        <f t="shared" si="122"/>
        <v>OK</v>
      </c>
      <c r="R1967" t="str">
        <f t="shared" si="123"/>
        <v>OK</v>
      </c>
    </row>
    <row r="1968" spans="1:18" x14ac:dyDescent="0.3">
      <c r="A1968" s="1">
        <v>45729</v>
      </c>
      <c r="B1968" s="2" t="s">
        <v>2644</v>
      </c>
      <c r="C1968" s="2" t="s">
        <v>2533</v>
      </c>
      <c r="D1968" s="2" t="s">
        <v>2531</v>
      </c>
      <c r="E1968" s="2" t="s">
        <v>2517</v>
      </c>
      <c r="F1968" s="3">
        <v>108490</v>
      </c>
      <c r="G1968" s="3">
        <v>5784</v>
      </c>
      <c r="H1968" s="3">
        <v>746</v>
      </c>
      <c r="I1968" s="4">
        <v>7392.81</v>
      </c>
      <c r="J1968" s="4">
        <v>87293.47</v>
      </c>
      <c r="K1968" s="3">
        <v>607</v>
      </c>
      <c r="L1968" s="2" t="s">
        <v>2523</v>
      </c>
      <c r="M1968" s="2" t="s">
        <v>2519</v>
      </c>
      <c r="N1968" s="6">
        <f t="shared" si="120"/>
        <v>1</v>
      </c>
      <c r="O1968" t="str">
        <f>IF(Tabla_control[[#This Row],[Control_duplicados]]&gt;1,"Duplicado","Unico")</f>
        <v>Unico</v>
      </c>
      <c r="P1968" t="str">
        <f t="shared" si="121"/>
        <v>OK</v>
      </c>
      <c r="Q1968" t="str">
        <f t="shared" si="122"/>
        <v>OK</v>
      </c>
      <c r="R1968" t="str">
        <f t="shared" si="123"/>
        <v>OK</v>
      </c>
    </row>
    <row r="1969" spans="1:18" x14ac:dyDescent="0.3">
      <c r="A1969" s="1">
        <v>45806</v>
      </c>
      <c r="B1969" s="2" t="s">
        <v>2637</v>
      </c>
      <c r="C1969" s="2" t="s">
        <v>2521</v>
      </c>
      <c r="D1969" s="2" t="s">
        <v>2516</v>
      </c>
      <c r="E1969" s="2" t="s">
        <v>2517</v>
      </c>
      <c r="F1969" s="3">
        <v>135868</v>
      </c>
      <c r="G1969" s="3">
        <v>5358</v>
      </c>
      <c r="H1969" s="3">
        <v>326</v>
      </c>
      <c r="I1969" s="4">
        <v>2023.12</v>
      </c>
      <c r="J1969" s="4">
        <v>54119</v>
      </c>
      <c r="K1969" s="3">
        <v>252</v>
      </c>
      <c r="L1969" s="2" t="s">
        <v>2523</v>
      </c>
      <c r="M1969" s="2" t="s">
        <v>2519</v>
      </c>
      <c r="N1969" s="6">
        <f t="shared" si="120"/>
        <v>1</v>
      </c>
      <c r="O1969" t="str">
        <f>IF(Tabla_control[[#This Row],[Control_duplicados]]&gt;1,"Duplicado","Unico")</f>
        <v>Unico</v>
      </c>
      <c r="P1969" t="str">
        <f t="shared" si="121"/>
        <v>OK</v>
      </c>
      <c r="Q1969" t="str">
        <f t="shared" si="122"/>
        <v>OK</v>
      </c>
      <c r="R1969" t="str">
        <f t="shared" si="123"/>
        <v>OK</v>
      </c>
    </row>
    <row r="1970" spans="1:18" x14ac:dyDescent="0.3">
      <c r="A1970" s="1">
        <v>45697</v>
      </c>
      <c r="B1970" s="2" t="s">
        <v>2618</v>
      </c>
      <c r="C1970" s="2" t="s">
        <v>2521</v>
      </c>
      <c r="D1970" s="2" t="s">
        <v>2525</v>
      </c>
      <c r="E1970" s="2" t="s">
        <v>2517</v>
      </c>
      <c r="F1970" s="3">
        <v>156932</v>
      </c>
      <c r="G1970" s="3">
        <v>9013</v>
      </c>
      <c r="H1970" s="3">
        <v>338</v>
      </c>
      <c r="I1970" s="4">
        <v>12009.07</v>
      </c>
      <c r="J1970" s="4">
        <v>23180.47</v>
      </c>
      <c r="K1970" s="3">
        <v>255</v>
      </c>
      <c r="L1970" s="2" t="s">
        <v>2536</v>
      </c>
      <c r="M1970" s="2" t="s">
        <v>2537</v>
      </c>
      <c r="N1970" s="6">
        <f t="shared" si="120"/>
        <v>1</v>
      </c>
      <c r="O1970" t="str">
        <f>IF(Tabla_control[[#This Row],[Control_duplicados]]&gt;1,"Duplicado","Unico")</f>
        <v>Unico</v>
      </c>
      <c r="P1970" t="str">
        <f t="shared" si="121"/>
        <v>OK</v>
      </c>
      <c r="Q1970" t="str">
        <f t="shared" si="122"/>
        <v>OK</v>
      </c>
      <c r="R1970" t="str">
        <f t="shared" si="123"/>
        <v>OK</v>
      </c>
    </row>
    <row r="1971" spans="1:18" x14ac:dyDescent="0.3">
      <c r="A1971" s="1">
        <v>45783</v>
      </c>
      <c r="B1971" s="2" t="s">
        <v>2633</v>
      </c>
      <c r="C1971" s="2" t="s">
        <v>2527</v>
      </c>
      <c r="D1971" s="2" t="s">
        <v>2645</v>
      </c>
      <c r="E1971" s="2" t="s">
        <v>2517</v>
      </c>
      <c r="F1971" s="3">
        <v>40686</v>
      </c>
      <c r="G1971" s="3">
        <v>1876</v>
      </c>
      <c r="H1971" s="3">
        <v>75</v>
      </c>
      <c r="I1971" s="4">
        <v>3297.45</v>
      </c>
      <c r="J1971" s="4">
        <v>13984.56</v>
      </c>
      <c r="K1971" s="3">
        <v>49</v>
      </c>
      <c r="L1971" s="2" t="s">
        <v>2536</v>
      </c>
      <c r="M1971" s="2" t="s">
        <v>2546</v>
      </c>
      <c r="N1971" s="6">
        <f t="shared" si="120"/>
        <v>1</v>
      </c>
      <c r="O1971" t="str">
        <f>IF(Tabla_control[[#This Row],[Control_duplicados]]&gt;1,"Duplicado","Unico")</f>
        <v>Unico</v>
      </c>
      <c r="P1971" t="str">
        <f t="shared" si="121"/>
        <v>OK</v>
      </c>
      <c r="Q1971" t="str">
        <f t="shared" si="122"/>
        <v>OK</v>
      </c>
      <c r="R1971" t="str">
        <f t="shared" si="123"/>
        <v>OK</v>
      </c>
    </row>
    <row r="1972" spans="1:18" x14ac:dyDescent="0.3">
      <c r="A1972" s="1">
        <v>45986</v>
      </c>
      <c r="B1972" s="2" t="s">
        <v>2641</v>
      </c>
      <c r="C1972" s="2" t="s">
        <v>2543</v>
      </c>
      <c r="D1972" s="2" t="s">
        <v>2525</v>
      </c>
      <c r="E1972" s="2" t="s">
        <v>2529</v>
      </c>
      <c r="F1972" s="3">
        <v>105205</v>
      </c>
      <c r="G1972" s="3">
        <v>591</v>
      </c>
      <c r="H1972" s="3">
        <v>78</v>
      </c>
      <c r="I1972" s="4">
        <v>566.22</v>
      </c>
      <c r="J1972" s="4">
        <v>8377.7199999999993</v>
      </c>
      <c r="K1972" s="3">
        <v>64</v>
      </c>
      <c r="L1972" s="2" t="s">
        <v>2536</v>
      </c>
      <c r="M1972" s="2" t="s">
        <v>2519</v>
      </c>
      <c r="N1972" s="6">
        <f t="shared" si="120"/>
        <v>1</v>
      </c>
      <c r="O1972" t="str">
        <f>IF(Tabla_control[[#This Row],[Control_duplicados]]&gt;1,"Duplicado","Unico")</f>
        <v>Unico</v>
      </c>
      <c r="P1972" t="str">
        <f t="shared" si="121"/>
        <v>OK</v>
      </c>
      <c r="Q1972" t="str">
        <f t="shared" si="122"/>
        <v>OK</v>
      </c>
      <c r="R1972" t="str">
        <f t="shared" si="123"/>
        <v>OK</v>
      </c>
    </row>
    <row r="1973" spans="1:18" x14ac:dyDescent="0.3">
      <c r="A1973" s="1">
        <v>45776</v>
      </c>
      <c r="B1973" s="2" t="s">
        <v>2624</v>
      </c>
      <c r="C1973" s="2" t="s">
        <v>2515</v>
      </c>
      <c r="D1973" s="2" t="s">
        <v>2528</v>
      </c>
      <c r="E1973" s="2" t="s">
        <v>2529</v>
      </c>
      <c r="F1973" s="3">
        <v>178933</v>
      </c>
      <c r="G1973" s="3">
        <v>2203</v>
      </c>
      <c r="H1973" s="3">
        <v>79</v>
      </c>
      <c r="I1973" s="4">
        <v>3378.59</v>
      </c>
      <c r="J1973" s="4">
        <v>7821.78</v>
      </c>
      <c r="K1973" s="3">
        <v>37</v>
      </c>
      <c r="L1973" s="2" t="s">
        <v>2536</v>
      </c>
      <c r="M1973" s="2" t="s">
        <v>2519</v>
      </c>
      <c r="N1973" s="6">
        <f t="shared" si="120"/>
        <v>1</v>
      </c>
      <c r="O1973" t="str">
        <f>IF(Tabla_control[[#This Row],[Control_duplicados]]&gt;1,"Duplicado","Unico")</f>
        <v>Unico</v>
      </c>
      <c r="P1973" t="str">
        <f t="shared" si="121"/>
        <v>OK</v>
      </c>
      <c r="Q1973" t="str">
        <f t="shared" si="122"/>
        <v>OK</v>
      </c>
      <c r="R1973" t="str">
        <f t="shared" si="123"/>
        <v>OK</v>
      </c>
    </row>
    <row r="1974" spans="1:18" x14ac:dyDescent="0.3">
      <c r="A1974" s="1">
        <v>45878</v>
      </c>
      <c r="B1974" s="2" t="s">
        <v>2616</v>
      </c>
      <c r="C1974" s="2" t="s">
        <v>2533</v>
      </c>
      <c r="D1974" s="2" t="s">
        <v>2525</v>
      </c>
      <c r="E1974" s="2" t="s">
        <v>2529</v>
      </c>
      <c r="F1974" s="3">
        <v>170675</v>
      </c>
      <c r="G1974" s="3">
        <v>1256</v>
      </c>
      <c r="H1974" s="3">
        <v>120</v>
      </c>
      <c r="I1974" s="4">
        <v>1442.9</v>
      </c>
      <c r="J1974" s="4">
        <v>7731.54</v>
      </c>
      <c r="K1974" s="3">
        <v>77</v>
      </c>
      <c r="L1974" s="2" t="s">
        <v>2539</v>
      </c>
      <c r="M1974" s="2" t="s">
        <v>2546</v>
      </c>
      <c r="N1974" s="6">
        <f t="shared" si="120"/>
        <v>1</v>
      </c>
      <c r="O1974" t="str">
        <f>IF(Tabla_control[[#This Row],[Control_duplicados]]&gt;1,"Duplicado","Unico")</f>
        <v>Unico</v>
      </c>
      <c r="P1974" t="str">
        <f t="shared" si="121"/>
        <v>OK</v>
      </c>
      <c r="Q1974" t="str">
        <f t="shared" si="122"/>
        <v>OK</v>
      </c>
      <c r="R1974" t="str">
        <f t="shared" si="123"/>
        <v>OK</v>
      </c>
    </row>
    <row r="1975" spans="1:18" x14ac:dyDescent="0.3">
      <c r="A1975" s="1">
        <v>45666</v>
      </c>
      <c r="B1975" s="2" t="s">
        <v>2621</v>
      </c>
      <c r="C1975" s="2" t="s">
        <v>2533</v>
      </c>
      <c r="D1975" s="2" t="s">
        <v>2525</v>
      </c>
      <c r="E1975" s="2" t="s">
        <v>2517</v>
      </c>
      <c r="F1975" s="3">
        <v>67299</v>
      </c>
      <c r="G1975" s="3">
        <v>5831</v>
      </c>
      <c r="H1975" s="3">
        <v>360</v>
      </c>
      <c r="I1975" s="4">
        <v>10338.6</v>
      </c>
      <c r="J1975" s="4">
        <v>25726.86</v>
      </c>
      <c r="K1975" s="3">
        <v>259</v>
      </c>
      <c r="L1975" s="2" t="s">
        <v>2518</v>
      </c>
      <c r="M1975" s="2" t="s">
        <v>2537</v>
      </c>
      <c r="N1975" s="6">
        <f t="shared" si="120"/>
        <v>1</v>
      </c>
      <c r="O1975" t="str">
        <f>IF(Tabla_control[[#This Row],[Control_duplicados]]&gt;1,"Duplicado","Unico")</f>
        <v>Unico</v>
      </c>
      <c r="P1975" t="str">
        <f t="shared" si="121"/>
        <v>OK</v>
      </c>
      <c r="Q1975" t="str">
        <f t="shared" si="122"/>
        <v>OK</v>
      </c>
      <c r="R1975" t="str">
        <f t="shared" si="123"/>
        <v>OK</v>
      </c>
    </row>
    <row r="1976" spans="1:18" x14ac:dyDescent="0.3">
      <c r="A1976" s="1">
        <v>45936</v>
      </c>
      <c r="B1976" s="2" t="s">
        <v>2621</v>
      </c>
      <c r="C1976" s="2" t="s">
        <v>2521</v>
      </c>
      <c r="D1976" s="2" t="s">
        <v>2516</v>
      </c>
      <c r="E1976" s="2" t="s">
        <v>2517</v>
      </c>
      <c r="F1976" s="3">
        <v>10481</v>
      </c>
      <c r="G1976" s="3">
        <v>611</v>
      </c>
      <c r="H1976" s="3">
        <v>27</v>
      </c>
      <c r="I1976" s="4">
        <v>1214.79</v>
      </c>
      <c r="J1976" s="4">
        <v>883.63</v>
      </c>
      <c r="K1976" s="3">
        <v>16</v>
      </c>
      <c r="L1976" s="2" t="s">
        <v>2539</v>
      </c>
      <c r="M1976" s="2" t="s">
        <v>2537</v>
      </c>
      <c r="N1976" s="6">
        <f t="shared" si="120"/>
        <v>1</v>
      </c>
      <c r="O1976" t="str">
        <f>IF(Tabla_control[[#This Row],[Control_duplicados]]&gt;1,"Duplicado","Unico")</f>
        <v>Unico</v>
      </c>
      <c r="P1976" t="str">
        <f t="shared" si="121"/>
        <v>OK</v>
      </c>
      <c r="Q1976" t="str">
        <f t="shared" si="122"/>
        <v>OK</v>
      </c>
      <c r="R1976" t="str">
        <f t="shared" si="123"/>
        <v>OK</v>
      </c>
    </row>
    <row r="1977" spans="1:18" x14ac:dyDescent="0.3">
      <c r="A1977" s="1">
        <v>45892</v>
      </c>
      <c r="B1977" s="2" t="s">
        <v>2616</v>
      </c>
      <c r="C1977" s="2" t="s">
        <v>2543</v>
      </c>
      <c r="D1977" s="2" t="s">
        <v>2528</v>
      </c>
      <c r="E1977" s="2" t="s">
        <v>2517</v>
      </c>
      <c r="F1977" s="3">
        <v>28524</v>
      </c>
      <c r="G1977" s="3">
        <v>688</v>
      </c>
      <c r="H1977" s="3">
        <v>4</v>
      </c>
      <c r="I1977" s="4">
        <v>417.14</v>
      </c>
      <c r="J1977" s="4">
        <v>365.27</v>
      </c>
      <c r="K1977" s="3">
        <v>2</v>
      </c>
      <c r="L1977" s="2" t="s">
        <v>2539</v>
      </c>
      <c r="M1977" s="2" t="s">
        <v>2537</v>
      </c>
      <c r="N1977" s="6">
        <f t="shared" si="120"/>
        <v>1</v>
      </c>
      <c r="O1977" t="str">
        <f>IF(Tabla_control[[#This Row],[Control_duplicados]]&gt;1,"Duplicado","Unico")</f>
        <v>Unico</v>
      </c>
      <c r="P1977" t="str">
        <f t="shared" si="121"/>
        <v>OK</v>
      </c>
      <c r="Q1977" t="str">
        <f t="shared" si="122"/>
        <v>OK</v>
      </c>
      <c r="R1977" t="str">
        <f t="shared" si="123"/>
        <v>OK</v>
      </c>
    </row>
    <row r="1978" spans="1:18" x14ac:dyDescent="0.3">
      <c r="A1978" s="1">
        <v>45977</v>
      </c>
      <c r="B1978" s="2" t="s">
        <v>2636</v>
      </c>
      <c r="C1978" s="2" t="s">
        <v>2543</v>
      </c>
      <c r="D1978" s="2" t="s">
        <v>2531</v>
      </c>
      <c r="E1978" s="2" t="s">
        <v>2534</v>
      </c>
      <c r="F1978" s="3">
        <v>176437</v>
      </c>
      <c r="G1978" s="3">
        <v>14105</v>
      </c>
      <c r="H1978" s="3">
        <v>237</v>
      </c>
      <c r="I1978" s="4">
        <v>27468.33</v>
      </c>
      <c r="J1978" s="4">
        <v>15915.38</v>
      </c>
      <c r="K1978" s="3">
        <v>209</v>
      </c>
      <c r="L1978" s="2" t="s">
        <v>2536</v>
      </c>
      <c r="M1978" s="2" t="s">
        <v>2524</v>
      </c>
      <c r="N1978" s="6">
        <f t="shared" si="120"/>
        <v>1</v>
      </c>
      <c r="O1978" t="str">
        <f>IF(Tabla_control[[#This Row],[Control_duplicados]]&gt;1,"Duplicado","Unico")</f>
        <v>Unico</v>
      </c>
      <c r="P1978" t="str">
        <f t="shared" si="121"/>
        <v>OK</v>
      </c>
      <c r="Q1978" t="str">
        <f t="shared" si="122"/>
        <v>OK</v>
      </c>
      <c r="R1978" t="str">
        <f t="shared" si="123"/>
        <v>OK</v>
      </c>
    </row>
    <row r="1979" spans="1:18" x14ac:dyDescent="0.3">
      <c r="A1979" s="1">
        <v>45831</v>
      </c>
      <c r="B1979" s="2" t="s">
        <v>2637</v>
      </c>
      <c r="C1979" s="2" t="s">
        <v>2515</v>
      </c>
      <c r="D1979" s="2" t="s">
        <v>2528</v>
      </c>
      <c r="E1979" s="2" t="s">
        <v>2517</v>
      </c>
      <c r="F1979" s="3">
        <v>115688</v>
      </c>
      <c r="G1979" s="3">
        <v>5559</v>
      </c>
      <c r="H1979" s="3">
        <v>440</v>
      </c>
      <c r="I1979" s="4">
        <v>9599.94</v>
      </c>
      <c r="J1979" s="4">
        <v>95440.41</v>
      </c>
      <c r="K1979" s="3">
        <v>294</v>
      </c>
      <c r="L1979" s="2" t="s">
        <v>2539</v>
      </c>
      <c r="M1979" s="2" t="s">
        <v>2537</v>
      </c>
      <c r="N1979" s="6">
        <f t="shared" si="120"/>
        <v>1</v>
      </c>
      <c r="O1979" t="str">
        <f>IF(Tabla_control[[#This Row],[Control_duplicados]]&gt;1,"Duplicado","Unico")</f>
        <v>Unico</v>
      </c>
      <c r="P1979" t="str">
        <f t="shared" si="121"/>
        <v>OK</v>
      </c>
      <c r="Q1979" t="str">
        <f t="shared" si="122"/>
        <v>OK</v>
      </c>
      <c r="R1979" t="str">
        <f t="shared" si="123"/>
        <v>OK</v>
      </c>
    </row>
    <row r="1980" spans="1:18" x14ac:dyDescent="0.3">
      <c r="A1980" s="1">
        <v>45658</v>
      </c>
      <c r="B1980" s="2" t="s">
        <v>2625</v>
      </c>
      <c r="C1980" s="2" t="s">
        <v>2541</v>
      </c>
      <c r="D1980" s="2" t="s">
        <v>2528</v>
      </c>
      <c r="E1980" s="2" t="s">
        <v>2529</v>
      </c>
      <c r="F1980" s="3">
        <v>15810</v>
      </c>
      <c r="G1980" s="3">
        <v>432</v>
      </c>
      <c r="H1980" s="3">
        <v>32</v>
      </c>
      <c r="I1980" s="4">
        <v>653.79</v>
      </c>
      <c r="J1980" s="4">
        <v>3514.82</v>
      </c>
      <c r="K1980" s="3">
        <v>27</v>
      </c>
      <c r="L1980" s="2" t="s">
        <v>2523</v>
      </c>
      <c r="M1980" s="2" t="s">
        <v>2519</v>
      </c>
      <c r="N1980" s="6">
        <f t="shared" si="120"/>
        <v>1</v>
      </c>
      <c r="O1980" t="str">
        <f>IF(Tabla_control[[#This Row],[Control_duplicados]]&gt;1,"Duplicado","Unico")</f>
        <v>Unico</v>
      </c>
      <c r="P1980" t="str">
        <f t="shared" si="121"/>
        <v>OK</v>
      </c>
      <c r="Q1980" t="str">
        <f t="shared" si="122"/>
        <v>OK</v>
      </c>
      <c r="R1980" t="str">
        <f t="shared" si="123"/>
        <v>OK</v>
      </c>
    </row>
    <row r="1981" spans="1:18" x14ac:dyDescent="0.3">
      <c r="A1981" s="1">
        <v>45811</v>
      </c>
      <c r="B1981" s="2" t="s">
        <v>2629</v>
      </c>
      <c r="C1981" s="2" t="s">
        <v>2521</v>
      </c>
      <c r="D1981" s="2" t="s">
        <v>2528</v>
      </c>
      <c r="E1981" s="2" t="s">
        <v>2517</v>
      </c>
      <c r="F1981" s="3">
        <v>53470</v>
      </c>
      <c r="G1981" s="3">
        <v>1545</v>
      </c>
      <c r="H1981" s="3">
        <v>39</v>
      </c>
      <c r="I1981" s="4">
        <v>735.45</v>
      </c>
      <c r="J1981" s="4">
        <v>4344.26</v>
      </c>
      <c r="K1981" s="3">
        <v>25</v>
      </c>
      <c r="L1981" s="2" t="s">
        <v>2536</v>
      </c>
      <c r="M1981" s="2" t="s">
        <v>2524</v>
      </c>
      <c r="N1981" s="6">
        <f t="shared" si="120"/>
        <v>1</v>
      </c>
      <c r="O1981" t="str">
        <f>IF(Tabla_control[[#This Row],[Control_duplicados]]&gt;1,"Duplicado","Unico")</f>
        <v>Unico</v>
      </c>
      <c r="P1981" t="str">
        <f t="shared" si="121"/>
        <v>OK</v>
      </c>
      <c r="Q1981" t="str">
        <f t="shared" si="122"/>
        <v>OK</v>
      </c>
      <c r="R1981" t="str">
        <f t="shared" si="123"/>
        <v>OK</v>
      </c>
    </row>
    <row r="1982" spans="1:18" x14ac:dyDescent="0.3">
      <c r="A1982" s="1">
        <v>45831</v>
      </c>
      <c r="B1982" s="2" t="s">
        <v>2644</v>
      </c>
      <c r="C1982" s="2" t="s">
        <v>2543</v>
      </c>
      <c r="D1982" s="2" t="s">
        <v>2528</v>
      </c>
      <c r="E1982" s="2" t="s">
        <v>2517</v>
      </c>
      <c r="F1982" s="3">
        <v>107836</v>
      </c>
      <c r="G1982" s="3">
        <v>9435</v>
      </c>
      <c r="H1982" s="3">
        <v>690</v>
      </c>
      <c r="I1982" s="4">
        <v>9179</v>
      </c>
      <c r="J1982" s="4">
        <v>35813.599999999999</v>
      </c>
      <c r="K1982" s="3">
        <v>616</v>
      </c>
      <c r="L1982" s="2" t="s">
        <v>2518</v>
      </c>
      <c r="M1982" s="2" t="s">
        <v>2526</v>
      </c>
      <c r="N1982" s="6">
        <f t="shared" si="120"/>
        <v>1</v>
      </c>
      <c r="O1982" t="str">
        <f>IF(Tabla_control[[#This Row],[Control_duplicados]]&gt;1,"Duplicado","Unico")</f>
        <v>Unico</v>
      </c>
      <c r="P1982" t="str">
        <f t="shared" si="121"/>
        <v>OK</v>
      </c>
      <c r="Q1982" t="str">
        <f t="shared" si="122"/>
        <v>OK</v>
      </c>
      <c r="R1982" t="str">
        <f t="shared" si="123"/>
        <v>OK</v>
      </c>
    </row>
    <row r="1983" spans="1:18" x14ac:dyDescent="0.3">
      <c r="A1983" s="1">
        <v>46015</v>
      </c>
      <c r="B1983" s="2" t="s">
        <v>2627</v>
      </c>
      <c r="C1983" s="2" t="s">
        <v>2527</v>
      </c>
      <c r="D1983" s="2" t="s">
        <v>2516</v>
      </c>
      <c r="E1983" s="2" t="s">
        <v>2517</v>
      </c>
      <c r="F1983" s="3">
        <v>88409</v>
      </c>
      <c r="G1983" s="3">
        <v>1895</v>
      </c>
      <c r="H1983" s="3">
        <v>208</v>
      </c>
      <c r="I1983" s="4">
        <v>1405.08</v>
      </c>
      <c r="J1983" s="4">
        <v>25368.45</v>
      </c>
      <c r="K1983" s="3">
        <v>153</v>
      </c>
      <c r="L1983" s="2" t="s">
        <v>2536</v>
      </c>
      <c r="M1983" s="2" t="s">
        <v>2519</v>
      </c>
      <c r="N1983" s="6">
        <f t="shared" si="120"/>
        <v>1</v>
      </c>
      <c r="O1983" t="str">
        <f>IF(Tabla_control[[#This Row],[Control_duplicados]]&gt;1,"Duplicado","Unico")</f>
        <v>Unico</v>
      </c>
      <c r="P1983" t="str">
        <f t="shared" si="121"/>
        <v>OK</v>
      </c>
      <c r="Q1983" t="str">
        <f t="shared" si="122"/>
        <v>OK</v>
      </c>
      <c r="R1983" t="str">
        <f t="shared" si="123"/>
        <v>OK</v>
      </c>
    </row>
    <row r="1984" spans="1:18" x14ac:dyDescent="0.3">
      <c r="A1984" s="1">
        <v>45733</v>
      </c>
      <c r="B1984" s="2" t="s">
        <v>2640</v>
      </c>
      <c r="C1984" s="2" t="s">
        <v>2541</v>
      </c>
      <c r="D1984" s="2" t="s">
        <v>2528</v>
      </c>
      <c r="E1984" s="2" t="s">
        <v>2517</v>
      </c>
      <c r="F1984" s="3">
        <v>54153</v>
      </c>
      <c r="G1984" s="3">
        <v>1177</v>
      </c>
      <c r="H1984" s="3">
        <v>22</v>
      </c>
      <c r="I1984" s="4">
        <v>850.06</v>
      </c>
      <c r="J1984" s="4">
        <v>2255.1999999999998</v>
      </c>
      <c r="K1984" s="3">
        <v>11</v>
      </c>
      <c r="L1984" s="2" t="s">
        <v>2536</v>
      </c>
      <c r="M1984" s="2" t="s">
        <v>2519</v>
      </c>
      <c r="N1984" s="6">
        <f t="shared" si="120"/>
        <v>1</v>
      </c>
      <c r="O1984" t="str">
        <f>IF(Tabla_control[[#This Row],[Control_duplicados]]&gt;1,"Duplicado","Unico")</f>
        <v>Unico</v>
      </c>
      <c r="P1984" t="str">
        <f t="shared" si="121"/>
        <v>OK</v>
      </c>
      <c r="Q1984" t="str">
        <f t="shared" si="122"/>
        <v>OK</v>
      </c>
      <c r="R1984" t="str">
        <f t="shared" si="123"/>
        <v>OK</v>
      </c>
    </row>
    <row r="1985" spans="1:18" x14ac:dyDescent="0.3">
      <c r="A1985" s="1">
        <v>45825</v>
      </c>
      <c r="B1985" s="2" t="s">
        <v>2621</v>
      </c>
      <c r="C1985" s="2" t="s">
        <v>2543</v>
      </c>
      <c r="D1985" s="2" t="s">
        <v>2528</v>
      </c>
      <c r="E1985" s="2" t="s">
        <v>2529</v>
      </c>
      <c r="F1985" s="3">
        <v>170398</v>
      </c>
      <c r="G1985" s="3">
        <v>2581</v>
      </c>
      <c r="H1985" s="3">
        <v>307</v>
      </c>
      <c r="I1985" s="4">
        <v>2030.92</v>
      </c>
      <c r="J1985" s="4">
        <v>30139.93</v>
      </c>
      <c r="K1985" s="3">
        <v>158</v>
      </c>
      <c r="L1985" s="2" t="s">
        <v>2536</v>
      </c>
      <c r="M1985" s="2" t="s">
        <v>2519</v>
      </c>
      <c r="N1985" s="6">
        <f t="shared" si="120"/>
        <v>1</v>
      </c>
      <c r="O1985" t="str">
        <f>IF(Tabla_control[[#This Row],[Control_duplicados]]&gt;1,"Duplicado","Unico")</f>
        <v>Unico</v>
      </c>
      <c r="P1985" t="str">
        <f t="shared" si="121"/>
        <v>OK</v>
      </c>
      <c r="Q1985" t="str">
        <f t="shared" si="122"/>
        <v>OK</v>
      </c>
      <c r="R1985" t="str">
        <f t="shared" si="123"/>
        <v>OK</v>
      </c>
    </row>
    <row r="1986" spans="1:18" x14ac:dyDescent="0.3">
      <c r="A1986" s="1">
        <v>45663</v>
      </c>
      <c r="B1986" s="2" t="s">
        <v>2630</v>
      </c>
      <c r="C1986" s="2" t="s">
        <v>2515</v>
      </c>
      <c r="D1986" s="2" t="s">
        <v>2525</v>
      </c>
      <c r="E1986" s="2" t="s">
        <v>2517</v>
      </c>
      <c r="F1986" s="3">
        <v>131503</v>
      </c>
      <c r="G1986" s="3">
        <v>11374</v>
      </c>
      <c r="H1986" s="3">
        <v>551</v>
      </c>
      <c r="I1986" s="4">
        <v>11594.07</v>
      </c>
      <c r="J1986" s="4">
        <v>13045.91</v>
      </c>
      <c r="K1986" s="3">
        <v>470</v>
      </c>
      <c r="L1986" s="2" t="s">
        <v>2536</v>
      </c>
      <c r="M1986" s="2" t="s">
        <v>2546</v>
      </c>
      <c r="N1986" s="6">
        <f t="shared" ref="N1986:N2049" si="124">COUNTIFS($A$2:$A$2536,A1986,$B$2:$B$2536,B1986,$C$2:$C$2536,C1986,$D$2:$D$2536,D1986,$E$2:$E$2536,E1986,$F$2:$F$2536,F1986,$G$2:$G$2536,G1986,$H$2:$H$2536,H1986,$I$2:$I$2536,I1986,$J$2:$J$2536,J1986,$K$2:$K$2536,K1986,$L$2:$L$2536,L1986,$M$2:$M$2536,M1986)</f>
        <v>1</v>
      </c>
      <c r="O1986" t="str">
        <f>IF(Tabla_control[[#This Row],[Control_duplicados]]&gt;1,"Duplicado","Unico")</f>
        <v>Unico</v>
      </c>
      <c r="P1986" t="str">
        <f t="shared" ref="P1986:P2049" si="125">IF(OR(I1986="",I1986&lt;0),"ERROR","OK")</f>
        <v>OK</v>
      </c>
      <c r="Q1986" t="str">
        <f t="shared" ref="Q1986:Q2049" si="126">IF(H1986&gt;F1986,"ERROR","OK")</f>
        <v>OK</v>
      </c>
      <c r="R1986" t="str">
        <f t="shared" ref="R1986:R2049" si="127">IF(K1986&gt;H1986,"ERROR","OK")</f>
        <v>OK</v>
      </c>
    </row>
    <row r="1987" spans="1:18" x14ac:dyDescent="0.3">
      <c r="A1987" s="1">
        <v>45855</v>
      </c>
      <c r="B1987" s="2" t="s">
        <v>2627</v>
      </c>
      <c r="C1987" s="2" t="s">
        <v>2543</v>
      </c>
      <c r="D1987" s="2" t="s">
        <v>2516</v>
      </c>
      <c r="E1987" s="2" t="s">
        <v>2534</v>
      </c>
      <c r="F1987" s="3">
        <v>4357</v>
      </c>
      <c r="G1987" s="3">
        <v>76</v>
      </c>
      <c r="H1987" s="3">
        <v>0</v>
      </c>
      <c r="I1987" s="4">
        <v>147.38</v>
      </c>
      <c r="J1987" s="4">
        <v>0</v>
      </c>
      <c r="K1987" s="3">
        <v>0</v>
      </c>
      <c r="L1987" s="2" t="s">
        <v>2536</v>
      </c>
      <c r="M1987" s="2" t="s">
        <v>2519</v>
      </c>
      <c r="N1987" s="6">
        <f t="shared" si="124"/>
        <v>1</v>
      </c>
      <c r="O1987" t="str">
        <f>IF(Tabla_control[[#This Row],[Control_duplicados]]&gt;1,"Duplicado","Unico")</f>
        <v>Unico</v>
      </c>
      <c r="P1987" t="str">
        <f t="shared" si="125"/>
        <v>OK</v>
      </c>
      <c r="Q1987" t="str">
        <f t="shared" si="126"/>
        <v>OK</v>
      </c>
      <c r="R1987" t="str">
        <f t="shared" si="127"/>
        <v>OK</v>
      </c>
    </row>
    <row r="1988" spans="1:18" x14ac:dyDescent="0.3">
      <c r="A1988" s="1">
        <v>45725</v>
      </c>
      <c r="B1988" s="2" t="s">
        <v>2632</v>
      </c>
      <c r="C1988" s="2" t="s">
        <v>2533</v>
      </c>
      <c r="D1988" s="2" t="s">
        <v>2528</v>
      </c>
      <c r="E1988" s="2" t="s">
        <v>2529</v>
      </c>
      <c r="F1988" s="3">
        <v>153835</v>
      </c>
      <c r="G1988" s="3">
        <v>9039</v>
      </c>
      <c r="H1988" s="3">
        <v>226</v>
      </c>
      <c r="I1988" s="4">
        <v>6415.53</v>
      </c>
      <c r="J1988" s="4">
        <v>33304.660000000003</v>
      </c>
      <c r="K1988" s="3">
        <v>111</v>
      </c>
      <c r="L1988" s="2" t="s">
        <v>2518</v>
      </c>
      <c r="M1988" s="2" t="s">
        <v>2519</v>
      </c>
      <c r="N1988" s="6">
        <f t="shared" si="124"/>
        <v>1</v>
      </c>
      <c r="O1988" t="str">
        <f>IF(Tabla_control[[#This Row],[Control_duplicados]]&gt;1,"Duplicado","Unico")</f>
        <v>Unico</v>
      </c>
      <c r="P1988" t="str">
        <f t="shared" si="125"/>
        <v>OK</v>
      </c>
      <c r="Q1988" t="str">
        <f t="shared" si="126"/>
        <v>OK</v>
      </c>
      <c r="R1988" t="str">
        <f t="shared" si="127"/>
        <v>OK</v>
      </c>
    </row>
    <row r="1989" spans="1:18" x14ac:dyDescent="0.3">
      <c r="A1989" s="1">
        <v>45782</v>
      </c>
      <c r="B1989" s="2" t="s">
        <v>2638</v>
      </c>
      <c r="C1989" s="2" t="s">
        <v>2543</v>
      </c>
      <c r="D1989" s="2" t="s">
        <v>2516</v>
      </c>
      <c r="E1989" s="2" t="s">
        <v>2529</v>
      </c>
      <c r="F1989" s="3">
        <v>154239</v>
      </c>
      <c r="G1989" s="3">
        <v>5121</v>
      </c>
      <c r="H1989" s="3">
        <v>548</v>
      </c>
      <c r="I1989" s="4">
        <v>6092.93</v>
      </c>
      <c r="J1989" s="4">
        <v>58811.07</v>
      </c>
      <c r="K1989" s="3">
        <v>341</v>
      </c>
      <c r="L1989" s="2" t="s">
        <v>2523</v>
      </c>
      <c r="M1989" s="2" t="s">
        <v>2526</v>
      </c>
      <c r="N1989" s="6">
        <f t="shared" si="124"/>
        <v>1</v>
      </c>
      <c r="O1989" t="str">
        <f>IF(Tabla_control[[#This Row],[Control_duplicados]]&gt;1,"Duplicado","Unico")</f>
        <v>Unico</v>
      </c>
      <c r="P1989" t="str">
        <f t="shared" si="125"/>
        <v>OK</v>
      </c>
      <c r="Q1989" t="str">
        <f t="shared" si="126"/>
        <v>OK</v>
      </c>
      <c r="R1989" t="str">
        <f t="shared" si="127"/>
        <v>OK</v>
      </c>
    </row>
    <row r="1990" spans="1:18" x14ac:dyDescent="0.3">
      <c r="A1990" s="1">
        <v>45725</v>
      </c>
      <c r="B1990" s="2" t="s">
        <v>2621</v>
      </c>
      <c r="C1990" s="2" t="s">
        <v>2521</v>
      </c>
      <c r="D1990" s="2" t="s">
        <v>2528</v>
      </c>
      <c r="E1990" s="2" t="s">
        <v>2529</v>
      </c>
      <c r="F1990" s="3">
        <v>3652</v>
      </c>
      <c r="G1990" s="3">
        <v>20</v>
      </c>
      <c r="H1990" s="3">
        <v>2</v>
      </c>
      <c r="I1990" s="4">
        <v>13</v>
      </c>
      <c r="J1990" s="4">
        <v>278.67</v>
      </c>
      <c r="K1990" s="3">
        <v>1</v>
      </c>
      <c r="L1990" s="2" t="s">
        <v>2536</v>
      </c>
      <c r="M1990" s="2" t="s">
        <v>2526</v>
      </c>
      <c r="N1990" s="6">
        <f t="shared" si="124"/>
        <v>1</v>
      </c>
      <c r="O1990" t="str">
        <f>IF(Tabla_control[[#This Row],[Control_duplicados]]&gt;1,"Duplicado","Unico")</f>
        <v>Unico</v>
      </c>
      <c r="P1990" t="str">
        <f t="shared" si="125"/>
        <v>OK</v>
      </c>
      <c r="Q1990" t="str">
        <f t="shared" si="126"/>
        <v>OK</v>
      </c>
      <c r="R1990" t="str">
        <f t="shared" si="127"/>
        <v>OK</v>
      </c>
    </row>
    <row r="1991" spans="1:18" x14ac:dyDescent="0.3">
      <c r="A1991" s="1">
        <v>45961</v>
      </c>
      <c r="B1991" s="2" t="s">
        <v>2616</v>
      </c>
      <c r="C1991" s="2" t="s">
        <v>2533</v>
      </c>
      <c r="D1991" s="2" t="s">
        <v>2528</v>
      </c>
      <c r="E1991" s="2" t="s">
        <v>2517</v>
      </c>
      <c r="F1991" s="3">
        <v>168291</v>
      </c>
      <c r="G1991" s="3">
        <v>2775</v>
      </c>
      <c r="H1991" s="3">
        <v>192</v>
      </c>
      <c r="I1991" s="4">
        <v>1395.21</v>
      </c>
      <c r="J1991" s="4">
        <v>33405.129999999997</v>
      </c>
      <c r="K1991" s="3">
        <v>135</v>
      </c>
      <c r="L1991" s="2" t="s">
        <v>2536</v>
      </c>
      <c r="M1991" s="2" t="s">
        <v>2519</v>
      </c>
      <c r="N1991" s="6">
        <f t="shared" si="124"/>
        <v>1</v>
      </c>
      <c r="O1991" t="str">
        <f>IF(Tabla_control[[#This Row],[Control_duplicados]]&gt;1,"Duplicado","Unico")</f>
        <v>Unico</v>
      </c>
      <c r="P1991" t="str">
        <f t="shared" si="125"/>
        <v>OK</v>
      </c>
      <c r="Q1991" t="str">
        <f t="shared" si="126"/>
        <v>OK</v>
      </c>
      <c r="R1991" t="str">
        <f t="shared" si="127"/>
        <v>OK</v>
      </c>
    </row>
    <row r="1992" spans="1:18" x14ac:dyDescent="0.3">
      <c r="A1992" s="1">
        <v>45786</v>
      </c>
      <c r="B1992" s="2" t="s">
        <v>2628</v>
      </c>
      <c r="C1992" s="2" t="s">
        <v>2521</v>
      </c>
      <c r="D1992" s="2" t="s">
        <v>2516</v>
      </c>
      <c r="E1992" s="2" t="s">
        <v>2529</v>
      </c>
      <c r="F1992" s="3">
        <v>120665</v>
      </c>
      <c r="G1992" s="3">
        <v>8398</v>
      </c>
      <c r="H1992" s="3">
        <v>1084</v>
      </c>
      <c r="I1992" s="4">
        <v>8577.49</v>
      </c>
      <c r="J1992" s="4">
        <v>42890.92</v>
      </c>
      <c r="K1992" s="3">
        <v>563</v>
      </c>
      <c r="L1992" s="2" t="s">
        <v>2539</v>
      </c>
      <c r="M1992" s="2" t="s">
        <v>2546</v>
      </c>
      <c r="N1992" s="6">
        <f t="shared" si="124"/>
        <v>1</v>
      </c>
      <c r="O1992" t="str">
        <f>IF(Tabla_control[[#This Row],[Control_duplicados]]&gt;1,"Duplicado","Unico")</f>
        <v>Unico</v>
      </c>
      <c r="P1992" t="str">
        <f t="shared" si="125"/>
        <v>OK</v>
      </c>
      <c r="Q1992" t="str">
        <f t="shared" si="126"/>
        <v>OK</v>
      </c>
      <c r="R1992" t="str">
        <f t="shared" si="127"/>
        <v>OK</v>
      </c>
    </row>
    <row r="1993" spans="1:18" x14ac:dyDescent="0.3">
      <c r="A1993" s="1">
        <v>45873</v>
      </c>
      <c r="B1993" s="2" t="s">
        <v>2629</v>
      </c>
      <c r="C1993" s="2" t="s">
        <v>2527</v>
      </c>
      <c r="D1993" s="2" t="s">
        <v>2528</v>
      </c>
      <c r="E1993" s="2" t="s">
        <v>2517</v>
      </c>
      <c r="F1993" s="3">
        <v>75171</v>
      </c>
      <c r="G1993" s="3">
        <v>5135</v>
      </c>
      <c r="H1993" s="3">
        <v>551</v>
      </c>
      <c r="I1993" s="4">
        <v>9981.5400000000009</v>
      </c>
      <c r="J1993" s="4">
        <v>47412.03</v>
      </c>
      <c r="K1993" s="3">
        <v>320</v>
      </c>
      <c r="L1993" s="2" t="s">
        <v>2536</v>
      </c>
      <c r="M1993" s="2" t="s">
        <v>2537</v>
      </c>
      <c r="N1993" s="6">
        <f t="shared" si="124"/>
        <v>1</v>
      </c>
      <c r="O1993" t="str">
        <f>IF(Tabla_control[[#This Row],[Control_duplicados]]&gt;1,"Duplicado","Unico")</f>
        <v>Unico</v>
      </c>
      <c r="P1993" t="str">
        <f t="shared" si="125"/>
        <v>OK</v>
      </c>
      <c r="Q1993" t="str">
        <f t="shared" si="126"/>
        <v>OK</v>
      </c>
      <c r="R1993" t="str">
        <f t="shared" si="127"/>
        <v>OK</v>
      </c>
    </row>
    <row r="1994" spans="1:18" x14ac:dyDescent="0.3">
      <c r="A1994" s="1">
        <v>45998</v>
      </c>
      <c r="B1994" s="2" t="s">
        <v>2640</v>
      </c>
      <c r="C1994" s="2" t="s">
        <v>2521</v>
      </c>
      <c r="D1994" s="2" t="s">
        <v>2528</v>
      </c>
      <c r="E1994" s="2" t="s">
        <v>2529</v>
      </c>
      <c r="F1994" s="3">
        <v>110768</v>
      </c>
      <c r="G1994" s="3">
        <v>6295</v>
      </c>
      <c r="H1994" s="3">
        <v>598</v>
      </c>
      <c r="I1994" s="4">
        <v>10180.870000000001</v>
      </c>
      <c r="J1994" s="4">
        <v>82640.13</v>
      </c>
      <c r="K1994" s="3">
        <v>294</v>
      </c>
      <c r="L1994" s="2" t="s">
        <v>2539</v>
      </c>
      <c r="M1994" s="2" t="s">
        <v>2546</v>
      </c>
      <c r="N1994" s="6">
        <f t="shared" si="124"/>
        <v>1</v>
      </c>
      <c r="O1994" t="str">
        <f>IF(Tabla_control[[#This Row],[Control_duplicados]]&gt;1,"Duplicado","Unico")</f>
        <v>Unico</v>
      </c>
      <c r="P1994" t="str">
        <f t="shared" si="125"/>
        <v>OK</v>
      </c>
      <c r="Q1994" t="str">
        <f t="shared" si="126"/>
        <v>OK</v>
      </c>
      <c r="R1994" t="str">
        <f t="shared" si="127"/>
        <v>OK</v>
      </c>
    </row>
    <row r="1995" spans="1:18" x14ac:dyDescent="0.3">
      <c r="A1995" s="1">
        <v>45672</v>
      </c>
      <c r="B1995" s="2" t="s">
        <v>2617</v>
      </c>
      <c r="C1995" s="2" t="s">
        <v>2515</v>
      </c>
      <c r="D1995" s="2" t="s">
        <v>2528</v>
      </c>
      <c r="E1995" s="2" t="s">
        <v>2517</v>
      </c>
      <c r="F1995" s="3">
        <v>94015</v>
      </c>
      <c r="G1995" s="3">
        <v>7166</v>
      </c>
      <c r="H1995" s="3">
        <v>549</v>
      </c>
      <c r="I1995" s="4">
        <v>10032.92</v>
      </c>
      <c r="J1995" s="4">
        <v>34863.93</v>
      </c>
      <c r="K1995" s="3">
        <v>326</v>
      </c>
      <c r="L1995" s="2" t="s">
        <v>2539</v>
      </c>
      <c r="M1995" s="2" t="s">
        <v>2524</v>
      </c>
      <c r="N1995" s="6">
        <f t="shared" si="124"/>
        <v>1</v>
      </c>
      <c r="O1995" t="str">
        <f>IF(Tabla_control[[#This Row],[Control_duplicados]]&gt;1,"Duplicado","Unico")</f>
        <v>Unico</v>
      </c>
      <c r="P1995" t="str">
        <f t="shared" si="125"/>
        <v>OK</v>
      </c>
      <c r="Q1995" t="str">
        <f t="shared" si="126"/>
        <v>OK</v>
      </c>
      <c r="R1995" t="str">
        <f t="shared" si="127"/>
        <v>OK</v>
      </c>
    </row>
    <row r="1996" spans="1:18" x14ac:dyDescent="0.3">
      <c r="A1996" s="1">
        <v>45890</v>
      </c>
      <c r="B1996" s="2" t="s">
        <v>2637</v>
      </c>
      <c r="C1996" s="2" t="s">
        <v>2543</v>
      </c>
      <c r="D1996" s="2" t="s">
        <v>2516</v>
      </c>
      <c r="E1996" s="2" t="s">
        <v>2517</v>
      </c>
      <c r="F1996" s="3">
        <v>138818</v>
      </c>
      <c r="G1996" s="3">
        <v>6807</v>
      </c>
      <c r="H1996" s="3">
        <v>535</v>
      </c>
      <c r="I1996" s="4">
        <v>9413.2900000000009</v>
      </c>
      <c r="J1996" s="4">
        <v>84720.36</v>
      </c>
      <c r="K1996" s="3">
        <v>297</v>
      </c>
      <c r="L1996" s="2" t="s">
        <v>2536</v>
      </c>
      <c r="M1996" s="2" t="s">
        <v>2519</v>
      </c>
      <c r="N1996" s="6">
        <f t="shared" si="124"/>
        <v>1</v>
      </c>
      <c r="O1996" t="str">
        <f>IF(Tabla_control[[#This Row],[Control_duplicados]]&gt;1,"Duplicado","Unico")</f>
        <v>Unico</v>
      </c>
      <c r="P1996" t="str">
        <f t="shared" si="125"/>
        <v>OK</v>
      </c>
      <c r="Q1996" t="str">
        <f t="shared" si="126"/>
        <v>OK</v>
      </c>
      <c r="R1996" t="str">
        <f t="shared" si="127"/>
        <v>OK</v>
      </c>
    </row>
    <row r="1997" spans="1:18" x14ac:dyDescent="0.3">
      <c r="A1997" s="1">
        <v>45897</v>
      </c>
      <c r="B1997" s="2" t="s">
        <v>2636</v>
      </c>
      <c r="C1997" s="2" t="s">
        <v>2541</v>
      </c>
      <c r="D1997" s="2" t="s">
        <v>2528</v>
      </c>
      <c r="E1997" s="2" t="s">
        <v>2517</v>
      </c>
      <c r="F1997" s="3">
        <v>7381</v>
      </c>
      <c r="G1997" s="3">
        <v>54</v>
      </c>
      <c r="H1997" s="3">
        <v>4</v>
      </c>
      <c r="I1997" s="4">
        <v>80.959999999999994</v>
      </c>
      <c r="J1997" s="4">
        <v>426.98</v>
      </c>
      <c r="K1997" s="3">
        <v>1</v>
      </c>
      <c r="L1997" s="2" t="s">
        <v>2523</v>
      </c>
      <c r="M1997" s="2" t="s">
        <v>2537</v>
      </c>
      <c r="N1997" s="6">
        <f t="shared" si="124"/>
        <v>1</v>
      </c>
      <c r="O1997" t="str">
        <f>IF(Tabla_control[[#This Row],[Control_duplicados]]&gt;1,"Duplicado","Unico")</f>
        <v>Unico</v>
      </c>
      <c r="P1997" t="str">
        <f t="shared" si="125"/>
        <v>OK</v>
      </c>
      <c r="Q1997" t="str">
        <f t="shared" si="126"/>
        <v>OK</v>
      </c>
      <c r="R1997" t="str">
        <f t="shared" si="127"/>
        <v>OK</v>
      </c>
    </row>
    <row r="1998" spans="1:18" x14ac:dyDescent="0.3">
      <c r="A1998" s="1">
        <v>45982</v>
      </c>
      <c r="B1998" s="2" t="s">
        <v>2623</v>
      </c>
      <c r="C1998" s="2" t="s">
        <v>2515</v>
      </c>
      <c r="D1998" s="2" t="s">
        <v>2528</v>
      </c>
      <c r="E1998" s="2" t="s">
        <v>2517</v>
      </c>
      <c r="F1998" s="3">
        <v>83914</v>
      </c>
      <c r="G1998" s="3">
        <v>3544</v>
      </c>
      <c r="H1998" s="3">
        <v>404</v>
      </c>
      <c r="I1998" s="4">
        <v>4748.3599999999997</v>
      </c>
      <c r="J1998" s="4">
        <v>85178.22</v>
      </c>
      <c r="K1998" s="3">
        <v>192</v>
      </c>
      <c r="L1998" s="2" t="s">
        <v>2518</v>
      </c>
      <c r="M1998" s="2" t="s">
        <v>2546</v>
      </c>
      <c r="N1998" s="6">
        <f t="shared" si="124"/>
        <v>1</v>
      </c>
      <c r="O1998" t="str">
        <f>IF(Tabla_control[[#This Row],[Control_duplicados]]&gt;1,"Duplicado","Unico")</f>
        <v>Unico</v>
      </c>
      <c r="P1998" t="str">
        <f t="shared" si="125"/>
        <v>OK</v>
      </c>
      <c r="Q1998" t="str">
        <f t="shared" si="126"/>
        <v>OK</v>
      </c>
      <c r="R1998" t="str">
        <f t="shared" si="127"/>
        <v>OK</v>
      </c>
    </row>
    <row r="1999" spans="1:18" x14ac:dyDescent="0.3">
      <c r="A1999" s="1">
        <v>45897</v>
      </c>
      <c r="B1999" s="2" t="s">
        <v>2627</v>
      </c>
      <c r="C1999" s="2" t="s">
        <v>2515</v>
      </c>
      <c r="D1999" s="2" t="s">
        <v>2525</v>
      </c>
      <c r="E1999" s="2" t="s">
        <v>2517</v>
      </c>
      <c r="F1999" s="3">
        <v>151380</v>
      </c>
      <c r="G1999" s="3">
        <v>964</v>
      </c>
      <c r="H1999" s="3">
        <v>120</v>
      </c>
      <c r="I1999" s="4">
        <v>1028.8900000000001</v>
      </c>
      <c r="J1999" s="4">
        <v>19639.11</v>
      </c>
      <c r="K1999" s="3">
        <v>67</v>
      </c>
      <c r="L1999" s="2" t="s">
        <v>2539</v>
      </c>
      <c r="M1999" s="2" t="s">
        <v>2524</v>
      </c>
      <c r="N1999" s="6">
        <f t="shared" si="124"/>
        <v>1</v>
      </c>
      <c r="O1999" t="str">
        <f>IF(Tabla_control[[#This Row],[Control_duplicados]]&gt;1,"Duplicado","Unico")</f>
        <v>Unico</v>
      </c>
      <c r="P1999" t="str">
        <f t="shared" si="125"/>
        <v>OK</v>
      </c>
      <c r="Q1999" t="str">
        <f t="shared" si="126"/>
        <v>OK</v>
      </c>
      <c r="R1999" t="str">
        <f t="shared" si="127"/>
        <v>OK</v>
      </c>
    </row>
    <row r="2000" spans="1:18" x14ac:dyDescent="0.3">
      <c r="A2000" s="1">
        <v>45768</v>
      </c>
      <c r="B2000" s="2" t="s">
        <v>2620</v>
      </c>
      <c r="C2000" s="2" t="s">
        <v>2533</v>
      </c>
      <c r="D2000" s="2" t="s">
        <v>2528</v>
      </c>
      <c r="E2000" s="2" t="s">
        <v>2517</v>
      </c>
      <c r="F2000" s="3">
        <v>33082</v>
      </c>
      <c r="G2000" s="3">
        <v>905</v>
      </c>
      <c r="H2000" s="3">
        <v>64</v>
      </c>
      <c r="I2000" s="4">
        <v>711.94</v>
      </c>
      <c r="J2000" s="4">
        <v>8995.77</v>
      </c>
      <c r="K2000" s="3">
        <v>48</v>
      </c>
      <c r="L2000" s="2" t="s">
        <v>2539</v>
      </c>
      <c r="M2000" s="2" t="s">
        <v>2546</v>
      </c>
      <c r="N2000" s="6">
        <f t="shared" si="124"/>
        <v>1</v>
      </c>
      <c r="O2000" t="str">
        <f>IF(Tabla_control[[#This Row],[Control_duplicados]]&gt;1,"Duplicado","Unico")</f>
        <v>Unico</v>
      </c>
      <c r="P2000" t="str">
        <f t="shared" si="125"/>
        <v>OK</v>
      </c>
      <c r="Q2000" t="str">
        <f t="shared" si="126"/>
        <v>OK</v>
      </c>
      <c r="R2000" t="str">
        <f t="shared" si="127"/>
        <v>OK</v>
      </c>
    </row>
    <row r="2001" spans="1:18" x14ac:dyDescent="0.3">
      <c r="A2001" s="1">
        <v>45899</v>
      </c>
      <c r="B2001" s="2" t="s">
        <v>2619</v>
      </c>
      <c r="C2001" s="2" t="s">
        <v>2527</v>
      </c>
      <c r="D2001" s="2" t="s">
        <v>2525</v>
      </c>
      <c r="E2001" s="2" t="s">
        <v>2517</v>
      </c>
      <c r="F2001" s="3">
        <v>157988</v>
      </c>
      <c r="G2001" s="3">
        <v>8843</v>
      </c>
      <c r="H2001" s="3">
        <v>1130</v>
      </c>
      <c r="I2001" s="4">
        <v>6551.17</v>
      </c>
      <c r="J2001" s="4">
        <v>225417.49</v>
      </c>
      <c r="K2001" s="3">
        <v>563</v>
      </c>
      <c r="L2001" s="2" t="s">
        <v>2536</v>
      </c>
      <c r="M2001" s="2" t="s">
        <v>2519</v>
      </c>
      <c r="N2001" s="6">
        <f t="shared" si="124"/>
        <v>1</v>
      </c>
      <c r="O2001" t="str">
        <f>IF(Tabla_control[[#This Row],[Control_duplicados]]&gt;1,"Duplicado","Unico")</f>
        <v>Unico</v>
      </c>
      <c r="P2001" t="str">
        <f t="shared" si="125"/>
        <v>OK</v>
      </c>
      <c r="Q2001" t="str">
        <f t="shared" si="126"/>
        <v>OK</v>
      </c>
      <c r="R2001" t="str">
        <f t="shared" si="127"/>
        <v>OK</v>
      </c>
    </row>
    <row r="2002" spans="1:18" x14ac:dyDescent="0.3">
      <c r="A2002" s="1">
        <v>45988</v>
      </c>
      <c r="B2002" s="2" t="s">
        <v>2643</v>
      </c>
      <c r="C2002" s="2" t="s">
        <v>2521</v>
      </c>
      <c r="D2002" s="2" t="s">
        <v>2528</v>
      </c>
      <c r="E2002" s="2" t="s">
        <v>2517</v>
      </c>
      <c r="F2002" s="3">
        <v>14540</v>
      </c>
      <c r="G2002" s="3">
        <v>1121</v>
      </c>
      <c r="H2002" s="3">
        <v>39</v>
      </c>
      <c r="I2002" s="4">
        <v>620.95000000000005</v>
      </c>
      <c r="J2002" s="4">
        <v>5713.99</v>
      </c>
      <c r="K2002" s="3">
        <v>30</v>
      </c>
      <c r="L2002" s="2" t="s">
        <v>2518</v>
      </c>
      <c r="M2002" s="2" t="s">
        <v>2537</v>
      </c>
      <c r="N2002" s="6">
        <f t="shared" si="124"/>
        <v>1</v>
      </c>
      <c r="O2002" t="str">
        <f>IF(Tabla_control[[#This Row],[Control_duplicados]]&gt;1,"Duplicado","Unico")</f>
        <v>Unico</v>
      </c>
      <c r="P2002" t="str">
        <f t="shared" si="125"/>
        <v>OK</v>
      </c>
      <c r="Q2002" t="str">
        <f t="shared" si="126"/>
        <v>OK</v>
      </c>
      <c r="R2002" t="str">
        <f t="shared" si="127"/>
        <v>OK</v>
      </c>
    </row>
    <row r="2003" spans="1:18" x14ac:dyDescent="0.3">
      <c r="A2003" s="1">
        <v>45773</v>
      </c>
      <c r="B2003" s="2" t="s">
        <v>2622</v>
      </c>
      <c r="C2003" s="2" t="s">
        <v>2515</v>
      </c>
      <c r="D2003" s="2" t="s">
        <v>2528</v>
      </c>
      <c r="E2003" s="2" t="s">
        <v>2529</v>
      </c>
      <c r="F2003" s="3">
        <v>161274</v>
      </c>
      <c r="G2003" s="3">
        <v>4711</v>
      </c>
      <c r="H2003" s="3">
        <v>400</v>
      </c>
      <c r="I2003" s="4">
        <v>4707.37</v>
      </c>
      <c r="J2003" s="4">
        <v>79327.66</v>
      </c>
      <c r="K2003" s="3">
        <v>306</v>
      </c>
      <c r="L2003" s="2" t="s">
        <v>2518</v>
      </c>
      <c r="M2003" s="2" t="s">
        <v>2524</v>
      </c>
      <c r="N2003" s="6">
        <f t="shared" si="124"/>
        <v>1</v>
      </c>
      <c r="O2003" t="str">
        <f>IF(Tabla_control[[#This Row],[Control_duplicados]]&gt;1,"Duplicado","Unico")</f>
        <v>Unico</v>
      </c>
      <c r="P2003" t="str">
        <f t="shared" si="125"/>
        <v>OK</v>
      </c>
      <c r="Q2003" t="str">
        <f t="shared" si="126"/>
        <v>OK</v>
      </c>
      <c r="R2003" t="str">
        <f t="shared" si="127"/>
        <v>OK</v>
      </c>
    </row>
    <row r="2004" spans="1:18" x14ac:dyDescent="0.3">
      <c r="A2004" s="1">
        <v>45871</v>
      </c>
      <c r="B2004" s="2" t="s">
        <v>2635</v>
      </c>
      <c r="C2004" s="2" t="s">
        <v>2527</v>
      </c>
      <c r="D2004" s="2" t="s">
        <v>2531</v>
      </c>
      <c r="E2004" s="2" t="s">
        <v>2529</v>
      </c>
      <c r="F2004" s="3">
        <v>57294</v>
      </c>
      <c r="G2004" s="3">
        <v>1978</v>
      </c>
      <c r="H2004" s="3">
        <v>115</v>
      </c>
      <c r="I2004" s="4">
        <v>1003.79</v>
      </c>
      <c r="J2004" s="4">
        <v>4312.1499999999996</v>
      </c>
      <c r="K2004" s="3">
        <v>72</v>
      </c>
      <c r="L2004" s="2" t="s">
        <v>2523</v>
      </c>
      <c r="M2004" s="2" t="s">
        <v>2524</v>
      </c>
      <c r="N2004" s="6">
        <f t="shared" si="124"/>
        <v>1</v>
      </c>
      <c r="O2004" t="str">
        <f>IF(Tabla_control[[#This Row],[Control_duplicados]]&gt;1,"Duplicado","Unico")</f>
        <v>Unico</v>
      </c>
      <c r="P2004" t="str">
        <f t="shared" si="125"/>
        <v>OK</v>
      </c>
      <c r="Q2004" t="str">
        <f t="shared" si="126"/>
        <v>OK</v>
      </c>
      <c r="R2004" t="str">
        <f t="shared" si="127"/>
        <v>OK</v>
      </c>
    </row>
    <row r="2005" spans="1:18" x14ac:dyDescent="0.3">
      <c r="A2005" s="1">
        <v>45827</v>
      </c>
      <c r="B2005" s="2" t="s">
        <v>2644</v>
      </c>
      <c r="C2005" s="2" t="s">
        <v>2527</v>
      </c>
      <c r="D2005" s="2" t="s">
        <v>2528</v>
      </c>
      <c r="E2005" s="2" t="s">
        <v>2517</v>
      </c>
      <c r="F2005" s="3">
        <v>137271</v>
      </c>
      <c r="G2005" s="3">
        <v>11758</v>
      </c>
      <c r="H2005" s="3">
        <v>299</v>
      </c>
      <c r="I2005" s="4">
        <v>20066.89</v>
      </c>
      <c r="J2005" s="4">
        <v>47484.45</v>
      </c>
      <c r="K2005" s="3">
        <v>216</v>
      </c>
      <c r="L2005" s="2" t="s">
        <v>2536</v>
      </c>
      <c r="M2005" s="2" t="s">
        <v>2546</v>
      </c>
      <c r="N2005" s="6">
        <f t="shared" si="124"/>
        <v>1</v>
      </c>
      <c r="O2005" t="str">
        <f>IF(Tabla_control[[#This Row],[Control_duplicados]]&gt;1,"Duplicado","Unico")</f>
        <v>Unico</v>
      </c>
      <c r="P2005" t="str">
        <f t="shared" si="125"/>
        <v>OK</v>
      </c>
      <c r="Q2005" t="str">
        <f t="shared" si="126"/>
        <v>OK</v>
      </c>
      <c r="R2005" t="str">
        <f t="shared" si="127"/>
        <v>OK</v>
      </c>
    </row>
    <row r="2006" spans="1:18" x14ac:dyDescent="0.3">
      <c r="A2006" s="1">
        <v>45808</v>
      </c>
      <c r="B2006" s="2" t="s">
        <v>2616</v>
      </c>
      <c r="C2006" s="2" t="s">
        <v>2521</v>
      </c>
      <c r="D2006" s="2" t="s">
        <v>2528</v>
      </c>
      <c r="E2006" s="2" t="s">
        <v>2534</v>
      </c>
      <c r="F2006" s="3">
        <v>101640</v>
      </c>
      <c r="G2006" s="3">
        <v>1313</v>
      </c>
      <c r="H2006" s="3">
        <v>56</v>
      </c>
      <c r="I2006" s="4">
        <v>1612.54</v>
      </c>
      <c r="J2006" s="4">
        <v>7992.5</v>
      </c>
      <c r="K2006" s="3">
        <v>49</v>
      </c>
      <c r="L2006" s="2" t="s">
        <v>2523</v>
      </c>
      <c r="M2006" s="2" t="s">
        <v>2537</v>
      </c>
      <c r="N2006" s="6">
        <f t="shared" si="124"/>
        <v>1</v>
      </c>
      <c r="O2006" t="str">
        <f>IF(Tabla_control[[#This Row],[Control_duplicados]]&gt;1,"Duplicado","Unico")</f>
        <v>Unico</v>
      </c>
      <c r="P2006" t="str">
        <f t="shared" si="125"/>
        <v>OK</v>
      </c>
      <c r="Q2006" t="str">
        <f t="shared" si="126"/>
        <v>OK</v>
      </c>
      <c r="R2006" t="str">
        <f t="shared" si="127"/>
        <v>OK</v>
      </c>
    </row>
    <row r="2007" spans="1:18" x14ac:dyDescent="0.3">
      <c r="A2007" s="1">
        <v>45715</v>
      </c>
      <c r="B2007" s="2" t="s">
        <v>2621</v>
      </c>
      <c r="C2007" s="2" t="s">
        <v>2521</v>
      </c>
      <c r="D2007" s="2" t="s">
        <v>2528</v>
      </c>
      <c r="E2007" s="2" t="s">
        <v>2517</v>
      </c>
      <c r="F2007" s="3">
        <v>109709</v>
      </c>
      <c r="G2007" s="3">
        <v>1359</v>
      </c>
      <c r="H2007" s="3">
        <v>86</v>
      </c>
      <c r="I2007" s="4">
        <v>2143.84</v>
      </c>
      <c r="J2007" s="4">
        <v>7177.71</v>
      </c>
      <c r="K2007" s="3">
        <v>61</v>
      </c>
      <c r="L2007" s="2" t="s">
        <v>2539</v>
      </c>
      <c r="M2007" s="2" t="s">
        <v>2519</v>
      </c>
      <c r="N2007" s="6">
        <f t="shared" si="124"/>
        <v>1</v>
      </c>
      <c r="O2007" t="str">
        <f>IF(Tabla_control[[#This Row],[Control_duplicados]]&gt;1,"Duplicado","Unico")</f>
        <v>Unico</v>
      </c>
      <c r="P2007" t="str">
        <f t="shared" si="125"/>
        <v>OK</v>
      </c>
      <c r="Q2007" t="str">
        <f t="shared" si="126"/>
        <v>OK</v>
      </c>
      <c r="R2007" t="str">
        <f t="shared" si="127"/>
        <v>OK</v>
      </c>
    </row>
    <row r="2008" spans="1:18" x14ac:dyDescent="0.3">
      <c r="A2008" s="1">
        <v>45729</v>
      </c>
      <c r="B2008" s="2" t="s">
        <v>2641</v>
      </c>
      <c r="C2008" s="2" t="s">
        <v>2541</v>
      </c>
      <c r="D2008" s="2" t="s">
        <v>2525</v>
      </c>
      <c r="E2008" s="2" t="s">
        <v>2529</v>
      </c>
      <c r="F2008" s="3">
        <v>42571</v>
      </c>
      <c r="G2008" s="3">
        <v>1818</v>
      </c>
      <c r="H2008" s="3">
        <v>236</v>
      </c>
      <c r="I2008" s="4">
        <v>3526.14</v>
      </c>
      <c r="J2008" s="4">
        <v>48212.43</v>
      </c>
      <c r="K2008" s="3">
        <v>107</v>
      </c>
      <c r="L2008" s="2" t="s">
        <v>2536</v>
      </c>
      <c r="M2008" s="2" t="s">
        <v>2546</v>
      </c>
      <c r="N2008" s="6">
        <f t="shared" si="124"/>
        <v>1</v>
      </c>
      <c r="O2008" t="str">
        <f>IF(Tabla_control[[#This Row],[Control_duplicados]]&gt;1,"Duplicado","Unico")</f>
        <v>Unico</v>
      </c>
      <c r="P2008" t="str">
        <f t="shared" si="125"/>
        <v>OK</v>
      </c>
      <c r="Q2008" t="str">
        <f t="shared" si="126"/>
        <v>OK</v>
      </c>
      <c r="R2008" t="str">
        <f t="shared" si="127"/>
        <v>OK</v>
      </c>
    </row>
    <row r="2009" spans="1:18" x14ac:dyDescent="0.3">
      <c r="A2009" s="1">
        <v>45941</v>
      </c>
      <c r="B2009" s="2" t="s">
        <v>2633</v>
      </c>
      <c r="C2009" s="2" t="s">
        <v>2533</v>
      </c>
      <c r="D2009" s="2" t="s">
        <v>2516</v>
      </c>
      <c r="E2009" s="2" t="s">
        <v>2517</v>
      </c>
      <c r="F2009" s="3">
        <v>9182</v>
      </c>
      <c r="G2009" s="3">
        <v>442</v>
      </c>
      <c r="H2009" s="3">
        <v>26</v>
      </c>
      <c r="I2009" s="4">
        <v>901.74</v>
      </c>
      <c r="J2009" s="4">
        <v>2508.7199999999998</v>
      </c>
      <c r="K2009" s="3">
        <v>14</v>
      </c>
      <c r="L2009" s="2" t="s">
        <v>2518</v>
      </c>
      <c r="M2009" s="2" t="s">
        <v>2537</v>
      </c>
      <c r="N2009" s="6">
        <f t="shared" si="124"/>
        <v>1</v>
      </c>
      <c r="O2009" t="str">
        <f>IF(Tabla_control[[#This Row],[Control_duplicados]]&gt;1,"Duplicado","Unico")</f>
        <v>Unico</v>
      </c>
      <c r="P2009" t="str">
        <f t="shared" si="125"/>
        <v>OK</v>
      </c>
      <c r="Q2009" t="str">
        <f t="shared" si="126"/>
        <v>OK</v>
      </c>
      <c r="R2009" t="str">
        <f t="shared" si="127"/>
        <v>OK</v>
      </c>
    </row>
    <row r="2010" spans="1:18" x14ac:dyDescent="0.3">
      <c r="A2010" s="1">
        <v>45677</v>
      </c>
      <c r="B2010" s="2" t="s">
        <v>2644</v>
      </c>
      <c r="C2010" s="2" t="s">
        <v>2527</v>
      </c>
      <c r="D2010" s="2" t="s">
        <v>2528</v>
      </c>
      <c r="E2010" s="2" t="s">
        <v>2529</v>
      </c>
      <c r="F2010" s="3">
        <v>112669</v>
      </c>
      <c r="G2010" s="3">
        <v>6856</v>
      </c>
      <c r="H2010" s="3">
        <v>150</v>
      </c>
      <c r="I2010" s="4">
        <v>8672.9500000000007</v>
      </c>
      <c r="J2010" s="4">
        <v>11139.85</v>
      </c>
      <c r="K2010" s="3">
        <v>97</v>
      </c>
      <c r="L2010" s="2" t="s">
        <v>2536</v>
      </c>
      <c r="M2010" s="2" t="s">
        <v>2537</v>
      </c>
      <c r="N2010" s="6">
        <f t="shared" si="124"/>
        <v>1</v>
      </c>
      <c r="O2010" t="str">
        <f>IF(Tabla_control[[#This Row],[Control_duplicados]]&gt;1,"Duplicado","Unico")</f>
        <v>Unico</v>
      </c>
      <c r="P2010" t="str">
        <f t="shared" si="125"/>
        <v>OK</v>
      </c>
      <c r="Q2010" t="str">
        <f t="shared" si="126"/>
        <v>OK</v>
      </c>
      <c r="R2010" t="str">
        <f t="shared" si="127"/>
        <v>OK</v>
      </c>
    </row>
    <row r="2011" spans="1:18" x14ac:dyDescent="0.3">
      <c r="A2011" s="1">
        <v>45671</v>
      </c>
      <c r="B2011" s="2" t="s">
        <v>2626</v>
      </c>
      <c r="C2011" s="2" t="s">
        <v>2541</v>
      </c>
      <c r="D2011" s="2" t="s">
        <v>2528</v>
      </c>
      <c r="E2011" s="2" t="s">
        <v>2529</v>
      </c>
      <c r="F2011" s="3">
        <v>179106</v>
      </c>
      <c r="G2011" s="3">
        <v>2824</v>
      </c>
      <c r="H2011" s="3">
        <v>329</v>
      </c>
      <c r="I2011" s="4">
        <v>519.91999999999996</v>
      </c>
      <c r="J2011" s="4">
        <v>14050.65</v>
      </c>
      <c r="K2011" s="3">
        <v>171</v>
      </c>
      <c r="L2011" s="2" t="s">
        <v>2518</v>
      </c>
      <c r="M2011" s="2" t="s">
        <v>2519</v>
      </c>
      <c r="N2011" s="6">
        <f t="shared" si="124"/>
        <v>1</v>
      </c>
      <c r="O2011" t="str">
        <f>IF(Tabla_control[[#This Row],[Control_duplicados]]&gt;1,"Duplicado","Unico")</f>
        <v>Unico</v>
      </c>
      <c r="P2011" t="str">
        <f t="shared" si="125"/>
        <v>OK</v>
      </c>
      <c r="Q2011" t="str">
        <f t="shared" si="126"/>
        <v>OK</v>
      </c>
      <c r="R2011" t="str">
        <f t="shared" si="127"/>
        <v>OK</v>
      </c>
    </row>
    <row r="2012" spans="1:18" x14ac:dyDescent="0.3">
      <c r="A2012" s="1">
        <v>45998</v>
      </c>
      <c r="B2012" s="2" t="s">
        <v>2637</v>
      </c>
      <c r="C2012" s="2" t="s">
        <v>2543</v>
      </c>
      <c r="D2012" s="2" t="s">
        <v>2528</v>
      </c>
      <c r="E2012" s="2" t="s">
        <v>2517</v>
      </c>
      <c r="F2012" s="3">
        <v>179046</v>
      </c>
      <c r="G2012" s="3">
        <v>14730</v>
      </c>
      <c r="H2012" s="3">
        <v>1870</v>
      </c>
      <c r="I2012" s="4">
        <v>23501.56</v>
      </c>
      <c r="J2012" s="4">
        <v>299302.28999999998</v>
      </c>
      <c r="K2012" s="3">
        <v>1366</v>
      </c>
      <c r="L2012" s="2" t="s">
        <v>2518</v>
      </c>
      <c r="M2012" s="2" t="s">
        <v>2526</v>
      </c>
      <c r="N2012" s="6">
        <f t="shared" si="124"/>
        <v>1</v>
      </c>
      <c r="O2012" t="str">
        <f>IF(Tabla_control[[#This Row],[Control_duplicados]]&gt;1,"Duplicado","Unico")</f>
        <v>Unico</v>
      </c>
      <c r="P2012" t="str">
        <f t="shared" si="125"/>
        <v>OK</v>
      </c>
      <c r="Q2012" t="str">
        <f t="shared" si="126"/>
        <v>OK</v>
      </c>
      <c r="R2012" t="str">
        <f t="shared" si="127"/>
        <v>OK</v>
      </c>
    </row>
    <row r="2013" spans="1:18" x14ac:dyDescent="0.3">
      <c r="A2013" s="1">
        <v>45901</v>
      </c>
      <c r="B2013" s="2" t="s">
        <v>2615</v>
      </c>
      <c r="C2013" s="2" t="s">
        <v>2515</v>
      </c>
      <c r="D2013" s="2" t="s">
        <v>2516</v>
      </c>
      <c r="E2013" s="2" t="s">
        <v>2529</v>
      </c>
      <c r="F2013" s="3">
        <v>103498</v>
      </c>
      <c r="G2013" s="3">
        <v>3048</v>
      </c>
      <c r="H2013" s="3">
        <v>419</v>
      </c>
      <c r="I2013" s="4">
        <v>4067.56</v>
      </c>
      <c r="J2013" s="4">
        <v>78539.23</v>
      </c>
      <c r="K2013" s="3">
        <v>250</v>
      </c>
      <c r="L2013" s="2" t="s">
        <v>2539</v>
      </c>
      <c r="M2013" s="2" t="s">
        <v>2519</v>
      </c>
      <c r="N2013" s="6">
        <f t="shared" si="124"/>
        <v>2</v>
      </c>
      <c r="O2013" t="str">
        <f>IF(Tabla_control[[#This Row],[Control_duplicados]]&gt;1,"Duplicado","Unico")</f>
        <v>Duplicado</v>
      </c>
      <c r="P2013" t="str">
        <f t="shared" si="125"/>
        <v>OK</v>
      </c>
      <c r="Q2013" t="str">
        <f t="shared" si="126"/>
        <v>OK</v>
      </c>
      <c r="R2013" t="str">
        <f t="shared" si="127"/>
        <v>OK</v>
      </c>
    </row>
    <row r="2014" spans="1:18" x14ac:dyDescent="0.3">
      <c r="A2014" s="1">
        <v>45773</v>
      </c>
      <c r="B2014" s="2" t="s">
        <v>2635</v>
      </c>
      <c r="C2014" s="2" t="s">
        <v>2527</v>
      </c>
      <c r="D2014" s="2" t="s">
        <v>2531</v>
      </c>
      <c r="E2014" s="2" t="s">
        <v>2529</v>
      </c>
      <c r="F2014" s="3">
        <v>176129</v>
      </c>
      <c r="G2014" s="3">
        <v>13853</v>
      </c>
      <c r="H2014" s="3">
        <v>831</v>
      </c>
      <c r="I2014" s="4">
        <v>20566.77</v>
      </c>
      <c r="J2014" s="4">
        <v>14690.84</v>
      </c>
      <c r="K2014" s="3">
        <v>726</v>
      </c>
      <c r="L2014" s="2" t="s">
        <v>2539</v>
      </c>
      <c r="M2014" s="2" t="s">
        <v>2537</v>
      </c>
      <c r="N2014" s="6">
        <f t="shared" si="124"/>
        <v>1</v>
      </c>
      <c r="O2014" t="str">
        <f>IF(Tabla_control[[#This Row],[Control_duplicados]]&gt;1,"Duplicado","Unico")</f>
        <v>Unico</v>
      </c>
      <c r="P2014" t="str">
        <f t="shared" si="125"/>
        <v>OK</v>
      </c>
      <c r="Q2014" t="str">
        <f t="shared" si="126"/>
        <v>OK</v>
      </c>
      <c r="R2014" t="str">
        <f t="shared" si="127"/>
        <v>OK</v>
      </c>
    </row>
    <row r="2015" spans="1:18" x14ac:dyDescent="0.3">
      <c r="A2015" s="1">
        <v>45831</v>
      </c>
      <c r="B2015" s="2" t="s">
        <v>2626</v>
      </c>
      <c r="C2015" s="2" t="s">
        <v>2527</v>
      </c>
      <c r="D2015" s="2" t="s">
        <v>2528</v>
      </c>
      <c r="E2015" s="2" t="s">
        <v>2529</v>
      </c>
      <c r="F2015" s="3">
        <v>158664</v>
      </c>
      <c r="G2015" s="3">
        <v>8954</v>
      </c>
      <c r="H2015" s="3">
        <v>390</v>
      </c>
      <c r="I2015" s="4">
        <v>10101.15</v>
      </c>
      <c r="J2015" s="4">
        <v>79675.42</v>
      </c>
      <c r="K2015" s="3">
        <v>335</v>
      </c>
      <c r="L2015" s="2" t="s">
        <v>2536</v>
      </c>
      <c r="M2015" s="2" t="s">
        <v>2519</v>
      </c>
      <c r="N2015" s="6">
        <f t="shared" si="124"/>
        <v>1</v>
      </c>
      <c r="O2015" t="str">
        <f>IF(Tabla_control[[#This Row],[Control_duplicados]]&gt;1,"Duplicado","Unico")</f>
        <v>Unico</v>
      </c>
      <c r="P2015" t="str">
        <f t="shared" si="125"/>
        <v>OK</v>
      </c>
      <c r="Q2015" t="str">
        <f t="shared" si="126"/>
        <v>OK</v>
      </c>
      <c r="R2015" t="str">
        <f t="shared" si="127"/>
        <v>OK</v>
      </c>
    </row>
    <row r="2016" spans="1:18" x14ac:dyDescent="0.3">
      <c r="A2016" s="1">
        <v>45922</v>
      </c>
      <c r="B2016" s="2" t="s">
        <v>2623</v>
      </c>
      <c r="C2016" s="2" t="s">
        <v>2543</v>
      </c>
      <c r="D2016" s="2" t="s">
        <v>2528</v>
      </c>
      <c r="E2016" s="2" t="s">
        <v>2529</v>
      </c>
      <c r="F2016" s="3">
        <v>145672</v>
      </c>
      <c r="G2016" s="3">
        <v>3955</v>
      </c>
      <c r="H2016" s="3">
        <v>293</v>
      </c>
      <c r="I2016" s="4">
        <v>868.49</v>
      </c>
      <c r="J2016" s="4">
        <v>24625.15</v>
      </c>
      <c r="K2016" s="3">
        <v>173</v>
      </c>
      <c r="L2016" s="2" t="s">
        <v>2523</v>
      </c>
      <c r="M2016" s="2" t="s">
        <v>2524</v>
      </c>
      <c r="N2016" s="6">
        <f t="shared" si="124"/>
        <v>1</v>
      </c>
      <c r="O2016" t="str">
        <f>IF(Tabla_control[[#This Row],[Control_duplicados]]&gt;1,"Duplicado","Unico")</f>
        <v>Unico</v>
      </c>
      <c r="P2016" t="str">
        <f t="shared" si="125"/>
        <v>OK</v>
      </c>
      <c r="Q2016" t="str">
        <f t="shared" si="126"/>
        <v>OK</v>
      </c>
      <c r="R2016" t="str">
        <f t="shared" si="127"/>
        <v>OK</v>
      </c>
    </row>
    <row r="2017" spans="1:18" x14ac:dyDescent="0.3">
      <c r="A2017" s="1">
        <v>45796</v>
      </c>
      <c r="B2017" s="2" t="s">
        <v>2634</v>
      </c>
      <c r="C2017" s="2" t="s">
        <v>2521</v>
      </c>
      <c r="D2017" s="2" t="s">
        <v>2528</v>
      </c>
      <c r="E2017" s="2" t="s">
        <v>2517</v>
      </c>
      <c r="F2017" s="3">
        <v>154863</v>
      </c>
      <c r="G2017" s="3">
        <v>1232</v>
      </c>
      <c r="H2017" s="3">
        <v>169</v>
      </c>
      <c r="I2017" s="4">
        <v>1640.22</v>
      </c>
      <c r="J2017" s="4">
        <v>11001.19</v>
      </c>
      <c r="K2017" s="3">
        <v>111</v>
      </c>
      <c r="L2017" s="2" t="s">
        <v>2539</v>
      </c>
      <c r="M2017" s="2" t="s">
        <v>2519</v>
      </c>
      <c r="N2017" s="6">
        <f t="shared" si="124"/>
        <v>1</v>
      </c>
      <c r="O2017" t="str">
        <f>IF(Tabla_control[[#This Row],[Control_duplicados]]&gt;1,"Duplicado","Unico")</f>
        <v>Unico</v>
      </c>
      <c r="P2017" t="str">
        <f t="shared" si="125"/>
        <v>OK</v>
      </c>
      <c r="Q2017" t="str">
        <f t="shared" si="126"/>
        <v>OK</v>
      </c>
      <c r="R2017" t="str">
        <f t="shared" si="127"/>
        <v>OK</v>
      </c>
    </row>
    <row r="2018" spans="1:18" x14ac:dyDescent="0.3">
      <c r="A2018" s="1">
        <v>45749</v>
      </c>
      <c r="B2018" s="2" t="s">
        <v>2631</v>
      </c>
      <c r="C2018" s="2" t="s">
        <v>2645</v>
      </c>
      <c r="D2018" s="2" t="s">
        <v>2516</v>
      </c>
      <c r="E2018" s="2" t="s">
        <v>2517</v>
      </c>
      <c r="F2018" s="3">
        <v>87557</v>
      </c>
      <c r="G2018" s="3">
        <v>5927</v>
      </c>
      <c r="H2018" s="3">
        <v>583</v>
      </c>
      <c r="I2018" s="4">
        <v>7246.65</v>
      </c>
      <c r="J2018" s="4">
        <v>60482.09</v>
      </c>
      <c r="K2018" s="3">
        <v>442</v>
      </c>
      <c r="L2018" s="2" t="s">
        <v>2539</v>
      </c>
      <c r="M2018" s="2" t="s">
        <v>2526</v>
      </c>
      <c r="N2018" s="6">
        <f t="shared" si="124"/>
        <v>1</v>
      </c>
      <c r="O2018" t="str">
        <f>IF(Tabla_control[[#This Row],[Control_duplicados]]&gt;1,"Duplicado","Unico")</f>
        <v>Unico</v>
      </c>
      <c r="P2018" t="str">
        <f t="shared" si="125"/>
        <v>OK</v>
      </c>
      <c r="Q2018" t="str">
        <f t="shared" si="126"/>
        <v>OK</v>
      </c>
      <c r="R2018" t="str">
        <f t="shared" si="127"/>
        <v>OK</v>
      </c>
    </row>
    <row r="2019" spans="1:18" x14ac:dyDescent="0.3">
      <c r="A2019" s="1">
        <v>45846</v>
      </c>
      <c r="B2019" s="2" t="s">
        <v>2618</v>
      </c>
      <c r="C2019" s="2" t="s">
        <v>2533</v>
      </c>
      <c r="D2019" s="2" t="s">
        <v>2528</v>
      </c>
      <c r="E2019" s="2" t="s">
        <v>2529</v>
      </c>
      <c r="F2019" s="3">
        <v>92895</v>
      </c>
      <c r="G2019" s="3">
        <v>2864</v>
      </c>
      <c r="H2019" s="3">
        <v>284</v>
      </c>
      <c r="I2019" s="4">
        <v>1340.52</v>
      </c>
      <c r="J2019" s="4">
        <v>37549.67</v>
      </c>
      <c r="K2019" s="3">
        <v>144</v>
      </c>
      <c r="L2019" s="2" t="s">
        <v>2523</v>
      </c>
      <c r="M2019" s="2" t="s">
        <v>2524</v>
      </c>
      <c r="N2019" s="6">
        <f t="shared" si="124"/>
        <v>1</v>
      </c>
      <c r="O2019" t="str">
        <f>IF(Tabla_control[[#This Row],[Control_duplicados]]&gt;1,"Duplicado","Unico")</f>
        <v>Unico</v>
      </c>
      <c r="P2019" t="str">
        <f t="shared" si="125"/>
        <v>OK</v>
      </c>
      <c r="Q2019" t="str">
        <f t="shared" si="126"/>
        <v>OK</v>
      </c>
      <c r="R2019" t="str">
        <f t="shared" si="127"/>
        <v>OK</v>
      </c>
    </row>
    <row r="2020" spans="1:18" x14ac:dyDescent="0.3">
      <c r="A2020" s="1">
        <v>45863</v>
      </c>
      <c r="B2020" s="2" t="s">
        <v>2620</v>
      </c>
      <c r="C2020" s="2" t="s">
        <v>2541</v>
      </c>
      <c r="D2020" s="2" t="s">
        <v>2528</v>
      </c>
      <c r="E2020" s="2" t="s">
        <v>2517</v>
      </c>
      <c r="F2020" s="3">
        <v>170831</v>
      </c>
      <c r="G2020" s="3">
        <v>1193</v>
      </c>
      <c r="H2020" s="3">
        <v>142</v>
      </c>
      <c r="I2020" s="4">
        <v>2091.65</v>
      </c>
      <c r="J2020" s="4">
        <v>13203.92</v>
      </c>
      <c r="K2020" s="3">
        <v>85</v>
      </c>
      <c r="L2020" s="2" t="s">
        <v>2539</v>
      </c>
      <c r="M2020" s="2" t="s">
        <v>2526</v>
      </c>
      <c r="N2020" s="6">
        <f t="shared" si="124"/>
        <v>1</v>
      </c>
      <c r="O2020" t="str">
        <f>IF(Tabla_control[[#This Row],[Control_duplicados]]&gt;1,"Duplicado","Unico")</f>
        <v>Unico</v>
      </c>
      <c r="P2020" t="str">
        <f t="shared" si="125"/>
        <v>OK</v>
      </c>
      <c r="Q2020" t="str">
        <f t="shared" si="126"/>
        <v>OK</v>
      </c>
      <c r="R2020" t="str">
        <f t="shared" si="127"/>
        <v>OK</v>
      </c>
    </row>
    <row r="2021" spans="1:18" x14ac:dyDescent="0.3">
      <c r="A2021" s="1">
        <v>45661</v>
      </c>
      <c r="B2021" s="2" t="s">
        <v>2616</v>
      </c>
      <c r="C2021" s="2" t="s">
        <v>2527</v>
      </c>
      <c r="D2021" s="2" t="s">
        <v>2525</v>
      </c>
      <c r="E2021" s="2" t="s">
        <v>2529</v>
      </c>
      <c r="F2021" s="3">
        <v>108607</v>
      </c>
      <c r="G2021" s="3">
        <v>9364</v>
      </c>
      <c r="H2021" s="3">
        <v>1164</v>
      </c>
      <c r="I2021" s="4">
        <v>2454.04</v>
      </c>
      <c r="J2021" s="4">
        <v>243444.23</v>
      </c>
      <c r="K2021" s="3">
        <v>1014</v>
      </c>
      <c r="L2021" s="2" t="s">
        <v>2539</v>
      </c>
      <c r="M2021" s="2" t="s">
        <v>2524</v>
      </c>
      <c r="N2021" s="6">
        <f t="shared" si="124"/>
        <v>1</v>
      </c>
      <c r="O2021" t="str">
        <f>IF(Tabla_control[[#This Row],[Control_duplicados]]&gt;1,"Duplicado","Unico")</f>
        <v>Unico</v>
      </c>
      <c r="P2021" t="str">
        <f t="shared" si="125"/>
        <v>OK</v>
      </c>
      <c r="Q2021" t="str">
        <f t="shared" si="126"/>
        <v>OK</v>
      </c>
      <c r="R2021" t="str">
        <f t="shared" si="127"/>
        <v>OK</v>
      </c>
    </row>
    <row r="2022" spans="1:18" x14ac:dyDescent="0.3">
      <c r="A2022" s="1">
        <v>45753</v>
      </c>
      <c r="B2022" s="2" t="s">
        <v>2619</v>
      </c>
      <c r="C2022" s="2" t="s">
        <v>2541</v>
      </c>
      <c r="D2022" s="2" t="s">
        <v>2522</v>
      </c>
      <c r="E2022" s="2" t="s">
        <v>2517</v>
      </c>
      <c r="F2022" s="3">
        <v>103924</v>
      </c>
      <c r="G2022" s="3">
        <v>7435</v>
      </c>
      <c r="H2022" s="3">
        <v>748</v>
      </c>
      <c r="I2022" s="4">
        <v>10652.13</v>
      </c>
      <c r="J2022" s="4">
        <v>91140.77</v>
      </c>
      <c r="K2022" s="3">
        <v>638</v>
      </c>
      <c r="L2022" s="2" t="s">
        <v>2539</v>
      </c>
      <c r="M2022" s="2" t="s">
        <v>2546</v>
      </c>
      <c r="N2022" s="6">
        <f t="shared" si="124"/>
        <v>1</v>
      </c>
      <c r="O2022" t="str">
        <f>IF(Tabla_control[[#This Row],[Control_duplicados]]&gt;1,"Duplicado","Unico")</f>
        <v>Unico</v>
      </c>
      <c r="P2022" t="str">
        <f t="shared" si="125"/>
        <v>OK</v>
      </c>
      <c r="Q2022" t="str">
        <f t="shared" si="126"/>
        <v>OK</v>
      </c>
      <c r="R2022" t="str">
        <f t="shared" si="127"/>
        <v>OK</v>
      </c>
    </row>
    <row r="2023" spans="1:18" x14ac:dyDescent="0.3">
      <c r="A2023" s="1">
        <v>45984</v>
      </c>
      <c r="B2023" s="2" t="s">
        <v>2634</v>
      </c>
      <c r="C2023" s="2" t="s">
        <v>2515</v>
      </c>
      <c r="D2023" s="2" t="s">
        <v>2528</v>
      </c>
      <c r="E2023" s="2" t="s">
        <v>2529</v>
      </c>
      <c r="F2023" s="3">
        <v>135532</v>
      </c>
      <c r="G2023" s="3">
        <v>10997</v>
      </c>
      <c r="H2023" s="3">
        <v>498</v>
      </c>
      <c r="I2023" s="4">
        <v>22907.99</v>
      </c>
      <c r="J2023" s="4">
        <v>88606.06</v>
      </c>
      <c r="K2023" s="3">
        <v>447</v>
      </c>
      <c r="L2023" s="2" t="s">
        <v>2539</v>
      </c>
      <c r="M2023" s="2" t="s">
        <v>2537</v>
      </c>
      <c r="N2023" s="6">
        <f t="shared" si="124"/>
        <v>1</v>
      </c>
      <c r="O2023" t="str">
        <f>IF(Tabla_control[[#This Row],[Control_duplicados]]&gt;1,"Duplicado","Unico")</f>
        <v>Unico</v>
      </c>
      <c r="P2023" t="str">
        <f t="shared" si="125"/>
        <v>OK</v>
      </c>
      <c r="Q2023" t="str">
        <f t="shared" si="126"/>
        <v>OK</v>
      </c>
      <c r="R2023" t="str">
        <f t="shared" si="127"/>
        <v>OK</v>
      </c>
    </row>
    <row r="2024" spans="1:18" x14ac:dyDescent="0.3">
      <c r="A2024" s="1">
        <v>45871</v>
      </c>
      <c r="B2024" s="2" t="s">
        <v>2616</v>
      </c>
      <c r="C2024" s="2" t="s">
        <v>2543</v>
      </c>
      <c r="D2024" s="2" t="s">
        <v>2525</v>
      </c>
      <c r="E2024" s="2" t="s">
        <v>2517</v>
      </c>
      <c r="F2024" s="3">
        <v>169741</v>
      </c>
      <c r="G2024" s="3">
        <v>1978</v>
      </c>
      <c r="H2024" s="3">
        <v>259</v>
      </c>
      <c r="I2024" s="4">
        <v>435.36</v>
      </c>
      <c r="J2024" s="4">
        <v>23300.73</v>
      </c>
      <c r="K2024" s="3">
        <v>158</v>
      </c>
      <c r="L2024" s="2" t="s">
        <v>2523</v>
      </c>
      <c r="M2024" s="2" t="s">
        <v>2519</v>
      </c>
      <c r="N2024" s="6">
        <f t="shared" si="124"/>
        <v>1</v>
      </c>
      <c r="O2024" t="str">
        <f>IF(Tabla_control[[#This Row],[Control_duplicados]]&gt;1,"Duplicado","Unico")</f>
        <v>Unico</v>
      </c>
      <c r="P2024" t="str">
        <f t="shared" si="125"/>
        <v>OK</v>
      </c>
      <c r="Q2024" t="str">
        <f t="shared" si="126"/>
        <v>OK</v>
      </c>
      <c r="R2024" t="str">
        <f t="shared" si="127"/>
        <v>OK</v>
      </c>
    </row>
    <row r="2025" spans="1:18" x14ac:dyDescent="0.3">
      <c r="A2025" s="1">
        <v>45873</v>
      </c>
      <c r="B2025" s="2" t="s">
        <v>2643</v>
      </c>
      <c r="C2025" s="2" t="s">
        <v>2521</v>
      </c>
      <c r="D2025" s="2" t="s">
        <v>2528</v>
      </c>
      <c r="E2025" s="2" t="s">
        <v>2517</v>
      </c>
      <c r="F2025" s="3">
        <v>5815</v>
      </c>
      <c r="G2025" s="3">
        <v>379</v>
      </c>
      <c r="H2025" s="3">
        <v>19</v>
      </c>
      <c r="I2025" s="4">
        <v>638.59</v>
      </c>
      <c r="J2025" s="4">
        <v>354.26</v>
      </c>
      <c r="K2025" s="3">
        <v>16</v>
      </c>
      <c r="L2025" s="2" t="s">
        <v>2518</v>
      </c>
      <c r="M2025" s="2" t="s">
        <v>2537</v>
      </c>
      <c r="N2025" s="6">
        <f t="shared" si="124"/>
        <v>1</v>
      </c>
      <c r="O2025" t="str">
        <f>IF(Tabla_control[[#This Row],[Control_duplicados]]&gt;1,"Duplicado","Unico")</f>
        <v>Unico</v>
      </c>
      <c r="P2025" t="str">
        <f t="shared" si="125"/>
        <v>OK</v>
      </c>
      <c r="Q2025" t="str">
        <f t="shared" si="126"/>
        <v>OK</v>
      </c>
      <c r="R2025" t="str">
        <f t="shared" si="127"/>
        <v>OK</v>
      </c>
    </row>
    <row r="2026" spans="1:18" x14ac:dyDescent="0.3">
      <c r="A2026" s="1">
        <v>45909</v>
      </c>
      <c r="B2026" s="2" t="s">
        <v>2640</v>
      </c>
      <c r="C2026" s="2" t="s">
        <v>2527</v>
      </c>
      <c r="D2026" s="2" t="s">
        <v>2525</v>
      </c>
      <c r="E2026" s="2" t="s">
        <v>2517</v>
      </c>
      <c r="F2026" s="3">
        <v>91403</v>
      </c>
      <c r="G2026" s="3">
        <v>7958</v>
      </c>
      <c r="H2026" s="3">
        <v>355</v>
      </c>
      <c r="I2026" s="4">
        <v>5697.89</v>
      </c>
      <c r="J2026" s="4">
        <v>70001.48</v>
      </c>
      <c r="K2026" s="3">
        <v>164</v>
      </c>
      <c r="L2026" s="2" t="s">
        <v>2518</v>
      </c>
      <c r="M2026" s="2" t="s">
        <v>2546</v>
      </c>
      <c r="N2026" s="6">
        <f t="shared" si="124"/>
        <v>2</v>
      </c>
      <c r="O2026" t="str">
        <f>IF(Tabla_control[[#This Row],[Control_duplicados]]&gt;1,"Duplicado","Unico")</f>
        <v>Duplicado</v>
      </c>
      <c r="P2026" t="str">
        <f t="shared" si="125"/>
        <v>OK</v>
      </c>
      <c r="Q2026" t="str">
        <f t="shared" si="126"/>
        <v>OK</v>
      </c>
      <c r="R2026" t="str">
        <f t="shared" si="127"/>
        <v>OK</v>
      </c>
    </row>
    <row r="2027" spans="1:18" x14ac:dyDescent="0.3">
      <c r="A2027" s="1">
        <v>45899</v>
      </c>
      <c r="B2027" s="2" t="s">
        <v>2625</v>
      </c>
      <c r="C2027" s="2" t="s">
        <v>2521</v>
      </c>
      <c r="D2027" s="2" t="s">
        <v>2528</v>
      </c>
      <c r="E2027" s="2" t="s">
        <v>2517</v>
      </c>
      <c r="F2027" s="3">
        <v>12963</v>
      </c>
      <c r="G2027" s="3">
        <v>1045</v>
      </c>
      <c r="H2027" s="3">
        <v>9</v>
      </c>
      <c r="I2027" s="4">
        <v>347.6</v>
      </c>
      <c r="J2027" s="4">
        <v>478.11</v>
      </c>
      <c r="K2027" s="3">
        <v>5</v>
      </c>
      <c r="L2027" s="2" t="s">
        <v>2518</v>
      </c>
      <c r="M2027" s="2" t="s">
        <v>2546</v>
      </c>
      <c r="N2027" s="6">
        <f t="shared" si="124"/>
        <v>1</v>
      </c>
      <c r="O2027" t="str">
        <f>IF(Tabla_control[[#This Row],[Control_duplicados]]&gt;1,"Duplicado","Unico")</f>
        <v>Unico</v>
      </c>
      <c r="P2027" t="str">
        <f t="shared" si="125"/>
        <v>OK</v>
      </c>
      <c r="Q2027" t="str">
        <f t="shared" si="126"/>
        <v>OK</v>
      </c>
      <c r="R2027" t="str">
        <f t="shared" si="127"/>
        <v>OK</v>
      </c>
    </row>
    <row r="2028" spans="1:18" x14ac:dyDescent="0.3">
      <c r="A2028" s="1">
        <v>45684</v>
      </c>
      <c r="B2028" s="2" t="s">
        <v>2616</v>
      </c>
      <c r="C2028" s="2" t="s">
        <v>2543</v>
      </c>
      <c r="D2028" s="2" t="s">
        <v>2525</v>
      </c>
      <c r="E2028" s="2" t="s">
        <v>2529</v>
      </c>
      <c r="F2028" s="3">
        <v>16358</v>
      </c>
      <c r="G2028" s="3">
        <v>216</v>
      </c>
      <c r="H2028" s="3">
        <v>2</v>
      </c>
      <c r="I2028" s="4">
        <v>335.2</v>
      </c>
      <c r="J2028" s="4">
        <v>417.2</v>
      </c>
      <c r="K2028" s="3">
        <v>1</v>
      </c>
      <c r="L2028" s="2" t="s">
        <v>2518</v>
      </c>
      <c r="M2028" s="2" t="s">
        <v>2537</v>
      </c>
      <c r="N2028" s="6">
        <f t="shared" si="124"/>
        <v>1</v>
      </c>
      <c r="O2028" t="str">
        <f>IF(Tabla_control[[#This Row],[Control_duplicados]]&gt;1,"Duplicado","Unico")</f>
        <v>Unico</v>
      </c>
      <c r="P2028" t="str">
        <f t="shared" si="125"/>
        <v>OK</v>
      </c>
      <c r="Q2028" t="str">
        <f t="shared" si="126"/>
        <v>OK</v>
      </c>
      <c r="R2028" t="str">
        <f t="shared" si="127"/>
        <v>OK</v>
      </c>
    </row>
    <row r="2029" spans="1:18" x14ac:dyDescent="0.3">
      <c r="A2029" s="1">
        <v>45906</v>
      </c>
      <c r="B2029" s="2" t="s">
        <v>2630</v>
      </c>
      <c r="C2029" s="2" t="s">
        <v>2543</v>
      </c>
      <c r="D2029" s="2" t="s">
        <v>2528</v>
      </c>
      <c r="E2029" s="2" t="s">
        <v>2517</v>
      </c>
      <c r="F2029" s="3">
        <v>89532</v>
      </c>
      <c r="G2029" s="3">
        <v>5359</v>
      </c>
      <c r="H2029" s="3">
        <v>470</v>
      </c>
      <c r="I2029" s="4">
        <v>2317.08</v>
      </c>
      <c r="J2029" s="4">
        <v>24221.58</v>
      </c>
      <c r="K2029" s="3">
        <v>315</v>
      </c>
      <c r="L2029" s="2" t="s">
        <v>2536</v>
      </c>
      <c r="M2029" s="2" t="s">
        <v>2524</v>
      </c>
      <c r="N2029" s="6">
        <f t="shared" si="124"/>
        <v>2</v>
      </c>
      <c r="O2029" t="str">
        <f>IF(Tabla_control[[#This Row],[Control_duplicados]]&gt;1,"Duplicado","Unico")</f>
        <v>Duplicado</v>
      </c>
      <c r="P2029" t="str">
        <f t="shared" si="125"/>
        <v>OK</v>
      </c>
      <c r="Q2029" t="str">
        <f t="shared" si="126"/>
        <v>OK</v>
      </c>
      <c r="R2029" t="str">
        <f t="shared" si="127"/>
        <v>OK</v>
      </c>
    </row>
    <row r="2030" spans="1:18" x14ac:dyDescent="0.3">
      <c r="A2030" s="1">
        <v>45818</v>
      </c>
      <c r="B2030" s="2" t="s">
        <v>2642</v>
      </c>
      <c r="C2030" s="2" t="s">
        <v>2533</v>
      </c>
      <c r="D2030" s="2" t="s">
        <v>2525</v>
      </c>
      <c r="E2030" s="2" t="s">
        <v>2517</v>
      </c>
      <c r="F2030" s="3">
        <v>94815</v>
      </c>
      <c r="G2030" s="3">
        <v>7093</v>
      </c>
      <c r="H2030" s="3">
        <v>671</v>
      </c>
      <c r="I2030" s="4">
        <v>13002.69</v>
      </c>
      <c r="J2030" s="4">
        <v>113993.99</v>
      </c>
      <c r="K2030" s="3">
        <v>420</v>
      </c>
      <c r="L2030" s="2" t="s">
        <v>2536</v>
      </c>
      <c r="M2030" s="2" t="s">
        <v>2537</v>
      </c>
      <c r="N2030" s="6">
        <f t="shared" si="124"/>
        <v>1</v>
      </c>
      <c r="O2030" t="str">
        <f>IF(Tabla_control[[#This Row],[Control_duplicados]]&gt;1,"Duplicado","Unico")</f>
        <v>Unico</v>
      </c>
      <c r="P2030" t="str">
        <f t="shared" si="125"/>
        <v>OK</v>
      </c>
      <c r="Q2030" t="str">
        <f t="shared" si="126"/>
        <v>OK</v>
      </c>
      <c r="R2030" t="str">
        <f t="shared" si="127"/>
        <v>OK</v>
      </c>
    </row>
    <row r="2031" spans="1:18" x14ac:dyDescent="0.3">
      <c r="A2031" s="1">
        <v>45741</v>
      </c>
      <c r="B2031" s="2" t="s">
        <v>2627</v>
      </c>
      <c r="C2031" s="2" t="s">
        <v>2533</v>
      </c>
      <c r="D2031" s="2" t="s">
        <v>2528</v>
      </c>
      <c r="E2031" s="2" t="s">
        <v>2517</v>
      </c>
      <c r="F2031" s="3">
        <v>149611</v>
      </c>
      <c r="G2031" s="3">
        <v>5200</v>
      </c>
      <c r="H2031" s="3">
        <v>605</v>
      </c>
      <c r="I2031" s="4">
        <v>2523.1799999999998</v>
      </c>
      <c r="J2031" s="4">
        <v>85392.85</v>
      </c>
      <c r="K2031" s="3">
        <v>404</v>
      </c>
      <c r="L2031" s="2" t="s">
        <v>2539</v>
      </c>
      <c r="M2031" s="2" t="s">
        <v>2537</v>
      </c>
      <c r="N2031" s="6">
        <f t="shared" si="124"/>
        <v>1</v>
      </c>
      <c r="O2031" t="str">
        <f>IF(Tabla_control[[#This Row],[Control_duplicados]]&gt;1,"Duplicado","Unico")</f>
        <v>Unico</v>
      </c>
      <c r="P2031" t="str">
        <f t="shared" si="125"/>
        <v>OK</v>
      </c>
      <c r="Q2031" t="str">
        <f t="shared" si="126"/>
        <v>OK</v>
      </c>
      <c r="R2031" t="str">
        <f t="shared" si="127"/>
        <v>OK</v>
      </c>
    </row>
    <row r="2032" spans="1:18" x14ac:dyDescent="0.3">
      <c r="A2032" s="1">
        <v>45823</v>
      </c>
      <c r="B2032" s="2" t="s">
        <v>2630</v>
      </c>
      <c r="C2032" s="2" t="s">
        <v>2533</v>
      </c>
      <c r="D2032" s="2" t="s">
        <v>2525</v>
      </c>
      <c r="E2032" s="2" t="s">
        <v>2517</v>
      </c>
      <c r="F2032" s="3">
        <v>52248</v>
      </c>
      <c r="G2032" s="3">
        <v>2491</v>
      </c>
      <c r="H2032" s="3">
        <v>316</v>
      </c>
      <c r="I2032" s="4">
        <v>2233.5300000000002</v>
      </c>
      <c r="J2032" s="4">
        <v>10890.87</v>
      </c>
      <c r="K2032" s="3">
        <v>168</v>
      </c>
      <c r="L2032" s="2" t="s">
        <v>2539</v>
      </c>
      <c r="M2032" s="2" t="s">
        <v>2524</v>
      </c>
      <c r="N2032" s="6">
        <f t="shared" si="124"/>
        <v>1</v>
      </c>
      <c r="O2032" t="str">
        <f>IF(Tabla_control[[#This Row],[Control_duplicados]]&gt;1,"Duplicado","Unico")</f>
        <v>Unico</v>
      </c>
      <c r="P2032" t="str">
        <f t="shared" si="125"/>
        <v>OK</v>
      </c>
      <c r="Q2032" t="str">
        <f t="shared" si="126"/>
        <v>OK</v>
      </c>
      <c r="R2032" t="str">
        <f t="shared" si="127"/>
        <v>OK</v>
      </c>
    </row>
    <row r="2033" spans="1:18" x14ac:dyDescent="0.3">
      <c r="A2033" s="1">
        <v>45841</v>
      </c>
      <c r="B2033" s="2" t="s">
        <v>2619</v>
      </c>
      <c r="C2033" s="2" t="s">
        <v>2541</v>
      </c>
      <c r="D2033" s="2" t="s">
        <v>2522</v>
      </c>
      <c r="E2033" s="2" t="s">
        <v>2517</v>
      </c>
      <c r="F2033" s="3">
        <v>86901</v>
      </c>
      <c r="G2033" s="3">
        <v>1804</v>
      </c>
      <c r="H2033" s="3">
        <v>38</v>
      </c>
      <c r="I2033" s="4">
        <v>403.23</v>
      </c>
      <c r="J2033" s="4">
        <v>7719.65</v>
      </c>
      <c r="K2033" s="3">
        <v>22</v>
      </c>
      <c r="L2033" s="2" t="s">
        <v>2539</v>
      </c>
      <c r="M2033" s="2" t="s">
        <v>2537</v>
      </c>
      <c r="N2033" s="6">
        <f t="shared" si="124"/>
        <v>1</v>
      </c>
      <c r="O2033" t="str">
        <f>IF(Tabla_control[[#This Row],[Control_duplicados]]&gt;1,"Duplicado","Unico")</f>
        <v>Unico</v>
      </c>
      <c r="P2033" t="str">
        <f t="shared" si="125"/>
        <v>OK</v>
      </c>
      <c r="Q2033" t="str">
        <f t="shared" si="126"/>
        <v>OK</v>
      </c>
      <c r="R2033" t="str">
        <f t="shared" si="127"/>
        <v>OK</v>
      </c>
    </row>
    <row r="2034" spans="1:18" x14ac:dyDescent="0.3">
      <c r="A2034" s="1">
        <v>45768</v>
      </c>
      <c r="B2034" s="2" t="s">
        <v>2629</v>
      </c>
      <c r="C2034" s="2" t="s">
        <v>2541</v>
      </c>
      <c r="D2034" s="2" t="s">
        <v>2522</v>
      </c>
      <c r="E2034" s="2" t="s">
        <v>2529</v>
      </c>
      <c r="F2034" s="3">
        <v>5619</v>
      </c>
      <c r="G2034" s="3">
        <v>169</v>
      </c>
      <c r="H2034" s="3">
        <v>2</v>
      </c>
      <c r="I2034" s="4">
        <v>256.89999999999998</v>
      </c>
      <c r="J2034" s="4">
        <v>217.56</v>
      </c>
      <c r="K2034" s="3">
        <v>1</v>
      </c>
      <c r="L2034" s="2" t="s">
        <v>2536</v>
      </c>
      <c r="M2034" s="2" t="s">
        <v>2526</v>
      </c>
      <c r="N2034" s="6">
        <f t="shared" si="124"/>
        <v>1</v>
      </c>
      <c r="O2034" t="str">
        <f>IF(Tabla_control[[#This Row],[Control_duplicados]]&gt;1,"Duplicado","Unico")</f>
        <v>Unico</v>
      </c>
      <c r="P2034" t="str">
        <f t="shared" si="125"/>
        <v>OK</v>
      </c>
      <c r="Q2034" t="str">
        <f t="shared" si="126"/>
        <v>OK</v>
      </c>
      <c r="R2034" t="str">
        <f t="shared" si="127"/>
        <v>OK</v>
      </c>
    </row>
    <row r="2035" spans="1:18" x14ac:dyDescent="0.3">
      <c r="A2035" s="1">
        <v>45809</v>
      </c>
      <c r="B2035" s="2" t="s">
        <v>2627</v>
      </c>
      <c r="C2035" s="2" t="s">
        <v>2533</v>
      </c>
      <c r="D2035" s="2" t="s">
        <v>2528</v>
      </c>
      <c r="E2035" s="2" t="s">
        <v>2529</v>
      </c>
      <c r="F2035" s="3">
        <v>56113</v>
      </c>
      <c r="G2035" s="3">
        <v>4807</v>
      </c>
      <c r="H2035" s="3">
        <v>109</v>
      </c>
      <c r="I2035" s="4">
        <v>1766.01</v>
      </c>
      <c r="J2035" s="4">
        <v>7812.74</v>
      </c>
      <c r="K2035" s="3">
        <v>57</v>
      </c>
      <c r="L2035" s="2" t="s">
        <v>2536</v>
      </c>
      <c r="M2035" s="2" t="s">
        <v>2526</v>
      </c>
      <c r="N2035" s="6">
        <f t="shared" si="124"/>
        <v>1</v>
      </c>
      <c r="O2035" t="str">
        <f>IF(Tabla_control[[#This Row],[Control_duplicados]]&gt;1,"Duplicado","Unico")</f>
        <v>Unico</v>
      </c>
      <c r="P2035" t="str">
        <f t="shared" si="125"/>
        <v>OK</v>
      </c>
      <c r="Q2035" t="str">
        <f t="shared" si="126"/>
        <v>OK</v>
      </c>
      <c r="R2035" t="str">
        <f t="shared" si="127"/>
        <v>OK</v>
      </c>
    </row>
    <row r="2036" spans="1:18" x14ac:dyDescent="0.3">
      <c r="A2036" s="1">
        <v>45707</v>
      </c>
      <c r="B2036" s="2" t="s">
        <v>2635</v>
      </c>
      <c r="C2036" s="2" t="s">
        <v>2527</v>
      </c>
      <c r="D2036" s="2" t="s">
        <v>2531</v>
      </c>
      <c r="E2036" s="2" t="s">
        <v>2517</v>
      </c>
      <c r="F2036" s="3">
        <v>144839</v>
      </c>
      <c r="G2036" s="3">
        <v>3570</v>
      </c>
      <c r="H2036" s="3">
        <v>341</v>
      </c>
      <c r="I2036" s="4">
        <v>5069.47</v>
      </c>
      <c r="J2036" s="4">
        <v>63812.69</v>
      </c>
      <c r="K2036" s="3">
        <v>179</v>
      </c>
      <c r="L2036" s="2" t="s">
        <v>2523</v>
      </c>
      <c r="M2036" s="2" t="s">
        <v>2524</v>
      </c>
      <c r="N2036" s="6">
        <f t="shared" si="124"/>
        <v>1</v>
      </c>
      <c r="O2036" t="str">
        <f>IF(Tabla_control[[#This Row],[Control_duplicados]]&gt;1,"Duplicado","Unico")</f>
        <v>Unico</v>
      </c>
      <c r="P2036" t="str">
        <f t="shared" si="125"/>
        <v>OK</v>
      </c>
      <c r="Q2036" t="str">
        <f t="shared" si="126"/>
        <v>OK</v>
      </c>
      <c r="R2036" t="str">
        <f t="shared" si="127"/>
        <v>OK</v>
      </c>
    </row>
    <row r="2037" spans="1:18" x14ac:dyDescent="0.3">
      <c r="A2037" s="1">
        <v>45824</v>
      </c>
      <c r="B2037" s="2" t="s">
        <v>2616</v>
      </c>
      <c r="C2037" s="2" t="s">
        <v>2521</v>
      </c>
      <c r="D2037" s="2" t="s">
        <v>2522</v>
      </c>
      <c r="E2037" s="2" t="s">
        <v>2529</v>
      </c>
      <c r="F2037" s="3">
        <v>52422</v>
      </c>
      <c r="G2037" s="3">
        <v>2784</v>
      </c>
      <c r="H2037" s="3">
        <v>82</v>
      </c>
      <c r="I2037" s="4">
        <v>3392.73</v>
      </c>
      <c r="J2037" s="4">
        <v>7248.37</v>
      </c>
      <c r="K2037" s="3">
        <v>56</v>
      </c>
      <c r="L2037" s="2" t="s">
        <v>2539</v>
      </c>
      <c r="M2037" s="2" t="s">
        <v>2526</v>
      </c>
      <c r="N2037" s="6">
        <f t="shared" si="124"/>
        <v>1</v>
      </c>
      <c r="O2037" t="str">
        <f>IF(Tabla_control[[#This Row],[Control_duplicados]]&gt;1,"Duplicado","Unico")</f>
        <v>Unico</v>
      </c>
      <c r="P2037" t="str">
        <f t="shared" si="125"/>
        <v>OK</v>
      </c>
      <c r="Q2037" t="str">
        <f t="shared" si="126"/>
        <v>OK</v>
      </c>
      <c r="R2037" t="str">
        <f t="shared" si="127"/>
        <v>OK</v>
      </c>
    </row>
    <row r="2038" spans="1:18" x14ac:dyDescent="0.3">
      <c r="A2038" s="1">
        <v>45734</v>
      </c>
      <c r="B2038" s="2" t="s">
        <v>2635</v>
      </c>
      <c r="C2038" s="2" t="s">
        <v>2543</v>
      </c>
      <c r="D2038" s="2" t="s">
        <v>2525</v>
      </c>
      <c r="E2038" s="2" t="s">
        <v>2529</v>
      </c>
      <c r="F2038" s="3">
        <v>138698</v>
      </c>
      <c r="G2038" s="3">
        <v>4733</v>
      </c>
      <c r="H2038" s="3">
        <v>538</v>
      </c>
      <c r="I2038" s="4">
        <v>4525.8900000000003</v>
      </c>
      <c r="J2038" s="4">
        <v>35285.53</v>
      </c>
      <c r="K2038" s="3">
        <v>373</v>
      </c>
      <c r="L2038" s="2" t="s">
        <v>2518</v>
      </c>
      <c r="M2038" s="2" t="s">
        <v>2537</v>
      </c>
      <c r="N2038" s="6">
        <f t="shared" si="124"/>
        <v>1</v>
      </c>
      <c r="O2038" t="str">
        <f>IF(Tabla_control[[#This Row],[Control_duplicados]]&gt;1,"Duplicado","Unico")</f>
        <v>Unico</v>
      </c>
      <c r="P2038" t="str">
        <f t="shared" si="125"/>
        <v>OK</v>
      </c>
      <c r="Q2038" t="str">
        <f t="shared" si="126"/>
        <v>OK</v>
      </c>
      <c r="R2038" t="str">
        <f t="shared" si="127"/>
        <v>OK</v>
      </c>
    </row>
    <row r="2039" spans="1:18" x14ac:dyDescent="0.3">
      <c r="A2039" s="1">
        <v>45918</v>
      </c>
      <c r="B2039" s="2" t="s">
        <v>2633</v>
      </c>
      <c r="C2039" s="2" t="s">
        <v>2515</v>
      </c>
      <c r="D2039" s="2" t="s">
        <v>2528</v>
      </c>
      <c r="E2039" s="2" t="s">
        <v>2517</v>
      </c>
      <c r="F2039" s="3">
        <v>114463</v>
      </c>
      <c r="G2039" s="3">
        <v>2867</v>
      </c>
      <c r="H2039" s="3">
        <v>117</v>
      </c>
      <c r="I2039" s="4">
        <v>1098.54</v>
      </c>
      <c r="J2039" s="4">
        <v>16731.13</v>
      </c>
      <c r="K2039" s="3">
        <v>61</v>
      </c>
      <c r="L2039" s="2" t="s">
        <v>2539</v>
      </c>
      <c r="M2039" s="2" t="s">
        <v>2519</v>
      </c>
      <c r="N2039" s="6">
        <f t="shared" si="124"/>
        <v>1</v>
      </c>
      <c r="O2039" t="str">
        <f>IF(Tabla_control[[#This Row],[Control_duplicados]]&gt;1,"Duplicado","Unico")</f>
        <v>Unico</v>
      </c>
      <c r="P2039" t="str">
        <f t="shared" si="125"/>
        <v>OK</v>
      </c>
      <c r="Q2039" t="str">
        <f t="shared" si="126"/>
        <v>OK</v>
      </c>
      <c r="R2039" t="str">
        <f t="shared" si="127"/>
        <v>OK</v>
      </c>
    </row>
    <row r="2040" spans="1:18" x14ac:dyDescent="0.3">
      <c r="A2040" s="1">
        <v>45917</v>
      </c>
      <c r="B2040" s="2" t="s">
        <v>2641</v>
      </c>
      <c r="C2040" s="2" t="s">
        <v>2541</v>
      </c>
      <c r="D2040" s="2" t="s">
        <v>2528</v>
      </c>
      <c r="E2040" s="2" t="s">
        <v>2517</v>
      </c>
      <c r="F2040" s="3">
        <v>128688</v>
      </c>
      <c r="G2040" s="3">
        <v>7011</v>
      </c>
      <c r="H2040" s="3">
        <v>864</v>
      </c>
      <c r="I2040" s="4">
        <v>10793.34</v>
      </c>
      <c r="J2040" s="4">
        <v>139922.59</v>
      </c>
      <c r="K2040" s="3">
        <v>562</v>
      </c>
      <c r="L2040" s="2" t="s">
        <v>2539</v>
      </c>
      <c r="M2040" s="2" t="s">
        <v>2537</v>
      </c>
      <c r="N2040" s="6">
        <f t="shared" si="124"/>
        <v>1</v>
      </c>
      <c r="O2040" t="str">
        <f>IF(Tabla_control[[#This Row],[Control_duplicados]]&gt;1,"Duplicado","Unico")</f>
        <v>Unico</v>
      </c>
      <c r="P2040" t="str">
        <f t="shared" si="125"/>
        <v>OK</v>
      </c>
      <c r="Q2040" t="str">
        <f t="shared" si="126"/>
        <v>OK</v>
      </c>
      <c r="R2040" t="str">
        <f t="shared" si="127"/>
        <v>OK</v>
      </c>
    </row>
    <row r="2041" spans="1:18" x14ac:dyDescent="0.3">
      <c r="A2041" s="1">
        <v>45681</v>
      </c>
      <c r="B2041" s="2" t="s">
        <v>2642</v>
      </c>
      <c r="C2041" s="2" t="s">
        <v>2533</v>
      </c>
      <c r="D2041" s="2" t="s">
        <v>2516</v>
      </c>
      <c r="E2041" s="2" t="s">
        <v>2517</v>
      </c>
      <c r="F2041" s="3">
        <v>76646</v>
      </c>
      <c r="G2041" s="3">
        <v>5658</v>
      </c>
      <c r="H2041" s="3">
        <v>491</v>
      </c>
      <c r="I2041" s="4">
        <v>11109.67</v>
      </c>
      <c r="J2041" s="4">
        <v>30476.62</v>
      </c>
      <c r="K2041" s="3">
        <v>382</v>
      </c>
      <c r="L2041" s="2" t="s">
        <v>2539</v>
      </c>
      <c r="M2041" s="2" t="s">
        <v>2524</v>
      </c>
      <c r="N2041" s="6">
        <f t="shared" si="124"/>
        <v>1</v>
      </c>
      <c r="O2041" t="str">
        <f>IF(Tabla_control[[#This Row],[Control_duplicados]]&gt;1,"Duplicado","Unico")</f>
        <v>Unico</v>
      </c>
      <c r="P2041" t="str">
        <f t="shared" si="125"/>
        <v>OK</v>
      </c>
      <c r="Q2041" t="str">
        <f t="shared" si="126"/>
        <v>OK</v>
      </c>
      <c r="R2041" t="str">
        <f t="shared" si="127"/>
        <v>OK</v>
      </c>
    </row>
    <row r="2042" spans="1:18" x14ac:dyDescent="0.3">
      <c r="A2042" s="1">
        <v>45799</v>
      </c>
      <c r="B2042" s="2" t="s">
        <v>2637</v>
      </c>
      <c r="C2042" s="2" t="s">
        <v>2541</v>
      </c>
      <c r="D2042" s="2" t="s">
        <v>2528</v>
      </c>
      <c r="E2042" s="2" t="s">
        <v>2529</v>
      </c>
      <c r="F2042" s="3">
        <v>89483</v>
      </c>
      <c r="G2042" s="3">
        <v>4811</v>
      </c>
      <c r="H2042" s="3">
        <v>546</v>
      </c>
      <c r="I2042" s="4">
        <v>8003.55</v>
      </c>
      <c r="J2042" s="4">
        <v>101011.36</v>
      </c>
      <c r="K2042" s="3">
        <v>332</v>
      </c>
      <c r="L2042" s="2" t="s">
        <v>2518</v>
      </c>
      <c r="M2042" s="2" t="s">
        <v>2526</v>
      </c>
      <c r="N2042" s="6">
        <f t="shared" si="124"/>
        <v>1</v>
      </c>
      <c r="O2042" t="str">
        <f>IF(Tabla_control[[#This Row],[Control_duplicados]]&gt;1,"Duplicado","Unico")</f>
        <v>Unico</v>
      </c>
      <c r="P2042" t="str">
        <f t="shared" si="125"/>
        <v>OK</v>
      </c>
      <c r="Q2042" t="str">
        <f t="shared" si="126"/>
        <v>OK</v>
      </c>
      <c r="R2042" t="str">
        <f t="shared" si="127"/>
        <v>OK</v>
      </c>
    </row>
    <row r="2043" spans="1:18" x14ac:dyDescent="0.3">
      <c r="A2043" s="1">
        <v>45797</v>
      </c>
      <c r="B2043" s="2" t="s">
        <v>2624</v>
      </c>
      <c r="C2043" s="2" t="s">
        <v>2527</v>
      </c>
      <c r="D2043" s="2" t="s">
        <v>2528</v>
      </c>
      <c r="E2043" s="2" t="s">
        <v>2529</v>
      </c>
      <c r="F2043" s="3">
        <v>96853</v>
      </c>
      <c r="G2043" s="3">
        <v>6773</v>
      </c>
      <c r="H2043" s="3">
        <v>671</v>
      </c>
      <c r="I2043" s="4">
        <v>8322.19</v>
      </c>
      <c r="J2043" s="4">
        <v>72995.92</v>
      </c>
      <c r="K2043" s="3">
        <v>346</v>
      </c>
      <c r="L2043" s="2" t="s">
        <v>2539</v>
      </c>
      <c r="M2043" s="2" t="s">
        <v>2546</v>
      </c>
      <c r="N2043" s="6">
        <f t="shared" si="124"/>
        <v>1</v>
      </c>
      <c r="O2043" t="str">
        <f>IF(Tabla_control[[#This Row],[Control_duplicados]]&gt;1,"Duplicado","Unico")</f>
        <v>Unico</v>
      </c>
      <c r="P2043" t="str">
        <f t="shared" si="125"/>
        <v>OK</v>
      </c>
      <c r="Q2043" t="str">
        <f t="shared" si="126"/>
        <v>OK</v>
      </c>
      <c r="R2043" t="str">
        <f t="shared" si="127"/>
        <v>OK</v>
      </c>
    </row>
    <row r="2044" spans="1:18" x14ac:dyDescent="0.3">
      <c r="A2044" s="1">
        <v>45815</v>
      </c>
      <c r="B2044" s="2" t="s">
        <v>2635</v>
      </c>
      <c r="C2044" s="2" t="s">
        <v>2533</v>
      </c>
      <c r="D2044" s="2" t="s">
        <v>2528</v>
      </c>
      <c r="E2044" s="2" t="s">
        <v>2534</v>
      </c>
      <c r="F2044" s="3">
        <v>149538</v>
      </c>
      <c r="G2044" s="3">
        <v>3411</v>
      </c>
      <c r="H2044" s="3">
        <v>76</v>
      </c>
      <c r="I2044" s="4">
        <v>987.41</v>
      </c>
      <c r="J2044" s="4">
        <v>14669.32</v>
      </c>
      <c r="K2044" s="3">
        <v>53</v>
      </c>
      <c r="L2044" s="2" t="s">
        <v>2536</v>
      </c>
      <c r="M2044" s="2" t="s">
        <v>2524</v>
      </c>
      <c r="N2044" s="6">
        <f t="shared" si="124"/>
        <v>1</v>
      </c>
      <c r="O2044" t="str">
        <f>IF(Tabla_control[[#This Row],[Control_duplicados]]&gt;1,"Duplicado","Unico")</f>
        <v>Unico</v>
      </c>
      <c r="P2044" t="str">
        <f t="shared" si="125"/>
        <v>OK</v>
      </c>
      <c r="Q2044" t="str">
        <f t="shared" si="126"/>
        <v>OK</v>
      </c>
      <c r="R2044" t="str">
        <f t="shared" si="127"/>
        <v>OK</v>
      </c>
    </row>
    <row r="2045" spans="1:18" x14ac:dyDescent="0.3">
      <c r="A2045" s="1">
        <v>45714</v>
      </c>
      <c r="B2045" s="2" t="s">
        <v>2628</v>
      </c>
      <c r="C2045" s="2" t="s">
        <v>2527</v>
      </c>
      <c r="D2045" s="2" t="s">
        <v>2528</v>
      </c>
      <c r="E2045" s="2" t="s">
        <v>2517</v>
      </c>
      <c r="F2045" s="3">
        <v>148207</v>
      </c>
      <c r="G2045" s="3">
        <v>1289</v>
      </c>
      <c r="H2045" s="3">
        <v>95</v>
      </c>
      <c r="I2045" s="4">
        <v>1939.69</v>
      </c>
      <c r="J2045" s="4">
        <v>20368.64</v>
      </c>
      <c r="K2045" s="3">
        <v>51</v>
      </c>
      <c r="L2045" s="2" t="s">
        <v>2523</v>
      </c>
      <c r="M2045" s="2" t="s">
        <v>2537</v>
      </c>
      <c r="N2045" s="6">
        <f t="shared" si="124"/>
        <v>1</v>
      </c>
      <c r="O2045" t="str">
        <f>IF(Tabla_control[[#This Row],[Control_duplicados]]&gt;1,"Duplicado","Unico")</f>
        <v>Unico</v>
      </c>
      <c r="P2045" t="str">
        <f t="shared" si="125"/>
        <v>OK</v>
      </c>
      <c r="Q2045" t="str">
        <f t="shared" si="126"/>
        <v>OK</v>
      </c>
      <c r="R2045" t="str">
        <f t="shared" si="127"/>
        <v>OK</v>
      </c>
    </row>
    <row r="2046" spans="1:18" x14ac:dyDescent="0.3">
      <c r="A2046" s="1">
        <v>45937</v>
      </c>
      <c r="B2046" s="2" t="s">
        <v>2626</v>
      </c>
      <c r="C2046" s="2" t="s">
        <v>2515</v>
      </c>
      <c r="D2046" s="2" t="s">
        <v>2522</v>
      </c>
      <c r="E2046" s="2" t="s">
        <v>2534</v>
      </c>
      <c r="F2046" s="3">
        <v>133884</v>
      </c>
      <c r="G2046" s="3">
        <v>8248</v>
      </c>
      <c r="H2046" s="3">
        <v>718</v>
      </c>
      <c r="I2046" s="4">
        <v>4588.47</v>
      </c>
      <c r="J2046" s="4">
        <v>46257.13</v>
      </c>
      <c r="K2046" s="3">
        <v>560</v>
      </c>
      <c r="L2046" s="2" t="s">
        <v>2539</v>
      </c>
      <c r="M2046" s="2" t="s">
        <v>2645</v>
      </c>
      <c r="N2046" s="6">
        <f t="shared" si="124"/>
        <v>1</v>
      </c>
      <c r="O2046" t="str">
        <f>IF(Tabla_control[[#This Row],[Control_duplicados]]&gt;1,"Duplicado","Unico")</f>
        <v>Unico</v>
      </c>
      <c r="P2046" t="str">
        <f t="shared" si="125"/>
        <v>OK</v>
      </c>
      <c r="Q2046" t="str">
        <f t="shared" si="126"/>
        <v>OK</v>
      </c>
      <c r="R2046" t="str">
        <f t="shared" si="127"/>
        <v>OK</v>
      </c>
    </row>
    <row r="2047" spans="1:18" x14ac:dyDescent="0.3">
      <c r="A2047" s="1">
        <v>45702</v>
      </c>
      <c r="B2047" s="2" t="s">
        <v>2621</v>
      </c>
      <c r="C2047" s="2" t="s">
        <v>2533</v>
      </c>
      <c r="D2047" s="2" t="s">
        <v>2528</v>
      </c>
      <c r="E2047" s="2" t="s">
        <v>2517</v>
      </c>
      <c r="F2047" s="3">
        <v>23137</v>
      </c>
      <c r="G2047" s="3">
        <v>1346</v>
      </c>
      <c r="H2047" s="3">
        <v>7</v>
      </c>
      <c r="I2047" s="4">
        <v>1260.1199999999999</v>
      </c>
      <c r="J2047" s="4">
        <v>232.33</v>
      </c>
      <c r="K2047" s="3">
        <v>3</v>
      </c>
      <c r="L2047" s="2" t="s">
        <v>2523</v>
      </c>
      <c r="M2047" s="2" t="s">
        <v>2526</v>
      </c>
      <c r="N2047" s="6">
        <f t="shared" si="124"/>
        <v>1</v>
      </c>
      <c r="O2047" t="str">
        <f>IF(Tabla_control[[#This Row],[Control_duplicados]]&gt;1,"Duplicado","Unico")</f>
        <v>Unico</v>
      </c>
      <c r="P2047" t="str">
        <f t="shared" si="125"/>
        <v>OK</v>
      </c>
      <c r="Q2047" t="str">
        <f t="shared" si="126"/>
        <v>OK</v>
      </c>
      <c r="R2047" t="str">
        <f t="shared" si="127"/>
        <v>OK</v>
      </c>
    </row>
    <row r="2048" spans="1:18" x14ac:dyDescent="0.3">
      <c r="A2048" s="1">
        <v>45660</v>
      </c>
      <c r="B2048" s="2" t="s">
        <v>2640</v>
      </c>
      <c r="C2048" s="2" t="s">
        <v>2541</v>
      </c>
      <c r="D2048" s="2" t="s">
        <v>2528</v>
      </c>
      <c r="E2048" s="2" t="s">
        <v>2529</v>
      </c>
      <c r="F2048" s="3">
        <v>157070</v>
      </c>
      <c r="G2048" s="3">
        <v>11262</v>
      </c>
      <c r="H2048" s="3">
        <v>348</v>
      </c>
      <c r="I2048" s="4">
        <v>6992.94</v>
      </c>
      <c r="J2048" s="4">
        <v>39010.839999999997</v>
      </c>
      <c r="K2048" s="3">
        <v>298</v>
      </c>
      <c r="L2048" s="2" t="s">
        <v>2536</v>
      </c>
      <c r="M2048" s="2" t="s">
        <v>2537</v>
      </c>
      <c r="N2048" s="6">
        <f t="shared" si="124"/>
        <v>1</v>
      </c>
      <c r="O2048" t="str">
        <f>IF(Tabla_control[[#This Row],[Control_duplicados]]&gt;1,"Duplicado","Unico")</f>
        <v>Unico</v>
      </c>
      <c r="P2048" t="str">
        <f t="shared" si="125"/>
        <v>OK</v>
      </c>
      <c r="Q2048" t="str">
        <f t="shared" si="126"/>
        <v>OK</v>
      </c>
      <c r="R2048" t="str">
        <f t="shared" si="127"/>
        <v>OK</v>
      </c>
    </row>
    <row r="2049" spans="1:18" x14ac:dyDescent="0.3">
      <c r="A2049" s="1">
        <v>45842</v>
      </c>
      <c r="B2049" s="2" t="s">
        <v>2625</v>
      </c>
      <c r="C2049" s="2" t="s">
        <v>2543</v>
      </c>
      <c r="D2049" s="2" t="s">
        <v>2528</v>
      </c>
      <c r="E2049" s="2" t="s">
        <v>2529</v>
      </c>
      <c r="F2049" s="3">
        <v>136843</v>
      </c>
      <c r="G2049" s="3">
        <v>977</v>
      </c>
      <c r="H2049" s="3">
        <v>63</v>
      </c>
      <c r="I2049" s="4">
        <v>1782.55</v>
      </c>
      <c r="J2049" s="4">
        <v>4119.41</v>
      </c>
      <c r="K2049" s="3">
        <v>35</v>
      </c>
      <c r="L2049" s="2" t="s">
        <v>2536</v>
      </c>
      <c r="M2049" s="2" t="s">
        <v>2524</v>
      </c>
      <c r="N2049" s="6">
        <f t="shared" si="124"/>
        <v>1</v>
      </c>
      <c r="O2049" t="str">
        <f>IF(Tabla_control[[#This Row],[Control_duplicados]]&gt;1,"Duplicado","Unico")</f>
        <v>Unico</v>
      </c>
      <c r="P2049" t="str">
        <f t="shared" si="125"/>
        <v>OK</v>
      </c>
      <c r="Q2049" t="str">
        <f t="shared" si="126"/>
        <v>OK</v>
      </c>
      <c r="R2049" t="str">
        <f t="shared" si="127"/>
        <v>OK</v>
      </c>
    </row>
    <row r="2050" spans="1:18" x14ac:dyDescent="0.3">
      <c r="A2050" s="1">
        <v>45931</v>
      </c>
      <c r="B2050" s="2" t="s">
        <v>2626</v>
      </c>
      <c r="C2050" s="2" t="s">
        <v>2521</v>
      </c>
      <c r="D2050" s="2" t="s">
        <v>2528</v>
      </c>
      <c r="E2050" s="2" t="s">
        <v>2517</v>
      </c>
      <c r="F2050" s="3">
        <v>30033</v>
      </c>
      <c r="G2050" s="3">
        <v>935</v>
      </c>
      <c r="H2050" s="3">
        <v>26</v>
      </c>
      <c r="I2050" s="4">
        <v>1781.31</v>
      </c>
      <c r="J2050" s="4">
        <v>2814.07</v>
      </c>
      <c r="K2050" s="3">
        <v>20</v>
      </c>
      <c r="L2050" s="2" t="s">
        <v>2539</v>
      </c>
      <c r="M2050" s="2" t="s">
        <v>2537</v>
      </c>
      <c r="N2050" s="6">
        <f t="shared" ref="N2050:N2113" si="128">COUNTIFS($A$2:$A$2536,A2050,$B$2:$B$2536,B2050,$C$2:$C$2536,C2050,$D$2:$D$2536,D2050,$E$2:$E$2536,E2050,$F$2:$F$2536,F2050,$G$2:$G$2536,G2050,$H$2:$H$2536,H2050,$I$2:$I$2536,I2050,$J$2:$J$2536,J2050,$K$2:$K$2536,K2050,$L$2:$L$2536,L2050,$M$2:$M$2536,M2050)</f>
        <v>1</v>
      </c>
      <c r="O2050" t="str">
        <f>IF(Tabla_control[[#This Row],[Control_duplicados]]&gt;1,"Duplicado","Unico")</f>
        <v>Unico</v>
      </c>
      <c r="P2050" t="str">
        <f t="shared" ref="P2050:P2113" si="129">IF(OR(I2050="",I2050&lt;0),"ERROR","OK")</f>
        <v>OK</v>
      </c>
      <c r="Q2050" t="str">
        <f t="shared" ref="Q2050:Q2113" si="130">IF(H2050&gt;F2050,"ERROR","OK")</f>
        <v>OK</v>
      </c>
      <c r="R2050" t="str">
        <f t="shared" ref="R2050:R2113" si="131">IF(K2050&gt;H2050,"ERROR","OK")</f>
        <v>OK</v>
      </c>
    </row>
    <row r="2051" spans="1:18" x14ac:dyDescent="0.3">
      <c r="A2051" s="1">
        <v>45952</v>
      </c>
      <c r="B2051" s="2" t="s">
        <v>2639</v>
      </c>
      <c r="C2051" s="2" t="s">
        <v>2527</v>
      </c>
      <c r="D2051" s="2" t="s">
        <v>2531</v>
      </c>
      <c r="E2051" s="2" t="s">
        <v>2517</v>
      </c>
      <c r="F2051" s="3">
        <v>23916</v>
      </c>
      <c r="G2051" s="3">
        <v>571</v>
      </c>
      <c r="H2051" s="3">
        <v>64</v>
      </c>
      <c r="I2051" s="4">
        <v>1133.04</v>
      </c>
      <c r="J2051" s="4">
        <v>7437.55</v>
      </c>
      <c r="K2051" s="3">
        <v>31</v>
      </c>
      <c r="L2051" s="2" t="s">
        <v>2518</v>
      </c>
      <c r="M2051" s="2" t="s">
        <v>2546</v>
      </c>
      <c r="N2051" s="6">
        <f t="shared" si="128"/>
        <v>1</v>
      </c>
      <c r="O2051" t="str">
        <f>IF(Tabla_control[[#This Row],[Control_duplicados]]&gt;1,"Duplicado","Unico")</f>
        <v>Unico</v>
      </c>
      <c r="P2051" t="str">
        <f t="shared" si="129"/>
        <v>OK</v>
      </c>
      <c r="Q2051" t="str">
        <f t="shared" si="130"/>
        <v>OK</v>
      </c>
      <c r="R2051" t="str">
        <f t="shared" si="131"/>
        <v>OK</v>
      </c>
    </row>
    <row r="2052" spans="1:18" x14ac:dyDescent="0.3">
      <c r="A2052" s="1">
        <v>45846</v>
      </c>
      <c r="B2052" s="2" t="s">
        <v>2628</v>
      </c>
      <c r="C2052" s="2" t="s">
        <v>2515</v>
      </c>
      <c r="D2052" s="2" t="s">
        <v>2528</v>
      </c>
      <c r="E2052" s="2" t="s">
        <v>2529</v>
      </c>
      <c r="F2052" s="3">
        <v>99333</v>
      </c>
      <c r="G2052" s="3">
        <v>8399</v>
      </c>
      <c r="H2052" s="3">
        <v>1119</v>
      </c>
      <c r="I2052" s="4">
        <v>1811.11</v>
      </c>
      <c r="J2052" s="4">
        <v>165050.49</v>
      </c>
      <c r="K2052" s="3">
        <v>608</v>
      </c>
      <c r="L2052" s="2" t="s">
        <v>2518</v>
      </c>
      <c r="M2052" s="2" t="s">
        <v>2526</v>
      </c>
      <c r="N2052" s="6">
        <f t="shared" si="128"/>
        <v>1</v>
      </c>
      <c r="O2052" t="str">
        <f>IF(Tabla_control[[#This Row],[Control_duplicados]]&gt;1,"Duplicado","Unico")</f>
        <v>Unico</v>
      </c>
      <c r="P2052" t="str">
        <f t="shared" si="129"/>
        <v>OK</v>
      </c>
      <c r="Q2052" t="str">
        <f t="shared" si="130"/>
        <v>OK</v>
      </c>
      <c r="R2052" t="str">
        <f t="shared" si="131"/>
        <v>OK</v>
      </c>
    </row>
    <row r="2053" spans="1:18" x14ac:dyDescent="0.3">
      <c r="A2053" s="1">
        <v>45805</v>
      </c>
      <c r="B2053" s="2" t="s">
        <v>2624</v>
      </c>
      <c r="C2053" s="2" t="s">
        <v>2521</v>
      </c>
      <c r="D2053" s="2" t="s">
        <v>2525</v>
      </c>
      <c r="E2053" s="2" t="s">
        <v>2529</v>
      </c>
      <c r="F2053" s="3">
        <v>157718</v>
      </c>
      <c r="G2053" s="3">
        <v>972</v>
      </c>
      <c r="H2053" s="3">
        <v>103</v>
      </c>
      <c r="I2053" s="4">
        <v>967.04</v>
      </c>
      <c r="J2053" s="4">
        <v>14268.76</v>
      </c>
      <c r="K2053" s="3">
        <v>85</v>
      </c>
      <c r="L2053" s="2" t="s">
        <v>2523</v>
      </c>
      <c r="M2053" s="2" t="s">
        <v>2519</v>
      </c>
      <c r="N2053" s="6">
        <f t="shared" si="128"/>
        <v>1</v>
      </c>
      <c r="O2053" t="str">
        <f>IF(Tabla_control[[#This Row],[Control_duplicados]]&gt;1,"Duplicado","Unico")</f>
        <v>Unico</v>
      </c>
      <c r="P2053" t="str">
        <f t="shared" si="129"/>
        <v>OK</v>
      </c>
      <c r="Q2053" t="str">
        <f t="shared" si="130"/>
        <v>OK</v>
      </c>
      <c r="R2053" t="str">
        <f t="shared" si="131"/>
        <v>OK</v>
      </c>
    </row>
    <row r="2054" spans="1:18" x14ac:dyDescent="0.3">
      <c r="A2054" s="1">
        <v>45664</v>
      </c>
      <c r="B2054" s="2" t="s">
        <v>2632</v>
      </c>
      <c r="C2054" s="2" t="s">
        <v>2515</v>
      </c>
      <c r="D2054" s="2" t="s">
        <v>2516</v>
      </c>
      <c r="E2054" s="2" t="s">
        <v>2529</v>
      </c>
      <c r="F2054" s="3">
        <v>85402</v>
      </c>
      <c r="G2054" s="3">
        <v>2969</v>
      </c>
      <c r="H2054" s="3">
        <v>68</v>
      </c>
      <c r="I2054" s="4">
        <v>4421.04</v>
      </c>
      <c r="J2054" s="4">
        <v>5516.4</v>
      </c>
      <c r="K2054" s="3">
        <v>42</v>
      </c>
      <c r="L2054" s="2" t="s">
        <v>2523</v>
      </c>
      <c r="M2054" s="2" t="s">
        <v>2526</v>
      </c>
      <c r="N2054" s="6">
        <f t="shared" si="128"/>
        <v>1</v>
      </c>
      <c r="O2054" t="str">
        <f>IF(Tabla_control[[#This Row],[Control_duplicados]]&gt;1,"Duplicado","Unico")</f>
        <v>Unico</v>
      </c>
      <c r="P2054" t="str">
        <f t="shared" si="129"/>
        <v>OK</v>
      </c>
      <c r="Q2054" t="str">
        <f t="shared" si="130"/>
        <v>OK</v>
      </c>
      <c r="R2054" t="str">
        <f t="shared" si="131"/>
        <v>OK</v>
      </c>
    </row>
    <row r="2055" spans="1:18" x14ac:dyDescent="0.3">
      <c r="A2055" s="1">
        <v>45753</v>
      </c>
      <c r="B2055" s="2" t="s">
        <v>2619</v>
      </c>
      <c r="C2055" s="2" t="s">
        <v>2533</v>
      </c>
      <c r="D2055" s="2" t="s">
        <v>2528</v>
      </c>
      <c r="E2055" s="2" t="s">
        <v>2517</v>
      </c>
      <c r="F2055" s="3">
        <v>105024</v>
      </c>
      <c r="G2055" s="3">
        <v>7938</v>
      </c>
      <c r="H2055" s="3">
        <v>743</v>
      </c>
      <c r="I2055" s="4">
        <v>12049.15</v>
      </c>
      <c r="J2055" s="4">
        <v>21658.99</v>
      </c>
      <c r="K2055" s="3">
        <v>581</v>
      </c>
      <c r="L2055" s="2" t="s">
        <v>2536</v>
      </c>
      <c r="M2055" s="2" t="s">
        <v>2526</v>
      </c>
      <c r="N2055" s="6">
        <f t="shared" si="128"/>
        <v>1</v>
      </c>
      <c r="O2055" t="str">
        <f>IF(Tabla_control[[#This Row],[Control_duplicados]]&gt;1,"Duplicado","Unico")</f>
        <v>Unico</v>
      </c>
      <c r="P2055" t="str">
        <f t="shared" si="129"/>
        <v>OK</v>
      </c>
      <c r="Q2055" t="str">
        <f t="shared" si="130"/>
        <v>OK</v>
      </c>
      <c r="R2055" t="str">
        <f t="shared" si="131"/>
        <v>OK</v>
      </c>
    </row>
    <row r="2056" spans="1:18" x14ac:dyDescent="0.3">
      <c r="A2056" s="1">
        <v>45679</v>
      </c>
      <c r="B2056" s="2" t="s">
        <v>2627</v>
      </c>
      <c r="C2056" s="2" t="s">
        <v>2543</v>
      </c>
      <c r="D2056" s="2" t="s">
        <v>2522</v>
      </c>
      <c r="E2056" s="2" t="s">
        <v>2517</v>
      </c>
      <c r="F2056" s="3">
        <v>141873</v>
      </c>
      <c r="G2056" s="3">
        <v>747</v>
      </c>
      <c r="H2056" s="3">
        <v>64</v>
      </c>
      <c r="I2056" s="4">
        <v>1551.44</v>
      </c>
      <c r="J2056" s="4">
        <v>1965.82</v>
      </c>
      <c r="K2056" s="3">
        <v>52</v>
      </c>
      <c r="L2056" s="2" t="s">
        <v>2523</v>
      </c>
      <c r="M2056" s="2" t="s">
        <v>2524</v>
      </c>
      <c r="N2056" s="6">
        <f t="shared" si="128"/>
        <v>1</v>
      </c>
      <c r="O2056" t="str">
        <f>IF(Tabla_control[[#This Row],[Control_duplicados]]&gt;1,"Duplicado","Unico")</f>
        <v>Unico</v>
      </c>
      <c r="P2056" t="str">
        <f t="shared" si="129"/>
        <v>OK</v>
      </c>
      <c r="Q2056" t="str">
        <f t="shared" si="130"/>
        <v>OK</v>
      </c>
      <c r="R2056" t="str">
        <f t="shared" si="131"/>
        <v>OK</v>
      </c>
    </row>
    <row r="2057" spans="1:18" x14ac:dyDescent="0.3">
      <c r="A2057" s="1">
        <v>45821</v>
      </c>
      <c r="B2057" s="2" t="s">
        <v>2644</v>
      </c>
      <c r="C2057" s="2" t="s">
        <v>2543</v>
      </c>
      <c r="D2057" s="2" t="s">
        <v>2516</v>
      </c>
      <c r="E2057" s="2" t="s">
        <v>2517</v>
      </c>
      <c r="F2057" s="3">
        <v>60042</v>
      </c>
      <c r="G2057" s="3">
        <v>3140</v>
      </c>
      <c r="H2057" s="3">
        <v>76</v>
      </c>
      <c r="I2057" s="4">
        <v>526.07000000000005</v>
      </c>
      <c r="J2057" s="4">
        <v>6186.28</v>
      </c>
      <c r="K2057" s="3">
        <v>43</v>
      </c>
      <c r="L2057" s="2" t="s">
        <v>2539</v>
      </c>
      <c r="M2057" s="2" t="s">
        <v>2537</v>
      </c>
      <c r="N2057" s="6">
        <f t="shared" si="128"/>
        <v>1</v>
      </c>
      <c r="O2057" t="str">
        <f>IF(Tabla_control[[#This Row],[Control_duplicados]]&gt;1,"Duplicado","Unico")</f>
        <v>Unico</v>
      </c>
      <c r="P2057" t="str">
        <f t="shared" si="129"/>
        <v>OK</v>
      </c>
      <c r="Q2057" t="str">
        <f t="shared" si="130"/>
        <v>OK</v>
      </c>
      <c r="R2057" t="str">
        <f t="shared" si="131"/>
        <v>OK</v>
      </c>
    </row>
    <row r="2058" spans="1:18" x14ac:dyDescent="0.3">
      <c r="A2058" s="1">
        <v>45787</v>
      </c>
      <c r="B2058" s="2" t="s">
        <v>2642</v>
      </c>
      <c r="C2058" s="2" t="s">
        <v>2527</v>
      </c>
      <c r="D2058" s="2" t="s">
        <v>2522</v>
      </c>
      <c r="E2058" s="2" t="s">
        <v>2529</v>
      </c>
      <c r="F2058" s="3">
        <v>172625</v>
      </c>
      <c r="G2058" s="3">
        <v>10466</v>
      </c>
      <c r="H2058" s="3">
        <v>1123</v>
      </c>
      <c r="I2058" s="4">
        <v>10282.15</v>
      </c>
      <c r="J2058" s="4">
        <v>156284.4</v>
      </c>
      <c r="K2058" s="3">
        <v>509</v>
      </c>
      <c r="L2058" s="2" t="s">
        <v>2523</v>
      </c>
      <c r="M2058" s="2" t="s">
        <v>2546</v>
      </c>
      <c r="N2058" s="6">
        <f t="shared" si="128"/>
        <v>1</v>
      </c>
      <c r="O2058" t="str">
        <f>IF(Tabla_control[[#This Row],[Control_duplicados]]&gt;1,"Duplicado","Unico")</f>
        <v>Unico</v>
      </c>
      <c r="P2058" t="str">
        <f t="shared" si="129"/>
        <v>OK</v>
      </c>
      <c r="Q2058" t="str">
        <f t="shared" si="130"/>
        <v>OK</v>
      </c>
      <c r="R2058" t="str">
        <f t="shared" si="131"/>
        <v>OK</v>
      </c>
    </row>
    <row r="2059" spans="1:18" x14ac:dyDescent="0.3">
      <c r="A2059" s="1">
        <v>45889</v>
      </c>
      <c r="B2059" s="2" t="s">
        <v>2639</v>
      </c>
      <c r="C2059" s="2" t="s">
        <v>2515</v>
      </c>
      <c r="D2059" s="2" t="s">
        <v>2528</v>
      </c>
      <c r="E2059" s="2" t="s">
        <v>2529</v>
      </c>
      <c r="F2059" s="3">
        <v>135344</v>
      </c>
      <c r="G2059" s="3">
        <v>2163</v>
      </c>
      <c r="H2059" s="3">
        <v>249</v>
      </c>
      <c r="I2059" s="4">
        <v>1550.05</v>
      </c>
      <c r="J2059" s="4">
        <v>27917.42</v>
      </c>
      <c r="K2059" s="3">
        <v>137</v>
      </c>
      <c r="L2059" s="2" t="s">
        <v>2536</v>
      </c>
      <c r="M2059" s="2" t="s">
        <v>2537</v>
      </c>
      <c r="N2059" s="6">
        <f t="shared" si="128"/>
        <v>1</v>
      </c>
      <c r="O2059" t="str">
        <f>IF(Tabla_control[[#This Row],[Control_duplicados]]&gt;1,"Duplicado","Unico")</f>
        <v>Unico</v>
      </c>
      <c r="P2059" t="str">
        <f t="shared" si="129"/>
        <v>OK</v>
      </c>
      <c r="Q2059" t="str">
        <f t="shared" si="130"/>
        <v>OK</v>
      </c>
      <c r="R2059" t="str">
        <f t="shared" si="131"/>
        <v>OK</v>
      </c>
    </row>
    <row r="2060" spans="1:18" x14ac:dyDescent="0.3">
      <c r="A2060" s="1">
        <v>45685</v>
      </c>
      <c r="B2060" s="2" t="s">
        <v>2616</v>
      </c>
      <c r="C2060" s="2" t="s">
        <v>2521</v>
      </c>
      <c r="D2060" s="2" t="s">
        <v>2528</v>
      </c>
      <c r="E2060" s="2" t="s">
        <v>2529</v>
      </c>
      <c r="F2060" s="3">
        <v>136578</v>
      </c>
      <c r="G2060" s="3">
        <v>3889</v>
      </c>
      <c r="H2060" s="3">
        <v>23</v>
      </c>
      <c r="I2060" s="4">
        <v>3075.99</v>
      </c>
      <c r="J2060" s="4">
        <v>1865.58</v>
      </c>
      <c r="K2060" s="3">
        <v>20</v>
      </c>
      <c r="L2060" s="2" t="s">
        <v>2539</v>
      </c>
      <c r="M2060" s="2" t="s">
        <v>2519</v>
      </c>
      <c r="N2060" s="6">
        <f t="shared" si="128"/>
        <v>1</v>
      </c>
      <c r="O2060" t="str">
        <f>IF(Tabla_control[[#This Row],[Control_duplicados]]&gt;1,"Duplicado","Unico")</f>
        <v>Unico</v>
      </c>
      <c r="P2060" t="str">
        <f t="shared" si="129"/>
        <v>OK</v>
      </c>
      <c r="Q2060" t="str">
        <f t="shared" si="130"/>
        <v>OK</v>
      </c>
      <c r="R2060" t="str">
        <f t="shared" si="131"/>
        <v>OK</v>
      </c>
    </row>
    <row r="2061" spans="1:18" x14ac:dyDescent="0.3">
      <c r="A2061" s="1">
        <v>45776</v>
      </c>
      <c r="B2061" s="2" t="s">
        <v>2635</v>
      </c>
      <c r="C2061" s="2" t="s">
        <v>2543</v>
      </c>
      <c r="D2061" s="2" t="s">
        <v>2525</v>
      </c>
      <c r="E2061" s="2" t="s">
        <v>2517</v>
      </c>
      <c r="F2061" s="3">
        <v>160262</v>
      </c>
      <c r="G2061" s="3">
        <v>14343</v>
      </c>
      <c r="H2061" s="3">
        <v>1612</v>
      </c>
      <c r="I2061" s="4">
        <v>25539.59</v>
      </c>
      <c r="J2061" s="4">
        <v>209416.14</v>
      </c>
      <c r="K2061" s="3">
        <v>1342</v>
      </c>
      <c r="L2061" s="2" t="s">
        <v>2523</v>
      </c>
      <c r="M2061" s="2" t="s">
        <v>2546</v>
      </c>
      <c r="N2061" s="6">
        <f t="shared" si="128"/>
        <v>1</v>
      </c>
      <c r="O2061" t="str">
        <f>IF(Tabla_control[[#This Row],[Control_duplicados]]&gt;1,"Duplicado","Unico")</f>
        <v>Unico</v>
      </c>
      <c r="P2061" t="str">
        <f t="shared" si="129"/>
        <v>OK</v>
      </c>
      <c r="Q2061" t="str">
        <f t="shared" si="130"/>
        <v>OK</v>
      </c>
      <c r="R2061" t="str">
        <f t="shared" si="131"/>
        <v>OK</v>
      </c>
    </row>
    <row r="2062" spans="1:18" x14ac:dyDescent="0.3">
      <c r="A2062" s="1">
        <v>45960</v>
      </c>
      <c r="B2062" s="2" t="s">
        <v>2626</v>
      </c>
      <c r="C2062" s="2" t="s">
        <v>2521</v>
      </c>
      <c r="D2062" s="2" t="s">
        <v>2528</v>
      </c>
      <c r="E2062" s="2" t="s">
        <v>2529</v>
      </c>
      <c r="F2062" s="3">
        <v>145614</v>
      </c>
      <c r="G2062" s="3">
        <v>11489</v>
      </c>
      <c r="H2062" s="3">
        <v>673</v>
      </c>
      <c r="I2062" s="4">
        <v>18880.11</v>
      </c>
      <c r="J2062" s="4">
        <v>76757.77</v>
      </c>
      <c r="K2062" s="3">
        <v>354</v>
      </c>
      <c r="L2062" s="2" t="s">
        <v>2518</v>
      </c>
      <c r="M2062" s="2" t="s">
        <v>2526</v>
      </c>
      <c r="N2062" s="6">
        <f t="shared" si="128"/>
        <v>2</v>
      </c>
      <c r="O2062" t="str">
        <f>IF(Tabla_control[[#This Row],[Control_duplicados]]&gt;1,"Duplicado","Unico")</f>
        <v>Duplicado</v>
      </c>
      <c r="P2062" t="str">
        <f t="shared" si="129"/>
        <v>OK</v>
      </c>
      <c r="Q2062" t="str">
        <f t="shared" si="130"/>
        <v>OK</v>
      </c>
      <c r="R2062" t="str">
        <f t="shared" si="131"/>
        <v>OK</v>
      </c>
    </row>
    <row r="2063" spans="1:18" x14ac:dyDescent="0.3">
      <c r="A2063" s="1">
        <v>45966</v>
      </c>
      <c r="B2063" s="2" t="s">
        <v>2635</v>
      </c>
      <c r="C2063" s="2" t="s">
        <v>2515</v>
      </c>
      <c r="D2063" s="2" t="s">
        <v>2528</v>
      </c>
      <c r="E2063" s="2" t="s">
        <v>2529</v>
      </c>
      <c r="F2063" s="3">
        <v>110394</v>
      </c>
      <c r="G2063" s="3">
        <v>1522</v>
      </c>
      <c r="H2063" s="3">
        <v>145</v>
      </c>
      <c r="I2063" s="4">
        <v>729.85</v>
      </c>
      <c r="J2063" s="4">
        <v>20111.63</v>
      </c>
      <c r="K2063" s="3">
        <v>94</v>
      </c>
      <c r="L2063" s="2" t="s">
        <v>2523</v>
      </c>
      <c r="M2063" s="2" t="s">
        <v>2537</v>
      </c>
      <c r="N2063" s="6">
        <f t="shared" si="128"/>
        <v>1</v>
      </c>
      <c r="O2063" t="str">
        <f>IF(Tabla_control[[#This Row],[Control_duplicados]]&gt;1,"Duplicado","Unico")</f>
        <v>Unico</v>
      </c>
      <c r="P2063" t="str">
        <f t="shared" si="129"/>
        <v>OK</v>
      </c>
      <c r="Q2063" t="str">
        <f t="shared" si="130"/>
        <v>OK</v>
      </c>
      <c r="R2063" t="str">
        <f t="shared" si="131"/>
        <v>OK</v>
      </c>
    </row>
    <row r="2064" spans="1:18" x14ac:dyDescent="0.3">
      <c r="A2064" s="1">
        <v>45663</v>
      </c>
      <c r="B2064" s="2" t="s">
        <v>2620</v>
      </c>
      <c r="C2064" s="2" t="s">
        <v>2541</v>
      </c>
      <c r="D2064" s="2" t="s">
        <v>2516</v>
      </c>
      <c r="E2064" s="2" t="s">
        <v>2529</v>
      </c>
      <c r="F2064" s="3">
        <v>48187</v>
      </c>
      <c r="G2064" s="3">
        <v>781</v>
      </c>
      <c r="H2064" s="3">
        <v>36</v>
      </c>
      <c r="I2064" s="4">
        <v>1310.85</v>
      </c>
      <c r="J2064" s="4">
        <v>5537.41</v>
      </c>
      <c r="K2064" s="3">
        <v>29</v>
      </c>
      <c r="L2064" s="2" t="s">
        <v>2536</v>
      </c>
      <c r="M2064" s="2" t="s">
        <v>2519</v>
      </c>
      <c r="N2064" s="6">
        <f t="shared" si="128"/>
        <v>1</v>
      </c>
      <c r="O2064" t="str">
        <f>IF(Tabla_control[[#This Row],[Control_duplicados]]&gt;1,"Duplicado","Unico")</f>
        <v>Unico</v>
      </c>
      <c r="P2064" t="str">
        <f t="shared" si="129"/>
        <v>OK</v>
      </c>
      <c r="Q2064" t="str">
        <f t="shared" si="130"/>
        <v>OK</v>
      </c>
      <c r="R2064" t="str">
        <f t="shared" si="131"/>
        <v>OK</v>
      </c>
    </row>
    <row r="2065" spans="1:18" x14ac:dyDescent="0.3">
      <c r="A2065" s="1">
        <v>45983</v>
      </c>
      <c r="B2065" s="2" t="s">
        <v>2619</v>
      </c>
      <c r="C2065" s="2" t="s">
        <v>2541</v>
      </c>
      <c r="D2065" s="2" t="s">
        <v>2528</v>
      </c>
      <c r="E2065" s="2" t="s">
        <v>2529</v>
      </c>
      <c r="F2065" s="3">
        <v>110375</v>
      </c>
      <c r="G2065" s="3">
        <v>9777</v>
      </c>
      <c r="H2065" s="3">
        <v>973</v>
      </c>
      <c r="I2065" s="4">
        <v>7811.37</v>
      </c>
      <c r="J2065" s="4">
        <v>101825.04</v>
      </c>
      <c r="K2065" s="3">
        <v>481</v>
      </c>
      <c r="L2065" s="2" t="s">
        <v>2518</v>
      </c>
      <c r="M2065" s="2" t="s">
        <v>2546</v>
      </c>
      <c r="N2065" s="6">
        <f t="shared" si="128"/>
        <v>1</v>
      </c>
      <c r="O2065" t="str">
        <f>IF(Tabla_control[[#This Row],[Control_duplicados]]&gt;1,"Duplicado","Unico")</f>
        <v>Unico</v>
      </c>
      <c r="P2065" t="str">
        <f t="shared" si="129"/>
        <v>OK</v>
      </c>
      <c r="Q2065" t="str">
        <f t="shared" si="130"/>
        <v>OK</v>
      </c>
      <c r="R2065" t="str">
        <f t="shared" si="131"/>
        <v>OK</v>
      </c>
    </row>
    <row r="2066" spans="1:18" x14ac:dyDescent="0.3">
      <c r="A2066" s="1">
        <v>45745</v>
      </c>
      <c r="B2066" s="2" t="s">
        <v>2634</v>
      </c>
      <c r="C2066" s="2" t="s">
        <v>2515</v>
      </c>
      <c r="D2066" s="2" t="s">
        <v>2528</v>
      </c>
      <c r="E2066" s="2" t="s">
        <v>2517</v>
      </c>
      <c r="F2066" s="3">
        <v>98563</v>
      </c>
      <c r="G2066" s="3">
        <v>2363</v>
      </c>
      <c r="H2066" s="3">
        <v>45</v>
      </c>
      <c r="I2066" s="4">
        <v>1123.02</v>
      </c>
      <c r="J2066" s="4">
        <v>5171.87</v>
      </c>
      <c r="K2066" s="3">
        <v>39</v>
      </c>
      <c r="L2066" s="2" t="s">
        <v>2518</v>
      </c>
      <c r="M2066" s="2" t="s">
        <v>2537</v>
      </c>
      <c r="N2066" s="6">
        <f t="shared" si="128"/>
        <v>1</v>
      </c>
      <c r="O2066" t="str">
        <f>IF(Tabla_control[[#This Row],[Control_duplicados]]&gt;1,"Duplicado","Unico")</f>
        <v>Unico</v>
      </c>
      <c r="P2066" t="str">
        <f t="shared" si="129"/>
        <v>OK</v>
      </c>
      <c r="Q2066" t="str">
        <f t="shared" si="130"/>
        <v>OK</v>
      </c>
      <c r="R2066" t="str">
        <f t="shared" si="131"/>
        <v>OK</v>
      </c>
    </row>
    <row r="2067" spans="1:18" x14ac:dyDescent="0.3">
      <c r="A2067" s="1">
        <v>45721</v>
      </c>
      <c r="B2067" s="2" t="s">
        <v>2618</v>
      </c>
      <c r="C2067" s="2" t="s">
        <v>2515</v>
      </c>
      <c r="D2067" s="2" t="s">
        <v>2525</v>
      </c>
      <c r="E2067" s="2" t="s">
        <v>2529</v>
      </c>
      <c r="F2067" s="3">
        <v>14251</v>
      </c>
      <c r="G2067" s="3">
        <v>877</v>
      </c>
      <c r="H2067" s="3">
        <v>23</v>
      </c>
      <c r="I2067" s="4">
        <v>500.86</v>
      </c>
      <c r="J2067" s="4">
        <v>2852.2</v>
      </c>
      <c r="K2067" s="3">
        <v>13</v>
      </c>
      <c r="L2067" s="2" t="s">
        <v>2539</v>
      </c>
      <c r="M2067" s="2" t="s">
        <v>2546</v>
      </c>
      <c r="N2067" s="6">
        <f t="shared" si="128"/>
        <v>1</v>
      </c>
      <c r="O2067" t="str">
        <f>IF(Tabla_control[[#This Row],[Control_duplicados]]&gt;1,"Duplicado","Unico")</f>
        <v>Unico</v>
      </c>
      <c r="P2067" t="str">
        <f t="shared" si="129"/>
        <v>OK</v>
      </c>
      <c r="Q2067" t="str">
        <f t="shared" si="130"/>
        <v>OK</v>
      </c>
      <c r="R2067" t="str">
        <f t="shared" si="131"/>
        <v>OK</v>
      </c>
    </row>
    <row r="2068" spans="1:18" x14ac:dyDescent="0.3">
      <c r="A2068" s="1">
        <v>45944</v>
      </c>
      <c r="B2068" s="2" t="s">
        <v>2634</v>
      </c>
      <c r="C2068" s="2" t="s">
        <v>2515</v>
      </c>
      <c r="D2068" s="2" t="s">
        <v>2528</v>
      </c>
      <c r="E2068" s="2" t="s">
        <v>2517</v>
      </c>
      <c r="F2068" s="3">
        <v>72561</v>
      </c>
      <c r="G2068" s="3">
        <v>5842</v>
      </c>
      <c r="H2068" s="3">
        <v>584</v>
      </c>
      <c r="I2068" s="4">
        <v>8074.8</v>
      </c>
      <c r="J2068" s="4">
        <v>48887.91</v>
      </c>
      <c r="K2068" s="3">
        <v>486</v>
      </c>
      <c r="L2068" s="2" t="s">
        <v>2536</v>
      </c>
      <c r="M2068" s="2" t="s">
        <v>2519</v>
      </c>
      <c r="N2068" s="6">
        <f t="shared" si="128"/>
        <v>1</v>
      </c>
      <c r="O2068" t="str">
        <f>IF(Tabla_control[[#This Row],[Control_duplicados]]&gt;1,"Duplicado","Unico")</f>
        <v>Unico</v>
      </c>
      <c r="P2068" t="str">
        <f t="shared" si="129"/>
        <v>OK</v>
      </c>
      <c r="Q2068" t="str">
        <f t="shared" si="130"/>
        <v>OK</v>
      </c>
      <c r="R2068" t="str">
        <f t="shared" si="131"/>
        <v>OK</v>
      </c>
    </row>
    <row r="2069" spans="1:18" x14ac:dyDescent="0.3">
      <c r="A2069" s="1">
        <v>45730</v>
      </c>
      <c r="B2069" s="2" t="s">
        <v>2643</v>
      </c>
      <c r="C2069" s="2" t="s">
        <v>2533</v>
      </c>
      <c r="D2069" s="2" t="s">
        <v>2528</v>
      </c>
      <c r="E2069" s="2" t="s">
        <v>2529</v>
      </c>
      <c r="F2069" s="3">
        <v>117142</v>
      </c>
      <c r="G2069" s="3">
        <v>4804</v>
      </c>
      <c r="H2069" s="3">
        <v>41</v>
      </c>
      <c r="I2069" s="4">
        <v>4543.5</v>
      </c>
      <c r="J2069" s="4">
        <v>7046.53</v>
      </c>
      <c r="K2069" s="3">
        <v>31</v>
      </c>
      <c r="L2069" s="2" t="s">
        <v>2539</v>
      </c>
      <c r="M2069" s="2" t="s">
        <v>2537</v>
      </c>
      <c r="N2069" s="6">
        <f t="shared" si="128"/>
        <v>1</v>
      </c>
      <c r="O2069" t="str">
        <f>IF(Tabla_control[[#This Row],[Control_duplicados]]&gt;1,"Duplicado","Unico")</f>
        <v>Unico</v>
      </c>
      <c r="P2069" t="str">
        <f t="shared" si="129"/>
        <v>OK</v>
      </c>
      <c r="Q2069" t="str">
        <f t="shared" si="130"/>
        <v>OK</v>
      </c>
      <c r="R2069" t="str">
        <f t="shared" si="131"/>
        <v>OK</v>
      </c>
    </row>
    <row r="2070" spans="1:18" x14ac:dyDescent="0.3">
      <c r="A2070" s="1">
        <v>45906</v>
      </c>
      <c r="B2070" s="2" t="s">
        <v>2638</v>
      </c>
      <c r="C2070" s="2" t="s">
        <v>2521</v>
      </c>
      <c r="D2070" s="2" t="s">
        <v>2528</v>
      </c>
      <c r="E2070" s="2" t="s">
        <v>2517</v>
      </c>
      <c r="F2070" s="3">
        <v>120381</v>
      </c>
      <c r="G2070" s="3">
        <v>5952</v>
      </c>
      <c r="H2070" s="3">
        <v>454</v>
      </c>
      <c r="I2070" s="4">
        <v>1920.71</v>
      </c>
      <c r="J2070" s="4">
        <v>99587.97</v>
      </c>
      <c r="K2070" s="3">
        <v>215</v>
      </c>
      <c r="L2070" s="2" t="s">
        <v>2523</v>
      </c>
      <c r="M2070" s="2" t="s">
        <v>2524</v>
      </c>
      <c r="N2070" s="6">
        <f t="shared" si="128"/>
        <v>1</v>
      </c>
      <c r="O2070" t="str">
        <f>IF(Tabla_control[[#This Row],[Control_duplicados]]&gt;1,"Duplicado","Unico")</f>
        <v>Unico</v>
      </c>
      <c r="P2070" t="str">
        <f t="shared" si="129"/>
        <v>OK</v>
      </c>
      <c r="Q2070" t="str">
        <f t="shared" si="130"/>
        <v>OK</v>
      </c>
      <c r="R2070" t="str">
        <f t="shared" si="131"/>
        <v>OK</v>
      </c>
    </row>
    <row r="2071" spans="1:18" x14ac:dyDescent="0.3">
      <c r="A2071" s="1">
        <v>45716</v>
      </c>
      <c r="B2071" s="2" t="s">
        <v>2622</v>
      </c>
      <c r="C2071" s="2" t="s">
        <v>2527</v>
      </c>
      <c r="D2071" s="2" t="s">
        <v>2516</v>
      </c>
      <c r="E2071" s="2" t="s">
        <v>2517</v>
      </c>
      <c r="F2071" s="3">
        <v>41777</v>
      </c>
      <c r="G2071" s="3">
        <v>510</v>
      </c>
      <c r="H2071" s="3">
        <v>5</v>
      </c>
      <c r="I2071" s="4">
        <v>996.11</v>
      </c>
      <c r="J2071" s="4">
        <v>256.56</v>
      </c>
      <c r="K2071" s="3">
        <v>3</v>
      </c>
      <c r="L2071" s="2" t="s">
        <v>2523</v>
      </c>
      <c r="M2071" s="2" t="s">
        <v>2519</v>
      </c>
      <c r="N2071" s="6">
        <f t="shared" si="128"/>
        <v>1</v>
      </c>
      <c r="O2071" t="str">
        <f>IF(Tabla_control[[#This Row],[Control_duplicados]]&gt;1,"Duplicado","Unico")</f>
        <v>Unico</v>
      </c>
      <c r="P2071" t="str">
        <f t="shared" si="129"/>
        <v>OK</v>
      </c>
      <c r="Q2071" t="str">
        <f t="shared" si="130"/>
        <v>OK</v>
      </c>
      <c r="R2071" t="str">
        <f t="shared" si="131"/>
        <v>OK</v>
      </c>
    </row>
    <row r="2072" spans="1:18" x14ac:dyDescent="0.3">
      <c r="A2072" s="1">
        <v>45915</v>
      </c>
      <c r="B2072" s="2" t="s">
        <v>2635</v>
      </c>
      <c r="C2072" s="2" t="s">
        <v>2541</v>
      </c>
      <c r="D2072" s="2" t="s">
        <v>2528</v>
      </c>
      <c r="E2072" s="2" t="s">
        <v>2529</v>
      </c>
      <c r="F2072" s="3">
        <v>115490</v>
      </c>
      <c r="G2072" s="3">
        <v>7724</v>
      </c>
      <c r="H2072" s="3">
        <v>99</v>
      </c>
      <c r="I2072" s="4">
        <v>1886.75</v>
      </c>
      <c r="J2072" s="4">
        <v>12835.39</v>
      </c>
      <c r="K2072" s="3">
        <v>47</v>
      </c>
      <c r="L2072" s="2" t="s">
        <v>2536</v>
      </c>
      <c r="M2072" s="2" t="s">
        <v>2537</v>
      </c>
      <c r="N2072" s="6">
        <f t="shared" si="128"/>
        <v>1</v>
      </c>
      <c r="O2072" t="str">
        <f>IF(Tabla_control[[#This Row],[Control_duplicados]]&gt;1,"Duplicado","Unico")</f>
        <v>Unico</v>
      </c>
      <c r="P2072" t="str">
        <f t="shared" si="129"/>
        <v>OK</v>
      </c>
      <c r="Q2072" t="str">
        <f t="shared" si="130"/>
        <v>OK</v>
      </c>
      <c r="R2072" t="str">
        <f t="shared" si="131"/>
        <v>OK</v>
      </c>
    </row>
    <row r="2073" spans="1:18" x14ac:dyDescent="0.3">
      <c r="A2073" s="1">
        <v>45750</v>
      </c>
      <c r="B2073" s="2" t="s">
        <v>2637</v>
      </c>
      <c r="C2073" s="2" t="s">
        <v>2521</v>
      </c>
      <c r="D2073" s="2" t="s">
        <v>2516</v>
      </c>
      <c r="E2073" s="2" t="s">
        <v>2529</v>
      </c>
      <c r="F2073" s="3">
        <v>15715</v>
      </c>
      <c r="G2073" s="3">
        <v>1100</v>
      </c>
      <c r="H2073" s="3">
        <v>123</v>
      </c>
      <c r="I2073" s="4">
        <v>880.71</v>
      </c>
      <c r="J2073" s="4">
        <v>25665.72</v>
      </c>
      <c r="K2073" s="3">
        <v>108</v>
      </c>
      <c r="L2073" s="2" t="s">
        <v>2536</v>
      </c>
      <c r="M2073" s="2" t="s">
        <v>2537</v>
      </c>
      <c r="N2073" s="6">
        <f t="shared" si="128"/>
        <v>1</v>
      </c>
      <c r="O2073" t="str">
        <f>IF(Tabla_control[[#This Row],[Control_duplicados]]&gt;1,"Duplicado","Unico")</f>
        <v>Unico</v>
      </c>
      <c r="P2073" t="str">
        <f t="shared" si="129"/>
        <v>OK</v>
      </c>
      <c r="Q2073" t="str">
        <f t="shared" si="130"/>
        <v>OK</v>
      </c>
      <c r="R2073" t="str">
        <f t="shared" si="131"/>
        <v>OK</v>
      </c>
    </row>
    <row r="2074" spans="1:18" x14ac:dyDescent="0.3">
      <c r="A2074" s="1">
        <v>45908</v>
      </c>
      <c r="B2074" s="2" t="s">
        <v>2631</v>
      </c>
      <c r="C2074" s="2" t="s">
        <v>2515</v>
      </c>
      <c r="D2074" s="2" t="s">
        <v>2531</v>
      </c>
      <c r="E2074" s="2" t="s">
        <v>2529</v>
      </c>
      <c r="F2074" s="3">
        <v>10911</v>
      </c>
      <c r="G2074" s="3">
        <v>934</v>
      </c>
      <c r="H2074" s="3">
        <v>51</v>
      </c>
      <c r="I2074" s="4">
        <v>1019.86</v>
      </c>
      <c r="J2074" s="4">
        <v>8869.98</v>
      </c>
      <c r="K2074" s="3">
        <v>36</v>
      </c>
      <c r="L2074" s="2" t="s">
        <v>2523</v>
      </c>
      <c r="M2074" s="2" t="s">
        <v>2524</v>
      </c>
      <c r="N2074" s="6">
        <f t="shared" si="128"/>
        <v>1</v>
      </c>
      <c r="O2074" t="str">
        <f>IF(Tabla_control[[#This Row],[Control_duplicados]]&gt;1,"Duplicado","Unico")</f>
        <v>Unico</v>
      </c>
      <c r="P2074" t="str">
        <f t="shared" si="129"/>
        <v>OK</v>
      </c>
      <c r="Q2074" t="str">
        <f t="shared" si="130"/>
        <v>OK</v>
      </c>
      <c r="R2074" t="str">
        <f t="shared" si="131"/>
        <v>OK</v>
      </c>
    </row>
    <row r="2075" spans="1:18" x14ac:dyDescent="0.3">
      <c r="A2075" s="1">
        <v>45670</v>
      </c>
      <c r="B2075" s="2" t="s">
        <v>2625</v>
      </c>
      <c r="C2075" s="2" t="s">
        <v>2543</v>
      </c>
      <c r="D2075" s="2" t="s">
        <v>2516</v>
      </c>
      <c r="E2075" s="2" t="s">
        <v>2517</v>
      </c>
      <c r="F2075" s="3">
        <v>99810</v>
      </c>
      <c r="G2075" s="3">
        <v>7861</v>
      </c>
      <c r="H2075" s="3">
        <v>672</v>
      </c>
      <c r="I2075" s="4">
        <v>11628.47</v>
      </c>
      <c r="J2075" s="4">
        <v>120282.97</v>
      </c>
      <c r="K2075" s="3">
        <v>542</v>
      </c>
      <c r="L2075" s="2" t="s">
        <v>2536</v>
      </c>
      <c r="M2075" s="2" t="s">
        <v>2526</v>
      </c>
      <c r="N2075" s="6">
        <f t="shared" si="128"/>
        <v>1</v>
      </c>
      <c r="O2075" t="str">
        <f>IF(Tabla_control[[#This Row],[Control_duplicados]]&gt;1,"Duplicado","Unico")</f>
        <v>Unico</v>
      </c>
      <c r="P2075" t="str">
        <f t="shared" si="129"/>
        <v>OK</v>
      </c>
      <c r="Q2075" t="str">
        <f t="shared" si="130"/>
        <v>OK</v>
      </c>
      <c r="R2075" t="str">
        <f t="shared" si="131"/>
        <v>OK</v>
      </c>
    </row>
    <row r="2076" spans="1:18" x14ac:dyDescent="0.3">
      <c r="A2076" s="1">
        <v>45822</v>
      </c>
      <c r="B2076" s="2" t="s">
        <v>2627</v>
      </c>
      <c r="C2076" s="2" t="s">
        <v>2515</v>
      </c>
      <c r="D2076" s="2" t="s">
        <v>2528</v>
      </c>
      <c r="E2076" s="2" t="s">
        <v>2534</v>
      </c>
      <c r="F2076" s="3">
        <v>10619</v>
      </c>
      <c r="G2076" s="3">
        <v>179</v>
      </c>
      <c r="H2076" s="3">
        <v>17</v>
      </c>
      <c r="I2076" s="4">
        <v>342.84</v>
      </c>
      <c r="J2076" s="4">
        <v>3214.83</v>
      </c>
      <c r="K2076" s="3">
        <v>8</v>
      </c>
      <c r="L2076" s="2" t="s">
        <v>2539</v>
      </c>
      <c r="M2076" s="2" t="s">
        <v>2537</v>
      </c>
      <c r="N2076" s="6">
        <f t="shared" si="128"/>
        <v>1</v>
      </c>
      <c r="O2076" t="str">
        <f>IF(Tabla_control[[#This Row],[Control_duplicados]]&gt;1,"Duplicado","Unico")</f>
        <v>Unico</v>
      </c>
      <c r="P2076" t="str">
        <f t="shared" si="129"/>
        <v>OK</v>
      </c>
      <c r="Q2076" t="str">
        <f t="shared" si="130"/>
        <v>OK</v>
      </c>
      <c r="R2076" t="str">
        <f t="shared" si="131"/>
        <v>OK</v>
      </c>
    </row>
    <row r="2077" spans="1:18" x14ac:dyDescent="0.3">
      <c r="A2077" s="1">
        <v>46019</v>
      </c>
      <c r="B2077" s="2" t="s">
        <v>2624</v>
      </c>
      <c r="C2077" s="2" t="s">
        <v>2515</v>
      </c>
      <c r="D2077" s="2" t="s">
        <v>2528</v>
      </c>
      <c r="E2077" s="2" t="s">
        <v>2517</v>
      </c>
      <c r="F2077" s="3">
        <v>90025</v>
      </c>
      <c r="G2077" s="3">
        <v>1144</v>
      </c>
      <c r="H2077" s="3">
        <v>73</v>
      </c>
      <c r="I2077" s="4">
        <v>1255.06</v>
      </c>
      <c r="J2077" s="4">
        <v>9979.52</v>
      </c>
      <c r="K2077" s="3">
        <v>51</v>
      </c>
      <c r="L2077" s="2" t="s">
        <v>2518</v>
      </c>
      <c r="M2077" s="2" t="s">
        <v>2546</v>
      </c>
      <c r="N2077" s="6">
        <f t="shared" si="128"/>
        <v>1</v>
      </c>
      <c r="O2077" t="str">
        <f>IF(Tabla_control[[#This Row],[Control_duplicados]]&gt;1,"Duplicado","Unico")</f>
        <v>Unico</v>
      </c>
      <c r="P2077" t="str">
        <f t="shared" si="129"/>
        <v>OK</v>
      </c>
      <c r="Q2077" t="str">
        <f t="shared" si="130"/>
        <v>OK</v>
      </c>
      <c r="R2077" t="str">
        <f t="shared" si="131"/>
        <v>OK</v>
      </c>
    </row>
    <row r="2078" spans="1:18" x14ac:dyDescent="0.3">
      <c r="A2078" s="1">
        <v>45750</v>
      </c>
      <c r="B2078" s="2" t="s">
        <v>2623</v>
      </c>
      <c r="C2078" s="2" t="s">
        <v>2533</v>
      </c>
      <c r="D2078" s="2" t="s">
        <v>2531</v>
      </c>
      <c r="E2078" s="2" t="s">
        <v>2517</v>
      </c>
      <c r="F2078" s="3">
        <v>81086</v>
      </c>
      <c r="G2078" s="3">
        <v>7185</v>
      </c>
      <c r="H2078" s="3">
        <v>886</v>
      </c>
      <c r="I2078" s="4">
        <v>13671.15</v>
      </c>
      <c r="J2078" s="4">
        <v>66793.97</v>
      </c>
      <c r="K2078" s="3">
        <v>506</v>
      </c>
      <c r="L2078" s="2" t="s">
        <v>2539</v>
      </c>
      <c r="M2078" s="2" t="s">
        <v>2519</v>
      </c>
      <c r="N2078" s="6">
        <f t="shared" si="128"/>
        <v>1</v>
      </c>
      <c r="O2078" t="str">
        <f>IF(Tabla_control[[#This Row],[Control_duplicados]]&gt;1,"Duplicado","Unico")</f>
        <v>Unico</v>
      </c>
      <c r="P2078" t="str">
        <f t="shared" si="129"/>
        <v>OK</v>
      </c>
      <c r="Q2078" t="str">
        <f t="shared" si="130"/>
        <v>OK</v>
      </c>
      <c r="R2078" t="str">
        <f t="shared" si="131"/>
        <v>OK</v>
      </c>
    </row>
    <row r="2079" spans="1:18" x14ac:dyDescent="0.3">
      <c r="A2079" s="1">
        <v>45729</v>
      </c>
      <c r="B2079" s="2" t="s">
        <v>2642</v>
      </c>
      <c r="C2079" s="2" t="s">
        <v>2515</v>
      </c>
      <c r="D2079" s="2" t="s">
        <v>2525</v>
      </c>
      <c r="E2079" s="2" t="s">
        <v>2517</v>
      </c>
      <c r="F2079" s="3">
        <v>97169</v>
      </c>
      <c r="G2079" s="3">
        <v>958</v>
      </c>
      <c r="H2079" s="3">
        <v>92</v>
      </c>
      <c r="I2079" s="4">
        <v>406.13</v>
      </c>
      <c r="J2079" s="4">
        <v>11926.35</v>
      </c>
      <c r="K2079" s="3">
        <v>46</v>
      </c>
      <c r="L2079" s="2" t="s">
        <v>2539</v>
      </c>
      <c r="M2079" s="2" t="s">
        <v>2519</v>
      </c>
      <c r="N2079" s="6">
        <f t="shared" si="128"/>
        <v>2</v>
      </c>
      <c r="O2079" t="str">
        <f>IF(Tabla_control[[#This Row],[Control_duplicados]]&gt;1,"Duplicado","Unico")</f>
        <v>Duplicado</v>
      </c>
      <c r="P2079" t="str">
        <f t="shared" si="129"/>
        <v>OK</v>
      </c>
      <c r="Q2079" t="str">
        <f t="shared" si="130"/>
        <v>OK</v>
      </c>
      <c r="R2079" t="str">
        <f t="shared" si="131"/>
        <v>OK</v>
      </c>
    </row>
    <row r="2080" spans="1:18" x14ac:dyDescent="0.3">
      <c r="A2080" s="1">
        <v>45783</v>
      </c>
      <c r="B2080" s="2" t="s">
        <v>2639</v>
      </c>
      <c r="C2080" s="2" t="s">
        <v>2515</v>
      </c>
      <c r="D2080" s="2" t="s">
        <v>2528</v>
      </c>
      <c r="E2080" s="2" t="s">
        <v>2517</v>
      </c>
      <c r="F2080" s="3">
        <v>78934</v>
      </c>
      <c r="G2080" s="3">
        <v>79332</v>
      </c>
      <c r="H2080" s="3">
        <v>48</v>
      </c>
      <c r="I2080" s="4">
        <v>1548.03</v>
      </c>
      <c r="J2080" s="4">
        <v>3063.97</v>
      </c>
      <c r="K2080" s="3">
        <v>25</v>
      </c>
      <c r="L2080" s="2" t="s">
        <v>2539</v>
      </c>
      <c r="M2080" s="2" t="s">
        <v>2524</v>
      </c>
      <c r="N2080" s="6">
        <f t="shared" si="128"/>
        <v>1</v>
      </c>
      <c r="O2080" t="str">
        <f>IF(Tabla_control[[#This Row],[Control_duplicados]]&gt;1,"Duplicado","Unico")</f>
        <v>Unico</v>
      </c>
      <c r="P2080" t="str">
        <f t="shared" si="129"/>
        <v>OK</v>
      </c>
      <c r="Q2080" t="str">
        <f t="shared" si="130"/>
        <v>OK</v>
      </c>
      <c r="R2080" t="str">
        <f t="shared" si="131"/>
        <v>OK</v>
      </c>
    </row>
    <row r="2081" spans="1:18" x14ac:dyDescent="0.3">
      <c r="A2081" s="1">
        <v>45836</v>
      </c>
      <c r="B2081" s="2" t="s">
        <v>2629</v>
      </c>
      <c r="C2081" s="2" t="s">
        <v>2515</v>
      </c>
      <c r="D2081" s="2" t="s">
        <v>2528</v>
      </c>
      <c r="E2081" s="2" t="s">
        <v>2517</v>
      </c>
      <c r="F2081" s="3">
        <v>56821</v>
      </c>
      <c r="G2081" s="3">
        <v>2811</v>
      </c>
      <c r="H2081" s="3">
        <v>216</v>
      </c>
      <c r="I2081" s="4">
        <v>4077.22</v>
      </c>
      <c r="J2081" s="4">
        <v>30212.52</v>
      </c>
      <c r="K2081" s="3">
        <v>155</v>
      </c>
      <c r="L2081" s="2" t="s">
        <v>2518</v>
      </c>
      <c r="M2081" s="2" t="s">
        <v>2519</v>
      </c>
      <c r="N2081" s="6">
        <f t="shared" si="128"/>
        <v>1</v>
      </c>
      <c r="O2081" t="str">
        <f>IF(Tabla_control[[#This Row],[Control_duplicados]]&gt;1,"Duplicado","Unico")</f>
        <v>Unico</v>
      </c>
      <c r="P2081" t="str">
        <f t="shared" si="129"/>
        <v>OK</v>
      </c>
      <c r="Q2081" t="str">
        <f t="shared" si="130"/>
        <v>OK</v>
      </c>
      <c r="R2081" t="str">
        <f t="shared" si="131"/>
        <v>OK</v>
      </c>
    </row>
    <row r="2082" spans="1:18" x14ac:dyDescent="0.3">
      <c r="A2082" s="1">
        <v>46007</v>
      </c>
      <c r="B2082" s="2" t="s">
        <v>2620</v>
      </c>
      <c r="C2082" s="2" t="s">
        <v>2527</v>
      </c>
      <c r="D2082" s="2" t="s">
        <v>2525</v>
      </c>
      <c r="E2082" s="2" t="s">
        <v>2517</v>
      </c>
      <c r="F2082" s="3">
        <v>25649</v>
      </c>
      <c r="G2082" s="3">
        <v>634</v>
      </c>
      <c r="H2082" s="3">
        <v>32</v>
      </c>
      <c r="I2082" s="4">
        <v>518.80999999999995</v>
      </c>
      <c r="J2082" s="4">
        <v>5605.71</v>
      </c>
      <c r="K2082" s="3">
        <v>19</v>
      </c>
      <c r="L2082" s="2" t="s">
        <v>2518</v>
      </c>
      <c r="M2082" s="2" t="s">
        <v>2546</v>
      </c>
      <c r="N2082" s="6">
        <f t="shared" si="128"/>
        <v>1</v>
      </c>
      <c r="O2082" t="str">
        <f>IF(Tabla_control[[#This Row],[Control_duplicados]]&gt;1,"Duplicado","Unico")</f>
        <v>Unico</v>
      </c>
      <c r="P2082" t="str">
        <f t="shared" si="129"/>
        <v>OK</v>
      </c>
      <c r="Q2082" t="str">
        <f t="shared" si="130"/>
        <v>OK</v>
      </c>
      <c r="R2082" t="str">
        <f t="shared" si="131"/>
        <v>OK</v>
      </c>
    </row>
    <row r="2083" spans="1:18" x14ac:dyDescent="0.3">
      <c r="A2083" s="1">
        <v>45747</v>
      </c>
      <c r="B2083" s="2" t="s">
        <v>2643</v>
      </c>
      <c r="C2083" s="2" t="s">
        <v>2527</v>
      </c>
      <c r="D2083" s="2" t="s">
        <v>2525</v>
      </c>
      <c r="E2083" s="2" t="s">
        <v>2529</v>
      </c>
      <c r="F2083" s="3">
        <v>109539</v>
      </c>
      <c r="G2083" s="3">
        <v>9840</v>
      </c>
      <c r="H2083" s="3">
        <v>112</v>
      </c>
      <c r="I2083" s="4">
        <v>3297.03</v>
      </c>
      <c r="J2083" s="4">
        <v>15759.24</v>
      </c>
      <c r="K2083" s="3">
        <v>59</v>
      </c>
      <c r="L2083" s="2" t="s">
        <v>2539</v>
      </c>
      <c r="M2083" s="2" t="s">
        <v>2524</v>
      </c>
      <c r="N2083" s="6">
        <f t="shared" si="128"/>
        <v>1</v>
      </c>
      <c r="O2083" t="str">
        <f>IF(Tabla_control[[#This Row],[Control_duplicados]]&gt;1,"Duplicado","Unico")</f>
        <v>Unico</v>
      </c>
      <c r="P2083" t="str">
        <f t="shared" si="129"/>
        <v>OK</v>
      </c>
      <c r="Q2083" t="str">
        <f t="shared" si="130"/>
        <v>OK</v>
      </c>
      <c r="R2083" t="str">
        <f t="shared" si="131"/>
        <v>OK</v>
      </c>
    </row>
    <row r="2084" spans="1:18" x14ac:dyDescent="0.3">
      <c r="A2084" s="1">
        <v>46002</v>
      </c>
      <c r="B2084" s="2" t="s">
        <v>2620</v>
      </c>
      <c r="C2084" s="2" t="s">
        <v>2533</v>
      </c>
      <c r="D2084" s="2" t="s">
        <v>2525</v>
      </c>
      <c r="E2084" s="2" t="s">
        <v>2517</v>
      </c>
      <c r="F2084" s="3">
        <v>177395</v>
      </c>
      <c r="G2084" s="3">
        <v>5960</v>
      </c>
      <c r="H2084" s="3">
        <v>586</v>
      </c>
      <c r="I2084" s="4">
        <v>8695.11</v>
      </c>
      <c r="J2084" s="4">
        <v>51765.7</v>
      </c>
      <c r="K2084" s="3">
        <v>335</v>
      </c>
      <c r="L2084" s="2" t="s">
        <v>2536</v>
      </c>
      <c r="M2084" s="2" t="s">
        <v>2526</v>
      </c>
      <c r="N2084" s="6">
        <f t="shared" si="128"/>
        <v>1</v>
      </c>
      <c r="O2084" t="str">
        <f>IF(Tabla_control[[#This Row],[Control_duplicados]]&gt;1,"Duplicado","Unico")</f>
        <v>Unico</v>
      </c>
      <c r="P2084" t="str">
        <f t="shared" si="129"/>
        <v>OK</v>
      </c>
      <c r="Q2084" t="str">
        <f t="shared" si="130"/>
        <v>OK</v>
      </c>
      <c r="R2084" t="str">
        <f t="shared" si="131"/>
        <v>OK</v>
      </c>
    </row>
    <row r="2085" spans="1:18" x14ac:dyDescent="0.3">
      <c r="A2085" s="1">
        <v>45890</v>
      </c>
      <c r="B2085" s="2" t="s">
        <v>2639</v>
      </c>
      <c r="C2085" s="2" t="s">
        <v>2533</v>
      </c>
      <c r="D2085" s="2" t="s">
        <v>2528</v>
      </c>
      <c r="E2085" s="2" t="s">
        <v>2529</v>
      </c>
      <c r="F2085" s="3">
        <v>168382</v>
      </c>
      <c r="G2085" s="3">
        <v>12775</v>
      </c>
      <c r="H2085" s="3">
        <v>1286</v>
      </c>
      <c r="I2085" s="4">
        <v>21499.439999999999</v>
      </c>
      <c r="J2085" s="4">
        <v>49231.29</v>
      </c>
      <c r="K2085" s="3">
        <v>647</v>
      </c>
      <c r="L2085" s="2" t="s">
        <v>2539</v>
      </c>
      <c r="M2085" s="2" t="s">
        <v>2519</v>
      </c>
      <c r="N2085" s="6">
        <f t="shared" si="128"/>
        <v>1</v>
      </c>
      <c r="O2085" t="str">
        <f>IF(Tabla_control[[#This Row],[Control_duplicados]]&gt;1,"Duplicado","Unico")</f>
        <v>Unico</v>
      </c>
      <c r="P2085" t="str">
        <f t="shared" si="129"/>
        <v>OK</v>
      </c>
      <c r="Q2085" t="str">
        <f t="shared" si="130"/>
        <v>OK</v>
      </c>
      <c r="R2085" t="str">
        <f t="shared" si="131"/>
        <v>OK</v>
      </c>
    </row>
    <row r="2086" spans="1:18" x14ac:dyDescent="0.3">
      <c r="A2086" s="1">
        <v>45910</v>
      </c>
      <c r="B2086" s="2" t="s">
        <v>2621</v>
      </c>
      <c r="C2086" s="2" t="s">
        <v>2527</v>
      </c>
      <c r="D2086" s="2" t="s">
        <v>2531</v>
      </c>
      <c r="E2086" s="2" t="s">
        <v>2529</v>
      </c>
      <c r="F2086" s="3">
        <v>118162</v>
      </c>
      <c r="G2086" s="3">
        <v>6791</v>
      </c>
      <c r="H2086" s="3">
        <v>687</v>
      </c>
      <c r="I2086" s="4">
        <v>3366.11</v>
      </c>
      <c r="J2086" s="4">
        <v>14475.66</v>
      </c>
      <c r="K2086" s="3">
        <v>464</v>
      </c>
      <c r="L2086" s="2" t="s">
        <v>2536</v>
      </c>
      <c r="M2086" s="2" t="s">
        <v>2546</v>
      </c>
      <c r="N2086" s="6">
        <f t="shared" si="128"/>
        <v>1</v>
      </c>
      <c r="O2086" t="str">
        <f>IF(Tabla_control[[#This Row],[Control_duplicados]]&gt;1,"Duplicado","Unico")</f>
        <v>Unico</v>
      </c>
      <c r="P2086" t="str">
        <f t="shared" si="129"/>
        <v>OK</v>
      </c>
      <c r="Q2086" t="str">
        <f t="shared" si="130"/>
        <v>OK</v>
      </c>
      <c r="R2086" t="str">
        <f t="shared" si="131"/>
        <v>OK</v>
      </c>
    </row>
    <row r="2087" spans="1:18" x14ac:dyDescent="0.3">
      <c r="A2087" s="1">
        <v>45744</v>
      </c>
      <c r="B2087" s="2" t="s">
        <v>2624</v>
      </c>
      <c r="C2087" s="2" t="s">
        <v>2527</v>
      </c>
      <c r="D2087" s="2" t="s">
        <v>2528</v>
      </c>
      <c r="E2087" s="2" t="s">
        <v>2517</v>
      </c>
      <c r="F2087" s="3">
        <v>114348</v>
      </c>
      <c r="G2087" s="3">
        <v>4257</v>
      </c>
      <c r="H2087" s="3">
        <v>68</v>
      </c>
      <c r="I2087" s="4">
        <v>3812.91</v>
      </c>
      <c r="J2087" s="4">
        <v>1573.32</v>
      </c>
      <c r="K2087" s="3">
        <v>54</v>
      </c>
      <c r="L2087" s="2" t="s">
        <v>2539</v>
      </c>
      <c r="M2087" s="2" t="s">
        <v>2537</v>
      </c>
      <c r="N2087" s="6">
        <f t="shared" si="128"/>
        <v>1</v>
      </c>
      <c r="O2087" t="str">
        <f>IF(Tabla_control[[#This Row],[Control_duplicados]]&gt;1,"Duplicado","Unico")</f>
        <v>Unico</v>
      </c>
      <c r="P2087" t="str">
        <f t="shared" si="129"/>
        <v>OK</v>
      </c>
      <c r="Q2087" t="str">
        <f t="shared" si="130"/>
        <v>OK</v>
      </c>
      <c r="R2087" t="str">
        <f t="shared" si="131"/>
        <v>OK</v>
      </c>
    </row>
    <row r="2088" spans="1:18" x14ac:dyDescent="0.3">
      <c r="A2088" s="1">
        <v>45775</v>
      </c>
      <c r="B2088" s="2" t="s">
        <v>2632</v>
      </c>
      <c r="C2088" s="2" t="s">
        <v>2541</v>
      </c>
      <c r="D2088" s="2" t="s">
        <v>2516</v>
      </c>
      <c r="E2088" s="2" t="s">
        <v>2529</v>
      </c>
      <c r="F2088" s="3">
        <v>78548</v>
      </c>
      <c r="G2088" s="3">
        <v>3057</v>
      </c>
      <c r="H2088" s="3">
        <v>169</v>
      </c>
      <c r="I2088" s="4">
        <v>3713.93</v>
      </c>
      <c r="J2088" s="4">
        <v>18625.34</v>
      </c>
      <c r="K2088" s="3">
        <v>81</v>
      </c>
      <c r="L2088" s="2" t="s">
        <v>2523</v>
      </c>
      <c r="M2088" s="2" t="s">
        <v>2546</v>
      </c>
      <c r="N2088" s="6">
        <f t="shared" si="128"/>
        <v>1</v>
      </c>
      <c r="O2088" t="str">
        <f>IF(Tabla_control[[#This Row],[Control_duplicados]]&gt;1,"Duplicado","Unico")</f>
        <v>Unico</v>
      </c>
      <c r="P2088" t="str">
        <f t="shared" si="129"/>
        <v>OK</v>
      </c>
      <c r="Q2088" t="str">
        <f t="shared" si="130"/>
        <v>OK</v>
      </c>
      <c r="R2088" t="str">
        <f t="shared" si="131"/>
        <v>OK</v>
      </c>
    </row>
    <row r="2089" spans="1:18" x14ac:dyDescent="0.3">
      <c r="A2089" s="1">
        <v>45664</v>
      </c>
      <c r="B2089" s="2" t="s">
        <v>2639</v>
      </c>
      <c r="C2089" s="2" t="s">
        <v>2533</v>
      </c>
      <c r="D2089" s="2" t="s">
        <v>2531</v>
      </c>
      <c r="E2089" s="2" t="s">
        <v>2529</v>
      </c>
      <c r="F2089" s="3">
        <v>17769</v>
      </c>
      <c r="G2089" s="3">
        <v>829</v>
      </c>
      <c r="H2089" s="3">
        <v>113</v>
      </c>
      <c r="I2089" s="4">
        <v>837.77</v>
      </c>
      <c r="J2089" s="4">
        <v>18650.580000000002</v>
      </c>
      <c r="K2089" s="3">
        <v>70</v>
      </c>
      <c r="L2089" s="2" t="s">
        <v>2536</v>
      </c>
      <c r="M2089" s="2" t="s">
        <v>2537</v>
      </c>
      <c r="N2089" s="6">
        <f t="shared" si="128"/>
        <v>1</v>
      </c>
      <c r="O2089" t="str">
        <f>IF(Tabla_control[[#This Row],[Control_duplicados]]&gt;1,"Duplicado","Unico")</f>
        <v>Unico</v>
      </c>
      <c r="P2089" t="str">
        <f t="shared" si="129"/>
        <v>OK</v>
      </c>
      <c r="Q2089" t="str">
        <f t="shared" si="130"/>
        <v>OK</v>
      </c>
      <c r="R2089" t="str">
        <f t="shared" si="131"/>
        <v>OK</v>
      </c>
    </row>
    <row r="2090" spans="1:18" x14ac:dyDescent="0.3">
      <c r="A2090" s="1">
        <v>45845</v>
      </c>
      <c r="B2090" s="2" t="s">
        <v>2629</v>
      </c>
      <c r="C2090" s="2" t="s">
        <v>2533</v>
      </c>
      <c r="D2090" s="2" t="s">
        <v>2522</v>
      </c>
      <c r="E2090" s="2" t="s">
        <v>2517</v>
      </c>
      <c r="F2090" s="3">
        <v>110825</v>
      </c>
      <c r="G2090" s="3">
        <v>5430</v>
      </c>
      <c r="H2090" s="3">
        <v>641</v>
      </c>
      <c r="I2090" s="4">
        <v>5135.75</v>
      </c>
      <c r="J2090" s="4">
        <v>36954.26</v>
      </c>
      <c r="K2090" s="3">
        <v>417</v>
      </c>
      <c r="L2090" s="2" t="s">
        <v>2536</v>
      </c>
      <c r="M2090" s="2" t="s">
        <v>2546</v>
      </c>
      <c r="N2090" s="6">
        <f t="shared" si="128"/>
        <v>1</v>
      </c>
      <c r="O2090" t="str">
        <f>IF(Tabla_control[[#This Row],[Control_duplicados]]&gt;1,"Duplicado","Unico")</f>
        <v>Unico</v>
      </c>
      <c r="P2090" t="str">
        <f t="shared" si="129"/>
        <v>OK</v>
      </c>
      <c r="Q2090" t="str">
        <f t="shared" si="130"/>
        <v>OK</v>
      </c>
      <c r="R2090" t="str">
        <f t="shared" si="131"/>
        <v>OK</v>
      </c>
    </row>
    <row r="2091" spans="1:18" x14ac:dyDescent="0.3">
      <c r="A2091" s="1">
        <v>45724</v>
      </c>
      <c r="B2091" s="2" t="s">
        <v>2641</v>
      </c>
      <c r="C2091" s="2" t="s">
        <v>2515</v>
      </c>
      <c r="D2091" s="2" t="s">
        <v>2528</v>
      </c>
      <c r="E2091" s="2" t="s">
        <v>2529</v>
      </c>
      <c r="F2091" s="3">
        <v>154249</v>
      </c>
      <c r="G2091" s="3">
        <v>8833</v>
      </c>
      <c r="H2091" s="3">
        <v>253</v>
      </c>
      <c r="I2091" s="4">
        <v>13334.45</v>
      </c>
      <c r="J2091" s="4">
        <v>47529.86</v>
      </c>
      <c r="K2091" s="3">
        <v>193</v>
      </c>
      <c r="L2091" s="2" t="s">
        <v>2523</v>
      </c>
      <c r="M2091" s="2" t="s">
        <v>2526</v>
      </c>
      <c r="N2091" s="6">
        <f t="shared" si="128"/>
        <v>1</v>
      </c>
      <c r="O2091" t="str">
        <f>IF(Tabla_control[[#This Row],[Control_duplicados]]&gt;1,"Duplicado","Unico")</f>
        <v>Unico</v>
      </c>
      <c r="P2091" t="str">
        <f t="shared" si="129"/>
        <v>OK</v>
      </c>
      <c r="Q2091" t="str">
        <f t="shared" si="130"/>
        <v>OK</v>
      </c>
      <c r="R2091" t="str">
        <f t="shared" si="131"/>
        <v>OK</v>
      </c>
    </row>
    <row r="2092" spans="1:18" x14ac:dyDescent="0.3">
      <c r="A2092" s="1">
        <v>45823</v>
      </c>
      <c r="B2092" s="2" t="s">
        <v>2631</v>
      </c>
      <c r="C2092" s="2" t="s">
        <v>2543</v>
      </c>
      <c r="D2092" s="2" t="s">
        <v>2522</v>
      </c>
      <c r="E2092" s="2" t="s">
        <v>2517</v>
      </c>
      <c r="F2092" s="3">
        <v>48430</v>
      </c>
      <c r="G2092" s="3">
        <v>1819</v>
      </c>
      <c r="H2092" s="3">
        <v>229</v>
      </c>
      <c r="I2092" s="4">
        <v>941.97</v>
      </c>
      <c r="J2092" s="4">
        <v>13238.57</v>
      </c>
      <c r="K2092" s="3">
        <v>184</v>
      </c>
      <c r="L2092" s="2" t="s">
        <v>2539</v>
      </c>
      <c r="M2092" s="2" t="s">
        <v>2526</v>
      </c>
      <c r="N2092" s="6">
        <f t="shared" si="128"/>
        <v>1</v>
      </c>
      <c r="O2092" t="str">
        <f>IF(Tabla_control[[#This Row],[Control_duplicados]]&gt;1,"Duplicado","Unico")</f>
        <v>Unico</v>
      </c>
      <c r="P2092" t="str">
        <f t="shared" si="129"/>
        <v>OK</v>
      </c>
      <c r="Q2092" t="str">
        <f t="shared" si="130"/>
        <v>OK</v>
      </c>
      <c r="R2092" t="str">
        <f t="shared" si="131"/>
        <v>OK</v>
      </c>
    </row>
    <row r="2093" spans="1:18" x14ac:dyDescent="0.3">
      <c r="A2093" s="1">
        <v>45868</v>
      </c>
      <c r="B2093" s="2" t="s">
        <v>2639</v>
      </c>
      <c r="C2093" s="2" t="s">
        <v>2527</v>
      </c>
      <c r="D2093" s="2" t="s">
        <v>2531</v>
      </c>
      <c r="E2093" s="2" t="s">
        <v>2529</v>
      </c>
      <c r="F2093" s="3">
        <v>68222</v>
      </c>
      <c r="G2093" s="3">
        <v>4016</v>
      </c>
      <c r="H2093" s="3">
        <v>477</v>
      </c>
      <c r="I2093" s="4">
        <v>6597.61</v>
      </c>
      <c r="J2093" s="4">
        <v>46142.43</v>
      </c>
      <c r="K2093" s="3">
        <v>282</v>
      </c>
      <c r="L2093" s="2" t="s">
        <v>2539</v>
      </c>
      <c r="M2093" s="2" t="s">
        <v>2519</v>
      </c>
      <c r="N2093" s="6">
        <f t="shared" si="128"/>
        <v>1</v>
      </c>
      <c r="O2093" t="str">
        <f>IF(Tabla_control[[#This Row],[Control_duplicados]]&gt;1,"Duplicado","Unico")</f>
        <v>Unico</v>
      </c>
      <c r="P2093" t="str">
        <f t="shared" si="129"/>
        <v>OK</v>
      </c>
      <c r="Q2093" t="str">
        <f t="shared" si="130"/>
        <v>OK</v>
      </c>
      <c r="R2093" t="str">
        <f t="shared" si="131"/>
        <v>OK</v>
      </c>
    </row>
    <row r="2094" spans="1:18" x14ac:dyDescent="0.3">
      <c r="A2094" s="1">
        <v>45757</v>
      </c>
      <c r="B2094" s="2" t="s">
        <v>2617</v>
      </c>
      <c r="C2094" s="2" t="s">
        <v>2527</v>
      </c>
      <c r="D2094" s="2" t="s">
        <v>2531</v>
      </c>
      <c r="E2094" s="2" t="s">
        <v>2517</v>
      </c>
      <c r="F2094" s="3">
        <v>103020</v>
      </c>
      <c r="G2094" s="3">
        <v>8472</v>
      </c>
      <c r="H2094" s="3">
        <v>412</v>
      </c>
      <c r="I2094" s="4">
        <v>10159.799999999999</v>
      </c>
      <c r="J2094" s="4">
        <v>64405.08</v>
      </c>
      <c r="K2094" s="3">
        <v>333</v>
      </c>
      <c r="L2094" s="2" t="s">
        <v>2539</v>
      </c>
      <c r="M2094" s="2" t="s">
        <v>2524</v>
      </c>
      <c r="N2094" s="6">
        <f t="shared" si="128"/>
        <v>1</v>
      </c>
      <c r="O2094" t="str">
        <f>IF(Tabla_control[[#This Row],[Control_duplicados]]&gt;1,"Duplicado","Unico")</f>
        <v>Unico</v>
      </c>
      <c r="P2094" t="str">
        <f t="shared" si="129"/>
        <v>OK</v>
      </c>
      <c r="Q2094" t="str">
        <f t="shared" si="130"/>
        <v>OK</v>
      </c>
      <c r="R2094" t="str">
        <f t="shared" si="131"/>
        <v>OK</v>
      </c>
    </row>
    <row r="2095" spans="1:18" x14ac:dyDescent="0.3">
      <c r="A2095" s="1">
        <v>45785</v>
      </c>
      <c r="B2095" s="2" t="s">
        <v>2632</v>
      </c>
      <c r="C2095" s="2" t="s">
        <v>2521</v>
      </c>
      <c r="D2095" s="2" t="s">
        <v>2531</v>
      </c>
      <c r="E2095" s="2" t="s">
        <v>2529</v>
      </c>
      <c r="F2095" s="3">
        <v>148483</v>
      </c>
      <c r="G2095" s="3">
        <v>3378</v>
      </c>
      <c r="H2095" s="3">
        <v>120</v>
      </c>
      <c r="I2095" s="4">
        <v>1502.65</v>
      </c>
      <c r="J2095" s="4">
        <v>3387.93</v>
      </c>
      <c r="K2095" s="3">
        <v>76</v>
      </c>
      <c r="L2095" s="2" t="s">
        <v>2539</v>
      </c>
      <c r="M2095" s="2" t="s">
        <v>2546</v>
      </c>
      <c r="N2095" s="6">
        <f t="shared" si="128"/>
        <v>1</v>
      </c>
      <c r="O2095" t="str">
        <f>IF(Tabla_control[[#This Row],[Control_duplicados]]&gt;1,"Duplicado","Unico")</f>
        <v>Unico</v>
      </c>
      <c r="P2095" t="str">
        <f t="shared" si="129"/>
        <v>OK</v>
      </c>
      <c r="Q2095" t="str">
        <f t="shared" si="130"/>
        <v>OK</v>
      </c>
      <c r="R2095" t="str">
        <f t="shared" si="131"/>
        <v>OK</v>
      </c>
    </row>
    <row r="2096" spans="1:18" x14ac:dyDescent="0.3">
      <c r="A2096" s="1">
        <v>45781</v>
      </c>
      <c r="B2096" s="2" t="s">
        <v>2644</v>
      </c>
      <c r="C2096" s="2" t="s">
        <v>2527</v>
      </c>
      <c r="D2096" s="2" t="s">
        <v>2528</v>
      </c>
      <c r="E2096" s="2" t="s">
        <v>2517</v>
      </c>
      <c r="F2096" s="3">
        <v>123182</v>
      </c>
      <c r="G2096" s="3">
        <v>6427</v>
      </c>
      <c r="H2096" s="3">
        <v>886</v>
      </c>
      <c r="I2096" s="4">
        <v>11730.17</v>
      </c>
      <c r="J2096" s="4">
        <v>72957.87</v>
      </c>
      <c r="K2096" s="3">
        <v>459</v>
      </c>
      <c r="L2096" s="2" t="s">
        <v>2518</v>
      </c>
      <c r="M2096" s="2" t="s">
        <v>2546</v>
      </c>
      <c r="N2096" s="6">
        <f t="shared" si="128"/>
        <v>2</v>
      </c>
      <c r="O2096" t="str">
        <f>IF(Tabla_control[[#This Row],[Control_duplicados]]&gt;1,"Duplicado","Unico")</f>
        <v>Duplicado</v>
      </c>
      <c r="P2096" t="str">
        <f t="shared" si="129"/>
        <v>OK</v>
      </c>
      <c r="Q2096" t="str">
        <f t="shared" si="130"/>
        <v>OK</v>
      </c>
      <c r="R2096" t="str">
        <f t="shared" si="131"/>
        <v>OK</v>
      </c>
    </row>
    <row r="2097" spans="1:18" x14ac:dyDescent="0.3">
      <c r="A2097" s="1">
        <v>45830</v>
      </c>
      <c r="B2097" s="2" t="s">
        <v>2638</v>
      </c>
      <c r="C2097" s="2" t="s">
        <v>2541</v>
      </c>
      <c r="D2097" s="2" t="s">
        <v>2516</v>
      </c>
      <c r="E2097" s="2" t="s">
        <v>2517</v>
      </c>
      <c r="F2097" s="3">
        <v>42894</v>
      </c>
      <c r="G2097" s="3">
        <v>2678</v>
      </c>
      <c r="H2097" s="3">
        <v>27</v>
      </c>
      <c r="J2097" s="4">
        <v>2346.6999999999998</v>
      </c>
      <c r="K2097" s="3">
        <v>23</v>
      </c>
      <c r="L2097" s="2" t="s">
        <v>2536</v>
      </c>
      <c r="M2097" s="2" t="s">
        <v>2524</v>
      </c>
      <c r="N2097" s="6">
        <f t="shared" si="128"/>
        <v>0</v>
      </c>
      <c r="O2097" t="str">
        <f>IF(Tabla_control[[#This Row],[Control_duplicados]]&gt;1,"Duplicado","Unico")</f>
        <v>Unico</v>
      </c>
      <c r="P2097" t="str">
        <f t="shared" si="129"/>
        <v>ERROR</v>
      </c>
      <c r="Q2097" t="str">
        <f t="shared" si="130"/>
        <v>OK</v>
      </c>
      <c r="R2097" t="str">
        <f t="shared" si="131"/>
        <v>OK</v>
      </c>
    </row>
    <row r="2098" spans="1:18" x14ac:dyDescent="0.3">
      <c r="A2098" s="1">
        <v>46012</v>
      </c>
      <c r="B2098" s="2" t="s">
        <v>2632</v>
      </c>
      <c r="C2098" s="2" t="s">
        <v>2533</v>
      </c>
      <c r="D2098" s="2" t="s">
        <v>2528</v>
      </c>
      <c r="E2098" s="2" t="s">
        <v>2529</v>
      </c>
      <c r="F2098" s="3">
        <v>171491</v>
      </c>
      <c r="G2098" s="3">
        <v>8526</v>
      </c>
      <c r="H2098" s="3">
        <v>118</v>
      </c>
      <c r="I2098" s="4">
        <v>6728.2</v>
      </c>
      <c r="J2098" s="4">
        <v>3780.27</v>
      </c>
      <c r="K2098" s="3">
        <v>70</v>
      </c>
      <c r="L2098" s="2" t="s">
        <v>2536</v>
      </c>
      <c r="M2098" s="2" t="s">
        <v>2546</v>
      </c>
      <c r="N2098" s="6">
        <f t="shared" si="128"/>
        <v>1</v>
      </c>
      <c r="O2098" t="str">
        <f>IF(Tabla_control[[#This Row],[Control_duplicados]]&gt;1,"Duplicado","Unico")</f>
        <v>Unico</v>
      </c>
      <c r="P2098" t="str">
        <f t="shared" si="129"/>
        <v>OK</v>
      </c>
      <c r="Q2098" t="str">
        <f t="shared" si="130"/>
        <v>OK</v>
      </c>
      <c r="R2098" t="str">
        <f t="shared" si="131"/>
        <v>OK</v>
      </c>
    </row>
    <row r="2099" spans="1:18" x14ac:dyDescent="0.3">
      <c r="A2099" s="1">
        <v>45806</v>
      </c>
      <c r="B2099" s="2" t="s">
        <v>2616</v>
      </c>
      <c r="C2099" s="2" t="s">
        <v>2521</v>
      </c>
      <c r="D2099" s="2" t="s">
        <v>2528</v>
      </c>
      <c r="E2099" s="2" t="s">
        <v>2529</v>
      </c>
      <c r="F2099" s="3">
        <v>43591</v>
      </c>
      <c r="G2099" s="3">
        <v>3178</v>
      </c>
      <c r="H2099" s="3">
        <v>443</v>
      </c>
      <c r="I2099" s="4">
        <v>3862.28</v>
      </c>
      <c r="J2099" s="4">
        <v>63768.57</v>
      </c>
      <c r="K2099" s="3">
        <v>247</v>
      </c>
      <c r="L2099" s="2" t="s">
        <v>2536</v>
      </c>
      <c r="M2099" s="2" t="s">
        <v>2524</v>
      </c>
      <c r="N2099" s="6">
        <f t="shared" si="128"/>
        <v>1</v>
      </c>
      <c r="O2099" t="str">
        <f>IF(Tabla_control[[#This Row],[Control_duplicados]]&gt;1,"Duplicado","Unico")</f>
        <v>Unico</v>
      </c>
      <c r="P2099" t="str">
        <f t="shared" si="129"/>
        <v>OK</v>
      </c>
      <c r="Q2099" t="str">
        <f t="shared" si="130"/>
        <v>OK</v>
      </c>
      <c r="R2099" t="str">
        <f t="shared" si="131"/>
        <v>OK</v>
      </c>
    </row>
    <row r="2100" spans="1:18" x14ac:dyDescent="0.3">
      <c r="A2100" s="1">
        <v>46011</v>
      </c>
      <c r="B2100" s="2" t="s">
        <v>2631</v>
      </c>
      <c r="C2100" s="2" t="s">
        <v>2541</v>
      </c>
      <c r="D2100" s="2" t="s">
        <v>2528</v>
      </c>
      <c r="E2100" s="2" t="s">
        <v>2517</v>
      </c>
      <c r="F2100" s="3">
        <v>133385</v>
      </c>
      <c r="G2100" s="3">
        <v>4070</v>
      </c>
      <c r="H2100" s="3">
        <v>278</v>
      </c>
      <c r="I2100" s="4">
        <v>1988.53</v>
      </c>
      <c r="J2100" s="4">
        <v>37242.44</v>
      </c>
      <c r="K2100" s="3">
        <v>162</v>
      </c>
      <c r="L2100" s="2" t="s">
        <v>2539</v>
      </c>
      <c r="M2100" s="2" t="s">
        <v>2519</v>
      </c>
      <c r="N2100" s="6">
        <f t="shared" si="128"/>
        <v>1</v>
      </c>
      <c r="O2100" t="str">
        <f>IF(Tabla_control[[#This Row],[Control_duplicados]]&gt;1,"Duplicado","Unico")</f>
        <v>Unico</v>
      </c>
      <c r="P2100" t="str">
        <f t="shared" si="129"/>
        <v>OK</v>
      </c>
      <c r="Q2100" t="str">
        <f t="shared" si="130"/>
        <v>OK</v>
      </c>
      <c r="R2100" t="str">
        <f t="shared" si="131"/>
        <v>OK</v>
      </c>
    </row>
    <row r="2101" spans="1:18" x14ac:dyDescent="0.3">
      <c r="A2101" s="1">
        <v>45969</v>
      </c>
      <c r="B2101" s="2" t="s">
        <v>2626</v>
      </c>
      <c r="C2101" s="2" t="s">
        <v>2543</v>
      </c>
      <c r="D2101" s="2" t="s">
        <v>2516</v>
      </c>
      <c r="E2101" s="2" t="s">
        <v>2534</v>
      </c>
      <c r="F2101" s="3">
        <v>80073</v>
      </c>
      <c r="G2101" s="3">
        <v>6190</v>
      </c>
      <c r="H2101" s="3">
        <v>715</v>
      </c>
      <c r="I2101" s="4">
        <v>7803.69</v>
      </c>
      <c r="J2101" s="4">
        <v>116147.64</v>
      </c>
      <c r="K2101" s="3">
        <v>611</v>
      </c>
      <c r="L2101" s="2" t="s">
        <v>2518</v>
      </c>
      <c r="M2101" s="2" t="s">
        <v>2519</v>
      </c>
      <c r="N2101" s="6">
        <f t="shared" si="128"/>
        <v>1</v>
      </c>
      <c r="O2101" t="str">
        <f>IF(Tabla_control[[#This Row],[Control_duplicados]]&gt;1,"Duplicado","Unico")</f>
        <v>Unico</v>
      </c>
      <c r="P2101" t="str">
        <f t="shared" si="129"/>
        <v>OK</v>
      </c>
      <c r="Q2101" t="str">
        <f t="shared" si="130"/>
        <v>OK</v>
      </c>
      <c r="R2101" t="str">
        <f t="shared" si="131"/>
        <v>OK</v>
      </c>
    </row>
    <row r="2102" spans="1:18" x14ac:dyDescent="0.3">
      <c r="A2102" s="1">
        <v>45963</v>
      </c>
      <c r="B2102" s="2" t="s">
        <v>2622</v>
      </c>
      <c r="C2102" s="2" t="s">
        <v>2541</v>
      </c>
      <c r="D2102" s="2" t="s">
        <v>2528</v>
      </c>
      <c r="E2102" s="2" t="s">
        <v>2517</v>
      </c>
      <c r="F2102" s="3">
        <v>179695</v>
      </c>
      <c r="G2102" s="3">
        <v>4557</v>
      </c>
      <c r="H2102" s="3">
        <v>152</v>
      </c>
      <c r="I2102" s="4">
        <v>5375.99</v>
      </c>
      <c r="J2102" s="4">
        <v>16006.17</v>
      </c>
      <c r="K2102" s="3">
        <v>75</v>
      </c>
      <c r="L2102" s="2" t="s">
        <v>2518</v>
      </c>
      <c r="M2102" s="2" t="s">
        <v>2526</v>
      </c>
      <c r="N2102" s="6">
        <f t="shared" si="128"/>
        <v>1</v>
      </c>
      <c r="O2102" t="str">
        <f>IF(Tabla_control[[#This Row],[Control_duplicados]]&gt;1,"Duplicado","Unico")</f>
        <v>Unico</v>
      </c>
      <c r="P2102" t="str">
        <f t="shared" si="129"/>
        <v>OK</v>
      </c>
      <c r="Q2102" t="str">
        <f t="shared" si="130"/>
        <v>OK</v>
      </c>
      <c r="R2102" t="str">
        <f t="shared" si="131"/>
        <v>OK</v>
      </c>
    </row>
    <row r="2103" spans="1:18" x14ac:dyDescent="0.3">
      <c r="A2103" s="1">
        <v>46008</v>
      </c>
      <c r="B2103" s="2" t="s">
        <v>2619</v>
      </c>
      <c r="C2103" s="2" t="s">
        <v>2533</v>
      </c>
      <c r="D2103" s="2" t="s">
        <v>2525</v>
      </c>
      <c r="E2103" s="2" t="s">
        <v>2517</v>
      </c>
      <c r="F2103" s="3">
        <v>64697</v>
      </c>
      <c r="G2103" s="3">
        <v>1713</v>
      </c>
      <c r="H2103" s="3">
        <v>31</v>
      </c>
      <c r="I2103" s="4">
        <v>2705.43</v>
      </c>
      <c r="J2103" s="4">
        <v>6472.04</v>
      </c>
      <c r="K2103" s="3">
        <v>18</v>
      </c>
      <c r="L2103" s="2" t="s">
        <v>2523</v>
      </c>
      <c r="M2103" s="2" t="s">
        <v>2546</v>
      </c>
      <c r="N2103" s="6">
        <f t="shared" si="128"/>
        <v>1</v>
      </c>
      <c r="O2103" t="str">
        <f>IF(Tabla_control[[#This Row],[Control_duplicados]]&gt;1,"Duplicado","Unico")</f>
        <v>Unico</v>
      </c>
      <c r="P2103" t="str">
        <f t="shared" si="129"/>
        <v>OK</v>
      </c>
      <c r="Q2103" t="str">
        <f t="shared" si="130"/>
        <v>OK</v>
      </c>
      <c r="R2103" t="str">
        <f t="shared" si="131"/>
        <v>OK</v>
      </c>
    </row>
    <row r="2104" spans="1:18" x14ac:dyDescent="0.3">
      <c r="A2104" s="1">
        <v>45824</v>
      </c>
      <c r="B2104" s="2" t="s">
        <v>2631</v>
      </c>
      <c r="C2104" s="2" t="s">
        <v>2543</v>
      </c>
      <c r="D2104" s="2" t="s">
        <v>2528</v>
      </c>
      <c r="E2104" s="2" t="s">
        <v>2529</v>
      </c>
      <c r="F2104" s="3">
        <v>163138</v>
      </c>
      <c r="G2104" s="3">
        <v>14476</v>
      </c>
      <c r="H2104" s="3">
        <v>131</v>
      </c>
      <c r="I2104" s="4">
        <v>5353.35</v>
      </c>
      <c r="J2104" s="4">
        <v>22444.65</v>
      </c>
      <c r="K2104" s="3">
        <v>106</v>
      </c>
      <c r="L2104" s="2" t="s">
        <v>2518</v>
      </c>
      <c r="M2104" s="2" t="s">
        <v>2519</v>
      </c>
      <c r="N2104" s="6">
        <f t="shared" si="128"/>
        <v>1</v>
      </c>
      <c r="O2104" t="str">
        <f>IF(Tabla_control[[#This Row],[Control_duplicados]]&gt;1,"Duplicado","Unico")</f>
        <v>Unico</v>
      </c>
      <c r="P2104" t="str">
        <f t="shared" si="129"/>
        <v>OK</v>
      </c>
      <c r="Q2104" t="str">
        <f t="shared" si="130"/>
        <v>OK</v>
      </c>
      <c r="R2104" t="str">
        <f t="shared" si="131"/>
        <v>OK</v>
      </c>
    </row>
    <row r="2105" spans="1:18" x14ac:dyDescent="0.3">
      <c r="A2105" s="1">
        <v>45906</v>
      </c>
      <c r="B2105" s="2" t="s">
        <v>2634</v>
      </c>
      <c r="C2105" s="2" t="s">
        <v>2543</v>
      </c>
      <c r="D2105" s="2" t="s">
        <v>2528</v>
      </c>
      <c r="E2105" s="2" t="s">
        <v>2517</v>
      </c>
      <c r="F2105" s="3">
        <v>173723</v>
      </c>
      <c r="G2105" s="3">
        <v>9344</v>
      </c>
      <c r="H2105" s="3">
        <v>963</v>
      </c>
      <c r="I2105" s="4">
        <v>4643.16</v>
      </c>
      <c r="J2105" s="4">
        <v>188474.42</v>
      </c>
      <c r="K2105" s="3">
        <v>840</v>
      </c>
      <c r="L2105" s="2" t="s">
        <v>2536</v>
      </c>
      <c r="M2105" s="2" t="s">
        <v>2537</v>
      </c>
      <c r="N2105" s="6">
        <f t="shared" si="128"/>
        <v>1</v>
      </c>
      <c r="O2105" t="str">
        <f>IF(Tabla_control[[#This Row],[Control_duplicados]]&gt;1,"Duplicado","Unico")</f>
        <v>Unico</v>
      </c>
      <c r="P2105" t="str">
        <f t="shared" si="129"/>
        <v>OK</v>
      </c>
      <c r="Q2105" t="str">
        <f t="shared" si="130"/>
        <v>OK</v>
      </c>
      <c r="R2105" t="str">
        <f t="shared" si="131"/>
        <v>OK</v>
      </c>
    </row>
    <row r="2106" spans="1:18" x14ac:dyDescent="0.3">
      <c r="A2106" s="1">
        <v>45979</v>
      </c>
      <c r="B2106" s="2" t="s">
        <v>2639</v>
      </c>
      <c r="C2106" s="2" t="s">
        <v>2533</v>
      </c>
      <c r="D2106" s="2" t="s">
        <v>2528</v>
      </c>
      <c r="E2106" s="2" t="s">
        <v>2517</v>
      </c>
      <c r="F2106" s="3">
        <v>127934</v>
      </c>
      <c r="G2106" s="3">
        <v>7227</v>
      </c>
      <c r="H2106" s="3">
        <v>935</v>
      </c>
      <c r="I2106" s="4">
        <v>1967.02</v>
      </c>
      <c r="J2106" s="4">
        <v>142453.47</v>
      </c>
      <c r="K2106" s="3">
        <v>451</v>
      </c>
      <c r="L2106" s="2" t="s">
        <v>2536</v>
      </c>
      <c r="M2106" s="2" t="s">
        <v>2519</v>
      </c>
      <c r="N2106" s="6">
        <f t="shared" si="128"/>
        <v>1</v>
      </c>
      <c r="O2106" t="str">
        <f>IF(Tabla_control[[#This Row],[Control_duplicados]]&gt;1,"Duplicado","Unico")</f>
        <v>Unico</v>
      </c>
      <c r="P2106" t="str">
        <f t="shared" si="129"/>
        <v>OK</v>
      </c>
      <c r="Q2106" t="str">
        <f t="shared" si="130"/>
        <v>OK</v>
      </c>
      <c r="R2106" t="str">
        <f t="shared" si="131"/>
        <v>OK</v>
      </c>
    </row>
    <row r="2107" spans="1:18" x14ac:dyDescent="0.3">
      <c r="A2107" s="1">
        <v>45969</v>
      </c>
      <c r="B2107" s="2" t="s">
        <v>2638</v>
      </c>
      <c r="C2107" s="2" t="s">
        <v>2515</v>
      </c>
      <c r="D2107" s="2" t="s">
        <v>2516</v>
      </c>
      <c r="E2107" s="2" t="s">
        <v>2517</v>
      </c>
      <c r="F2107" s="3">
        <v>15320</v>
      </c>
      <c r="G2107" s="3">
        <v>97</v>
      </c>
      <c r="H2107" s="3">
        <v>7</v>
      </c>
      <c r="I2107" s="4">
        <v>61.94</v>
      </c>
      <c r="J2107" s="4">
        <v>969.35</v>
      </c>
      <c r="K2107" s="3">
        <v>5</v>
      </c>
      <c r="L2107" s="2" t="s">
        <v>2539</v>
      </c>
      <c r="M2107" s="2" t="s">
        <v>2519</v>
      </c>
      <c r="N2107" s="6">
        <f t="shared" si="128"/>
        <v>1</v>
      </c>
      <c r="O2107" t="str">
        <f>IF(Tabla_control[[#This Row],[Control_duplicados]]&gt;1,"Duplicado","Unico")</f>
        <v>Unico</v>
      </c>
      <c r="P2107" t="str">
        <f t="shared" si="129"/>
        <v>OK</v>
      </c>
      <c r="Q2107" t="str">
        <f t="shared" si="130"/>
        <v>OK</v>
      </c>
      <c r="R2107" t="str">
        <f t="shared" si="131"/>
        <v>OK</v>
      </c>
    </row>
    <row r="2108" spans="1:18" x14ac:dyDescent="0.3">
      <c r="A2108" s="1">
        <v>45863</v>
      </c>
      <c r="B2108" s="2" t="s">
        <v>2635</v>
      </c>
      <c r="C2108" s="2" t="s">
        <v>2533</v>
      </c>
      <c r="D2108" s="2" t="s">
        <v>2522</v>
      </c>
      <c r="E2108" s="2" t="s">
        <v>2529</v>
      </c>
      <c r="F2108" s="3">
        <v>159728</v>
      </c>
      <c r="G2108" s="3">
        <v>13641</v>
      </c>
      <c r="H2108" s="3">
        <v>450</v>
      </c>
      <c r="I2108" s="4">
        <v>20262.900000000001</v>
      </c>
      <c r="J2108" s="4">
        <v>84589.48</v>
      </c>
      <c r="K2108" s="3">
        <v>258</v>
      </c>
      <c r="L2108" s="2" t="s">
        <v>2518</v>
      </c>
      <c r="M2108" s="2" t="s">
        <v>2519</v>
      </c>
      <c r="N2108" s="6">
        <f t="shared" si="128"/>
        <v>2</v>
      </c>
      <c r="O2108" t="str">
        <f>IF(Tabla_control[[#This Row],[Control_duplicados]]&gt;1,"Duplicado","Unico")</f>
        <v>Duplicado</v>
      </c>
      <c r="P2108" t="str">
        <f t="shared" si="129"/>
        <v>OK</v>
      </c>
      <c r="Q2108" t="str">
        <f t="shared" si="130"/>
        <v>OK</v>
      </c>
      <c r="R2108" t="str">
        <f t="shared" si="131"/>
        <v>OK</v>
      </c>
    </row>
    <row r="2109" spans="1:18" x14ac:dyDescent="0.3">
      <c r="A2109" s="1">
        <v>45787</v>
      </c>
      <c r="B2109" s="2" t="s">
        <v>2629</v>
      </c>
      <c r="C2109" s="2" t="s">
        <v>2527</v>
      </c>
      <c r="D2109" s="2" t="s">
        <v>2528</v>
      </c>
      <c r="E2109" s="2" t="s">
        <v>2517</v>
      </c>
      <c r="F2109" s="3">
        <v>119606</v>
      </c>
      <c r="G2109" s="3">
        <v>9820</v>
      </c>
      <c r="H2109" s="3">
        <v>694</v>
      </c>
      <c r="I2109" s="4">
        <v>11419.1</v>
      </c>
      <c r="J2109" s="4">
        <v>26066.86</v>
      </c>
      <c r="K2109" s="3">
        <v>578</v>
      </c>
      <c r="L2109" s="2" t="s">
        <v>2523</v>
      </c>
      <c r="M2109" s="2" t="s">
        <v>2537</v>
      </c>
      <c r="N2109" s="6">
        <f t="shared" si="128"/>
        <v>1</v>
      </c>
      <c r="O2109" t="str">
        <f>IF(Tabla_control[[#This Row],[Control_duplicados]]&gt;1,"Duplicado","Unico")</f>
        <v>Unico</v>
      </c>
      <c r="P2109" t="str">
        <f t="shared" si="129"/>
        <v>OK</v>
      </c>
      <c r="Q2109" t="str">
        <f t="shared" si="130"/>
        <v>OK</v>
      </c>
      <c r="R2109" t="str">
        <f t="shared" si="131"/>
        <v>OK</v>
      </c>
    </row>
    <row r="2110" spans="1:18" x14ac:dyDescent="0.3">
      <c r="A2110" s="1">
        <v>45764</v>
      </c>
      <c r="B2110" s="2" t="s">
        <v>2626</v>
      </c>
      <c r="C2110" s="2" t="s">
        <v>2521</v>
      </c>
      <c r="D2110" s="2" t="s">
        <v>2528</v>
      </c>
      <c r="E2110" s="2" t="s">
        <v>2517</v>
      </c>
      <c r="F2110" s="3">
        <v>124508</v>
      </c>
      <c r="G2110" s="3">
        <v>3605</v>
      </c>
      <c r="H2110" s="3">
        <v>364</v>
      </c>
      <c r="I2110" s="4">
        <v>2112.19</v>
      </c>
      <c r="J2110" s="4">
        <v>59640.25</v>
      </c>
      <c r="K2110" s="3">
        <v>178</v>
      </c>
      <c r="L2110" s="2" t="s">
        <v>2523</v>
      </c>
      <c r="M2110" s="2" t="s">
        <v>2524</v>
      </c>
      <c r="N2110" s="6">
        <f t="shared" si="128"/>
        <v>1</v>
      </c>
      <c r="O2110" t="str">
        <f>IF(Tabla_control[[#This Row],[Control_duplicados]]&gt;1,"Duplicado","Unico")</f>
        <v>Unico</v>
      </c>
      <c r="P2110" t="str">
        <f t="shared" si="129"/>
        <v>OK</v>
      </c>
      <c r="Q2110" t="str">
        <f t="shared" si="130"/>
        <v>OK</v>
      </c>
      <c r="R2110" t="str">
        <f t="shared" si="131"/>
        <v>OK</v>
      </c>
    </row>
    <row r="2111" spans="1:18" x14ac:dyDescent="0.3">
      <c r="A2111" s="1">
        <v>45724</v>
      </c>
      <c r="B2111" s="2" t="s">
        <v>2640</v>
      </c>
      <c r="C2111" s="2" t="s">
        <v>2515</v>
      </c>
      <c r="D2111" s="2" t="s">
        <v>2522</v>
      </c>
      <c r="E2111" s="2" t="s">
        <v>2517</v>
      </c>
      <c r="F2111" s="3">
        <v>88249</v>
      </c>
      <c r="G2111" s="3">
        <v>7864</v>
      </c>
      <c r="H2111" s="3">
        <v>915</v>
      </c>
      <c r="I2111" s="4">
        <v>12296.1</v>
      </c>
      <c r="J2111" s="4">
        <v>160765.42000000001</v>
      </c>
      <c r="K2111" s="3">
        <v>625</v>
      </c>
      <c r="L2111" s="2" t="s">
        <v>2518</v>
      </c>
      <c r="M2111" s="2" t="s">
        <v>2526</v>
      </c>
      <c r="N2111" s="6">
        <f t="shared" si="128"/>
        <v>1</v>
      </c>
      <c r="O2111" t="str">
        <f>IF(Tabla_control[[#This Row],[Control_duplicados]]&gt;1,"Duplicado","Unico")</f>
        <v>Unico</v>
      </c>
      <c r="P2111" t="str">
        <f t="shared" si="129"/>
        <v>OK</v>
      </c>
      <c r="Q2111" t="str">
        <f t="shared" si="130"/>
        <v>OK</v>
      </c>
      <c r="R2111" t="str">
        <f t="shared" si="131"/>
        <v>OK</v>
      </c>
    </row>
    <row r="2112" spans="1:18" x14ac:dyDescent="0.3">
      <c r="A2112" s="1">
        <v>45958</v>
      </c>
      <c r="B2112" s="2" t="s">
        <v>2638</v>
      </c>
      <c r="C2112" s="2" t="s">
        <v>2515</v>
      </c>
      <c r="D2112" s="2" t="s">
        <v>2516</v>
      </c>
      <c r="E2112" s="2" t="s">
        <v>2517</v>
      </c>
      <c r="F2112" s="3">
        <v>144739</v>
      </c>
      <c r="G2112" s="3">
        <v>1874</v>
      </c>
      <c r="H2112" s="3">
        <v>93</v>
      </c>
      <c r="I2112" s="4">
        <v>2064.4699999999998</v>
      </c>
      <c r="J2112" s="4">
        <v>14256.17</v>
      </c>
      <c r="K2112" s="3">
        <v>56</v>
      </c>
      <c r="L2112" s="2" t="s">
        <v>2523</v>
      </c>
      <c r="M2112" s="2" t="s">
        <v>2526</v>
      </c>
      <c r="N2112" s="6">
        <f t="shared" si="128"/>
        <v>1</v>
      </c>
      <c r="O2112" t="str">
        <f>IF(Tabla_control[[#This Row],[Control_duplicados]]&gt;1,"Duplicado","Unico")</f>
        <v>Unico</v>
      </c>
      <c r="P2112" t="str">
        <f t="shared" si="129"/>
        <v>OK</v>
      </c>
      <c r="Q2112" t="str">
        <f t="shared" si="130"/>
        <v>OK</v>
      </c>
      <c r="R2112" t="str">
        <f t="shared" si="131"/>
        <v>OK</v>
      </c>
    </row>
    <row r="2113" spans="1:18" x14ac:dyDescent="0.3">
      <c r="A2113" s="1">
        <v>45896</v>
      </c>
      <c r="B2113" s="2" t="s">
        <v>2629</v>
      </c>
      <c r="C2113" s="2" t="s">
        <v>2533</v>
      </c>
      <c r="D2113" s="2" t="s">
        <v>2528</v>
      </c>
      <c r="E2113" s="2" t="s">
        <v>2529</v>
      </c>
      <c r="F2113" s="3">
        <v>169077</v>
      </c>
      <c r="G2113" s="3">
        <v>6988</v>
      </c>
      <c r="H2113" s="3">
        <v>165</v>
      </c>
      <c r="I2113" s="4">
        <v>4791.2299999999996</v>
      </c>
      <c r="J2113" s="4">
        <v>6505.52</v>
      </c>
      <c r="K2113" s="3">
        <v>139</v>
      </c>
      <c r="L2113" s="2" t="s">
        <v>2539</v>
      </c>
      <c r="M2113" s="2" t="s">
        <v>2519</v>
      </c>
      <c r="N2113" s="6">
        <f t="shared" si="128"/>
        <v>1</v>
      </c>
      <c r="O2113" t="str">
        <f>IF(Tabla_control[[#This Row],[Control_duplicados]]&gt;1,"Duplicado","Unico")</f>
        <v>Unico</v>
      </c>
      <c r="P2113" t="str">
        <f t="shared" si="129"/>
        <v>OK</v>
      </c>
      <c r="Q2113" t="str">
        <f t="shared" si="130"/>
        <v>OK</v>
      </c>
      <c r="R2113" t="str">
        <f t="shared" si="131"/>
        <v>OK</v>
      </c>
    </row>
    <row r="2114" spans="1:18" x14ac:dyDescent="0.3">
      <c r="A2114" s="1">
        <v>45942</v>
      </c>
      <c r="B2114" s="2" t="s">
        <v>2635</v>
      </c>
      <c r="C2114" s="2" t="s">
        <v>2527</v>
      </c>
      <c r="D2114" s="2" t="s">
        <v>2522</v>
      </c>
      <c r="E2114" s="2" t="s">
        <v>2517</v>
      </c>
      <c r="F2114" s="3">
        <v>14532</v>
      </c>
      <c r="G2114" s="3">
        <v>116</v>
      </c>
      <c r="H2114" s="3">
        <v>6</v>
      </c>
      <c r="I2114" s="4">
        <v>123.27</v>
      </c>
      <c r="J2114" s="4">
        <v>1214.21</v>
      </c>
      <c r="K2114" s="3">
        <v>4</v>
      </c>
      <c r="L2114" s="2" t="s">
        <v>2523</v>
      </c>
      <c r="M2114" s="2" t="s">
        <v>2546</v>
      </c>
      <c r="N2114" s="6">
        <f t="shared" ref="N2114:N2177" si="132">COUNTIFS($A$2:$A$2536,A2114,$B$2:$B$2536,B2114,$C$2:$C$2536,C2114,$D$2:$D$2536,D2114,$E$2:$E$2536,E2114,$F$2:$F$2536,F2114,$G$2:$G$2536,G2114,$H$2:$H$2536,H2114,$I$2:$I$2536,I2114,$J$2:$J$2536,J2114,$K$2:$K$2536,K2114,$L$2:$L$2536,L2114,$M$2:$M$2536,M2114)</f>
        <v>1</v>
      </c>
      <c r="O2114" t="str">
        <f>IF(Tabla_control[[#This Row],[Control_duplicados]]&gt;1,"Duplicado","Unico")</f>
        <v>Unico</v>
      </c>
      <c r="P2114" t="str">
        <f t="shared" ref="P2114:P2177" si="133">IF(OR(I2114="",I2114&lt;0),"ERROR","OK")</f>
        <v>OK</v>
      </c>
      <c r="Q2114" t="str">
        <f t="shared" ref="Q2114:Q2177" si="134">IF(H2114&gt;F2114,"ERROR","OK")</f>
        <v>OK</v>
      </c>
      <c r="R2114" t="str">
        <f t="shared" ref="R2114:R2177" si="135">IF(K2114&gt;H2114,"ERROR","OK")</f>
        <v>OK</v>
      </c>
    </row>
    <row r="2115" spans="1:18" x14ac:dyDescent="0.3">
      <c r="A2115" s="1">
        <v>45905</v>
      </c>
      <c r="B2115" s="2" t="s">
        <v>2616</v>
      </c>
      <c r="C2115" s="2" t="s">
        <v>2533</v>
      </c>
      <c r="D2115" s="2" t="s">
        <v>2525</v>
      </c>
      <c r="E2115" s="2" t="s">
        <v>2529</v>
      </c>
      <c r="F2115" s="3">
        <v>12917</v>
      </c>
      <c r="G2115" s="3">
        <v>807</v>
      </c>
      <c r="H2115" s="3">
        <v>57</v>
      </c>
      <c r="I2115" s="4">
        <v>1533.07</v>
      </c>
      <c r="J2115" s="4">
        <v>9035.26</v>
      </c>
      <c r="K2115" s="3">
        <v>45</v>
      </c>
      <c r="L2115" s="2" t="s">
        <v>2539</v>
      </c>
      <c r="M2115" s="2" t="s">
        <v>2519</v>
      </c>
      <c r="N2115" s="6">
        <f t="shared" si="132"/>
        <v>1</v>
      </c>
      <c r="O2115" t="str">
        <f>IF(Tabla_control[[#This Row],[Control_duplicados]]&gt;1,"Duplicado","Unico")</f>
        <v>Unico</v>
      </c>
      <c r="P2115" t="str">
        <f t="shared" si="133"/>
        <v>OK</v>
      </c>
      <c r="Q2115" t="str">
        <f t="shared" si="134"/>
        <v>OK</v>
      </c>
      <c r="R2115" t="str">
        <f t="shared" si="135"/>
        <v>OK</v>
      </c>
    </row>
    <row r="2116" spans="1:18" x14ac:dyDescent="0.3">
      <c r="A2116" s="1">
        <v>45669</v>
      </c>
      <c r="B2116" s="2" t="s">
        <v>2615</v>
      </c>
      <c r="C2116" s="2" t="s">
        <v>2521</v>
      </c>
      <c r="D2116" s="2" t="s">
        <v>2516</v>
      </c>
      <c r="E2116" s="2" t="s">
        <v>2529</v>
      </c>
      <c r="F2116" s="3">
        <v>2889</v>
      </c>
      <c r="G2116" s="3">
        <v>121</v>
      </c>
      <c r="H2116" s="3">
        <v>3</v>
      </c>
      <c r="I2116" s="4">
        <v>226.68</v>
      </c>
      <c r="J2116" s="4">
        <v>243.48</v>
      </c>
      <c r="K2116" s="3">
        <v>2</v>
      </c>
      <c r="L2116" s="2" t="s">
        <v>2523</v>
      </c>
      <c r="M2116" s="2" t="s">
        <v>2546</v>
      </c>
      <c r="N2116" s="6">
        <f t="shared" si="132"/>
        <v>1</v>
      </c>
      <c r="O2116" t="str">
        <f>IF(Tabla_control[[#This Row],[Control_duplicados]]&gt;1,"Duplicado","Unico")</f>
        <v>Unico</v>
      </c>
      <c r="P2116" t="str">
        <f t="shared" si="133"/>
        <v>OK</v>
      </c>
      <c r="Q2116" t="str">
        <f t="shared" si="134"/>
        <v>OK</v>
      </c>
      <c r="R2116" t="str">
        <f t="shared" si="135"/>
        <v>OK</v>
      </c>
    </row>
    <row r="2117" spans="1:18" x14ac:dyDescent="0.3">
      <c r="A2117" s="1">
        <v>45928</v>
      </c>
      <c r="B2117" s="2" t="s">
        <v>2627</v>
      </c>
      <c r="C2117" s="2" t="s">
        <v>2521</v>
      </c>
      <c r="D2117" s="2" t="s">
        <v>2531</v>
      </c>
      <c r="E2117" s="2" t="s">
        <v>2529</v>
      </c>
      <c r="F2117" s="3">
        <v>168964</v>
      </c>
      <c r="G2117" s="3">
        <v>11546</v>
      </c>
      <c r="H2117" s="3">
        <v>701</v>
      </c>
      <c r="I2117" s="4">
        <v>19461.990000000002</v>
      </c>
      <c r="J2117" s="4">
        <v>69814.81</v>
      </c>
      <c r="K2117" s="3">
        <v>544</v>
      </c>
      <c r="L2117" s="2" t="s">
        <v>2518</v>
      </c>
      <c r="M2117" s="2" t="s">
        <v>2524</v>
      </c>
      <c r="N2117" s="6">
        <f t="shared" si="132"/>
        <v>1</v>
      </c>
      <c r="O2117" t="str">
        <f>IF(Tabla_control[[#This Row],[Control_duplicados]]&gt;1,"Duplicado","Unico")</f>
        <v>Unico</v>
      </c>
      <c r="P2117" t="str">
        <f t="shared" si="133"/>
        <v>OK</v>
      </c>
      <c r="Q2117" t="str">
        <f t="shared" si="134"/>
        <v>OK</v>
      </c>
      <c r="R2117" t="str">
        <f t="shared" si="135"/>
        <v>OK</v>
      </c>
    </row>
    <row r="2118" spans="1:18" x14ac:dyDescent="0.3">
      <c r="A2118" s="1">
        <v>45838</v>
      </c>
      <c r="B2118" s="2" t="s">
        <v>2638</v>
      </c>
      <c r="C2118" s="2" t="s">
        <v>2533</v>
      </c>
      <c r="D2118" s="2" t="s">
        <v>2525</v>
      </c>
      <c r="E2118" s="2" t="s">
        <v>2517</v>
      </c>
      <c r="F2118" s="3">
        <v>125540</v>
      </c>
      <c r="G2118" s="3">
        <v>8307</v>
      </c>
      <c r="H2118" s="3">
        <v>630</v>
      </c>
      <c r="I2118" s="4">
        <v>1118.31</v>
      </c>
      <c r="J2118" s="4">
        <v>43254.52</v>
      </c>
      <c r="K2118" s="3">
        <v>311</v>
      </c>
      <c r="L2118" s="2" t="s">
        <v>2523</v>
      </c>
      <c r="M2118" s="2" t="s">
        <v>2537</v>
      </c>
      <c r="N2118" s="6">
        <f t="shared" si="132"/>
        <v>1</v>
      </c>
      <c r="O2118" t="str">
        <f>IF(Tabla_control[[#This Row],[Control_duplicados]]&gt;1,"Duplicado","Unico")</f>
        <v>Unico</v>
      </c>
      <c r="P2118" t="str">
        <f t="shared" si="133"/>
        <v>OK</v>
      </c>
      <c r="Q2118" t="str">
        <f t="shared" si="134"/>
        <v>OK</v>
      </c>
      <c r="R2118" t="str">
        <f t="shared" si="135"/>
        <v>OK</v>
      </c>
    </row>
    <row r="2119" spans="1:18" x14ac:dyDescent="0.3">
      <c r="A2119" s="1">
        <v>45813</v>
      </c>
      <c r="B2119" s="2" t="s">
        <v>2629</v>
      </c>
      <c r="C2119" s="2" t="s">
        <v>2533</v>
      </c>
      <c r="D2119" s="2" t="s">
        <v>2531</v>
      </c>
      <c r="E2119" s="2" t="s">
        <v>2529</v>
      </c>
      <c r="F2119" s="3">
        <v>175998</v>
      </c>
      <c r="G2119" s="3">
        <v>11033</v>
      </c>
      <c r="H2119" s="3">
        <v>1257</v>
      </c>
      <c r="I2119" s="4">
        <v>2550.27</v>
      </c>
      <c r="J2119" s="4">
        <v>35076.39</v>
      </c>
      <c r="K2119" s="3">
        <v>618</v>
      </c>
      <c r="L2119" s="2" t="s">
        <v>2539</v>
      </c>
      <c r="M2119" s="2" t="s">
        <v>2546</v>
      </c>
      <c r="N2119" s="6">
        <f t="shared" si="132"/>
        <v>1</v>
      </c>
      <c r="O2119" t="str">
        <f>IF(Tabla_control[[#This Row],[Control_duplicados]]&gt;1,"Duplicado","Unico")</f>
        <v>Unico</v>
      </c>
      <c r="P2119" t="str">
        <f t="shared" si="133"/>
        <v>OK</v>
      </c>
      <c r="Q2119" t="str">
        <f t="shared" si="134"/>
        <v>OK</v>
      </c>
      <c r="R2119" t="str">
        <f t="shared" si="135"/>
        <v>OK</v>
      </c>
    </row>
    <row r="2120" spans="1:18" x14ac:dyDescent="0.3">
      <c r="A2120" s="1">
        <v>45685</v>
      </c>
      <c r="B2120" s="2" t="s">
        <v>2634</v>
      </c>
      <c r="C2120" s="2" t="s">
        <v>2521</v>
      </c>
      <c r="D2120" s="2" t="s">
        <v>2528</v>
      </c>
      <c r="E2120" s="2" t="s">
        <v>2534</v>
      </c>
      <c r="F2120" s="3">
        <v>83085</v>
      </c>
      <c r="G2120" s="3">
        <v>5612</v>
      </c>
      <c r="H2120" s="3">
        <v>696</v>
      </c>
      <c r="I2120" s="4">
        <v>5023.66</v>
      </c>
      <c r="J2120" s="4">
        <v>147751.12</v>
      </c>
      <c r="K2120" s="3">
        <v>384</v>
      </c>
      <c r="L2120" s="2" t="s">
        <v>2523</v>
      </c>
      <c r="M2120" s="2" t="s">
        <v>2526</v>
      </c>
      <c r="N2120" s="6">
        <f t="shared" si="132"/>
        <v>1</v>
      </c>
      <c r="O2120" t="str">
        <f>IF(Tabla_control[[#This Row],[Control_duplicados]]&gt;1,"Duplicado","Unico")</f>
        <v>Unico</v>
      </c>
      <c r="P2120" t="str">
        <f t="shared" si="133"/>
        <v>OK</v>
      </c>
      <c r="Q2120" t="str">
        <f t="shared" si="134"/>
        <v>OK</v>
      </c>
      <c r="R2120" t="str">
        <f t="shared" si="135"/>
        <v>OK</v>
      </c>
    </row>
    <row r="2121" spans="1:18" x14ac:dyDescent="0.3">
      <c r="A2121" s="1">
        <v>45840</v>
      </c>
      <c r="B2121" s="2" t="s">
        <v>2633</v>
      </c>
      <c r="C2121" s="2" t="s">
        <v>2533</v>
      </c>
      <c r="D2121" s="2" t="s">
        <v>2531</v>
      </c>
      <c r="E2121" s="2" t="s">
        <v>2529</v>
      </c>
      <c r="F2121" s="3">
        <v>26160</v>
      </c>
      <c r="G2121" s="3">
        <v>2227</v>
      </c>
      <c r="H2121" s="3">
        <v>140</v>
      </c>
      <c r="I2121" s="4">
        <v>2223.4899999999998</v>
      </c>
      <c r="J2121" s="4">
        <v>5601.31</v>
      </c>
      <c r="K2121" s="3">
        <v>68</v>
      </c>
      <c r="L2121" s="2" t="s">
        <v>2518</v>
      </c>
      <c r="M2121" s="2" t="s">
        <v>2524</v>
      </c>
      <c r="N2121" s="6">
        <f t="shared" si="132"/>
        <v>1</v>
      </c>
      <c r="O2121" t="str">
        <f>IF(Tabla_control[[#This Row],[Control_duplicados]]&gt;1,"Duplicado","Unico")</f>
        <v>Unico</v>
      </c>
      <c r="P2121" t="str">
        <f t="shared" si="133"/>
        <v>OK</v>
      </c>
      <c r="Q2121" t="str">
        <f t="shared" si="134"/>
        <v>OK</v>
      </c>
      <c r="R2121" t="str">
        <f t="shared" si="135"/>
        <v>OK</v>
      </c>
    </row>
    <row r="2122" spans="1:18" x14ac:dyDescent="0.3">
      <c r="A2122" s="1">
        <v>45797</v>
      </c>
      <c r="B2122" s="2" t="s">
        <v>2636</v>
      </c>
      <c r="C2122" s="2" t="s">
        <v>2533</v>
      </c>
      <c r="D2122" s="2" t="s">
        <v>2528</v>
      </c>
      <c r="E2122" s="2" t="s">
        <v>2517</v>
      </c>
      <c r="F2122" s="3">
        <v>116991</v>
      </c>
      <c r="G2122" s="3">
        <v>3677</v>
      </c>
      <c r="H2122" s="3">
        <v>36</v>
      </c>
      <c r="I2122" s="4">
        <v>4326.6000000000004</v>
      </c>
      <c r="J2122" s="4">
        <v>3450.16</v>
      </c>
      <c r="K2122" s="3">
        <v>22</v>
      </c>
      <c r="L2122" s="2" t="s">
        <v>2536</v>
      </c>
      <c r="M2122" s="2" t="s">
        <v>2519</v>
      </c>
      <c r="N2122" s="6">
        <f t="shared" si="132"/>
        <v>1</v>
      </c>
      <c r="O2122" t="str">
        <f>IF(Tabla_control[[#This Row],[Control_duplicados]]&gt;1,"Duplicado","Unico")</f>
        <v>Unico</v>
      </c>
      <c r="P2122" t="str">
        <f t="shared" si="133"/>
        <v>OK</v>
      </c>
      <c r="Q2122" t="str">
        <f t="shared" si="134"/>
        <v>OK</v>
      </c>
      <c r="R2122" t="str">
        <f t="shared" si="135"/>
        <v>OK</v>
      </c>
    </row>
    <row r="2123" spans="1:18" x14ac:dyDescent="0.3">
      <c r="A2123" s="1">
        <v>45902</v>
      </c>
      <c r="B2123" s="2" t="s">
        <v>2621</v>
      </c>
      <c r="C2123" s="2" t="s">
        <v>2527</v>
      </c>
      <c r="D2123" s="2" t="s">
        <v>2528</v>
      </c>
      <c r="E2123" s="2" t="s">
        <v>2529</v>
      </c>
      <c r="F2123" s="3">
        <v>68305</v>
      </c>
      <c r="G2123" s="3">
        <v>3598</v>
      </c>
      <c r="H2123" s="3">
        <v>68</v>
      </c>
      <c r="I2123" s="4">
        <v>6860.89</v>
      </c>
      <c r="J2123" s="4">
        <v>6713.7</v>
      </c>
      <c r="K2123" s="3">
        <v>35</v>
      </c>
      <c r="L2123" s="2" t="s">
        <v>2536</v>
      </c>
      <c r="M2123" s="2" t="s">
        <v>2546</v>
      </c>
      <c r="N2123" s="6">
        <f t="shared" si="132"/>
        <v>1</v>
      </c>
      <c r="O2123" t="str">
        <f>IF(Tabla_control[[#This Row],[Control_duplicados]]&gt;1,"Duplicado","Unico")</f>
        <v>Unico</v>
      </c>
      <c r="P2123" t="str">
        <f t="shared" si="133"/>
        <v>OK</v>
      </c>
      <c r="Q2123" t="str">
        <f t="shared" si="134"/>
        <v>OK</v>
      </c>
      <c r="R2123" t="str">
        <f t="shared" si="135"/>
        <v>OK</v>
      </c>
    </row>
    <row r="2124" spans="1:18" x14ac:dyDescent="0.3">
      <c r="A2124" s="1">
        <v>45713</v>
      </c>
      <c r="B2124" s="2" t="s">
        <v>2615</v>
      </c>
      <c r="C2124" s="2" t="s">
        <v>2541</v>
      </c>
      <c r="D2124" s="2" t="s">
        <v>2516</v>
      </c>
      <c r="E2124" s="2" t="s">
        <v>2529</v>
      </c>
      <c r="F2124" s="3">
        <v>85214</v>
      </c>
      <c r="G2124" s="3">
        <v>2819</v>
      </c>
      <c r="H2124" s="3">
        <v>76</v>
      </c>
      <c r="I2124" s="4">
        <v>5775.02</v>
      </c>
      <c r="J2124" s="4">
        <v>2608.8000000000002</v>
      </c>
      <c r="K2124" s="3">
        <v>39</v>
      </c>
      <c r="L2124" s="2" t="s">
        <v>2518</v>
      </c>
      <c r="M2124" s="2" t="s">
        <v>2546</v>
      </c>
      <c r="N2124" s="6">
        <f t="shared" si="132"/>
        <v>1</v>
      </c>
      <c r="O2124" t="str">
        <f>IF(Tabla_control[[#This Row],[Control_duplicados]]&gt;1,"Duplicado","Unico")</f>
        <v>Unico</v>
      </c>
      <c r="P2124" t="str">
        <f t="shared" si="133"/>
        <v>OK</v>
      </c>
      <c r="Q2124" t="str">
        <f t="shared" si="134"/>
        <v>OK</v>
      </c>
      <c r="R2124" t="str">
        <f t="shared" si="135"/>
        <v>OK</v>
      </c>
    </row>
    <row r="2125" spans="1:18" x14ac:dyDescent="0.3">
      <c r="A2125" s="1">
        <v>46018</v>
      </c>
      <c r="B2125" s="2" t="s">
        <v>2630</v>
      </c>
      <c r="C2125" s="2" t="s">
        <v>2515</v>
      </c>
      <c r="D2125" s="2" t="s">
        <v>2525</v>
      </c>
      <c r="E2125" s="2" t="s">
        <v>2517</v>
      </c>
      <c r="F2125" s="3">
        <v>57983</v>
      </c>
      <c r="G2125" s="3">
        <v>2757</v>
      </c>
      <c r="H2125" s="3">
        <v>248</v>
      </c>
      <c r="I2125" s="4">
        <v>5114.08</v>
      </c>
      <c r="J2125" s="4">
        <v>24256.77</v>
      </c>
      <c r="K2125" s="3">
        <v>133</v>
      </c>
      <c r="L2125" s="2" t="s">
        <v>2518</v>
      </c>
      <c r="M2125" s="2" t="s">
        <v>2524</v>
      </c>
      <c r="N2125" s="6">
        <f t="shared" si="132"/>
        <v>1</v>
      </c>
      <c r="O2125" t="str">
        <f>IF(Tabla_control[[#This Row],[Control_duplicados]]&gt;1,"Duplicado","Unico")</f>
        <v>Unico</v>
      </c>
      <c r="P2125" t="str">
        <f t="shared" si="133"/>
        <v>OK</v>
      </c>
      <c r="Q2125" t="str">
        <f t="shared" si="134"/>
        <v>OK</v>
      </c>
      <c r="R2125" t="str">
        <f t="shared" si="135"/>
        <v>OK</v>
      </c>
    </row>
    <row r="2126" spans="1:18" x14ac:dyDescent="0.3">
      <c r="A2126" s="1">
        <v>45706</v>
      </c>
      <c r="B2126" s="2" t="s">
        <v>2638</v>
      </c>
      <c r="C2126" s="2" t="s">
        <v>2533</v>
      </c>
      <c r="D2126" s="2" t="s">
        <v>2522</v>
      </c>
      <c r="E2126" s="2" t="s">
        <v>2529</v>
      </c>
      <c r="F2126" s="3">
        <v>111274</v>
      </c>
      <c r="G2126" s="3">
        <v>501</v>
      </c>
      <c r="H2126" s="3">
        <v>51</v>
      </c>
      <c r="I2126" s="4">
        <v>716.03</v>
      </c>
      <c r="J2126" s="4">
        <v>8260.9699999999993</v>
      </c>
      <c r="K2126" s="3">
        <v>41</v>
      </c>
      <c r="L2126" s="2" t="s">
        <v>2539</v>
      </c>
      <c r="M2126" s="2" t="s">
        <v>2546</v>
      </c>
      <c r="N2126" s="6">
        <f t="shared" si="132"/>
        <v>2</v>
      </c>
      <c r="O2126" t="str">
        <f>IF(Tabla_control[[#This Row],[Control_duplicados]]&gt;1,"Duplicado","Unico")</f>
        <v>Duplicado</v>
      </c>
      <c r="P2126" t="str">
        <f t="shared" si="133"/>
        <v>OK</v>
      </c>
      <c r="Q2126" t="str">
        <f t="shared" si="134"/>
        <v>OK</v>
      </c>
      <c r="R2126" t="str">
        <f t="shared" si="135"/>
        <v>OK</v>
      </c>
    </row>
    <row r="2127" spans="1:18" x14ac:dyDescent="0.3">
      <c r="A2127" s="1">
        <v>45730</v>
      </c>
      <c r="B2127" s="2" t="s">
        <v>2638</v>
      </c>
      <c r="C2127" s="2" t="s">
        <v>2543</v>
      </c>
      <c r="D2127" s="2" t="s">
        <v>2525</v>
      </c>
      <c r="E2127" s="2" t="s">
        <v>2529</v>
      </c>
      <c r="F2127" s="3">
        <v>175397</v>
      </c>
      <c r="G2127" s="3">
        <v>15195</v>
      </c>
      <c r="H2127" s="3">
        <v>1073</v>
      </c>
      <c r="I2127" s="4">
        <v>29749.360000000001</v>
      </c>
      <c r="J2127" s="4">
        <v>162478.39000000001</v>
      </c>
      <c r="K2127" s="3">
        <v>673</v>
      </c>
      <c r="L2127" s="2" t="s">
        <v>2539</v>
      </c>
      <c r="M2127" s="2" t="s">
        <v>2526</v>
      </c>
      <c r="N2127" s="6">
        <f t="shared" si="132"/>
        <v>1</v>
      </c>
      <c r="O2127" t="str">
        <f>IF(Tabla_control[[#This Row],[Control_duplicados]]&gt;1,"Duplicado","Unico")</f>
        <v>Unico</v>
      </c>
      <c r="P2127" t="str">
        <f t="shared" si="133"/>
        <v>OK</v>
      </c>
      <c r="Q2127" t="str">
        <f t="shared" si="134"/>
        <v>OK</v>
      </c>
      <c r="R2127" t="str">
        <f t="shared" si="135"/>
        <v>OK</v>
      </c>
    </row>
    <row r="2128" spans="1:18" x14ac:dyDescent="0.3">
      <c r="A2128" s="1">
        <v>45744</v>
      </c>
      <c r="B2128" s="2" t="s">
        <v>2635</v>
      </c>
      <c r="C2128" s="2" t="s">
        <v>2521</v>
      </c>
      <c r="D2128" s="2" t="s">
        <v>2525</v>
      </c>
      <c r="E2128" s="2" t="s">
        <v>2529</v>
      </c>
      <c r="F2128" s="3">
        <v>9244</v>
      </c>
      <c r="G2128" s="3">
        <v>527</v>
      </c>
      <c r="H2128" s="3">
        <v>22</v>
      </c>
      <c r="I2128" s="4">
        <v>294.24</v>
      </c>
      <c r="J2128" s="4">
        <v>3608.86</v>
      </c>
      <c r="K2128" s="3">
        <v>17</v>
      </c>
      <c r="L2128" s="2" t="s">
        <v>2536</v>
      </c>
      <c r="M2128" s="2" t="s">
        <v>2537</v>
      </c>
      <c r="N2128" s="6">
        <f t="shared" si="132"/>
        <v>1</v>
      </c>
      <c r="O2128" t="str">
        <f>IF(Tabla_control[[#This Row],[Control_duplicados]]&gt;1,"Duplicado","Unico")</f>
        <v>Unico</v>
      </c>
      <c r="P2128" t="str">
        <f t="shared" si="133"/>
        <v>OK</v>
      </c>
      <c r="Q2128" t="str">
        <f t="shared" si="134"/>
        <v>OK</v>
      </c>
      <c r="R2128" t="str">
        <f t="shared" si="135"/>
        <v>OK</v>
      </c>
    </row>
    <row r="2129" spans="1:18" x14ac:dyDescent="0.3">
      <c r="A2129" s="1">
        <v>45955</v>
      </c>
      <c r="B2129" s="2" t="s">
        <v>2639</v>
      </c>
      <c r="C2129" s="2" t="s">
        <v>2541</v>
      </c>
      <c r="D2129" s="2" t="s">
        <v>2531</v>
      </c>
      <c r="E2129" s="2" t="s">
        <v>2517</v>
      </c>
      <c r="F2129" s="3">
        <v>91158</v>
      </c>
      <c r="G2129" s="3">
        <v>1012</v>
      </c>
      <c r="H2129" s="3">
        <v>127</v>
      </c>
      <c r="I2129" s="4">
        <v>1820.13</v>
      </c>
      <c r="J2129" s="4">
        <v>25754.37</v>
      </c>
      <c r="K2129" s="3">
        <v>71</v>
      </c>
      <c r="L2129" s="2" t="s">
        <v>2536</v>
      </c>
      <c r="M2129" s="2" t="s">
        <v>2524</v>
      </c>
      <c r="N2129" s="6">
        <f t="shared" si="132"/>
        <v>1</v>
      </c>
      <c r="O2129" t="str">
        <f>IF(Tabla_control[[#This Row],[Control_duplicados]]&gt;1,"Duplicado","Unico")</f>
        <v>Unico</v>
      </c>
      <c r="P2129" t="str">
        <f t="shared" si="133"/>
        <v>OK</v>
      </c>
      <c r="Q2129" t="str">
        <f t="shared" si="134"/>
        <v>OK</v>
      </c>
      <c r="R2129" t="str">
        <f t="shared" si="135"/>
        <v>OK</v>
      </c>
    </row>
    <row r="2130" spans="1:18" x14ac:dyDescent="0.3">
      <c r="A2130" s="1">
        <v>45730</v>
      </c>
      <c r="B2130" s="2" t="s">
        <v>2644</v>
      </c>
      <c r="C2130" s="2" t="s">
        <v>2527</v>
      </c>
      <c r="D2130" s="2" t="s">
        <v>2528</v>
      </c>
      <c r="E2130" s="2" t="s">
        <v>2529</v>
      </c>
      <c r="F2130" s="3">
        <v>53224</v>
      </c>
      <c r="G2130" s="3">
        <v>2096</v>
      </c>
      <c r="H2130" s="3">
        <v>93</v>
      </c>
      <c r="I2130" s="4">
        <v>4157.59</v>
      </c>
      <c r="J2130" s="4">
        <v>5710.81</v>
      </c>
      <c r="K2130" s="3">
        <v>75</v>
      </c>
      <c r="L2130" s="2" t="s">
        <v>2536</v>
      </c>
      <c r="M2130" s="2" t="s">
        <v>2537</v>
      </c>
      <c r="N2130" s="6">
        <f t="shared" si="132"/>
        <v>1</v>
      </c>
      <c r="O2130" t="str">
        <f>IF(Tabla_control[[#This Row],[Control_duplicados]]&gt;1,"Duplicado","Unico")</f>
        <v>Unico</v>
      </c>
      <c r="P2130" t="str">
        <f t="shared" si="133"/>
        <v>OK</v>
      </c>
      <c r="Q2130" t="str">
        <f t="shared" si="134"/>
        <v>OK</v>
      </c>
      <c r="R2130" t="str">
        <f t="shared" si="135"/>
        <v>OK</v>
      </c>
    </row>
    <row r="2131" spans="1:18" x14ac:dyDescent="0.3">
      <c r="A2131" s="1">
        <v>45827</v>
      </c>
      <c r="B2131" s="2" t="s">
        <v>2630</v>
      </c>
      <c r="C2131" s="2" t="s">
        <v>2521</v>
      </c>
      <c r="D2131" s="2" t="s">
        <v>2525</v>
      </c>
      <c r="E2131" s="2" t="s">
        <v>2517</v>
      </c>
      <c r="F2131" s="3">
        <v>156433</v>
      </c>
      <c r="G2131" s="3">
        <v>12906</v>
      </c>
      <c r="H2131" s="3">
        <v>1134</v>
      </c>
      <c r="I2131" s="4">
        <v>11515.33</v>
      </c>
      <c r="J2131" s="4">
        <v>30592.76</v>
      </c>
      <c r="K2131" s="3">
        <v>881</v>
      </c>
      <c r="L2131" s="2" t="s">
        <v>2518</v>
      </c>
      <c r="M2131" s="2" t="s">
        <v>2519</v>
      </c>
      <c r="N2131" s="6">
        <f t="shared" si="132"/>
        <v>1</v>
      </c>
      <c r="O2131" t="str">
        <f>IF(Tabla_control[[#This Row],[Control_duplicados]]&gt;1,"Duplicado","Unico")</f>
        <v>Unico</v>
      </c>
      <c r="P2131" t="str">
        <f t="shared" si="133"/>
        <v>OK</v>
      </c>
      <c r="Q2131" t="str">
        <f t="shared" si="134"/>
        <v>OK</v>
      </c>
      <c r="R2131" t="str">
        <f t="shared" si="135"/>
        <v>OK</v>
      </c>
    </row>
    <row r="2132" spans="1:18" x14ac:dyDescent="0.3">
      <c r="A2132" s="1">
        <v>45824</v>
      </c>
      <c r="B2132" s="2" t="s">
        <v>2632</v>
      </c>
      <c r="C2132" s="2" t="s">
        <v>2543</v>
      </c>
      <c r="D2132" s="2" t="s">
        <v>2531</v>
      </c>
      <c r="E2132" s="2" t="s">
        <v>2534</v>
      </c>
      <c r="F2132" s="3">
        <v>84387</v>
      </c>
      <c r="G2132" s="3">
        <v>4921</v>
      </c>
      <c r="H2132" s="3">
        <v>92</v>
      </c>
      <c r="I2132" s="4">
        <v>9780.67</v>
      </c>
      <c r="J2132" s="4">
        <v>6261.48</v>
      </c>
      <c r="K2132" s="3">
        <v>49</v>
      </c>
      <c r="L2132" s="2" t="s">
        <v>2518</v>
      </c>
      <c r="M2132" s="2" t="s">
        <v>2537</v>
      </c>
      <c r="N2132" s="6">
        <f t="shared" si="132"/>
        <v>1</v>
      </c>
      <c r="O2132" t="str">
        <f>IF(Tabla_control[[#This Row],[Control_duplicados]]&gt;1,"Duplicado","Unico")</f>
        <v>Unico</v>
      </c>
      <c r="P2132" t="str">
        <f t="shared" si="133"/>
        <v>OK</v>
      </c>
      <c r="Q2132" t="str">
        <f t="shared" si="134"/>
        <v>OK</v>
      </c>
      <c r="R2132" t="str">
        <f t="shared" si="135"/>
        <v>OK</v>
      </c>
    </row>
    <row r="2133" spans="1:18" x14ac:dyDescent="0.3">
      <c r="A2133" s="1">
        <v>45723</v>
      </c>
      <c r="B2133" s="2" t="s">
        <v>2642</v>
      </c>
      <c r="C2133" s="2" t="s">
        <v>2521</v>
      </c>
      <c r="D2133" s="2" t="s">
        <v>2528</v>
      </c>
      <c r="E2133" s="2" t="s">
        <v>2517</v>
      </c>
      <c r="F2133" s="3">
        <v>8364</v>
      </c>
      <c r="G2133" s="3">
        <v>123</v>
      </c>
      <c r="H2133" s="3">
        <v>9</v>
      </c>
      <c r="I2133" s="4">
        <v>71.52</v>
      </c>
      <c r="J2133" s="4">
        <v>253.81</v>
      </c>
      <c r="K2133" s="3">
        <v>6</v>
      </c>
      <c r="L2133" s="2" t="s">
        <v>2518</v>
      </c>
      <c r="M2133" s="2" t="s">
        <v>2546</v>
      </c>
      <c r="N2133" s="6">
        <f t="shared" si="132"/>
        <v>1</v>
      </c>
      <c r="O2133" t="str">
        <f>IF(Tabla_control[[#This Row],[Control_duplicados]]&gt;1,"Duplicado","Unico")</f>
        <v>Unico</v>
      </c>
      <c r="P2133" t="str">
        <f t="shared" si="133"/>
        <v>OK</v>
      </c>
      <c r="Q2133" t="str">
        <f t="shared" si="134"/>
        <v>OK</v>
      </c>
      <c r="R2133" t="str">
        <f t="shared" si="135"/>
        <v>OK</v>
      </c>
    </row>
    <row r="2134" spans="1:18" x14ac:dyDescent="0.3">
      <c r="A2134" s="1">
        <v>45901</v>
      </c>
      <c r="B2134" s="2" t="s">
        <v>2631</v>
      </c>
      <c r="C2134" s="2" t="s">
        <v>2527</v>
      </c>
      <c r="D2134" s="2" t="s">
        <v>2516</v>
      </c>
      <c r="E2134" s="2" t="s">
        <v>2517</v>
      </c>
      <c r="F2134" s="3">
        <v>151532</v>
      </c>
      <c r="G2134" s="3">
        <v>12136</v>
      </c>
      <c r="H2134" s="3">
        <v>135</v>
      </c>
      <c r="I2134" s="4">
        <v>17153.29</v>
      </c>
      <c r="J2134" s="4">
        <v>15798.49</v>
      </c>
      <c r="K2134" s="3">
        <v>118</v>
      </c>
      <c r="L2134" s="2" t="s">
        <v>2539</v>
      </c>
      <c r="M2134" s="2" t="s">
        <v>2524</v>
      </c>
      <c r="N2134" s="6">
        <f t="shared" si="132"/>
        <v>1</v>
      </c>
      <c r="O2134" t="str">
        <f>IF(Tabla_control[[#This Row],[Control_duplicados]]&gt;1,"Duplicado","Unico")</f>
        <v>Unico</v>
      </c>
      <c r="P2134" t="str">
        <f t="shared" si="133"/>
        <v>OK</v>
      </c>
      <c r="Q2134" t="str">
        <f t="shared" si="134"/>
        <v>OK</v>
      </c>
      <c r="R2134" t="str">
        <f t="shared" si="135"/>
        <v>OK</v>
      </c>
    </row>
    <row r="2135" spans="1:18" x14ac:dyDescent="0.3">
      <c r="A2135" s="1">
        <v>45930</v>
      </c>
      <c r="B2135" s="2" t="s">
        <v>2624</v>
      </c>
      <c r="C2135" s="2" t="s">
        <v>2521</v>
      </c>
      <c r="D2135" s="2" t="s">
        <v>2522</v>
      </c>
      <c r="E2135" s="2" t="s">
        <v>2517</v>
      </c>
      <c r="F2135" s="3">
        <v>144892</v>
      </c>
      <c r="G2135" s="3">
        <v>7727</v>
      </c>
      <c r="H2135" s="3">
        <v>951</v>
      </c>
      <c r="I2135" s="4">
        <v>1167.5999999999999</v>
      </c>
      <c r="J2135" s="4">
        <v>142820.71</v>
      </c>
      <c r="K2135" s="3">
        <v>533</v>
      </c>
      <c r="L2135" s="2" t="s">
        <v>2523</v>
      </c>
      <c r="M2135" s="2" t="s">
        <v>2526</v>
      </c>
      <c r="N2135" s="6">
        <f t="shared" si="132"/>
        <v>1</v>
      </c>
      <c r="O2135" t="str">
        <f>IF(Tabla_control[[#This Row],[Control_duplicados]]&gt;1,"Duplicado","Unico")</f>
        <v>Unico</v>
      </c>
      <c r="P2135" t="str">
        <f t="shared" si="133"/>
        <v>OK</v>
      </c>
      <c r="Q2135" t="str">
        <f t="shared" si="134"/>
        <v>OK</v>
      </c>
      <c r="R2135" t="str">
        <f t="shared" si="135"/>
        <v>OK</v>
      </c>
    </row>
    <row r="2136" spans="1:18" x14ac:dyDescent="0.3">
      <c r="A2136" s="1">
        <v>45750</v>
      </c>
      <c r="B2136" s="2" t="s">
        <v>2643</v>
      </c>
      <c r="C2136" s="2" t="s">
        <v>2541</v>
      </c>
      <c r="D2136" s="2" t="s">
        <v>2516</v>
      </c>
      <c r="E2136" s="2" t="s">
        <v>2529</v>
      </c>
      <c r="F2136" s="3">
        <v>150028</v>
      </c>
      <c r="G2136" s="3">
        <v>5060</v>
      </c>
      <c r="H2136" s="3">
        <v>514</v>
      </c>
      <c r="I2136" s="4">
        <v>2164.09</v>
      </c>
      <c r="J2136" s="4">
        <v>63297.43</v>
      </c>
      <c r="K2136" s="3">
        <v>296</v>
      </c>
      <c r="L2136" s="2" t="s">
        <v>2536</v>
      </c>
      <c r="M2136" s="2" t="s">
        <v>2519</v>
      </c>
      <c r="N2136" s="6">
        <f t="shared" si="132"/>
        <v>1</v>
      </c>
      <c r="O2136" t="str">
        <f>IF(Tabla_control[[#This Row],[Control_duplicados]]&gt;1,"Duplicado","Unico")</f>
        <v>Unico</v>
      </c>
      <c r="P2136" t="str">
        <f t="shared" si="133"/>
        <v>OK</v>
      </c>
      <c r="Q2136" t="str">
        <f t="shared" si="134"/>
        <v>OK</v>
      </c>
      <c r="R2136" t="str">
        <f t="shared" si="135"/>
        <v>OK</v>
      </c>
    </row>
    <row r="2137" spans="1:18" x14ac:dyDescent="0.3">
      <c r="A2137" s="1">
        <v>45744</v>
      </c>
      <c r="B2137" s="2" t="s">
        <v>2643</v>
      </c>
      <c r="C2137" s="2" t="s">
        <v>2543</v>
      </c>
      <c r="D2137" s="2" t="s">
        <v>2531</v>
      </c>
      <c r="E2137" s="2" t="s">
        <v>2517</v>
      </c>
      <c r="F2137" s="3">
        <v>34270</v>
      </c>
      <c r="G2137" s="3">
        <v>2993</v>
      </c>
      <c r="H2137" s="3">
        <v>48</v>
      </c>
      <c r="I2137" s="4">
        <v>5345.06</v>
      </c>
      <c r="J2137" s="4">
        <v>3864.37</v>
      </c>
      <c r="K2137" s="3">
        <v>29</v>
      </c>
      <c r="L2137" s="2" t="s">
        <v>2523</v>
      </c>
      <c r="M2137" s="2" t="s">
        <v>2519</v>
      </c>
      <c r="N2137" s="6">
        <f t="shared" si="132"/>
        <v>1</v>
      </c>
      <c r="O2137" t="str">
        <f>IF(Tabla_control[[#This Row],[Control_duplicados]]&gt;1,"Duplicado","Unico")</f>
        <v>Unico</v>
      </c>
      <c r="P2137" t="str">
        <f t="shared" si="133"/>
        <v>OK</v>
      </c>
      <c r="Q2137" t="str">
        <f t="shared" si="134"/>
        <v>OK</v>
      </c>
      <c r="R2137" t="str">
        <f t="shared" si="135"/>
        <v>OK</v>
      </c>
    </row>
    <row r="2138" spans="1:18" x14ac:dyDescent="0.3">
      <c r="A2138" s="1">
        <v>45732</v>
      </c>
      <c r="B2138" s="2" t="s">
        <v>2640</v>
      </c>
      <c r="C2138" s="2" t="s">
        <v>2533</v>
      </c>
      <c r="D2138" s="2" t="s">
        <v>2525</v>
      </c>
      <c r="E2138" s="2" t="s">
        <v>2517</v>
      </c>
      <c r="F2138" s="3">
        <v>1874</v>
      </c>
      <c r="G2138" s="3">
        <v>99</v>
      </c>
      <c r="H2138" s="3">
        <v>5</v>
      </c>
      <c r="I2138" s="4">
        <v>83.64</v>
      </c>
      <c r="J2138" s="4">
        <v>689.95</v>
      </c>
      <c r="K2138" s="3">
        <v>2</v>
      </c>
      <c r="L2138" s="2" t="s">
        <v>2523</v>
      </c>
      <c r="M2138" s="2" t="s">
        <v>2546</v>
      </c>
      <c r="N2138" s="6">
        <f t="shared" si="132"/>
        <v>1</v>
      </c>
      <c r="O2138" t="str">
        <f>IF(Tabla_control[[#This Row],[Control_duplicados]]&gt;1,"Duplicado","Unico")</f>
        <v>Unico</v>
      </c>
      <c r="P2138" t="str">
        <f t="shared" si="133"/>
        <v>OK</v>
      </c>
      <c r="Q2138" t="str">
        <f t="shared" si="134"/>
        <v>OK</v>
      </c>
      <c r="R2138" t="str">
        <f t="shared" si="135"/>
        <v>OK</v>
      </c>
    </row>
    <row r="2139" spans="1:18" x14ac:dyDescent="0.3">
      <c r="A2139" s="1">
        <v>45785</v>
      </c>
      <c r="B2139" s="2" t="s">
        <v>2644</v>
      </c>
      <c r="C2139" s="2" t="s">
        <v>2515</v>
      </c>
      <c r="D2139" s="2" t="s">
        <v>2531</v>
      </c>
      <c r="E2139" s="2" t="s">
        <v>2517</v>
      </c>
      <c r="F2139" s="3">
        <v>137094</v>
      </c>
      <c r="G2139" s="3">
        <v>7774</v>
      </c>
      <c r="H2139" s="3">
        <v>393</v>
      </c>
      <c r="I2139" s="4">
        <v>14541.86</v>
      </c>
      <c r="J2139" s="4">
        <v>20997.77</v>
      </c>
      <c r="K2139" s="3">
        <v>343</v>
      </c>
      <c r="L2139" s="2" t="s">
        <v>2536</v>
      </c>
      <c r="M2139" s="2" t="s">
        <v>2526</v>
      </c>
      <c r="N2139" s="6">
        <f t="shared" si="132"/>
        <v>1</v>
      </c>
      <c r="O2139" t="str">
        <f>IF(Tabla_control[[#This Row],[Control_duplicados]]&gt;1,"Duplicado","Unico")</f>
        <v>Unico</v>
      </c>
      <c r="P2139" t="str">
        <f t="shared" si="133"/>
        <v>OK</v>
      </c>
      <c r="Q2139" t="str">
        <f t="shared" si="134"/>
        <v>OK</v>
      </c>
      <c r="R2139" t="str">
        <f t="shared" si="135"/>
        <v>OK</v>
      </c>
    </row>
    <row r="2140" spans="1:18" x14ac:dyDescent="0.3">
      <c r="A2140" s="1">
        <v>45737</v>
      </c>
      <c r="B2140" s="2" t="s">
        <v>2628</v>
      </c>
      <c r="C2140" s="2" t="s">
        <v>2515</v>
      </c>
      <c r="D2140" s="2" t="s">
        <v>2528</v>
      </c>
      <c r="E2140" s="2" t="s">
        <v>2529</v>
      </c>
      <c r="F2140" s="3">
        <v>136032</v>
      </c>
      <c r="G2140" s="3">
        <v>1613</v>
      </c>
      <c r="H2140" s="3">
        <v>151</v>
      </c>
      <c r="I2140" s="4">
        <v>1596</v>
      </c>
      <c r="J2140" s="4">
        <v>5546.95</v>
      </c>
      <c r="K2140" s="3">
        <v>109</v>
      </c>
      <c r="L2140" s="2" t="s">
        <v>2523</v>
      </c>
      <c r="M2140" s="2" t="s">
        <v>2537</v>
      </c>
      <c r="N2140" s="6">
        <f t="shared" si="132"/>
        <v>1</v>
      </c>
      <c r="O2140" t="str">
        <f>IF(Tabla_control[[#This Row],[Control_duplicados]]&gt;1,"Duplicado","Unico")</f>
        <v>Unico</v>
      </c>
      <c r="P2140" t="str">
        <f t="shared" si="133"/>
        <v>OK</v>
      </c>
      <c r="Q2140" t="str">
        <f t="shared" si="134"/>
        <v>OK</v>
      </c>
      <c r="R2140" t="str">
        <f t="shared" si="135"/>
        <v>OK</v>
      </c>
    </row>
    <row r="2141" spans="1:18" x14ac:dyDescent="0.3">
      <c r="A2141" s="1">
        <v>45887</v>
      </c>
      <c r="B2141" s="2" t="s">
        <v>2615</v>
      </c>
      <c r="C2141" s="2" t="s">
        <v>2533</v>
      </c>
      <c r="D2141" s="2" t="s">
        <v>2528</v>
      </c>
      <c r="E2141" s="2" t="s">
        <v>2529</v>
      </c>
      <c r="F2141" s="3">
        <v>64229</v>
      </c>
      <c r="G2141" s="3">
        <v>4631</v>
      </c>
      <c r="H2141" s="3">
        <v>51</v>
      </c>
      <c r="I2141" s="4">
        <v>7902.36</v>
      </c>
      <c r="J2141" s="4">
        <v>1897.58</v>
      </c>
      <c r="K2141" s="3">
        <v>23</v>
      </c>
      <c r="L2141" s="2" t="s">
        <v>2523</v>
      </c>
      <c r="M2141" s="2" t="s">
        <v>2526</v>
      </c>
      <c r="N2141" s="6">
        <f t="shared" si="132"/>
        <v>1</v>
      </c>
      <c r="O2141" t="str">
        <f>IF(Tabla_control[[#This Row],[Control_duplicados]]&gt;1,"Duplicado","Unico")</f>
        <v>Unico</v>
      </c>
      <c r="P2141" t="str">
        <f t="shared" si="133"/>
        <v>OK</v>
      </c>
      <c r="Q2141" t="str">
        <f t="shared" si="134"/>
        <v>OK</v>
      </c>
      <c r="R2141" t="str">
        <f t="shared" si="135"/>
        <v>OK</v>
      </c>
    </row>
    <row r="2142" spans="1:18" x14ac:dyDescent="0.3">
      <c r="A2142" s="1">
        <v>45771</v>
      </c>
      <c r="B2142" s="2" t="s">
        <v>2644</v>
      </c>
      <c r="C2142" s="2" t="s">
        <v>2521</v>
      </c>
      <c r="D2142" s="2" t="s">
        <v>2516</v>
      </c>
      <c r="E2142" s="2" t="s">
        <v>2529</v>
      </c>
      <c r="F2142" s="3">
        <v>105694</v>
      </c>
      <c r="G2142" s="3">
        <v>837</v>
      </c>
      <c r="H2142" s="3">
        <v>16</v>
      </c>
      <c r="I2142" s="4">
        <v>1376.23</v>
      </c>
      <c r="J2142" s="4">
        <v>607</v>
      </c>
      <c r="K2142" s="3">
        <v>11</v>
      </c>
      <c r="L2142" s="2" t="s">
        <v>2536</v>
      </c>
      <c r="M2142" s="2" t="s">
        <v>2526</v>
      </c>
      <c r="N2142" s="6">
        <f t="shared" si="132"/>
        <v>1</v>
      </c>
      <c r="O2142" t="str">
        <f>IF(Tabla_control[[#This Row],[Control_duplicados]]&gt;1,"Duplicado","Unico")</f>
        <v>Unico</v>
      </c>
      <c r="P2142" t="str">
        <f t="shared" si="133"/>
        <v>OK</v>
      </c>
      <c r="Q2142" t="str">
        <f t="shared" si="134"/>
        <v>OK</v>
      </c>
      <c r="R2142" t="str">
        <f t="shared" si="135"/>
        <v>OK</v>
      </c>
    </row>
    <row r="2143" spans="1:18" x14ac:dyDescent="0.3">
      <c r="A2143" s="1">
        <v>45872</v>
      </c>
      <c r="B2143" s="2" t="s">
        <v>2644</v>
      </c>
      <c r="C2143" s="2" t="s">
        <v>2543</v>
      </c>
      <c r="D2143" s="2" t="s">
        <v>2528</v>
      </c>
      <c r="E2143" s="2" t="s">
        <v>2529</v>
      </c>
      <c r="F2143" s="3">
        <v>158706</v>
      </c>
      <c r="G2143" s="3">
        <v>11332</v>
      </c>
      <c r="H2143" s="3">
        <v>1074</v>
      </c>
      <c r="I2143" s="4">
        <v>11128.01</v>
      </c>
      <c r="J2143" s="4">
        <v>193634.02</v>
      </c>
      <c r="K2143" s="3">
        <v>666</v>
      </c>
      <c r="L2143" s="2" t="s">
        <v>2518</v>
      </c>
      <c r="M2143" s="2" t="s">
        <v>2519</v>
      </c>
      <c r="N2143" s="6">
        <f t="shared" si="132"/>
        <v>1</v>
      </c>
      <c r="O2143" t="str">
        <f>IF(Tabla_control[[#This Row],[Control_duplicados]]&gt;1,"Duplicado","Unico")</f>
        <v>Unico</v>
      </c>
      <c r="P2143" t="str">
        <f t="shared" si="133"/>
        <v>OK</v>
      </c>
      <c r="Q2143" t="str">
        <f t="shared" si="134"/>
        <v>OK</v>
      </c>
      <c r="R2143" t="str">
        <f t="shared" si="135"/>
        <v>OK</v>
      </c>
    </row>
    <row r="2144" spans="1:18" x14ac:dyDescent="0.3">
      <c r="A2144" s="1">
        <v>45786</v>
      </c>
      <c r="B2144" s="2" t="s">
        <v>2623</v>
      </c>
      <c r="C2144" s="2" t="s">
        <v>2521</v>
      </c>
      <c r="D2144" s="2" t="s">
        <v>2516</v>
      </c>
      <c r="E2144" s="2" t="s">
        <v>2517</v>
      </c>
      <c r="F2144" s="3">
        <v>3407</v>
      </c>
      <c r="G2144" s="3">
        <v>24</v>
      </c>
      <c r="H2144" s="3">
        <v>1</v>
      </c>
      <c r="I2144" s="4">
        <v>39.200000000000003</v>
      </c>
      <c r="J2144" s="4">
        <v>172.19</v>
      </c>
      <c r="K2144" s="3">
        <v>0</v>
      </c>
      <c r="L2144" s="2" t="s">
        <v>2536</v>
      </c>
      <c r="M2144" s="2" t="s">
        <v>2524</v>
      </c>
      <c r="N2144" s="6">
        <f t="shared" si="132"/>
        <v>1</v>
      </c>
      <c r="O2144" t="str">
        <f>IF(Tabla_control[[#This Row],[Control_duplicados]]&gt;1,"Duplicado","Unico")</f>
        <v>Unico</v>
      </c>
      <c r="P2144" t="str">
        <f t="shared" si="133"/>
        <v>OK</v>
      </c>
      <c r="Q2144" t="str">
        <f t="shared" si="134"/>
        <v>OK</v>
      </c>
      <c r="R2144" t="str">
        <f t="shared" si="135"/>
        <v>OK</v>
      </c>
    </row>
    <row r="2145" spans="1:18" x14ac:dyDescent="0.3">
      <c r="A2145" s="1">
        <v>45785</v>
      </c>
      <c r="B2145" s="2" t="s">
        <v>2637</v>
      </c>
      <c r="C2145" s="2" t="s">
        <v>2521</v>
      </c>
      <c r="D2145" s="2" t="s">
        <v>2525</v>
      </c>
      <c r="E2145" s="2" t="s">
        <v>2517</v>
      </c>
      <c r="F2145" s="3">
        <v>124110</v>
      </c>
      <c r="G2145" s="3">
        <v>1751</v>
      </c>
      <c r="H2145" s="3">
        <v>47</v>
      </c>
      <c r="I2145" s="4">
        <v>3573.66</v>
      </c>
      <c r="J2145" s="4">
        <v>8694.34</v>
      </c>
      <c r="K2145" s="3">
        <v>38</v>
      </c>
      <c r="L2145" s="2" t="s">
        <v>2539</v>
      </c>
      <c r="M2145" s="2" t="s">
        <v>2546</v>
      </c>
      <c r="N2145" s="6">
        <f t="shared" si="132"/>
        <v>1</v>
      </c>
      <c r="O2145" t="str">
        <f>IF(Tabla_control[[#This Row],[Control_duplicados]]&gt;1,"Duplicado","Unico")</f>
        <v>Unico</v>
      </c>
      <c r="P2145" t="str">
        <f t="shared" si="133"/>
        <v>OK</v>
      </c>
      <c r="Q2145" t="str">
        <f t="shared" si="134"/>
        <v>OK</v>
      </c>
      <c r="R2145" t="str">
        <f t="shared" si="135"/>
        <v>OK</v>
      </c>
    </row>
    <row r="2146" spans="1:18" x14ac:dyDescent="0.3">
      <c r="A2146" s="1">
        <v>45732</v>
      </c>
      <c r="B2146" s="2" t="s">
        <v>2636</v>
      </c>
      <c r="C2146" s="2" t="s">
        <v>2527</v>
      </c>
      <c r="D2146" s="2" t="s">
        <v>2528</v>
      </c>
      <c r="E2146" s="2" t="s">
        <v>2517</v>
      </c>
      <c r="F2146" s="3">
        <v>103870</v>
      </c>
      <c r="G2146" s="3">
        <v>2016</v>
      </c>
      <c r="H2146" s="3">
        <v>70</v>
      </c>
      <c r="I2146" s="4">
        <v>3023.26</v>
      </c>
      <c r="J2146" s="4">
        <v>4189.51</v>
      </c>
      <c r="K2146" s="3">
        <v>44</v>
      </c>
      <c r="L2146" s="2" t="s">
        <v>2536</v>
      </c>
      <c r="M2146" s="2" t="s">
        <v>2537</v>
      </c>
      <c r="N2146" s="6">
        <f t="shared" si="132"/>
        <v>1</v>
      </c>
      <c r="O2146" t="str">
        <f>IF(Tabla_control[[#This Row],[Control_duplicados]]&gt;1,"Duplicado","Unico")</f>
        <v>Unico</v>
      </c>
      <c r="P2146" t="str">
        <f t="shared" si="133"/>
        <v>OK</v>
      </c>
      <c r="Q2146" t="str">
        <f t="shared" si="134"/>
        <v>OK</v>
      </c>
      <c r="R2146" t="str">
        <f t="shared" si="135"/>
        <v>OK</v>
      </c>
    </row>
    <row r="2147" spans="1:18" x14ac:dyDescent="0.3">
      <c r="A2147" s="1">
        <v>45730</v>
      </c>
      <c r="B2147" s="2" t="s">
        <v>2619</v>
      </c>
      <c r="C2147" s="2" t="s">
        <v>2541</v>
      </c>
      <c r="D2147" s="2" t="s">
        <v>2528</v>
      </c>
      <c r="E2147" s="2" t="s">
        <v>2529</v>
      </c>
      <c r="F2147" s="3">
        <v>75381</v>
      </c>
      <c r="G2147" s="3">
        <v>1741</v>
      </c>
      <c r="H2147" s="3">
        <v>218</v>
      </c>
      <c r="I2147" s="4">
        <v>1732.43</v>
      </c>
      <c r="J2147" s="4">
        <v>32543.71</v>
      </c>
      <c r="K2147" s="3">
        <v>98</v>
      </c>
      <c r="L2147" s="2" t="s">
        <v>2518</v>
      </c>
      <c r="M2147" s="2" t="s">
        <v>2524</v>
      </c>
      <c r="N2147" s="6">
        <f t="shared" si="132"/>
        <v>1</v>
      </c>
      <c r="O2147" t="str">
        <f>IF(Tabla_control[[#This Row],[Control_duplicados]]&gt;1,"Duplicado","Unico")</f>
        <v>Unico</v>
      </c>
      <c r="P2147" t="str">
        <f t="shared" si="133"/>
        <v>OK</v>
      </c>
      <c r="Q2147" t="str">
        <f t="shared" si="134"/>
        <v>OK</v>
      </c>
      <c r="R2147" t="str">
        <f t="shared" si="135"/>
        <v>OK</v>
      </c>
    </row>
    <row r="2148" spans="1:18" x14ac:dyDescent="0.3">
      <c r="A2148" s="1">
        <v>45680</v>
      </c>
      <c r="B2148" s="2" t="s">
        <v>2642</v>
      </c>
      <c r="C2148" s="2" t="s">
        <v>2521</v>
      </c>
      <c r="D2148" s="2" t="s">
        <v>2531</v>
      </c>
      <c r="E2148" s="2" t="s">
        <v>2517</v>
      </c>
      <c r="F2148" s="3">
        <v>171176</v>
      </c>
      <c r="G2148" s="3">
        <v>11005</v>
      </c>
      <c r="H2148" s="3">
        <v>724</v>
      </c>
      <c r="I2148" s="4">
        <v>20071.7</v>
      </c>
      <c r="J2148" s="4">
        <v>22382.26</v>
      </c>
      <c r="K2148" s="3">
        <v>527</v>
      </c>
      <c r="L2148" s="2" t="s">
        <v>2536</v>
      </c>
      <c r="M2148" s="2" t="s">
        <v>2546</v>
      </c>
      <c r="N2148" s="6">
        <f t="shared" si="132"/>
        <v>1</v>
      </c>
      <c r="O2148" t="str">
        <f>IF(Tabla_control[[#This Row],[Control_duplicados]]&gt;1,"Duplicado","Unico")</f>
        <v>Unico</v>
      </c>
      <c r="P2148" t="str">
        <f t="shared" si="133"/>
        <v>OK</v>
      </c>
      <c r="Q2148" t="str">
        <f t="shared" si="134"/>
        <v>OK</v>
      </c>
      <c r="R2148" t="str">
        <f t="shared" si="135"/>
        <v>OK</v>
      </c>
    </row>
    <row r="2149" spans="1:18" x14ac:dyDescent="0.3">
      <c r="A2149" s="1">
        <v>46017</v>
      </c>
      <c r="B2149" s="2" t="s">
        <v>2617</v>
      </c>
      <c r="C2149" s="2" t="s">
        <v>2543</v>
      </c>
      <c r="D2149" s="2" t="s">
        <v>2528</v>
      </c>
      <c r="E2149" s="2" t="s">
        <v>2517</v>
      </c>
      <c r="F2149" s="3">
        <v>134355</v>
      </c>
      <c r="G2149" s="3">
        <v>867</v>
      </c>
      <c r="H2149" s="3">
        <v>27</v>
      </c>
      <c r="I2149" s="4">
        <v>1778.99</v>
      </c>
      <c r="J2149" s="4">
        <v>4043.15</v>
      </c>
      <c r="K2149" s="3">
        <v>21</v>
      </c>
      <c r="L2149" s="2" t="s">
        <v>2523</v>
      </c>
      <c r="M2149" s="2" t="s">
        <v>2537</v>
      </c>
      <c r="N2149" s="6">
        <f t="shared" si="132"/>
        <v>1</v>
      </c>
      <c r="O2149" t="str">
        <f>IF(Tabla_control[[#This Row],[Control_duplicados]]&gt;1,"Duplicado","Unico")</f>
        <v>Unico</v>
      </c>
      <c r="P2149" t="str">
        <f t="shared" si="133"/>
        <v>OK</v>
      </c>
      <c r="Q2149" t="str">
        <f t="shared" si="134"/>
        <v>OK</v>
      </c>
      <c r="R2149" t="str">
        <f t="shared" si="135"/>
        <v>OK</v>
      </c>
    </row>
    <row r="2150" spans="1:18" x14ac:dyDescent="0.3">
      <c r="A2150" s="1">
        <v>45986</v>
      </c>
      <c r="B2150" s="2" t="s">
        <v>2626</v>
      </c>
      <c r="C2150" s="2" t="s">
        <v>2527</v>
      </c>
      <c r="D2150" s="2" t="s">
        <v>2528</v>
      </c>
      <c r="E2150" s="2" t="s">
        <v>2529</v>
      </c>
      <c r="F2150" s="3">
        <v>152677</v>
      </c>
      <c r="G2150" s="3">
        <v>12307</v>
      </c>
      <c r="H2150" s="3">
        <v>585</v>
      </c>
      <c r="I2150" s="4">
        <v>5434.15</v>
      </c>
      <c r="J2150" s="4">
        <v>12185.95</v>
      </c>
      <c r="K2150" s="3">
        <v>501</v>
      </c>
      <c r="L2150" s="2" t="s">
        <v>2518</v>
      </c>
      <c r="M2150" s="2" t="s">
        <v>2546</v>
      </c>
      <c r="N2150" s="6">
        <f t="shared" si="132"/>
        <v>1</v>
      </c>
      <c r="O2150" t="str">
        <f>IF(Tabla_control[[#This Row],[Control_duplicados]]&gt;1,"Duplicado","Unico")</f>
        <v>Unico</v>
      </c>
      <c r="P2150" t="str">
        <f t="shared" si="133"/>
        <v>OK</v>
      </c>
      <c r="Q2150" t="str">
        <f t="shared" si="134"/>
        <v>OK</v>
      </c>
      <c r="R2150" t="str">
        <f t="shared" si="135"/>
        <v>OK</v>
      </c>
    </row>
    <row r="2151" spans="1:18" x14ac:dyDescent="0.3">
      <c r="A2151" s="1">
        <v>45804</v>
      </c>
      <c r="B2151" s="2" t="s">
        <v>2619</v>
      </c>
      <c r="C2151" s="2" t="s">
        <v>2521</v>
      </c>
      <c r="D2151" s="2" t="s">
        <v>2528</v>
      </c>
      <c r="E2151" s="2" t="s">
        <v>2529</v>
      </c>
      <c r="F2151" s="3">
        <v>47951</v>
      </c>
      <c r="G2151" s="3">
        <v>896</v>
      </c>
      <c r="H2151" s="3">
        <v>43</v>
      </c>
      <c r="I2151" s="4">
        <v>1668.04</v>
      </c>
      <c r="J2151" s="4">
        <v>2366.06</v>
      </c>
      <c r="K2151" s="3">
        <v>28</v>
      </c>
      <c r="L2151" s="2" t="s">
        <v>2536</v>
      </c>
      <c r="M2151" s="2" t="s">
        <v>2519</v>
      </c>
      <c r="N2151" s="6">
        <f t="shared" si="132"/>
        <v>1</v>
      </c>
      <c r="O2151" t="str">
        <f>IF(Tabla_control[[#This Row],[Control_duplicados]]&gt;1,"Duplicado","Unico")</f>
        <v>Unico</v>
      </c>
      <c r="P2151" t="str">
        <f t="shared" si="133"/>
        <v>OK</v>
      </c>
      <c r="Q2151" t="str">
        <f t="shared" si="134"/>
        <v>OK</v>
      </c>
      <c r="R2151" t="str">
        <f t="shared" si="135"/>
        <v>OK</v>
      </c>
    </row>
    <row r="2152" spans="1:18" x14ac:dyDescent="0.3">
      <c r="A2152" s="1">
        <v>45674</v>
      </c>
      <c r="B2152" s="2" t="s">
        <v>2622</v>
      </c>
      <c r="C2152" s="2" t="s">
        <v>2541</v>
      </c>
      <c r="D2152" s="2" t="s">
        <v>2528</v>
      </c>
      <c r="E2152" s="2" t="s">
        <v>2529</v>
      </c>
      <c r="F2152" s="3">
        <v>17221</v>
      </c>
      <c r="G2152" s="3">
        <v>1244</v>
      </c>
      <c r="H2152" s="3">
        <v>123</v>
      </c>
      <c r="I2152" s="4">
        <v>1902.44</v>
      </c>
      <c r="J2152" s="4">
        <v>23709.45</v>
      </c>
      <c r="K2152" s="3">
        <v>80</v>
      </c>
      <c r="L2152" s="2" t="s">
        <v>2536</v>
      </c>
      <c r="M2152" s="2" t="s">
        <v>2524</v>
      </c>
      <c r="N2152" s="6">
        <f t="shared" si="132"/>
        <v>1</v>
      </c>
      <c r="O2152" t="str">
        <f>IF(Tabla_control[[#This Row],[Control_duplicados]]&gt;1,"Duplicado","Unico")</f>
        <v>Unico</v>
      </c>
      <c r="P2152" t="str">
        <f t="shared" si="133"/>
        <v>OK</v>
      </c>
      <c r="Q2152" t="str">
        <f t="shared" si="134"/>
        <v>OK</v>
      </c>
      <c r="R2152" t="str">
        <f t="shared" si="135"/>
        <v>OK</v>
      </c>
    </row>
    <row r="2153" spans="1:18" x14ac:dyDescent="0.3">
      <c r="A2153" s="1">
        <v>45714</v>
      </c>
      <c r="B2153" s="2" t="s">
        <v>2624</v>
      </c>
      <c r="C2153" s="2" t="s">
        <v>2533</v>
      </c>
      <c r="D2153" s="2" t="s">
        <v>2528</v>
      </c>
      <c r="E2153" s="2" t="s">
        <v>2529</v>
      </c>
      <c r="F2153" s="3">
        <v>64373</v>
      </c>
      <c r="G2153" s="3">
        <v>1115</v>
      </c>
      <c r="H2153" s="3">
        <v>122</v>
      </c>
      <c r="I2153" s="4">
        <v>962.21</v>
      </c>
      <c r="J2153" s="4">
        <v>12517.02</v>
      </c>
      <c r="K2153" s="3">
        <v>98</v>
      </c>
      <c r="L2153" s="2" t="s">
        <v>2536</v>
      </c>
      <c r="M2153" s="2" t="s">
        <v>2537</v>
      </c>
      <c r="N2153" s="6">
        <f t="shared" si="132"/>
        <v>1</v>
      </c>
      <c r="O2153" t="str">
        <f>IF(Tabla_control[[#This Row],[Control_duplicados]]&gt;1,"Duplicado","Unico")</f>
        <v>Unico</v>
      </c>
      <c r="P2153" t="str">
        <f t="shared" si="133"/>
        <v>OK</v>
      </c>
      <c r="Q2153" t="str">
        <f t="shared" si="134"/>
        <v>OK</v>
      </c>
      <c r="R2153" t="str">
        <f t="shared" si="135"/>
        <v>OK</v>
      </c>
    </row>
    <row r="2154" spans="1:18" x14ac:dyDescent="0.3">
      <c r="A2154" s="1">
        <v>45948</v>
      </c>
      <c r="B2154" s="2" t="s">
        <v>2626</v>
      </c>
      <c r="C2154" s="2" t="s">
        <v>2515</v>
      </c>
      <c r="D2154" s="2" t="s">
        <v>2525</v>
      </c>
      <c r="E2154" s="2" t="s">
        <v>2529</v>
      </c>
      <c r="F2154" s="3">
        <v>69602</v>
      </c>
      <c r="G2154" s="3">
        <v>5574</v>
      </c>
      <c r="H2154" s="3">
        <v>59</v>
      </c>
      <c r="I2154" s="4">
        <v>4069.89</v>
      </c>
      <c r="J2154" s="4">
        <v>1936.86</v>
      </c>
      <c r="K2154" s="3">
        <v>37</v>
      </c>
      <c r="L2154" s="2" t="s">
        <v>2523</v>
      </c>
      <c r="M2154" s="2" t="s">
        <v>2524</v>
      </c>
      <c r="N2154" s="6">
        <f t="shared" si="132"/>
        <v>2</v>
      </c>
      <c r="O2154" t="str">
        <f>IF(Tabla_control[[#This Row],[Control_duplicados]]&gt;1,"Duplicado","Unico")</f>
        <v>Duplicado</v>
      </c>
      <c r="P2154" t="str">
        <f t="shared" si="133"/>
        <v>OK</v>
      </c>
      <c r="Q2154" t="str">
        <f t="shared" si="134"/>
        <v>OK</v>
      </c>
      <c r="R2154" t="str">
        <f t="shared" si="135"/>
        <v>OK</v>
      </c>
    </row>
    <row r="2155" spans="1:18" x14ac:dyDescent="0.3">
      <c r="A2155" s="1">
        <v>45873</v>
      </c>
      <c r="B2155" s="2" t="s">
        <v>2623</v>
      </c>
      <c r="C2155" s="2" t="s">
        <v>2541</v>
      </c>
      <c r="D2155" s="2" t="s">
        <v>2528</v>
      </c>
      <c r="E2155" s="2" t="s">
        <v>2517</v>
      </c>
      <c r="F2155" s="3">
        <v>74397</v>
      </c>
      <c r="G2155" s="3">
        <v>1633</v>
      </c>
      <c r="H2155" s="3">
        <v>213</v>
      </c>
      <c r="I2155" s="4">
        <v>689.46</v>
      </c>
      <c r="J2155" s="4">
        <v>20691.45</v>
      </c>
      <c r="K2155" s="3">
        <v>95</v>
      </c>
      <c r="L2155" s="2" t="s">
        <v>2523</v>
      </c>
      <c r="M2155" s="2" t="s">
        <v>2519</v>
      </c>
      <c r="N2155" s="6">
        <f t="shared" si="132"/>
        <v>1</v>
      </c>
      <c r="O2155" t="str">
        <f>IF(Tabla_control[[#This Row],[Control_duplicados]]&gt;1,"Duplicado","Unico")</f>
        <v>Unico</v>
      </c>
      <c r="P2155" t="str">
        <f t="shared" si="133"/>
        <v>OK</v>
      </c>
      <c r="Q2155" t="str">
        <f t="shared" si="134"/>
        <v>OK</v>
      </c>
      <c r="R2155" t="str">
        <f t="shared" si="135"/>
        <v>OK</v>
      </c>
    </row>
    <row r="2156" spans="1:18" x14ac:dyDescent="0.3">
      <c r="A2156" s="1">
        <v>45936</v>
      </c>
      <c r="B2156" s="2" t="s">
        <v>2628</v>
      </c>
      <c r="C2156" s="2" t="s">
        <v>2521</v>
      </c>
      <c r="D2156" s="2" t="s">
        <v>2525</v>
      </c>
      <c r="E2156" s="2" t="s">
        <v>2517</v>
      </c>
      <c r="F2156" s="3">
        <v>68463</v>
      </c>
      <c r="G2156" s="3">
        <v>2798</v>
      </c>
      <c r="H2156" s="3">
        <v>113</v>
      </c>
      <c r="I2156" s="4">
        <v>5291.64</v>
      </c>
      <c r="J2156" s="4">
        <v>20327.22</v>
      </c>
      <c r="K2156" s="3">
        <v>80</v>
      </c>
      <c r="L2156" s="2" t="s">
        <v>2539</v>
      </c>
      <c r="M2156" s="2" t="s">
        <v>2546</v>
      </c>
      <c r="N2156" s="6">
        <f t="shared" si="132"/>
        <v>1</v>
      </c>
      <c r="O2156" t="str">
        <f>IF(Tabla_control[[#This Row],[Control_duplicados]]&gt;1,"Duplicado","Unico")</f>
        <v>Unico</v>
      </c>
      <c r="P2156" t="str">
        <f t="shared" si="133"/>
        <v>OK</v>
      </c>
      <c r="Q2156" t="str">
        <f t="shared" si="134"/>
        <v>OK</v>
      </c>
      <c r="R2156" t="str">
        <f t="shared" si="135"/>
        <v>OK</v>
      </c>
    </row>
    <row r="2157" spans="1:18" x14ac:dyDescent="0.3">
      <c r="A2157" s="1">
        <v>45899</v>
      </c>
      <c r="B2157" s="2" t="s">
        <v>2639</v>
      </c>
      <c r="C2157" s="2" t="s">
        <v>2543</v>
      </c>
      <c r="D2157" s="2" t="s">
        <v>2528</v>
      </c>
      <c r="E2157" s="2" t="s">
        <v>2517</v>
      </c>
      <c r="F2157" s="3">
        <v>118978</v>
      </c>
      <c r="G2157" s="3">
        <v>8992</v>
      </c>
      <c r="H2157" s="3">
        <v>1171</v>
      </c>
      <c r="I2157" s="4">
        <v>1391.39</v>
      </c>
      <c r="J2157" s="4">
        <v>203724.65</v>
      </c>
      <c r="K2157" s="3">
        <v>557</v>
      </c>
      <c r="L2157" s="2" t="s">
        <v>2536</v>
      </c>
      <c r="M2157" s="2" t="s">
        <v>2546</v>
      </c>
      <c r="N2157" s="6">
        <f t="shared" si="132"/>
        <v>1</v>
      </c>
      <c r="O2157" t="str">
        <f>IF(Tabla_control[[#This Row],[Control_duplicados]]&gt;1,"Duplicado","Unico")</f>
        <v>Unico</v>
      </c>
      <c r="P2157" t="str">
        <f t="shared" si="133"/>
        <v>OK</v>
      </c>
      <c r="Q2157" t="str">
        <f t="shared" si="134"/>
        <v>OK</v>
      </c>
      <c r="R2157" t="str">
        <f t="shared" si="135"/>
        <v>OK</v>
      </c>
    </row>
    <row r="2158" spans="1:18" x14ac:dyDescent="0.3">
      <c r="A2158" s="1">
        <v>45716</v>
      </c>
      <c r="B2158" s="2" t="s">
        <v>2641</v>
      </c>
      <c r="C2158" s="2" t="s">
        <v>2515</v>
      </c>
      <c r="D2158" s="2" t="s">
        <v>2525</v>
      </c>
      <c r="E2158" s="2" t="s">
        <v>2517</v>
      </c>
      <c r="F2158" s="3">
        <v>61899</v>
      </c>
      <c r="G2158" s="3">
        <v>2080</v>
      </c>
      <c r="H2158" s="3">
        <v>133</v>
      </c>
      <c r="I2158" s="4">
        <v>3165.87</v>
      </c>
      <c r="J2158" s="4">
        <v>7164.27</v>
      </c>
      <c r="K2158" s="3">
        <v>91</v>
      </c>
      <c r="L2158" s="2" t="s">
        <v>2539</v>
      </c>
      <c r="M2158" s="2" t="s">
        <v>2537</v>
      </c>
      <c r="N2158" s="6">
        <f t="shared" si="132"/>
        <v>1</v>
      </c>
      <c r="O2158" t="str">
        <f>IF(Tabla_control[[#This Row],[Control_duplicados]]&gt;1,"Duplicado","Unico")</f>
        <v>Unico</v>
      </c>
      <c r="P2158" t="str">
        <f t="shared" si="133"/>
        <v>OK</v>
      </c>
      <c r="Q2158" t="str">
        <f t="shared" si="134"/>
        <v>OK</v>
      </c>
      <c r="R2158" t="str">
        <f t="shared" si="135"/>
        <v>OK</v>
      </c>
    </row>
    <row r="2159" spans="1:18" x14ac:dyDescent="0.3">
      <c r="A2159" s="1">
        <v>45961</v>
      </c>
      <c r="B2159" s="2" t="s">
        <v>2620</v>
      </c>
      <c r="C2159" s="2" t="s">
        <v>2533</v>
      </c>
      <c r="D2159" s="2" t="s">
        <v>2525</v>
      </c>
      <c r="E2159" s="2" t="s">
        <v>2529</v>
      </c>
      <c r="F2159" s="3">
        <v>17021</v>
      </c>
      <c r="G2159" s="3">
        <v>638</v>
      </c>
      <c r="H2159" s="3">
        <v>66</v>
      </c>
      <c r="I2159" s="4">
        <v>619.58000000000004</v>
      </c>
      <c r="J2159" s="4">
        <v>10698.09</v>
      </c>
      <c r="K2159" s="3">
        <v>35</v>
      </c>
      <c r="L2159" s="2" t="s">
        <v>2523</v>
      </c>
      <c r="M2159" s="2" t="s">
        <v>2526</v>
      </c>
      <c r="N2159" s="6">
        <f t="shared" si="132"/>
        <v>2</v>
      </c>
      <c r="O2159" t="str">
        <f>IF(Tabla_control[[#This Row],[Control_duplicados]]&gt;1,"Duplicado","Unico")</f>
        <v>Duplicado</v>
      </c>
      <c r="P2159" t="str">
        <f t="shared" si="133"/>
        <v>OK</v>
      </c>
      <c r="Q2159" t="str">
        <f t="shared" si="134"/>
        <v>OK</v>
      </c>
      <c r="R2159" t="str">
        <f t="shared" si="135"/>
        <v>OK</v>
      </c>
    </row>
    <row r="2160" spans="1:18" x14ac:dyDescent="0.3">
      <c r="A2160" s="1">
        <v>45954</v>
      </c>
      <c r="B2160" s="2" t="s">
        <v>2634</v>
      </c>
      <c r="C2160" s="2" t="s">
        <v>2527</v>
      </c>
      <c r="D2160" s="2" t="s">
        <v>2525</v>
      </c>
      <c r="E2160" s="2" t="s">
        <v>2517</v>
      </c>
      <c r="F2160" s="3">
        <v>38441</v>
      </c>
      <c r="G2160" s="3">
        <v>1203</v>
      </c>
      <c r="H2160" s="3">
        <v>83</v>
      </c>
      <c r="I2160" s="4">
        <v>353</v>
      </c>
      <c r="J2160" s="4">
        <v>4209.84</v>
      </c>
      <c r="K2160" s="3">
        <v>45</v>
      </c>
      <c r="L2160" s="2" t="s">
        <v>2539</v>
      </c>
      <c r="M2160" s="2" t="s">
        <v>2526</v>
      </c>
      <c r="N2160" s="6">
        <f t="shared" si="132"/>
        <v>1</v>
      </c>
      <c r="O2160" t="str">
        <f>IF(Tabla_control[[#This Row],[Control_duplicados]]&gt;1,"Duplicado","Unico")</f>
        <v>Unico</v>
      </c>
      <c r="P2160" t="str">
        <f t="shared" si="133"/>
        <v>OK</v>
      </c>
      <c r="Q2160" t="str">
        <f t="shared" si="134"/>
        <v>OK</v>
      </c>
      <c r="R2160" t="str">
        <f t="shared" si="135"/>
        <v>OK</v>
      </c>
    </row>
    <row r="2161" spans="1:18" x14ac:dyDescent="0.3">
      <c r="A2161" s="1">
        <v>45872</v>
      </c>
      <c r="B2161" s="2" t="s">
        <v>2617</v>
      </c>
      <c r="C2161" s="2" t="s">
        <v>2515</v>
      </c>
      <c r="D2161" s="2" t="s">
        <v>2528</v>
      </c>
      <c r="E2161" s="2" t="s">
        <v>2517</v>
      </c>
      <c r="F2161" s="3">
        <v>179572</v>
      </c>
      <c r="G2161" s="3">
        <v>12201</v>
      </c>
      <c r="H2161" s="3">
        <v>942</v>
      </c>
      <c r="I2161" s="4">
        <v>13510.98</v>
      </c>
      <c r="J2161" s="4">
        <v>167325.26999999999</v>
      </c>
      <c r="K2161" s="3">
        <v>512</v>
      </c>
      <c r="L2161" s="2" t="s">
        <v>2518</v>
      </c>
      <c r="M2161" s="2" t="s">
        <v>2519</v>
      </c>
      <c r="N2161" s="6">
        <f t="shared" si="132"/>
        <v>1</v>
      </c>
      <c r="O2161" t="str">
        <f>IF(Tabla_control[[#This Row],[Control_duplicados]]&gt;1,"Duplicado","Unico")</f>
        <v>Unico</v>
      </c>
      <c r="P2161" t="str">
        <f t="shared" si="133"/>
        <v>OK</v>
      </c>
      <c r="Q2161" t="str">
        <f t="shared" si="134"/>
        <v>OK</v>
      </c>
      <c r="R2161" t="str">
        <f t="shared" si="135"/>
        <v>OK</v>
      </c>
    </row>
    <row r="2162" spans="1:18" x14ac:dyDescent="0.3">
      <c r="A2162" s="1">
        <v>45825</v>
      </c>
      <c r="B2162" s="2" t="s">
        <v>2642</v>
      </c>
      <c r="C2162" s="2" t="s">
        <v>2541</v>
      </c>
      <c r="D2162" s="2" t="s">
        <v>2516</v>
      </c>
      <c r="E2162" s="2" t="s">
        <v>2517</v>
      </c>
      <c r="F2162" s="3">
        <v>15935</v>
      </c>
      <c r="G2162" s="3">
        <v>1301</v>
      </c>
      <c r="H2162" s="3">
        <v>115</v>
      </c>
      <c r="I2162" s="4">
        <v>1238.22</v>
      </c>
      <c r="J2162" s="4">
        <v>12768.87</v>
      </c>
      <c r="K2162" s="3">
        <v>91</v>
      </c>
      <c r="L2162" s="2" t="s">
        <v>2523</v>
      </c>
      <c r="M2162" s="2" t="s">
        <v>2546</v>
      </c>
      <c r="N2162" s="6">
        <f t="shared" si="132"/>
        <v>1</v>
      </c>
      <c r="O2162" t="str">
        <f>IF(Tabla_control[[#This Row],[Control_duplicados]]&gt;1,"Duplicado","Unico")</f>
        <v>Unico</v>
      </c>
      <c r="P2162" t="str">
        <f t="shared" si="133"/>
        <v>OK</v>
      </c>
      <c r="Q2162" t="str">
        <f t="shared" si="134"/>
        <v>OK</v>
      </c>
      <c r="R2162" t="str">
        <f t="shared" si="135"/>
        <v>OK</v>
      </c>
    </row>
    <row r="2163" spans="1:18" x14ac:dyDescent="0.3">
      <c r="A2163" s="1">
        <v>45772</v>
      </c>
      <c r="B2163" s="2" t="s">
        <v>2617</v>
      </c>
      <c r="C2163" s="2" t="s">
        <v>2533</v>
      </c>
      <c r="D2163" s="2" t="s">
        <v>2522</v>
      </c>
      <c r="E2163" s="2" t="s">
        <v>2529</v>
      </c>
      <c r="F2163" s="3">
        <v>72739</v>
      </c>
      <c r="G2163" s="3">
        <v>1797</v>
      </c>
      <c r="H2163" s="3">
        <v>77</v>
      </c>
      <c r="I2163" s="4">
        <v>2076.1799999999998</v>
      </c>
      <c r="J2163" s="4">
        <v>10066.379999999999</v>
      </c>
      <c r="K2163" s="3">
        <v>39</v>
      </c>
      <c r="L2163" s="2" t="s">
        <v>2518</v>
      </c>
      <c r="M2163" s="2" t="s">
        <v>2519</v>
      </c>
      <c r="N2163" s="6">
        <f t="shared" si="132"/>
        <v>1</v>
      </c>
      <c r="O2163" t="str">
        <f>IF(Tabla_control[[#This Row],[Control_duplicados]]&gt;1,"Duplicado","Unico")</f>
        <v>Unico</v>
      </c>
      <c r="P2163" t="str">
        <f t="shared" si="133"/>
        <v>OK</v>
      </c>
      <c r="Q2163" t="str">
        <f t="shared" si="134"/>
        <v>OK</v>
      </c>
      <c r="R2163" t="str">
        <f t="shared" si="135"/>
        <v>OK</v>
      </c>
    </row>
    <row r="2164" spans="1:18" x14ac:dyDescent="0.3">
      <c r="A2164" s="1">
        <v>45898</v>
      </c>
      <c r="B2164" s="2" t="s">
        <v>2617</v>
      </c>
      <c r="C2164" s="2" t="s">
        <v>2533</v>
      </c>
      <c r="D2164" s="2" t="s">
        <v>2528</v>
      </c>
      <c r="E2164" s="2" t="s">
        <v>2529</v>
      </c>
      <c r="F2164" s="3">
        <v>112626</v>
      </c>
      <c r="G2164" s="3">
        <v>1406</v>
      </c>
      <c r="H2164" s="3">
        <v>18</v>
      </c>
      <c r="I2164" s="4">
        <v>289.36</v>
      </c>
      <c r="J2164" s="4">
        <v>805.83</v>
      </c>
      <c r="K2164" s="3">
        <v>13</v>
      </c>
      <c r="L2164" s="2" t="s">
        <v>2518</v>
      </c>
      <c r="M2164" s="2" t="s">
        <v>2546</v>
      </c>
      <c r="N2164" s="6">
        <f t="shared" si="132"/>
        <v>1</v>
      </c>
      <c r="O2164" t="str">
        <f>IF(Tabla_control[[#This Row],[Control_duplicados]]&gt;1,"Duplicado","Unico")</f>
        <v>Unico</v>
      </c>
      <c r="P2164" t="str">
        <f t="shared" si="133"/>
        <v>OK</v>
      </c>
      <c r="Q2164" t="str">
        <f t="shared" si="134"/>
        <v>OK</v>
      </c>
      <c r="R2164" t="str">
        <f t="shared" si="135"/>
        <v>OK</v>
      </c>
    </row>
    <row r="2165" spans="1:18" x14ac:dyDescent="0.3">
      <c r="A2165" s="1">
        <v>45774</v>
      </c>
      <c r="B2165" s="2" t="s">
        <v>2627</v>
      </c>
      <c r="C2165" s="2" t="s">
        <v>2515</v>
      </c>
      <c r="D2165" s="2" t="s">
        <v>2528</v>
      </c>
      <c r="E2165" s="2" t="s">
        <v>2529</v>
      </c>
      <c r="F2165" s="3">
        <v>79966</v>
      </c>
      <c r="G2165" s="3">
        <v>4398</v>
      </c>
      <c r="H2165" s="3">
        <v>360</v>
      </c>
      <c r="I2165" s="4">
        <v>7998.2</v>
      </c>
      <c r="J2165" s="4">
        <v>10434.65</v>
      </c>
      <c r="K2165" s="3">
        <v>237</v>
      </c>
      <c r="L2165" s="2" t="s">
        <v>2536</v>
      </c>
      <c r="M2165" s="2" t="s">
        <v>2526</v>
      </c>
      <c r="N2165" s="6">
        <f t="shared" si="132"/>
        <v>1</v>
      </c>
      <c r="O2165" t="str">
        <f>IF(Tabla_control[[#This Row],[Control_duplicados]]&gt;1,"Duplicado","Unico")</f>
        <v>Unico</v>
      </c>
      <c r="P2165" t="str">
        <f t="shared" si="133"/>
        <v>OK</v>
      </c>
      <c r="Q2165" t="str">
        <f t="shared" si="134"/>
        <v>OK</v>
      </c>
      <c r="R2165" t="str">
        <f t="shared" si="135"/>
        <v>OK</v>
      </c>
    </row>
    <row r="2166" spans="1:18" x14ac:dyDescent="0.3">
      <c r="A2166" s="1">
        <v>45674</v>
      </c>
      <c r="B2166" s="2" t="s">
        <v>2622</v>
      </c>
      <c r="C2166" s="2" t="s">
        <v>2533</v>
      </c>
      <c r="D2166" s="2" t="s">
        <v>2522</v>
      </c>
      <c r="E2166" s="2" t="s">
        <v>2529</v>
      </c>
      <c r="F2166" s="3">
        <v>20288</v>
      </c>
      <c r="G2166" s="3">
        <v>863</v>
      </c>
      <c r="H2166" s="3">
        <v>29</v>
      </c>
      <c r="I2166" s="4">
        <v>974.74</v>
      </c>
      <c r="J2166" s="4">
        <v>4127.5600000000004</v>
      </c>
      <c r="K2166" s="3">
        <v>19</v>
      </c>
      <c r="L2166" s="2" t="s">
        <v>2518</v>
      </c>
      <c r="M2166" s="2" t="s">
        <v>2524</v>
      </c>
      <c r="N2166" s="6">
        <f t="shared" si="132"/>
        <v>1</v>
      </c>
      <c r="O2166" t="str">
        <f>IF(Tabla_control[[#This Row],[Control_duplicados]]&gt;1,"Duplicado","Unico")</f>
        <v>Unico</v>
      </c>
      <c r="P2166" t="str">
        <f t="shared" si="133"/>
        <v>OK</v>
      </c>
      <c r="Q2166" t="str">
        <f t="shared" si="134"/>
        <v>OK</v>
      </c>
      <c r="R2166" t="str">
        <f t="shared" si="135"/>
        <v>OK</v>
      </c>
    </row>
    <row r="2167" spans="1:18" x14ac:dyDescent="0.3">
      <c r="A2167" s="1">
        <v>45913</v>
      </c>
      <c r="B2167" s="2" t="s">
        <v>2622</v>
      </c>
      <c r="C2167" s="2" t="s">
        <v>2541</v>
      </c>
      <c r="D2167" s="2" t="s">
        <v>2528</v>
      </c>
      <c r="E2167" s="2" t="s">
        <v>2517</v>
      </c>
      <c r="F2167" s="3">
        <v>179624</v>
      </c>
      <c r="G2167" s="3">
        <v>7442</v>
      </c>
      <c r="H2167" s="3">
        <v>712</v>
      </c>
      <c r="I2167" s="4">
        <v>5662.89</v>
      </c>
      <c r="J2167" s="4">
        <v>151077.67000000001</v>
      </c>
      <c r="K2167" s="3">
        <v>455</v>
      </c>
      <c r="L2167" s="2" t="s">
        <v>2536</v>
      </c>
      <c r="M2167" s="2" t="s">
        <v>2526</v>
      </c>
      <c r="N2167" s="6">
        <f t="shared" si="132"/>
        <v>1</v>
      </c>
      <c r="O2167" t="str">
        <f>IF(Tabla_control[[#This Row],[Control_duplicados]]&gt;1,"Duplicado","Unico")</f>
        <v>Unico</v>
      </c>
      <c r="P2167" t="str">
        <f t="shared" si="133"/>
        <v>OK</v>
      </c>
      <c r="Q2167" t="str">
        <f t="shared" si="134"/>
        <v>OK</v>
      </c>
      <c r="R2167" t="str">
        <f t="shared" si="135"/>
        <v>OK</v>
      </c>
    </row>
    <row r="2168" spans="1:18" x14ac:dyDescent="0.3">
      <c r="A2168" s="1">
        <v>45704</v>
      </c>
      <c r="B2168" s="2" t="s">
        <v>2619</v>
      </c>
      <c r="C2168" s="2" t="s">
        <v>2543</v>
      </c>
      <c r="D2168" s="2" t="s">
        <v>2525</v>
      </c>
      <c r="E2168" s="2" t="s">
        <v>2517</v>
      </c>
      <c r="F2168" s="3">
        <v>131266</v>
      </c>
      <c r="G2168" s="3">
        <v>8744</v>
      </c>
      <c r="H2168" s="3">
        <v>394</v>
      </c>
      <c r="I2168" s="4">
        <v>1678.44</v>
      </c>
      <c r="J2168" s="4">
        <v>18661.669999999998</v>
      </c>
      <c r="K2168" s="3">
        <v>304</v>
      </c>
      <c r="L2168" s="2" t="s">
        <v>2518</v>
      </c>
      <c r="M2168" s="2" t="s">
        <v>2526</v>
      </c>
      <c r="N2168" s="6">
        <f t="shared" si="132"/>
        <v>1</v>
      </c>
      <c r="O2168" t="str">
        <f>IF(Tabla_control[[#This Row],[Control_duplicados]]&gt;1,"Duplicado","Unico")</f>
        <v>Unico</v>
      </c>
      <c r="P2168" t="str">
        <f t="shared" si="133"/>
        <v>OK</v>
      </c>
      <c r="Q2168" t="str">
        <f t="shared" si="134"/>
        <v>OK</v>
      </c>
      <c r="R2168" t="str">
        <f t="shared" si="135"/>
        <v>OK</v>
      </c>
    </row>
    <row r="2169" spans="1:18" x14ac:dyDescent="0.3">
      <c r="A2169" s="1">
        <v>45707</v>
      </c>
      <c r="B2169" s="2" t="s">
        <v>2641</v>
      </c>
      <c r="C2169" s="2" t="s">
        <v>2543</v>
      </c>
      <c r="D2169" s="2" t="s">
        <v>2645</v>
      </c>
      <c r="E2169" s="2" t="s">
        <v>2517</v>
      </c>
      <c r="F2169" s="3">
        <v>62047</v>
      </c>
      <c r="G2169" s="3">
        <v>4603</v>
      </c>
      <c r="H2169" s="3">
        <v>213</v>
      </c>
      <c r="I2169" s="4">
        <v>8542.27</v>
      </c>
      <c r="J2169" s="4">
        <v>15293.41</v>
      </c>
      <c r="K2169" s="3">
        <v>123</v>
      </c>
      <c r="L2169" s="2" t="s">
        <v>2518</v>
      </c>
      <c r="M2169" s="2" t="s">
        <v>2519</v>
      </c>
      <c r="N2169" s="6">
        <f t="shared" si="132"/>
        <v>1</v>
      </c>
      <c r="O2169" t="str">
        <f>IF(Tabla_control[[#This Row],[Control_duplicados]]&gt;1,"Duplicado","Unico")</f>
        <v>Unico</v>
      </c>
      <c r="P2169" t="str">
        <f t="shared" si="133"/>
        <v>OK</v>
      </c>
      <c r="Q2169" t="str">
        <f t="shared" si="134"/>
        <v>OK</v>
      </c>
      <c r="R2169" t="str">
        <f t="shared" si="135"/>
        <v>OK</v>
      </c>
    </row>
    <row r="2170" spans="1:18" x14ac:dyDescent="0.3">
      <c r="A2170" s="1">
        <v>45990</v>
      </c>
      <c r="B2170" s="2" t="s">
        <v>2627</v>
      </c>
      <c r="C2170" s="2" t="s">
        <v>2541</v>
      </c>
      <c r="D2170" s="2" t="s">
        <v>2528</v>
      </c>
      <c r="E2170" s="2" t="s">
        <v>2517</v>
      </c>
      <c r="F2170" s="3">
        <v>178805</v>
      </c>
      <c r="G2170" s="3">
        <v>4889</v>
      </c>
      <c r="H2170" s="3">
        <v>232</v>
      </c>
      <c r="I2170" s="4">
        <v>3787.09</v>
      </c>
      <c r="J2170" s="4">
        <v>42097.83</v>
      </c>
      <c r="K2170" s="3">
        <v>122</v>
      </c>
      <c r="L2170" s="2" t="s">
        <v>2536</v>
      </c>
      <c r="M2170" s="2" t="s">
        <v>2519</v>
      </c>
      <c r="N2170" s="6">
        <f t="shared" si="132"/>
        <v>1</v>
      </c>
      <c r="O2170" t="str">
        <f>IF(Tabla_control[[#This Row],[Control_duplicados]]&gt;1,"Duplicado","Unico")</f>
        <v>Unico</v>
      </c>
      <c r="P2170" t="str">
        <f t="shared" si="133"/>
        <v>OK</v>
      </c>
      <c r="Q2170" t="str">
        <f t="shared" si="134"/>
        <v>OK</v>
      </c>
      <c r="R2170" t="str">
        <f t="shared" si="135"/>
        <v>OK</v>
      </c>
    </row>
    <row r="2171" spans="1:18" x14ac:dyDescent="0.3">
      <c r="A2171" s="1">
        <v>46021</v>
      </c>
      <c r="B2171" s="2" t="s">
        <v>2636</v>
      </c>
      <c r="C2171" s="2" t="s">
        <v>2541</v>
      </c>
      <c r="D2171" s="2" t="s">
        <v>2528</v>
      </c>
      <c r="E2171" s="2" t="s">
        <v>2517</v>
      </c>
      <c r="F2171" s="3">
        <v>150843</v>
      </c>
      <c r="G2171" s="3">
        <v>11566</v>
      </c>
      <c r="H2171" s="3">
        <v>412</v>
      </c>
      <c r="I2171" s="4">
        <v>22706.01</v>
      </c>
      <c r="J2171" s="4">
        <v>12086.79</v>
      </c>
      <c r="K2171" s="3">
        <v>317</v>
      </c>
      <c r="L2171" s="2" t="s">
        <v>2518</v>
      </c>
      <c r="M2171" s="2" t="s">
        <v>2526</v>
      </c>
      <c r="N2171" s="6">
        <f t="shared" si="132"/>
        <v>1</v>
      </c>
      <c r="O2171" t="str">
        <f>IF(Tabla_control[[#This Row],[Control_duplicados]]&gt;1,"Duplicado","Unico")</f>
        <v>Unico</v>
      </c>
      <c r="P2171" t="str">
        <f t="shared" si="133"/>
        <v>OK</v>
      </c>
      <c r="Q2171" t="str">
        <f t="shared" si="134"/>
        <v>OK</v>
      </c>
      <c r="R2171" t="str">
        <f t="shared" si="135"/>
        <v>OK</v>
      </c>
    </row>
    <row r="2172" spans="1:18" x14ac:dyDescent="0.3">
      <c r="A2172" s="1">
        <v>45757</v>
      </c>
      <c r="B2172" s="2" t="s">
        <v>2632</v>
      </c>
      <c r="C2172" s="2" t="s">
        <v>2527</v>
      </c>
      <c r="D2172" s="2" t="s">
        <v>2528</v>
      </c>
      <c r="E2172" s="2" t="s">
        <v>2517</v>
      </c>
      <c r="F2172" s="3">
        <v>120666</v>
      </c>
      <c r="G2172" s="3">
        <v>6149</v>
      </c>
      <c r="H2172" s="3">
        <v>428</v>
      </c>
      <c r="I2172" s="4">
        <v>8464.7900000000009</v>
      </c>
      <c r="J2172" s="4">
        <v>66365.919999999998</v>
      </c>
      <c r="K2172" s="3">
        <v>347</v>
      </c>
      <c r="L2172" s="2" t="s">
        <v>2523</v>
      </c>
      <c r="M2172" s="2" t="s">
        <v>2519</v>
      </c>
      <c r="N2172" s="6">
        <f t="shared" si="132"/>
        <v>1</v>
      </c>
      <c r="O2172" t="str">
        <f>IF(Tabla_control[[#This Row],[Control_duplicados]]&gt;1,"Duplicado","Unico")</f>
        <v>Unico</v>
      </c>
      <c r="P2172" t="str">
        <f t="shared" si="133"/>
        <v>OK</v>
      </c>
      <c r="Q2172" t="str">
        <f t="shared" si="134"/>
        <v>OK</v>
      </c>
      <c r="R2172" t="str">
        <f t="shared" si="135"/>
        <v>OK</v>
      </c>
    </row>
    <row r="2173" spans="1:18" x14ac:dyDescent="0.3">
      <c r="A2173" s="1">
        <v>45738</v>
      </c>
      <c r="B2173" s="2" t="s">
        <v>2638</v>
      </c>
      <c r="C2173" s="2" t="s">
        <v>2527</v>
      </c>
      <c r="D2173" s="2" t="s">
        <v>2525</v>
      </c>
      <c r="E2173" s="2" t="s">
        <v>2517</v>
      </c>
      <c r="F2173" s="3">
        <v>114607</v>
      </c>
      <c r="G2173" s="3">
        <v>2862</v>
      </c>
      <c r="H2173" s="3">
        <v>337</v>
      </c>
      <c r="I2173" s="4">
        <v>803.33</v>
      </c>
      <c r="J2173" s="4">
        <v>58408.58</v>
      </c>
      <c r="K2173" s="3">
        <v>254</v>
      </c>
      <c r="L2173" s="2" t="s">
        <v>2536</v>
      </c>
      <c r="M2173" s="2" t="s">
        <v>2519</v>
      </c>
      <c r="N2173" s="6">
        <f t="shared" si="132"/>
        <v>1</v>
      </c>
      <c r="O2173" t="str">
        <f>IF(Tabla_control[[#This Row],[Control_duplicados]]&gt;1,"Duplicado","Unico")</f>
        <v>Unico</v>
      </c>
      <c r="P2173" t="str">
        <f t="shared" si="133"/>
        <v>OK</v>
      </c>
      <c r="Q2173" t="str">
        <f t="shared" si="134"/>
        <v>OK</v>
      </c>
      <c r="R2173" t="str">
        <f t="shared" si="135"/>
        <v>OK</v>
      </c>
    </row>
    <row r="2174" spans="1:18" x14ac:dyDescent="0.3">
      <c r="A2174" s="1">
        <v>45851</v>
      </c>
      <c r="B2174" s="2" t="s">
        <v>2640</v>
      </c>
      <c r="C2174" s="2" t="s">
        <v>2533</v>
      </c>
      <c r="D2174" s="2" t="s">
        <v>2525</v>
      </c>
      <c r="E2174" s="2" t="s">
        <v>2529</v>
      </c>
      <c r="F2174" s="3">
        <v>171491</v>
      </c>
      <c r="G2174" s="3">
        <v>8552</v>
      </c>
      <c r="H2174" s="3">
        <v>235</v>
      </c>
      <c r="I2174" s="4">
        <v>8114.71</v>
      </c>
      <c r="J2174" s="4">
        <v>40299.300000000003</v>
      </c>
      <c r="K2174" s="3">
        <v>151</v>
      </c>
      <c r="L2174" s="2" t="s">
        <v>2536</v>
      </c>
      <c r="M2174" s="2" t="s">
        <v>2526</v>
      </c>
      <c r="N2174" s="6">
        <f t="shared" si="132"/>
        <v>1</v>
      </c>
      <c r="O2174" t="str">
        <f>IF(Tabla_control[[#This Row],[Control_duplicados]]&gt;1,"Duplicado","Unico")</f>
        <v>Unico</v>
      </c>
      <c r="P2174" t="str">
        <f t="shared" si="133"/>
        <v>OK</v>
      </c>
      <c r="Q2174" t="str">
        <f t="shared" si="134"/>
        <v>OK</v>
      </c>
      <c r="R2174" t="str">
        <f t="shared" si="135"/>
        <v>OK</v>
      </c>
    </row>
    <row r="2175" spans="1:18" x14ac:dyDescent="0.3">
      <c r="A2175" s="1">
        <v>45740</v>
      </c>
      <c r="B2175" s="2" t="s">
        <v>2618</v>
      </c>
      <c r="C2175" s="2" t="s">
        <v>2521</v>
      </c>
      <c r="D2175" s="2" t="s">
        <v>2528</v>
      </c>
      <c r="E2175" s="2" t="s">
        <v>2529</v>
      </c>
      <c r="F2175" s="3">
        <v>103572</v>
      </c>
      <c r="G2175" s="3">
        <v>1514</v>
      </c>
      <c r="H2175" s="3">
        <v>94</v>
      </c>
      <c r="I2175" s="4">
        <v>211.42</v>
      </c>
      <c r="J2175" s="4">
        <v>1413.25</v>
      </c>
      <c r="K2175" s="3">
        <v>69</v>
      </c>
      <c r="L2175" s="2" t="s">
        <v>2539</v>
      </c>
      <c r="M2175" s="2" t="s">
        <v>2524</v>
      </c>
      <c r="N2175" s="6">
        <f t="shared" si="132"/>
        <v>1</v>
      </c>
      <c r="O2175" t="str">
        <f>IF(Tabla_control[[#This Row],[Control_duplicados]]&gt;1,"Duplicado","Unico")</f>
        <v>Unico</v>
      </c>
      <c r="P2175" t="str">
        <f t="shared" si="133"/>
        <v>OK</v>
      </c>
      <c r="Q2175" t="str">
        <f t="shared" si="134"/>
        <v>OK</v>
      </c>
      <c r="R2175" t="str">
        <f t="shared" si="135"/>
        <v>OK</v>
      </c>
    </row>
    <row r="2176" spans="1:18" x14ac:dyDescent="0.3">
      <c r="A2176" s="1">
        <v>45727</v>
      </c>
      <c r="B2176" s="2" t="s">
        <v>2621</v>
      </c>
      <c r="C2176" s="2" t="s">
        <v>2515</v>
      </c>
      <c r="D2176" s="2" t="s">
        <v>2528</v>
      </c>
      <c r="E2176" s="2" t="s">
        <v>2517</v>
      </c>
      <c r="F2176" s="3">
        <v>116849</v>
      </c>
      <c r="G2176" s="3">
        <v>10176</v>
      </c>
      <c r="H2176" s="3">
        <v>765</v>
      </c>
      <c r="I2176" s="4">
        <v>2679.28</v>
      </c>
      <c r="J2176" s="4">
        <v>20455.93</v>
      </c>
      <c r="K2176" s="3">
        <v>411</v>
      </c>
      <c r="L2176" s="2" t="s">
        <v>2523</v>
      </c>
      <c r="M2176" s="2" t="s">
        <v>2524</v>
      </c>
      <c r="N2176" s="6">
        <f t="shared" si="132"/>
        <v>1</v>
      </c>
      <c r="O2176" t="str">
        <f>IF(Tabla_control[[#This Row],[Control_duplicados]]&gt;1,"Duplicado","Unico")</f>
        <v>Unico</v>
      </c>
      <c r="P2176" t="str">
        <f t="shared" si="133"/>
        <v>OK</v>
      </c>
      <c r="Q2176" t="str">
        <f t="shared" si="134"/>
        <v>OK</v>
      </c>
      <c r="R2176" t="str">
        <f t="shared" si="135"/>
        <v>OK</v>
      </c>
    </row>
    <row r="2177" spans="1:18" x14ac:dyDescent="0.3">
      <c r="A2177" s="1">
        <v>45699</v>
      </c>
      <c r="B2177" s="2" t="s">
        <v>2615</v>
      </c>
      <c r="C2177" s="2" t="s">
        <v>2521</v>
      </c>
      <c r="D2177" s="2" t="s">
        <v>2531</v>
      </c>
      <c r="E2177" s="2" t="s">
        <v>2517</v>
      </c>
      <c r="F2177" s="3">
        <v>105814</v>
      </c>
      <c r="G2177" s="3">
        <v>1794</v>
      </c>
      <c r="H2177" s="3">
        <v>90</v>
      </c>
      <c r="I2177" s="4">
        <v>3585.65</v>
      </c>
      <c r="J2177" s="4">
        <v>17010.919999999998</v>
      </c>
      <c r="K2177" s="3">
        <v>57</v>
      </c>
      <c r="L2177" s="2" t="s">
        <v>2518</v>
      </c>
      <c r="M2177" s="2" t="s">
        <v>2526</v>
      </c>
      <c r="N2177" s="6">
        <f t="shared" si="132"/>
        <v>1</v>
      </c>
      <c r="O2177" t="str">
        <f>IF(Tabla_control[[#This Row],[Control_duplicados]]&gt;1,"Duplicado","Unico")</f>
        <v>Unico</v>
      </c>
      <c r="P2177" t="str">
        <f t="shared" si="133"/>
        <v>OK</v>
      </c>
      <c r="Q2177" t="str">
        <f t="shared" si="134"/>
        <v>OK</v>
      </c>
      <c r="R2177" t="str">
        <f t="shared" si="135"/>
        <v>OK</v>
      </c>
    </row>
    <row r="2178" spans="1:18" x14ac:dyDescent="0.3">
      <c r="A2178" s="1">
        <v>45996</v>
      </c>
      <c r="B2178" s="2" t="s">
        <v>2630</v>
      </c>
      <c r="C2178" s="2" t="s">
        <v>2527</v>
      </c>
      <c r="D2178" s="2" t="s">
        <v>2528</v>
      </c>
      <c r="E2178" s="2" t="s">
        <v>2529</v>
      </c>
      <c r="F2178" s="3">
        <v>172769</v>
      </c>
      <c r="G2178" s="3">
        <v>833</v>
      </c>
      <c r="H2178" s="3">
        <v>19</v>
      </c>
      <c r="I2178" s="4">
        <v>1328</v>
      </c>
      <c r="J2178" s="4">
        <v>3828.01</v>
      </c>
      <c r="K2178" s="3">
        <v>15</v>
      </c>
      <c r="L2178" s="2" t="s">
        <v>2536</v>
      </c>
      <c r="M2178" s="2" t="s">
        <v>2524</v>
      </c>
      <c r="N2178" s="6">
        <f t="shared" ref="N2178:N2241" si="136">COUNTIFS($A$2:$A$2536,A2178,$B$2:$B$2536,B2178,$C$2:$C$2536,C2178,$D$2:$D$2536,D2178,$E$2:$E$2536,E2178,$F$2:$F$2536,F2178,$G$2:$G$2536,G2178,$H$2:$H$2536,H2178,$I$2:$I$2536,I2178,$J$2:$J$2536,J2178,$K$2:$K$2536,K2178,$L$2:$L$2536,L2178,$M$2:$M$2536,M2178)</f>
        <v>1</v>
      </c>
      <c r="O2178" t="str">
        <f>IF(Tabla_control[[#This Row],[Control_duplicados]]&gt;1,"Duplicado","Unico")</f>
        <v>Unico</v>
      </c>
      <c r="P2178" t="str">
        <f t="shared" ref="P2178:P2241" si="137">IF(OR(I2178="",I2178&lt;0),"ERROR","OK")</f>
        <v>OK</v>
      </c>
      <c r="Q2178" t="str">
        <f t="shared" ref="Q2178:Q2241" si="138">IF(H2178&gt;F2178,"ERROR","OK")</f>
        <v>OK</v>
      </c>
      <c r="R2178" t="str">
        <f t="shared" ref="R2178:R2241" si="139">IF(K2178&gt;H2178,"ERROR","OK")</f>
        <v>OK</v>
      </c>
    </row>
    <row r="2179" spans="1:18" x14ac:dyDescent="0.3">
      <c r="A2179" s="1">
        <v>45852</v>
      </c>
      <c r="B2179" s="2" t="s">
        <v>2638</v>
      </c>
      <c r="C2179" s="2" t="s">
        <v>2515</v>
      </c>
      <c r="D2179" s="2" t="s">
        <v>2531</v>
      </c>
      <c r="E2179" s="2" t="s">
        <v>2529</v>
      </c>
      <c r="F2179" s="3">
        <v>1162</v>
      </c>
      <c r="G2179" s="3">
        <v>95</v>
      </c>
      <c r="H2179" s="3">
        <v>7</v>
      </c>
      <c r="I2179" s="4">
        <v>177.98</v>
      </c>
      <c r="J2179" s="4">
        <v>373.6</v>
      </c>
      <c r="K2179" s="3">
        <v>4</v>
      </c>
      <c r="L2179" s="2" t="s">
        <v>2518</v>
      </c>
      <c r="M2179" s="2" t="s">
        <v>2526</v>
      </c>
      <c r="N2179" s="6">
        <f t="shared" si="136"/>
        <v>1</v>
      </c>
      <c r="O2179" t="str">
        <f>IF(Tabla_control[[#This Row],[Control_duplicados]]&gt;1,"Duplicado","Unico")</f>
        <v>Unico</v>
      </c>
      <c r="P2179" t="str">
        <f t="shared" si="137"/>
        <v>OK</v>
      </c>
      <c r="Q2179" t="str">
        <f t="shared" si="138"/>
        <v>OK</v>
      </c>
      <c r="R2179" t="str">
        <f t="shared" si="139"/>
        <v>OK</v>
      </c>
    </row>
    <row r="2180" spans="1:18" x14ac:dyDescent="0.3">
      <c r="A2180" s="1">
        <v>45862</v>
      </c>
      <c r="B2180" s="2" t="s">
        <v>2632</v>
      </c>
      <c r="C2180" s="2" t="s">
        <v>2521</v>
      </c>
      <c r="D2180" s="2" t="s">
        <v>2531</v>
      </c>
      <c r="E2180" s="2" t="s">
        <v>2517</v>
      </c>
      <c r="F2180" s="3">
        <v>142268</v>
      </c>
      <c r="G2180" s="3">
        <v>8529</v>
      </c>
      <c r="H2180" s="3">
        <v>598</v>
      </c>
      <c r="I2180" s="4">
        <v>13539.01</v>
      </c>
      <c r="J2180" s="4">
        <v>51756.65</v>
      </c>
      <c r="K2180" s="3">
        <v>294</v>
      </c>
      <c r="L2180" s="2" t="s">
        <v>2536</v>
      </c>
      <c r="M2180" s="2" t="s">
        <v>2524</v>
      </c>
      <c r="N2180" s="6">
        <f t="shared" si="136"/>
        <v>1</v>
      </c>
      <c r="O2180" t="str">
        <f>IF(Tabla_control[[#This Row],[Control_duplicados]]&gt;1,"Duplicado","Unico")</f>
        <v>Unico</v>
      </c>
      <c r="P2180" t="str">
        <f t="shared" si="137"/>
        <v>OK</v>
      </c>
      <c r="Q2180" t="str">
        <f t="shared" si="138"/>
        <v>OK</v>
      </c>
      <c r="R2180" t="str">
        <f t="shared" si="139"/>
        <v>OK</v>
      </c>
    </row>
    <row r="2181" spans="1:18" x14ac:dyDescent="0.3">
      <c r="A2181" s="1">
        <v>46020</v>
      </c>
      <c r="B2181" s="2" t="s">
        <v>2623</v>
      </c>
      <c r="C2181" s="2" t="s">
        <v>2543</v>
      </c>
      <c r="D2181" s="2" t="s">
        <v>2528</v>
      </c>
      <c r="E2181" s="2" t="s">
        <v>2517</v>
      </c>
      <c r="F2181" s="3">
        <v>82712</v>
      </c>
      <c r="G2181" s="3">
        <v>7252</v>
      </c>
      <c r="H2181" s="3">
        <v>172</v>
      </c>
      <c r="I2181" s="4">
        <v>2041.56</v>
      </c>
      <c r="J2181" s="4">
        <v>19367.77</v>
      </c>
      <c r="K2181" s="3">
        <v>82</v>
      </c>
      <c r="L2181" s="2" t="s">
        <v>2539</v>
      </c>
      <c r="M2181" s="2" t="s">
        <v>2537</v>
      </c>
      <c r="N2181" s="6">
        <f t="shared" si="136"/>
        <v>1</v>
      </c>
      <c r="O2181" t="str">
        <f>IF(Tabla_control[[#This Row],[Control_duplicados]]&gt;1,"Duplicado","Unico")</f>
        <v>Unico</v>
      </c>
      <c r="P2181" t="str">
        <f t="shared" si="137"/>
        <v>OK</v>
      </c>
      <c r="Q2181" t="str">
        <f t="shared" si="138"/>
        <v>OK</v>
      </c>
      <c r="R2181" t="str">
        <f t="shared" si="139"/>
        <v>OK</v>
      </c>
    </row>
    <row r="2182" spans="1:18" x14ac:dyDescent="0.3">
      <c r="A2182" s="1">
        <v>46003</v>
      </c>
      <c r="B2182" s="2" t="s">
        <v>2635</v>
      </c>
      <c r="C2182" s="2" t="s">
        <v>2533</v>
      </c>
      <c r="D2182" s="2" t="s">
        <v>2528</v>
      </c>
      <c r="E2182" s="2" t="s">
        <v>2529</v>
      </c>
      <c r="F2182" s="3">
        <v>97376</v>
      </c>
      <c r="G2182" s="3">
        <v>2244</v>
      </c>
      <c r="H2182" s="3">
        <v>120</v>
      </c>
      <c r="I2182" s="4">
        <v>4397.3</v>
      </c>
      <c r="J2182" s="4">
        <v>14261.13</v>
      </c>
      <c r="K2182" s="3">
        <v>104</v>
      </c>
      <c r="L2182" s="2" t="s">
        <v>2523</v>
      </c>
      <c r="M2182" s="2" t="s">
        <v>2526</v>
      </c>
      <c r="N2182" s="6">
        <f t="shared" si="136"/>
        <v>1</v>
      </c>
      <c r="O2182" t="str">
        <f>IF(Tabla_control[[#This Row],[Control_duplicados]]&gt;1,"Duplicado","Unico")</f>
        <v>Unico</v>
      </c>
      <c r="P2182" t="str">
        <f t="shared" si="137"/>
        <v>OK</v>
      </c>
      <c r="Q2182" t="str">
        <f t="shared" si="138"/>
        <v>OK</v>
      </c>
      <c r="R2182" t="str">
        <f t="shared" si="139"/>
        <v>OK</v>
      </c>
    </row>
    <row r="2183" spans="1:18" x14ac:dyDescent="0.3">
      <c r="A2183" s="1">
        <v>45896</v>
      </c>
      <c r="B2183" s="2" t="s">
        <v>2621</v>
      </c>
      <c r="C2183" s="2" t="s">
        <v>2543</v>
      </c>
      <c r="D2183" s="2" t="s">
        <v>2525</v>
      </c>
      <c r="E2183" s="2" t="s">
        <v>2517</v>
      </c>
      <c r="F2183" s="3">
        <v>166563</v>
      </c>
      <c r="G2183" s="3">
        <v>8995</v>
      </c>
      <c r="H2183" s="3">
        <v>430</v>
      </c>
      <c r="I2183" s="4">
        <v>13758.51</v>
      </c>
      <c r="J2183" s="4">
        <v>30805.32</v>
      </c>
      <c r="K2183" s="3">
        <v>375</v>
      </c>
      <c r="L2183" s="2" t="s">
        <v>2539</v>
      </c>
      <c r="M2183" s="2" t="s">
        <v>2519</v>
      </c>
      <c r="N2183" s="6">
        <f t="shared" si="136"/>
        <v>1</v>
      </c>
      <c r="O2183" t="str">
        <f>IF(Tabla_control[[#This Row],[Control_duplicados]]&gt;1,"Duplicado","Unico")</f>
        <v>Unico</v>
      </c>
      <c r="P2183" t="str">
        <f t="shared" si="137"/>
        <v>OK</v>
      </c>
      <c r="Q2183" t="str">
        <f t="shared" si="138"/>
        <v>OK</v>
      </c>
      <c r="R2183" t="str">
        <f t="shared" si="139"/>
        <v>OK</v>
      </c>
    </row>
    <row r="2184" spans="1:18" x14ac:dyDescent="0.3">
      <c r="A2184" s="1">
        <v>45949</v>
      </c>
      <c r="B2184" s="2" t="s">
        <v>2616</v>
      </c>
      <c r="C2184" s="2" t="s">
        <v>2533</v>
      </c>
      <c r="D2184" s="2" t="s">
        <v>2525</v>
      </c>
      <c r="E2184" s="2" t="s">
        <v>2534</v>
      </c>
      <c r="F2184" s="3">
        <v>55100</v>
      </c>
      <c r="G2184" s="3">
        <v>390</v>
      </c>
      <c r="H2184" s="3">
        <v>16</v>
      </c>
      <c r="I2184" s="4">
        <v>702.4</v>
      </c>
      <c r="J2184" s="4">
        <v>3285.18</v>
      </c>
      <c r="K2184" s="3">
        <v>11</v>
      </c>
      <c r="L2184" s="2" t="s">
        <v>2518</v>
      </c>
      <c r="M2184" s="2" t="s">
        <v>2519</v>
      </c>
      <c r="N2184" s="6">
        <f t="shared" si="136"/>
        <v>1</v>
      </c>
      <c r="O2184" t="str">
        <f>IF(Tabla_control[[#This Row],[Control_duplicados]]&gt;1,"Duplicado","Unico")</f>
        <v>Unico</v>
      </c>
      <c r="P2184" t="str">
        <f t="shared" si="137"/>
        <v>OK</v>
      </c>
      <c r="Q2184" t="str">
        <f t="shared" si="138"/>
        <v>OK</v>
      </c>
      <c r="R2184" t="str">
        <f t="shared" si="139"/>
        <v>OK</v>
      </c>
    </row>
    <row r="2185" spans="1:18" x14ac:dyDescent="0.3">
      <c r="A2185" s="1">
        <v>45798</v>
      </c>
      <c r="B2185" s="2" t="s">
        <v>2629</v>
      </c>
      <c r="C2185" s="2" t="s">
        <v>2521</v>
      </c>
      <c r="D2185" s="2" t="s">
        <v>2522</v>
      </c>
      <c r="E2185" s="2" t="s">
        <v>2534</v>
      </c>
      <c r="F2185" s="3">
        <v>133127</v>
      </c>
      <c r="G2185" s="3">
        <v>1418</v>
      </c>
      <c r="H2185" s="3">
        <v>126</v>
      </c>
      <c r="I2185" s="4">
        <v>372.76</v>
      </c>
      <c r="J2185" s="4">
        <v>18393.2</v>
      </c>
      <c r="K2185" s="3">
        <v>99</v>
      </c>
      <c r="L2185" s="2" t="s">
        <v>2536</v>
      </c>
      <c r="M2185" s="2" t="s">
        <v>2537</v>
      </c>
      <c r="N2185" s="6">
        <f t="shared" si="136"/>
        <v>1</v>
      </c>
      <c r="O2185" t="str">
        <f>IF(Tabla_control[[#This Row],[Control_duplicados]]&gt;1,"Duplicado","Unico")</f>
        <v>Unico</v>
      </c>
      <c r="P2185" t="str">
        <f t="shared" si="137"/>
        <v>OK</v>
      </c>
      <c r="Q2185" t="str">
        <f t="shared" si="138"/>
        <v>OK</v>
      </c>
      <c r="R2185" t="str">
        <f t="shared" si="139"/>
        <v>OK</v>
      </c>
    </row>
    <row r="2186" spans="1:18" x14ac:dyDescent="0.3">
      <c r="A2186" s="1">
        <v>45727</v>
      </c>
      <c r="B2186" s="2" t="s">
        <v>2619</v>
      </c>
      <c r="C2186" s="2" t="s">
        <v>2515</v>
      </c>
      <c r="D2186" s="2" t="s">
        <v>2525</v>
      </c>
      <c r="E2186" s="2" t="s">
        <v>2534</v>
      </c>
      <c r="F2186" s="3">
        <v>20580</v>
      </c>
      <c r="G2186" s="3">
        <v>1144</v>
      </c>
      <c r="H2186" s="3">
        <v>113</v>
      </c>
      <c r="I2186" s="4">
        <v>2043.93</v>
      </c>
      <c r="J2186" s="4">
        <v>5066.7299999999996</v>
      </c>
      <c r="K2186" s="3">
        <v>59</v>
      </c>
      <c r="L2186" s="2" t="s">
        <v>2523</v>
      </c>
      <c r="M2186" s="2" t="s">
        <v>2546</v>
      </c>
      <c r="N2186" s="6">
        <f t="shared" si="136"/>
        <v>1</v>
      </c>
      <c r="O2186" t="str">
        <f>IF(Tabla_control[[#This Row],[Control_duplicados]]&gt;1,"Duplicado","Unico")</f>
        <v>Unico</v>
      </c>
      <c r="P2186" t="str">
        <f t="shared" si="137"/>
        <v>OK</v>
      </c>
      <c r="Q2186" t="str">
        <f t="shared" si="138"/>
        <v>OK</v>
      </c>
      <c r="R2186" t="str">
        <f t="shared" si="139"/>
        <v>OK</v>
      </c>
    </row>
    <row r="2187" spans="1:18" x14ac:dyDescent="0.3">
      <c r="A2187" s="1">
        <v>45866</v>
      </c>
      <c r="B2187" s="2" t="s">
        <v>2621</v>
      </c>
      <c r="C2187" s="2" t="s">
        <v>2521</v>
      </c>
      <c r="D2187" s="2" t="s">
        <v>2528</v>
      </c>
      <c r="E2187" s="2" t="s">
        <v>2529</v>
      </c>
      <c r="F2187" s="3">
        <v>165394</v>
      </c>
      <c r="G2187" s="3">
        <v>2853</v>
      </c>
      <c r="H2187" s="3">
        <v>192</v>
      </c>
      <c r="I2187" s="4">
        <v>5515.12</v>
      </c>
      <c r="J2187" s="4">
        <v>23758.79</v>
      </c>
      <c r="K2187" s="3">
        <v>147</v>
      </c>
      <c r="L2187" s="2" t="s">
        <v>2518</v>
      </c>
      <c r="M2187" s="2" t="s">
        <v>2537</v>
      </c>
      <c r="N2187" s="6">
        <f t="shared" si="136"/>
        <v>1</v>
      </c>
      <c r="O2187" t="str">
        <f>IF(Tabla_control[[#This Row],[Control_duplicados]]&gt;1,"Duplicado","Unico")</f>
        <v>Unico</v>
      </c>
      <c r="P2187" t="str">
        <f t="shared" si="137"/>
        <v>OK</v>
      </c>
      <c r="Q2187" t="str">
        <f t="shared" si="138"/>
        <v>OK</v>
      </c>
      <c r="R2187" t="str">
        <f t="shared" si="139"/>
        <v>OK</v>
      </c>
    </row>
    <row r="2188" spans="1:18" x14ac:dyDescent="0.3">
      <c r="A2188" s="1">
        <v>45742</v>
      </c>
      <c r="B2188" s="2" t="s">
        <v>2622</v>
      </c>
      <c r="C2188" s="2" t="s">
        <v>2521</v>
      </c>
      <c r="D2188" s="2" t="s">
        <v>2528</v>
      </c>
      <c r="E2188" s="2" t="s">
        <v>2529</v>
      </c>
      <c r="F2188" s="3">
        <v>153030</v>
      </c>
      <c r="G2188" s="3">
        <v>6948</v>
      </c>
      <c r="H2188" s="3">
        <v>615</v>
      </c>
      <c r="I2188" s="4">
        <v>2816.4</v>
      </c>
      <c r="J2188" s="4">
        <v>115556.33</v>
      </c>
      <c r="K2188" s="3">
        <v>551</v>
      </c>
      <c r="L2188" s="2" t="s">
        <v>2518</v>
      </c>
      <c r="M2188" s="2" t="s">
        <v>2546</v>
      </c>
      <c r="N2188" s="6">
        <f t="shared" si="136"/>
        <v>1</v>
      </c>
      <c r="O2188" t="str">
        <f>IF(Tabla_control[[#This Row],[Control_duplicados]]&gt;1,"Duplicado","Unico")</f>
        <v>Unico</v>
      </c>
      <c r="P2188" t="str">
        <f t="shared" si="137"/>
        <v>OK</v>
      </c>
      <c r="Q2188" t="str">
        <f t="shared" si="138"/>
        <v>OK</v>
      </c>
      <c r="R2188" t="str">
        <f t="shared" si="139"/>
        <v>OK</v>
      </c>
    </row>
    <row r="2189" spans="1:18" x14ac:dyDescent="0.3">
      <c r="A2189" s="1">
        <v>45841</v>
      </c>
      <c r="B2189" s="2" t="s">
        <v>2633</v>
      </c>
      <c r="C2189" s="2" t="s">
        <v>2533</v>
      </c>
      <c r="D2189" s="2" t="s">
        <v>2528</v>
      </c>
      <c r="E2189" s="2" t="s">
        <v>2517</v>
      </c>
      <c r="F2189" s="3">
        <v>3921</v>
      </c>
      <c r="G2189" s="3">
        <v>186</v>
      </c>
      <c r="H2189" s="3">
        <v>7</v>
      </c>
      <c r="I2189" s="4">
        <v>114.17</v>
      </c>
      <c r="J2189" s="4">
        <v>1171.28</v>
      </c>
      <c r="K2189" s="3">
        <v>4</v>
      </c>
      <c r="L2189" s="2" t="s">
        <v>2539</v>
      </c>
      <c r="M2189" s="2" t="s">
        <v>2524</v>
      </c>
      <c r="N2189" s="6">
        <f t="shared" si="136"/>
        <v>1</v>
      </c>
      <c r="O2189" t="str">
        <f>IF(Tabla_control[[#This Row],[Control_duplicados]]&gt;1,"Duplicado","Unico")</f>
        <v>Unico</v>
      </c>
      <c r="P2189" t="str">
        <f t="shared" si="137"/>
        <v>OK</v>
      </c>
      <c r="Q2189" t="str">
        <f t="shared" si="138"/>
        <v>OK</v>
      </c>
      <c r="R2189" t="str">
        <f t="shared" si="139"/>
        <v>OK</v>
      </c>
    </row>
    <row r="2190" spans="1:18" x14ac:dyDescent="0.3">
      <c r="A2190" s="1">
        <v>45763</v>
      </c>
      <c r="B2190" s="2" t="s">
        <v>2636</v>
      </c>
      <c r="C2190" s="2" t="s">
        <v>2533</v>
      </c>
      <c r="D2190" s="2" t="s">
        <v>2528</v>
      </c>
      <c r="E2190" s="2" t="s">
        <v>2517</v>
      </c>
      <c r="F2190" s="3">
        <v>80677</v>
      </c>
      <c r="G2190" s="3">
        <v>3625</v>
      </c>
      <c r="H2190" s="3">
        <v>494</v>
      </c>
      <c r="I2190" s="4">
        <v>3292.77</v>
      </c>
      <c r="J2190" s="4">
        <v>25757.86</v>
      </c>
      <c r="K2190" s="3">
        <v>414</v>
      </c>
      <c r="L2190" s="2" t="s">
        <v>2539</v>
      </c>
      <c r="M2190" s="2" t="s">
        <v>2524</v>
      </c>
      <c r="N2190" s="6">
        <f t="shared" si="136"/>
        <v>1</v>
      </c>
      <c r="O2190" t="str">
        <f>IF(Tabla_control[[#This Row],[Control_duplicados]]&gt;1,"Duplicado","Unico")</f>
        <v>Unico</v>
      </c>
      <c r="P2190" t="str">
        <f t="shared" si="137"/>
        <v>OK</v>
      </c>
      <c r="Q2190" t="str">
        <f t="shared" si="138"/>
        <v>OK</v>
      </c>
      <c r="R2190" t="str">
        <f t="shared" si="139"/>
        <v>OK</v>
      </c>
    </row>
    <row r="2191" spans="1:18" x14ac:dyDescent="0.3">
      <c r="A2191" s="1">
        <v>45692</v>
      </c>
      <c r="B2191" s="2" t="s">
        <v>2640</v>
      </c>
      <c r="C2191" s="2" t="s">
        <v>2521</v>
      </c>
      <c r="D2191" s="2" t="s">
        <v>2528</v>
      </c>
      <c r="E2191" s="2" t="s">
        <v>2529</v>
      </c>
      <c r="F2191" s="3">
        <v>108337</v>
      </c>
      <c r="G2191" s="3">
        <v>3200</v>
      </c>
      <c r="H2191" s="3">
        <v>389</v>
      </c>
      <c r="I2191" s="4">
        <v>443.02</v>
      </c>
      <c r="J2191" s="4">
        <v>63561.87</v>
      </c>
      <c r="K2191" s="3">
        <v>307</v>
      </c>
      <c r="L2191" s="2" t="s">
        <v>2518</v>
      </c>
      <c r="M2191" s="2" t="s">
        <v>2519</v>
      </c>
      <c r="N2191" s="6">
        <f t="shared" si="136"/>
        <v>1</v>
      </c>
      <c r="O2191" t="str">
        <f>IF(Tabla_control[[#This Row],[Control_duplicados]]&gt;1,"Duplicado","Unico")</f>
        <v>Unico</v>
      </c>
      <c r="P2191" t="str">
        <f t="shared" si="137"/>
        <v>OK</v>
      </c>
      <c r="Q2191" t="str">
        <f t="shared" si="138"/>
        <v>OK</v>
      </c>
      <c r="R2191" t="str">
        <f t="shared" si="139"/>
        <v>OK</v>
      </c>
    </row>
    <row r="2192" spans="1:18" x14ac:dyDescent="0.3">
      <c r="A2192" s="1">
        <v>45979</v>
      </c>
      <c r="B2192" s="2" t="s">
        <v>2627</v>
      </c>
      <c r="C2192" s="2" t="s">
        <v>2543</v>
      </c>
      <c r="D2192" s="2" t="s">
        <v>2528</v>
      </c>
      <c r="E2192" s="2" t="s">
        <v>2529</v>
      </c>
      <c r="F2192" s="3">
        <v>112306</v>
      </c>
      <c r="G2192" s="3">
        <v>9531</v>
      </c>
      <c r="H2192" s="3">
        <v>970</v>
      </c>
      <c r="I2192" s="4">
        <v>5696.44</v>
      </c>
      <c r="J2192" s="4">
        <v>193078.33</v>
      </c>
      <c r="K2192" s="3">
        <v>514</v>
      </c>
      <c r="L2192" s="2" t="s">
        <v>2539</v>
      </c>
      <c r="M2192" s="2" t="s">
        <v>2546</v>
      </c>
      <c r="N2192" s="6">
        <f t="shared" si="136"/>
        <v>1</v>
      </c>
      <c r="O2192" t="str">
        <f>IF(Tabla_control[[#This Row],[Control_duplicados]]&gt;1,"Duplicado","Unico")</f>
        <v>Unico</v>
      </c>
      <c r="P2192" t="str">
        <f t="shared" si="137"/>
        <v>OK</v>
      </c>
      <c r="Q2192" t="str">
        <f t="shared" si="138"/>
        <v>OK</v>
      </c>
      <c r="R2192" t="str">
        <f t="shared" si="139"/>
        <v>OK</v>
      </c>
    </row>
    <row r="2193" spans="1:18" x14ac:dyDescent="0.3">
      <c r="A2193" s="1">
        <v>45925</v>
      </c>
      <c r="B2193" s="2" t="s">
        <v>2635</v>
      </c>
      <c r="C2193" s="2" t="s">
        <v>2521</v>
      </c>
      <c r="D2193" s="2" t="s">
        <v>2528</v>
      </c>
      <c r="E2193" s="2" t="s">
        <v>2517</v>
      </c>
      <c r="F2193" s="3">
        <v>80508</v>
      </c>
      <c r="G2193" s="3">
        <v>6174</v>
      </c>
      <c r="H2193" s="3">
        <v>831</v>
      </c>
      <c r="I2193" s="4">
        <v>12758.11</v>
      </c>
      <c r="J2193" s="4">
        <v>98280.13</v>
      </c>
      <c r="K2193" s="3">
        <v>638</v>
      </c>
      <c r="L2193" s="2" t="s">
        <v>2518</v>
      </c>
      <c r="M2193" s="2" t="s">
        <v>2546</v>
      </c>
      <c r="N2193" s="6">
        <f t="shared" si="136"/>
        <v>1</v>
      </c>
      <c r="O2193" t="str">
        <f>IF(Tabla_control[[#This Row],[Control_duplicados]]&gt;1,"Duplicado","Unico")</f>
        <v>Unico</v>
      </c>
      <c r="P2193" t="str">
        <f t="shared" si="137"/>
        <v>OK</v>
      </c>
      <c r="Q2193" t="str">
        <f t="shared" si="138"/>
        <v>OK</v>
      </c>
      <c r="R2193" t="str">
        <f t="shared" si="139"/>
        <v>OK</v>
      </c>
    </row>
    <row r="2194" spans="1:18" x14ac:dyDescent="0.3">
      <c r="A2194" s="1">
        <v>45979</v>
      </c>
      <c r="B2194" s="2" t="s">
        <v>2627</v>
      </c>
      <c r="C2194" s="2" t="s">
        <v>2515</v>
      </c>
      <c r="D2194" s="2" t="s">
        <v>2525</v>
      </c>
      <c r="E2194" s="2" t="s">
        <v>2517</v>
      </c>
      <c r="F2194" s="3">
        <v>6706</v>
      </c>
      <c r="G2194" s="3">
        <v>479</v>
      </c>
      <c r="H2194" s="3">
        <v>37</v>
      </c>
      <c r="I2194" s="4">
        <v>973.5</v>
      </c>
      <c r="J2194" s="4">
        <v>672.7</v>
      </c>
      <c r="K2194" s="3">
        <v>24</v>
      </c>
      <c r="L2194" s="2" t="s">
        <v>2523</v>
      </c>
      <c r="M2194" s="2" t="s">
        <v>2537</v>
      </c>
      <c r="N2194" s="6">
        <f t="shared" si="136"/>
        <v>1</v>
      </c>
      <c r="O2194" t="str">
        <f>IF(Tabla_control[[#This Row],[Control_duplicados]]&gt;1,"Duplicado","Unico")</f>
        <v>Unico</v>
      </c>
      <c r="P2194" t="str">
        <f t="shared" si="137"/>
        <v>OK</v>
      </c>
      <c r="Q2194" t="str">
        <f t="shared" si="138"/>
        <v>OK</v>
      </c>
      <c r="R2194" t="str">
        <f t="shared" si="139"/>
        <v>OK</v>
      </c>
    </row>
    <row r="2195" spans="1:18" x14ac:dyDescent="0.3">
      <c r="A2195" s="1">
        <v>45785</v>
      </c>
      <c r="B2195" s="2" t="s">
        <v>2626</v>
      </c>
      <c r="C2195" s="2" t="s">
        <v>2527</v>
      </c>
      <c r="D2195" s="2" t="s">
        <v>2522</v>
      </c>
      <c r="E2195" s="2" t="s">
        <v>2529</v>
      </c>
      <c r="F2195" s="3">
        <v>49150</v>
      </c>
      <c r="G2195" s="3">
        <v>3695</v>
      </c>
      <c r="H2195" s="3">
        <v>51</v>
      </c>
      <c r="I2195" s="4">
        <v>4441.67</v>
      </c>
      <c r="J2195" s="4">
        <v>7828.93</v>
      </c>
      <c r="K2195" s="3">
        <v>24</v>
      </c>
      <c r="L2195" s="2" t="s">
        <v>2518</v>
      </c>
      <c r="M2195" s="2" t="s">
        <v>2546</v>
      </c>
      <c r="N2195" s="6">
        <f t="shared" si="136"/>
        <v>1</v>
      </c>
      <c r="O2195" t="str">
        <f>IF(Tabla_control[[#This Row],[Control_duplicados]]&gt;1,"Duplicado","Unico")</f>
        <v>Unico</v>
      </c>
      <c r="P2195" t="str">
        <f t="shared" si="137"/>
        <v>OK</v>
      </c>
      <c r="Q2195" t="str">
        <f t="shared" si="138"/>
        <v>OK</v>
      </c>
      <c r="R2195" t="str">
        <f t="shared" si="139"/>
        <v>OK</v>
      </c>
    </row>
    <row r="2196" spans="1:18" x14ac:dyDescent="0.3">
      <c r="A2196" s="1">
        <v>45807</v>
      </c>
      <c r="B2196" s="2" t="s">
        <v>2625</v>
      </c>
      <c r="C2196" s="2" t="s">
        <v>2543</v>
      </c>
      <c r="D2196" s="2" t="s">
        <v>2531</v>
      </c>
      <c r="E2196" s="2" t="s">
        <v>2517</v>
      </c>
      <c r="F2196" s="3">
        <v>9589</v>
      </c>
      <c r="G2196" s="3">
        <v>638</v>
      </c>
      <c r="H2196" s="3">
        <v>36</v>
      </c>
      <c r="I2196" s="4">
        <v>232.95</v>
      </c>
      <c r="J2196" s="4">
        <v>7886.28</v>
      </c>
      <c r="K2196" s="3">
        <v>23</v>
      </c>
      <c r="L2196" s="2" t="s">
        <v>2523</v>
      </c>
      <c r="M2196" s="2" t="s">
        <v>2537</v>
      </c>
      <c r="N2196" s="6">
        <f t="shared" si="136"/>
        <v>1</v>
      </c>
      <c r="O2196" t="str">
        <f>IF(Tabla_control[[#This Row],[Control_duplicados]]&gt;1,"Duplicado","Unico")</f>
        <v>Unico</v>
      </c>
      <c r="P2196" t="str">
        <f t="shared" si="137"/>
        <v>OK</v>
      </c>
      <c r="Q2196" t="str">
        <f t="shared" si="138"/>
        <v>OK</v>
      </c>
      <c r="R2196" t="str">
        <f t="shared" si="139"/>
        <v>OK</v>
      </c>
    </row>
    <row r="2197" spans="1:18" x14ac:dyDescent="0.3">
      <c r="A2197" s="1">
        <v>45709</v>
      </c>
      <c r="B2197" s="2" t="s">
        <v>2621</v>
      </c>
      <c r="C2197" s="2" t="s">
        <v>2521</v>
      </c>
      <c r="D2197" s="2" t="s">
        <v>2528</v>
      </c>
      <c r="E2197" s="2" t="s">
        <v>2517</v>
      </c>
      <c r="F2197" s="3">
        <v>76120</v>
      </c>
      <c r="G2197" s="3">
        <v>4014</v>
      </c>
      <c r="H2197" s="3">
        <v>546</v>
      </c>
      <c r="I2197" s="4">
        <v>2136.65</v>
      </c>
      <c r="J2197" s="4">
        <v>65611.149999999994</v>
      </c>
      <c r="K2197" s="3">
        <v>361</v>
      </c>
      <c r="L2197" s="2" t="s">
        <v>2536</v>
      </c>
      <c r="M2197" s="2" t="s">
        <v>2526</v>
      </c>
      <c r="N2197" s="6">
        <f t="shared" si="136"/>
        <v>1</v>
      </c>
      <c r="O2197" t="str">
        <f>IF(Tabla_control[[#This Row],[Control_duplicados]]&gt;1,"Duplicado","Unico")</f>
        <v>Unico</v>
      </c>
      <c r="P2197" t="str">
        <f t="shared" si="137"/>
        <v>OK</v>
      </c>
      <c r="Q2197" t="str">
        <f t="shared" si="138"/>
        <v>OK</v>
      </c>
      <c r="R2197" t="str">
        <f t="shared" si="139"/>
        <v>OK</v>
      </c>
    </row>
    <row r="2198" spans="1:18" x14ac:dyDescent="0.3">
      <c r="A2198" s="1">
        <v>45698</v>
      </c>
      <c r="B2198" s="2" t="s">
        <v>2631</v>
      </c>
      <c r="C2198" s="2" t="s">
        <v>2533</v>
      </c>
      <c r="D2198" s="2" t="s">
        <v>2525</v>
      </c>
      <c r="E2198" s="2" t="s">
        <v>2529</v>
      </c>
      <c r="F2198" s="3">
        <v>95972</v>
      </c>
      <c r="G2198" s="3">
        <v>986</v>
      </c>
      <c r="H2198" s="3">
        <v>28</v>
      </c>
      <c r="I2198" s="4">
        <v>1072.3399999999999</v>
      </c>
      <c r="J2198" s="4">
        <v>5741.78</v>
      </c>
      <c r="K2198" s="3">
        <v>22</v>
      </c>
      <c r="L2198" s="2" t="s">
        <v>2536</v>
      </c>
      <c r="M2198" s="2" t="s">
        <v>2519</v>
      </c>
      <c r="N2198" s="6">
        <f t="shared" si="136"/>
        <v>1</v>
      </c>
      <c r="O2198" t="str">
        <f>IF(Tabla_control[[#This Row],[Control_duplicados]]&gt;1,"Duplicado","Unico")</f>
        <v>Unico</v>
      </c>
      <c r="P2198" t="str">
        <f t="shared" si="137"/>
        <v>OK</v>
      </c>
      <c r="Q2198" t="str">
        <f t="shared" si="138"/>
        <v>OK</v>
      </c>
      <c r="R2198" t="str">
        <f t="shared" si="139"/>
        <v>OK</v>
      </c>
    </row>
    <row r="2199" spans="1:18" x14ac:dyDescent="0.3">
      <c r="A2199" s="1">
        <v>45687</v>
      </c>
      <c r="B2199" s="2" t="s">
        <v>2641</v>
      </c>
      <c r="C2199" s="2" t="s">
        <v>2527</v>
      </c>
      <c r="D2199" s="2" t="s">
        <v>2528</v>
      </c>
      <c r="E2199" s="2" t="s">
        <v>2529</v>
      </c>
      <c r="F2199" s="3">
        <v>176952</v>
      </c>
      <c r="G2199" s="3">
        <v>10671</v>
      </c>
      <c r="H2199" s="3">
        <v>955</v>
      </c>
      <c r="I2199" s="4">
        <v>16314.27</v>
      </c>
      <c r="J2199" s="4">
        <v>168400.17</v>
      </c>
      <c r="K2199" s="3">
        <v>670</v>
      </c>
      <c r="L2199" s="2" t="s">
        <v>2523</v>
      </c>
      <c r="M2199" s="2" t="s">
        <v>2526</v>
      </c>
      <c r="N2199" s="6">
        <f t="shared" si="136"/>
        <v>1</v>
      </c>
      <c r="O2199" t="str">
        <f>IF(Tabla_control[[#This Row],[Control_duplicados]]&gt;1,"Duplicado","Unico")</f>
        <v>Unico</v>
      </c>
      <c r="P2199" t="str">
        <f t="shared" si="137"/>
        <v>OK</v>
      </c>
      <c r="Q2199" t="str">
        <f t="shared" si="138"/>
        <v>OK</v>
      </c>
      <c r="R2199" t="str">
        <f t="shared" si="139"/>
        <v>OK</v>
      </c>
    </row>
    <row r="2200" spans="1:18" x14ac:dyDescent="0.3">
      <c r="A2200" s="1">
        <v>45795</v>
      </c>
      <c r="B2200" s="2" t="s">
        <v>2624</v>
      </c>
      <c r="C2200" s="2" t="s">
        <v>2527</v>
      </c>
      <c r="D2200" s="2" t="s">
        <v>2516</v>
      </c>
      <c r="E2200" s="2" t="s">
        <v>2529</v>
      </c>
      <c r="F2200" s="3">
        <v>53552</v>
      </c>
      <c r="G2200" s="3">
        <v>2249</v>
      </c>
      <c r="H2200" s="3">
        <v>170</v>
      </c>
      <c r="I2200" s="4">
        <v>3539.52</v>
      </c>
      <c r="J2200" s="4">
        <v>20810.72</v>
      </c>
      <c r="K2200" s="3">
        <v>141</v>
      </c>
      <c r="L2200" s="2" t="s">
        <v>2523</v>
      </c>
      <c r="M2200" s="2" t="s">
        <v>2546</v>
      </c>
      <c r="N2200" s="6">
        <f t="shared" si="136"/>
        <v>1</v>
      </c>
      <c r="O2200" t="str">
        <f>IF(Tabla_control[[#This Row],[Control_duplicados]]&gt;1,"Duplicado","Unico")</f>
        <v>Unico</v>
      </c>
      <c r="P2200" t="str">
        <f t="shared" si="137"/>
        <v>OK</v>
      </c>
      <c r="Q2200" t="str">
        <f t="shared" si="138"/>
        <v>OK</v>
      </c>
      <c r="R2200" t="str">
        <f t="shared" si="139"/>
        <v>OK</v>
      </c>
    </row>
    <row r="2201" spans="1:18" x14ac:dyDescent="0.3">
      <c r="A2201" s="1">
        <v>45745</v>
      </c>
      <c r="B2201" s="2" t="s">
        <v>2639</v>
      </c>
      <c r="C2201" s="2" t="s">
        <v>2527</v>
      </c>
      <c r="D2201" s="2" t="s">
        <v>2528</v>
      </c>
      <c r="E2201" s="2" t="s">
        <v>2517</v>
      </c>
      <c r="F2201" s="3">
        <v>93683</v>
      </c>
      <c r="G2201" s="3">
        <v>661</v>
      </c>
      <c r="H2201" s="3">
        <v>4</v>
      </c>
      <c r="I2201" s="4">
        <v>655.41</v>
      </c>
      <c r="J2201" s="4">
        <v>604.12</v>
      </c>
      <c r="K2201" s="3">
        <v>2</v>
      </c>
      <c r="L2201" s="2" t="s">
        <v>2536</v>
      </c>
      <c r="M2201" s="2" t="s">
        <v>2519</v>
      </c>
      <c r="N2201" s="6">
        <f t="shared" si="136"/>
        <v>1</v>
      </c>
      <c r="O2201" t="str">
        <f>IF(Tabla_control[[#This Row],[Control_duplicados]]&gt;1,"Duplicado","Unico")</f>
        <v>Unico</v>
      </c>
      <c r="P2201" t="str">
        <f t="shared" si="137"/>
        <v>OK</v>
      </c>
      <c r="Q2201" t="str">
        <f t="shared" si="138"/>
        <v>OK</v>
      </c>
      <c r="R2201" t="str">
        <f t="shared" si="139"/>
        <v>OK</v>
      </c>
    </row>
    <row r="2202" spans="1:18" x14ac:dyDescent="0.3">
      <c r="A2202" s="1">
        <v>45886</v>
      </c>
      <c r="B2202" s="2" t="s">
        <v>2615</v>
      </c>
      <c r="C2202" s="2" t="s">
        <v>2515</v>
      </c>
      <c r="D2202" s="2" t="s">
        <v>2516</v>
      </c>
      <c r="E2202" s="2" t="s">
        <v>2534</v>
      </c>
      <c r="F2202" s="3">
        <v>56276</v>
      </c>
      <c r="G2202" s="3">
        <v>460</v>
      </c>
      <c r="H2202" s="3">
        <v>14</v>
      </c>
      <c r="I2202" s="4">
        <v>369.18</v>
      </c>
      <c r="J2202" s="4">
        <v>3077.41</v>
      </c>
      <c r="K2202" s="3">
        <v>10</v>
      </c>
      <c r="L2202" s="2" t="s">
        <v>2536</v>
      </c>
      <c r="M2202" s="2" t="s">
        <v>2526</v>
      </c>
      <c r="N2202" s="6">
        <f t="shared" si="136"/>
        <v>1</v>
      </c>
      <c r="O2202" t="str">
        <f>IF(Tabla_control[[#This Row],[Control_duplicados]]&gt;1,"Duplicado","Unico")</f>
        <v>Unico</v>
      </c>
      <c r="P2202" t="str">
        <f t="shared" si="137"/>
        <v>OK</v>
      </c>
      <c r="Q2202" t="str">
        <f t="shared" si="138"/>
        <v>OK</v>
      </c>
      <c r="R2202" t="str">
        <f t="shared" si="139"/>
        <v>OK</v>
      </c>
    </row>
    <row r="2203" spans="1:18" x14ac:dyDescent="0.3">
      <c r="A2203" s="1">
        <v>45865</v>
      </c>
      <c r="B2203" s="2" t="s">
        <v>2637</v>
      </c>
      <c r="C2203" s="2" t="s">
        <v>2521</v>
      </c>
      <c r="D2203" s="2" t="s">
        <v>2525</v>
      </c>
      <c r="E2203" s="2" t="s">
        <v>2529</v>
      </c>
      <c r="F2203" s="3">
        <v>100849</v>
      </c>
      <c r="G2203" s="3">
        <v>5626</v>
      </c>
      <c r="H2203" s="3">
        <v>210</v>
      </c>
      <c r="I2203" s="4">
        <v>2276.66</v>
      </c>
      <c r="J2203" s="4">
        <v>16300.07</v>
      </c>
      <c r="K2203" s="3">
        <v>111</v>
      </c>
      <c r="L2203" s="2" t="s">
        <v>2523</v>
      </c>
      <c r="M2203" s="2" t="s">
        <v>2519</v>
      </c>
      <c r="N2203" s="6">
        <f t="shared" si="136"/>
        <v>2</v>
      </c>
      <c r="O2203" t="str">
        <f>IF(Tabla_control[[#This Row],[Control_duplicados]]&gt;1,"Duplicado","Unico")</f>
        <v>Duplicado</v>
      </c>
      <c r="P2203" t="str">
        <f t="shared" si="137"/>
        <v>OK</v>
      </c>
      <c r="Q2203" t="str">
        <f t="shared" si="138"/>
        <v>OK</v>
      </c>
      <c r="R2203" t="str">
        <f t="shared" si="139"/>
        <v>OK</v>
      </c>
    </row>
    <row r="2204" spans="1:18" x14ac:dyDescent="0.3">
      <c r="A2204" s="1">
        <v>45892</v>
      </c>
      <c r="B2204" s="2" t="s">
        <v>2634</v>
      </c>
      <c r="C2204" s="2" t="s">
        <v>2515</v>
      </c>
      <c r="D2204" s="2" t="s">
        <v>2525</v>
      </c>
      <c r="E2204" s="2" t="s">
        <v>2534</v>
      </c>
      <c r="F2204" s="3">
        <v>23456</v>
      </c>
      <c r="G2204" s="3">
        <v>1825</v>
      </c>
      <c r="H2204" s="3">
        <v>32</v>
      </c>
      <c r="I2204" s="4">
        <v>3777.26</v>
      </c>
      <c r="J2204" s="4">
        <v>6704.32</v>
      </c>
      <c r="K2204" s="3">
        <v>14</v>
      </c>
      <c r="L2204" s="2" t="s">
        <v>2518</v>
      </c>
      <c r="M2204" s="2" t="s">
        <v>2546</v>
      </c>
      <c r="N2204" s="6">
        <f t="shared" si="136"/>
        <v>1</v>
      </c>
      <c r="O2204" t="str">
        <f>IF(Tabla_control[[#This Row],[Control_duplicados]]&gt;1,"Duplicado","Unico")</f>
        <v>Unico</v>
      </c>
      <c r="P2204" t="str">
        <f t="shared" si="137"/>
        <v>OK</v>
      </c>
      <c r="Q2204" t="str">
        <f t="shared" si="138"/>
        <v>OK</v>
      </c>
      <c r="R2204" t="str">
        <f t="shared" si="139"/>
        <v>OK</v>
      </c>
    </row>
    <row r="2205" spans="1:18" x14ac:dyDescent="0.3">
      <c r="A2205" s="1">
        <v>45711</v>
      </c>
      <c r="B2205" s="2" t="s">
        <v>2634</v>
      </c>
      <c r="C2205" s="2" t="s">
        <v>2533</v>
      </c>
      <c r="D2205" s="2" t="s">
        <v>2528</v>
      </c>
      <c r="E2205" s="2" t="s">
        <v>2517</v>
      </c>
      <c r="F2205" s="3">
        <v>2439</v>
      </c>
      <c r="G2205" s="3">
        <v>149</v>
      </c>
      <c r="H2205" s="3">
        <v>8</v>
      </c>
      <c r="I2205" s="4">
        <v>100</v>
      </c>
      <c r="J2205" s="4">
        <v>327.49</v>
      </c>
      <c r="K2205" s="3">
        <v>5</v>
      </c>
      <c r="L2205" s="2" t="s">
        <v>2523</v>
      </c>
      <c r="M2205" s="2" t="s">
        <v>2519</v>
      </c>
      <c r="N2205" s="6">
        <f t="shared" si="136"/>
        <v>1</v>
      </c>
      <c r="O2205" t="str">
        <f>IF(Tabla_control[[#This Row],[Control_duplicados]]&gt;1,"Duplicado","Unico")</f>
        <v>Unico</v>
      </c>
      <c r="P2205" t="str">
        <f t="shared" si="137"/>
        <v>OK</v>
      </c>
      <c r="Q2205" t="str">
        <f t="shared" si="138"/>
        <v>OK</v>
      </c>
      <c r="R2205" t="str">
        <f t="shared" si="139"/>
        <v>OK</v>
      </c>
    </row>
    <row r="2206" spans="1:18" x14ac:dyDescent="0.3">
      <c r="A2206" s="1">
        <v>45761</v>
      </c>
      <c r="B2206" s="2" t="s">
        <v>2633</v>
      </c>
      <c r="C2206" s="2" t="s">
        <v>2533</v>
      </c>
      <c r="D2206" s="2" t="s">
        <v>2516</v>
      </c>
      <c r="E2206" s="2" t="s">
        <v>2517</v>
      </c>
      <c r="F2206" s="3">
        <v>156012</v>
      </c>
      <c r="G2206" s="3">
        <v>3591</v>
      </c>
      <c r="H2206" s="3">
        <v>3628</v>
      </c>
      <c r="I2206" s="4">
        <v>5485.86</v>
      </c>
      <c r="J2206" s="4">
        <v>88579.93</v>
      </c>
      <c r="K2206" s="3">
        <v>296</v>
      </c>
      <c r="L2206" s="2" t="s">
        <v>2523</v>
      </c>
      <c r="M2206" s="2" t="s">
        <v>2524</v>
      </c>
      <c r="N2206" s="6">
        <f t="shared" si="136"/>
        <v>1</v>
      </c>
      <c r="O2206" t="str">
        <f>IF(Tabla_control[[#This Row],[Control_duplicados]]&gt;1,"Duplicado","Unico")</f>
        <v>Unico</v>
      </c>
      <c r="P2206" t="str">
        <f t="shared" si="137"/>
        <v>OK</v>
      </c>
      <c r="Q2206" t="str">
        <f t="shared" si="138"/>
        <v>OK</v>
      </c>
      <c r="R2206" t="str">
        <f t="shared" si="139"/>
        <v>OK</v>
      </c>
    </row>
    <row r="2207" spans="1:18" x14ac:dyDescent="0.3">
      <c r="A2207" s="1">
        <v>45874</v>
      </c>
      <c r="B2207" s="2" t="s">
        <v>2642</v>
      </c>
      <c r="C2207" s="2" t="s">
        <v>2515</v>
      </c>
      <c r="D2207" s="2" t="s">
        <v>2516</v>
      </c>
      <c r="E2207" s="2" t="s">
        <v>2517</v>
      </c>
      <c r="F2207" s="3">
        <v>173230</v>
      </c>
      <c r="G2207" s="3">
        <v>11924</v>
      </c>
      <c r="H2207" s="3">
        <v>1645</v>
      </c>
      <c r="I2207" s="4">
        <v>11479.55</v>
      </c>
      <c r="J2207" s="4">
        <v>304204.21999999997</v>
      </c>
      <c r="K2207" s="3">
        <v>1144</v>
      </c>
      <c r="L2207" s="2" t="s">
        <v>2536</v>
      </c>
      <c r="M2207" s="2" t="s">
        <v>2524</v>
      </c>
      <c r="N2207" s="6">
        <f t="shared" si="136"/>
        <v>1</v>
      </c>
      <c r="O2207" t="str">
        <f>IF(Tabla_control[[#This Row],[Control_duplicados]]&gt;1,"Duplicado","Unico")</f>
        <v>Unico</v>
      </c>
      <c r="P2207" t="str">
        <f t="shared" si="137"/>
        <v>OK</v>
      </c>
      <c r="Q2207" t="str">
        <f t="shared" si="138"/>
        <v>OK</v>
      </c>
      <c r="R2207" t="str">
        <f t="shared" si="139"/>
        <v>OK</v>
      </c>
    </row>
    <row r="2208" spans="1:18" x14ac:dyDescent="0.3">
      <c r="A2208" s="1">
        <v>45995</v>
      </c>
      <c r="B2208" s="2" t="s">
        <v>2641</v>
      </c>
      <c r="C2208" s="2" t="s">
        <v>2543</v>
      </c>
      <c r="D2208" s="2" t="s">
        <v>2531</v>
      </c>
      <c r="E2208" s="2" t="s">
        <v>2517</v>
      </c>
      <c r="F2208" s="3">
        <v>22865</v>
      </c>
      <c r="G2208" s="3">
        <v>460</v>
      </c>
      <c r="H2208" s="3">
        <v>25</v>
      </c>
      <c r="I2208" s="4">
        <v>927.36</v>
      </c>
      <c r="J2208" s="4">
        <v>3465.97</v>
      </c>
      <c r="K2208" s="3">
        <v>11</v>
      </c>
      <c r="L2208" s="2" t="s">
        <v>2536</v>
      </c>
      <c r="M2208" s="2" t="s">
        <v>2524</v>
      </c>
      <c r="N2208" s="6">
        <f t="shared" si="136"/>
        <v>1</v>
      </c>
      <c r="O2208" t="str">
        <f>IF(Tabla_control[[#This Row],[Control_duplicados]]&gt;1,"Duplicado","Unico")</f>
        <v>Unico</v>
      </c>
      <c r="P2208" t="str">
        <f t="shared" si="137"/>
        <v>OK</v>
      </c>
      <c r="Q2208" t="str">
        <f t="shared" si="138"/>
        <v>OK</v>
      </c>
      <c r="R2208" t="str">
        <f t="shared" si="139"/>
        <v>OK</v>
      </c>
    </row>
    <row r="2209" spans="1:18" x14ac:dyDescent="0.3">
      <c r="A2209" s="1">
        <v>45668</v>
      </c>
      <c r="B2209" s="2" t="s">
        <v>2639</v>
      </c>
      <c r="C2209" s="2" t="s">
        <v>2521</v>
      </c>
      <c r="D2209" s="2" t="s">
        <v>2528</v>
      </c>
      <c r="E2209" s="2" t="s">
        <v>2517</v>
      </c>
      <c r="F2209" s="3">
        <v>65882</v>
      </c>
      <c r="G2209" s="3">
        <v>1224</v>
      </c>
      <c r="H2209" s="3">
        <v>50</v>
      </c>
      <c r="I2209" s="4">
        <v>2353.34</v>
      </c>
      <c r="J2209" s="4">
        <v>7977.19</v>
      </c>
      <c r="K2209" s="3">
        <v>33</v>
      </c>
      <c r="L2209" s="2" t="s">
        <v>2523</v>
      </c>
      <c r="M2209" s="2" t="s">
        <v>2524</v>
      </c>
      <c r="N2209" s="6">
        <f t="shared" si="136"/>
        <v>1</v>
      </c>
      <c r="O2209" t="str">
        <f>IF(Tabla_control[[#This Row],[Control_duplicados]]&gt;1,"Duplicado","Unico")</f>
        <v>Unico</v>
      </c>
      <c r="P2209" t="str">
        <f t="shared" si="137"/>
        <v>OK</v>
      </c>
      <c r="Q2209" t="str">
        <f t="shared" si="138"/>
        <v>OK</v>
      </c>
      <c r="R2209" t="str">
        <f t="shared" si="139"/>
        <v>OK</v>
      </c>
    </row>
    <row r="2210" spans="1:18" x14ac:dyDescent="0.3">
      <c r="A2210" s="1">
        <v>45697</v>
      </c>
      <c r="B2210" s="2" t="s">
        <v>2640</v>
      </c>
      <c r="C2210" s="2" t="s">
        <v>2521</v>
      </c>
      <c r="D2210" s="2" t="s">
        <v>2528</v>
      </c>
      <c r="E2210" s="2" t="s">
        <v>2529</v>
      </c>
      <c r="F2210" s="3">
        <v>178182</v>
      </c>
      <c r="G2210" s="3">
        <v>8974</v>
      </c>
      <c r="H2210" s="3">
        <v>511</v>
      </c>
      <c r="I2210" s="4">
        <v>13140.71</v>
      </c>
      <c r="J2210" s="4">
        <v>111714.96</v>
      </c>
      <c r="K2210" s="3">
        <v>422</v>
      </c>
      <c r="L2210" s="2" t="s">
        <v>2536</v>
      </c>
      <c r="M2210" s="2" t="s">
        <v>2526</v>
      </c>
      <c r="N2210" s="6">
        <f t="shared" si="136"/>
        <v>1</v>
      </c>
      <c r="O2210" t="str">
        <f>IF(Tabla_control[[#This Row],[Control_duplicados]]&gt;1,"Duplicado","Unico")</f>
        <v>Unico</v>
      </c>
      <c r="P2210" t="str">
        <f t="shared" si="137"/>
        <v>OK</v>
      </c>
      <c r="Q2210" t="str">
        <f t="shared" si="138"/>
        <v>OK</v>
      </c>
      <c r="R2210" t="str">
        <f t="shared" si="139"/>
        <v>OK</v>
      </c>
    </row>
    <row r="2211" spans="1:18" x14ac:dyDescent="0.3">
      <c r="A2211" s="1">
        <v>45698</v>
      </c>
      <c r="B2211" s="2" t="s">
        <v>2629</v>
      </c>
      <c r="C2211" s="2" t="s">
        <v>2533</v>
      </c>
      <c r="D2211" s="2" t="s">
        <v>2645</v>
      </c>
      <c r="E2211" s="2" t="s">
        <v>2517</v>
      </c>
      <c r="F2211" s="3">
        <v>90182</v>
      </c>
      <c r="G2211" s="3">
        <v>6723</v>
      </c>
      <c r="H2211" s="3">
        <v>525</v>
      </c>
      <c r="I2211" s="4">
        <v>12012.57</v>
      </c>
      <c r="J2211" s="4">
        <v>104939.41</v>
      </c>
      <c r="K2211" s="3">
        <v>357</v>
      </c>
      <c r="L2211" s="2" t="s">
        <v>2539</v>
      </c>
      <c r="M2211" s="2" t="s">
        <v>2524</v>
      </c>
      <c r="N2211" s="6">
        <f t="shared" si="136"/>
        <v>2</v>
      </c>
      <c r="O2211" t="str">
        <f>IF(Tabla_control[[#This Row],[Control_duplicados]]&gt;1,"Duplicado","Unico")</f>
        <v>Duplicado</v>
      </c>
      <c r="P2211" t="str">
        <f t="shared" si="137"/>
        <v>OK</v>
      </c>
      <c r="Q2211" t="str">
        <f t="shared" si="138"/>
        <v>OK</v>
      </c>
      <c r="R2211" t="str">
        <f t="shared" si="139"/>
        <v>OK</v>
      </c>
    </row>
    <row r="2212" spans="1:18" x14ac:dyDescent="0.3">
      <c r="A2212" s="1">
        <v>45757</v>
      </c>
      <c r="B2212" s="2" t="s">
        <v>2631</v>
      </c>
      <c r="C2212" s="2" t="s">
        <v>2521</v>
      </c>
      <c r="D2212" s="2" t="s">
        <v>2525</v>
      </c>
      <c r="E2212" s="2" t="s">
        <v>2529</v>
      </c>
      <c r="F2212" s="3">
        <v>77014</v>
      </c>
      <c r="G2212" s="3">
        <v>3981</v>
      </c>
      <c r="H2212" s="3">
        <v>280</v>
      </c>
      <c r="I2212" s="4">
        <v>4426.57</v>
      </c>
      <c r="J2212" s="4">
        <v>40102.15</v>
      </c>
      <c r="K2212" s="3">
        <v>198</v>
      </c>
      <c r="L2212" s="2" t="s">
        <v>2523</v>
      </c>
      <c r="M2212" s="2" t="s">
        <v>2526</v>
      </c>
      <c r="N2212" s="6">
        <f t="shared" si="136"/>
        <v>1</v>
      </c>
      <c r="O2212" t="str">
        <f>IF(Tabla_control[[#This Row],[Control_duplicados]]&gt;1,"Duplicado","Unico")</f>
        <v>Unico</v>
      </c>
      <c r="P2212" t="str">
        <f t="shared" si="137"/>
        <v>OK</v>
      </c>
      <c r="Q2212" t="str">
        <f t="shared" si="138"/>
        <v>OK</v>
      </c>
      <c r="R2212" t="str">
        <f t="shared" si="139"/>
        <v>OK</v>
      </c>
    </row>
    <row r="2213" spans="1:18" x14ac:dyDescent="0.3">
      <c r="A2213" s="1">
        <v>45906</v>
      </c>
      <c r="B2213" s="2" t="s">
        <v>2621</v>
      </c>
      <c r="C2213" s="2" t="s">
        <v>2515</v>
      </c>
      <c r="D2213" s="2" t="s">
        <v>2531</v>
      </c>
      <c r="E2213" s="2" t="s">
        <v>2517</v>
      </c>
      <c r="F2213" s="3">
        <v>176682</v>
      </c>
      <c r="G2213" s="3">
        <v>13206</v>
      </c>
      <c r="H2213" s="3">
        <v>1272</v>
      </c>
      <c r="I2213" s="4">
        <v>4385.3100000000004</v>
      </c>
      <c r="J2213" s="4">
        <v>277076.03999999998</v>
      </c>
      <c r="K2213" s="3">
        <v>672</v>
      </c>
      <c r="L2213" s="2" t="s">
        <v>2523</v>
      </c>
      <c r="M2213" s="2" t="s">
        <v>2526</v>
      </c>
      <c r="N2213" s="6">
        <f t="shared" si="136"/>
        <v>1</v>
      </c>
      <c r="O2213" t="str">
        <f>IF(Tabla_control[[#This Row],[Control_duplicados]]&gt;1,"Duplicado","Unico")</f>
        <v>Unico</v>
      </c>
      <c r="P2213" t="str">
        <f t="shared" si="137"/>
        <v>OK</v>
      </c>
      <c r="Q2213" t="str">
        <f t="shared" si="138"/>
        <v>OK</v>
      </c>
      <c r="R2213" t="str">
        <f t="shared" si="139"/>
        <v>OK</v>
      </c>
    </row>
    <row r="2214" spans="1:18" x14ac:dyDescent="0.3">
      <c r="A2214" s="1">
        <v>45797</v>
      </c>
      <c r="B2214" s="2" t="s">
        <v>2615</v>
      </c>
      <c r="C2214" s="2" t="s">
        <v>2541</v>
      </c>
      <c r="D2214" s="2" t="s">
        <v>2516</v>
      </c>
      <c r="E2214" s="2" t="s">
        <v>2529</v>
      </c>
      <c r="F2214" s="3">
        <v>142911</v>
      </c>
      <c r="G2214" s="3">
        <v>8008</v>
      </c>
      <c r="H2214" s="3">
        <v>867</v>
      </c>
      <c r="I2214" s="4">
        <v>13892.23</v>
      </c>
      <c r="J2214" s="4">
        <v>81223.240000000005</v>
      </c>
      <c r="K2214" s="3">
        <v>753</v>
      </c>
      <c r="L2214" s="2" t="s">
        <v>2539</v>
      </c>
      <c r="M2214" s="2" t="s">
        <v>2526</v>
      </c>
      <c r="N2214" s="6">
        <f t="shared" si="136"/>
        <v>1</v>
      </c>
      <c r="O2214" t="str">
        <f>IF(Tabla_control[[#This Row],[Control_duplicados]]&gt;1,"Duplicado","Unico")</f>
        <v>Unico</v>
      </c>
      <c r="P2214" t="str">
        <f t="shared" si="137"/>
        <v>OK</v>
      </c>
      <c r="Q2214" t="str">
        <f t="shared" si="138"/>
        <v>OK</v>
      </c>
      <c r="R2214" t="str">
        <f t="shared" si="139"/>
        <v>OK</v>
      </c>
    </row>
    <row r="2215" spans="1:18" x14ac:dyDescent="0.3">
      <c r="A2215" s="1">
        <v>45877</v>
      </c>
      <c r="B2215" s="2" t="s">
        <v>2624</v>
      </c>
      <c r="C2215" s="2" t="s">
        <v>2541</v>
      </c>
      <c r="D2215" s="2" t="s">
        <v>2528</v>
      </c>
      <c r="E2215" s="2" t="s">
        <v>2517</v>
      </c>
      <c r="F2215" s="3">
        <v>39450</v>
      </c>
      <c r="G2215" s="3">
        <v>2980</v>
      </c>
      <c r="H2215" s="3">
        <v>223</v>
      </c>
      <c r="I2215" s="4">
        <v>595.88</v>
      </c>
      <c r="J2215" s="4">
        <v>47662.21</v>
      </c>
      <c r="K2215" s="3">
        <v>113</v>
      </c>
      <c r="L2215" s="2" t="s">
        <v>2536</v>
      </c>
      <c r="M2215" s="2" t="s">
        <v>2519</v>
      </c>
      <c r="N2215" s="6">
        <f t="shared" si="136"/>
        <v>1</v>
      </c>
      <c r="O2215" t="str">
        <f>IF(Tabla_control[[#This Row],[Control_duplicados]]&gt;1,"Duplicado","Unico")</f>
        <v>Unico</v>
      </c>
      <c r="P2215" t="str">
        <f t="shared" si="137"/>
        <v>OK</v>
      </c>
      <c r="Q2215" t="str">
        <f t="shared" si="138"/>
        <v>OK</v>
      </c>
      <c r="R2215" t="str">
        <f t="shared" si="139"/>
        <v>OK</v>
      </c>
    </row>
    <row r="2216" spans="1:18" x14ac:dyDescent="0.3">
      <c r="A2216" s="1">
        <v>45956</v>
      </c>
      <c r="B2216" s="2" t="s">
        <v>2637</v>
      </c>
      <c r="C2216" s="2" t="s">
        <v>2515</v>
      </c>
      <c r="D2216" s="2" t="s">
        <v>2528</v>
      </c>
      <c r="E2216" s="2" t="s">
        <v>2529</v>
      </c>
      <c r="F2216" s="3">
        <v>39011</v>
      </c>
      <c r="G2216" s="3">
        <v>3388</v>
      </c>
      <c r="H2216" s="3">
        <v>373</v>
      </c>
      <c r="I2216" s="4">
        <v>6701.66</v>
      </c>
      <c r="J2216" s="4">
        <v>62472.22</v>
      </c>
      <c r="K2216" s="3">
        <v>175</v>
      </c>
      <c r="L2216" s="2" t="s">
        <v>2536</v>
      </c>
      <c r="M2216" s="2" t="s">
        <v>2526</v>
      </c>
      <c r="N2216" s="6">
        <f t="shared" si="136"/>
        <v>1</v>
      </c>
      <c r="O2216" t="str">
        <f>IF(Tabla_control[[#This Row],[Control_duplicados]]&gt;1,"Duplicado","Unico")</f>
        <v>Unico</v>
      </c>
      <c r="P2216" t="str">
        <f t="shared" si="137"/>
        <v>OK</v>
      </c>
      <c r="Q2216" t="str">
        <f t="shared" si="138"/>
        <v>OK</v>
      </c>
      <c r="R2216" t="str">
        <f t="shared" si="139"/>
        <v>OK</v>
      </c>
    </row>
    <row r="2217" spans="1:18" x14ac:dyDescent="0.3">
      <c r="A2217" s="1">
        <v>45944</v>
      </c>
      <c r="B2217" s="2" t="s">
        <v>2629</v>
      </c>
      <c r="C2217" s="2" t="s">
        <v>2521</v>
      </c>
      <c r="D2217" s="2" t="s">
        <v>2528</v>
      </c>
      <c r="E2217" s="2" t="s">
        <v>2517</v>
      </c>
      <c r="F2217" s="3">
        <v>73538</v>
      </c>
      <c r="G2217" s="3">
        <v>2640</v>
      </c>
      <c r="H2217" s="3">
        <v>298</v>
      </c>
      <c r="I2217" s="4">
        <v>2968.35</v>
      </c>
      <c r="J2217" s="4">
        <v>17641.77</v>
      </c>
      <c r="K2217" s="3">
        <v>215</v>
      </c>
      <c r="L2217" s="2" t="s">
        <v>2539</v>
      </c>
      <c r="M2217" s="2" t="s">
        <v>2526</v>
      </c>
      <c r="N2217" s="6">
        <f t="shared" si="136"/>
        <v>1</v>
      </c>
      <c r="O2217" t="str">
        <f>IF(Tabla_control[[#This Row],[Control_duplicados]]&gt;1,"Duplicado","Unico")</f>
        <v>Unico</v>
      </c>
      <c r="P2217" t="str">
        <f t="shared" si="137"/>
        <v>OK</v>
      </c>
      <c r="Q2217" t="str">
        <f t="shared" si="138"/>
        <v>OK</v>
      </c>
      <c r="R2217" t="str">
        <f t="shared" si="139"/>
        <v>OK</v>
      </c>
    </row>
    <row r="2218" spans="1:18" x14ac:dyDescent="0.3">
      <c r="A2218" s="1">
        <v>45856</v>
      </c>
      <c r="B2218" s="2" t="s">
        <v>2615</v>
      </c>
      <c r="C2218" s="2" t="s">
        <v>2533</v>
      </c>
      <c r="D2218" s="2" t="s">
        <v>2528</v>
      </c>
      <c r="E2218" s="2" t="s">
        <v>2517</v>
      </c>
      <c r="F2218" s="3">
        <v>34831</v>
      </c>
      <c r="G2218" s="3">
        <v>2795</v>
      </c>
      <c r="H2218" s="3">
        <v>66</v>
      </c>
      <c r="I2218" s="4">
        <v>633.70000000000005</v>
      </c>
      <c r="J2218" s="4">
        <v>8768.14</v>
      </c>
      <c r="K2218" s="3">
        <v>38</v>
      </c>
      <c r="L2218" s="2" t="s">
        <v>2536</v>
      </c>
      <c r="M2218" s="2" t="s">
        <v>2524</v>
      </c>
      <c r="N2218" s="6">
        <f t="shared" si="136"/>
        <v>1</v>
      </c>
      <c r="O2218" t="str">
        <f>IF(Tabla_control[[#This Row],[Control_duplicados]]&gt;1,"Duplicado","Unico")</f>
        <v>Unico</v>
      </c>
      <c r="P2218" t="str">
        <f t="shared" si="137"/>
        <v>OK</v>
      </c>
      <c r="Q2218" t="str">
        <f t="shared" si="138"/>
        <v>OK</v>
      </c>
      <c r="R2218" t="str">
        <f t="shared" si="139"/>
        <v>OK</v>
      </c>
    </row>
    <row r="2219" spans="1:18" x14ac:dyDescent="0.3">
      <c r="A2219" s="1">
        <v>45767</v>
      </c>
      <c r="B2219" s="2" t="s">
        <v>2620</v>
      </c>
      <c r="C2219" s="2" t="s">
        <v>2515</v>
      </c>
      <c r="D2219" s="2" t="s">
        <v>2522</v>
      </c>
      <c r="E2219" s="2" t="s">
        <v>2517</v>
      </c>
      <c r="F2219" s="3">
        <v>57008</v>
      </c>
      <c r="G2219" s="3">
        <v>1663</v>
      </c>
      <c r="H2219" s="3">
        <v>182</v>
      </c>
      <c r="I2219" s="4">
        <v>2872.78</v>
      </c>
      <c r="J2219" s="4">
        <v>18341.77</v>
      </c>
      <c r="K2219" s="3">
        <v>135</v>
      </c>
      <c r="L2219" s="2" t="s">
        <v>2536</v>
      </c>
      <c r="M2219" s="2" t="s">
        <v>2524</v>
      </c>
      <c r="N2219" s="6">
        <f t="shared" si="136"/>
        <v>1</v>
      </c>
      <c r="O2219" t="str">
        <f>IF(Tabla_control[[#This Row],[Control_duplicados]]&gt;1,"Duplicado","Unico")</f>
        <v>Unico</v>
      </c>
      <c r="P2219" t="str">
        <f t="shared" si="137"/>
        <v>OK</v>
      </c>
      <c r="Q2219" t="str">
        <f t="shared" si="138"/>
        <v>OK</v>
      </c>
      <c r="R2219" t="str">
        <f t="shared" si="139"/>
        <v>OK</v>
      </c>
    </row>
    <row r="2220" spans="1:18" x14ac:dyDescent="0.3">
      <c r="A2220" s="1">
        <v>45780</v>
      </c>
      <c r="B2220" s="2" t="s">
        <v>2622</v>
      </c>
      <c r="C2220" s="2" t="s">
        <v>2541</v>
      </c>
      <c r="D2220" s="2" t="s">
        <v>2516</v>
      </c>
      <c r="E2220" s="2" t="s">
        <v>2529</v>
      </c>
      <c r="F2220" s="3">
        <v>159247</v>
      </c>
      <c r="G2220" s="3">
        <v>2760</v>
      </c>
      <c r="H2220" s="3">
        <v>341</v>
      </c>
      <c r="I2220" s="4">
        <v>1344.65</v>
      </c>
      <c r="J2220" s="4">
        <v>5226.42</v>
      </c>
      <c r="K2220" s="3">
        <v>214</v>
      </c>
      <c r="L2220" s="2" t="s">
        <v>2518</v>
      </c>
      <c r="M2220" s="2" t="s">
        <v>2524</v>
      </c>
      <c r="N2220" s="6">
        <f t="shared" si="136"/>
        <v>1</v>
      </c>
      <c r="O2220" t="str">
        <f>IF(Tabla_control[[#This Row],[Control_duplicados]]&gt;1,"Duplicado","Unico")</f>
        <v>Unico</v>
      </c>
      <c r="P2220" t="str">
        <f t="shared" si="137"/>
        <v>OK</v>
      </c>
      <c r="Q2220" t="str">
        <f t="shared" si="138"/>
        <v>OK</v>
      </c>
      <c r="R2220" t="str">
        <f t="shared" si="139"/>
        <v>OK</v>
      </c>
    </row>
    <row r="2221" spans="1:18" x14ac:dyDescent="0.3">
      <c r="A2221" s="1">
        <v>45823</v>
      </c>
      <c r="B2221" s="2" t="s">
        <v>2628</v>
      </c>
      <c r="C2221" s="2" t="s">
        <v>2515</v>
      </c>
      <c r="D2221" s="2" t="s">
        <v>2528</v>
      </c>
      <c r="E2221" s="2" t="s">
        <v>2517</v>
      </c>
      <c r="F2221" s="3">
        <v>20808</v>
      </c>
      <c r="G2221" s="3">
        <v>514</v>
      </c>
      <c r="H2221" s="3">
        <v>46</v>
      </c>
      <c r="I2221" s="4">
        <v>166.89</v>
      </c>
      <c r="J2221" s="4">
        <v>7574.86</v>
      </c>
      <c r="K2221" s="3">
        <v>34</v>
      </c>
      <c r="L2221" s="2" t="s">
        <v>2539</v>
      </c>
      <c r="M2221" s="2" t="s">
        <v>2524</v>
      </c>
      <c r="N2221" s="6">
        <f t="shared" si="136"/>
        <v>1</v>
      </c>
      <c r="O2221" t="str">
        <f>IF(Tabla_control[[#This Row],[Control_duplicados]]&gt;1,"Duplicado","Unico")</f>
        <v>Unico</v>
      </c>
      <c r="P2221" t="str">
        <f t="shared" si="137"/>
        <v>OK</v>
      </c>
      <c r="Q2221" t="str">
        <f t="shared" si="138"/>
        <v>OK</v>
      </c>
      <c r="R2221" t="str">
        <f t="shared" si="139"/>
        <v>OK</v>
      </c>
    </row>
    <row r="2222" spans="1:18" x14ac:dyDescent="0.3">
      <c r="A2222" s="1">
        <v>45989</v>
      </c>
      <c r="B2222" s="2" t="s">
        <v>2628</v>
      </c>
      <c r="C2222" s="2" t="s">
        <v>2541</v>
      </c>
      <c r="D2222" s="2" t="s">
        <v>2528</v>
      </c>
      <c r="E2222" s="2" t="s">
        <v>2517</v>
      </c>
      <c r="F2222" s="3">
        <v>41853</v>
      </c>
      <c r="G2222" s="3">
        <v>585</v>
      </c>
      <c r="H2222" s="3">
        <v>53</v>
      </c>
      <c r="I2222" s="4">
        <v>906.25</v>
      </c>
      <c r="J2222" s="4">
        <v>5643.16</v>
      </c>
      <c r="K2222" s="3">
        <v>27</v>
      </c>
      <c r="L2222" s="2" t="s">
        <v>2523</v>
      </c>
      <c r="M2222" s="2" t="s">
        <v>2519</v>
      </c>
      <c r="N2222" s="6">
        <f t="shared" si="136"/>
        <v>1</v>
      </c>
      <c r="O2222" t="str">
        <f>IF(Tabla_control[[#This Row],[Control_duplicados]]&gt;1,"Duplicado","Unico")</f>
        <v>Unico</v>
      </c>
      <c r="P2222" t="str">
        <f t="shared" si="137"/>
        <v>OK</v>
      </c>
      <c r="Q2222" t="str">
        <f t="shared" si="138"/>
        <v>OK</v>
      </c>
      <c r="R2222" t="str">
        <f t="shared" si="139"/>
        <v>OK</v>
      </c>
    </row>
    <row r="2223" spans="1:18" x14ac:dyDescent="0.3">
      <c r="A2223" s="1">
        <v>45844</v>
      </c>
      <c r="B2223" s="2" t="s">
        <v>2615</v>
      </c>
      <c r="C2223" s="2" t="s">
        <v>2533</v>
      </c>
      <c r="D2223" s="2" t="s">
        <v>2528</v>
      </c>
      <c r="E2223" s="2" t="s">
        <v>2517</v>
      </c>
      <c r="F2223" s="3">
        <v>104588</v>
      </c>
      <c r="G2223" s="3">
        <v>2472</v>
      </c>
      <c r="H2223" s="3">
        <v>142</v>
      </c>
      <c r="I2223" s="4">
        <v>832.3</v>
      </c>
      <c r="J2223" s="4">
        <v>11870.18</v>
      </c>
      <c r="K2223" s="3">
        <v>102</v>
      </c>
      <c r="L2223" s="2" t="s">
        <v>2539</v>
      </c>
      <c r="M2223" s="2" t="s">
        <v>2524</v>
      </c>
      <c r="N2223" s="6">
        <f t="shared" si="136"/>
        <v>1</v>
      </c>
      <c r="O2223" t="str">
        <f>IF(Tabla_control[[#This Row],[Control_duplicados]]&gt;1,"Duplicado","Unico")</f>
        <v>Unico</v>
      </c>
      <c r="P2223" t="str">
        <f t="shared" si="137"/>
        <v>OK</v>
      </c>
      <c r="Q2223" t="str">
        <f t="shared" si="138"/>
        <v>OK</v>
      </c>
      <c r="R2223" t="str">
        <f t="shared" si="139"/>
        <v>OK</v>
      </c>
    </row>
    <row r="2224" spans="1:18" x14ac:dyDescent="0.3">
      <c r="A2224" s="1">
        <v>45940</v>
      </c>
      <c r="B2224" s="2" t="s">
        <v>2622</v>
      </c>
      <c r="C2224" s="2" t="s">
        <v>2515</v>
      </c>
      <c r="D2224" s="2" t="s">
        <v>2528</v>
      </c>
      <c r="E2224" s="2" t="s">
        <v>2529</v>
      </c>
      <c r="F2224" s="3">
        <v>145436</v>
      </c>
      <c r="G2224" s="3">
        <v>1104</v>
      </c>
      <c r="H2224" s="3">
        <v>27</v>
      </c>
      <c r="I2224" s="4">
        <v>572.88</v>
      </c>
      <c r="J2224" s="4">
        <v>4268.9399999999996</v>
      </c>
      <c r="K2224" s="3">
        <v>23</v>
      </c>
      <c r="L2224" s="2" t="s">
        <v>2536</v>
      </c>
      <c r="M2224" s="2" t="s">
        <v>2524</v>
      </c>
      <c r="N2224" s="6">
        <f t="shared" si="136"/>
        <v>1</v>
      </c>
      <c r="O2224" t="str">
        <f>IF(Tabla_control[[#This Row],[Control_duplicados]]&gt;1,"Duplicado","Unico")</f>
        <v>Unico</v>
      </c>
      <c r="P2224" t="str">
        <f t="shared" si="137"/>
        <v>OK</v>
      </c>
      <c r="Q2224" t="str">
        <f t="shared" si="138"/>
        <v>OK</v>
      </c>
      <c r="R2224" t="str">
        <f t="shared" si="139"/>
        <v>OK</v>
      </c>
    </row>
    <row r="2225" spans="1:18" x14ac:dyDescent="0.3">
      <c r="A2225" s="1">
        <v>45981</v>
      </c>
      <c r="B2225" s="2" t="s">
        <v>2620</v>
      </c>
      <c r="C2225" s="2" t="s">
        <v>2527</v>
      </c>
      <c r="D2225" s="2" t="s">
        <v>2528</v>
      </c>
      <c r="E2225" s="2" t="s">
        <v>2529</v>
      </c>
      <c r="F2225" s="3">
        <v>25969</v>
      </c>
      <c r="G2225" s="3">
        <v>516</v>
      </c>
      <c r="H2225" s="3">
        <v>64</v>
      </c>
      <c r="I2225" s="4">
        <v>745.61</v>
      </c>
      <c r="J2225" s="4">
        <v>2220.69</v>
      </c>
      <c r="K2225" s="3">
        <v>37</v>
      </c>
      <c r="L2225" s="2" t="s">
        <v>2539</v>
      </c>
      <c r="M2225" s="2" t="s">
        <v>2519</v>
      </c>
      <c r="N2225" s="6">
        <f t="shared" si="136"/>
        <v>2</v>
      </c>
      <c r="O2225" t="str">
        <f>IF(Tabla_control[[#This Row],[Control_duplicados]]&gt;1,"Duplicado","Unico")</f>
        <v>Duplicado</v>
      </c>
      <c r="P2225" t="str">
        <f t="shared" si="137"/>
        <v>OK</v>
      </c>
      <c r="Q2225" t="str">
        <f t="shared" si="138"/>
        <v>OK</v>
      </c>
      <c r="R2225" t="str">
        <f t="shared" si="139"/>
        <v>OK</v>
      </c>
    </row>
    <row r="2226" spans="1:18" x14ac:dyDescent="0.3">
      <c r="A2226" s="1">
        <v>45883</v>
      </c>
      <c r="B2226" s="2" t="s">
        <v>2631</v>
      </c>
      <c r="C2226" s="2" t="s">
        <v>2515</v>
      </c>
      <c r="D2226" s="2" t="s">
        <v>2522</v>
      </c>
      <c r="E2226" s="2" t="s">
        <v>2517</v>
      </c>
      <c r="F2226" s="3">
        <v>80817</v>
      </c>
      <c r="G2226" s="3">
        <v>5906</v>
      </c>
      <c r="H2226" s="3">
        <v>496</v>
      </c>
      <c r="I2226" s="4">
        <v>11741.17</v>
      </c>
      <c r="J2226" s="4">
        <v>82847.679999999993</v>
      </c>
      <c r="K2226" s="3">
        <v>439</v>
      </c>
      <c r="L2226" s="2" t="s">
        <v>2523</v>
      </c>
      <c r="M2226" s="2" t="s">
        <v>2524</v>
      </c>
      <c r="N2226" s="6">
        <f t="shared" si="136"/>
        <v>1</v>
      </c>
      <c r="O2226" t="str">
        <f>IF(Tabla_control[[#This Row],[Control_duplicados]]&gt;1,"Duplicado","Unico")</f>
        <v>Unico</v>
      </c>
      <c r="P2226" t="str">
        <f t="shared" si="137"/>
        <v>OK</v>
      </c>
      <c r="Q2226" t="str">
        <f t="shared" si="138"/>
        <v>OK</v>
      </c>
      <c r="R2226" t="str">
        <f t="shared" si="139"/>
        <v>OK</v>
      </c>
    </row>
    <row r="2227" spans="1:18" x14ac:dyDescent="0.3">
      <c r="A2227" s="1">
        <v>45948</v>
      </c>
      <c r="B2227" s="2" t="s">
        <v>2628</v>
      </c>
      <c r="C2227" s="2" t="s">
        <v>2515</v>
      </c>
      <c r="D2227" s="2" t="s">
        <v>2528</v>
      </c>
      <c r="E2227" s="2" t="s">
        <v>2529</v>
      </c>
      <c r="F2227" s="3">
        <v>97690</v>
      </c>
      <c r="G2227" s="3">
        <v>3481</v>
      </c>
      <c r="H2227" s="3">
        <v>217</v>
      </c>
      <c r="I2227" s="4">
        <v>1952.13</v>
      </c>
      <c r="J2227" s="4">
        <v>37073.89</v>
      </c>
      <c r="K2227" s="3">
        <v>148</v>
      </c>
      <c r="L2227" s="2" t="s">
        <v>2539</v>
      </c>
      <c r="M2227" s="2" t="s">
        <v>2645</v>
      </c>
      <c r="N2227" s="6">
        <f t="shared" si="136"/>
        <v>1</v>
      </c>
      <c r="O2227" t="str">
        <f>IF(Tabla_control[[#This Row],[Control_duplicados]]&gt;1,"Duplicado","Unico")</f>
        <v>Unico</v>
      </c>
      <c r="P2227" t="str">
        <f t="shared" si="137"/>
        <v>OK</v>
      </c>
      <c r="Q2227" t="str">
        <f t="shared" si="138"/>
        <v>OK</v>
      </c>
      <c r="R2227" t="str">
        <f t="shared" si="139"/>
        <v>OK</v>
      </c>
    </row>
    <row r="2228" spans="1:18" x14ac:dyDescent="0.3">
      <c r="A2228" s="1">
        <v>45885</v>
      </c>
      <c r="B2228" s="2" t="s">
        <v>2624</v>
      </c>
      <c r="C2228" s="2" t="s">
        <v>2533</v>
      </c>
      <c r="D2228" s="2" t="s">
        <v>2528</v>
      </c>
      <c r="E2228" s="2" t="s">
        <v>2517</v>
      </c>
      <c r="F2228" s="3">
        <v>11816</v>
      </c>
      <c r="G2228" s="3">
        <v>803</v>
      </c>
      <c r="H2228" s="3">
        <v>8</v>
      </c>
      <c r="I2228" s="4">
        <v>346.29</v>
      </c>
      <c r="J2228" s="4">
        <v>745.29</v>
      </c>
      <c r="K2228" s="3">
        <v>4</v>
      </c>
      <c r="L2228" s="2" t="s">
        <v>2536</v>
      </c>
      <c r="M2228" s="2" t="s">
        <v>2526</v>
      </c>
      <c r="N2228" s="6">
        <f t="shared" si="136"/>
        <v>1</v>
      </c>
      <c r="O2228" t="str">
        <f>IF(Tabla_control[[#This Row],[Control_duplicados]]&gt;1,"Duplicado","Unico")</f>
        <v>Unico</v>
      </c>
      <c r="P2228" t="str">
        <f t="shared" si="137"/>
        <v>OK</v>
      </c>
      <c r="Q2228" t="str">
        <f t="shared" si="138"/>
        <v>OK</v>
      </c>
      <c r="R2228" t="str">
        <f t="shared" si="139"/>
        <v>OK</v>
      </c>
    </row>
    <row r="2229" spans="1:18" x14ac:dyDescent="0.3">
      <c r="A2229" s="1">
        <v>45819</v>
      </c>
      <c r="B2229" s="2" t="s">
        <v>2616</v>
      </c>
      <c r="C2229" s="2" t="s">
        <v>2543</v>
      </c>
      <c r="D2229" s="2" t="s">
        <v>2516</v>
      </c>
      <c r="E2229" s="2" t="s">
        <v>2529</v>
      </c>
      <c r="F2229" s="3">
        <v>85263</v>
      </c>
      <c r="G2229" s="3">
        <v>2892</v>
      </c>
      <c r="H2229" s="3">
        <v>324</v>
      </c>
      <c r="I2229" s="4">
        <v>356.14</v>
      </c>
      <c r="J2229" s="4">
        <v>40983.31</v>
      </c>
      <c r="K2229" s="3">
        <v>200</v>
      </c>
      <c r="L2229" s="2" t="s">
        <v>2523</v>
      </c>
      <c r="M2229" s="2" t="s">
        <v>2537</v>
      </c>
      <c r="N2229" s="6">
        <f t="shared" si="136"/>
        <v>1</v>
      </c>
      <c r="O2229" t="str">
        <f>IF(Tabla_control[[#This Row],[Control_duplicados]]&gt;1,"Duplicado","Unico")</f>
        <v>Unico</v>
      </c>
      <c r="P2229" t="str">
        <f t="shared" si="137"/>
        <v>OK</v>
      </c>
      <c r="Q2229" t="str">
        <f t="shared" si="138"/>
        <v>OK</v>
      </c>
      <c r="R2229" t="str">
        <f t="shared" si="139"/>
        <v>OK</v>
      </c>
    </row>
    <row r="2230" spans="1:18" x14ac:dyDescent="0.3">
      <c r="A2230" s="1">
        <v>45954</v>
      </c>
      <c r="B2230" s="2" t="s">
        <v>2637</v>
      </c>
      <c r="C2230" s="2" t="s">
        <v>2533</v>
      </c>
      <c r="D2230" s="2" t="s">
        <v>2528</v>
      </c>
      <c r="E2230" s="2" t="s">
        <v>2529</v>
      </c>
      <c r="F2230" s="3">
        <v>75858</v>
      </c>
      <c r="G2230" s="3">
        <v>6028</v>
      </c>
      <c r="H2230" s="3">
        <v>377</v>
      </c>
      <c r="I2230" s="4">
        <v>683.81</v>
      </c>
      <c r="J2230" s="4">
        <v>69660.91</v>
      </c>
      <c r="K2230" s="3">
        <v>193</v>
      </c>
      <c r="L2230" s="2" t="s">
        <v>2539</v>
      </c>
      <c r="M2230" s="2" t="s">
        <v>2524</v>
      </c>
      <c r="N2230" s="6">
        <f t="shared" si="136"/>
        <v>1</v>
      </c>
      <c r="O2230" t="str">
        <f>IF(Tabla_control[[#This Row],[Control_duplicados]]&gt;1,"Duplicado","Unico")</f>
        <v>Unico</v>
      </c>
      <c r="P2230" t="str">
        <f t="shared" si="137"/>
        <v>OK</v>
      </c>
      <c r="Q2230" t="str">
        <f t="shared" si="138"/>
        <v>OK</v>
      </c>
      <c r="R2230" t="str">
        <f t="shared" si="139"/>
        <v>OK</v>
      </c>
    </row>
    <row r="2231" spans="1:18" x14ac:dyDescent="0.3">
      <c r="A2231" s="1">
        <v>45986</v>
      </c>
      <c r="B2231" s="2" t="s">
        <v>2639</v>
      </c>
      <c r="C2231" s="2" t="s">
        <v>2515</v>
      </c>
      <c r="D2231" s="2" t="s">
        <v>2528</v>
      </c>
      <c r="E2231" s="2" t="s">
        <v>2529</v>
      </c>
      <c r="F2231" s="3">
        <v>46519</v>
      </c>
      <c r="G2231" s="3">
        <v>896</v>
      </c>
      <c r="H2231" s="3">
        <v>26</v>
      </c>
      <c r="I2231" s="4">
        <v>1246.43</v>
      </c>
      <c r="J2231" s="4">
        <v>4074.71</v>
      </c>
      <c r="K2231" s="3">
        <v>12</v>
      </c>
      <c r="L2231" s="2" t="s">
        <v>2523</v>
      </c>
      <c r="M2231" s="2" t="s">
        <v>2546</v>
      </c>
      <c r="N2231" s="6">
        <f t="shared" si="136"/>
        <v>1</v>
      </c>
      <c r="O2231" t="str">
        <f>IF(Tabla_control[[#This Row],[Control_duplicados]]&gt;1,"Duplicado","Unico")</f>
        <v>Unico</v>
      </c>
      <c r="P2231" t="str">
        <f t="shared" si="137"/>
        <v>OK</v>
      </c>
      <c r="Q2231" t="str">
        <f t="shared" si="138"/>
        <v>OK</v>
      </c>
      <c r="R2231" t="str">
        <f t="shared" si="139"/>
        <v>OK</v>
      </c>
    </row>
    <row r="2232" spans="1:18" x14ac:dyDescent="0.3">
      <c r="A2232" s="1">
        <v>45734</v>
      </c>
      <c r="B2232" s="2" t="s">
        <v>2621</v>
      </c>
      <c r="C2232" s="2" t="s">
        <v>2521</v>
      </c>
      <c r="D2232" s="2" t="s">
        <v>2531</v>
      </c>
      <c r="E2232" s="2" t="s">
        <v>2517</v>
      </c>
      <c r="F2232" s="3">
        <v>8716</v>
      </c>
      <c r="G2232" s="3">
        <v>633</v>
      </c>
      <c r="H2232" s="3">
        <v>28</v>
      </c>
      <c r="I2232" s="4">
        <v>425.02</v>
      </c>
      <c r="J2232" s="4">
        <v>3925.31</v>
      </c>
      <c r="K2232" s="3">
        <v>17</v>
      </c>
      <c r="L2232" s="2" t="s">
        <v>2536</v>
      </c>
      <c r="M2232" s="2" t="s">
        <v>2519</v>
      </c>
      <c r="N2232" s="6">
        <f t="shared" si="136"/>
        <v>1</v>
      </c>
      <c r="O2232" t="str">
        <f>IF(Tabla_control[[#This Row],[Control_duplicados]]&gt;1,"Duplicado","Unico")</f>
        <v>Unico</v>
      </c>
      <c r="P2232" t="str">
        <f t="shared" si="137"/>
        <v>OK</v>
      </c>
      <c r="Q2232" t="str">
        <f t="shared" si="138"/>
        <v>OK</v>
      </c>
      <c r="R2232" t="str">
        <f t="shared" si="139"/>
        <v>OK</v>
      </c>
    </row>
    <row r="2233" spans="1:18" x14ac:dyDescent="0.3">
      <c r="A2233" s="1">
        <v>45674</v>
      </c>
      <c r="B2233" s="2" t="s">
        <v>2616</v>
      </c>
      <c r="C2233" s="2" t="s">
        <v>2541</v>
      </c>
      <c r="D2233" s="2" t="s">
        <v>2516</v>
      </c>
      <c r="E2233" s="2" t="s">
        <v>2529</v>
      </c>
      <c r="F2233" s="3">
        <v>17438</v>
      </c>
      <c r="G2233" s="3">
        <v>211</v>
      </c>
      <c r="H2233" s="3">
        <v>26</v>
      </c>
      <c r="I2233" s="4">
        <v>37.340000000000003</v>
      </c>
      <c r="J2233" s="4">
        <v>4020.37</v>
      </c>
      <c r="K2233" s="3">
        <v>14</v>
      </c>
      <c r="L2233" s="2" t="s">
        <v>2518</v>
      </c>
      <c r="M2233" s="2" t="s">
        <v>2546</v>
      </c>
      <c r="N2233" s="6">
        <f t="shared" si="136"/>
        <v>1</v>
      </c>
      <c r="O2233" t="str">
        <f>IF(Tabla_control[[#This Row],[Control_duplicados]]&gt;1,"Duplicado","Unico")</f>
        <v>Unico</v>
      </c>
      <c r="P2233" t="str">
        <f t="shared" si="137"/>
        <v>OK</v>
      </c>
      <c r="Q2233" t="str">
        <f t="shared" si="138"/>
        <v>OK</v>
      </c>
      <c r="R2233" t="str">
        <f t="shared" si="139"/>
        <v>OK</v>
      </c>
    </row>
    <row r="2234" spans="1:18" x14ac:dyDescent="0.3">
      <c r="A2234" s="1">
        <v>45864</v>
      </c>
      <c r="B2234" s="2" t="s">
        <v>2624</v>
      </c>
      <c r="C2234" s="2" t="s">
        <v>2543</v>
      </c>
      <c r="D2234" s="2" t="s">
        <v>2522</v>
      </c>
      <c r="E2234" s="2" t="s">
        <v>2529</v>
      </c>
      <c r="F2234" s="3">
        <v>3011</v>
      </c>
      <c r="G2234" s="3">
        <v>123</v>
      </c>
      <c r="H2234" s="3">
        <v>2</v>
      </c>
      <c r="I2234" s="4">
        <v>19.64</v>
      </c>
      <c r="J2234" s="4">
        <v>396.37</v>
      </c>
      <c r="K2234" s="3">
        <v>1</v>
      </c>
      <c r="L2234" s="2" t="s">
        <v>2536</v>
      </c>
      <c r="M2234" s="2" t="s">
        <v>2537</v>
      </c>
      <c r="N2234" s="6">
        <f t="shared" si="136"/>
        <v>1</v>
      </c>
      <c r="O2234" t="str">
        <f>IF(Tabla_control[[#This Row],[Control_duplicados]]&gt;1,"Duplicado","Unico")</f>
        <v>Unico</v>
      </c>
      <c r="P2234" t="str">
        <f t="shared" si="137"/>
        <v>OK</v>
      </c>
      <c r="Q2234" t="str">
        <f t="shared" si="138"/>
        <v>OK</v>
      </c>
      <c r="R2234" t="str">
        <f t="shared" si="139"/>
        <v>OK</v>
      </c>
    </row>
    <row r="2235" spans="1:18" x14ac:dyDescent="0.3">
      <c r="A2235" s="1">
        <v>45697</v>
      </c>
      <c r="B2235" s="2" t="s">
        <v>2629</v>
      </c>
      <c r="C2235" s="2" t="s">
        <v>2543</v>
      </c>
      <c r="D2235" s="2" t="s">
        <v>2531</v>
      </c>
      <c r="E2235" s="2" t="s">
        <v>2517</v>
      </c>
      <c r="F2235" s="3">
        <v>23510</v>
      </c>
      <c r="G2235" s="3">
        <v>470</v>
      </c>
      <c r="H2235" s="3">
        <v>33</v>
      </c>
      <c r="I2235" s="4">
        <v>839.59</v>
      </c>
      <c r="J2235" s="4">
        <v>6278.69</v>
      </c>
      <c r="K2235" s="3">
        <v>22</v>
      </c>
      <c r="L2235" s="2" t="s">
        <v>2523</v>
      </c>
      <c r="M2235" s="2" t="s">
        <v>2526</v>
      </c>
      <c r="N2235" s="6">
        <f t="shared" si="136"/>
        <v>1</v>
      </c>
      <c r="O2235" t="str">
        <f>IF(Tabla_control[[#This Row],[Control_duplicados]]&gt;1,"Duplicado","Unico")</f>
        <v>Unico</v>
      </c>
      <c r="P2235" t="str">
        <f t="shared" si="137"/>
        <v>OK</v>
      </c>
      <c r="Q2235" t="str">
        <f t="shared" si="138"/>
        <v>OK</v>
      </c>
      <c r="R2235" t="str">
        <f t="shared" si="139"/>
        <v>OK</v>
      </c>
    </row>
    <row r="2236" spans="1:18" x14ac:dyDescent="0.3">
      <c r="A2236" s="1">
        <v>45936</v>
      </c>
      <c r="B2236" s="2" t="s">
        <v>2615</v>
      </c>
      <c r="C2236" s="2" t="s">
        <v>2521</v>
      </c>
      <c r="D2236" s="2" t="s">
        <v>2525</v>
      </c>
      <c r="E2236" s="2" t="s">
        <v>2517</v>
      </c>
      <c r="F2236" s="3">
        <v>158769</v>
      </c>
      <c r="G2236" s="3">
        <v>8117</v>
      </c>
      <c r="H2236" s="3">
        <v>365</v>
      </c>
      <c r="I2236" s="4">
        <v>13976.51</v>
      </c>
      <c r="J2236" s="4">
        <v>27294.44</v>
      </c>
      <c r="K2236" s="3">
        <v>257</v>
      </c>
      <c r="L2236" s="2" t="s">
        <v>2523</v>
      </c>
      <c r="M2236" s="2" t="s">
        <v>2526</v>
      </c>
      <c r="N2236" s="6">
        <f t="shared" si="136"/>
        <v>1</v>
      </c>
      <c r="O2236" t="str">
        <f>IF(Tabla_control[[#This Row],[Control_duplicados]]&gt;1,"Duplicado","Unico")</f>
        <v>Unico</v>
      </c>
      <c r="P2236" t="str">
        <f t="shared" si="137"/>
        <v>OK</v>
      </c>
      <c r="Q2236" t="str">
        <f t="shared" si="138"/>
        <v>OK</v>
      </c>
      <c r="R2236" t="str">
        <f t="shared" si="139"/>
        <v>OK</v>
      </c>
    </row>
    <row r="2237" spans="1:18" x14ac:dyDescent="0.3">
      <c r="A2237" s="1">
        <v>46013</v>
      </c>
      <c r="B2237" s="2" t="s">
        <v>2627</v>
      </c>
      <c r="C2237" s="2" t="s">
        <v>2543</v>
      </c>
      <c r="D2237" s="2" t="s">
        <v>2528</v>
      </c>
      <c r="E2237" s="2" t="s">
        <v>2517</v>
      </c>
      <c r="F2237" s="3">
        <v>80262</v>
      </c>
      <c r="G2237" s="3">
        <v>4565</v>
      </c>
      <c r="H2237" s="3">
        <v>272</v>
      </c>
      <c r="I2237" s="4">
        <v>2446.7600000000002</v>
      </c>
      <c r="J2237" s="4">
        <v>43241.66</v>
      </c>
      <c r="K2237" s="3">
        <v>185</v>
      </c>
      <c r="L2237" s="2" t="s">
        <v>2536</v>
      </c>
      <c r="M2237" s="2" t="s">
        <v>2524</v>
      </c>
      <c r="N2237" s="6">
        <f t="shared" si="136"/>
        <v>1</v>
      </c>
      <c r="O2237" t="str">
        <f>IF(Tabla_control[[#This Row],[Control_duplicados]]&gt;1,"Duplicado","Unico")</f>
        <v>Unico</v>
      </c>
      <c r="P2237" t="str">
        <f t="shared" si="137"/>
        <v>OK</v>
      </c>
      <c r="Q2237" t="str">
        <f t="shared" si="138"/>
        <v>OK</v>
      </c>
      <c r="R2237" t="str">
        <f t="shared" si="139"/>
        <v>OK</v>
      </c>
    </row>
    <row r="2238" spans="1:18" x14ac:dyDescent="0.3">
      <c r="A2238" s="1">
        <v>45926</v>
      </c>
      <c r="B2238" s="2" t="s">
        <v>2626</v>
      </c>
      <c r="C2238" s="2" t="s">
        <v>2521</v>
      </c>
      <c r="D2238" s="2" t="s">
        <v>2516</v>
      </c>
      <c r="E2238" s="2" t="s">
        <v>2517</v>
      </c>
      <c r="F2238" s="3">
        <v>118229</v>
      </c>
      <c r="G2238" s="3">
        <v>10169</v>
      </c>
      <c r="H2238" s="3">
        <v>214</v>
      </c>
      <c r="I2238" s="4">
        <v>8244.91</v>
      </c>
      <c r="J2238" s="4">
        <v>19736.330000000002</v>
      </c>
      <c r="K2238" s="3">
        <v>175</v>
      </c>
      <c r="L2238" s="2" t="s">
        <v>2539</v>
      </c>
      <c r="M2238" s="2" t="s">
        <v>2526</v>
      </c>
      <c r="N2238" s="6">
        <f t="shared" si="136"/>
        <v>1</v>
      </c>
      <c r="O2238" t="str">
        <f>IF(Tabla_control[[#This Row],[Control_duplicados]]&gt;1,"Duplicado","Unico")</f>
        <v>Unico</v>
      </c>
      <c r="P2238" t="str">
        <f t="shared" si="137"/>
        <v>OK</v>
      </c>
      <c r="Q2238" t="str">
        <f t="shared" si="138"/>
        <v>OK</v>
      </c>
      <c r="R2238" t="str">
        <f t="shared" si="139"/>
        <v>OK</v>
      </c>
    </row>
    <row r="2239" spans="1:18" x14ac:dyDescent="0.3">
      <c r="A2239" s="1">
        <v>45940</v>
      </c>
      <c r="B2239" s="2" t="s">
        <v>2626</v>
      </c>
      <c r="C2239" s="2" t="s">
        <v>2521</v>
      </c>
      <c r="D2239" s="2" t="s">
        <v>2516</v>
      </c>
      <c r="E2239" s="2" t="s">
        <v>2517</v>
      </c>
      <c r="F2239" s="3">
        <v>148462</v>
      </c>
      <c r="G2239" s="3">
        <v>8117</v>
      </c>
      <c r="H2239" s="3">
        <v>784</v>
      </c>
      <c r="I2239" s="4">
        <v>3246.35</v>
      </c>
      <c r="J2239" s="4">
        <v>111959.65</v>
      </c>
      <c r="K2239" s="3">
        <v>408</v>
      </c>
      <c r="L2239" s="2" t="s">
        <v>2539</v>
      </c>
      <c r="M2239" s="2" t="s">
        <v>2524</v>
      </c>
      <c r="N2239" s="6">
        <f t="shared" si="136"/>
        <v>1</v>
      </c>
      <c r="O2239" t="str">
        <f>IF(Tabla_control[[#This Row],[Control_duplicados]]&gt;1,"Duplicado","Unico")</f>
        <v>Unico</v>
      </c>
      <c r="P2239" t="str">
        <f t="shared" si="137"/>
        <v>OK</v>
      </c>
      <c r="Q2239" t="str">
        <f t="shared" si="138"/>
        <v>OK</v>
      </c>
      <c r="R2239" t="str">
        <f t="shared" si="139"/>
        <v>OK</v>
      </c>
    </row>
    <row r="2240" spans="1:18" x14ac:dyDescent="0.3">
      <c r="A2240" s="1">
        <v>45837</v>
      </c>
      <c r="B2240" s="2" t="s">
        <v>2627</v>
      </c>
      <c r="C2240" s="2" t="s">
        <v>2521</v>
      </c>
      <c r="D2240" s="2" t="s">
        <v>2516</v>
      </c>
      <c r="E2240" s="2" t="s">
        <v>2529</v>
      </c>
      <c r="F2240" s="3">
        <v>123827</v>
      </c>
      <c r="G2240" s="3">
        <v>1661</v>
      </c>
      <c r="H2240" s="3">
        <v>89</v>
      </c>
      <c r="I2240" s="4">
        <v>3477.56</v>
      </c>
      <c r="J2240" s="4">
        <v>2944.48</v>
      </c>
      <c r="K2240" s="3">
        <v>66</v>
      </c>
      <c r="L2240" s="2" t="s">
        <v>2536</v>
      </c>
      <c r="M2240" s="2" t="s">
        <v>2537</v>
      </c>
      <c r="N2240" s="6">
        <f t="shared" si="136"/>
        <v>1</v>
      </c>
      <c r="O2240" t="str">
        <f>IF(Tabla_control[[#This Row],[Control_duplicados]]&gt;1,"Duplicado","Unico")</f>
        <v>Unico</v>
      </c>
      <c r="P2240" t="str">
        <f t="shared" si="137"/>
        <v>OK</v>
      </c>
      <c r="Q2240" t="str">
        <f t="shared" si="138"/>
        <v>OK</v>
      </c>
      <c r="R2240" t="str">
        <f t="shared" si="139"/>
        <v>OK</v>
      </c>
    </row>
    <row r="2241" spans="1:18" x14ac:dyDescent="0.3">
      <c r="A2241" s="1">
        <v>45749</v>
      </c>
      <c r="B2241" s="2" t="s">
        <v>2642</v>
      </c>
      <c r="C2241" s="2" t="s">
        <v>2515</v>
      </c>
      <c r="D2241" s="2" t="s">
        <v>2525</v>
      </c>
      <c r="E2241" s="2" t="s">
        <v>2517</v>
      </c>
      <c r="F2241" s="3">
        <v>49315</v>
      </c>
      <c r="G2241" s="3">
        <v>1724</v>
      </c>
      <c r="H2241" s="3">
        <v>9</v>
      </c>
      <c r="I2241" s="4">
        <v>374.6</v>
      </c>
      <c r="J2241" s="4">
        <v>1972.92</v>
      </c>
      <c r="K2241" s="3">
        <v>4</v>
      </c>
      <c r="L2241" s="2" t="s">
        <v>2518</v>
      </c>
      <c r="M2241" s="2" t="s">
        <v>2526</v>
      </c>
      <c r="N2241" s="6">
        <f t="shared" si="136"/>
        <v>1</v>
      </c>
      <c r="O2241" t="str">
        <f>IF(Tabla_control[[#This Row],[Control_duplicados]]&gt;1,"Duplicado","Unico")</f>
        <v>Unico</v>
      </c>
      <c r="P2241" t="str">
        <f t="shared" si="137"/>
        <v>OK</v>
      </c>
      <c r="Q2241" t="str">
        <f t="shared" si="138"/>
        <v>OK</v>
      </c>
      <c r="R2241" t="str">
        <f t="shared" si="139"/>
        <v>OK</v>
      </c>
    </row>
    <row r="2242" spans="1:18" x14ac:dyDescent="0.3">
      <c r="A2242" s="1">
        <v>45821</v>
      </c>
      <c r="B2242" s="2" t="s">
        <v>2636</v>
      </c>
      <c r="C2242" s="2" t="s">
        <v>2521</v>
      </c>
      <c r="D2242" s="2" t="s">
        <v>2531</v>
      </c>
      <c r="E2242" s="2" t="s">
        <v>2529</v>
      </c>
      <c r="F2242" s="3">
        <v>46109</v>
      </c>
      <c r="G2242" s="3">
        <v>3417</v>
      </c>
      <c r="H2242" s="3">
        <v>321</v>
      </c>
      <c r="I2242" s="4">
        <v>3192.09</v>
      </c>
      <c r="J2242" s="4">
        <v>26471.119999999999</v>
      </c>
      <c r="K2242" s="3">
        <v>223</v>
      </c>
      <c r="L2242" s="2" t="s">
        <v>2539</v>
      </c>
      <c r="M2242" s="2" t="s">
        <v>2546</v>
      </c>
      <c r="N2242" s="6">
        <f t="shared" ref="N2242:N2305" si="140">COUNTIFS($A$2:$A$2536,A2242,$B$2:$B$2536,B2242,$C$2:$C$2536,C2242,$D$2:$D$2536,D2242,$E$2:$E$2536,E2242,$F$2:$F$2536,F2242,$G$2:$G$2536,G2242,$H$2:$H$2536,H2242,$I$2:$I$2536,I2242,$J$2:$J$2536,J2242,$K$2:$K$2536,K2242,$L$2:$L$2536,L2242,$M$2:$M$2536,M2242)</f>
        <v>1</v>
      </c>
      <c r="O2242" t="str">
        <f>IF(Tabla_control[[#This Row],[Control_duplicados]]&gt;1,"Duplicado","Unico")</f>
        <v>Unico</v>
      </c>
      <c r="P2242" t="str">
        <f t="shared" ref="P2242:P2305" si="141">IF(OR(I2242="",I2242&lt;0),"ERROR","OK")</f>
        <v>OK</v>
      </c>
      <c r="Q2242" t="str">
        <f t="shared" ref="Q2242:Q2305" si="142">IF(H2242&gt;F2242,"ERROR","OK")</f>
        <v>OK</v>
      </c>
      <c r="R2242" t="str">
        <f t="shared" ref="R2242:R2305" si="143">IF(K2242&gt;H2242,"ERROR","OK")</f>
        <v>OK</v>
      </c>
    </row>
    <row r="2243" spans="1:18" x14ac:dyDescent="0.3">
      <c r="A2243" s="1">
        <v>45854</v>
      </c>
      <c r="B2243" s="2" t="s">
        <v>2631</v>
      </c>
      <c r="C2243" s="2" t="s">
        <v>2521</v>
      </c>
      <c r="D2243" s="2" t="s">
        <v>2528</v>
      </c>
      <c r="E2243" s="2" t="s">
        <v>2529</v>
      </c>
      <c r="F2243" s="3">
        <v>23638</v>
      </c>
      <c r="G2243" s="3">
        <v>128</v>
      </c>
      <c r="H2243" s="3">
        <v>1</v>
      </c>
      <c r="I2243" s="4">
        <v>13.76</v>
      </c>
      <c r="J2243" s="4">
        <v>66.05</v>
      </c>
      <c r="K2243" s="3">
        <v>0</v>
      </c>
      <c r="L2243" s="2" t="s">
        <v>2518</v>
      </c>
      <c r="M2243" s="2" t="s">
        <v>2524</v>
      </c>
      <c r="N2243" s="6">
        <f t="shared" si="140"/>
        <v>1</v>
      </c>
      <c r="O2243" t="str">
        <f>IF(Tabla_control[[#This Row],[Control_duplicados]]&gt;1,"Duplicado","Unico")</f>
        <v>Unico</v>
      </c>
      <c r="P2243" t="str">
        <f t="shared" si="141"/>
        <v>OK</v>
      </c>
      <c r="Q2243" t="str">
        <f t="shared" si="142"/>
        <v>OK</v>
      </c>
      <c r="R2243" t="str">
        <f t="shared" si="143"/>
        <v>OK</v>
      </c>
    </row>
    <row r="2244" spans="1:18" x14ac:dyDescent="0.3">
      <c r="A2244" s="1">
        <v>45982</v>
      </c>
      <c r="B2244" s="2" t="s">
        <v>2633</v>
      </c>
      <c r="C2244" s="2" t="s">
        <v>2521</v>
      </c>
      <c r="D2244" s="2" t="s">
        <v>2531</v>
      </c>
      <c r="E2244" s="2" t="s">
        <v>2517</v>
      </c>
      <c r="F2244" s="3">
        <v>150337</v>
      </c>
      <c r="G2244" s="3">
        <v>4507</v>
      </c>
      <c r="H2244" s="3">
        <v>330</v>
      </c>
      <c r="I2244" s="4">
        <v>8435.9500000000007</v>
      </c>
      <c r="J2244" s="4">
        <v>19284.84</v>
      </c>
      <c r="K2244" s="3">
        <v>199</v>
      </c>
      <c r="L2244" s="2" t="s">
        <v>2518</v>
      </c>
      <c r="M2244" s="2" t="s">
        <v>2524</v>
      </c>
      <c r="N2244" s="6">
        <f t="shared" si="140"/>
        <v>1</v>
      </c>
      <c r="O2244" t="str">
        <f>IF(Tabla_control[[#This Row],[Control_duplicados]]&gt;1,"Duplicado","Unico")</f>
        <v>Unico</v>
      </c>
      <c r="P2244" t="str">
        <f t="shared" si="141"/>
        <v>OK</v>
      </c>
      <c r="Q2244" t="str">
        <f t="shared" si="142"/>
        <v>OK</v>
      </c>
      <c r="R2244" t="str">
        <f t="shared" si="143"/>
        <v>OK</v>
      </c>
    </row>
    <row r="2245" spans="1:18" x14ac:dyDescent="0.3">
      <c r="A2245" s="1">
        <v>45985</v>
      </c>
      <c r="B2245" s="2" t="s">
        <v>2619</v>
      </c>
      <c r="C2245" s="2" t="s">
        <v>2521</v>
      </c>
      <c r="D2245" s="2" t="s">
        <v>2525</v>
      </c>
      <c r="E2245" s="2" t="s">
        <v>2529</v>
      </c>
      <c r="F2245" s="3">
        <v>24563</v>
      </c>
      <c r="G2245" s="3">
        <v>1730</v>
      </c>
      <c r="H2245" s="3">
        <v>225</v>
      </c>
      <c r="I2245" s="4">
        <v>1997.52</v>
      </c>
      <c r="J2245" s="4">
        <v>47315.39</v>
      </c>
      <c r="K2245" s="3">
        <v>161</v>
      </c>
      <c r="L2245" s="2" t="s">
        <v>2518</v>
      </c>
      <c r="M2245" s="2" t="s">
        <v>2537</v>
      </c>
      <c r="N2245" s="6">
        <f t="shared" si="140"/>
        <v>1</v>
      </c>
      <c r="O2245" t="str">
        <f>IF(Tabla_control[[#This Row],[Control_duplicados]]&gt;1,"Duplicado","Unico")</f>
        <v>Unico</v>
      </c>
      <c r="P2245" t="str">
        <f t="shared" si="141"/>
        <v>OK</v>
      </c>
      <c r="Q2245" t="str">
        <f t="shared" si="142"/>
        <v>OK</v>
      </c>
      <c r="R2245" t="str">
        <f t="shared" si="143"/>
        <v>OK</v>
      </c>
    </row>
    <row r="2246" spans="1:18" x14ac:dyDescent="0.3">
      <c r="A2246" s="1">
        <v>45889</v>
      </c>
      <c r="B2246" s="2" t="s">
        <v>2643</v>
      </c>
      <c r="C2246" s="2" t="s">
        <v>2515</v>
      </c>
      <c r="D2246" s="2" t="s">
        <v>2528</v>
      </c>
      <c r="E2246" s="2" t="s">
        <v>2517</v>
      </c>
      <c r="F2246" s="3">
        <v>62233</v>
      </c>
      <c r="G2246" s="3">
        <v>3567</v>
      </c>
      <c r="H2246" s="3">
        <v>218</v>
      </c>
      <c r="I2246" s="4">
        <v>6164.11</v>
      </c>
      <c r="J2246" s="4">
        <v>19257.61</v>
      </c>
      <c r="K2246" s="3">
        <v>179</v>
      </c>
      <c r="L2246" s="2" t="s">
        <v>2536</v>
      </c>
      <c r="M2246" s="2" t="s">
        <v>2524</v>
      </c>
      <c r="N2246" s="6">
        <f t="shared" si="140"/>
        <v>1</v>
      </c>
      <c r="O2246" t="str">
        <f>IF(Tabla_control[[#This Row],[Control_duplicados]]&gt;1,"Duplicado","Unico")</f>
        <v>Unico</v>
      </c>
      <c r="P2246" t="str">
        <f t="shared" si="141"/>
        <v>OK</v>
      </c>
      <c r="Q2246" t="str">
        <f t="shared" si="142"/>
        <v>OK</v>
      </c>
      <c r="R2246" t="str">
        <f t="shared" si="143"/>
        <v>OK</v>
      </c>
    </row>
    <row r="2247" spans="1:18" x14ac:dyDescent="0.3">
      <c r="A2247" s="1">
        <v>45904</v>
      </c>
      <c r="B2247" s="2" t="s">
        <v>2622</v>
      </c>
      <c r="C2247" s="2" t="s">
        <v>2541</v>
      </c>
      <c r="D2247" s="2" t="s">
        <v>2525</v>
      </c>
      <c r="E2247" s="2" t="s">
        <v>2517</v>
      </c>
      <c r="F2247" s="3">
        <v>16619</v>
      </c>
      <c r="G2247" s="3">
        <v>508</v>
      </c>
      <c r="H2247" s="3">
        <v>16</v>
      </c>
      <c r="I2247" s="4">
        <v>114.47</v>
      </c>
      <c r="J2247" s="4">
        <v>2210.91</v>
      </c>
      <c r="K2247" s="3">
        <v>10</v>
      </c>
      <c r="L2247" s="2" t="s">
        <v>2536</v>
      </c>
      <c r="M2247" s="2" t="s">
        <v>2524</v>
      </c>
      <c r="N2247" s="6">
        <f t="shared" si="140"/>
        <v>1</v>
      </c>
      <c r="O2247" t="str">
        <f>IF(Tabla_control[[#This Row],[Control_duplicados]]&gt;1,"Duplicado","Unico")</f>
        <v>Unico</v>
      </c>
      <c r="P2247" t="str">
        <f t="shared" si="141"/>
        <v>OK</v>
      </c>
      <c r="Q2247" t="str">
        <f t="shared" si="142"/>
        <v>OK</v>
      </c>
      <c r="R2247" t="str">
        <f t="shared" si="143"/>
        <v>OK</v>
      </c>
    </row>
    <row r="2248" spans="1:18" x14ac:dyDescent="0.3">
      <c r="A2248" s="1">
        <v>45848</v>
      </c>
      <c r="B2248" s="2" t="s">
        <v>2631</v>
      </c>
      <c r="C2248" s="2" t="s">
        <v>2533</v>
      </c>
      <c r="D2248" s="2" t="s">
        <v>2528</v>
      </c>
      <c r="E2248" s="2" t="s">
        <v>2529</v>
      </c>
      <c r="F2248" s="3">
        <v>169528</v>
      </c>
      <c r="G2248" s="3">
        <v>7933</v>
      </c>
      <c r="H2248" s="3">
        <v>628</v>
      </c>
      <c r="I2248" s="4">
        <v>13027.5</v>
      </c>
      <c r="J2248" s="4">
        <v>100367.9</v>
      </c>
      <c r="K2248" s="3">
        <v>523</v>
      </c>
      <c r="L2248" s="2" t="s">
        <v>2518</v>
      </c>
      <c r="M2248" s="2" t="s">
        <v>2546</v>
      </c>
      <c r="N2248" s="6">
        <f t="shared" si="140"/>
        <v>1</v>
      </c>
      <c r="O2248" t="str">
        <f>IF(Tabla_control[[#This Row],[Control_duplicados]]&gt;1,"Duplicado","Unico")</f>
        <v>Unico</v>
      </c>
      <c r="P2248" t="str">
        <f t="shared" si="141"/>
        <v>OK</v>
      </c>
      <c r="Q2248" t="str">
        <f t="shared" si="142"/>
        <v>OK</v>
      </c>
      <c r="R2248" t="str">
        <f t="shared" si="143"/>
        <v>OK</v>
      </c>
    </row>
    <row r="2249" spans="1:18" x14ac:dyDescent="0.3">
      <c r="A2249" s="1">
        <v>45794</v>
      </c>
      <c r="B2249" s="2" t="s">
        <v>2618</v>
      </c>
      <c r="C2249" s="2" t="s">
        <v>2543</v>
      </c>
      <c r="D2249" s="2" t="s">
        <v>2528</v>
      </c>
      <c r="E2249" s="2" t="s">
        <v>2517</v>
      </c>
      <c r="F2249" s="3">
        <v>140744</v>
      </c>
      <c r="G2249" s="3">
        <v>6832</v>
      </c>
      <c r="H2249" s="3">
        <v>160</v>
      </c>
      <c r="I2249" s="4">
        <v>2048.9</v>
      </c>
      <c r="J2249" s="4">
        <v>29697.01</v>
      </c>
      <c r="K2249" s="3">
        <v>83</v>
      </c>
      <c r="L2249" s="2" t="s">
        <v>2536</v>
      </c>
      <c r="M2249" s="2" t="s">
        <v>2537</v>
      </c>
      <c r="N2249" s="6">
        <f t="shared" si="140"/>
        <v>1</v>
      </c>
      <c r="O2249" t="str">
        <f>IF(Tabla_control[[#This Row],[Control_duplicados]]&gt;1,"Duplicado","Unico")</f>
        <v>Unico</v>
      </c>
      <c r="P2249" t="str">
        <f t="shared" si="141"/>
        <v>OK</v>
      </c>
      <c r="Q2249" t="str">
        <f t="shared" si="142"/>
        <v>OK</v>
      </c>
      <c r="R2249" t="str">
        <f t="shared" si="143"/>
        <v>OK</v>
      </c>
    </row>
    <row r="2250" spans="1:18" x14ac:dyDescent="0.3">
      <c r="A2250" s="1">
        <v>45789</v>
      </c>
      <c r="B2250" s="2" t="s">
        <v>2618</v>
      </c>
      <c r="C2250" s="2" t="s">
        <v>2543</v>
      </c>
      <c r="D2250" s="2" t="s">
        <v>2522</v>
      </c>
      <c r="E2250" s="2" t="s">
        <v>2529</v>
      </c>
      <c r="F2250" s="3">
        <v>91058</v>
      </c>
      <c r="G2250" s="3">
        <v>4463</v>
      </c>
      <c r="H2250" s="3">
        <v>325</v>
      </c>
      <c r="I2250" s="4">
        <v>953.8</v>
      </c>
      <c r="J2250" s="4">
        <v>7459.12</v>
      </c>
      <c r="K2250" s="3">
        <v>272</v>
      </c>
      <c r="L2250" s="2" t="s">
        <v>2523</v>
      </c>
      <c r="M2250" s="2" t="s">
        <v>2537</v>
      </c>
      <c r="N2250" s="6">
        <f t="shared" si="140"/>
        <v>1</v>
      </c>
      <c r="O2250" t="str">
        <f>IF(Tabla_control[[#This Row],[Control_duplicados]]&gt;1,"Duplicado","Unico")</f>
        <v>Unico</v>
      </c>
      <c r="P2250" t="str">
        <f t="shared" si="141"/>
        <v>OK</v>
      </c>
      <c r="Q2250" t="str">
        <f t="shared" si="142"/>
        <v>OK</v>
      </c>
      <c r="R2250" t="str">
        <f t="shared" si="143"/>
        <v>OK</v>
      </c>
    </row>
    <row r="2251" spans="1:18" x14ac:dyDescent="0.3">
      <c r="A2251" s="1">
        <v>45755</v>
      </c>
      <c r="B2251" s="2" t="s">
        <v>2633</v>
      </c>
      <c r="C2251" s="2" t="s">
        <v>2515</v>
      </c>
      <c r="D2251" s="2" t="s">
        <v>2528</v>
      </c>
      <c r="E2251" s="2" t="s">
        <v>2517</v>
      </c>
      <c r="F2251" s="3">
        <v>52778</v>
      </c>
      <c r="G2251" s="3">
        <v>1859</v>
      </c>
      <c r="H2251" s="3">
        <v>88</v>
      </c>
      <c r="I2251" s="4">
        <v>3484.66</v>
      </c>
      <c r="J2251" s="4">
        <v>14022.66</v>
      </c>
      <c r="K2251" s="3">
        <v>44</v>
      </c>
      <c r="L2251" s="2" t="s">
        <v>2536</v>
      </c>
      <c r="M2251" s="2" t="s">
        <v>2537</v>
      </c>
      <c r="N2251" s="6">
        <f t="shared" si="140"/>
        <v>1</v>
      </c>
      <c r="O2251" t="str">
        <f>IF(Tabla_control[[#This Row],[Control_duplicados]]&gt;1,"Duplicado","Unico")</f>
        <v>Unico</v>
      </c>
      <c r="P2251" t="str">
        <f t="shared" si="141"/>
        <v>OK</v>
      </c>
      <c r="Q2251" t="str">
        <f t="shared" si="142"/>
        <v>OK</v>
      </c>
      <c r="R2251" t="str">
        <f t="shared" si="143"/>
        <v>OK</v>
      </c>
    </row>
    <row r="2252" spans="1:18" x14ac:dyDescent="0.3">
      <c r="A2252" s="1">
        <v>45663</v>
      </c>
      <c r="B2252" s="2" t="s">
        <v>2629</v>
      </c>
      <c r="C2252" s="2" t="s">
        <v>2521</v>
      </c>
      <c r="D2252" s="2" t="s">
        <v>2531</v>
      </c>
      <c r="E2252" s="2" t="s">
        <v>2529</v>
      </c>
      <c r="F2252" s="3">
        <v>88726</v>
      </c>
      <c r="G2252" s="3">
        <v>1710</v>
      </c>
      <c r="H2252" s="3">
        <v>75</v>
      </c>
      <c r="I2252" s="4">
        <v>1350.76</v>
      </c>
      <c r="J2252" s="4">
        <v>12830.36</v>
      </c>
      <c r="K2252" s="3">
        <v>59</v>
      </c>
      <c r="L2252" s="2" t="s">
        <v>2518</v>
      </c>
      <c r="M2252" s="2" t="s">
        <v>2524</v>
      </c>
      <c r="N2252" s="6">
        <f t="shared" si="140"/>
        <v>1</v>
      </c>
      <c r="O2252" t="str">
        <f>IF(Tabla_control[[#This Row],[Control_duplicados]]&gt;1,"Duplicado","Unico")</f>
        <v>Unico</v>
      </c>
      <c r="P2252" t="str">
        <f t="shared" si="141"/>
        <v>OK</v>
      </c>
      <c r="Q2252" t="str">
        <f t="shared" si="142"/>
        <v>OK</v>
      </c>
      <c r="R2252" t="str">
        <f t="shared" si="143"/>
        <v>OK</v>
      </c>
    </row>
    <row r="2253" spans="1:18" x14ac:dyDescent="0.3">
      <c r="A2253" s="1">
        <v>45952</v>
      </c>
      <c r="B2253" s="2" t="s">
        <v>2643</v>
      </c>
      <c r="C2253" s="2" t="s">
        <v>2533</v>
      </c>
      <c r="D2253" s="2" t="s">
        <v>2522</v>
      </c>
      <c r="E2253" s="2" t="s">
        <v>2529</v>
      </c>
      <c r="F2253" s="3">
        <v>151314</v>
      </c>
      <c r="G2253" s="3">
        <v>9761</v>
      </c>
      <c r="H2253" s="3">
        <v>9790</v>
      </c>
      <c r="I2253" s="4">
        <v>11377.62</v>
      </c>
      <c r="J2253" s="4">
        <v>61417.41</v>
      </c>
      <c r="K2253" s="3">
        <v>834</v>
      </c>
      <c r="L2253" s="2" t="s">
        <v>2518</v>
      </c>
      <c r="M2253" s="2" t="s">
        <v>2519</v>
      </c>
      <c r="N2253" s="6">
        <f t="shared" si="140"/>
        <v>1</v>
      </c>
      <c r="O2253" t="str">
        <f>IF(Tabla_control[[#This Row],[Control_duplicados]]&gt;1,"Duplicado","Unico")</f>
        <v>Unico</v>
      </c>
      <c r="P2253" t="str">
        <f t="shared" si="141"/>
        <v>OK</v>
      </c>
      <c r="Q2253" t="str">
        <f t="shared" si="142"/>
        <v>OK</v>
      </c>
      <c r="R2253" t="str">
        <f t="shared" si="143"/>
        <v>OK</v>
      </c>
    </row>
    <row r="2254" spans="1:18" x14ac:dyDescent="0.3">
      <c r="A2254" s="1">
        <v>45991</v>
      </c>
      <c r="B2254" s="2" t="s">
        <v>2626</v>
      </c>
      <c r="C2254" s="2" t="s">
        <v>2521</v>
      </c>
      <c r="D2254" s="2" t="s">
        <v>2516</v>
      </c>
      <c r="E2254" s="2" t="s">
        <v>2517</v>
      </c>
      <c r="F2254" s="3">
        <v>96731</v>
      </c>
      <c r="G2254" s="3">
        <v>7280</v>
      </c>
      <c r="H2254" s="3">
        <v>261</v>
      </c>
      <c r="I2254" s="4">
        <v>2957.33</v>
      </c>
      <c r="J2254" s="4">
        <v>6192.78</v>
      </c>
      <c r="K2254" s="3">
        <v>211</v>
      </c>
      <c r="L2254" s="2" t="s">
        <v>2523</v>
      </c>
      <c r="M2254" s="2" t="s">
        <v>2537</v>
      </c>
      <c r="N2254" s="6">
        <f t="shared" si="140"/>
        <v>2</v>
      </c>
      <c r="O2254" t="str">
        <f>IF(Tabla_control[[#This Row],[Control_duplicados]]&gt;1,"Duplicado","Unico")</f>
        <v>Duplicado</v>
      </c>
      <c r="P2254" t="str">
        <f t="shared" si="141"/>
        <v>OK</v>
      </c>
      <c r="Q2254" t="str">
        <f t="shared" si="142"/>
        <v>OK</v>
      </c>
      <c r="R2254" t="str">
        <f t="shared" si="143"/>
        <v>OK</v>
      </c>
    </row>
    <row r="2255" spans="1:18" x14ac:dyDescent="0.3">
      <c r="A2255" s="1">
        <v>45827</v>
      </c>
      <c r="B2255" s="2" t="s">
        <v>2642</v>
      </c>
      <c r="C2255" s="2" t="s">
        <v>2543</v>
      </c>
      <c r="D2255" s="2" t="s">
        <v>2525</v>
      </c>
      <c r="E2255" s="2" t="s">
        <v>2517</v>
      </c>
      <c r="F2255" s="3">
        <v>39027</v>
      </c>
      <c r="G2255" s="3">
        <v>2516</v>
      </c>
      <c r="H2255" s="3">
        <v>225</v>
      </c>
      <c r="I2255" s="4">
        <v>3206.42</v>
      </c>
      <c r="J2255" s="4">
        <v>30724.28</v>
      </c>
      <c r="K2255" s="3">
        <v>192</v>
      </c>
      <c r="L2255" s="2" t="s">
        <v>2523</v>
      </c>
      <c r="M2255" s="2" t="s">
        <v>2546</v>
      </c>
      <c r="N2255" s="6">
        <f t="shared" si="140"/>
        <v>1</v>
      </c>
      <c r="O2255" t="str">
        <f>IF(Tabla_control[[#This Row],[Control_duplicados]]&gt;1,"Duplicado","Unico")</f>
        <v>Unico</v>
      </c>
      <c r="P2255" t="str">
        <f t="shared" si="141"/>
        <v>OK</v>
      </c>
      <c r="Q2255" t="str">
        <f t="shared" si="142"/>
        <v>OK</v>
      </c>
      <c r="R2255" t="str">
        <f t="shared" si="143"/>
        <v>OK</v>
      </c>
    </row>
    <row r="2256" spans="1:18" x14ac:dyDescent="0.3">
      <c r="A2256" s="1">
        <v>45745</v>
      </c>
      <c r="B2256" s="2" t="s">
        <v>2626</v>
      </c>
      <c r="C2256" s="2" t="s">
        <v>2527</v>
      </c>
      <c r="D2256" s="2" t="s">
        <v>2528</v>
      </c>
      <c r="E2256" s="2" t="s">
        <v>2534</v>
      </c>
      <c r="F2256" s="3">
        <v>169346</v>
      </c>
      <c r="G2256" s="3">
        <v>9690</v>
      </c>
      <c r="H2256" s="3">
        <v>944</v>
      </c>
      <c r="I2256" s="4">
        <v>4182.46</v>
      </c>
      <c r="J2256" s="4">
        <v>151059.42000000001</v>
      </c>
      <c r="K2256" s="3">
        <v>699</v>
      </c>
      <c r="L2256" s="2" t="s">
        <v>2536</v>
      </c>
      <c r="M2256" s="2" t="s">
        <v>2524</v>
      </c>
      <c r="N2256" s="6">
        <f t="shared" si="140"/>
        <v>1</v>
      </c>
      <c r="O2256" t="str">
        <f>IF(Tabla_control[[#This Row],[Control_duplicados]]&gt;1,"Duplicado","Unico")</f>
        <v>Unico</v>
      </c>
      <c r="P2256" t="str">
        <f t="shared" si="141"/>
        <v>OK</v>
      </c>
      <c r="Q2256" t="str">
        <f t="shared" si="142"/>
        <v>OK</v>
      </c>
      <c r="R2256" t="str">
        <f t="shared" si="143"/>
        <v>OK</v>
      </c>
    </row>
    <row r="2257" spans="1:18" x14ac:dyDescent="0.3">
      <c r="A2257" s="1">
        <v>45826</v>
      </c>
      <c r="B2257" s="2" t="s">
        <v>2619</v>
      </c>
      <c r="C2257" s="2" t="s">
        <v>2527</v>
      </c>
      <c r="D2257" s="2" t="s">
        <v>2528</v>
      </c>
      <c r="E2257" s="2" t="s">
        <v>2517</v>
      </c>
      <c r="F2257" s="3">
        <v>178812</v>
      </c>
      <c r="G2257" s="3">
        <v>1519</v>
      </c>
      <c r="H2257" s="3">
        <v>56</v>
      </c>
      <c r="I2257" s="4">
        <v>2311.06</v>
      </c>
      <c r="J2257" s="4">
        <v>4607.66</v>
      </c>
      <c r="K2257" s="3">
        <v>42</v>
      </c>
      <c r="L2257" s="2" t="s">
        <v>2518</v>
      </c>
      <c r="M2257" s="2" t="s">
        <v>2526</v>
      </c>
      <c r="N2257" s="6">
        <f t="shared" si="140"/>
        <v>1</v>
      </c>
      <c r="O2257" t="str">
        <f>IF(Tabla_control[[#This Row],[Control_duplicados]]&gt;1,"Duplicado","Unico")</f>
        <v>Unico</v>
      </c>
      <c r="P2257" t="str">
        <f t="shared" si="141"/>
        <v>OK</v>
      </c>
      <c r="Q2257" t="str">
        <f t="shared" si="142"/>
        <v>OK</v>
      </c>
      <c r="R2257" t="str">
        <f t="shared" si="143"/>
        <v>OK</v>
      </c>
    </row>
    <row r="2258" spans="1:18" x14ac:dyDescent="0.3">
      <c r="A2258" s="1">
        <v>45724</v>
      </c>
      <c r="B2258" s="2" t="s">
        <v>2637</v>
      </c>
      <c r="C2258" s="2" t="s">
        <v>2527</v>
      </c>
      <c r="D2258" s="2" t="s">
        <v>2516</v>
      </c>
      <c r="E2258" s="2" t="s">
        <v>2529</v>
      </c>
      <c r="F2258" s="3">
        <v>111279</v>
      </c>
      <c r="G2258" s="3">
        <v>7583</v>
      </c>
      <c r="H2258" s="3">
        <v>432</v>
      </c>
      <c r="I2258" s="4">
        <v>2838.59</v>
      </c>
      <c r="J2258" s="4">
        <v>55583.3</v>
      </c>
      <c r="K2258" s="3">
        <v>346</v>
      </c>
      <c r="L2258" s="2" t="s">
        <v>2539</v>
      </c>
      <c r="M2258" s="2" t="s">
        <v>2526</v>
      </c>
      <c r="N2258" s="6">
        <f t="shared" si="140"/>
        <v>1</v>
      </c>
      <c r="O2258" t="str">
        <f>IF(Tabla_control[[#This Row],[Control_duplicados]]&gt;1,"Duplicado","Unico")</f>
        <v>Unico</v>
      </c>
      <c r="P2258" t="str">
        <f t="shared" si="141"/>
        <v>OK</v>
      </c>
      <c r="Q2258" t="str">
        <f t="shared" si="142"/>
        <v>OK</v>
      </c>
      <c r="R2258" t="str">
        <f t="shared" si="143"/>
        <v>OK</v>
      </c>
    </row>
    <row r="2259" spans="1:18" x14ac:dyDescent="0.3">
      <c r="A2259" s="1">
        <v>46000</v>
      </c>
      <c r="B2259" s="2" t="s">
        <v>2637</v>
      </c>
      <c r="C2259" s="2" t="s">
        <v>2541</v>
      </c>
      <c r="D2259" s="2" t="s">
        <v>2525</v>
      </c>
      <c r="E2259" s="2" t="s">
        <v>2529</v>
      </c>
      <c r="F2259" s="3">
        <v>138731</v>
      </c>
      <c r="G2259" s="3">
        <v>11011</v>
      </c>
      <c r="H2259" s="3">
        <v>1069</v>
      </c>
      <c r="I2259" s="4">
        <v>3982.96</v>
      </c>
      <c r="J2259" s="4">
        <v>36314.43</v>
      </c>
      <c r="K2259" s="3">
        <v>534</v>
      </c>
      <c r="L2259" s="2" t="s">
        <v>2518</v>
      </c>
      <c r="M2259" s="2" t="s">
        <v>2519</v>
      </c>
      <c r="N2259" s="6">
        <f t="shared" si="140"/>
        <v>1</v>
      </c>
      <c r="O2259" t="str">
        <f>IF(Tabla_control[[#This Row],[Control_duplicados]]&gt;1,"Duplicado","Unico")</f>
        <v>Unico</v>
      </c>
      <c r="P2259" t="str">
        <f t="shared" si="141"/>
        <v>OK</v>
      </c>
      <c r="Q2259" t="str">
        <f t="shared" si="142"/>
        <v>OK</v>
      </c>
      <c r="R2259" t="str">
        <f t="shared" si="143"/>
        <v>OK</v>
      </c>
    </row>
    <row r="2260" spans="1:18" x14ac:dyDescent="0.3">
      <c r="A2260" s="1">
        <v>45917</v>
      </c>
      <c r="B2260" s="2" t="s">
        <v>2640</v>
      </c>
      <c r="C2260" s="2" t="s">
        <v>2521</v>
      </c>
      <c r="D2260" s="2" t="s">
        <v>2516</v>
      </c>
      <c r="E2260" s="2" t="s">
        <v>2529</v>
      </c>
      <c r="F2260" s="3">
        <v>13383</v>
      </c>
      <c r="G2260" s="3">
        <v>663</v>
      </c>
      <c r="H2260" s="3">
        <v>63</v>
      </c>
      <c r="I2260" s="4">
        <v>129.6</v>
      </c>
      <c r="J2260" s="4">
        <v>1082.6199999999999</v>
      </c>
      <c r="K2260" s="3">
        <v>36</v>
      </c>
      <c r="L2260" s="2" t="s">
        <v>2536</v>
      </c>
      <c r="M2260" s="2" t="s">
        <v>2519</v>
      </c>
      <c r="N2260" s="6">
        <f t="shared" si="140"/>
        <v>1</v>
      </c>
      <c r="O2260" t="str">
        <f>IF(Tabla_control[[#This Row],[Control_duplicados]]&gt;1,"Duplicado","Unico")</f>
        <v>Unico</v>
      </c>
      <c r="P2260" t="str">
        <f t="shared" si="141"/>
        <v>OK</v>
      </c>
      <c r="Q2260" t="str">
        <f t="shared" si="142"/>
        <v>OK</v>
      </c>
      <c r="R2260" t="str">
        <f t="shared" si="143"/>
        <v>OK</v>
      </c>
    </row>
    <row r="2261" spans="1:18" x14ac:dyDescent="0.3">
      <c r="A2261" s="1">
        <v>45815</v>
      </c>
      <c r="B2261" s="2" t="s">
        <v>2630</v>
      </c>
      <c r="C2261" s="2" t="s">
        <v>2543</v>
      </c>
      <c r="D2261" s="2" t="s">
        <v>2528</v>
      </c>
      <c r="E2261" s="2" t="s">
        <v>2529</v>
      </c>
      <c r="F2261" s="3">
        <v>54845</v>
      </c>
      <c r="G2261" s="3">
        <v>2453</v>
      </c>
      <c r="H2261" s="3">
        <v>25</v>
      </c>
      <c r="I2261" s="4">
        <v>4036.48</v>
      </c>
      <c r="J2261" s="4">
        <v>1395.53</v>
      </c>
      <c r="K2261" s="3">
        <v>15</v>
      </c>
      <c r="L2261" s="2" t="s">
        <v>2518</v>
      </c>
      <c r="M2261" s="2" t="s">
        <v>2526</v>
      </c>
      <c r="N2261" s="6">
        <f t="shared" si="140"/>
        <v>1</v>
      </c>
      <c r="O2261" t="str">
        <f>IF(Tabla_control[[#This Row],[Control_duplicados]]&gt;1,"Duplicado","Unico")</f>
        <v>Unico</v>
      </c>
      <c r="P2261" t="str">
        <f t="shared" si="141"/>
        <v>OK</v>
      </c>
      <c r="Q2261" t="str">
        <f t="shared" si="142"/>
        <v>OK</v>
      </c>
      <c r="R2261" t="str">
        <f t="shared" si="143"/>
        <v>OK</v>
      </c>
    </row>
    <row r="2262" spans="1:18" x14ac:dyDescent="0.3">
      <c r="A2262" s="1">
        <v>45791</v>
      </c>
      <c r="B2262" s="2" t="s">
        <v>2619</v>
      </c>
      <c r="C2262" s="2" t="s">
        <v>2543</v>
      </c>
      <c r="D2262" s="2" t="s">
        <v>2528</v>
      </c>
      <c r="E2262" s="2" t="s">
        <v>2517</v>
      </c>
      <c r="F2262" s="3">
        <v>111803</v>
      </c>
      <c r="G2262" s="3">
        <v>1084</v>
      </c>
      <c r="H2262" s="3">
        <v>135</v>
      </c>
      <c r="I2262" s="4">
        <v>1072.3900000000001</v>
      </c>
      <c r="J2262" s="4">
        <v>17073.8</v>
      </c>
      <c r="K2262" s="3">
        <v>120</v>
      </c>
      <c r="L2262" s="2" t="s">
        <v>2518</v>
      </c>
      <c r="M2262" s="2" t="s">
        <v>2524</v>
      </c>
      <c r="N2262" s="6">
        <f t="shared" si="140"/>
        <v>1</v>
      </c>
      <c r="O2262" t="str">
        <f>IF(Tabla_control[[#This Row],[Control_duplicados]]&gt;1,"Duplicado","Unico")</f>
        <v>Unico</v>
      </c>
      <c r="P2262" t="str">
        <f t="shared" si="141"/>
        <v>OK</v>
      </c>
      <c r="Q2262" t="str">
        <f t="shared" si="142"/>
        <v>OK</v>
      </c>
      <c r="R2262" t="str">
        <f t="shared" si="143"/>
        <v>OK</v>
      </c>
    </row>
    <row r="2263" spans="1:18" x14ac:dyDescent="0.3">
      <c r="A2263" s="1">
        <v>45753</v>
      </c>
      <c r="B2263" s="2" t="s">
        <v>2644</v>
      </c>
      <c r="C2263" s="2" t="s">
        <v>2533</v>
      </c>
      <c r="D2263" s="2" t="s">
        <v>2528</v>
      </c>
      <c r="E2263" s="2" t="s">
        <v>2517</v>
      </c>
      <c r="F2263" s="3">
        <v>110939</v>
      </c>
      <c r="G2263" s="3">
        <v>4039</v>
      </c>
      <c r="H2263" s="3">
        <v>117</v>
      </c>
      <c r="I2263" s="4">
        <v>6618.77</v>
      </c>
      <c r="J2263" s="4">
        <v>20530.71</v>
      </c>
      <c r="K2263" s="3">
        <v>98</v>
      </c>
      <c r="L2263" s="2" t="s">
        <v>2523</v>
      </c>
      <c r="M2263" s="2" t="s">
        <v>2526</v>
      </c>
      <c r="N2263" s="6">
        <f t="shared" si="140"/>
        <v>1</v>
      </c>
      <c r="O2263" t="str">
        <f>IF(Tabla_control[[#This Row],[Control_duplicados]]&gt;1,"Duplicado","Unico")</f>
        <v>Unico</v>
      </c>
      <c r="P2263" t="str">
        <f t="shared" si="141"/>
        <v>OK</v>
      </c>
      <c r="Q2263" t="str">
        <f t="shared" si="142"/>
        <v>OK</v>
      </c>
      <c r="R2263" t="str">
        <f t="shared" si="143"/>
        <v>OK</v>
      </c>
    </row>
    <row r="2264" spans="1:18" x14ac:dyDescent="0.3">
      <c r="A2264" s="1">
        <v>45797</v>
      </c>
      <c r="B2264" s="2" t="s">
        <v>2631</v>
      </c>
      <c r="C2264" s="2" t="s">
        <v>2543</v>
      </c>
      <c r="D2264" s="2" t="s">
        <v>2525</v>
      </c>
      <c r="E2264" s="2" t="s">
        <v>2529</v>
      </c>
      <c r="F2264" s="3">
        <v>129790</v>
      </c>
      <c r="G2264" s="3">
        <v>790</v>
      </c>
      <c r="H2264" s="3">
        <v>87</v>
      </c>
      <c r="I2264" s="4">
        <v>1352.45</v>
      </c>
      <c r="J2264" s="4">
        <v>14281.58</v>
      </c>
      <c r="K2264" s="3">
        <v>43</v>
      </c>
      <c r="L2264" s="2" t="s">
        <v>2518</v>
      </c>
      <c r="M2264" s="2" t="s">
        <v>2524</v>
      </c>
      <c r="N2264" s="6">
        <f t="shared" si="140"/>
        <v>1</v>
      </c>
      <c r="O2264" t="str">
        <f>IF(Tabla_control[[#This Row],[Control_duplicados]]&gt;1,"Duplicado","Unico")</f>
        <v>Unico</v>
      </c>
      <c r="P2264" t="str">
        <f t="shared" si="141"/>
        <v>OK</v>
      </c>
      <c r="Q2264" t="str">
        <f t="shared" si="142"/>
        <v>OK</v>
      </c>
      <c r="R2264" t="str">
        <f t="shared" si="143"/>
        <v>OK</v>
      </c>
    </row>
    <row r="2265" spans="1:18" x14ac:dyDescent="0.3">
      <c r="A2265" s="1">
        <v>45997</v>
      </c>
      <c r="B2265" s="2" t="s">
        <v>2622</v>
      </c>
      <c r="C2265" s="2" t="s">
        <v>2521</v>
      </c>
      <c r="D2265" s="2" t="s">
        <v>2516</v>
      </c>
      <c r="E2265" s="2" t="s">
        <v>2517</v>
      </c>
      <c r="F2265" s="3">
        <v>124952</v>
      </c>
      <c r="G2265" s="3">
        <v>6875</v>
      </c>
      <c r="H2265" s="3">
        <v>91</v>
      </c>
      <c r="I2265" s="4">
        <v>3521.97</v>
      </c>
      <c r="J2265" s="4">
        <v>4253.42</v>
      </c>
      <c r="K2265" s="3">
        <v>70</v>
      </c>
      <c r="L2265" s="2" t="s">
        <v>2523</v>
      </c>
      <c r="M2265" s="2" t="s">
        <v>2524</v>
      </c>
      <c r="N2265" s="6">
        <f t="shared" si="140"/>
        <v>1</v>
      </c>
      <c r="O2265" t="str">
        <f>IF(Tabla_control[[#This Row],[Control_duplicados]]&gt;1,"Duplicado","Unico")</f>
        <v>Unico</v>
      </c>
      <c r="P2265" t="str">
        <f t="shared" si="141"/>
        <v>OK</v>
      </c>
      <c r="Q2265" t="str">
        <f t="shared" si="142"/>
        <v>OK</v>
      </c>
      <c r="R2265" t="str">
        <f t="shared" si="143"/>
        <v>OK</v>
      </c>
    </row>
    <row r="2266" spans="1:18" x14ac:dyDescent="0.3">
      <c r="A2266" s="1">
        <v>45679</v>
      </c>
      <c r="B2266" s="2" t="s">
        <v>2639</v>
      </c>
      <c r="C2266" s="2" t="s">
        <v>2541</v>
      </c>
      <c r="D2266" s="2" t="s">
        <v>2528</v>
      </c>
      <c r="E2266" s="2" t="s">
        <v>2529</v>
      </c>
      <c r="F2266" s="3">
        <v>141781</v>
      </c>
      <c r="G2266" s="3">
        <v>11568</v>
      </c>
      <c r="H2266" s="3">
        <v>796</v>
      </c>
      <c r="I2266" s="4">
        <v>9844.5300000000007</v>
      </c>
      <c r="J2266" s="4">
        <v>50838.76</v>
      </c>
      <c r="K2266" s="3">
        <v>503</v>
      </c>
      <c r="L2266" s="2" t="s">
        <v>2539</v>
      </c>
      <c r="M2266" s="2" t="s">
        <v>2537</v>
      </c>
      <c r="N2266" s="6">
        <f t="shared" si="140"/>
        <v>1</v>
      </c>
      <c r="O2266" t="str">
        <f>IF(Tabla_control[[#This Row],[Control_duplicados]]&gt;1,"Duplicado","Unico")</f>
        <v>Unico</v>
      </c>
      <c r="P2266" t="str">
        <f t="shared" si="141"/>
        <v>OK</v>
      </c>
      <c r="Q2266" t="str">
        <f t="shared" si="142"/>
        <v>OK</v>
      </c>
      <c r="R2266" t="str">
        <f t="shared" si="143"/>
        <v>OK</v>
      </c>
    </row>
    <row r="2267" spans="1:18" x14ac:dyDescent="0.3">
      <c r="A2267" s="1">
        <v>45814</v>
      </c>
      <c r="B2267" s="2" t="s">
        <v>2626</v>
      </c>
      <c r="C2267" s="2" t="s">
        <v>2543</v>
      </c>
      <c r="D2267" s="2" t="s">
        <v>2528</v>
      </c>
      <c r="E2267" s="2" t="s">
        <v>2517</v>
      </c>
      <c r="F2267" s="3">
        <v>20277</v>
      </c>
      <c r="G2267" s="3">
        <v>1600</v>
      </c>
      <c r="H2267" s="3">
        <v>140</v>
      </c>
      <c r="I2267" s="4">
        <v>1806.65</v>
      </c>
      <c r="J2267" s="4">
        <v>6237.7</v>
      </c>
      <c r="K2267" s="3">
        <v>117</v>
      </c>
      <c r="L2267" s="2" t="s">
        <v>2523</v>
      </c>
      <c r="M2267" s="2" t="s">
        <v>2519</v>
      </c>
      <c r="N2267" s="6">
        <f t="shared" si="140"/>
        <v>1</v>
      </c>
      <c r="O2267" t="str">
        <f>IF(Tabla_control[[#This Row],[Control_duplicados]]&gt;1,"Duplicado","Unico")</f>
        <v>Unico</v>
      </c>
      <c r="P2267" t="str">
        <f t="shared" si="141"/>
        <v>OK</v>
      </c>
      <c r="Q2267" t="str">
        <f t="shared" si="142"/>
        <v>OK</v>
      </c>
      <c r="R2267" t="str">
        <f t="shared" si="143"/>
        <v>OK</v>
      </c>
    </row>
    <row r="2268" spans="1:18" x14ac:dyDescent="0.3">
      <c r="A2268" s="1">
        <v>45940</v>
      </c>
      <c r="B2268" s="2" t="s">
        <v>2636</v>
      </c>
      <c r="C2268" s="2" t="s">
        <v>2645</v>
      </c>
      <c r="D2268" s="2" t="s">
        <v>2531</v>
      </c>
      <c r="E2268" s="2" t="s">
        <v>2529</v>
      </c>
      <c r="F2268" s="3">
        <v>18500</v>
      </c>
      <c r="G2268" s="3">
        <v>1656</v>
      </c>
      <c r="H2268" s="3">
        <v>18</v>
      </c>
      <c r="I2268" s="4">
        <v>2295.0300000000002</v>
      </c>
      <c r="J2268" s="4">
        <v>3644.14</v>
      </c>
      <c r="K2268" s="3">
        <v>14</v>
      </c>
      <c r="L2268" s="2" t="s">
        <v>2523</v>
      </c>
      <c r="M2268" s="2" t="s">
        <v>2519</v>
      </c>
      <c r="N2268" s="6">
        <f t="shared" si="140"/>
        <v>1</v>
      </c>
      <c r="O2268" t="str">
        <f>IF(Tabla_control[[#This Row],[Control_duplicados]]&gt;1,"Duplicado","Unico")</f>
        <v>Unico</v>
      </c>
      <c r="P2268" t="str">
        <f t="shared" si="141"/>
        <v>OK</v>
      </c>
      <c r="Q2268" t="str">
        <f t="shared" si="142"/>
        <v>OK</v>
      </c>
      <c r="R2268" t="str">
        <f t="shared" si="143"/>
        <v>OK</v>
      </c>
    </row>
    <row r="2269" spans="1:18" x14ac:dyDescent="0.3">
      <c r="A2269" s="1">
        <v>45681</v>
      </c>
      <c r="B2269" s="2" t="s">
        <v>2633</v>
      </c>
      <c r="C2269" s="2" t="s">
        <v>2527</v>
      </c>
      <c r="D2269" s="2" t="s">
        <v>2522</v>
      </c>
      <c r="E2269" s="2" t="s">
        <v>2529</v>
      </c>
      <c r="F2269" s="3">
        <v>47596</v>
      </c>
      <c r="G2269" s="3">
        <v>1850</v>
      </c>
      <c r="H2269" s="3">
        <v>245</v>
      </c>
      <c r="I2269" s="4">
        <v>2493.3000000000002</v>
      </c>
      <c r="J2269" s="4">
        <v>53588.42</v>
      </c>
      <c r="K2269" s="3">
        <v>131</v>
      </c>
      <c r="L2269" s="2" t="s">
        <v>2523</v>
      </c>
      <c r="M2269" s="2" t="s">
        <v>2526</v>
      </c>
      <c r="N2269" s="6">
        <f t="shared" si="140"/>
        <v>1</v>
      </c>
      <c r="O2269" t="str">
        <f>IF(Tabla_control[[#This Row],[Control_duplicados]]&gt;1,"Duplicado","Unico")</f>
        <v>Unico</v>
      </c>
      <c r="P2269" t="str">
        <f t="shared" si="141"/>
        <v>OK</v>
      </c>
      <c r="Q2269" t="str">
        <f t="shared" si="142"/>
        <v>OK</v>
      </c>
      <c r="R2269" t="str">
        <f t="shared" si="143"/>
        <v>OK</v>
      </c>
    </row>
    <row r="2270" spans="1:18" x14ac:dyDescent="0.3">
      <c r="A2270" s="1">
        <v>45889</v>
      </c>
      <c r="B2270" s="2" t="s">
        <v>2621</v>
      </c>
      <c r="C2270" s="2" t="s">
        <v>2533</v>
      </c>
      <c r="D2270" s="2" t="s">
        <v>2528</v>
      </c>
      <c r="E2270" s="2" t="s">
        <v>2529</v>
      </c>
      <c r="F2270" s="3">
        <v>108306</v>
      </c>
      <c r="G2270" s="3">
        <v>8389</v>
      </c>
      <c r="H2270" s="3">
        <v>967</v>
      </c>
      <c r="I2270" s="4">
        <v>7668.25</v>
      </c>
      <c r="J2270" s="4">
        <v>130326.22</v>
      </c>
      <c r="K2270" s="3">
        <v>650</v>
      </c>
      <c r="L2270" s="2" t="s">
        <v>2539</v>
      </c>
      <c r="M2270" s="2" t="s">
        <v>2537</v>
      </c>
      <c r="N2270" s="6">
        <f t="shared" si="140"/>
        <v>1</v>
      </c>
      <c r="O2270" t="str">
        <f>IF(Tabla_control[[#This Row],[Control_duplicados]]&gt;1,"Duplicado","Unico")</f>
        <v>Unico</v>
      </c>
      <c r="P2270" t="str">
        <f t="shared" si="141"/>
        <v>OK</v>
      </c>
      <c r="Q2270" t="str">
        <f t="shared" si="142"/>
        <v>OK</v>
      </c>
      <c r="R2270" t="str">
        <f t="shared" si="143"/>
        <v>OK</v>
      </c>
    </row>
    <row r="2271" spans="1:18" x14ac:dyDescent="0.3">
      <c r="A2271" s="1">
        <v>45831</v>
      </c>
      <c r="B2271" s="2" t="s">
        <v>2631</v>
      </c>
      <c r="C2271" s="2" t="s">
        <v>2541</v>
      </c>
      <c r="D2271" s="2" t="s">
        <v>2528</v>
      </c>
      <c r="E2271" s="2" t="s">
        <v>2517</v>
      </c>
      <c r="F2271" s="3">
        <v>170870</v>
      </c>
      <c r="G2271" s="3">
        <v>2505</v>
      </c>
      <c r="H2271" s="3">
        <v>58</v>
      </c>
      <c r="I2271" s="4">
        <v>3533.01</v>
      </c>
      <c r="J2271" s="4">
        <v>4634.3900000000003</v>
      </c>
      <c r="K2271" s="3">
        <v>43</v>
      </c>
      <c r="L2271" s="2" t="s">
        <v>2518</v>
      </c>
      <c r="M2271" s="2" t="s">
        <v>2519</v>
      </c>
      <c r="N2271" s="6">
        <f t="shared" si="140"/>
        <v>1</v>
      </c>
      <c r="O2271" t="str">
        <f>IF(Tabla_control[[#This Row],[Control_duplicados]]&gt;1,"Duplicado","Unico")</f>
        <v>Unico</v>
      </c>
      <c r="P2271" t="str">
        <f t="shared" si="141"/>
        <v>OK</v>
      </c>
      <c r="Q2271" t="str">
        <f t="shared" si="142"/>
        <v>OK</v>
      </c>
      <c r="R2271" t="str">
        <f t="shared" si="143"/>
        <v>OK</v>
      </c>
    </row>
    <row r="2272" spans="1:18" x14ac:dyDescent="0.3">
      <c r="A2272" s="1">
        <v>45961</v>
      </c>
      <c r="B2272" s="2" t="s">
        <v>2641</v>
      </c>
      <c r="C2272" s="2" t="s">
        <v>2521</v>
      </c>
      <c r="D2272" s="2" t="s">
        <v>2516</v>
      </c>
      <c r="E2272" s="2" t="s">
        <v>2529</v>
      </c>
      <c r="F2272" s="3">
        <v>154720</v>
      </c>
      <c r="G2272" s="3">
        <v>5156</v>
      </c>
      <c r="H2272" s="3">
        <v>344</v>
      </c>
      <c r="I2272" s="4">
        <v>5514.36</v>
      </c>
      <c r="J2272" s="4">
        <v>65999.41</v>
      </c>
      <c r="K2272" s="3">
        <v>291</v>
      </c>
      <c r="L2272" s="2" t="s">
        <v>2536</v>
      </c>
      <c r="M2272" s="2" t="s">
        <v>2519</v>
      </c>
      <c r="N2272" s="6">
        <f t="shared" si="140"/>
        <v>1</v>
      </c>
      <c r="O2272" t="str">
        <f>IF(Tabla_control[[#This Row],[Control_duplicados]]&gt;1,"Duplicado","Unico")</f>
        <v>Unico</v>
      </c>
      <c r="P2272" t="str">
        <f t="shared" si="141"/>
        <v>OK</v>
      </c>
      <c r="Q2272" t="str">
        <f t="shared" si="142"/>
        <v>OK</v>
      </c>
      <c r="R2272" t="str">
        <f t="shared" si="143"/>
        <v>OK</v>
      </c>
    </row>
    <row r="2273" spans="1:18" x14ac:dyDescent="0.3">
      <c r="A2273" s="1">
        <v>45857</v>
      </c>
      <c r="B2273" s="2" t="s">
        <v>2642</v>
      </c>
      <c r="C2273" s="2" t="s">
        <v>2515</v>
      </c>
      <c r="D2273" s="2" t="s">
        <v>2516</v>
      </c>
      <c r="E2273" s="2" t="s">
        <v>2517</v>
      </c>
      <c r="F2273" s="3">
        <v>105531</v>
      </c>
      <c r="G2273" s="3">
        <v>1779</v>
      </c>
      <c r="H2273" s="3">
        <v>97</v>
      </c>
      <c r="I2273" s="4">
        <v>2397.8200000000002</v>
      </c>
      <c r="J2273" s="4">
        <v>14815.12</v>
      </c>
      <c r="K2273" s="3">
        <v>45</v>
      </c>
      <c r="L2273" s="2" t="s">
        <v>2536</v>
      </c>
      <c r="M2273" s="2" t="s">
        <v>2537</v>
      </c>
      <c r="N2273" s="6">
        <f t="shared" si="140"/>
        <v>1</v>
      </c>
      <c r="O2273" t="str">
        <f>IF(Tabla_control[[#This Row],[Control_duplicados]]&gt;1,"Duplicado","Unico")</f>
        <v>Unico</v>
      </c>
      <c r="P2273" t="str">
        <f t="shared" si="141"/>
        <v>OK</v>
      </c>
      <c r="Q2273" t="str">
        <f t="shared" si="142"/>
        <v>OK</v>
      </c>
      <c r="R2273" t="str">
        <f t="shared" si="143"/>
        <v>OK</v>
      </c>
    </row>
    <row r="2274" spans="1:18" x14ac:dyDescent="0.3">
      <c r="A2274" s="1">
        <v>45748</v>
      </c>
      <c r="B2274" s="2" t="s">
        <v>2617</v>
      </c>
      <c r="C2274" s="2" t="s">
        <v>2521</v>
      </c>
      <c r="D2274" s="2" t="s">
        <v>2531</v>
      </c>
      <c r="E2274" s="2" t="s">
        <v>2517</v>
      </c>
      <c r="F2274" s="3">
        <v>150936</v>
      </c>
      <c r="G2274" s="3">
        <v>5880</v>
      </c>
      <c r="H2274" s="3">
        <v>732</v>
      </c>
      <c r="I2274" s="4">
        <v>10803.19</v>
      </c>
      <c r="J2274" s="4">
        <v>83522.41</v>
      </c>
      <c r="K2274" s="3">
        <v>381</v>
      </c>
      <c r="L2274" s="2" t="s">
        <v>2518</v>
      </c>
      <c r="M2274" s="2" t="s">
        <v>2537</v>
      </c>
      <c r="N2274" s="6">
        <f t="shared" si="140"/>
        <v>1</v>
      </c>
      <c r="O2274" t="str">
        <f>IF(Tabla_control[[#This Row],[Control_duplicados]]&gt;1,"Duplicado","Unico")</f>
        <v>Unico</v>
      </c>
      <c r="P2274" t="str">
        <f t="shared" si="141"/>
        <v>OK</v>
      </c>
      <c r="Q2274" t="str">
        <f t="shared" si="142"/>
        <v>OK</v>
      </c>
      <c r="R2274" t="str">
        <f t="shared" si="143"/>
        <v>OK</v>
      </c>
    </row>
    <row r="2275" spans="1:18" x14ac:dyDescent="0.3">
      <c r="A2275" s="1">
        <v>45984</v>
      </c>
      <c r="B2275" s="2" t="s">
        <v>2627</v>
      </c>
      <c r="C2275" s="2" t="s">
        <v>2541</v>
      </c>
      <c r="D2275" s="2" t="s">
        <v>2528</v>
      </c>
      <c r="E2275" s="2" t="s">
        <v>2517</v>
      </c>
      <c r="F2275" s="3">
        <v>141521</v>
      </c>
      <c r="G2275" s="3">
        <v>11874</v>
      </c>
      <c r="H2275" s="3">
        <v>622</v>
      </c>
      <c r="I2275" s="4">
        <v>1603.67</v>
      </c>
      <c r="J2275" s="4">
        <v>92673.96</v>
      </c>
      <c r="K2275" s="3">
        <v>365</v>
      </c>
      <c r="L2275" s="2" t="s">
        <v>2518</v>
      </c>
      <c r="M2275" s="2" t="s">
        <v>2524</v>
      </c>
      <c r="N2275" s="6">
        <f t="shared" si="140"/>
        <v>1</v>
      </c>
      <c r="O2275" t="str">
        <f>IF(Tabla_control[[#This Row],[Control_duplicados]]&gt;1,"Duplicado","Unico")</f>
        <v>Unico</v>
      </c>
      <c r="P2275" t="str">
        <f t="shared" si="141"/>
        <v>OK</v>
      </c>
      <c r="Q2275" t="str">
        <f t="shared" si="142"/>
        <v>OK</v>
      </c>
      <c r="R2275" t="str">
        <f t="shared" si="143"/>
        <v>OK</v>
      </c>
    </row>
    <row r="2276" spans="1:18" x14ac:dyDescent="0.3">
      <c r="A2276" s="1">
        <v>45741</v>
      </c>
      <c r="B2276" s="2" t="s">
        <v>2625</v>
      </c>
      <c r="C2276" s="2" t="s">
        <v>2533</v>
      </c>
      <c r="D2276" s="2" t="s">
        <v>2528</v>
      </c>
      <c r="E2276" s="2" t="s">
        <v>2517</v>
      </c>
      <c r="F2276" s="3">
        <v>14517</v>
      </c>
      <c r="G2276" s="3">
        <v>427</v>
      </c>
      <c r="H2276" s="3">
        <v>58</v>
      </c>
      <c r="I2276" s="4">
        <v>619.94000000000005</v>
      </c>
      <c r="J2276" s="4">
        <v>2722.83</v>
      </c>
      <c r="K2276" s="3">
        <v>37</v>
      </c>
      <c r="L2276" s="2" t="s">
        <v>2523</v>
      </c>
      <c r="M2276" s="2" t="s">
        <v>2537</v>
      </c>
      <c r="N2276" s="6">
        <f t="shared" si="140"/>
        <v>1</v>
      </c>
      <c r="O2276" t="str">
        <f>IF(Tabla_control[[#This Row],[Control_duplicados]]&gt;1,"Duplicado","Unico")</f>
        <v>Unico</v>
      </c>
      <c r="P2276" t="str">
        <f t="shared" si="141"/>
        <v>OK</v>
      </c>
      <c r="Q2276" t="str">
        <f t="shared" si="142"/>
        <v>OK</v>
      </c>
      <c r="R2276" t="str">
        <f t="shared" si="143"/>
        <v>OK</v>
      </c>
    </row>
    <row r="2277" spans="1:18" x14ac:dyDescent="0.3">
      <c r="A2277" s="1">
        <v>45977</v>
      </c>
      <c r="B2277" s="2" t="s">
        <v>2622</v>
      </c>
      <c r="C2277" s="2" t="s">
        <v>2543</v>
      </c>
      <c r="D2277" s="2" t="s">
        <v>2525</v>
      </c>
      <c r="E2277" s="2" t="s">
        <v>2529</v>
      </c>
      <c r="F2277" s="3">
        <v>104634</v>
      </c>
      <c r="G2277" s="3">
        <v>7855</v>
      </c>
      <c r="H2277" s="3">
        <v>458</v>
      </c>
      <c r="I2277" s="4">
        <v>6478.7</v>
      </c>
      <c r="J2277" s="4">
        <v>83699.19</v>
      </c>
      <c r="K2277" s="3">
        <v>360</v>
      </c>
      <c r="L2277" s="2" t="s">
        <v>2518</v>
      </c>
      <c r="M2277" s="2" t="s">
        <v>2526</v>
      </c>
      <c r="N2277" s="6">
        <f t="shared" si="140"/>
        <v>1</v>
      </c>
      <c r="O2277" t="str">
        <f>IF(Tabla_control[[#This Row],[Control_duplicados]]&gt;1,"Duplicado","Unico")</f>
        <v>Unico</v>
      </c>
      <c r="P2277" t="str">
        <f t="shared" si="141"/>
        <v>OK</v>
      </c>
      <c r="Q2277" t="str">
        <f t="shared" si="142"/>
        <v>OK</v>
      </c>
      <c r="R2277" t="str">
        <f t="shared" si="143"/>
        <v>OK</v>
      </c>
    </row>
    <row r="2278" spans="1:18" x14ac:dyDescent="0.3">
      <c r="A2278" s="1">
        <v>45689</v>
      </c>
      <c r="B2278" s="2" t="s">
        <v>2626</v>
      </c>
      <c r="C2278" s="2" t="s">
        <v>2541</v>
      </c>
      <c r="D2278" s="2" t="s">
        <v>2528</v>
      </c>
      <c r="E2278" s="2" t="s">
        <v>2517</v>
      </c>
      <c r="F2278" s="3">
        <v>69685</v>
      </c>
      <c r="G2278" s="3">
        <v>6204</v>
      </c>
      <c r="H2278" s="3">
        <v>360</v>
      </c>
      <c r="I2278" s="4">
        <v>5547.72</v>
      </c>
      <c r="J2278" s="4">
        <v>50927.26</v>
      </c>
      <c r="K2278" s="3">
        <v>268</v>
      </c>
      <c r="L2278" s="2" t="s">
        <v>2518</v>
      </c>
      <c r="M2278" s="2" t="s">
        <v>2524</v>
      </c>
      <c r="N2278" s="6">
        <f t="shared" si="140"/>
        <v>1</v>
      </c>
      <c r="O2278" t="str">
        <f>IF(Tabla_control[[#This Row],[Control_duplicados]]&gt;1,"Duplicado","Unico")</f>
        <v>Unico</v>
      </c>
      <c r="P2278" t="str">
        <f t="shared" si="141"/>
        <v>OK</v>
      </c>
      <c r="Q2278" t="str">
        <f t="shared" si="142"/>
        <v>OK</v>
      </c>
      <c r="R2278" t="str">
        <f t="shared" si="143"/>
        <v>OK</v>
      </c>
    </row>
    <row r="2279" spans="1:18" x14ac:dyDescent="0.3">
      <c r="A2279" s="1">
        <v>45691</v>
      </c>
      <c r="B2279" s="2" t="s">
        <v>2625</v>
      </c>
      <c r="C2279" s="2" t="s">
        <v>2527</v>
      </c>
      <c r="D2279" s="2" t="s">
        <v>2528</v>
      </c>
      <c r="E2279" s="2" t="s">
        <v>2517</v>
      </c>
      <c r="F2279" s="3">
        <v>105828</v>
      </c>
      <c r="G2279" s="3">
        <v>1596</v>
      </c>
      <c r="H2279" s="3">
        <v>198</v>
      </c>
      <c r="I2279" s="4">
        <v>2053.38</v>
      </c>
      <c r="J2279" s="4">
        <v>32741.25</v>
      </c>
      <c r="K2279" s="3">
        <v>102</v>
      </c>
      <c r="L2279" s="2" t="s">
        <v>2536</v>
      </c>
      <c r="M2279" s="2" t="s">
        <v>2537</v>
      </c>
      <c r="N2279" s="6">
        <f t="shared" si="140"/>
        <v>1</v>
      </c>
      <c r="O2279" t="str">
        <f>IF(Tabla_control[[#This Row],[Control_duplicados]]&gt;1,"Duplicado","Unico")</f>
        <v>Unico</v>
      </c>
      <c r="P2279" t="str">
        <f t="shared" si="141"/>
        <v>OK</v>
      </c>
      <c r="Q2279" t="str">
        <f t="shared" si="142"/>
        <v>OK</v>
      </c>
      <c r="R2279" t="str">
        <f t="shared" si="143"/>
        <v>OK</v>
      </c>
    </row>
    <row r="2280" spans="1:18" x14ac:dyDescent="0.3">
      <c r="A2280" s="1">
        <v>45814</v>
      </c>
      <c r="B2280" s="2" t="s">
        <v>2616</v>
      </c>
      <c r="C2280" s="2" t="s">
        <v>2515</v>
      </c>
      <c r="D2280" s="2" t="s">
        <v>2525</v>
      </c>
      <c r="E2280" s="2" t="s">
        <v>2517</v>
      </c>
      <c r="F2280" s="3">
        <v>65462</v>
      </c>
      <c r="G2280" s="3">
        <v>1781</v>
      </c>
      <c r="H2280" s="3">
        <v>79</v>
      </c>
      <c r="I2280" s="4">
        <v>1507.78</v>
      </c>
      <c r="J2280" s="4">
        <v>11500.07</v>
      </c>
      <c r="K2280" s="3">
        <v>46</v>
      </c>
      <c r="L2280" s="2" t="s">
        <v>2539</v>
      </c>
      <c r="M2280" s="2" t="s">
        <v>2546</v>
      </c>
      <c r="N2280" s="6">
        <f t="shared" si="140"/>
        <v>1</v>
      </c>
      <c r="O2280" t="str">
        <f>IF(Tabla_control[[#This Row],[Control_duplicados]]&gt;1,"Duplicado","Unico")</f>
        <v>Unico</v>
      </c>
      <c r="P2280" t="str">
        <f t="shared" si="141"/>
        <v>OK</v>
      </c>
      <c r="Q2280" t="str">
        <f t="shared" si="142"/>
        <v>OK</v>
      </c>
      <c r="R2280" t="str">
        <f t="shared" si="143"/>
        <v>OK</v>
      </c>
    </row>
    <row r="2281" spans="1:18" x14ac:dyDescent="0.3">
      <c r="A2281" s="1">
        <v>45829</v>
      </c>
      <c r="B2281" s="2" t="s">
        <v>2641</v>
      </c>
      <c r="C2281" s="2" t="s">
        <v>2541</v>
      </c>
      <c r="D2281" s="2" t="s">
        <v>2516</v>
      </c>
      <c r="E2281" s="2" t="s">
        <v>2529</v>
      </c>
      <c r="F2281" s="3">
        <v>31248</v>
      </c>
      <c r="G2281" s="3">
        <v>2618</v>
      </c>
      <c r="H2281" s="3">
        <v>298</v>
      </c>
      <c r="I2281" s="4">
        <v>3166.54</v>
      </c>
      <c r="J2281" s="4">
        <v>27031.68</v>
      </c>
      <c r="K2281" s="3">
        <v>181</v>
      </c>
      <c r="L2281" s="2" t="s">
        <v>2539</v>
      </c>
      <c r="M2281" s="2" t="s">
        <v>2537</v>
      </c>
      <c r="N2281" s="6">
        <f t="shared" si="140"/>
        <v>1</v>
      </c>
      <c r="O2281" t="str">
        <f>IF(Tabla_control[[#This Row],[Control_duplicados]]&gt;1,"Duplicado","Unico")</f>
        <v>Unico</v>
      </c>
      <c r="P2281" t="str">
        <f t="shared" si="141"/>
        <v>OK</v>
      </c>
      <c r="Q2281" t="str">
        <f t="shared" si="142"/>
        <v>OK</v>
      </c>
      <c r="R2281" t="str">
        <f t="shared" si="143"/>
        <v>OK</v>
      </c>
    </row>
    <row r="2282" spans="1:18" x14ac:dyDescent="0.3">
      <c r="A2282" s="1">
        <v>45785</v>
      </c>
      <c r="B2282" s="2" t="s">
        <v>2644</v>
      </c>
      <c r="C2282" s="2" t="s">
        <v>2543</v>
      </c>
      <c r="D2282" s="2" t="s">
        <v>2522</v>
      </c>
      <c r="E2282" s="2" t="s">
        <v>2529</v>
      </c>
      <c r="F2282" s="3">
        <v>1025</v>
      </c>
      <c r="G2282" s="3">
        <v>65</v>
      </c>
      <c r="H2282" s="3">
        <v>8</v>
      </c>
      <c r="I2282" s="4">
        <v>36.64</v>
      </c>
      <c r="J2282" s="4">
        <v>1579.3</v>
      </c>
      <c r="K2282" s="3">
        <v>4</v>
      </c>
      <c r="L2282" s="2" t="s">
        <v>2523</v>
      </c>
      <c r="M2282" s="2" t="s">
        <v>2537</v>
      </c>
      <c r="N2282" s="6">
        <f t="shared" si="140"/>
        <v>1</v>
      </c>
      <c r="O2282" t="str">
        <f>IF(Tabla_control[[#This Row],[Control_duplicados]]&gt;1,"Duplicado","Unico")</f>
        <v>Unico</v>
      </c>
      <c r="P2282" t="str">
        <f t="shared" si="141"/>
        <v>OK</v>
      </c>
      <c r="Q2282" t="str">
        <f t="shared" si="142"/>
        <v>OK</v>
      </c>
      <c r="R2282" t="str">
        <f t="shared" si="143"/>
        <v>OK</v>
      </c>
    </row>
    <row r="2283" spans="1:18" x14ac:dyDescent="0.3">
      <c r="A2283" s="1">
        <v>46005</v>
      </c>
      <c r="B2283" s="2" t="s">
        <v>2625</v>
      </c>
      <c r="C2283" s="2" t="s">
        <v>2527</v>
      </c>
      <c r="D2283" s="2" t="s">
        <v>2528</v>
      </c>
      <c r="E2283" s="2" t="s">
        <v>2529</v>
      </c>
      <c r="F2283" s="3">
        <v>142872</v>
      </c>
      <c r="G2283" s="3">
        <v>5740</v>
      </c>
      <c r="H2283" s="3">
        <v>753</v>
      </c>
      <c r="I2283" s="4">
        <v>4988.3</v>
      </c>
      <c r="J2283" s="4">
        <v>157776.14000000001</v>
      </c>
      <c r="K2283" s="3">
        <v>544</v>
      </c>
      <c r="L2283" s="2" t="s">
        <v>2536</v>
      </c>
      <c r="M2283" s="2" t="s">
        <v>2537</v>
      </c>
      <c r="N2283" s="6">
        <f t="shared" si="140"/>
        <v>1</v>
      </c>
      <c r="O2283" t="str">
        <f>IF(Tabla_control[[#This Row],[Control_duplicados]]&gt;1,"Duplicado","Unico")</f>
        <v>Unico</v>
      </c>
      <c r="P2283" t="str">
        <f t="shared" si="141"/>
        <v>OK</v>
      </c>
      <c r="Q2283" t="str">
        <f t="shared" si="142"/>
        <v>OK</v>
      </c>
      <c r="R2283" t="str">
        <f t="shared" si="143"/>
        <v>OK</v>
      </c>
    </row>
    <row r="2284" spans="1:18" x14ac:dyDescent="0.3">
      <c r="A2284" s="1">
        <v>45897</v>
      </c>
      <c r="B2284" s="2" t="s">
        <v>2637</v>
      </c>
      <c r="C2284" s="2" t="s">
        <v>2515</v>
      </c>
      <c r="D2284" s="2" t="s">
        <v>2528</v>
      </c>
      <c r="E2284" s="2" t="s">
        <v>2529</v>
      </c>
      <c r="F2284" s="3">
        <v>117663</v>
      </c>
      <c r="G2284" s="3">
        <v>6184</v>
      </c>
      <c r="H2284" s="3">
        <v>690</v>
      </c>
      <c r="I2284" s="4">
        <v>9917.4500000000007</v>
      </c>
      <c r="J2284" s="4">
        <v>114306.39</v>
      </c>
      <c r="K2284" s="3">
        <v>366</v>
      </c>
      <c r="L2284" s="2" t="s">
        <v>2523</v>
      </c>
      <c r="M2284" s="2" t="s">
        <v>2546</v>
      </c>
      <c r="N2284" s="6">
        <f t="shared" si="140"/>
        <v>1</v>
      </c>
      <c r="O2284" t="str">
        <f>IF(Tabla_control[[#This Row],[Control_duplicados]]&gt;1,"Duplicado","Unico")</f>
        <v>Unico</v>
      </c>
      <c r="P2284" t="str">
        <f t="shared" si="141"/>
        <v>OK</v>
      </c>
      <c r="Q2284" t="str">
        <f t="shared" si="142"/>
        <v>OK</v>
      </c>
      <c r="R2284" t="str">
        <f t="shared" si="143"/>
        <v>OK</v>
      </c>
    </row>
    <row r="2285" spans="1:18" x14ac:dyDescent="0.3">
      <c r="A2285" s="1">
        <v>45913</v>
      </c>
      <c r="B2285" s="2" t="s">
        <v>2637</v>
      </c>
      <c r="C2285" s="2" t="s">
        <v>2543</v>
      </c>
      <c r="D2285" s="2" t="s">
        <v>2516</v>
      </c>
      <c r="E2285" s="2" t="s">
        <v>2529</v>
      </c>
      <c r="F2285" s="3">
        <v>45185</v>
      </c>
      <c r="G2285" s="3">
        <v>3674</v>
      </c>
      <c r="H2285" s="3">
        <v>418</v>
      </c>
      <c r="I2285" s="4">
        <v>989.34</v>
      </c>
      <c r="J2285" s="4">
        <v>36013.410000000003</v>
      </c>
      <c r="K2285" s="3">
        <v>234</v>
      </c>
      <c r="L2285" s="2" t="s">
        <v>2536</v>
      </c>
      <c r="M2285" s="2" t="s">
        <v>2524</v>
      </c>
      <c r="N2285" s="6">
        <f t="shared" si="140"/>
        <v>1</v>
      </c>
      <c r="O2285" t="str">
        <f>IF(Tabla_control[[#This Row],[Control_duplicados]]&gt;1,"Duplicado","Unico")</f>
        <v>Unico</v>
      </c>
      <c r="P2285" t="str">
        <f t="shared" si="141"/>
        <v>OK</v>
      </c>
      <c r="Q2285" t="str">
        <f t="shared" si="142"/>
        <v>OK</v>
      </c>
      <c r="R2285" t="str">
        <f t="shared" si="143"/>
        <v>OK</v>
      </c>
    </row>
    <row r="2286" spans="1:18" x14ac:dyDescent="0.3">
      <c r="A2286" s="1">
        <v>45669</v>
      </c>
      <c r="B2286" s="2" t="s">
        <v>2634</v>
      </c>
      <c r="C2286" s="2" t="s">
        <v>2543</v>
      </c>
      <c r="D2286" s="2" t="s">
        <v>2531</v>
      </c>
      <c r="E2286" s="2" t="s">
        <v>2529</v>
      </c>
      <c r="F2286" s="3">
        <v>13467</v>
      </c>
      <c r="G2286" s="3">
        <v>587</v>
      </c>
      <c r="H2286" s="3">
        <v>18</v>
      </c>
      <c r="I2286" s="4">
        <v>111.03</v>
      </c>
      <c r="J2286" s="4">
        <v>1749.98</v>
      </c>
      <c r="K2286" s="3">
        <v>10</v>
      </c>
      <c r="L2286" s="2" t="s">
        <v>2539</v>
      </c>
      <c r="M2286" s="2" t="s">
        <v>2526</v>
      </c>
      <c r="N2286" s="6">
        <f t="shared" si="140"/>
        <v>1</v>
      </c>
      <c r="O2286" t="str">
        <f>IF(Tabla_control[[#This Row],[Control_duplicados]]&gt;1,"Duplicado","Unico")</f>
        <v>Unico</v>
      </c>
      <c r="P2286" t="str">
        <f t="shared" si="141"/>
        <v>OK</v>
      </c>
      <c r="Q2286" t="str">
        <f t="shared" si="142"/>
        <v>OK</v>
      </c>
      <c r="R2286" t="str">
        <f t="shared" si="143"/>
        <v>OK</v>
      </c>
    </row>
    <row r="2287" spans="1:18" x14ac:dyDescent="0.3">
      <c r="A2287" s="1">
        <v>45681</v>
      </c>
      <c r="B2287" s="2" t="s">
        <v>2628</v>
      </c>
      <c r="C2287" s="2" t="s">
        <v>2515</v>
      </c>
      <c r="D2287" s="2" t="s">
        <v>2528</v>
      </c>
      <c r="E2287" s="2" t="s">
        <v>2517</v>
      </c>
      <c r="F2287" s="3">
        <v>15231</v>
      </c>
      <c r="G2287" s="3">
        <v>971</v>
      </c>
      <c r="H2287" s="3">
        <v>33</v>
      </c>
      <c r="I2287" s="4">
        <v>1440.26</v>
      </c>
      <c r="J2287" s="4">
        <v>3451.4</v>
      </c>
      <c r="K2287" s="3">
        <v>18</v>
      </c>
      <c r="L2287" s="2" t="s">
        <v>2539</v>
      </c>
      <c r="M2287" s="2" t="s">
        <v>2519</v>
      </c>
      <c r="N2287" s="6">
        <f t="shared" si="140"/>
        <v>1</v>
      </c>
      <c r="O2287" t="str">
        <f>IF(Tabla_control[[#This Row],[Control_duplicados]]&gt;1,"Duplicado","Unico")</f>
        <v>Unico</v>
      </c>
      <c r="P2287" t="str">
        <f t="shared" si="141"/>
        <v>OK</v>
      </c>
      <c r="Q2287" t="str">
        <f t="shared" si="142"/>
        <v>OK</v>
      </c>
      <c r="R2287" t="str">
        <f t="shared" si="143"/>
        <v>OK</v>
      </c>
    </row>
    <row r="2288" spans="1:18" x14ac:dyDescent="0.3">
      <c r="A2288" s="1">
        <v>45795</v>
      </c>
      <c r="B2288" s="2" t="s">
        <v>2641</v>
      </c>
      <c r="C2288" s="2" t="s">
        <v>2527</v>
      </c>
      <c r="D2288" s="2" t="s">
        <v>2528</v>
      </c>
      <c r="E2288" s="2" t="s">
        <v>2529</v>
      </c>
      <c r="F2288" s="3">
        <v>123596</v>
      </c>
      <c r="G2288" s="3">
        <v>2576</v>
      </c>
      <c r="H2288" s="3">
        <v>132</v>
      </c>
      <c r="I2288" s="4">
        <v>2550.98</v>
      </c>
      <c r="J2288" s="4">
        <v>6405.52</v>
      </c>
      <c r="K2288" s="3">
        <v>117</v>
      </c>
      <c r="L2288" s="2" t="s">
        <v>2536</v>
      </c>
      <c r="M2288" s="2" t="s">
        <v>2519</v>
      </c>
      <c r="N2288" s="6">
        <f t="shared" si="140"/>
        <v>1</v>
      </c>
      <c r="O2288" t="str">
        <f>IF(Tabla_control[[#This Row],[Control_duplicados]]&gt;1,"Duplicado","Unico")</f>
        <v>Unico</v>
      </c>
      <c r="P2288" t="str">
        <f t="shared" si="141"/>
        <v>OK</v>
      </c>
      <c r="Q2288" t="str">
        <f t="shared" si="142"/>
        <v>OK</v>
      </c>
      <c r="R2288" t="str">
        <f t="shared" si="143"/>
        <v>OK</v>
      </c>
    </row>
    <row r="2289" spans="1:18" x14ac:dyDescent="0.3">
      <c r="A2289" s="1">
        <v>46016</v>
      </c>
      <c r="B2289" s="2" t="s">
        <v>2629</v>
      </c>
      <c r="C2289" s="2" t="s">
        <v>2533</v>
      </c>
      <c r="D2289" s="2" t="s">
        <v>2525</v>
      </c>
      <c r="E2289" s="2" t="s">
        <v>2529</v>
      </c>
      <c r="F2289" s="3">
        <v>30971</v>
      </c>
      <c r="G2289" s="3">
        <v>508</v>
      </c>
      <c r="H2289" s="3">
        <v>63</v>
      </c>
      <c r="I2289" s="4">
        <v>863.58</v>
      </c>
      <c r="J2289" s="4">
        <v>954.92</v>
      </c>
      <c r="K2289" s="3">
        <v>45</v>
      </c>
      <c r="L2289" s="2" t="s">
        <v>2536</v>
      </c>
      <c r="M2289" s="2" t="s">
        <v>2526</v>
      </c>
      <c r="N2289" s="6">
        <f t="shared" si="140"/>
        <v>1</v>
      </c>
      <c r="O2289" t="str">
        <f>IF(Tabla_control[[#This Row],[Control_duplicados]]&gt;1,"Duplicado","Unico")</f>
        <v>Unico</v>
      </c>
      <c r="P2289" t="str">
        <f t="shared" si="141"/>
        <v>OK</v>
      </c>
      <c r="Q2289" t="str">
        <f t="shared" si="142"/>
        <v>OK</v>
      </c>
      <c r="R2289" t="str">
        <f t="shared" si="143"/>
        <v>OK</v>
      </c>
    </row>
    <row r="2290" spans="1:18" x14ac:dyDescent="0.3">
      <c r="A2290" s="1">
        <v>45821</v>
      </c>
      <c r="B2290" s="2" t="s">
        <v>2641</v>
      </c>
      <c r="C2290" s="2" t="s">
        <v>2527</v>
      </c>
      <c r="D2290" s="2" t="s">
        <v>2516</v>
      </c>
      <c r="E2290" s="2" t="s">
        <v>2517</v>
      </c>
      <c r="F2290" s="3">
        <v>6679</v>
      </c>
      <c r="G2290" s="3">
        <v>119</v>
      </c>
      <c r="H2290" s="3">
        <v>2</v>
      </c>
      <c r="I2290" s="4">
        <v>174.38</v>
      </c>
      <c r="J2290" s="4">
        <v>96.04</v>
      </c>
      <c r="K2290" s="3">
        <v>1</v>
      </c>
      <c r="L2290" s="2" t="s">
        <v>2539</v>
      </c>
      <c r="M2290" s="2" t="s">
        <v>2526</v>
      </c>
      <c r="N2290" s="6">
        <f t="shared" si="140"/>
        <v>1</v>
      </c>
      <c r="O2290" t="str">
        <f>IF(Tabla_control[[#This Row],[Control_duplicados]]&gt;1,"Duplicado","Unico")</f>
        <v>Unico</v>
      </c>
      <c r="P2290" t="str">
        <f t="shared" si="141"/>
        <v>OK</v>
      </c>
      <c r="Q2290" t="str">
        <f t="shared" si="142"/>
        <v>OK</v>
      </c>
      <c r="R2290" t="str">
        <f t="shared" si="143"/>
        <v>OK</v>
      </c>
    </row>
    <row r="2291" spans="1:18" x14ac:dyDescent="0.3">
      <c r="A2291" s="1">
        <v>46011</v>
      </c>
      <c r="B2291" s="2" t="s">
        <v>2629</v>
      </c>
      <c r="C2291" s="2" t="s">
        <v>2521</v>
      </c>
      <c r="D2291" s="2" t="s">
        <v>2528</v>
      </c>
      <c r="E2291" s="2" t="s">
        <v>2529</v>
      </c>
      <c r="F2291" s="3">
        <v>71914</v>
      </c>
      <c r="G2291" s="3">
        <v>4965</v>
      </c>
      <c r="H2291" s="3">
        <v>161</v>
      </c>
      <c r="I2291" s="4">
        <v>4667.07</v>
      </c>
      <c r="J2291" s="4">
        <v>28450.6</v>
      </c>
      <c r="K2291" s="3">
        <v>117</v>
      </c>
      <c r="L2291" s="2" t="s">
        <v>2523</v>
      </c>
      <c r="M2291" s="2" t="s">
        <v>2524</v>
      </c>
      <c r="N2291" s="6">
        <f t="shared" si="140"/>
        <v>1</v>
      </c>
      <c r="O2291" t="str">
        <f>IF(Tabla_control[[#This Row],[Control_duplicados]]&gt;1,"Duplicado","Unico")</f>
        <v>Unico</v>
      </c>
      <c r="P2291" t="str">
        <f t="shared" si="141"/>
        <v>OK</v>
      </c>
      <c r="Q2291" t="str">
        <f t="shared" si="142"/>
        <v>OK</v>
      </c>
      <c r="R2291" t="str">
        <f t="shared" si="143"/>
        <v>OK</v>
      </c>
    </row>
    <row r="2292" spans="1:18" x14ac:dyDescent="0.3">
      <c r="A2292" s="1">
        <v>45755</v>
      </c>
      <c r="B2292" s="2" t="s">
        <v>2620</v>
      </c>
      <c r="C2292" s="2" t="s">
        <v>2543</v>
      </c>
      <c r="D2292" s="2" t="s">
        <v>2528</v>
      </c>
      <c r="E2292" s="2" t="s">
        <v>2534</v>
      </c>
      <c r="F2292" s="3">
        <v>3495</v>
      </c>
      <c r="G2292" s="3">
        <v>213</v>
      </c>
      <c r="H2292" s="3">
        <v>2</v>
      </c>
      <c r="I2292" s="4">
        <v>145.43</v>
      </c>
      <c r="J2292" s="4">
        <v>323.07</v>
      </c>
      <c r="K2292" s="3">
        <v>1</v>
      </c>
      <c r="L2292" s="2" t="s">
        <v>2539</v>
      </c>
      <c r="M2292" s="2" t="s">
        <v>2524</v>
      </c>
      <c r="N2292" s="6">
        <f t="shared" si="140"/>
        <v>1</v>
      </c>
      <c r="O2292" t="str">
        <f>IF(Tabla_control[[#This Row],[Control_duplicados]]&gt;1,"Duplicado","Unico")</f>
        <v>Unico</v>
      </c>
      <c r="P2292" t="str">
        <f t="shared" si="141"/>
        <v>OK</v>
      </c>
      <c r="Q2292" t="str">
        <f t="shared" si="142"/>
        <v>OK</v>
      </c>
      <c r="R2292" t="str">
        <f t="shared" si="143"/>
        <v>OK</v>
      </c>
    </row>
    <row r="2293" spans="1:18" x14ac:dyDescent="0.3">
      <c r="A2293" s="1">
        <v>46015</v>
      </c>
      <c r="B2293" s="2" t="s">
        <v>2632</v>
      </c>
      <c r="C2293" s="2" t="s">
        <v>2527</v>
      </c>
      <c r="D2293" s="2" t="s">
        <v>2531</v>
      </c>
      <c r="E2293" s="2" t="s">
        <v>2517</v>
      </c>
      <c r="F2293" s="3">
        <v>153561</v>
      </c>
      <c r="G2293" s="3">
        <v>8864</v>
      </c>
      <c r="H2293" s="3">
        <v>737</v>
      </c>
      <c r="I2293" s="4">
        <v>15850.88</v>
      </c>
      <c r="J2293" s="4">
        <v>72650.81</v>
      </c>
      <c r="K2293" s="3">
        <v>608</v>
      </c>
      <c r="L2293" s="2" t="s">
        <v>2539</v>
      </c>
      <c r="M2293" s="2" t="s">
        <v>2546</v>
      </c>
      <c r="N2293" s="6">
        <f t="shared" si="140"/>
        <v>1</v>
      </c>
      <c r="O2293" t="str">
        <f>IF(Tabla_control[[#This Row],[Control_duplicados]]&gt;1,"Duplicado","Unico")</f>
        <v>Unico</v>
      </c>
      <c r="P2293" t="str">
        <f t="shared" si="141"/>
        <v>OK</v>
      </c>
      <c r="Q2293" t="str">
        <f t="shared" si="142"/>
        <v>OK</v>
      </c>
      <c r="R2293" t="str">
        <f t="shared" si="143"/>
        <v>OK</v>
      </c>
    </row>
    <row r="2294" spans="1:18" x14ac:dyDescent="0.3">
      <c r="A2294" s="1">
        <v>45833</v>
      </c>
      <c r="B2294" s="2" t="s">
        <v>2637</v>
      </c>
      <c r="C2294" s="2" t="s">
        <v>2527</v>
      </c>
      <c r="D2294" s="2" t="s">
        <v>2528</v>
      </c>
      <c r="E2294" s="2" t="s">
        <v>2517</v>
      </c>
      <c r="F2294" s="3">
        <v>60169</v>
      </c>
      <c r="G2294" s="3">
        <v>2765</v>
      </c>
      <c r="H2294" s="3">
        <v>114</v>
      </c>
      <c r="I2294" s="4">
        <v>1161.5</v>
      </c>
      <c r="J2294" s="4">
        <v>7020.84</v>
      </c>
      <c r="K2294" s="3">
        <v>52</v>
      </c>
      <c r="L2294" s="2" t="s">
        <v>2536</v>
      </c>
      <c r="M2294" s="2" t="s">
        <v>2524</v>
      </c>
      <c r="N2294" s="6">
        <f t="shared" si="140"/>
        <v>1</v>
      </c>
      <c r="O2294" t="str">
        <f>IF(Tabla_control[[#This Row],[Control_duplicados]]&gt;1,"Duplicado","Unico")</f>
        <v>Unico</v>
      </c>
      <c r="P2294" t="str">
        <f t="shared" si="141"/>
        <v>OK</v>
      </c>
      <c r="Q2294" t="str">
        <f t="shared" si="142"/>
        <v>OK</v>
      </c>
      <c r="R2294" t="str">
        <f t="shared" si="143"/>
        <v>OK</v>
      </c>
    </row>
    <row r="2295" spans="1:18" x14ac:dyDescent="0.3">
      <c r="A2295" s="1">
        <v>45798</v>
      </c>
      <c r="B2295" s="2" t="s">
        <v>2618</v>
      </c>
      <c r="C2295" s="2" t="s">
        <v>2521</v>
      </c>
      <c r="D2295" s="2" t="s">
        <v>2528</v>
      </c>
      <c r="E2295" s="2" t="s">
        <v>2529</v>
      </c>
      <c r="F2295" s="3">
        <v>75567</v>
      </c>
      <c r="G2295" s="3">
        <v>3022</v>
      </c>
      <c r="H2295" s="3">
        <v>352</v>
      </c>
      <c r="I2295" s="4">
        <v>2106.15</v>
      </c>
      <c r="J2295" s="4">
        <v>22871.69</v>
      </c>
      <c r="K2295" s="3">
        <v>314</v>
      </c>
      <c r="L2295" s="2" t="s">
        <v>2518</v>
      </c>
      <c r="M2295" s="2" t="s">
        <v>2524</v>
      </c>
      <c r="N2295" s="6">
        <f t="shared" si="140"/>
        <v>1</v>
      </c>
      <c r="O2295" t="str">
        <f>IF(Tabla_control[[#This Row],[Control_duplicados]]&gt;1,"Duplicado","Unico")</f>
        <v>Unico</v>
      </c>
      <c r="P2295" t="str">
        <f t="shared" si="141"/>
        <v>OK</v>
      </c>
      <c r="Q2295" t="str">
        <f t="shared" si="142"/>
        <v>OK</v>
      </c>
      <c r="R2295" t="str">
        <f t="shared" si="143"/>
        <v>OK</v>
      </c>
    </row>
    <row r="2296" spans="1:18" x14ac:dyDescent="0.3">
      <c r="A2296" s="1">
        <v>45887</v>
      </c>
      <c r="B2296" s="2" t="s">
        <v>2629</v>
      </c>
      <c r="C2296" s="2" t="s">
        <v>2521</v>
      </c>
      <c r="D2296" s="2" t="s">
        <v>2528</v>
      </c>
      <c r="E2296" s="2" t="s">
        <v>2517</v>
      </c>
      <c r="F2296" s="3">
        <v>40005</v>
      </c>
      <c r="G2296" s="3">
        <v>2187</v>
      </c>
      <c r="H2296" s="3">
        <v>248</v>
      </c>
      <c r="I2296" s="4">
        <v>651.98</v>
      </c>
      <c r="J2296" s="4">
        <v>23120.65</v>
      </c>
      <c r="K2296" s="3">
        <v>199</v>
      </c>
      <c r="L2296" s="2" t="s">
        <v>2539</v>
      </c>
      <c r="M2296" s="2" t="s">
        <v>2537</v>
      </c>
      <c r="N2296" s="6">
        <f t="shared" si="140"/>
        <v>1</v>
      </c>
      <c r="O2296" t="str">
        <f>IF(Tabla_control[[#This Row],[Control_duplicados]]&gt;1,"Duplicado","Unico")</f>
        <v>Unico</v>
      </c>
      <c r="P2296" t="str">
        <f t="shared" si="141"/>
        <v>OK</v>
      </c>
      <c r="Q2296" t="str">
        <f t="shared" si="142"/>
        <v>OK</v>
      </c>
      <c r="R2296" t="str">
        <f t="shared" si="143"/>
        <v>OK</v>
      </c>
    </row>
    <row r="2297" spans="1:18" x14ac:dyDescent="0.3">
      <c r="A2297" s="1">
        <v>45686</v>
      </c>
      <c r="B2297" s="2" t="s">
        <v>2632</v>
      </c>
      <c r="C2297" s="2" t="s">
        <v>2521</v>
      </c>
      <c r="D2297" s="2" t="s">
        <v>2528</v>
      </c>
      <c r="E2297" s="2" t="s">
        <v>2517</v>
      </c>
      <c r="F2297" s="3">
        <v>155722</v>
      </c>
      <c r="G2297" s="3">
        <v>7415</v>
      </c>
      <c r="H2297" s="3">
        <v>1015</v>
      </c>
      <c r="I2297" s="4">
        <v>12585.94</v>
      </c>
      <c r="J2297" s="4">
        <v>87081.32</v>
      </c>
      <c r="K2297" s="3">
        <v>821</v>
      </c>
      <c r="L2297" s="2" t="s">
        <v>2539</v>
      </c>
      <c r="M2297" s="2" t="s">
        <v>2526</v>
      </c>
      <c r="N2297" s="6">
        <f t="shared" si="140"/>
        <v>1</v>
      </c>
      <c r="O2297" t="str">
        <f>IF(Tabla_control[[#This Row],[Control_duplicados]]&gt;1,"Duplicado","Unico")</f>
        <v>Unico</v>
      </c>
      <c r="P2297" t="str">
        <f t="shared" si="141"/>
        <v>OK</v>
      </c>
      <c r="Q2297" t="str">
        <f t="shared" si="142"/>
        <v>OK</v>
      </c>
      <c r="R2297" t="str">
        <f t="shared" si="143"/>
        <v>OK</v>
      </c>
    </row>
    <row r="2298" spans="1:18" x14ac:dyDescent="0.3">
      <c r="A2298" s="1">
        <v>45849</v>
      </c>
      <c r="B2298" s="2" t="s">
        <v>2636</v>
      </c>
      <c r="C2298" s="2" t="s">
        <v>2533</v>
      </c>
      <c r="D2298" s="2" t="s">
        <v>2516</v>
      </c>
      <c r="E2298" s="2" t="s">
        <v>2529</v>
      </c>
      <c r="F2298" s="3">
        <v>176788</v>
      </c>
      <c r="G2298" s="3">
        <v>13555</v>
      </c>
      <c r="H2298" s="3">
        <v>1810</v>
      </c>
      <c r="I2298" s="4">
        <v>22642.93</v>
      </c>
      <c r="J2298" s="4">
        <v>313851.81</v>
      </c>
      <c r="K2298" s="3">
        <v>1397</v>
      </c>
      <c r="L2298" s="2" t="s">
        <v>2518</v>
      </c>
      <c r="M2298" s="2" t="s">
        <v>2526</v>
      </c>
      <c r="N2298" s="6">
        <f t="shared" si="140"/>
        <v>1</v>
      </c>
      <c r="O2298" t="str">
        <f>IF(Tabla_control[[#This Row],[Control_duplicados]]&gt;1,"Duplicado","Unico")</f>
        <v>Unico</v>
      </c>
      <c r="P2298" t="str">
        <f t="shared" si="141"/>
        <v>OK</v>
      </c>
      <c r="Q2298" t="str">
        <f t="shared" si="142"/>
        <v>OK</v>
      </c>
      <c r="R2298" t="str">
        <f t="shared" si="143"/>
        <v>OK</v>
      </c>
    </row>
    <row r="2299" spans="1:18" x14ac:dyDescent="0.3">
      <c r="A2299" s="1">
        <v>45714</v>
      </c>
      <c r="B2299" s="2" t="s">
        <v>2631</v>
      </c>
      <c r="C2299" s="2" t="s">
        <v>2541</v>
      </c>
      <c r="D2299" s="2" t="s">
        <v>2516</v>
      </c>
      <c r="E2299" s="2" t="s">
        <v>2517</v>
      </c>
      <c r="F2299" s="3">
        <v>83520</v>
      </c>
      <c r="G2299" s="3">
        <v>7210</v>
      </c>
      <c r="H2299" s="3">
        <v>45</v>
      </c>
      <c r="I2299" s="4">
        <v>3971.98</v>
      </c>
      <c r="J2299" s="4">
        <v>7863.71</v>
      </c>
      <c r="K2299" s="3">
        <v>27</v>
      </c>
      <c r="L2299" s="2" t="s">
        <v>2518</v>
      </c>
      <c r="M2299" s="2" t="s">
        <v>2524</v>
      </c>
      <c r="N2299" s="6">
        <f t="shared" si="140"/>
        <v>1</v>
      </c>
      <c r="O2299" t="str">
        <f>IF(Tabla_control[[#This Row],[Control_duplicados]]&gt;1,"Duplicado","Unico")</f>
        <v>Unico</v>
      </c>
      <c r="P2299" t="str">
        <f t="shared" si="141"/>
        <v>OK</v>
      </c>
      <c r="Q2299" t="str">
        <f t="shared" si="142"/>
        <v>OK</v>
      </c>
      <c r="R2299" t="str">
        <f t="shared" si="143"/>
        <v>OK</v>
      </c>
    </row>
    <row r="2300" spans="1:18" x14ac:dyDescent="0.3">
      <c r="A2300" s="1">
        <v>45685</v>
      </c>
      <c r="B2300" s="2" t="s">
        <v>2639</v>
      </c>
      <c r="C2300" s="2" t="s">
        <v>2521</v>
      </c>
      <c r="D2300" s="2" t="s">
        <v>2525</v>
      </c>
      <c r="E2300" s="2" t="s">
        <v>2517</v>
      </c>
      <c r="F2300" s="3">
        <v>66963</v>
      </c>
      <c r="G2300" s="3">
        <v>5174</v>
      </c>
      <c r="H2300" s="3">
        <v>159</v>
      </c>
      <c r="I2300" s="4">
        <v>3707.43</v>
      </c>
      <c r="J2300" s="4">
        <v>30141.67</v>
      </c>
      <c r="K2300" s="3">
        <v>103</v>
      </c>
      <c r="L2300" s="2" t="s">
        <v>2536</v>
      </c>
      <c r="M2300" s="2" t="s">
        <v>2537</v>
      </c>
      <c r="N2300" s="6">
        <f t="shared" si="140"/>
        <v>1</v>
      </c>
      <c r="O2300" t="str">
        <f>IF(Tabla_control[[#This Row],[Control_duplicados]]&gt;1,"Duplicado","Unico")</f>
        <v>Unico</v>
      </c>
      <c r="P2300" t="str">
        <f t="shared" si="141"/>
        <v>OK</v>
      </c>
      <c r="Q2300" t="str">
        <f t="shared" si="142"/>
        <v>OK</v>
      </c>
      <c r="R2300" t="str">
        <f t="shared" si="143"/>
        <v>OK</v>
      </c>
    </row>
    <row r="2301" spans="1:18" x14ac:dyDescent="0.3">
      <c r="A2301" s="1">
        <v>45708</v>
      </c>
      <c r="B2301" s="2" t="s">
        <v>2617</v>
      </c>
      <c r="C2301" s="2" t="s">
        <v>2543</v>
      </c>
      <c r="D2301" s="2" t="s">
        <v>2528</v>
      </c>
      <c r="E2301" s="2" t="s">
        <v>2517</v>
      </c>
      <c r="F2301" s="3">
        <v>131552</v>
      </c>
      <c r="G2301" s="3">
        <v>7390</v>
      </c>
      <c r="H2301" s="3">
        <v>394</v>
      </c>
      <c r="I2301" s="4">
        <v>14746.13</v>
      </c>
      <c r="J2301" s="4">
        <v>56382.5</v>
      </c>
      <c r="K2301" s="3">
        <v>232</v>
      </c>
      <c r="L2301" s="2" t="s">
        <v>2518</v>
      </c>
      <c r="M2301" s="2" t="s">
        <v>2524</v>
      </c>
      <c r="N2301" s="6">
        <f t="shared" si="140"/>
        <v>1</v>
      </c>
      <c r="O2301" t="str">
        <f>IF(Tabla_control[[#This Row],[Control_duplicados]]&gt;1,"Duplicado","Unico")</f>
        <v>Unico</v>
      </c>
      <c r="P2301" t="str">
        <f t="shared" si="141"/>
        <v>OK</v>
      </c>
      <c r="Q2301" t="str">
        <f t="shared" si="142"/>
        <v>OK</v>
      </c>
      <c r="R2301" t="str">
        <f t="shared" si="143"/>
        <v>OK</v>
      </c>
    </row>
    <row r="2302" spans="1:18" x14ac:dyDescent="0.3">
      <c r="A2302" s="1">
        <v>45979</v>
      </c>
      <c r="B2302" s="2" t="s">
        <v>2625</v>
      </c>
      <c r="C2302" s="2" t="s">
        <v>2527</v>
      </c>
      <c r="D2302" s="2" t="s">
        <v>2528</v>
      </c>
      <c r="E2302" s="2" t="s">
        <v>2529</v>
      </c>
      <c r="F2302" s="3">
        <v>25044</v>
      </c>
      <c r="G2302" s="3">
        <v>1593</v>
      </c>
      <c r="H2302" s="3">
        <v>28</v>
      </c>
      <c r="I2302" s="4">
        <v>905.16</v>
      </c>
      <c r="J2302" s="4">
        <v>2069.69</v>
      </c>
      <c r="K2302" s="3">
        <v>16</v>
      </c>
      <c r="L2302" s="2" t="s">
        <v>2539</v>
      </c>
      <c r="M2302" s="2" t="s">
        <v>2526</v>
      </c>
      <c r="N2302" s="6">
        <f t="shared" si="140"/>
        <v>1</v>
      </c>
      <c r="O2302" t="str">
        <f>IF(Tabla_control[[#This Row],[Control_duplicados]]&gt;1,"Duplicado","Unico")</f>
        <v>Unico</v>
      </c>
      <c r="P2302" t="str">
        <f t="shared" si="141"/>
        <v>OK</v>
      </c>
      <c r="Q2302" t="str">
        <f t="shared" si="142"/>
        <v>OK</v>
      </c>
      <c r="R2302" t="str">
        <f t="shared" si="143"/>
        <v>OK</v>
      </c>
    </row>
    <row r="2303" spans="1:18" x14ac:dyDescent="0.3">
      <c r="A2303" s="1">
        <v>45975</v>
      </c>
      <c r="B2303" s="2" t="s">
        <v>2620</v>
      </c>
      <c r="C2303" s="2" t="s">
        <v>2543</v>
      </c>
      <c r="D2303" s="2" t="s">
        <v>2531</v>
      </c>
      <c r="E2303" s="2" t="s">
        <v>2529</v>
      </c>
      <c r="F2303" s="3">
        <v>93010</v>
      </c>
      <c r="G2303" s="3">
        <v>1208</v>
      </c>
      <c r="H2303" s="3">
        <v>132</v>
      </c>
      <c r="I2303" s="4">
        <v>1757.33</v>
      </c>
      <c r="J2303" s="4">
        <v>25499.38</v>
      </c>
      <c r="K2303" s="3">
        <v>80</v>
      </c>
      <c r="L2303" s="2" t="s">
        <v>2523</v>
      </c>
      <c r="M2303" s="2" t="s">
        <v>2546</v>
      </c>
      <c r="N2303" s="6">
        <f t="shared" si="140"/>
        <v>1</v>
      </c>
      <c r="O2303" t="str">
        <f>IF(Tabla_control[[#This Row],[Control_duplicados]]&gt;1,"Duplicado","Unico")</f>
        <v>Unico</v>
      </c>
      <c r="P2303" t="str">
        <f t="shared" si="141"/>
        <v>OK</v>
      </c>
      <c r="Q2303" t="str">
        <f t="shared" si="142"/>
        <v>OK</v>
      </c>
      <c r="R2303" t="str">
        <f t="shared" si="143"/>
        <v>OK</v>
      </c>
    </row>
    <row r="2304" spans="1:18" x14ac:dyDescent="0.3">
      <c r="A2304" s="1">
        <v>45773</v>
      </c>
      <c r="B2304" s="2" t="s">
        <v>2621</v>
      </c>
      <c r="C2304" s="2" t="s">
        <v>2515</v>
      </c>
      <c r="D2304" s="2" t="s">
        <v>2528</v>
      </c>
      <c r="E2304" s="2" t="s">
        <v>2529</v>
      </c>
      <c r="F2304" s="3">
        <v>145644</v>
      </c>
      <c r="G2304" s="3">
        <v>10729</v>
      </c>
      <c r="H2304" s="3">
        <v>1421</v>
      </c>
      <c r="I2304" s="4">
        <v>1453.02</v>
      </c>
      <c r="J2304" s="4">
        <v>250329.44</v>
      </c>
      <c r="K2304" s="3">
        <v>1263</v>
      </c>
      <c r="L2304" s="2" t="s">
        <v>2536</v>
      </c>
      <c r="M2304" s="2" t="s">
        <v>2537</v>
      </c>
      <c r="N2304" s="6">
        <f t="shared" si="140"/>
        <v>2</v>
      </c>
      <c r="O2304" t="str">
        <f>IF(Tabla_control[[#This Row],[Control_duplicados]]&gt;1,"Duplicado","Unico")</f>
        <v>Duplicado</v>
      </c>
      <c r="P2304" t="str">
        <f t="shared" si="141"/>
        <v>OK</v>
      </c>
      <c r="Q2304" t="str">
        <f t="shared" si="142"/>
        <v>OK</v>
      </c>
      <c r="R2304" t="str">
        <f t="shared" si="143"/>
        <v>OK</v>
      </c>
    </row>
    <row r="2305" spans="1:18" x14ac:dyDescent="0.3">
      <c r="A2305" s="1">
        <v>45931</v>
      </c>
      <c r="B2305" s="2" t="s">
        <v>2637</v>
      </c>
      <c r="C2305" s="2" t="s">
        <v>2543</v>
      </c>
      <c r="D2305" s="2" t="s">
        <v>2525</v>
      </c>
      <c r="E2305" s="2" t="s">
        <v>2517</v>
      </c>
      <c r="F2305" s="3">
        <v>62252</v>
      </c>
      <c r="G2305" s="3">
        <v>3841</v>
      </c>
      <c r="H2305" s="3">
        <v>29</v>
      </c>
      <c r="I2305" s="4">
        <v>7114.33</v>
      </c>
      <c r="J2305" s="4">
        <v>5839.92</v>
      </c>
      <c r="K2305" s="3">
        <v>22</v>
      </c>
      <c r="L2305" s="2" t="s">
        <v>2539</v>
      </c>
      <c r="M2305" s="2" t="s">
        <v>2526</v>
      </c>
      <c r="N2305" s="6">
        <f t="shared" si="140"/>
        <v>1</v>
      </c>
      <c r="O2305" t="str">
        <f>IF(Tabla_control[[#This Row],[Control_duplicados]]&gt;1,"Duplicado","Unico")</f>
        <v>Unico</v>
      </c>
      <c r="P2305" t="str">
        <f t="shared" si="141"/>
        <v>OK</v>
      </c>
      <c r="Q2305" t="str">
        <f t="shared" si="142"/>
        <v>OK</v>
      </c>
      <c r="R2305" t="str">
        <f t="shared" si="143"/>
        <v>OK</v>
      </c>
    </row>
    <row r="2306" spans="1:18" x14ac:dyDescent="0.3">
      <c r="A2306" s="1">
        <v>45883</v>
      </c>
      <c r="B2306" s="2" t="s">
        <v>2628</v>
      </c>
      <c r="C2306" s="2" t="s">
        <v>2543</v>
      </c>
      <c r="D2306" s="2" t="s">
        <v>2528</v>
      </c>
      <c r="E2306" s="2" t="s">
        <v>2529</v>
      </c>
      <c r="F2306" s="3">
        <v>172079</v>
      </c>
      <c r="G2306" s="3">
        <v>12450</v>
      </c>
      <c r="H2306" s="3">
        <v>922</v>
      </c>
      <c r="I2306" s="4">
        <v>6512.12</v>
      </c>
      <c r="J2306" s="4">
        <v>90286.16</v>
      </c>
      <c r="K2306" s="3">
        <v>690</v>
      </c>
      <c r="L2306" s="2" t="s">
        <v>2536</v>
      </c>
      <c r="M2306" s="2" t="s">
        <v>2526</v>
      </c>
      <c r="N2306" s="6">
        <f t="shared" ref="N2306:N2369" si="144">COUNTIFS($A$2:$A$2536,A2306,$B$2:$B$2536,B2306,$C$2:$C$2536,C2306,$D$2:$D$2536,D2306,$E$2:$E$2536,E2306,$F$2:$F$2536,F2306,$G$2:$G$2536,G2306,$H$2:$H$2536,H2306,$I$2:$I$2536,I2306,$J$2:$J$2536,J2306,$K$2:$K$2536,K2306,$L$2:$L$2536,L2306,$M$2:$M$2536,M2306)</f>
        <v>1</v>
      </c>
      <c r="O2306" t="str">
        <f>IF(Tabla_control[[#This Row],[Control_duplicados]]&gt;1,"Duplicado","Unico")</f>
        <v>Unico</v>
      </c>
      <c r="P2306" t="str">
        <f t="shared" ref="P2306:P2369" si="145">IF(OR(I2306="",I2306&lt;0),"ERROR","OK")</f>
        <v>OK</v>
      </c>
      <c r="Q2306" t="str">
        <f t="shared" ref="Q2306:Q2369" si="146">IF(H2306&gt;F2306,"ERROR","OK")</f>
        <v>OK</v>
      </c>
      <c r="R2306" t="str">
        <f t="shared" ref="R2306:R2369" si="147">IF(K2306&gt;H2306,"ERROR","OK")</f>
        <v>OK</v>
      </c>
    </row>
    <row r="2307" spans="1:18" x14ac:dyDescent="0.3">
      <c r="A2307" s="1">
        <v>45677</v>
      </c>
      <c r="B2307" s="2" t="s">
        <v>2636</v>
      </c>
      <c r="C2307" s="2" t="s">
        <v>2527</v>
      </c>
      <c r="D2307" s="2" t="s">
        <v>2516</v>
      </c>
      <c r="E2307" s="2" t="s">
        <v>2529</v>
      </c>
      <c r="F2307" s="3">
        <v>86509</v>
      </c>
      <c r="G2307" s="3">
        <v>5627</v>
      </c>
      <c r="H2307" s="3">
        <v>554</v>
      </c>
      <c r="I2307" s="4">
        <v>2602.64</v>
      </c>
      <c r="J2307" s="4">
        <v>109245.61</v>
      </c>
      <c r="K2307" s="3">
        <v>387</v>
      </c>
      <c r="L2307" s="2" t="s">
        <v>2518</v>
      </c>
      <c r="M2307" s="2" t="s">
        <v>2526</v>
      </c>
      <c r="N2307" s="6">
        <f t="shared" si="144"/>
        <v>1</v>
      </c>
      <c r="O2307" t="str">
        <f>IF(Tabla_control[[#This Row],[Control_duplicados]]&gt;1,"Duplicado","Unico")</f>
        <v>Unico</v>
      </c>
      <c r="P2307" t="str">
        <f t="shared" si="145"/>
        <v>OK</v>
      </c>
      <c r="Q2307" t="str">
        <f t="shared" si="146"/>
        <v>OK</v>
      </c>
      <c r="R2307" t="str">
        <f t="shared" si="147"/>
        <v>OK</v>
      </c>
    </row>
    <row r="2308" spans="1:18" x14ac:dyDescent="0.3">
      <c r="A2308" s="1">
        <v>45694</v>
      </c>
      <c r="B2308" s="2" t="s">
        <v>2617</v>
      </c>
      <c r="C2308" s="2" t="s">
        <v>2515</v>
      </c>
      <c r="D2308" s="2" t="s">
        <v>2528</v>
      </c>
      <c r="E2308" s="2" t="s">
        <v>2517</v>
      </c>
      <c r="F2308" s="3">
        <v>12310</v>
      </c>
      <c r="G2308" s="3">
        <v>596</v>
      </c>
      <c r="H2308" s="3">
        <v>19</v>
      </c>
      <c r="I2308" s="4">
        <v>219.54</v>
      </c>
      <c r="J2308" s="4">
        <v>1383.9</v>
      </c>
      <c r="K2308" s="3">
        <v>12</v>
      </c>
      <c r="L2308" s="2" t="s">
        <v>2523</v>
      </c>
      <c r="M2308" s="2" t="s">
        <v>2524</v>
      </c>
      <c r="N2308" s="6">
        <f t="shared" si="144"/>
        <v>1</v>
      </c>
      <c r="O2308" t="str">
        <f>IF(Tabla_control[[#This Row],[Control_duplicados]]&gt;1,"Duplicado","Unico")</f>
        <v>Unico</v>
      </c>
      <c r="P2308" t="str">
        <f t="shared" si="145"/>
        <v>OK</v>
      </c>
      <c r="Q2308" t="str">
        <f t="shared" si="146"/>
        <v>OK</v>
      </c>
      <c r="R2308" t="str">
        <f t="shared" si="147"/>
        <v>OK</v>
      </c>
    </row>
    <row r="2309" spans="1:18" x14ac:dyDescent="0.3">
      <c r="A2309" s="1">
        <v>45852</v>
      </c>
      <c r="B2309" s="2" t="s">
        <v>2632</v>
      </c>
      <c r="C2309" s="2" t="s">
        <v>2533</v>
      </c>
      <c r="D2309" s="2" t="s">
        <v>2516</v>
      </c>
      <c r="E2309" s="2" t="s">
        <v>2517</v>
      </c>
      <c r="F2309" s="3">
        <v>34056</v>
      </c>
      <c r="G2309" s="3">
        <v>2096</v>
      </c>
      <c r="H2309" s="3">
        <v>148</v>
      </c>
      <c r="I2309" s="4">
        <v>2903.2</v>
      </c>
      <c r="J2309" s="4">
        <v>22649.43</v>
      </c>
      <c r="K2309" s="3">
        <v>131</v>
      </c>
      <c r="L2309" s="2" t="s">
        <v>2523</v>
      </c>
      <c r="M2309" s="2" t="s">
        <v>2526</v>
      </c>
      <c r="N2309" s="6">
        <f t="shared" si="144"/>
        <v>1</v>
      </c>
      <c r="O2309" t="str">
        <f>IF(Tabla_control[[#This Row],[Control_duplicados]]&gt;1,"Duplicado","Unico")</f>
        <v>Unico</v>
      </c>
      <c r="P2309" t="str">
        <f t="shared" si="145"/>
        <v>OK</v>
      </c>
      <c r="Q2309" t="str">
        <f t="shared" si="146"/>
        <v>OK</v>
      </c>
      <c r="R2309" t="str">
        <f t="shared" si="147"/>
        <v>OK</v>
      </c>
    </row>
    <row r="2310" spans="1:18" x14ac:dyDescent="0.3">
      <c r="A2310" s="1">
        <v>45906</v>
      </c>
      <c r="B2310" s="2" t="s">
        <v>2630</v>
      </c>
      <c r="C2310" s="2" t="s">
        <v>2543</v>
      </c>
      <c r="D2310" s="2" t="s">
        <v>2528</v>
      </c>
      <c r="E2310" s="2" t="s">
        <v>2517</v>
      </c>
      <c r="F2310" s="3">
        <v>89532</v>
      </c>
      <c r="G2310" s="3">
        <v>5359</v>
      </c>
      <c r="H2310" s="3">
        <v>470</v>
      </c>
      <c r="I2310" s="4">
        <v>2317.08</v>
      </c>
      <c r="J2310" s="4">
        <v>24221.58</v>
      </c>
      <c r="K2310" s="3">
        <v>315</v>
      </c>
      <c r="L2310" s="2" t="s">
        <v>2536</v>
      </c>
      <c r="M2310" s="2" t="s">
        <v>2524</v>
      </c>
      <c r="N2310" s="6">
        <f t="shared" si="144"/>
        <v>2</v>
      </c>
      <c r="O2310" t="str">
        <f>IF(Tabla_control[[#This Row],[Control_duplicados]]&gt;1,"Duplicado","Unico")</f>
        <v>Duplicado</v>
      </c>
      <c r="P2310" t="str">
        <f t="shared" si="145"/>
        <v>OK</v>
      </c>
      <c r="Q2310" t="str">
        <f t="shared" si="146"/>
        <v>OK</v>
      </c>
      <c r="R2310" t="str">
        <f t="shared" si="147"/>
        <v>OK</v>
      </c>
    </row>
    <row r="2311" spans="1:18" x14ac:dyDescent="0.3">
      <c r="A2311" s="1">
        <v>45995</v>
      </c>
      <c r="B2311" s="2" t="s">
        <v>2623</v>
      </c>
      <c r="C2311" s="2" t="s">
        <v>2543</v>
      </c>
      <c r="D2311" s="2" t="s">
        <v>2525</v>
      </c>
      <c r="E2311" s="2" t="s">
        <v>2517</v>
      </c>
      <c r="F2311" s="3">
        <v>137453</v>
      </c>
      <c r="G2311" s="3">
        <v>5153</v>
      </c>
      <c r="H2311" s="3">
        <v>48</v>
      </c>
      <c r="I2311" s="4">
        <v>9012.7000000000007</v>
      </c>
      <c r="J2311" s="4">
        <v>725.98</v>
      </c>
      <c r="K2311" s="3">
        <v>38</v>
      </c>
      <c r="L2311" s="2" t="s">
        <v>2536</v>
      </c>
      <c r="M2311" s="2" t="s">
        <v>2537</v>
      </c>
      <c r="N2311" s="6">
        <f t="shared" si="144"/>
        <v>1</v>
      </c>
      <c r="O2311" t="str">
        <f>IF(Tabla_control[[#This Row],[Control_duplicados]]&gt;1,"Duplicado","Unico")</f>
        <v>Unico</v>
      </c>
      <c r="P2311" t="str">
        <f t="shared" si="145"/>
        <v>OK</v>
      </c>
      <c r="Q2311" t="str">
        <f t="shared" si="146"/>
        <v>OK</v>
      </c>
      <c r="R2311" t="str">
        <f t="shared" si="147"/>
        <v>OK</v>
      </c>
    </row>
    <row r="2312" spans="1:18" x14ac:dyDescent="0.3">
      <c r="A2312" s="1">
        <v>45783</v>
      </c>
      <c r="B2312" s="2" t="s">
        <v>2626</v>
      </c>
      <c r="C2312" s="2" t="s">
        <v>2533</v>
      </c>
      <c r="D2312" s="2" t="s">
        <v>2516</v>
      </c>
      <c r="E2312" s="2" t="s">
        <v>2529</v>
      </c>
      <c r="F2312" s="3">
        <v>88028</v>
      </c>
      <c r="G2312" s="3">
        <v>860</v>
      </c>
      <c r="H2312" s="3">
        <v>14</v>
      </c>
      <c r="I2312" s="4">
        <v>813.48</v>
      </c>
      <c r="J2312" s="4">
        <v>407.24</v>
      </c>
      <c r="K2312" s="3">
        <v>8</v>
      </c>
      <c r="L2312" s="2" t="s">
        <v>2518</v>
      </c>
      <c r="M2312" s="2" t="s">
        <v>2546</v>
      </c>
      <c r="N2312" s="6">
        <f t="shared" si="144"/>
        <v>1</v>
      </c>
      <c r="O2312" t="str">
        <f>IF(Tabla_control[[#This Row],[Control_duplicados]]&gt;1,"Duplicado","Unico")</f>
        <v>Unico</v>
      </c>
      <c r="P2312" t="str">
        <f t="shared" si="145"/>
        <v>OK</v>
      </c>
      <c r="Q2312" t="str">
        <f t="shared" si="146"/>
        <v>OK</v>
      </c>
      <c r="R2312" t="str">
        <f t="shared" si="147"/>
        <v>OK</v>
      </c>
    </row>
    <row r="2313" spans="1:18" x14ac:dyDescent="0.3">
      <c r="A2313" s="1">
        <v>45675</v>
      </c>
      <c r="B2313" s="2" t="s">
        <v>2636</v>
      </c>
      <c r="C2313" s="2" t="s">
        <v>2515</v>
      </c>
      <c r="D2313" s="2" t="s">
        <v>2528</v>
      </c>
      <c r="E2313" s="2" t="s">
        <v>2529</v>
      </c>
      <c r="F2313" s="3">
        <v>125817</v>
      </c>
      <c r="G2313" s="3">
        <v>3590</v>
      </c>
      <c r="H2313" s="3">
        <v>492</v>
      </c>
      <c r="I2313" s="4">
        <v>5254.97</v>
      </c>
      <c r="J2313" s="4">
        <v>21494.880000000001</v>
      </c>
      <c r="K2313" s="3">
        <v>308</v>
      </c>
      <c r="L2313" s="2" t="s">
        <v>2523</v>
      </c>
      <c r="M2313" s="2" t="s">
        <v>2519</v>
      </c>
      <c r="N2313" s="6">
        <f t="shared" si="144"/>
        <v>1</v>
      </c>
      <c r="O2313" t="str">
        <f>IF(Tabla_control[[#This Row],[Control_duplicados]]&gt;1,"Duplicado","Unico")</f>
        <v>Unico</v>
      </c>
      <c r="P2313" t="str">
        <f t="shared" si="145"/>
        <v>OK</v>
      </c>
      <c r="Q2313" t="str">
        <f t="shared" si="146"/>
        <v>OK</v>
      </c>
      <c r="R2313" t="str">
        <f t="shared" si="147"/>
        <v>OK</v>
      </c>
    </row>
    <row r="2314" spans="1:18" x14ac:dyDescent="0.3">
      <c r="A2314" s="1">
        <v>45776</v>
      </c>
      <c r="B2314" s="2" t="s">
        <v>2636</v>
      </c>
      <c r="C2314" s="2" t="s">
        <v>2541</v>
      </c>
      <c r="D2314" s="2" t="s">
        <v>2528</v>
      </c>
      <c r="E2314" s="2" t="s">
        <v>2529</v>
      </c>
      <c r="F2314" s="3">
        <v>74838</v>
      </c>
      <c r="G2314" s="3">
        <v>3310</v>
      </c>
      <c r="H2314" s="3">
        <v>254</v>
      </c>
      <c r="I2314" s="4">
        <v>2216.0500000000002</v>
      </c>
      <c r="J2314" s="4">
        <v>4593.8599999999997</v>
      </c>
      <c r="K2314" s="3">
        <v>124</v>
      </c>
      <c r="L2314" s="2" t="s">
        <v>2536</v>
      </c>
      <c r="M2314" s="2" t="s">
        <v>2546</v>
      </c>
      <c r="N2314" s="6">
        <f t="shared" si="144"/>
        <v>1</v>
      </c>
      <c r="O2314" t="str">
        <f>IF(Tabla_control[[#This Row],[Control_duplicados]]&gt;1,"Duplicado","Unico")</f>
        <v>Unico</v>
      </c>
      <c r="P2314" t="str">
        <f t="shared" si="145"/>
        <v>OK</v>
      </c>
      <c r="Q2314" t="str">
        <f t="shared" si="146"/>
        <v>OK</v>
      </c>
      <c r="R2314" t="str">
        <f t="shared" si="147"/>
        <v>OK</v>
      </c>
    </row>
    <row r="2315" spans="1:18" x14ac:dyDescent="0.3">
      <c r="A2315" s="1">
        <v>45684</v>
      </c>
      <c r="B2315" s="2" t="s">
        <v>2625</v>
      </c>
      <c r="C2315" s="2" t="s">
        <v>2527</v>
      </c>
      <c r="D2315" s="2" t="s">
        <v>2528</v>
      </c>
      <c r="E2315" s="2" t="s">
        <v>2517</v>
      </c>
      <c r="F2315" s="3">
        <v>66713</v>
      </c>
      <c r="G2315" s="3">
        <v>5561</v>
      </c>
      <c r="H2315" s="3">
        <v>610</v>
      </c>
      <c r="I2315" s="4">
        <v>10005.93</v>
      </c>
      <c r="J2315" s="4">
        <v>74528.240000000005</v>
      </c>
      <c r="K2315" s="3">
        <v>501</v>
      </c>
      <c r="L2315" s="2" t="s">
        <v>2539</v>
      </c>
      <c r="M2315" s="2" t="s">
        <v>2526</v>
      </c>
      <c r="N2315" s="6">
        <f t="shared" si="144"/>
        <v>1</v>
      </c>
      <c r="O2315" t="str">
        <f>IF(Tabla_control[[#This Row],[Control_duplicados]]&gt;1,"Duplicado","Unico")</f>
        <v>Unico</v>
      </c>
      <c r="P2315" t="str">
        <f t="shared" si="145"/>
        <v>OK</v>
      </c>
      <c r="Q2315" t="str">
        <f t="shared" si="146"/>
        <v>OK</v>
      </c>
      <c r="R2315" t="str">
        <f t="shared" si="147"/>
        <v>OK</v>
      </c>
    </row>
    <row r="2316" spans="1:18" x14ac:dyDescent="0.3">
      <c r="A2316" s="1">
        <v>45713</v>
      </c>
      <c r="B2316" s="2" t="s">
        <v>2638</v>
      </c>
      <c r="C2316" s="2" t="s">
        <v>2543</v>
      </c>
      <c r="D2316" s="2" t="s">
        <v>2531</v>
      </c>
      <c r="E2316" s="2" t="s">
        <v>2529</v>
      </c>
      <c r="F2316" s="3">
        <v>85218</v>
      </c>
      <c r="G2316" s="3">
        <v>6975</v>
      </c>
      <c r="H2316" s="3">
        <v>741</v>
      </c>
      <c r="I2316" s="4">
        <v>12876.21</v>
      </c>
      <c r="J2316" s="4">
        <v>44547.56</v>
      </c>
      <c r="K2316" s="3">
        <v>596</v>
      </c>
      <c r="L2316" s="2" t="s">
        <v>2539</v>
      </c>
      <c r="M2316" s="2" t="s">
        <v>2526</v>
      </c>
      <c r="N2316" s="6">
        <f t="shared" si="144"/>
        <v>1</v>
      </c>
      <c r="O2316" t="str">
        <f>IF(Tabla_control[[#This Row],[Control_duplicados]]&gt;1,"Duplicado","Unico")</f>
        <v>Unico</v>
      </c>
      <c r="P2316" t="str">
        <f t="shared" si="145"/>
        <v>OK</v>
      </c>
      <c r="Q2316" t="str">
        <f t="shared" si="146"/>
        <v>OK</v>
      </c>
      <c r="R2316" t="str">
        <f t="shared" si="147"/>
        <v>OK</v>
      </c>
    </row>
    <row r="2317" spans="1:18" x14ac:dyDescent="0.3">
      <c r="A2317" s="1">
        <v>45866</v>
      </c>
      <c r="B2317" s="2" t="s">
        <v>2629</v>
      </c>
      <c r="C2317" s="2" t="s">
        <v>2515</v>
      </c>
      <c r="D2317" s="2" t="s">
        <v>2531</v>
      </c>
      <c r="E2317" s="2" t="s">
        <v>2517</v>
      </c>
      <c r="F2317" s="3">
        <v>88432</v>
      </c>
      <c r="G2317" s="3">
        <v>5971</v>
      </c>
      <c r="H2317" s="3">
        <v>280</v>
      </c>
      <c r="I2317" s="4">
        <v>9512.51</v>
      </c>
      <c r="J2317" s="4">
        <v>56394.42</v>
      </c>
      <c r="K2317" s="3">
        <v>249</v>
      </c>
      <c r="L2317" s="2" t="s">
        <v>2539</v>
      </c>
      <c r="M2317" s="2" t="s">
        <v>2526</v>
      </c>
      <c r="N2317" s="6">
        <f t="shared" si="144"/>
        <v>1</v>
      </c>
      <c r="O2317" t="str">
        <f>IF(Tabla_control[[#This Row],[Control_duplicados]]&gt;1,"Duplicado","Unico")</f>
        <v>Unico</v>
      </c>
      <c r="P2317" t="str">
        <f t="shared" si="145"/>
        <v>OK</v>
      </c>
      <c r="Q2317" t="str">
        <f t="shared" si="146"/>
        <v>OK</v>
      </c>
      <c r="R2317" t="str">
        <f t="shared" si="147"/>
        <v>OK</v>
      </c>
    </row>
    <row r="2318" spans="1:18" x14ac:dyDescent="0.3">
      <c r="A2318" s="1">
        <v>45845</v>
      </c>
      <c r="B2318" s="2" t="s">
        <v>2644</v>
      </c>
      <c r="C2318" s="2" t="s">
        <v>2541</v>
      </c>
      <c r="D2318" s="2" t="s">
        <v>2516</v>
      </c>
      <c r="E2318" s="2" t="s">
        <v>2534</v>
      </c>
      <c r="F2318" s="3">
        <v>144023</v>
      </c>
      <c r="G2318" s="3">
        <v>12595</v>
      </c>
      <c r="H2318" s="3">
        <v>1188</v>
      </c>
      <c r="I2318" s="4">
        <v>22609.94</v>
      </c>
      <c r="J2318" s="4">
        <v>183094.21</v>
      </c>
      <c r="K2318" s="3">
        <v>840</v>
      </c>
      <c r="L2318" s="2" t="s">
        <v>2539</v>
      </c>
      <c r="M2318" s="2" t="s">
        <v>2524</v>
      </c>
      <c r="N2318" s="6">
        <f t="shared" si="144"/>
        <v>1</v>
      </c>
      <c r="O2318" t="str">
        <f>IF(Tabla_control[[#This Row],[Control_duplicados]]&gt;1,"Duplicado","Unico")</f>
        <v>Unico</v>
      </c>
      <c r="P2318" t="str">
        <f t="shared" si="145"/>
        <v>OK</v>
      </c>
      <c r="Q2318" t="str">
        <f t="shared" si="146"/>
        <v>OK</v>
      </c>
      <c r="R2318" t="str">
        <f t="shared" si="147"/>
        <v>OK</v>
      </c>
    </row>
    <row r="2319" spans="1:18" x14ac:dyDescent="0.3">
      <c r="A2319" s="1">
        <v>45999</v>
      </c>
      <c r="B2319" s="2" t="s">
        <v>2634</v>
      </c>
      <c r="C2319" s="2" t="s">
        <v>2515</v>
      </c>
      <c r="D2319" s="2" t="s">
        <v>2516</v>
      </c>
      <c r="E2319" s="2" t="s">
        <v>2529</v>
      </c>
      <c r="F2319" s="3">
        <v>12247</v>
      </c>
      <c r="G2319" s="3">
        <v>721</v>
      </c>
      <c r="H2319" s="3">
        <v>71</v>
      </c>
      <c r="I2319" s="4">
        <v>1219.23</v>
      </c>
      <c r="J2319" s="4">
        <v>5280.11</v>
      </c>
      <c r="K2319" s="3">
        <v>54</v>
      </c>
      <c r="L2319" s="2" t="s">
        <v>2518</v>
      </c>
      <c r="M2319" s="2" t="s">
        <v>2524</v>
      </c>
      <c r="N2319" s="6">
        <f t="shared" si="144"/>
        <v>1</v>
      </c>
      <c r="O2319" t="str">
        <f>IF(Tabla_control[[#This Row],[Control_duplicados]]&gt;1,"Duplicado","Unico")</f>
        <v>Unico</v>
      </c>
      <c r="P2319" t="str">
        <f t="shared" si="145"/>
        <v>OK</v>
      </c>
      <c r="Q2319" t="str">
        <f t="shared" si="146"/>
        <v>OK</v>
      </c>
      <c r="R2319" t="str">
        <f t="shared" si="147"/>
        <v>OK</v>
      </c>
    </row>
    <row r="2320" spans="1:18" x14ac:dyDescent="0.3">
      <c r="A2320" s="1">
        <v>45849</v>
      </c>
      <c r="B2320" s="2" t="s">
        <v>2621</v>
      </c>
      <c r="C2320" s="2" t="s">
        <v>2515</v>
      </c>
      <c r="D2320" s="2" t="s">
        <v>2516</v>
      </c>
      <c r="E2320" s="2" t="s">
        <v>2529</v>
      </c>
      <c r="F2320" s="3">
        <v>5481</v>
      </c>
      <c r="G2320" s="3">
        <v>74</v>
      </c>
      <c r="H2320" s="3">
        <v>3</v>
      </c>
      <c r="I2320" s="4">
        <v>126.8</v>
      </c>
      <c r="J2320" s="4">
        <v>164</v>
      </c>
      <c r="K2320" s="3">
        <v>2</v>
      </c>
      <c r="L2320" s="2" t="s">
        <v>2523</v>
      </c>
      <c r="M2320" s="2" t="s">
        <v>2519</v>
      </c>
      <c r="N2320" s="6">
        <f t="shared" si="144"/>
        <v>1</v>
      </c>
      <c r="O2320" t="str">
        <f>IF(Tabla_control[[#This Row],[Control_duplicados]]&gt;1,"Duplicado","Unico")</f>
        <v>Unico</v>
      </c>
      <c r="P2320" t="str">
        <f t="shared" si="145"/>
        <v>OK</v>
      </c>
      <c r="Q2320" t="str">
        <f t="shared" si="146"/>
        <v>OK</v>
      </c>
      <c r="R2320" t="str">
        <f t="shared" si="147"/>
        <v>OK</v>
      </c>
    </row>
    <row r="2321" spans="1:18" x14ac:dyDescent="0.3">
      <c r="A2321" s="1">
        <v>45966</v>
      </c>
      <c r="B2321" s="2" t="s">
        <v>2620</v>
      </c>
      <c r="C2321" s="2" t="s">
        <v>2515</v>
      </c>
      <c r="D2321" s="2" t="s">
        <v>2516</v>
      </c>
      <c r="E2321" s="2" t="s">
        <v>2517</v>
      </c>
      <c r="F2321" s="3">
        <v>77501</v>
      </c>
      <c r="G2321" s="3">
        <v>1774</v>
      </c>
      <c r="H2321" s="3">
        <v>68</v>
      </c>
      <c r="I2321" s="4">
        <v>947.37</v>
      </c>
      <c r="J2321" s="4">
        <v>6043.49</v>
      </c>
      <c r="K2321" s="3">
        <v>51</v>
      </c>
      <c r="L2321" s="2" t="s">
        <v>2536</v>
      </c>
      <c r="M2321" s="2" t="s">
        <v>2526</v>
      </c>
      <c r="N2321" s="6">
        <f t="shared" si="144"/>
        <v>1</v>
      </c>
      <c r="O2321" t="str">
        <f>IF(Tabla_control[[#This Row],[Control_duplicados]]&gt;1,"Duplicado","Unico")</f>
        <v>Unico</v>
      </c>
      <c r="P2321" t="str">
        <f t="shared" si="145"/>
        <v>OK</v>
      </c>
      <c r="Q2321" t="str">
        <f t="shared" si="146"/>
        <v>OK</v>
      </c>
      <c r="R2321" t="str">
        <f t="shared" si="147"/>
        <v>OK</v>
      </c>
    </row>
    <row r="2322" spans="1:18" x14ac:dyDescent="0.3">
      <c r="A2322" s="1">
        <v>46010</v>
      </c>
      <c r="B2322" s="2" t="s">
        <v>2640</v>
      </c>
      <c r="C2322" s="2" t="s">
        <v>2521</v>
      </c>
      <c r="D2322" s="2" t="s">
        <v>2525</v>
      </c>
      <c r="E2322" s="2" t="s">
        <v>2529</v>
      </c>
      <c r="F2322" s="3">
        <v>63275</v>
      </c>
      <c r="G2322" s="3">
        <v>4902</v>
      </c>
      <c r="H2322" s="3">
        <v>62</v>
      </c>
      <c r="I2322" s="4">
        <v>4845.1899999999996</v>
      </c>
      <c r="J2322" s="4">
        <v>8266.0400000000009</v>
      </c>
      <c r="K2322" s="3">
        <v>29</v>
      </c>
      <c r="L2322" s="2" t="s">
        <v>2539</v>
      </c>
      <c r="M2322" s="2" t="s">
        <v>2537</v>
      </c>
      <c r="N2322" s="6">
        <f t="shared" si="144"/>
        <v>1</v>
      </c>
      <c r="O2322" t="str">
        <f>IF(Tabla_control[[#This Row],[Control_duplicados]]&gt;1,"Duplicado","Unico")</f>
        <v>Unico</v>
      </c>
      <c r="P2322" t="str">
        <f t="shared" si="145"/>
        <v>OK</v>
      </c>
      <c r="Q2322" t="str">
        <f t="shared" si="146"/>
        <v>OK</v>
      </c>
      <c r="R2322" t="str">
        <f t="shared" si="147"/>
        <v>OK</v>
      </c>
    </row>
    <row r="2323" spans="1:18" x14ac:dyDescent="0.3">
      <c r="A2323" s="1">
        <v>45928</v>
      </c>
      <c r="B2323" s="2" t="s">
        <v>2615</v>
      </c>
      <c r="C2323" s="2" t="s">
        <v>2533</v>
      </c>
      <c r="D2323" s="2" t="s">
        <v>2528</v>
      </c>
      <c r="E2323" s="2" t="s">
        <v>2517</v>
      </c>
      <c r="F2323" s="3">
        <v>169426</v>
      </c>
      <c r="G2323" s="3">
        <v>9431</v>
      </c>
      <c r="H2323" s="3">
        <v>876</v>
      </c>
      <c r="I2323" s="4">
        <v>2895.52</v>
      </c>
      <c r="J2323" s="4">
        <v>186342.29</v>
      </c>
      <c r="K2323" s="3">
        <v>756</v>
      </c>
      <c r="L2323" s="2" t="s">
        <v>2518</v>
      </c>
      <c r="M2323" s="2" t="s">
        <v>2526</v>
      </c>
      <c r="N2323" s="6">
        <f t="shared" si="144"/>
        <v>1</v>
      </c>
      <c r="O2323" t="str">
        <f>IF(Tabla_control[[#This Row],[Control_duplicados]]&gt;1,"Duplicado","Unico")</f>
        <v>Unico</v>
      </c>
      <c r="P2323" t="str">
        <f t="shared" si="145"/>
        <v>OK</v>
      </c>
      <c r="Q2323" t="str">
        <f t="shared" si="146"/>
        <v>OK</v>
      </c>
      <c r="R2323" t="str">
        <f t="shared" si="147"/>
        <v>OK</v>
      </c>
    </row>
    <row r="2324" spans="1:18" x14ac:dyDescent="0.3">
      <c r="A2324" s="1">
        <v>45711</v>
      </c>
      <c r="B2324" s="2" t="s">
        <v>2639</v>
      </c>
      <c r="C2324" s="2" t="s">
        <v>2527</v>
      </c>
      <c r="D2324" s="2" t="s">
        <v>2528</v>
      </c>
      <c r="E2324" s="2" t="s">
        <v>2517</v>
      </c>
      <c r="F2324" s="3">
        <v>34835</v>
      </c>
      <c r="G2324" s="3">
        <v>2812</v>
      </c>
      <c r="H2324" s="3">
        <v>343</v>
      </c>
      <c r="I2324" s="4">
        <v>3528.38</v>
      </c>
      <c r="J2324" s="4">
        <v>72886.850000000006</v>
      </c>
      <c r="K2324" s="3">
        <v>200</v>
      </c>
      <c r="L2324" s="2" t="s">
        <v>2536</v>
      </c>
      <c r="M2324" s="2" t="s">
        <v>2537</v>
      </c>
      <c r="N2324" s="6">
        <f t="shared" si="144"/>
        <v>1</v>
      </c>
      <c r="O2324" t="str">
        <f>IF(Tabla_control[[#This Row],[Control_duplicados]]&gt;1,"Duplicado","Unico")</f>
        <v>Unico</v>
      </c>
      <c r="P2324" t="str">
        <f t="shared" si="145"/>
        <v>OK</v>
      </c>
      <c r="Q2324" t="str">
        <f t="shared" si="146"/>
        <v>OK</v>
      </c>
      <c r="R2324" t="str">
        <f t="shared" si="147"/>
        <v>OK</v>
      </c>
    </row>
    <row r="2325" spans="1:18" x14ac:dyDescent="0.3">
      <c r="A2325" s="1">
        <v>45752</v>
      </c>
      <c r="B2325" s="2" t="s">
        <v>2644</v>
      </c>
      <c r="C2325" s="2" t="s">
        <v>2527</v>
      </c>
      <c r="D2325" s="2" t="s">
        <v>2522</v>
      </c>
      <c r="E2325" s="2" t="s">
        <v>2529</v>
      </c>
      <c r="F2325" s="3">
        <v>121890</v>
      </c>
      <c r="G2325" s="3">
        <v>615</v>
      </c>
      <c r="H2325" s="3">
        <v>21</v>
      </c>
      <c r="I2325" s="4">
        <v>893.36</v>
      </c>
      <c r="J2325" s="4">
        <v>972.26</v>
      </c>
      <c r="K2325" s="3">
        <v>10</v>
      </c>
      <c r="L2325" s="2" t="s">
        <v>2523</v>
      </c>
      <c r="M2325" s="2" t="s">
        <v>2524</v>
      </c>
      <c r="N2325" s="6">
        <f t="shared" si="144"/>
        <v>1</v>
      </c>
      <c r="O2325" t="str">
        <f>IF(Tabla_control[[#This Row],[Control_duplicados]]&gt;1,"Duplicado","Unico")</f>
        <v>Unico</v>
      </c>
      <c r="P2325" t="str">
        <f t="shared" si="145"/>
        <v>OK</v>
      </c>
      <c r="Q2325" t="str">
        <f t="shared" si="146"/>
        <v>OK</v>
      </c>
      <c r="R2325" t="str">
        <f t="shared" si="147"/>
        <v>OK</v>
      </c>
    </row>
    <row r="2326" spans="1:18" x14ac:dyDescent="0.3">
      <c r="A2326" s="1">
        <v>45990</v>
      </c>
      <c r="B2326" s="2" t="s">
        <v>2630</v>
      </c>
      <c r="C2326" s="2" t="s">
        <v>2543</v>
      </c>
      <c r="D2326" s="2" t="s">
        <v>2531</v>
      </c>
      <c r="E2326" s="2" t="s">
        <v>2529</v>
      </c>
      <c r="F2326" s="3">
        <v>76031</v>
      </c>
      <c r="G2326" s="3">
        <v>4118</v>
      </c>
      <c r="H2326" s="3">
        <v>186</v>
      </c>
      <c r="I2326" s="4">
        <v>7725.1</v>
      </c>
      <c r="J2326" s="4">
        <v>14664.85</v>
      </c>
      <c r="K2326" s="3">
        <v>94</v>
      </c>
      <c r="L2326" s="2" t="s">
        <v>2539</v>
      </c>
      <c r="M2326" s="2" t="s">
        <v>2519</v>
      </c>
      <c r="N2326" s="6">
        <f t="shared" si="144"/>
        <v>1</v>
      </c>
      <c r="O2326" t="str">
        <f>IF(Tabla_control[[#This Row],[Control_duplicados]]&gt;1,"Duplicado","Unico")</f>
        <v>Unico</v>
      </c>
      <c r="P2326" t="str">
        <f t="shared" si="145"/>
        <v>OK</v>
      </c>
      <c r="Q2326" t="str">
        <f t="shared" si="146"/>
        <v>OK</v>
      </c>
      <c r="R2326" t="str">
        <f t="shared" si="147"/>
        <v>OK</v>
      </c>
    </row>
    <row r="2327" spans="1:18" x14ac:dyDescent="0.3">
      <c r="A2327" s="1">
        <v>45925</v>
      </c>
      <c r="B2327" s="2" t="s">
        <v>2622</v>
      </c>
      <c r="C2327" s="2" t="s">
        <v>2521</v>
      </c>
      <c r="D2327" s="2" t="s">
        <v>2528</v>
      </c>
      <c r="E2327" s="2" t="s">
        <v>2517</v>
      </c>
      <c r="F2327" s="3">
        <v>117760</v>
      </c>
      <c r="G2327" s="3">
        <v>3365</v>
      </c>
      <c r="H2327" s="3">
        <v>97</v>
      </c>
      <c r="J2327" s="4">
        <v>6413.48</v>
      </c>
      <c r="K2327" s="3">
        <v>53</v>
      </c>
      <c r="L2327" s="2" t="s">
        <v>2536</v>
      </c>
      <c r="M2327" s="2" t="s">
        <v>2519</v>
      </c>
      <c r="N2327" s="6">
        <f t="shared" si="144"/>
        <v>0</v>
      </c>
      <c r="O2327" t="str">
        <f>IF(Tabla_control[[#This Row],[Control_duplicados]]&gt;1,"Duplicado","Unico")</f>
        <v>Unico</v>
      </c>
      <c r="P2327" t="str">
        <f t="shared" si="145"/>
        <v>ERROR</v>
      </c>
      <c r="Q2327" t="str">
        <f t="shared" si="146"/>
        <v>OK</v>
      </c>
      <c r="R2327" t="str">
        <f t="shared" si="147"/>
        <v>OK</v>
      </c>
    </row>
    <row r="2328" spans="1:18" x14ac:dyDescent="0.3">
      <c r="A2328" s="1">
        <v>45966</v>
      </c>
      <c r="B2328" s="2" t="s">
        <v>2618</v>
      </c>
      <c r="C2328" s="2" t="s">
        <v>2541</v>
      </c>
      <c r="D2328" s="2" t="s">
        <v>2528</v>
      </c>
      <c r="E2328" s="2" t="s">
        <v>2517</v>
      </c>
      <c r="F2328" s="3">
        <v>143332</v>
      </c>
      <c r="G2328" s="3">
        <v>9194</v>
      </c>
      <c r="H2328" s="3">
        <v>1107</v>
      </c>
      <c r="I2328" s="4">
        <v>4021.76</v>
      </c>
      <c r="J2328" s="4">
        <v>96415.4</v>
      </c>
      <c r="K2328" s="3">
        <v>966</v>
      </c>
      <c r="L2328" s="2" t="s">
        <v>2539</v>
      </c>
      <c r="M2328" s="2" t="s">
        <v>2526</v>
      </c>
      <c r="N2328" s="6">
        <f t="shared" si="144"/>
        <v>1</v>
      </c>
      <c r="O2328" t="str">
        <f>IF(Tabla_control[[#This Row],[Control_duplicados]]&gt;1,"Duplicado","Unico")</f>
        <v>Unico</v>
      </c>
      <c r="P2328" t="str">
        <f t="shared" si="145"/>
        <v>OK</v>
      </c>
      <c r="Q2328" t="str">
        <f t="shared" si="146"/>
        <v>OK</v>
      </c>
      <c r="R2328" t="str">
        <f t="shared" si="147"/>
        <v>OK</v>
      </c>
    </row>
    <row r="2329" spans="1:18" x14ac:dyDescent="0.3">
      <c r="A2329" s="1">
        <v>45696</v>
      </c>
      <c r="B2329" s="2" t="s">
        <v>2638</v>
      </c>
      <c r="C2329" s="2" t="s">
        <v>2515</v>
      </c>
      <c r="D2329" s="2" t="s">
        <v>2525</v>
      </c>
      <c r="E2329" s="2" t="s">
        <v>2529</v>
      </c>
      <c r="F2329" s="3">
        <v>160761</v>
      </c>
      <c r="G2329" s="3">
        <v>11676</v>
      </c>
      <c r="H2329" s="3">
        <v>1065</v>
      </c>
      <c r="I2329" s="4">
        <v>17325.72</v>
      </c>
      <c r="J2329" s="4">
        <v>202070.43</v>
      </c>
      <c r="K2329" s="3">
        <v>865</v>
      </c>
      <c r="L2329" s="2" t="s">
        <v>2536</v>
      </c>
      <c r="M2329" s="2" t="s">
        <v>2537</v>
      </c>
      <c r="N2329" s="6">
        <f t="shared" si="144"/>
        <v>1</v>
      </c>
      <c r="O2329" t="str">
        <f>IF(Tabla_control[[#This Row],[Control_duplicados]]&gt;1,"Duplicado","Unico")</f>
        <v>Unico</v>
      </c>
      <c r="P2329" t="str">
        <f t="shared" si="145"/>
        <v>OK</v>
      </c>
      <c r="Q2329" t="str">
        <f t="shared" si="146"/>
        <v>OK</v>
      </c>
      <c r="R2329" t="str">
        <f t="shared" si="147"/>
        <v>OK</v>
      </c>
    </row>
    <row r="2330" spans="1:18" x14ac:dyDescent="0.3">
      <c r="A2330" s="1">
        <v>45955</v>
      </c>
      <c r="B2330" s="2" t="s">
        <v>2627</v>
      </c>
      <c r="C2330" s="2" t="s">
        <v>2527</v>
      </c>
      <c r="D2330" s="2" t="s">
        <v>2528</v>
      </c>
      <c r="E2330" s="2" t="s">
        <v>2529</v>
      </c>
      <c r="F2330" s="3">
        <v>118375</v>
      </c>
      <c r="G2330" s="3">
        <v>1377</v>
      </c>
      <c r="H2330" s="3">
        <v>183</v>
      </c>
      <c r="I2330" s="4">
        <v>1351.8</v>
      </c>
      <c r="J2330" s="4">
        <v>23839.24</v>
      </c>
      <c r="K2330" s="3">
        <v>92</v>
      </c>
      <c r="L2330" s="2" t="s">
        <v>2536</v>
      </c>
      <c r="M2330" s="2" t="s">
        <v>2537</v>
      </c>
      <c r="N2330" s="6">
        <f t="shared" si="144"/>
        <v>1</v>
      </c>
      <c r="O2330" t="str">
        <f>IF(Tabla_control[[#This Row],[Control_duplicados]]&gt;1,"Duplicado","Unico")</f>
        <v>Unico</v>
      </c>
      <c r="P2330" t="str">
        <f t="shared" si="145"/>
        <v>OK</v>
      </c>
      <c r="Q2330" t="str">
        <f t="shared" si="146"/>
        <v>OK</v>
      </c>
      <c r="R2330" t="str">
        <f t="shared" si="147"/>
        <v>OK</v>
      </c>
    </row>
    <row r="2331" spans="1:18" x14ac:dyDescent="0.3">
      <c r="A2331" s="1">
        <v>45752</v>
      </c>
      <c r="B2331" s="2" t="s">
        <v>2642</v>
      </c>
      <c r="C2331" s="2" t="s">
        <v>2527</v>
      </c>
      <c r="D2331" s="2" t="s">
        <v>2528</v>
      </c>
      <c r="E2331" s="2" t="s">
        <v>2529</v>
      </c>
      <c r="F2331" s="3">
        <v>173950</v>
      </c>
      <c r="G2331" s="3">
        <v>11915</v>
      </c>
      <c r="H2331" s="3">
        <v>345</v>
      </c>
      <c r="I2331" s="4">
        <v>14390.19</v>
      </c>
      <c r="J2331" s="4">
        <v>61993.35</v>
      </c>
      <c r="K2331" s="3">
        <v>231</v>
      </c>
      <c r="L2331" s="2" t="s">
        <v>2536</v>
      </c>
      <c r="M2331" s="2" t="s">
        <v>2537</v>
      </c>
      <c r="N2331" s="6">
        <f t="shared" si="144"/>
        <v>1</v>
      </c>
      <c r="O2331" t="str">
        <f>IF(Tabla_control[[#This Row],[Control_duplicados]]&gt;1,"Duplicado","Unico")</f>
        <v>Unico</v>
      </c>
      <c r="P2331" t="str">
        <f t="shared" si="145"/>
        <v>OK</v>
      </c>
      <c r="Q2331" t="str">
        <f t="shared" si="146"/>
        <v>OK</v>
      </c>
      <c r="R2331" t="str">
        <f t="shared" si="147"/>
        <v>OK</v>
      </c>
    </row>
    <row r="2332" spans="1:18" x14ac:dyDescent="0.3">
      <c r="A2332" s="1">
        <v>45917</v>
      </c>
      <c r="B2332" s="2" t="s">
        <v>2621</v>
      </c>
      <c r="C2332" s="2" t="s">
        <v>2543</v>
      </c>
      <c r="D2332" s="2" t="s">
        <v>2516</v>
      </c>
      <c r="E2332" s="2" t="s">
        <v>2529</v>
      </c>
      <c r="F2332" s="3">
        <v>37786</v>
      </c>
      <c r="G2332" s="3">
        <v>1813</v>
      </c>
      <c r="H2332" s="3">
        <v>120</v>
      </c>
      <c r="I2332" s="4">
        <v>3478.59</v>
      </c>
      <c r="J2332" s="4">
        <v>22271.24</v>
      </c>
      <c r="K2332" s="3">
        <v>65</v>
      </c>
      <c r="L2332" s="2" t="s">
        <v>2518</v>
      </c>
      <c r="M2332" s="2" t="s">
        <v>2524</v>
      </c>
      <c r="N2332" s="6">
        <f t="shared" si="144"/>
        <v>1</v>
      </c>
      <c r="O2332" t="str">
        <f>IF(Tabla_control[[#This Row],[Control_duplicados]]&gt;1,"Duplicado","Unico")</f>
        <v>Unico</v>
      </c>
      <c r="P2332" t="str">
        <f t="shared" si="145"/>
        <v>OK</v>
      </c>
      <c r="Q2332" t="str">
        <f t="shared" si="146"/>
        <v>OK</v>
      </c>
      <c r="R2332" t="str">
        <f t="shared" si="147"/>
        <v>OK</v>
      </c>
    </row>
    <row r="2333" spans="1:18" x14ac:dyDescent="0.3">
      <c r="A2333" s="1">
        <v>45898</v>
      </c>
      <c r="B2333" s="2" t="s">
        <v>2635</v>
      </c>
      <c r="C2333" s="2" t="s">
        <v>2533</v>
      </c>
      <c r="D2333" s="2" t="s">
        <v>2528</v>
      </c>
      <c r="E2333" s="2" t="s">
        <v>2534</v>
      </c>
      <c r="F2333" s="3">
        <v>44816</v>
      </c>
      <c r="G2333" s="3">
        <v>2894</v>
      </c>
      <c r="H2333" s="3">
        <v>188</v>
      </c>
      <c r="I2333" s="4">
        <v>4372.95</v>
      </c>
      <c r="J2333" s="4">
        <v>25182.36</v>
      </c>
      <c r="K2333" s="3">
        <v>140</v>
      </c>
      <c r="L2333" s="2" t="s">
        <v>2539</v>
      </c>
      <c r="M2333" s="2" t="s">
        <v>2524</v>
      </c>
      <c r="N2333" s="6">
        <f t="shared" si="144"/>
        <v>1</v>
      </c>
      <c r="O2333" t="str">
        <f>IF(Tabla_control[[#This Row],[Control_duplicados]]&gt;1,"Duplicado","Unico")</f>
        <v>Unico</v>
      </c>
      <c r="P2333" t="str">
        <f t="shared" si="145"/>
        <v>OK</v>
      </c>
      <c r="Q2333" t="str">
        <f t="shared" si="146"/>
        <v>OK</v>
      </c>
      <c r="R2333" t="str">
        <f t="shared" si="147"/>
        <v>OK</v>
      </c>
    </row>
    <row r="2334" spans="1:18" x14ac:dyDescent="0.3">
      <c r="A2334" s="1">
        <v>45962</v>
      </c>
      <c r="B2334" s="2" t="s">
        <v>2628</v>
      </c>
      <c r="C2334" s="2" t="s">
        <v>2521</v>
      </c>
      <c r="D2334" s="2" t="s">
        <v>2528</v>
      </c>
      <c r="E2334" s="2" t="s">
        <v>2529</v>
      </c>
      <c r="F2334" s="3">
        <v>116290</v>
      </c>
      <c r="G2334" s="3">
        <v>8652</v>
      </c>
      <c r="H2334" s="3">
        <v>137</v>
      </c>
      <c r="I2334" s="4">
        <v>15386.67</v>
      </c>
      <c r="J2334" s="4">
        <v>12683.33</v>
      </c>
      <c r="K2334" s="3">
        <v>68</v>
      </c>
      <c r="L2334" s="2" t="s">
        <v>2518</v>
      </c>
      <c r="M2334" s="2" t="s">
        <v>2526</v>
      </c>
      <c r="N2334" s="6">
        <f t="shared" si="144"/>
        <v>1</v>
      </c>
      <c r="O2334" t="str">
        <f>IF(Tabla_control[[#This Row],[Control_duplicados]]&gt;1,"Duplicado","Unico")</f>
        <v>Unico</v>
      </c>
      <c r="P2334" t="str">
        <f t="shared" si="145"/>
        <v>OK</v>
      </c>
      <c r="Q2334" t="str">
        <f t="shared" si="146"/>
        <v>OK</v>
      </c>
      <c r="R2334" t="str">
        <f t="shared" si="147"/>
        <v>OK</v>
      </c>
    </row>
    <row r="2335" spans="1:18" x14ac:dyDescent="0.3">
      <c r="A2335" s="1">
        <v>45708</v>
      </c>
      <c r="B2335" s="2" t="s">
        <v>2627</v>
      </c>
      <c r="C2335" s="2" t="s">
        <v>2533</v>
      </c>
      <c r="D2335" s="2" t="s">
        <v>2525</v>
      </c>
      <c r="E2335" s="2" t="s">
        <v>2517</v>
      </c>
      <c r="F2335" s="3">
        <v>112186</v>
      </c>
      <c r="G2335" s="3">
        <v>5157</v>
      </c>
      <c r="H2335" s="3">
        <v>544</v>
      </c>
      <c r="I2335" s="4">
        <v>4368.72</v>
      </c>
      <c r="J2335" s="4">
        <v>27031.39</v>
      </c>
      <c r="K2335" s="3">
        <v>399</v>
      </c>
      <c r="L2335" s="2" t="s">
        <v>2518</v>
      </c>
      <c r="M2335" s="2" t="s">
        <v>2537</v>
      </c>
      <c r="N2335" s="6">
        <f t="shared" si="144"/>
        <v>1</v>
      </c>
      <c r="O2335" t="str">
        <f>IF(Tabla_control[[#This Row],[Control_duplicados]]&gt;1,"Duplicado","Unico")</f>
        <v>Unico</v>
      </c>
      <c r="P2335" t="str">
        <f t="shared" si="145"/>
        <v>OK</v>
      </c>
      <c r="Q2335" t="str">
        <f t="shared" si="146"/>
        <v>OK</v>
      </c>
      <c r="R2335" t="str">
        <f t="shared" si="147"/>
        <v>OK</v>
      </c>
    </row>
    <row r="2336" spans="1:18" x14ac:dyDescent="0.3">
      <c r="A2336" s="1">
        <v>46021</v>
      </c>
      <c r="B2336" s="2" t="s">
        <v>2641</v>
      </c>
      <c r="C2336" s="2" t="s">
        <v>2541</v>
      </c>
      <c r="D2336" s="2" t="s">
        <v>2528</v>
      </c>
      <c r="E2336" s="2" t="s">
        <v>2534</v>
      </c>
      <c r="F2336" s="3">
        <v>85943</v>
      </c>
      <c r="G2336" s="3">
        <v>4939</v>
      </c>
      <c r="H2336" s="3">
        <v>335</v>
      </c>
      <c r="I2336" s="4">
        <v>5912.02</v>
      </c>
      <c r="J2336" s="4">
        <v>58301.16</v>
      </c>
      <c r="K2336" s="3">
        <v>245</v>
      </c>
      <c r="L2336" s="2" t="s">
        <v>2536</v>
      </c>
      <c r="M2336" s="2" t="s">
        <v>2524</v>
      </c>
      <c r="N2336" s="6">
        <f t="shared" si="144"/>
        <v>1</v>
      </c>
      <c r="O2336" t="str">
        <f>IF(Tabla_control[[#This Row],[Control_duplicados]]&gt;1,"Duplicado","Unico")</f>
        <v>Unico</v>
      </c>
      <c r="P2336" t="str">
        <f t="shared" si="145"/>
        <v>OK</v>
      </c>
      <c r="Q2336" t="str">
        <f t="shared" si="146"/>
        <v>OK</v>
      </c>
      <c r="R2336" t="str">
        <f t="shared" si="147"/>
        <v>OK</v>
      </c>
    </row>
    <row r="2337" spans="1:18" x14ac:dyDescent="0.3">
      <c r="A2337" s="1">
        <v>45874</v>
      </c>
      <c r="B2337" s="2" t="s">
        <v>2637</v>
      </c>
      <c r="C2337" s="2" t="s">
        <v>2527</v>
      </c>
      <c r="D2337" s="2" t="s">
        <v>2522</v>
      </c>
      <c r="E2337" s="2" t="s">
        <v>2534</v>
      </c>
      <c r="F2337" s="3">
        <v>149652</v>
      </c>
      <c r="G2337" s="3">
        <v>12473</v>
      </c>
      <c r="H2337" s="3">
        <v>1228</v>
      </c>
      <c r="I2337" s="4">
        <v>6169.49</v>
      </c>
      <c r="J2337" s="4">
        <v>137857.82999999999</v>
      </c>
      <c r="K2337" s="3">
        <v>915</v>
      </c>
      <c r="L2337" s="2" t="s">
        <v>2539</v>
      </c>
      <c r="M2337" s="2" t="s">
        <v>2537</v>
      </c>
      <c r="N2337" s="6">
        <f t="shared" si="144"/>
        <v>1</v>
      </c>
      <c r="O2337" t="str">
        <f>IF(Tabla_control[[#This Row],[Control_duplicados]]&gt;1,"Duplicado","Unico")</f>
        <v>Unico</v>
      </c>
      <c r="P2337" t="str">
        <f t="shared" si="145"/>
        <v>OK</v>
      </c>
      <c r="Q2337" t="str">
        <f t="shared" si="146"/>
        <v>OK</v>
      </c>
      <c r="R2337" t="str">
        <f t="shared" si="147"/>
        <v>OK</v>
      </c>
    </row>
    <row r="2338" spans="1:18" x14ac:dyDescent="0.3">
      <c r="A2338" s="1">
        <v>45881</v>
      </c>
      <c r="B2338" s="2" t="s">
        <v>2630</v>
      </c>
      <c r="C2338" s="2" t="s">
        <v>2521</v>
      </c>
      <c r="D2338" s="2" t="s">
        <v>2528</v>
      </c>
      <c r="E2338" s="2" t="s">
        <v>2534</v>
      </c>
      <c r="F2338" s="3">
        <v>101942</v>
      </c>
      <c r="G2338" s="3">
        <v>8319</v>
      </c>
      <c r="H2338" s="3">
        <v>940</v>
      </c>
      <c r="I2338" s="4">
        <v>2990.03</v>
      </c>
      <c r="J2338" s="4">
        <v>139687.18</v>
      </c>
      <c r="K2338" s="3">
        <v>491</v>
      </c>
      <c r="L2338" s="2" t="s">
        <v>2523</v>
      </c>
      <c r="M2338" s="2" t="s">
        <v>2524</v>
      </c>
      <c r="N2338" s="6">
        <f t="shared" si="144"/>
        <v>1</v>
      </c>
      <c r="O2338" t="str">
        <f>IF(Tabla_control[[#This Row],[Control_duplicados]]&gt;1,"Duplicado","Unico")</f>
        <v>Unico</v>
      </c>
      <c r="P2338" t="str">
        <f t="shared" si="145"/>
        <v>OK</v>
      </c>
      <c r="Q2338" t="str">
        <f t="shared" si="146"/>
        <v>OK</v>
      </c>
      <c r="R2338" t="str">
        <f t="shared" si="147"/>
        <v>OK</v>
      </c>
    </row>
    <row r="2339" spans="1:18" x14ac:dyDescent="0.3">
      <c r="A2339" s="1">
        <v>45851</v>
      </c>
      <c r="B2339" s="2" t="s">
        <v>2632</v>
      </c>
      <c r="C2339" s="2" t="s">
        <v>2543</v>
      </c>
      <c r="D2339" s="2" t="s">
        <v>2516</v>
      </c>
      <c r="E2339" s="2" t="s">
        <v>2517</v>
      </c>
      <c r="F2339" s="3">
        <v>17624</v>
      </c>
      <c r="G2339" s="3">
        <v>1286</v>
      </c>
      <c r="H2339" s="3">
        <v>97</v>
      </c>
      <c r="I2339" s="4">
        <v>2481.63</v>
      </c>
      <c r="J2339" s="4">
        <v>8537.9699999999993</v>
      </c>
      <c r="K2339" s="3">
        <v>83</v>
      </c>
      <c r="L2339" s="2" t="s">
        <v>2523</v>
      </c>
      <c r="M2339" s="2" t="s">
        <v>2546</v>
      </c>
      <c r="N2339" s="6">
        <f t="shared" si="144"/>
        <v>1</v>
      </c>
      <c r="O2339" t="str">
        <f>IF(Tabla_control[[#This Row],[Control_duplicados]]&gt;1,"Duplicado","Unico")</f>
        <v>Unico</v>
      </c>
      <c r="P2339" t="str">
        <f t="shared" si="145"/>
        <v>OK</v>
      </c>
      <c r="Q2339" t="str">
        <f t="shared" si="146"/>
        <v>OK</v>
      </c>
      <c r="R2339" t="str">
        <f t="shared" si="147"/>
        <v>OK</v>
      </c>
    </row>
    <row r="2340" spans="1:18" x14ac:dyDescent="0.3">
      <c r="A2340" s="1">
        <v>45855</v>
      </c>
      <c r="B2340" s="2" t="s">
        <v>2633</v>
      </c>
      <c r="C2340" s="2" t="s">
        <v>2533</v>
      </c>
      <c r="D2340" s="2" t="s">
        <v>2528</v>
      </c>
      <c r="E2340" s="2" t="s">
        <v>2517</v>
      </c>
      <c r="F2340" s="3">
        <v>77666</v>
      </c>
      <c r="G2340" s="3">
        <v>4239</v>
      </c>
      <c r="H2340" s="3">
        <v>363</v>
      </c>
      <c r="I2340" s="4">
        <v>2028.05</v>
      </c>
      <c r="J2340" s="4">
        <v>16558.099999999999</v>
      </c>
      <c r="K2340" s="3">
        <v>289</v>
      </c>
      <c r="L2340" s="2" t="s">
        <v>2539</v>
      </c>
      <c r="M2340" s="2" t="s">
        <v>2519</v>
      </c>
      <c r="N2340" s="6">
        <f t="shared" si="144"/>
        <v>1</v>
      </c>
      <c r="O2340" t="str">
        <f>IF(Tabla_control[[#This Row],[Control_duplicados]]&gt;1,"Duplicado","Unico")</f>
        <v>Unico</v>
      </c>
      <c r="P2340" t="str">
        <f t="shared" si="145"/>
        <v>OK</v>
      </c>
      <c r="Q2340" t="str">
        <f t="shared" si="146"/>
        <v>OK</v>
      </c>
      <c r="R2340" t="str">
        <f t="shared" si="147"/>
        <v>OK</v>
      </c>
    </row>
    <row r="2341" spans="1:18" x14ac:dyDescent="0.3">
      <c r="A2341" s="1">
        <v>45754</v>
      </c>
      <c r="B2341" s="2" t="s">
        <v>2618</v>
      </c>
      <c r="C2341" s="2" t="s">
        <v>2527</v>
      </c>
      <c r="D2341" s="2" t="s">
        <v>2525</v>
      </c>
      <c r="E2341" s="2" t="s">
        <v>2529</v>
      </c>
      <c r="F2341" s="3">
        <v>102561</v>
      </c>
      <c r="G2341" s="3">
        <v>952</v>
      </c>
      <c r="H2341" s="3">
        <v>90</v>
      </c>
      <c r="I2341" s="4">
        <v>336.81</v>
      </c>
      <c r="J2341" s="4">
        <v>11859.8</v>
      </c>
      <c r="K2341" s="3">
        <v>67</v>
      </c>
      <c r="L2341" s="2" t="s">
        <v>2523</v>
      </c>
      <c r="M2341" s="2" t="s">
        <v>2546</v>
      </c>
      <c r="N2341" s="6">
        <f t="shared" si="144"/>
        <v>1</v>
      </c>
      <c r="O2341" t="str">
        <f>IF(Tabla_control[[#This Row],[Control_duplicados]]&gt;1,"Duplicado","Unico")</f>
        <v>Unico</v>
      </c>
      <c r="P2341" t="str">
        <f t="shared" si="145"/>
        <v>OK</v>
      </c>
      <c r="Q2341" t="str">
        <f t="shared" si="146"/>
        <v>OK</v>
      </c>
      <c r="R2341" t="str">
        <f t="shared" si="147"/>
        <v>OK</v>
      </c>
    </row>
    <row r="2342" spans="1:18" x14ac:dyDescent="0.3">
      <c r="A2342" s="1">
        <v>45986</v>
      </c>
      <c r="B2342" s="2" t="s">
        <v>2637</v>
      </c>
      <c r="C2342" s="2" t="s">
        <v>2515</v>
      </c>
      <c r="D2342" s="2" t="s">
        <v>2522</v>
      </c>
      <c r="E2342" s="2" t="s">
        <v>2517</v>
      </c>
      <c r="F2342" s="3">
        <v>73219</v>
      </c>
      <c r="G2342" s="3">
        <v>2926</v>
      </c>
      <c r="H2342" s="3">
        <v>106</v>
      </c>
      <c r="I2342" s="4">
        <v>941.36</v>
      </c>
      <c r="J2342" s="4">
        <v>3532.59</v>
      </c>
      <c r="K2342" s="3">
        <v>71</v>
      </c>
      <c r="L2342" s="2" t="s">
        <v>2518</v>
      </c>
      <c r="M2342" s="2" t="s">
        <v>2524</v>
      </c>
      <c r="N2342" s="6">
        <f t="shared" si="144"/>
        <v>1</v>
      </c>
      <c r="O2342" t="str">
        <f>IF(Tabla_control[[#This Row],[Control_duplicados]]&gt;1,"Duplicado","Unico")</f>
        <v>Unico</v>
      </c>
      <c r="P2342" t="str">
        <f t="shared" si="145"/>
        <v>OK</v>
      </c>
      <c r="Q2342" t="str">
        <f t="shared" si="146"/>
        <v>OK</v>
      </c>
      <c r="R2342" t="str">
        <f t="shared" si="147"/>
        <v>OK</v>
      </c>
    </row>
    <row r="2343" spans="1:18" x14ac:dyDescent="0.3">
      <c r="A2343" s="1">
        <v>45719</v>
      </c>
      <c r="B2343" s="2" t="s">
        <v>2621</v>
      </c>
      <c r="C2343" s="2" t="s">
        <v>2543</v>
      </c>
      <c r="D2343" s="2" t="s">
        <v>2525</v>
      </c>
      <c r="E2343" s="2" t="s">
        <v>2517</v>
      </c>
      <c r="F2343" s="3">
        <v>45406</v>
      </c>
      <c r="G2343" s="3">
        <v>2623</v>
      </c>
      <c r="H2343" s="3">
        <v>343</v>
      </c>
      <c r="I2343" s="4">
        <v>1895.35</v>
      </c>
      <c r="J2343" s="4">
        <v>5269.42</v>
      </c>
      <c r="K2343" s="3">
        <v>223</v>
      </c>
      <c r="L2343" s="2" t="s">
        <v>2536</v>
      </c>
      <c r="M2343" s="2" t="s">
        <v>2537</v>
      </c>
      <c r="N2343" s="6">
        <f t="shared" si="144"/>
        <v>1</v>
      </c>
      <c r="O2343" t="str">
        <f>IF(Tabla_control[[#This Row],[Control_duplicados]]&gt;1,"Duplicado","Unico")</f>
        <v>Unico</v>
      </c>
      <c r="P2343" t="str">
        <f t="shared" si="145"/>
        <v>OK</v>
      </c>
      <c r="Q2343" t="str">
        <f t="shared" si="146"/>
        <v>OK</v>
      </c>
      <c r="R2343" t="str">
        <f t="shared" si="147"/>
        <v>OK</v>
      </c>
    </row>
    <row r="2344" spans="1:18" x14ac:dyDescent="0.3">
      <c r="A2344" s="1">
        <v>45899</v>
      </c>
      <c r="B2344" s="2" t="s">
        <v>2638</v>
      </c>
      <c r="C2344" s="2" t="s">
        <v>2521</v>
      </c>
      <c r="D2344" s="2" t="s">
        <v>2522</v>
      </c>
      <c r="E2344" s="2" t="s">
        <v>2517</v>
      </c>
      <c r="F2344" s="3">
        <v>124056</v>
      </c>
      <c r="G2344" s="3">
        <v>6876</v>
      </c>
      <c r="H2344" s="3">
        <v>646</v>
      </c>
      <c r="I2344" s="4">
        <v>3197.51</v>
      </c>
      <c r="J2344" s="4">
        <v>83871.8</v>
      </c>
      <c r="K2344" s="3">
        <v>430</v>
      </c>
      <c r="L2344" s="2" t="s">
        <v>2539</v>
      </c>
      <c r="M2344" s="2" t="s">
        <v>2537</v>
      </c>
      <c r="N2344" s="6">
        <f t="shared" si="144"/>
        <v>1</v>
      </c>
      <c r="O2344" t="str">
        <f>IF(Tabla_control[[#This Row],[Control_duplicados]]&gt;1,"Duplicado","Unico")</f>
        <v>Unico</v>
      </c>
      <c r="P2344" t="str">
        <f t="shared" si="145"/>
        <v>OK</v>
      </c>
      <c r="Q2344" t="str">
        <f t="shared" si="146"/>
        <v>OK</v>
      </c>
      <c r="R2344" t="str">
        <f t="shared" si="147"/>
        <v>OK</v>
      </c>
    </row>
    <row r="2345" spans="1:18" x14ac:dyDescent="0.3">
      <c r="A2345" s="1">
        <v>45885</v>
      </c>
      <c r="B2345" s="2" t="s">
        <v>2623</v>
      </c>
      <c r="C2345" s="2" t="s">
        <v>2515</v>
      </c>
      <c r="D2345" s="2" t="s">
        <v>2531</v>
      </c>
      <c r="E2345" s="2" t="s">
        <v>2517</v>
      </c>
      <c r="F2345" s="3">
        <v>78935</v>
      </c>
      <c r="G2345" s="3">
        <v>4984</v>
      </c>
      <c r="H2345" s="3">
        <v>575</v>
      </c>
      <c r="I2345" s="4">
        <v>1779.6</v>
      </c>
      <c r="J2345" s="4">
        <v>112395.06</v>
      </c>
      <c r="K2345" s="3">
        <v>409</v>
      </c>
      <c r="L2345" s="2" t="s">
        <v>2536</v>
      </c>
      <c r="M2345" s="2" t="s">
        <v>2537</v>
      </c>
      <c r="N2345" s="6">
        <f t="shared" si="144"/>
        <v>1</v>
      </c>
      <c r="O2345" t="str">
        <f>IF(Tabla_control[[#This Row],[Control_duplicados]]&gt;1,"Duplicado","Unico")</f>
        <v>Unico</v>
      </c>
      <c r="P2345" t="str">
        <f t="shared" si="145"/>
        <v>OK</v>
      </c>
      <c r="Q2345" t="str">
        <f t="shared" si="146"/>
        <v>OK</v>
      </c>
      <c r="R2345" t="str">
        <f t="shared" si="147"/>
        <v>OK</v>
      </c>
    </row>
    <row r="2346" spans="1:18" x14ac:dyDescent="0.3">
      <c r="A2346" s="1">
        <v>45715</v>
      </c>
      <c r="B2346" s="2" t="s">
        <v>2618</v>
      </c>
      <c r="C2346" s="2" t="s">
        <v>2527</v>
      </c>
      <c r="D2346" s="2" t="s">
        <v>2528</v>
      </c>
      <c r="E2346" s="2" t="s">
        <v>2517</v>
      </c>
      <c r="F2346" s="3">
        <v>54036</v>
      </c>
      <c r="G2346" s="3">
        <v>1452</v>
      </c>
      <c r="H2346" s="3">
        <v>8</v>
      </c>
      <c r="I2346" s="4">
        <v>650.87</v>
      </c>
      <c r="J2346" s="4">
        <v>1438.7</v>
      </c>
      <c r="K2346" s="3">
        <v>3</v>
      </c>
      <c r="L2346" s="2" t="s">
        <v>2518</v>
      </c>
      <c r="M2346" s="2" t="s">
        <v>2519</v>
      </c>
      <c r="N2346" s="6">
        <f t="shared" si="144"/>
        <v>1</v>
      </c>
      <c r="O2346" t="str">
        <f>IF(Tabla_control[[#This Row],[Control_duplicados]]&gt;1,"Duplicado","Unico")</f>
        <v>Unico</v>
      </c>
      <c r="P2346" t="str">
        <f t="shared" si="145"/>
        <v>OK</v>
      </c>
      <c r="Q2346" t="str">
        <f t="shared" si="146"/>
        <v>OK</v>
      </c>
      <c r="R2346" t="str">
        <f t="shared" si="147"/>
        <v>OK</v>
      </c>
    </row>
    <row r="2347" spans="1:18" x14ac:dyDescent="0.3">
      <c r="A2347" s="1">
        <v>45924</v>
      </c>
      <c r="B2347" s="2" t="s">
        <v>2633</v>
      </c>
      <c r="C2347" s="2" t="s">
        <v>2521</v>
      </c>
      <c r="D2347" s="2" t="s">
        <v>2522</v>
      </c>
      <c r="E2347" s="2" t="s">
        <v>2529</v>
      </c>
      <c r="F2347" s="3">
        <v>60275</v>
      </c>
      <c r="G2347" s="3">
        <v>2800</v>
      </c>
      <c r="H2347" s="3">
        <v>163</v>
      </c>
      <c r="I2347" s="4">
        <v>2623.63</v>
      </c>
      <c r="J2347" s="4">
        <v>11742.64</v>
      </c>
      <c r="K2347" s="3">
        <v>83</v>
      </c>
      <c r="L2347" s="2" t="s">
        <v>2518</v>
      </c>
      <c r="M2347" s="2" t="s">
        <v>2519</v>
      </c>
      <c r="N2347" s="6">
        <f t="shared" si="144"/>
        <v>1</v>
      </c>
      <c r="O2347" t="str">
        <f>IF(Tabla_control[[#This Row],[Control_duplicados]]&gt;1,"Duplicado","Unico")</f>
        <v>Unico</v>
      </c>
      <c r="P2347" t="str">
        <f t="shared" si="145"/>
        <v>OK</v>
      </c>
      <c r="Q2347" t="str">
        <f t="shared" si="146"/>
        <v>OK</v>
      </c>
      <c r="R2347" t="str">
        <f t="shared" si="147"/>
        <v>OK</v>
      </c>
    </row>
    <row r="2348" spans="1:18" x14ac:dyDescent="0.3">
      <c r="A2348" s="1">
        <v>45963</v>
      </c>
      <c r="B2348" s="2" t="s">
        <v>2623</v>
      </c>
      <c r="C2348" s="2" t="s">
        <v>2541</v>
      </c>
      <c r="D2348" s="2" t="s">
        <v>2528</v>
      </c>
      <c r="E2348" s="2" t="s">
        <v>2529</v>
      </c>
      <c r="F2348" s="3">
        <v>101539</v>
      </c>
      <c r="G2348" s="3">
        <v>7681</v>
      </c>
      <c r="H2348" s="3">
        <v>898</v>
      </c>
      <c r="I2348" s="4">
        <v>2116.38</v>
      </c>
      <c r="J2348" s="4">
        <v>153917.21</v>
      </c>
      <c r="K2348" s="3">
        <v>597</v>
      </c>
      <c r="L2348" s="2" t="s">
        <v>2536</v>
      </c>
      <c r="M2348" s="2" t="s">
        <v>2519</v>
      </c>
      <c r="N2348" s="6">
        <f t="shared" si="144"/>
        <v>1</v>
      </c>
      <c r="O2348" t="str">
        <f>IF(Tabla_control[[#This Row],[Control_duplicados]]&gt;1,"Duplicado","Unico")</f>
        <v>Unico</v>
      </c>
      <c r="P2348" t="str">
        <f t="shared" si="145"/>
        <v>OK</v>
      </c>
      <c r="Q2348" t="str">
        <f t="shared" si="146"/>
        <v>OK</v>
      </c>
      <c r="R2348" t="str">
        <f t="shared" si="147"/>
        <v>OK</v>
      </c>
    </row>
    <row r="2349" spans="1:18" x14ac:dyDescent="0.3">
      <c r="A2349" s="1">
        <v>45963</v>
      </c>
      <c r="B2349" s="2" t="s">
        <v>2617</v>
      </c>
      <c r="C2349" s="2" t="s">
        <v>2533</v>
      </c>
      <c r="D2349" s="2" t="s">
        <v>2525</v>
      </c>
      <c r="E2349" s="2" t="s">
        <v>2529</v>
      </c>
      <c r="F2349" s="3">
        <v>107920</v>
      </c>
      <c r="G2349" s="3">
        <v>2646</v>
      </c>
      <c r="H2349" s="3">
        <v>80</v>
      </c>
      <c r="I2349" s="4">
        <v>313.33999999999997</v>
      </c>
      <c r="J2349" s="4">
        <v>16240.95</v>
      </c>
      <c r="K2349" s="3">
        <v>70</v>
      </c>
      <c r="L2349" s="2" t="s">
        <v>2536</v>
      </c>
      <c r="M2349" s="2" t="s">
        <v>2526</v>
      </c>
      <c r="N2349" s="6">
        <f t="shared" si="144"/>
        <v>2</v>
      </c>
      <c r="O2349" t="str">
        <f>IF(Tabla_control[[#This Row],[Control_duplicados]]&gt;1,"Duplicado","Unico")</f>
        <v>Duplicado</v>
      </c>
      <c r="P2349" t="str">
        <f t="shared" si="145"/>
        <v>OK</v>
      </c>
      <c r="Q2349" t="str">
        <f t="shared" si="146"/>
        <v>OK</v>
      </c>
      <c r="R2349" t="str">
        <f t="shared" si="147"/>
        <v>OK</v>
      </c>
    </row>
    <row r="2350" spans="1:18" x14ac:dyDescent="0.3">
      <c r="A2350" s="1">
        <v>45712</v>
      </c>
      <c r="B2350" s="2" t="s">
        <v>2619</v>
      </c>
      <c r="C2350" s="2" t="s">
        <v>2543</v>
      </c>
      <c r="D2350" s="2" t="s">
        <v>2528</v>
      </c>
      <c r="E2350" s="2" t="s">
        <v>2529</v>
      </c>
      <c r="F2350" s="3">
        <v>132739</v>
      </c>
      <c r="G2350" s="3">
        <v>6408</v>
      </c>
      <c r="H2350" s="3">
        <v>129</v>
      </c>
      <c r="I2350" s="4">
        <v>8347.43</v>
      </c>
      <c r="J2350" s="4">
        <v>9646.6299999999992</v>
      </c>
      <c r="K2350" s="3">
        <v>79</v>
      </c>
      <c r="L2350" s="2" t="s">
        <v>2536</v>
      </c>
      <c r="M2350" s="2" t="s">
        <v>2537</v>
      </c>
      <c r="N2350" s="6">
        <f t="shared" si="144"/>
        <v>1</v>
      </c>
      <c r="O2350" t="str">
        <f>IF(Tabla_control[[#This Row],[Control_duplicados]]&gt;1,"Duplicado","Unico")</f>
        <v>Unico</v>
      </c>
      <c r="P2350" t="str">
        <f t="shared" si="145"/>
        <v>OK</v>
      </c>
      <c r="Q2350" t="str">
        <f t="shared" si="146"/>
        <v>OK</v>
      </c>
      <c r="R2350" t="str">
        <f t="shared" si="147"/>
        <v>OK</v>
      </c>
    </row>
    <row r="2351" spans="1:18" x14ac:dyDescent="0.3">
      <c r="A2351" s="1">
        <v>45992</v>
      </c>
      <c r="B2351" s="2" t="s">
        <v>2615</v>
      </c>
      <c r="C2351" s="2" t="s">
        <v>2541</v>
      </c>
      <c r="D2351" s="2" t="s">
        <v>2525</v>
      </c>
      <c r="E2351" s="2" t="s">
        <v>2517</v>
      </c>
      <c r="F2351" s="3">
        <v>114547</v>
      </c>
      <c r="G2351" s="3">
        <v>8913</v>
      </c>
      <c r="H2351" s="3">
        <v>1155</v>
      </c>
      <c r="I2351" s="4">
        <v>8462.9500000000007</v>
      </c>
      <c r="J2351" s="4">
        <v>24272.21</v>
      </c>
      <c r="K2351" s="3">
        <v>874</v>
      </c>
      <c r="L2351" s="2" t="s">
        <v>2539</v>
      </c>
      <c r="M2351" s="2" t="s">
        <v>2537</v>
      </c>
      <c r="N2351" s="6">
        <f t="shared" si="144"/>
        <v>1</v>
      </c>
      <c r="O2351" t="str">
        <f>IF(Tabla_control[[#This Row],[Control_duplicados]]&gt;1,"Duplicado","Unico")</f>
        <v>Unico</v>
      </c>
      <c r="P2351" t="str">
        <f t="shared" si="145"/>
        <v>OK</v>
      </c>
      <c r="Q2351" t="str">
        <f t="shared" si="146"/>
        <v>OK</v>
      </c>
      <c r="R2351" t="str">
        <f t="shared" si="147"/>
        <v>OK</v>
      </c>
    </row>
    <row r="2352" spans="1:18" x14ac:dyDescent="0.3">
      <c r="A2352" s="1">
        <v>45743</v>
      </c>
      <c r="B2352" s="2" t="s">
        <v>2616</v>
      </c>
      <c r="C2352" s="2" t="s">
        <v>2541</v>
      </c>
      <c r="D2352" s="2" t="s">
        <v>2528</v>
      </c>
      <c r="E2352" s="2" t="s">
        <v>2517</v>
      </c>
      <c r="F2352" s="3">
        <v>79309</v>
      </c>
      <c r="G2352" s="3">
        <v>4040</v>
      </c>
      <c r="H2352" s="3">
        <v>447</v>
      </c>
      <c r="I2352" s="4">
        <v>6717.69</v>
      </c>
      <c r="J2352" s="4">
        <v>24424.26</v>
      </c>
      <c r="K2352" s="3">
        <v>365</v>
      </c>
      <c r="L2352" s="2" t="s">
        <v>2539</v>
      </c>
      <c r="M2352" s="2" t="s">
        <v>2526</v>
      </c>
      <c r="N2352" s="6">
        <f t="shared" si="144"/>
        <v>1</v>
      </c>
      <c r="O2352" t="str">
        <f>IF(Tabla_control[[#This Row],[Control_duplicados]]&gt;1,"Duplicado","Unico")</f>
        <v>Unico</v>
      </c>
      <c r="P2352" t="str">
        <f t="shared" si="145"/>
        <v>OK</v>
      </c>
      <c r="Q2352" t="str">
        <f t="shared" si="146"/>
        <v>OK</v>
      </c>
      <c r="R2352" t="str">
        <f t="shared" si="147"/>
        <v>OK</v>
      </c>
    </row>
    <row r="2353" spans="1:18" x14ac:dyDescent="0.3">
      <c r="A2353" s="1">
        <v>45836</v>
      </c>
      <c r="B2353" s="2" t="s">
        <v>2626</v>
      </c>
      <c r="C2353" s="2" t="s">
        <v>2521</v>
      </c>
      <c r="D2353" s="2" t="s">
        <v>2528</v>
      </c>
      <c r="E2353" s="2" t="s">
        <v>2529</v>
      </c>
      <c r="F2353" s="3">
        <v>76040</v>
      </c>
      <c r="G2353" s="3">
        <v>1951</v>
      </c>
      <c r="H2353" s="3">
        <v>33</v>
      </c>
      <c r="I2353" s="4">
        <v>1905.27</v>
      </c>
      <c r="J2353" s="4">
        <v>3411.47</v>
      </c>
      <c r="K2353" s="3">
        <v>28</v>
      </c>
      <c r="L2353" s="2" t="s">
        <v>2518</v>
      </c>
      <c r="M2353" s="2" t="s">
        <v>2546</v>
      </c>
      <c r="N2353" s="6">
        <f t="shared" si="144"/>
        <v>1</v>
      </c>
      <c r="O2353" t="str">
        <f>IF(Tabla_control[[#This Row],[Control_duplicados]]&gt;1,"Duplicado","Unico")</f>
        <v>Unico</v>
      </c>
      <c r="P2353" t="str">
        <f t="shared" si="145"/>
        <v>OK</v>
      </c>
      <c r="Q2353" t="str">
        <f t="shared" si="146"/>
        <v>OK</v>
      </c>
      <c r="R2353" t="str">
        <f t="shared" si="147"/>
        <v>OK</v>
      </c>
    </row>
    <row r="2354" spans="1:18" x14ac:dyDescent="0.3">
      <c r="A2354" s="1">
        <v>45717</v>
      </c>
      <c r="B2354" s="2" t="s">
        <v>2616</v>
      </c>
      <c r="C2354" s="2" t="s">
        <v>2543</v>
      </c>
      <c r="D2354" s="2" t="s">
        <v>2522</v>
      </c>
      <c r="E2354" s="2" t="s">
        <v>2517</v>
      </c>
      <c r="F2354" s="3">
        <v>76764</v>
      </c>
      <c r="G2354" s="3">
        <v>1631</v>
      </c>
      <c r="H2354" s="3">
        <v>185</v>
      </c>
      <c r="I2354" s="4">
        <v>2432.11</v>
      </c>
      <c r="J2354" s="4">
        <v>13943.68</v>
      </c>
      <c r="K2354" s="3">
        <v>102</v>
      </c>
      <c r="L2354" s="2" t="s">
        <v>2539</v>
      </c>
      <c r="M2354" s="2" t="s">
        <v>2546</v>
      </c>
      <c r="N2354" s="6">
        <f t="shared" si="144"/>
        <v>1</v>
      </c>
      <c r="O2354" t="str">
        <f>IF(Tabla_control[[#This Row],[Control_duplicados]]&gt;1,"Duplicado","Unico")</f>
        <v>Unico</v>
      </c>
      <c r="P2354" t="str">
        <f t="shared" si="145"/>
        <v>OK</v>
      </c>
      <c r="Q2354" t="str">
        <f t="shared" si="146"/>
        <v>OK</v>
      </c>
      <c r="R2354" t="str">
        <f t="shared" si="147"/>
        <v>OK</v>
      </c>
    </row>
    <row r="2355" spans="1:18" x14ac:dyDescent="0.3">
      <c r="A2355" s="1">
        <v>45912</v>
      </c>
      <c r="B2355" s="2" t="s">
        <v>2633</v>
      </c>
      <c r="C2355" s="2" t="s">
        <v>2515</v>
      </c>
      <c r="D2355" s="2" t="s">
        <v>2531</v>
      </c>
      <c r="E2355" s="2" t="s">
        <v>2529</v>
      </c>
      <c r="F2355" s="3">
        <v>37824</v>
      </c>
      <c r="G2355" s="3">
        <v>2783</v>
      </c>
      <c r="H2355" s="3">
        <v>321</v>
      </c>
      <c r="I2355" s="4">
        <v>1451.13</v>
      </c>
      <c r="J2355" s="4">
        <v>53271.02</v>
      </c>
      <c r="K2355" s="3">
        <v>224</v>
      </c>
      <c r="L2355" s="2" t="s">
        <v>2539</v>
      </c>
      <c r="M2355" s="2" t="s">
        <v>2526</v>
      </c>
      <c r="N2355" s="6">
        <f t="shared" si="144"/>
        <v>1</v>
      </c>
      <c r="O2355" t="str">
        <f>IF(Tabla_control[[#This Row],[Control_duplicados]]&gt;1,"Duplicado","Unico")</f>
        <v>Unico</v>
      </c>
      <c r="P2355" t="str">
        <f t="shared" si="145"/>
        <v>OK</v>
      </c>
      <c r="Q2355" t="str">
        <f t="shared" si="146"/>
        <v>OK</v>
      </c>
      <c r="R2355" t="str">
        <f t="shared" si="147"/>
        <v>OK</v>
      </c>
    </row>
    <row r="2356" spans="1:18" x14ac:dyDescent="0.3">
      <c r="A2356" s="1">
        <v>45705</v>
      </c>
      <c r="B2356" s="2" t="s">
        <v>2632</v>
      </c>
      <c r="C2356" s="2" t="s">
        <v>2543</v>
      </c>
      <c r="D2356" s="2" t="s">
        <v>2528</v>
      </c>
      <c r="E2356" s="2" t="s">
        <v>2529</v>
      </c>
      <c r="F2356" s="3">
        <v>96470</v>
      </c>
      <c r="G2356" s="3">
        <v>2590</v>
      </c>
      <c r="H2356" s="3">
        <v>74</v>
      </c>
      <c r="I2356" s="4">
        <v>1268.92</v>
      </c>
      <c r="J2356" s="4">
        <v>14382.1</v>
      </c>
      <c r="K2356" s="3">
        <v>60</v>
      </c>
      <c r="L2356" s="2" t="s">
        <v>2536</v>
      </c>
      <c r="M2356" s="2" t="s">
        <v>2519</v>
      </c>
      <c r="N2356" s="6">
        <f t="shared" si="144"/>
        <v>1</v>
      </c>
      <c r="O2356" t="str">
        <f>IF(Tabla_control[[#This Row],[Control_duplicados]]&gt;1,"Duplicado","Unico")</f>
        <v>Unico</v>
      </c>
      <c r="P2356" t="str">
        <f t="shared" si="145"/>
        <v>OK</v>
      </c>
      <c r="Q2356" t="str">
        <f t="shared" si="146"/>
        <v>OK</v>
      </c>
      <c r="R2356" t="str">
        <f t="shared" si="147"/>
        <v>OK</v>
      </c>
    </row>
    <row r="2357" spans="1:18" x14ac:dyDescent="0.3">
      <c r="A2357" s="1">
        <v>45992</v>
      </c>
      <c r="B2357" s="2" t="s">
        <v>2624</v>
      </c>
      <c r="C2357" s="2" t="s">
        <v>2543</v>
      </c>
      <c r="D2357" s="2" t="s">
        <v>2525</v>
      </c>
      <c r="E2357" s="2" t="s">
        <v>2517</v>
      </c>
      <c r="F2357" s="3">
        <v>169663</v>
      </c>
      <c r="G2357" s="3">
        <v>14121</v>
      </c>
      <c r="H2357" s="3">
        <v>1887</v>
      </c>
      <c r="I2357" s="4">
        <v>21781.64</v>
      </c>
      <c r="J2357" s="4">
        <v>171390.14</v>
      </c>
      <c r="K2357" s="3">
        <v>1020</v>
      </c>
      <c r="L2357" s="2" t="s">
        <v>2523</v>
      </c>
      <c r="M2357" s="2" t="s">
        <v>2526</v>
      </c>
      <c r="N2357" s="6">
        <f t="shared" si="144"/>
        <v>1</v>
      </c>
      <c r="O2357" t="str">
        <f>IF(Tabla_control[[#This Row],[Control_duplicados]]&gt;1,"Duplicado","Unico")</f>
        <v>Unico</v>
      </c>
      <c r="P2357" t="str">
        <f t="shared" si="145"/>
        <v>OK</v>
      </c>
      <c r="Q2357" t="str">
        <f t="shared" si="146"/>
        <v>OK</v>
      </c>
      <c r="R2357" t="str">
        <f t="shared" si="147"/>
        <v>OK</v>
      </c>
    </row>
    <row r="2358" spans="1:18" x14ac:dyDescent="0.3">
      <c r="A2358" s="1">
        <v>46013</v>
      </c>
      <c r="B2358" s="2" t="s">
        <v>2630</v>
      </c>
      <c r="C2358" s="2" t="s">
        <v>2515</v>
      </c>
      <c r="D2358" s="2" t="s">
        <v>2531</v>
      </c>
      <c r="E2358" s="2" t="s">
        <v>2517</v>
      </c>
      <c r="F2358" s="3">
        <v>146855</v>
      </c>
      <c r="G2358" s="3">
        <v>7391</v>
      </c>
      <c r="H2358" s="3">
        <v>949</v>
      </c>
      <c r="I2358" s="4">
        <v>8458.75</v>
      </c>
      <c r="J2358" s="4">
        <v>23779.84</v>
      </c>
      <c r="K2358" s="3">
        <v>826</v>
      </c>
      <c r="L2358" s="2" t="s">
        <v>2518</v>
      </c>
      <c r="M2358" s="2" t="s">
        <v>2519</v>
      </c>
      <c r="N2358" s="6">
        <f t="shared" si="144"/>
        <v>1</v>
      </c>
      <c r="O2358" t="str">
        <f>IF(Tabla_control[[#This Row],[Control_duplicados]]&gt;1,"Duplicado","Unico")</f>
        <v>Unico</v>
      </c>
      <c r="P2358" t="str">
        <f t="shared" si="145"/>
        <v>OK</v>
      </c>
      <c r="Q2358" t="str">
        <f t="shared" si="146"/>
        <v>OK</v>
      </c>
      <c r="R2358" t="str">
        <f t="shared" si="147"/>
        <v>OK</v>
      </c>
    </row>
    <row r="2359" spans="1:18" x14ac:dyDescent="0.3">
      <c r="A2359" s="1">
        <v>45672</v>
      </c>
      <c r="B2359" s="2" t="s">
        <v>2633</v>
      </c>
      <c r="C2359" s="2" t="s">
        <v>2541</v>
      </c>
      <c r="D2359" s="2" t="s">
        <v>2528</v>
      </c>
      <c r="E2359" s="2" t="s">
        <v>2517</v>
      </c>
      <c r="F2359" s="3">
        <v>62847</v>
      </c>
      <c r="G2359" s="3">
        <v>5129</v>
      </c>
      <c r="H2359" s="3">
        <v>323</v>
      </c>
      <c r="I2359" s="4">
        <v>4762.03</v>
      </c>
      <c r="J2359" s="4">
        <v>50634.82</v>
      </c>
      <c r="K2359" s="3">
        <v>226</v>
      </c>
      <c r="L2359" s="2" t="s">
        <v>2523</v>
      </c>
      <c r="M2359" s="2" t="s">
        <v>2537</v>
      </c>
      <c r="N2359" s="6">
        <f t="shared" si="144"/>
        <v>1</v>
      </c>
      <c r="O2359" t="str">
        <f>IF(Tabla_control[[#This Row],[Control_duplicados]]&gt;1,"Duplicado","Unico")</f>
        <v>Unico</v>
      </c>
      <c r="P2359" t="str">
        <f t="shared" si="145"/>
        <v>OK</v>
      </c>
      <c r="Q2359" t="str">
        <f t="shared" si="146"/>
        <v>OK</v>
      </c>
      <c r="R2359" t="str">
        <f t="shared" si="147"/>
        <v>OK</v>
      </c>
    </row>
    <row r="2360" spans="1:18" x14ac:dyDescent="0.3">
      <c r="A2360" s="1">
        <v>45886</v>
      </c>
      <c r="B2360" s="2" t="s">
        <v>2643</v>
      </c>
      <c r="C2360" s="2" t="s">
        <v>2521</v>
      </c>
      <c r="D2360" s="2" t="s">
        <v>2528</v>
      </c>
      <c r="E2360" s="2" t="s">
        <v>2517</v>
      </c>
      <c r="F2360" s="3">
        <v>161748</v>
      </c>
      <c r="G2360" s="3">
        <v>5871</v>
      </c>
      <c r="H2360" s="3">
        <v>92</v>
      </c>
      <c r="I2360" s="4">
        <v>4496.58</v>
      </c>
      <c r="J2360" s="4">
        <v>3235.92</v>
      </c>
      <c r="K2360" s="3">
        <v>50</v>
      </c>
      <c r="L2360" s="2" t="s">
        <v>2539</v>
      </c>
      <c r="M2360" s="2" t="s">
        <v>2524</v>
      </c>
      <c r="N2360" s="6">
        <f t="shared" si="144"/>
        <v>1</v>
      </c>
      <c r="O2360" t="str">
        <f>IF(Tabla_control[[#This Row],[Control_duplicados]]&gt;1,"Duplicado","Unico")</f>
        <v>Unico</v>
      </c>
      <c r="P2360" t="str">
        <f t="shared" si="145"/>
        <v>OK</v>
      </c>
      <c r="Q2360" t="str">
        <f t="shared" si="146"/>
        <v>OK</v>
      </c>
      <c r="R2360" t="str">
        <f t="shared" si="147"/>
        <v>OK</v>
      </c>
    </row>
    <row r="2361" spans="1:18" x14ac:dyDescent="0.3">
      <c r="A2361" s="1">
        <v>45663</v>
      </c>
      <c r="B2361" s="2" t="s">
        <v>2643</v>
      </c>
      <c r="C2361" s="2" t="s">
        <v>2527</v>
      </c>
      <c r="D2361" s="2" t="s">
        <v>2525</v>
      </c>
      <c r="E2361" s="2" t="s">
        <v>2517</v>
      </c>
      <c r="F2361" s="3">
        <v>71430</v>
      </c>
      <c r="G2361" s="3">
        <v>4937</v>
      </c>
      <c r="H2361" s="3">
        <v>230</v>
      </c>
      <c r="I2361" s="4">
        <v>1272.3699999999999</v>
      </c>
      <c r="J2361" s="4">
        <v>40774.699999999997</v>
      </c>
      <c r="K2361" s="3">
        <v>155</v>
      </c>
      <c r="L2361" s="2" t="s">
        <v>2518</v>
      </c>
      <c r="M2361" s="2" t="s">
        <v>2537</v>
      </c>
      <c r="N2361" s="6">
        <f t="shared" si="144"/>
        <v>1</v>
      </c>
      <c r="O2361" t="str">
        <f>IF(Tabla_control[[#This Row],[Control_duplicados]]&gt;1,"Duplicado","Unico")</f>
        <v>Unico</v>
      </c>
      <c r="P2361" t="str">
        <f t="shared" si="145"/>
        <v>OK</v>
      </c>
      <c r="Q2361" t="str">
        <f t="shared" si="146"/>
        <v>OK</v>
      </c>
      <c r="R2361" t="str">
        <f t="shared" si="147"/>
        <v>OK</v>
      </c>
    </row>
    <row r="2362" spans="1:18" x14ac:dyDescent="0.3">
      <c r="A2362" s="1">
        <v>45971</v>
      </c>
      <c r="B2362" s="2" t="s">
        <v>2616</v>
      </c>
      <c r="C2362" s="2" t="s">
        <v>2521</v>
      </c>
      <c r="D2362" s="2" t="s">
        <v>2516</v>
      </c>
      <c r="E2362" s="2" t="s">
        <v>2529</v>
      </c>
      <c r="F2362" s="3">
        <v>141891</v>
      </c>
      <c r="G2362" s="3">
        <v>2062</v>
      </c>
      <c r="H2362" s="3">
        <v>90</v>
      </c>
      <c r="I2362" s="4">
        <v>3209.95</v>
      </c>
      <c r="J2362" s="4">
        <v>9905.64</v>
      </c>
      <c r="K2362" s="3">
        <v>46</v>
      </c>
      <c r="L2362" s="2" t="s">
        <v>2539</v>
      </c>
      <c r="M2362" s="2" t="s">
        <v>2537</v>
      </c>
      <c r="N2362" s="6">
        <f t="shared" si="144"/>
        <v>1</v>
      </c>
      <c r="O2362" t="str">
        <f>IF(Tabla_control[[#This Row],[Control_duplicados]]&gt;1,"Duplicado","Unico")</f>
        <v>Unico</v>
      </c>
      <c r="P2362" t="str">
        <f t="shared" si="145"/>
        <v>OK</v>
      </c>
      <c r="Q2362" t="str">
        <f t="shared" si="146"/>
        <v>OK</v>
      </c>
      <c r="R2362" t="str">
        <f t="shared" si="147"/>
        <v>OK</v>
      </c>
    </row>
    <row r="2363" spans="1:18" x14ac:dyDescent="0.3">
      <c r="A2363" s="1">
        <v>45691</v>
      </c>
      <c r="B2363" s="2" t="s">
        <v>2616</v>
      </c>
      <c r="C2363" s="2" t="s">
        <v>2533</v>
      </c>
      <c r="D2363" s="2" t="s">
        <v>2528</v>
      </c>
      <c r="E2363" s="2" t="s">
        <v>2517</v>
      </c>
      <c r="F2363" s="3">
        <v>169819</v>
      </c>
      <c r="G2363" s="3">
        <v>1558</v>
      </c>
      <c r="H2363" s="3">
        <v>212</v>
      </c>
      <c r="I2363" s="4">
        <v>172.06</v>
      </c>
      <c r="J2363" s="4">
        <v>45672.78</v>
      </c>
      <c r="K2363" s="3">
        <v>162</v>
      </c>
      <c r="L2363" s="2" t="s">
        <v>2539</v>
      </c>
      <c r="M2363" s="2" t="s">
        <v>2526</v>
      </c>
      <c r="N2363" s="6">
        <f t="shared" si="144"/>
        <v>1</v>
      </c>
      <c r="O2363" t="str">
        <f>IF(Tabla_control[[#This Row],[Control_duplicados]]&gt;1,"Duplicado","Unico")</f>
        <v>Unico</v>
      </c>
      <c r="P2363" t="str">
        <f t="shared" si="145"/>
        <v>OK</v>
      </c>
      <c r="Q2363" t="str">
        <f t="shared" si="146"/>
        <v>OK</v>
      </c>
      <c r="R2363" t="str">
        <f t="shared" si="147"/>
        <v>OK</v>
      </c>
    </row>
    <row r="2364" spans="1:18" x14ac:dyDescent="0.3">
      <c r="A2364" s="1">
        <v>45780</v>
      </c>
      <c r="B2364" s="2" t="s">
        <v>2639</v>
      </c>
      <c r="C2364" s="2" t="s">
        <v>2541</v>
      </c>
      <c r="D2364" s="2" t="s">
        <v>2528</v>
      </c>
      <c r="E2364" s="2" t="s">
        <v>2529</v>
      </c>
      <c r="F2364" s="3">
        <v>9900</v>
      </c>
      <c r="G2364" s="3">
        <v>554</v>
      </c>
      <c r="H2364" s="3">
        <v>43</v>
      </c>
      <c r="I2364" s="4">
        <v>1053.56</v>
      </c>
      <c r="J2364" s="4">
        <v>2902.88</v>
      </c>
      <c r="K2364" s="3">
        <v>31</v>
      </c>
      <c r="L2364" s="2" t="s">
        <v>2518</v>
      </c>
      <c r="M2364" s="2" t="s">
        <v>2537</v>
      </c>
      <c r="N2364" s="6">
        <f t="shared" si="144"/>
        <v>1</v>
      </c>
      <c r="O2364" t="str">
        <f>IF(Tabla_control[[#This Row],[Control_duplicados]]&gt;1,"Duplicado","Unico")</f>
        <v>Unico</v>
      </c>
      <c r="P2364" t="str">
        <f t="shared" si="145"/>
        <v>OK</v>
      </c>
      <c r="Q2364" t="str">
        <f t="shared" si="146"/>
        <v>OK</v>
      </c>
      <c r="R2364" t="str">
        <f t="shared" si="147"/>
        <v>OK</v>
      </c>
    </row>
    <row r="2365" spans="1:18" x14ac:dyDescent="0.3">
      <c r="A2365" s="1">
        <v>45786</v>
      </c>
      <c r="B2365" s="2" t="s">
        <v>2630</v>
      </c>
      <c r="C2365" s="2" t="s">
        <v>2527</v>
      </c>
      <c r="D2365" s="2" t="s">
        <v>2525</v>
      </c>
      <c r="E2365" s="2" t="s">
        <v>2517</v>
      </c>
      <c r="F2365" s="3">
        <v>99791</v>
      </c>
      <c r="G2365" s="3">
        <v>7473</v>
      </c>
      <c r="H2365" s="3">
        <v>668</v>
      </c>
      <c r="I2365" s="4">
        <v>12860.38</v>
      </c>
      <c r="J2365" s="4">
        <v>102392.56</v>
      </c>
      <c r="K2365" s="3">
        <v>461</v>
      </c>
      <c r="L2365" s="2" t="s">
        <v>2518</v>
      </c>
      <c r="M2365" s="2" t="s">
        <v>2524</v>
      </c>
      <c r="N2365" s="6">
        <f t="shared" si="144"/>
        <v>1</v>
      </c>
      <c r="O2365" t="str">
        <f>IF(Tabla_control[[#This Row],[Control_duplicados]]&gt;1,"Duplicado","Unico")</f>
        <v>Unico</v>
      </c>
      <c r="P2365" t="str">
        <f t="shared" si="145"/>
        <v>OK</v>
      </c>
      <c r="Q2365" t="str">
        <f t="shared" si="146"/>
        <v>OK</v>
      </c>
      <c r="R2365" t="str">
        <f t="shared" si="147"/>
        <v>OK</v>
      </c>
    </row>
    <row r="2366" spans="1:18" x14ac:dyDescent="0.3">
      <c r="A2366" s="1">
        <v>45838</v>
      </c>
      <c r="B2366" s="2" t="s">
        <v>2617</v>
      </c>
      <c r="C2366" s="2" t="s">
        <v>2541</v>
      </c>
      <c r="D2366" s="2" t="s">
        <v>2522</v>
      </c>
      <c r="E2366" s="2" t="s">
        <v>2517</v>
      </c>
      <c r="F2366" s="3">
        <v>89411</v>
      </c>
      <c r="G2366" s="3">
        <v>2201</v>
      </c>
      <c r="H2366" s="3">
        <v>132</v>
      </c>
      <c r="I2366" s="4">
        <v>2741.66</v>
      </c>
      <c r="J2366" s="4">
        <v>22767.919999999998</v>
      </c>
      <c r="K2366" s="3">
        <v>78</v>
      </c>
      <c r="L2366" s="2" t="s">
        <v>2539</v>
      </c>
      <c r="M2366" s="2" t="s">
        <v>2519</v>
      </c>
      <c r="N2366" s="6">
        <f t="shared" si="144"/>
        <v>1</v>
      </c>
      <c r="O2366" t="str">
        <f>IF(Tabla_control[[#This Row],[Control_duplicados]]&gt;1,"Duplicado","Unico")</f>
        <v>Unico</v>
      </c>
      <c r="P2366" t="str">
        <f t="shared" si="145"/>
        <v>OK</v>
      </c>
      <c r="Q2366" t="str">
        <f t="shared" si="146"/>
        <v>OK</v>
      </c>
      <c r="R2366" t="str">
        <f t="shared" si="147"/>
        <v>OK</v>
      </c>
    </row>
    <row r="2367" spans="1:18" x14ac:dyDescent="0.3">
      <c r="A2367" s="1">
        <v>45911</v>
      </c>
      <c r="B2367" s="2" t="s">
        <v>2638</v>
      </c>
      <c r="C2367" s="2" t="s">
        <v>2543</v>
      </c>
      <c r="D2367" s="2" t="s">
        <v>2525</v>
      </c>
      <c r="E2367" s="2" t="s">
        <v>2517</v>
      </c>
      <c r="F2367" s="3">
        <v>18264</v>
      </c>
      <c r="G2367" s="3">
        <v>1483</v>
      </c>
      <c r="H2367" s="3">
        <v>141</v>
      </c>
      <c r="I2367" s="4">
        <v>898.74</v>
      </c>
      <c r="J2367" s="4">
        <v>21639.16</v>
      </c>
      <c r="K2367" s="3">
        <v>76</v>
      </c>
      <c r="L2367" s="2" t="s">
        <v>2536</v>
      </c>
      <c r="M2367" s="2" t="s">
        <v>2537</v>
      </c>
      <c r="N2367" s="6">
        <f t="shared" si="144"/>
        <v>1</v>
      </c>
      <c r="O2367" t="str">
        <f>IF(Tabla_control[[#This Row],[Control_duplicados]]&gt;1,"Duplicado","Unico")</f>
        <v>Unico</v>
      </c>
      <c r="P2367" t="str">
        <f t="shared" si="145"/>
        <v>OK</v>
      </c>
      <c r="Q2367" t="str">
        <f t="shared" si="146"/>
        <v>OK</v>
      </c>
      <c r="R2367" t="str">
        <f t="shared" si="147"/>
        <v>OK</v>
      </c>
    </row>
    <row r="2368" spans="1:18" x14ac:dyDescent="0.3">
      <c r="A2368" s="1">
        <v>45810</v>
      </c>
      <c r="B2368" s="2" t="s">
        <v>2615</v>
      </c>
      <c r="C2368" s="2" t="s">
        <v>2533</v>
      </c>
      <c r="D2368" s="2" t="s">
        <v>2528</v>
      </c>
      <c r="E2368" s="2" t="s">
        <v>2529</v>
      </c>
      <c r="F2368" s="3">
        <v>32729</v>
      </c>
      <c r="G2368" s="3">
        <v>1350</v>
      </c>
      <c r="H2368" s="3">
        <v>108</v>
      </c>
      <c r="I2368" s="4">
        <v>832.98</v>
      </c>
      <c r="J2368" s="4">
        <v>5264.86</v>
      </c>
      <c r="K2368" s="3">
        <v>77</v>
      </c>
      <c r="L2368" s="2" t="s">
        <v>2518</v>
      </c>
      <c r="M2368" s="2" t="s">
        <v>2537</v>
      </c>
      <c r="N2368" s="6">
        <f t="shared" si="144"/>
        <v>1</v>
      </c>
      <c r="O2368" t="str">
        <f>IF(Tabla_control[[#This Row],[Control_duplicados]]&gt;1,"Duplicado","Unico")</f>
        <v>Unico</v>
      </c>
      <c r="P2368" t="str">
        <f t="shared" si="145"/>
        <v>OK</v>
      </c>
      <c r="Q2368" t="str">
        <f t="shared" si="146"/>
        <v>OK</v>
      </c>
      <c r="R2368" t="str">
        <f t="shared" si="147"/>
        <v>OK</v>
      </c>
    </row>
    <row r="2369" spans="1:18" x14ac:dyDescent="0.3">
      <c r="A2369" s="1">
        <v>45793</v>
      </c>
      <c r="B2369" s="2" t="s">
        <v>2636</v>
      </c>
      <c r="C2369" s="2" t="s">
        <v>2515</v>
      </c>
      <c r="D2369" s="2" t="s">
        <v>2525</v>
      </c>
      <c r="E2369" s="2" t="s">
        <v>2529</v>
      </c>
      <c r="F2369" s="3">
        <v>121895</v>
      </c>
      <c r="G2369" s="3">
        <v>2708</v>
      </c>
      <c r="H2369" s="3">
        <v>171</v>
      </c>
      <c r="I2369" s="4">
        <v>1730.93</v>
      </c>
      <c r="J2369" s="4">
        <v>3287.82</v>
      </c>
      <c r="K2369" s="3">
        <v>146</v>
      </c>
      <c r="L2369" s="2" t="s">
        <v>2518</v>
      </c>
      <c r="M2369" s="2" t="s">
        <v>2519</v>
      </c>
      <c r="N2369" s="6">
        <f t="shared" si="144"/>
        <v>1</v>
      </c>
      <c r="O2369" t="str">
        <f>IF(Tabla_control[[#This Row],[Control_duplicados]]&gt;1,"Duplicado","Unico")</f>
        <v>Unico</v>
      </c>
      <c r="P2369" t="str">
        <f t="shared" si="145"/>
        <v>OK</v>
      </c>
      <c r="Q2369" t="str">
        <f t="shared" si="146"/>
        <v>OK</v>
      </c>
      <c r="R2369" t="str">
        <f t="shared" si="147"/>
        <v>OK</v>
      </c>
    </row>
    <row r="2370" spans="1:18" x14ac:dyDescent="0.3">
      <c r="A2370" s="1">
        <v>45701</v>
      </c>
      <c r="B2370" s="2" t="s">
        <v>2628</v>
      </c>
      <c r="C2370" s="2" t="s">
        <v>2515</v>
      </c>
      <c r="D2370" s="2" t="s">
        <v>2525</v>
      </c>
      <c r="E2370" s="2" t="s">
        <v>2517</v>
      </c>
      <c r="F2370" s="3">
        <v>143428</v>
      </c>
      <c r="G2370" s="3">
        <v>6278</v>
      </c>
      <c r="H2370" s="3">
        <v>755</v>
      </c>
      <c r="I2370" s="4">
        <v>7351.32</v>
      </c>
      <c r="J2370" s="4">
        <v>55166.55</v>
      </c>
      <c r="K2370" s="3">
        <v>547</v>
      </c>
      <c r="L2370" s="2" t="s">
        <v>2539</v>
      </c>
      <c r="M2370" s="2" t="s">
        <v>2526</v>
      </c>
      <c r="N2370" s="6">
        <f t="shared" ref="N2370:N2433" si="148">COUNTIFS($A$2:$A$2536,A2370,$B$2:$B$2536,B2370,$C$2:$C$2536,C2370,$D$2:$D$2536,D2370,$E$2:$E$2536,E2370,$F$2:$F$2536,F2370,$G$2:$G$2536,G2370,$H$2:$H$2536,H2370,$I$2:$I$2536,I2370,$J$2:$J$2536,J2370,$K$2:$K$2536,K2370,$L$2:$L$2536,L2370,$M$2:$M$2536,M2370)</f>
        <v>1</v>
      </c>
      <c r="O2370" t="str">
        <f>IF(Tabla_control[[#This Row],[Control_duplicados]]&gt;1,"Duplicado","Unico")</f>
        <v>Unico</v>
      </c>
      <c r="P2370" t="str">
        <f t="shared" ref="P2370:P2433" si="149">IF(OR(I2370="",I2370&lt;0),"ERROR","OK")</f>
        <v>OK</v>
      </c>
      <c r="Q2370" t="str">
        <f t="shared" ref="Q2370:Q2433" si="150">IF(H2370&gt;F2370,"ERROR","OK")</f>
        <v>OK</v>
      </c>
      <c r="R2370" t="str">
        <f t="shared" ref="R2370:R2433" si="151">IF(K2370&gt;H2370,"ERROR","OK")</f>
        <v>OK</v>
      </c>
    </row>
    <row r="2371" spans="1:18" x14ac:dyDescent="0.3">
      <c r="A2371" s="1">
        <v>45756</v>
      </c>
      <c r="B2371" s="2" t="s">
        <v>2627</v>
      </c>
      <c r="C2371" s="2" t="s">
        <v>2543</v>
      </c>
      <c r="D2371" s="2" t="s">
        <v>2528</v>
      </c>
      <c r="E2371" s="2" t="s">
        <v>2517</v>
      </c>
      <c r="F2371" s="3">
        <v>41745</v>
      </c>
      <c r="G2371" s="3">
        <v>3341</v>
      </c>
      <c r="H2371" s="3">
        <v>275</v>
      </c>
      <c r="I2371" s="4">
        <v>-5522.74</v>
      </c>
      <c r="J2371" s="4">
        <v>39074.339999999997</v>
      </c>
      <c r="K2371" s="3">
        <v>189</v>
      </c>
      <c r="L2371" s="2" t="s">
        <v>2536</v>
      </c>
      <c r="M2371" s="2" t="s">
        <v>2546</v>
      </c>
      <c r="N2371" s="6">
        <f t="shared" si="148"/>
        <v>1</v>
      </c>
      <c r="O2371" t="str">
        <f>IF(Tabla_control[[#This Row],[Control_duplicados]]&gt;1,"Duplicado","Unico")</f>
        <v>Unico</v>
      </c>
      <c r="P2371" t="str">
        <f t="shared" si="149"/>
        <v>ERROR</v>
      </c>
      <c r="Q2371" t="str">
        <f t="shared" si="150"/>
        <v>OK</v>
      </c>
      <c r="R2371" t="str">
        <f t="shared" si="151"/>
        <v>OK</v>
      </c>
    </row>
    <row r="2372" spans="1:18" x14ac:dyDescent="0.3">
      <c r="A2372" s="1">
        <v>45747</v>
      </c>
      <c r="B2372" s="2" t="s">
        <v>2628</v>
      </c>
      <c r="C2372" s="2" t="s">
        <v>2527</v>
      </c>
      <c r="D2372" s="2" t="s">
        <v>2528</v>
      </c>
      <c r="E2372" s="2" t="s">
        <v>2529</v>
      </c>
      <c r="F2372" s="3">
        <v>136562</v>
      </c>
      <c r="G2372" s="3">
        <v>9297</v>
      </c>
      <c r="H2372" s="3">
        <v>1193</v>
      </c>
      <c r="I2372" s="4">
        <v>19216.13</v>
      </c>
      <c r="J2372" s="4">
        <v>137187.45000000001</v>
      </c>
      <c r="K2372" s="3">
        <v>873</v>
      </c>
      <c r="L2372" s="2" t="s">
        <v>2518</v>
      </c>
      <c r="M2372" s="2" t="s">
        <v>2537</v>
      </c>
      <c r="N2372" s="6">
        <f t="shared" si="148"/>
        <v>1</v>
      </c>
      <c r="O2372" t="str">
        <f>IF(Tabla_control[[#This Row],[Control_duplicados]]&gt;1,"Duplicado","Unico")</f>
        <v>Unico</v>
      </c>
      <c r="P2372" t="str">
        <f t="shared" si="149"/>
        <v>OK</v>
      </c>
      <c r="Q2372" t="str">
        <f t="shared" si="150"/>
        <v>OK</v>
      </c>
      <c r="R2372" t="str">
        <f t="shared" si="151"/>
        <v>OK</v>
      </c>
    </row>
    <row r="2373" spans="1:18" x14ac:dyDescent="0.3">
      <c r="A2373" s="1">
        <v>45792</v>
      </c>
      <c r="B2373" s="2" t="s">
        <v>2635</v>
      </c>
      <c r="C2373" s="2" t="s">
        <v>2521</v>
      </c>
      <c r="D2373" s="2" t="s">
        <v>2528</v>
      </c>
      <c r="E2373" s="2" t="s">
        <v>2517</v>
      </c>
      <c r="F2373" s="3">
        <v>89257</v>
      </c>
      <c r="G2373" s="3">
        <v>7908</v>
      </c>
      <c r="H2373" s="3">
        <v>476</v>
      </c>
      <c r="I2373" s="4">
        <v>15709.46</v>
      </c>
      <c r="J2373" s="4">
        <v>42247.03</v>
      </c>
      <c r="K2373" s="3">
        <v>244</v>
      </c>
      <c r="L2373" s="2" t="s">
        <v>2536</v>
      </c>
      <c r="M2373" s="2" t="s">
        <v>2537</v>
      </c>
      <c r="N2373" s="6">
        <f t="shared" si="148"/>
        <v>1</v>
      </c>
      <c r="O2373" t="str">
        <f>IF(Tabla_control[[#This Row],[Control_duplicados]]&gt;1,"Duplicado","Unico")</f>
        <v>Unico</v>
      </c>
      <c r="P2373" t="str">
        <f t="shared" si="149"/>
        <v>OK</v>
      </c>
      <c r="Q2373" t="str">
        <f t="shared" si="150"/>
        <v>OK</v>
      </c>
      <c r="R2373" t="str">
        <f t="shared" si="151"/>
        <v>OK</v>
      </c>
    </row>
    <row r="2374" spans="1:18" x14ac:dyDescent="0.3">
      <c r="A2374" s="1">
        <v>45935</v>
      </c>
      <c r="B2374" s="2" t="s">
        <v>2628</v>
      </c>
      <c r="C2374" s="2" t="s">
        <v>2533</v>
      </c>
      <c r="D2374" s="2" t="s">
        <v>2522</v>
      </c>
      <c r="E2374" s="2" t="s">
        <v>2529</v>
      </c>
      <c r="F2374" s="3">
        <v>69456</v>
      </c>
      <c r="G2374" s="3">
        <v>4917</v>
      </c>
      <c r="H2374" s="3">
        <v>115</v>
      </c>
      <c r="I2374" s="4">
        <v>8541.98</v>
      </c>
      <c r="J2374" s="4">
        <v>3257.25</v>
      </c>
      <c r="K2374" s="3">
        <v>95</v>
      </c>
      <c r="L2374" s="2" t="s">
        <v>2539</v>
      </c>
      <c r="M2374" s="2" t="s">
        <v>2526</v>
      </c>
      <c r="N2374" s="6">
        <f t="shared" si="148"/>
        <v>1</v>
      </c>
      <c r="O2374" t="str">
        <f>IF(Tabla_control[[#This Row],[Control_duplicados]]&gt;1,"Duplicado","Unico")</f>
        <v>Unico</v>
      </c>
      <c r="P2374" t="str">
        <f t="shared" si="149"/>
        <v>OK</v>
      </c>
      <c r="Q2374" t="str">
        <f t="shared" si="150"/>
        <v>OK</v>
      </c>
      <c r="R2374" t="str">
        <f t="shared" si="151"/>
        <v>OK</v>
      </c>
    </row>
    <row r="2375" spans="1:18" x14ac:dyDescent="0.3">
      <c r="A2375" s="1">
        <v>45989</v>
      </c>
      <c r="B2375" s="2" t="s">
        <v>2634</v>
      </c>
      <c r="C2375" s="2" t="s">
        <v>2527</v>
      </c>
      <c r="D2375" s="2" t="s">
        <v>2516</v>
      </c>
      <c r="E2375" s="2" t="s">
        <v>2529</v>
      </c>
      <c r="F2375" s="3">
        <v>68278</v>
      </c>
      <c r="G2375" s="3">
        <v>5648</v>
      </c>
      <c r="H2375" s="3">
        <v>403</v>
      </c>
      <c r="I2375" s="4">
        <v>3169.34</v>
      </c>
      <c r="J2375" s="4">
        <v>19094.150000000001</v>
      </c>
      <c r="K2375" s="3">
        <v>189</v>
      </c>
      <c r="L2375" s="2" t="s">
        <v>2523</v>
      </c>
      <c r="M2375" s="2" t="s">
        <v>2526</v>
      </c>
      <c r="N2375" s="6">
        <f t="shared" si="148"/>
        <v>1</v>
      </c>
      <c r="O2375" t="str">
        <f>IF(Tabla_control[[#This Row],[Control_duplicados]]&gt;1,"Duplicado","Unico")</f>
        <v>Unico</v>
      </c>
      <c r="P2375" t="str">
        <f t="shared" si="149"/>
        <v>OK</v>
      </c>
      <c r="Q2375" t="str">
        <f t="shared" si="150"/>
        <v>OK</v>
      </c>
      <c r="R2375" t="str">
        <f t="shared" si="151"/>
        <v>OK</v>
      </c>
    </row>
    <row r="2376" spans="1:18" x14ac:dyDescent="0.3">
      <c r="A2376" s="1">
        <v>45921</v>
      </c>
      <c r="B2376" s="2" t="s">
        <v>2624</v>
      </c>
      <c r="C2376" s="2" t="s">
        <v>2541</v>
      </c>
      <c r="D2376" s="2" t="s">
        <v>2516</v>
      </c>
      <c r="E2376" s="2" t="s">
        <v>2534</v>
      </c>
      <c r="F2376" s="3">
        <v>45098</v>
      </c>
      <c r="G2376" s="3">
        <v>3058</v>
      </c>
      <c r="H2376" s="3">
        <v>327</v>
      </c>
      <c r="I2376" s="4">
        <v>2130.19</v>
      </c>
      <c r="J2376" s="4">
        <v>24926.12</v>
      </c>
      <c r="K2376" s="3">
        <v>203</v>
      </c>
      <c r="L2376" s="2" t="s">
        <v>2523</v>
      </c>
      <c r="M2376" s="2" t="s">
        <v>2519</v>
      </c>
      <c r="N2376" s="6">
        <f t="shared" si="148"/>
        <v>1</v>
      </c>
      <c r="O2376" t="str">
        <f>IF(Tabla_control[[#This Row],[Control_duplicados]]&gt;1,"Duplicado","Unico")</f>
        <v>Unico</v>
      </c>
      <c r="P2376" t="str">
        <f t="shared" si="149"/>
        <v>OK</v>
      </c>
      <c r="Q2376" t="str">
        <f t="shared" si="150"/>
        <v>OK</v>
      </c>
      <c r="R2376" t="str">
        <f t="shared" si="151"/>
        <v>OK</v>
      </c>
    </row>
    <row r="2377" spans="1:18" x14ac:dyDescent="0.3">
      <c r="A2377" s="1">
        <v>45956</v>
      </c>
      <c r="B2377" s="2" t="s">
        <v>2618</v>
      </c>
      <c r="C2377" s="2" t="s">
        <v>2515</v>
      </c>
      <c r="D2377" s="2" t="s">
        <v>2528</v>
      </c>
      <c r="E2377" s="2" t="s">
        <v>2529</v>
      </c>
      <c r="F2377" s="3">
        <v>176353</v>
      </c>
      <c r="G2377" s="3">
        <v>9955</v>
      </c>
      <c r="H2377" s="3">
        <v>287</v>
      </c>
      <c r="I2377" s="4">
        <v>2015.95</v>
      </c>
      <c r="J2377" s="4">
        <v>30458.57</v>
      </c>
      <c r="K2377" s="3">
        <v>223</v>
      </c>
      <c r="L2377" s="2" t="s">
        <v>2518</v>
      </c>
      <c r="M2377" s="2" t="s">
        <v>2519</v>
      </c>
      <c r="N2377" s="6">
        <f t="shared" si="148"/>
        <v>1</v>
      </c>
      <c r="O2377" t="str">
        <f>IF(Tabla_control[[#This Row],[Control_duplicados]]&gt;1,"Duplicado","Unico")</f>
        <v>Unico</v>
      </c>
      <c r="P2377" t="str">
        <f t="shared" si="149"/>
        <v>OK</v>
      </c>
      <c r="Q2377" t="str">
        <f t="shared" si="150"/>
        <v>OK</v>
      </c>
      <c r="R2377" t="str">
        <f t="shared" si="151"/>
        <v>OK</v>
      </c>
    </row>
    <row r="2378" spans="1:18" x14ac:dyDescent="0.3">
      <c r="A2378" s="1">
        <v>45764</v>
      </c>
      <c r="B2378" s="2" t="s">
        <v>2643</v>
      </c>
      <c r="C2378" s="2" t="s">
        <v>2527</v>
      </c>
      <c r="D2378" s="2" t="s">
        <v>2525</v>
      </c>
      <c r="E2378" s="2" t="s">
        <v>2517</v>
      </c>
      <c r="F2378" s="3">
        <v>85755</v>
      </c>
      <c r="G2378" s="3">
        <v>5618</v>
      </c>
      <c r="H2378" s="3">
        <v>288</v>
      </c>
      <c r="I2378" s="4">
        <v>1038</v>
      </c>
      <c r="J2378" s="4">
        <v>23494.37</v>
      </c>
      <c r="K2378" s="3">
        <v>236</v>
      </c>
      <c r="L2378" s="2" t="s">
        <v>2523</v>
      </c>
      <c r="M2378" s="2" t="s">
        <v>2524</v>
      </c>
      <c r="N2378" s="6">
        <f t="shared" si="148"/>
        <v>1</v>
      </c>
      <c r="O2378" t="str">
        <f>IF(Tabla_control[[#This Row],[Control_duplicados]]&gt;1,"Duplicado","Unico")</f>
        <v>Unico</v>
      </c>
      <c r="P2378" t="str">
        <f t="shared" si="149"/>
        <v>OK</v>
      </c>
      <c r="Q2378" t="str">
        <f t="shared" si="150"/>
        <v>OK</v>
      </c>
      <c r="R2378" t="str">
        <f t="shared" si="151"/>
        <v>OK</v>
      </c>
    </row>
    <row r="2379" spans="1:18" x14ac:dyDescent="0.3">
      <c r="A2379" s="1">
        <v>45960</v>
      </c>
      <c r="B2379" s="2" t="s">
        <v>2629</v>
      </c>
      <c r="C2379" s="2" t="s">
        <v>2515</v>
      </c>
      <c r="D2379" s="2" t="s">
        <v>2528</v>
      </c>
      <c r="E2379" s="2" t="s">
        <v>2529</v>
      </c>
      <c r="F2379" s="3">
        <v>141037</v>
      </c>
      <c r="G2379" s="3">
        <v>853</v>
      </c>
      <c r="H2379" s="3">
        <v>62</v>
      </c>
      <c r="I2379" s="4">
        <v>806.95</v>
      </c>
      <c r="J2379" s="4">
        <v>11074.93</v>
      </c>
      <c r="K2379" s="3">
        <v>47</v>
      </c>
      <c r="L2379" s="2" t="s">
        <v>2518</v>
      </c>
      <c r="M2379" s="2" t="s">
        <v>2537</v>
      </c>
      <c r="N2379" s="6">
        <f t="shared" si="148"/>
        <v>1</v>
      </c>
      <c r="O2379" t="str">
        <f>IF(Tabla_control[[#This Row],[Control_duplicados]]&gt;1,"Duplicado","Unico")</f>
        <v>Unico</v>
      </c>
      <c r="P2379" t="str">
        <f t="shared" si="149"/>
        <v>OK</v>
      </c>
      <c r="Q2379" t="str">
        <f t="shared" si="150"/>
        <v>OK</v>
      </c>
      <c r="R2379" t="str">
        <f t="shared" si="151"/>
        <v>OK</v>
      </c>
    </row>
    <row r="2380" spans="1:18" x14ac:dyDescent="0.3">
      <c r="A2380" s="1">
        <v>45799</v>
      </c>
      <c r="B2380" s="2" t="s">
        <v>2618</v>
      </c>
      <c r="C2380" s="2" t="s">
        <v>2527</v>
      </c>
      <c r="D2380" s="2" t="s">
        <v>2516</v>
      </c>
      <c r="E2380" s="2" t="s">
        <v>2517</v>
      </c>
      <c r="F2380" s="3">
        <v>2032</v>
      </c>
      <c r="G2380" s="3">
        <v>43</v>
      </c>
      <c r="H2380" s="3">
        <v>2</v>
      </c>
      <c r="I2380" s="4">
        <v>7.74</v>
      </c>
      <c r="J2380" s="4">
        <v>330.35</v>
      </c>
      <c r="K2380" s="3">
        <v>1</v>
      </c>
      <c r="L2380" s="2" t="s">
        <v>2536</v>
      </c>
      <c r="M2380" s="2" t="s">
        <v>2519</v>
      </c>
      <c r="N2380" s="6">
        <f t="shared" si="148"/>
        <v>1</v>
      </c>
      <c r="O2380" t="str">
        <f>IF(Tabla_control[[#This Row],[Control_duplicados]]&gt;1,"Duplicado","Unico")</f>
        <v>Unico</v>
      </c>
      <c r="P2380" t="str">
        <f t="shared" si="149"/>
        <v>OK</v>
      </c>
      <c r="Q2380" t="str">
        <f t="shared" si="150"/>
        <v>OK</v>
      </c>
      <c r="R2380" t="str">
        <f t="shared" si="151"/>
        <v>OK</v>
      </c>
    </row>
    <row r="2381" spans="1:18" x14ac:dyDescent="0.3">
      <c r="A2381" s="1">
        <v>45724</v>
      </c>
      <c r="B2381" s="2" t="s">
        <v>2631</v>
      </c>
      <c r="C2381" s="2" t="s">
        <v>2543</v>
      </c>
      <c r="D2381" s="2" t="s">
        <v>2528</v>
      </c>
      <c r="E2381" s="2" t="s">
        <v>2517</v>
      </c>
      <c r="F2381" s="3">
        <v>53012</v>
      </c>
      <c r="G2381" s="3">
        <v>4490</v>
      </c>
      <c r="H2381" s="3">
        <v>344</v>
      </c>
      <c r="I2381" s="4">
        <v>6684.79</v>
      </c>
      <c r="J2381" s="4">
        <v>20668.189999999999</v>
      </c>
      <c r="K2381" s="3">
        <v>184</v>
      </c>
      <c r="L2381" s="2" t="s">
        <v>2523</v>
      </c>
      <c r="M2381" s="2" t="s">
        <v>2526</v>
      </c>
      <c r="N2381" s="6">
        <f t="shared" si="148"/>
        <v>1</v>
      </c>
      <c r="O2381" t="str">
        <f>IF(Tabla_control[[#This Row],[Control_duplicados]]&gt;1,"Duplicado","Unico")</f>
        <v>Unico</v>
      </c>
      <c r="P2381" t="str">
        <f t="shared" si="149"/>
        <v>OK</v>
      </c>
      <c r="Q2381" t="str">
        <f t="shared" si="150"/>
        <v>OK</v>
      </c>
      <c r="R2381" t="str">
        <f t="shared" si="151"/>
        <v>OK</v>
      </c>
    </row>
    <row r="2382" spans="1:18" x14ac:dyDescent="0.3">
      <c r="A2382" s="1">
        <v>45775</v>
      </c>
      <c r="B2382" s="2" t="s">
        <v>2636</v>
      </c>
      <c r="C2382" s="2" t="s">
        <v>2533</v>
      </c>
      <c r="D2382" s="2" t="s">
        <v>2528</v>
      </c>
      <c r="E2382" s="2" t="s">
        <v>2517</v>
      </c>
      <c r="F2382" s="3">
        <v>60620</v>
      </c>
      <c r="G2382" s="3">
        <v>4722</v>
      </c>
      <c r="H2382" s="3">
        <v>572</v>
      </c>
      <c r="I2382" s="4">
        <v>4575.6099999999997</v>
      </c>
      <c r="J2382" s="4">
        <v>57645.24</v>
      </c>
      <c r="K2382" s="3">
        <v>422</v>
      </c>
      <c r="L2382" s="2" t="s">
        <v>2523</v>
      </c>
      <c r="M2382" s="2" t="s">
        <v>2519</v>
      </c>
      <c r="N2382" s="6">
        <f t="shared" si="148"/>
        <v>1</v>
      </c>
      <c r="O2382" t="str">
        <f>IF(Tabla_control[[#This Row],[Control_duplicados]]&gt;1,"Duplicado","Unico")</f>
        <v>Unico</v>
      </c>
      <c r="P2382" t="str">
        <f t="shared" si="149"/>
        <v>OK</v>
      </c>
      <c r="Q2382" t="str">
        <f t="shared" si="150"/>
        <v>OK</v>
      </c>
      <c r="R2382" t="str">
        <f t="shared" si="151"/>
        <v>OK</v>
      </c>
    </row>
    <row r="2383" spans="1:18" x14ac:dyDescent="0.3">
      <c r="A2383" s="1">
        <v>45669</v>
      </c>
      <c r="B2383" s="2" t="s">
        <v>2628</v>
      </c>
      <c r="C2383" s="2" t="s">
        <v>2527</v>
      </c>
      <c r="D2383" s="2" t="s">
        <v>2528</v>
      </c>
      <c r="E2383" s="2" t="s">
        <v>2517</v>
      </c>
      <c r="F2383" s="3">
        <v>2728</v>
      </c>
      <c r="G2383" s="3">
        <v>242</v>
      </c>
      <c r="H2383" s="3">
        <v>12</v>
      </c>
      <c r="I2383" s="4">
        <v>301.33999999999997</v>
      </c>
      <c r="J2383" s="4">
        <v>2055.61</v>
      </c>
      <c r="K2383" s="3">
        <v>5</v>
      </c>
      <c r="L2383" s="2" t="s">
        <v>2536</v>
      </c>
      <c r="M2383" s="2" t="s">
        <v>2537</v>
      </c>
      <c r="N2383" s="6">
        <f t="shared" si="148"/>
        <v>1</v>
      </c>
      <c r="O2383" t="str">
        <f>IF(Tabla_control[[#This Row],[Control_duplicados]]&gt;1,"Duplicado","Unico")</f>
        <v>Unico</v>
      </c>
      <c r="P2383" t="str">
        <f t="shared" si="149"/>
        <v>OK</v>
      </c>
      <c r="Q2383" t="str">
        <f t="shared" si="150"/>
        <v>OK</v>
      </c>
      <c r="R2383" t="str">
        <f t="shared" si="151"/>
        <v>OK</v>
      </c>
    </row>
    <row r="2384" spans="1:18" x14ac:dyDescent="0.3">
      <c r="A2384" s="1">
        <v>45785</v>
      </c>
      <c r="B2384" s="2" t="s">
        <v>2643</v>
      </c>
      <c r="C2384" s="2" t="s">
        <v>2543</v>
      </c>
      <c r="D2384" s="2" t="s">
        <v>2516</v>
      </c>
      <c r="E2384" s="2" t="s">
        <v>2529</v>
      </c>
      <c r="F2384" s="3">
        <v>31767</v>
      </c>
      <c r="G2384" s="3">
        <v>2205</v>
      </c>
      <c r="H2384" s="3">
        <v>214</v>
      </c>
      <c r="I2384" s="4">
        <v>1253.1199999999999</v>
      </c>
      <c r="J2384" s="4">
        <v>13436.87</v>
      </c>
      <c r="K2384" s="3">
        <v>136</v>
      </c>
      <c r="L2384" s="2" t="s">
        <v>2539</v>
      </c>
      <c r="M2384" s="2" t="s">
        <v>2519</v>
      </c>
      <c r="N2384" s="6">
        <f t="shared" si="148"/>
        <v>1</v>
      </c>
      <c r="O2384" t="str">
        <f>IF(Tabla_control[[#This Row],[Control_duplicados]]&gt;1,"Duplicado","Unico")</f>
        <v>Unico</v>
      </c>
      <c r="P2384" t="str">
        <f t="shared" si="149"/>
        <v>OK</v>
      </c>
      <c r="Q2384" t="str">
        <f t="shared" si="150"/>
        <v>OK</v>
      </c>
      <c r="R2384" t="str">
        <f t="shared" si="151"/>
        <v>OK</v>
      </c>
    </row>
    <row r="2385" spans="1:18" x14ac:dyDescent="0.3">
      <c r="A2385" s="1">
        <v>45867</v>
      </c>
      <c r="B2385" s="2" t="s">
        <v>2639</v>
      </c>
      <c r="C2385" s="2" t="s">
        <v>2521</v>
      </c>
      <c r="D2385" s="2" t="s">
        <v>2522</v>
      </c>
      <c r="E2385" s="2" t="s">
        <v>2517</v>
      </c>
      <c r="F2385" s="3">
        <v>6567</v>
      </c>
      <c r="G2385" s="3">
        <v>382</v>
      </c>
      <c r="H2385" s="3">
        <v>19</v>
      </c>
      <c r="I2385" s="4">
        <v>463.66</v>
      </c>
      <c r="J2385" s="4">
        <v>2236.96</v>
      </c>
      <c r="K2385" s="3">
        <v>14</v>
      </c>
      <c r="L2385" s="2" t="s">
        <v>2539</v>
      </c>
      <c r="M2385" s="2" t="s">
        <v>2524</v>
      </c>
      <c r="N2385" s="6">
        <f t="shared" si="148"/>
        <v>1</v>
      </c>
      <c r="O2385" t="str">
        <f>IF(Tabla_control[[#This Row],[Control_duplicados]]&gt;1,"Duplicado","Unico")</f>
        <v>Unico</v>
      </c>
      <c r="P2385" t="str">
        <f t="shared" si="149"/>
        <v>OK</v>
      </c>
      <c r="Q2385" t="str">
        <f t="shared" si="150"/>
        <v>OK</v>
      </c>
      <c r="R2385" t="str">
        <f t="shared" si="151"/>
        <v>OK</v>
      </c>
    </row>
    <row r="2386" spans="1:18" x14ac:dyDescent="0.3">
      <c r="A2386" s="1">
        <v>45909</v>
      </c>
      <c r="B2386" s="2" t="s">
        <v>2644</v>
      </c>
      <c r="C2386" s="2" t="s">
        <v>2543</v>
      </c>
      <c r="D2386" s="2" t="s">
        <v>2516</v>
      </c>
      <c r="E2386" s="2" t="s">
        <v>2529</v>
      </c>
      <c r="F2386" s="3">
        <v>98741</v>
      </c>
      <c r="G2386" s="3">
        <v>1688</v>
      </c>
      <c r="H2386" s="3">
        <v>97</v>
      </c>
      <c r="I2386" s="4">
        <v>2762.13</v>
      </c>
      <c r="J2386" s="4">
        <v>9096.52</v>
      </c>
      <c r="K2386" s="3">
        <v>61</v>
      </c>
      <c r="L2386" s="2" t="s">
        <v>2539</v>
      </c>
      <c r="M2386" s="2" t="s">
        <v>2526</v>
      </c>
      <c r="N2386" s="6">
        <f t="shared" si="148"/>
        <v>1</v>
      </c>
      <c r="O2386" t="str">
        <f>IF(Tabla_control[[#This Row],[Control_duplicados]]&gt;1,"Duplicado","Unico")</f>
        <v>Unico</v>
      </c>
      <c r="P2386" t="str">
        <f t="shared" si="149"/>
        <v>OK</v>
      </c>
      <c r="Q2386" t="str">
        <f t="shared" si="150"/>
        <v>OK</v>
      </c>
      <c r="R2386" t="str">
        <f t="shared" si="151"/>
        <v>OK</v>
      </c>
    </row>
    <row r="2387" spans="1:18" x14ac:dyDescent="0.3">
      <c r="A2387" s="1">
        <v>45810</v>
      </c>
      <c r="B2387" s="2" t="s">
        <v>2642</v>
      </c>
      <c r="C2387" s="2" t="s">
        <v>2543</v>
      </c>
      <c r="D2387" s="2" t="s">
        <v>2525</v>
      </c>
      <c r="E2387" s="2" t="s">
        <v>2529</v>
      </c>
      <c r="F2387" s="3">
        <v>15713</v>
      </c>
      <c r="G2387" s="3">
        <v>649</v>
      </c>
      <c r="H2387" s="3">
        <v>53</v>
      </c>
      <c r="I2387" s="4">
        <v>876.41</v>
      </c>
      <c r="J2387" s="4">
        <v>11505.02</v>
      </c>
      <c r="K2387" s="3">
        <v>38</v>
      </c>
      <c r="L2387" s="2" t="s">
        <v>2523</v>
      </c>
      <c r="M2387" s="2" t="s">
        <v>2519</v>
      </c>
      <c r="N2387" s="6">
        <f t="shared" si="148"/>
        <v>1</v>
      </c>
      <c r="O2387" t="str">
        <f>IF(Tabla_control[[#This Row],[Control_duplicados]]&gt;1,"Duplicado","Unico")</f>
        <v>Unico</v>
      </c>
      <c r="P2387" t="str">
        <f t="shared" si="149"/>
        <v>OK</v>
      </c>
      <c r="Q2387" t="str">
        <f t="shared" si="150"/>
        <v>OK</v>
      </c>
      <c r="R2387" t="str">
        <f t="shared" si="151"/>
        <v>OK</v>
      </c>
    </row>
    <row r="2388" spans="1:18" x14ac:dyDescent="0.3">
      <c r="A2388" s="1">
        <v>45982</v>
      </c>
      <c r="B2388" s="2" t="s">
        <v>2638</v>
      </c>
      <c r="C2388" s="2" t="s">
        <v>2515</v>
      </c>
      <c r="D2388" s="2" t="s">
        <v>2516</v>
      </c>
      <c r="E2388" s="2" t="s">
        <v>2517</v>
      </c>
      <c r="F2388" s="3">
        <v>70313</v>
      </c>
      <c r="G2388" s="3">
        <v>5007</v>
      </c>
      <c r="H2388" s="3">
        <v>429</v>
      </c>
      <c r="I2388" s="4">
        <v>1444.66</v>
      </c>
      <c r="J2388" s="4">
        <v>88353.03</v>
      </c>
      <c r="K2388" s="3">
        <v>357</v>
      </c>
      <c r="L2388" s="2" t="s">
        <v>2536</v>
      </c>
      <c r="M2388" s="2" t="s">
        <v>2526</v>
      </c>
      <c r="N2388" s="6">
        <f t="shared" si="148"/>
        <v>1</v>
      </c>
      <c r="O2388" t="str">
        <f>IF(Tabla_control[[#This Row],[Control_duplicados]]&gt;1,"Duplicado","Unico")</f>
        <v>Unico</v>
      </c>
      <c r="P2388" t="str">
        <f t="shared" si="149"/>
        <v>OK</v>
      </c>
      <c r="Q2388" t="str">
        <f t="shared" si="150"/>
        <v>OK</v>
      </c>
      <c r="R2388" t="str">
        <f t="shared" si="151"/>
        <v>OK</v>
      </c>
    </row>
    <row r="2389" spans="1:18" x14ac:dyDescent="0.3">
      <c r="A2389" s="1">
        <v>45752</v>
      </c>
      <c r="B2389" s="2" t="s">
        <v>2627</v>
      </c>
      <c r="C2389" s="2" t="s">
        <v>2533</v>
      </c>
      <c r="D2389" s="2" t="s">
        <v>2525</v>
      </c>
      <c r="E2389" s="2" t="s">
        <v>2529</v>
      </c>
      <c r="F2389" s="3">
        <v>151482</v>
      </c>
      <c r="G2389" s="3">
        <v>5235</v>
      </c>
      <c r="H2389" s="3">
        <v>352</v>
      </c>
      <c r="I2389" s="4">
        <v>3035.14</v>
      </c>
      <c r="J2389" s="4">
        <v>77210.3</v>
      </c>
      <c r="K2389" s="3">
        <v>219</v>
      </c>
      <c r="L2389" s="2" t="s">
        <v>2539</v>
      </c>
      <c r="M2389" s="2" t="s">
        <v>2526</v>
      </c>
      <c r="N2389" s="6">
        <f t="shared" si="148"/>
        <v>1</v>
      </c>
      <c r="O2389" t="str">
        <f>IF(Tabla_control[[#This Row],[Control_duplicados]]&gt;1,"Duplicado","Unico")</f>
        <v>Unico</v>
      </c>
      <c r="P2389" t="str">
        <f t="shared" si="149"/>
        <v>OK</v>
      </c>
      <c r="Q2389" t="str">
        <f t="shared" si="150"/>
        <v>OK</v>
      </c>
      <c r="R2389" t="str">
        <f t="shared" si="151"/>
        <v>OK</v>
      </c>
    </row>
    <row r="2390" spans="1:18" x14ac:dyDescent="0.3">
      <c r="A2390" s="1">
        <v>45695</v>
      </c>
      <c r="B2390" s="2" t="s">
        <v>2640</v>
      </c>
      <c r="C2390" s="2" t="s">
        <v>2527</v>
      </c>
      <c r="D2390" s="2" t="s">
        <v>2645</v>
      </c>
      <c r="E2390" s="2" t="s">
        <v>2529</v>
      </c>
      <c r="F2390" s="3">
        <v>95666</v>
      </c>
      <c r="G2390" s="3">
        <v>4656</v>
      </c>
      <c r="H2390" s="3">
        <v>273</v>
      </c>
      <c r="I2390" s="4">
        <v>9347.14</v>
      </c>
      <c r="J2390" s="4">
        <v>37745.980000000003</v>
      </c>
      <c r="K2390" s="3">
        <v>229</v>
      </c>
      <c r="L2390" s="2" t="s">
        <v>2518</v>
      </c>
      <c r="M2390" s="2" t="s">
        <v>2519</v>
      </c>
      <c r="N2390" s="6">
        <f t="shared" si="148"/>
        <v>1</v>
      </c>
      <c r="O2390" t="str">
        <f>IF(Tabla_control[[#This Row],[Control_duplicados]]&gt;1,"Duplicado","Unico")</f>
        <v>Unico</v>
      </c>
      <c r="P2390" t="str">
        <f t="shared" si="149"/>
        <v>OK</v>
      </c>
      <c r="Q2390" t="str">
        <f t="shared" si="150"/>
        <v>OK</v>
      </c>
      <c r="R2390" t="str">
        <f t="shared" si="151"/>
        <v>OK</v>
      </c>
    </row>
    <row r="2391" spans="1:18" x14ac:dyDescent="0.3">
      <c r="A2391" s="1">
        <v>45940</v>
      </c>
      <c r="B2391" s="2" t="s">
        <v>2627</v>
      </c>
      <c r="C2391" s="2" t="s">
        <v>2521</v>
      </c>
      <c r="D2391" s="2" t="s">
        <v>2516</v>
      </c>
      <c r="E2391" s="2" t="s">
        <v>2529</v>
      </c>
      <c r="F2391" s="3">
        <v>5444</v>
      </c>
      <c r="G2391" s="3">
        <v>131</v>
      </c>
      <c r="H2391" s="3">
        <v>142</v>
      </c>
      <c r="I2391" s="4">
        <v>23.76</v>
      </c>
      <c r="J2391" s="4">
        <v>370.94</v>
      </c>
      <c r="K2391" s="3">
        <v>6</v>
      </c>
      <c r="L2391" s="2" t="s">
        <v>2518</v>
      </c>
      <c r="M2391" s="2" t="s">
        <v>2546</v>
      </c>
      <c r="N2391" s="6">
        <f t="shared" si="148"/>
        <v>1</v>
      </c>
      <c r="O2391" t="str">
        <f>IF(Tabla_control[[#This Row],[Control_duplicados]]&gt;1,"Duplicado","Unico")</f>
        <v>Unico</v>
      </c>
      <c r="P2391" t="str">
        <f t="shared" si="149"/>
        <v>OK</v>
      </c>
      <c r="Q2391" t="str">
        <f t="shared" si="150"/>
        <v>OK</v>
      </c>
      <c r="R2391" t="str">
        <f t="shared" si="151"/>
        <v>OK</v>
      </c>
    </row>
    <row r="2392" spans="1:18" x14ac:dyDescent="0.3">
      <c r="A2392" s="1">
        <v>45835</v>
      </c>
      <c r="B2392" s="2" t="s">
        <v>2624</v>
      </c>
      <c r="C2392" s="2" t="s">
        <v>2515</v>
      </c>
      <c r="D2392" s="2" t="s">
        <v>2522</v>
      </c>
      <c r="E2392" s="2" t="s">
        <v>2517</v>
      </c>
      <c r="F2392" s="3">
        <v>117311</v>
      </c>
      <c r="G2392" s="3">
        <v>9895</v>
      </c>
      <c r="H2392" s="3">
        <v>752</v>
      </c>
      <c r="I2392" s="4">
        <v>8161.27</v>
      </c>
      <c r="J2392" s="4">
        <v>34034.39</v>
      </c>
      <c r="K2392" s="3">
        <v>588</v>
      </c>
      <c r="L2392" s="2" t="s">
        <v>2536</v>
      </c>
      <c r="M2392" s="2" t="s">
        <v>2524</v>
      </c>
      <c r="N2392" s="6">
        <f t="shared" si="148"/>
        <v>1</v>
      </c>
      <c r="O2392" t="str">
        <f>IF(Tabla_control[[#This Row],[Control_duplicados]]&gt;1,"Duplicado","Unico")</f>
        <v>Unico</v>
      </c>
      <c r="P2392" t="str">
        <f t="shared" si="149"/>
        <v>OK</v>
      </c>
      <c r="Q2392" t="str">
        <f t="shared" si="150"/>
        <v>OK</v>
      </c>
      <c r="R2392" t="str">
        <f t="shared" si="151"/>
        <v>OK</v>
      </c>
    </row>
    <row r="2393" spans="1:18" x14ac:dyDescent="0.3">
      <c r="A2393" s="1">
        <v>45825</v>
      </c>
      <c r="B2393" s="2" t="s">
        <v>2644</v>
      </c>
      <c r="C2393" s="2" t="s">
        <v>2521</v>
      </c>
      <c r="D2393" s="2" t="s">
        <v>2531</v>
      </c>
      <c r="E2393" s="2" t="s">
        <v>2529</v>
      </c>
      <c r="F2393" s="3">
        <v>119287</v>
      </c>
      <c r="G2393" s="3">
        <v>8541</v>
      </c>
      <c r="H2393" s="3">
        <v>727</v>
      </c>
      <c r="I2393" s="4">
        <v>9208.41</v>
      </c>
      <c r="J2393" s="4">
        <v>74011.42</v>
      </c>
      <c r="K2393" s="3">
        <v>512</v>
      </c>
      <c r="L2393" s="2" t="s">
        <v>2518</v>
      </c>
      <c r="M2393" s="2" t="s">
        <v>2537</v>
      </c>
      <c r="N2393" s="6">
        <f t="shared" si="148"/>
        <v>1</v>
      </c>
      <c r="O2393" t="str">
        <f>IF(Tabla_control[[#This Row],[Control_duplicados]]&gt;1,"Duplicado","Unico")</f>
        <v>Unico</v>
      </c>
      <c r="P2393" t="str">
        <f t="shared" si="149"/>
        <v>OK</v>
      </c>
      <c r="Q2393" t="str">
        <f t="shared" si="150"/>
        <v>OK</v>
      </c>
      <c r="R2393" t="str">
        <f t="shared" si="151"/>
        <v>OK</v>
      </c>
    </row>
    <row r="2394" spans="1:18" x14ac:dyDescent="0.3">
      <c r="A2394" s="1">
        <v>45877</v>
      </c>
      <c r="B2394" s="2" t="s">
        <v>2627</v>
      </c>
      <c r="C2394" s="2" t="s">
        <v>2521</v>
      </c>
      <c r="D2394" s="2" t="s">
        <v>2531</v>
      </c>
      <c r="E2394" s="2" t="s">
        <v>2517</v>
      </c>
      <c r="F2394" s="3">
        <v>174479</v>
      </c>
      <c r="G2394" s="3">
        <v>14775</v>
      </c>
      <c r="H2394" s="3">
        <v>835</v>
      </c>
      <c r="I2394" s="4">
        <v>28644.77</v>
      </c>
      <c r="J2394" s="4">
        <v>152997.82</v>
      </c>
      <c r="K2394" s="3">
        <v>743</v>
      </c>
      <c r="L2394" s="2" t="s">
        <v>2539</v>
      </c>
      <c r="M2394" s="2" t="s">
        <v>2526</v>
      </c>
      <c r="N2394" s="6">
        <f t="shared" si="148"/>
        <v>1</v>
      </c>
      <c r="O2394" t="str">
        <f>IF(Tabla_control[[#This Row],[Control_duplicados]]&gt;1,"Duplicado","Unico")</f>
        <v>Unico</v>
      </c>
      <c r="P2394" t="str">
        <f t="shared" si="149"/>
        <v>OK</v>
      </c>
      <c r="Q2394" t="str">
        <f t="shared" si="150"/>
        <v>OK</v>
      </c>
      <c r="R2394" t="str">
        <f t="shared" si="151"/>
        <v>OK</v>
      </c>
    </row>
    <row r="2395" spans="1:18" x14ac:dyDescent="0.3">
      <c r="A2395" s="1">
        <v>45927</v>
      </c>
      <c r="B2395" s="2" t="s">
        <v>2625</v>
      </c>
      <c r="C2395" s="2" t="s">
        <v>2541</v>
      </c>
      <c r="D2395" s="2" t="s">
        <v>2528</v>
      </c>
      <c r="E2395" s="2" t="s">
        <v>2517</v>
      </c>
      <c r="F2395" s="3">
        <v>20115</v>
      </c>
      <c r="G2395" s="3">
        <v>476</v>
      </c>
      <c r="H2395" s="3">
        <v>49</v>
      </c>
      <c r="I2395" s="4">
        <v>942.08</v>
      </c>
      <c r="J2395" s="4">
        <v>4894.6099999999997</v>
      </c>
      <c r="K2395" s="3">
        <v>42</v>
      </c>
      <c r="L2395" s="2" t="s">
        <v>2539</v>
      </c>
      <c r="M2395" s="2" t="s">
        <v>2537</v>
      </c>
      <c r="N2395" s="6">
        <f t="shared" si="148"/>
        <v>1</v>
      </c>
      <c r="O2395" t="str">
        <f>IF(Tabla_control[[#This Row],[Control_duplicados]]&gt;1,"Duplicado","Unico")</f>
        <v>Unico</v>
      </c>
      <c r="P2395" t="str">
        <f t="shared" si="149"/>
        <v>OK</v>
      </c>
      <c r="Q2395" t="str">
        <f t="shared" si="150"/>
        <v>OK</v>
      </c>
      <c r="R2395" t="str">
        <f t="shared" si="151"/>
        <v>OK</v>
      </c>
    </row>
    <row r="2396" spans="1:18" x14ac:dyDescent="0.3">
      <c r="A2396" s="1">
        <v>45746</v>
      </c>
      <c r="B2396" s="2" t="s">
        <v>2618</v>
      </c>
      <c r="C2396" s="2" t="s">
        <v>2521</v>
      </c>
      <c r="D2396" s="2" t="s">
        <v>2528</v>
      </c>
      <c r="E2396" s="2" t="s">
        <v>2529</v>
      </c>
      <c r="F2396" s="3">
        <v>68235</v>
      </c>
      <c r="G2396" s="3">
        <v>2010</v>
      </c>
      <c r="H2396" s="3">
        <v>12</v>
      </c>
      <c r="I2396" s="4">
        <v>1548.89</v>
      </c>
      <c r="J2396" s="4">
        <v>362.66</v>
      </c>
      <c r="K2396" s="3">
        <v>9</v>
      </c>
      <c r="L2396" s="2" t="s">
        <v>2536</v>
      </c>
      <c r="M2396" s="2" t="s">
        <v>2524</v>
      </c>
      <c r="N2396" s="6">
        <f t="shared" si="148"/>
        <v>1</v>
      </c>
      <c r="O2396" t="str">
        <f>IF(Tabla_control[[#This Row],[Control_duplicados]]&gt;1,"Duplicado","Unico")</f>
        <v>Unico</v>
      </c>
      <c r="P2396" t="str">
        <f t="shared" si="149"/>
        <v>OK</v>
      </c>
      <c r="Q2396" t="str">
        <f t="shared" si="150"/>
        <v>OK</v>
      </c>
      <c r="R2396" t="str">
        <f t="shared" si="151"/>
        <v>OK</v>
      </c>
    </row>
    <row r="2397" spans="1:18" x14ac:dyDescent="0.3">
      <c r="A2397" s="1">
        <v>45987</v>
      </c>
      <c r="B2397" s="2" t="s">
        <v>2619</v>
      </c>
      <c r="C2397" s="2" t="s">
        <v>2527</v>
      </c>
      <c r="D2397" s="2" t="s">
        <v>2528</v>
      </c>
      <c r="E2397" s="2" t="s">
        <v>2517</v>
      </c>
      <c r="F2397" s="3">
        <v>77581</v>
      </c>
      <c r="G2397" s="3">
        <v>918</v>
      </c>
      <c r="H2397" s="3">
        <v>121</v>
      </c>
      <c r="I2397" s="4">
        <v>1503.96</v>
      </c>
      <c r="J2397" s="4">
        <v>5356.63</v>
      </c>
      <c r="K2397" s="3">
        <v>102</v>
      </c>
      <c r="L2397" s="2" t="s">
        <v>2518</v>
      </c>
      <c r="M2397" s="2" t="s">
        <v>2524</v>
      </c>
      <c r="N2397" s="6">
        <f t="shared" si="148"/>
        <v>1</v>
      </c>
      <c r="O2397" t="str">
        <f>IF(Tabla_control[[#This Row],[Control_duplicados]]&gt;1,"Duplicado","Unico")</f>
        <v>Unico</v>
      </c>
      <c r="P2397" t="str">
        <f t="shared" si="149"/>
        <v>OK</v>
      </c>
      <c r="Q2397" t="str">
        <f t="shared" si="150"/>
        <v>OK</v>
      </c>
      <c r="R2397" t="str">
        <f t="shared" si="151"/>
        <v>OK</v>
      </c>
    </row>
    <row r="2398" spans="1:18" x14ac:dyDescent="0.3">
      <c r="A2398" s="1">
        <v>45940</v>
      </c>
      <c r="B2398" s="2" t="s">
        <v>2619</v>
      </c>
      <c r="C2398" s="2" t="s">
        <v>2533</v>
      </c>
      <c r="D2398" s="2" t="s">
        <v>2525</v>
      </c>
      <c r="E2398" s="2" t="s">
        <v>2529</v>
      </c>
      <c r="F2398" s="3">
        <v>127220</v>
      </c>
      <c r="G2398" s="3">
        <v>9240</v>
      </c>
      <c r="H2398" s="3">
        <v>400</v>
      </c>
      <c r="I2398" s="4">
        <v>1092.8499999999999</v>
      </c>
      <c r="J2398" s="4">
        <v>64907.24</v>
      </c>
      <c r="K2398" s="3">
        <v>276</v>
      </c>
      <c r="L2398" s="2" t="s">
        <v>2523</v>
      </c>
      <c r="M2398" s="2" t="s">
        <v>2526</v>
      </c>
      <c r="N2398" s="6">
        <f t="shared" si="148"/>
        <v>1</v>
      </c>
      <c r="O2398" t="str">
        <f>IF(Tabla_control[[#This Row],[Control_duplicados]]&gt;1,"Duplicado","Unico")</f>
        <v>Unico</v>
      </c>
      <c r="P2398" t="str">
        <f t="shared" si="149"/>
        <v>OK</v>
      </c>
      <c r="Q2398" t="str">
        <f t="shared" si="150"/>
        <v>OK</v>
      </c>
      <c r="R2398" t="str">
        <f t="shared" si="151"/>
        <v>OK</v>
      </c>
    </row>
    <row r="2399" spans="1:18" x14ac:dyDescent="0.3">
      <c r="A2399" s="1">
        <v>45991</v>
      </c>
      <c r="B2399" s="2" t="s">
        <v>2626</v>
      </c>
      <c r="C2399" s="2" t="s">
        <v>2521</v>
      </c>
      <c r="D2399" s="2" t="s">
        <v>2516</v>
      </c>
      <c r="E2399" s="2" t="s">
        <v>2517</v>
      </c>
      <c r="F2399" s="3">
        <v>96731</v>
      </c>
      <c r="G2399" s="3">
        <v>7280</v>
      </c>
      <c r="H2399" s="3">
        <v>261</v>
      </c>
      <c r="I2399" s="4">
        <v>2957.33</v>
      </c>
      <c r="J2399" s="4">
        <v>6192.78</v>
      </c>
      <c r="K2399" s="3">
        <v>211</v>
      </c>
      <c r="L2399" s="2" t="s">
        <v>2523</v>
      </c>
      <c r="M2399" s="2" t="s">
        <v>2537</v>
      </c>
      <c r="N2399" s="6">
        <f t="shared" si="148"/>
        <v>2</v>
      </c>
      <c r="O2399" t="str">
        <f>IF(Tabla_control[[#This Row],[Control_duplicados]]&gt;1,"Duplicado","Unico")</f>
        <v>Duplicado</v>
      </c>
      <c r="P2399" t="str">
        <f t="shared" si="149"/>
        <v>OK</v>
      </c>
      <c r="Q2399" t="str">
        <f t="shared" si="150"/>
        <v>OK</v>
      </c>
      <c r="R2399" t="str">
        <f t="shared" si="151"/>
        <v>OK</v>
      </c>
    </row>
    <row r="2400" spans="1:18" x14ac:dyDescent="0.3">
      <c r="A2400" s="1">
        <v>45911</v>
      </c>
      <c r="B2400" s="2" t="s">
        <v>2633</v>
      </c>
      <c r="C2400" s="2" t="s">
        <v>2521</v>
      </c>
      <c r="D2400" s="2" t="s">
        <v>2528</v>
      </c>
      <c r="E2400" s="2" t="s">
        <v>2517</v>
      </c>
      <c r="F2400" s="3">
        <v>71189</v>
      </c>
      <c r="G2400" s="3">
        <v>2654</v>
      </c>
      <c r="H2400" s="3">
        <v>342</v>
      </c>
      <c r="I2400" s="4">
        <v>5071.8100000000004</v>
      </c>
      <c r="J2400" s="4">
        <v>70473.789999999994</v>
      </c>
      <c r="K2400" s="3">
        <v>175</v>
      </c>
      <c r="L2400" s="2" t="s">
        <v>2536</v>
      </c>
      <c r="M2400" s="2" t="s">
        <v>2524</v>
      </c>
      <c r="N2400" s="6">
        <f t="shared" si="148"/>
        <v>1</v>
      </c>
      <c r="O2400" t="str">
        <f>IF(Tabla_control[[#This Row],[Control_duplicados]]&gt;1,"Duplicado","Unico")</f>
        <v>Unico</v>
      </c>
      <c r="P2400" t="str">
        <f t="shared" si="149"/>
        <v>OK</v>
      </c>
      <c r="Q2400" t="str">
        <f t="shared" si="150"/>
        <v>OK</v>
      </c>
      <c r="R2400" t="str">
        <f t="shared" si="151"/>
        <v>OK</v>
      </c>
    </row>
    <row r="2401" spans="1:18" x14ac:dyDescent="0.3">
      <c r="A2401" s="1">
        <v>45934</v>
      </c>
      <c r="B2401" s="2" t="s">
        <v>2615</v>
      </c>
      <c r="C2401" s="2" t="s">
        <v>2515</v>
      </c>
      <c r="D2401" s="2" t="s">
        <v>2516</v>
      </c>
      <c r="E2401" s="2" t="s">
        <v>2517</v>
      </c>
      <c r="F2401" s="3">
        <v>118195</v>
      </c>
      <c r="G2401" s="3">
        <v>1928</v>
      </c>
      <c r="H2401" s="3">
        <v>27</v>
      </c>
      <c r="I2401" s="4">
        <v>3626.58</v>
      </c>
      <c r="J2401" s="4">
        <v>5357.18</v>
      </c>
      <c r="K2401" s="3">
        <v>21</v>
      </c>
      <c r="L2401" s="2" t="s">
        <v>2536</v>
      </c>
      <c r="M2401" s="2" t="s">
        <v>2537</v>
      </c>
      <c r="N2401" s="6">
        <f t="shared" si="148"/>
        <v>1</v>
      </c>
      <c r="O2401" t="str">
        <f>IF(Tabla_control[[#This Row],[Control_duplicados]]&gt;1,"Duplicado","Unico")</f>
        <v>Unico</v>
      </c>
      <c r="P2401" t="str">
        <f t="shared" si="149"/>
        <v>OK</v>
      </c>
      <c r="Q2401" t="str">
        <f t="shared" si="150"/>
        <v>OK</v>
      </c>
      <c r="R2401" t="str">
        <f t="shared" si="151"/>
        <v>OK</v>
      </c>
    </row>
    <row r="2402" spans="1:18" x14ac:dyDescent="0.3">
      <c r="A2402" s="1">
        <v>45718</v>
      </c>
      <c r="B2402" s="2" t="s">
        <v>2642</v>
      </c>
      <c r="C2402" s="2" t="s">
        <v>2515</v>
      </c>
      <c r="D2402" s="2" t="s">
        <v>2516</v>
      </c>
      <c r="E2402" s="2" t="s">
        <v>2517</v>
      </c>
      <c r="F2402" s="3">
        <v>79984</v>
      </c>
      <c r="G2402" s="3">
        <v>989</v>
      </c>
      <c r="H2402" s="3">
        <v>61</v>
      </c>
      <c r="I2402" s="4">
        <v>716.74</v>
      </c>
      <c r="J2402" s="4">
        <v>9932.16</v>
      </c>
      <c r="K2402" s="3">
        <v>37</v>
      </c>
      <c r="L2402" s="2" t="s">
        <v>2523</v>
      </c>
      <c r="M2402" s="2" t="s">
        <v>2519</v>
      </c>
      <c r="N2402" s="6">
        <f t="shared" si="148"/>
        <v>1</v>
      </c>
      <c r="O2402" t="str">
        <f>IF(Tabla_control[[#This Row],[Control_duplicados]]&gt;1,"Duplicado","Unico")</f>
        <v>Unico</v>
      </c>
      <c r="P2402" t="str">
        <f t="shared" si="149"/>
        <v>OK</v>
      </c>
      <c r="Q2402" t="str">
        <f t="shared" si="150"/>
        <v>OK</v>
      </c>
      <c r="R2402" t="str">
        <f t="shared" si="151"/>
        <v>OK</v>
      </c>
    </row>
    <row r="2403" spans="1:18" x14ac:dyDescent="0.3">
      <c r="A2403" s="1">
        <v>45963</v>
      </c>
      <c r="B2403" s="2" t="s">
        <v>2623</v>
      </c>
      <c r="C2403" s="2" t="s">
        <v>2521</v>
      </c>
      <c r="D2403" s="2" t="s">
        <v>2525</v>
      </c>
      <c r="E2403" s="2" t="s">
        <v>2517</v>
      </c>
      <c r="F2403" s="3">
        <v>52118</v>
      </c>
      <c r="G2403" s="3">
        <v>3992</v>
      </c>
      <c r="H2403" s="3">
        <v>501</v>
      </c>
      <c r="I2403" s="4">
        <v>4372.91</v>
      </c>
      <c r="J2403" s="4">
        <v>68998.720000000001</v>
      </c>
      <c r="K2403" s="3">
        <v>400</v>
      </c>
      <c r="L2403" s="2" t="s">
        <v>2536</v>
      </c>
      <c r="M2403" s="2" t="s">
        <v>2526</v>
      </c>
      <c r="N2403" s="6">
        <f t="shared" si="148"/>
        <v>1</v>
      </c>
      <c r="O2403" t="str">
        <f>IF(Tabla_control[[#This Row],[Control_duplicados]]&gt;1,"Duplicado","Unico")</f>
        <v>Unico</v>
      </c>
      <c r="P2403" t="str">
        <f t="shared" si="149"/>
        <v>OK</v>
      </c>
      <c r="Q2403" t="str">
        <f t="shared" si="150"/>
        <v>OK</v>
      </c>
      <c r="R2403" t="str">
        <f t="shared" si="151"/>
        <v>OK</v>
      </c>
    </row>
    <row r="2404" spans="1:18" x14ac:dyDescent="0.3">
      <c r="A2404" s="1">
        <v>45927</v>
      </c>
      <c r="B2404" s="2" t="s">
        <v>2639</v>
      </c>
      <c r="C2404" s="2" t="s">
        <v>2533</v>
      </c>
      <c r="D2404" s="2" t="s">
        <v>2516</v>
      </c>
      <c r="E2404" s="2" t="s">
        <v>2529</v>
      </c>
      <c r="F2404" s="3">
        <v>153671</v>
      </c>
      <c r="G2404" s="3">
        <v>7395</v>
      </c>
      <c r="H2404" s="3">
        <v>1020</v>
      </c>
      <c r="I2404" s="4">
        <v>13017.39</v>
      </c>
      <c r="J2404" s="4">
        <v>41588.89</v>
      </c>
      <c r="K2404" s="3">
        <v>783</v>
      </c>
      <c r="L2404" s="2" t="s">
        <v>2539</v>
      </c>
      <c r="M2404" s="2" t="s">
        <v>2526</v>
      </c>
      <c r="N2404" s="6">
        <f t="shared" si="148"/>
        <v>1</v>
      </c>
      <c r="O2404" t="str">
        <f>IF(Tabla_control[[#This Row],[Control_duplicados]]&gt;1,"Duplicado","Unico")</f>
        <v>Unico</v>
      </c>
      <c r="P2404" t="str">
        <f t="shared" si="149"/>
        <v>OK</v>
      </c>
      <c r="Q2404" t="str">
        <f t="shared" si="150"/>
        <v>OK</v>
      </c>
      <c r="R2404" t="str">
        <f t="shared" si="151"/>
        <v>OK</v>
      </c>
    </row>
    <row r="2405" spans="1:18" x14ac:dyDescent="0.3">
      <c r="A2405" s="1">
        <v>45883</v>
      </c>
      <c r="B2405" s="2" t="s">
        <v>2642</v>
      </c>
      <c r="C2405" s="2" t="s">
        <v>2515</v>
      </c>
      <c r="D2405" s="2" t="s">
        <v>2528</v>
      </c>
      <c r="E2405" s="2" t="s">
        <v>2517</v>
      </c>
      <c r="F2405" s="3">
        <v>29530</v>
      </c>
      <c r="G2405" s="3">
        <v>278</v>
      </c>
      <c r="H2405" s="3">
        <v>6</v>
      </c>
      <c r="I2405" s="4">
        <v>33.97</v>
      </c>
      <c r="J2405" s="4">
        <v>1283.56</v>
      </c>
      <c r="K2405" s="3">
        <v>5</v>
      </c>
      <c r="L2405" s="2" t="s">
        <v>2518</v>
      </c>
      <c r="M2405" s="2" t="s">
        <v>2526</v>
      </c>
      <c r="N2405" s="6">
        <f t="shared" si="148"/>
        <v>1</v>
      </c>
      <c r="O2405" t="str">
        <f>IF(Tabla_control[[#This Row],[Control_duplicados]]&gt;1,"Duplicado","Unico")</f>
        <v>Unico</v>
      </c>
      <c r="P2405" t="str">
        <f t="shared" si="149"/>
        <v>OK</v>
      </c>
      <c r="Q2405" t="str">
        <f t="shared" si="150"/>
        <v>OK</v>
      </c>
      <c r="R2405" t="str">
        <f t="shared" si="151"/>
        <v>OK</v>
      </c>
    </row>
    <row r="2406" spans="1:18" x14ac:dyDescent="0.3">
      <c r="A2406" s="1">
        <v>45891</v>
      </c>
      <c r="B2406" s="2" t="s">
        <v>2643</v>
      </c>
      <c r="C2406" s="2" t="s">
        <v>2533</v>
      </c>
      <c r="D2406" s="2" t="s">
        <v>2528</v>
      </c>
      <c r="E2406" s="2" t="s">
        <v>2529</v>
      </c>
      <c r="F2406" s="3">
        <v>72677</v>
      </c>
      <c r="G2406" s="3">
        <v>5047</v>
      </c>
      <c r="H2406" s="3">
        <v>118</v>
      </c>
      <c r="I2406" s="4">
        <v>5325.2</v>
      </c>
      <c r="J2406" s="4">
        <v>14030.83</v>
      </c>
      <c r="K2406" s="3">
        <v>72</v>
      </c>
      <c r="L2406" s="2" t="s">
        <v>2518</v>
      </c>
      <c r="M2406" s="2" t="s">
        <v>2524</v>
      </c>
      <c r="N2406" s="6">
        <f t="shared" si="148"/>
        <v>1</v>
      </c>
      <c r="O2406" t="str">
        <f>IF(Tabla_control[[#This Row],[Control_duplicados]]&gt;1,"Duplicado","Unico")</f>
        <v>Unico</v>
      </c>
      <c r="P2406" t="str">
        <f t="shared" si="149"/>
        <v>OK</v>
      </c>
      <c r="Q2406" t="str">
        <f t="shared" si="150"/>
        <v>OK</v>
      </c>
      <c r="R2406" t="str">
        <f t="shared" si="151"/>
        <v>OK</v>
      </c>
    </row>
    <row r="2407" spans="1:18" x14ac:dyDescent="0.3">
      <c r="A2407" s="1">
        <v>45885</v>
      </c>
      <c r="B2407" s="2" t="s">
        <v>2644</v>
      </c>
      <c r="C2407" s="2" t="s">
        <v>2533</v>
      </c>
      <c r="D2407" s="2" t="s">
        <v>2531</v>
      </c>
      <c r="E2407" s="2" t="s">
        <v>2529</v>
      </c>
      <c r="F2407" s="3">
        <v>19451</v>
      </c>
      <c r="G2407" s="3">
        <v>1076</v>
      </c>
      <c r="H2407" s="3">
        <v>55</v>
      </c>
      <c r="I2407" s="4">
        <v>1782.7</v>
      </c>
      <c r="J2407" s="4">
        <v>10580.99</v>
      </c>
      <c r="K2407" s="3">
        <v>31</v>
      </c>
      <c r="L2407" s="2" t="s">
        <v>2518</v>
      </c>
      <c r="M2407" s="2" t="s">
        <v>2546</v>
      </c>
      <c r="N2407" s="6">
        <f t="shared" si="148"/>
        <v>1</v>
      </c>
      <c r="O2407" t="str">
        <f>IF(Tabla_control[[#This Row],[Control_duplicados]]&gt;1,"Duplicado","Unico")</f>
        <v>Unico</v>
      </c>
      <c r="P2407" t="str">
        <f t="shared" si="149"/>
        <v>OK</v>
      </c>
      <c r="Q2407" t="str">
        <f t="shared" si="150"/>
        <v>OK</v>
      </c>
      <c r="R2407" t="str">
        <f t="shared" si="151"/>
        <v>OK</v>
      </c>
    </row>
    <row r="2408" spans="1:18" x14ac:dyDescent="0.3">
      <c r="A2408" s="1">
        <v>45815</v>
      </c>
      <c r="B2408" s="2" t="s">
        <v>2627</v>
      </c>
      <c r="C2408" s="2" t="s">
        <v>2521</v>
      </c>
      <c r="D2408" s="2" t="s">
        <v>2516</v>
      </c>
      <c r="E2408" s="2" t="s">
        <v>2517</v>
      </c>
      <c r="F2408" s="3">
        <v>24633</v>
      </c>
      <c r="G2408" s="3">
        <v>786</v>
      </c>
      <c r="H2408" s="3">
        <v>32</v>
      </c>
      <c r="I2408" s="4">
        <v>300.83</v>
      </c>
      <c r="J2408" s="4">
        <v>5931.67</v>
      </c>
      <c r="K2408" s="3">
        <v>22</v>
      </c>
      <c r="L2408" s="2" t="s">
        <v>2518</v>
      </c>
      <c r="M2408" s="2" t="s">
        <v>2524</v>
      </c>
      <c r="N2408" s="6">
        <f t="shared" si="148"/>
        <v>1</v>
      </c>
      <c r="O2408" t="str">
        <f>IF(Tabla_control[[#This Row],[Control_duplicados]]&gt;1,"Duplicado","Unico")</f>
        <v>Unico</v>
      </c>
      <c r="P2408" t="str">
        <f t="shared" si="149"/>
        <v>OK</v>
      </c>
      <c r="Q2408" t="str">
        <f t="shared" si="150"/>
        <v>OK</v>
      </c>
      <c r="R2408" t="str">
        <f t="shared" si="151"/>
        <v>OK</v>
      </c>
    </row>
    <row r="2409" spans="1:18" x14ac:dyDescent="0.3">
      <c r="A2409" s="1">
        <v>45989</v>
      </c>
      <c r="B2409" s="2" t="s">
        <v>2639</v>
      </c>
      <c r="C2409" s="2" t="s">
        <v>2515</v>
      </c>
      <c r="D2409" s="2" t="s">
        <v>2525</v>
      </c>
      <c r="E2409" s="2" t="s">
        <v>2529</v>
      </c>
      <c r="F2409" s="3">
        <v>92803</v>
      </c>
      <c r="G2409" s="3">
        <v>7973</v>
      </c>
      <c r="H2409" s="3">
        <v>131</v>
      </c>
      <c r="I2409" s="4">
        <v>12099.2</v>
      </c>
      <c r="J2409" s="4">
        <v>4560.53</v>
      </c>
      <c r="K2409" s="3">
        <v>105</v>
      </c>
      <c r="L2409" s="2" t="s">
        <v>2518</v>
      </c>
      <c r="M2409" s="2" t="s">
        <v>2546</v>
      </c>
      <c r="N2409" s="6">
        <f t="shared" si="148"/>
        <v>1</v>
      </c>
      <c r="O2409" t="str">
        <f>IF(Tabla_control[[#This Row],[Control_duplicados]]&gt;1,"Duplicado","Unico")</f>
        <v>Unico</v>
      </c>
      <c r="P2409" t="str">
        <f t="shared" si="149"/>
        <v>OK</v>
      </c>
      <c r="Q2409" t="str">
        <f t="shared" si="150"/>
        <v>OK</v>
      </c>
      <c r="R2409" t="str">
        <f t="shared" si="151"/>
        <v>OK</v>
      </c>
    </row>
    <row r="2410" spans="1:18" x14ac:dyDescent="0.3">
      <c r="A2410" s="1">
        <v>45869</v>
      </c>
      <c r="B2410" s="2" t="s">
        <v>2641</v>
      </c>
      <c r="C2410" s="2" t="s">
        <v>2515</v>
      </c>
      <c r="D2410" s="2" t="s">
        <v>2528</v>
      </c>
      <c r="E2410" s="2" t="s">
        <v>2534</v>
      </c>
      <c r="F2410" s="3">
        <v>19513</v>
      </c>
      <c r="G2410" s="3">
        <v>1215</v>
      </c>
      <c r="H2410" s="3">
        <v>62</v>
      </c>
      <c r="I2410" s="4">
        <v>1388.53</v>
      </c>
      <c r="J2410" s="4">
        <v>13062.47</v>
      </c>
      <c r="K2410" s="3">
        <v>29</v>
      </c>
      <c r="L2410" s="2" t="s">
        <v>2536</v>
      </c>
      <c r="M2410" s="2" t="s">
        <v>2519</v>
      </c>
      <c r="N2410" s="6">
        <f t="shared" si="148"/>
        <v>1</v>
      </c>
      <c r="O2410" t="str">
        <f>IF(Tabla_control[[#This Row],[Control_duplicados]]&gt;1,"Duplicado","Unico")</f>
        <v>Unico</v>
      </c>
      <c r="P2410" t="str">
        <f t="shared" si="149"/>
        <v>OK</v>
      </c>
      <c r="Q2410" t="str">
        <f t="shared" si="150"/>
        <v>OK</v>
      </c>
      <c r="R2410" t="str">
        <f t="shared" si="151"/>
        <v>OK</v>
      </c>
    </row>
    <row r="2411" spans="1:18" x14ac:dyDescent="0.3">
      <c r="A2411" s="1">
        <v>45953</v>
      </c>
      <c r="B2411" s="2" t="s">
        <v>2627</v>
      </c>
      <c r="C2411" s="2" t="s">
        <v>2543</v>
      </c>
      <c r="D2411" s="2" t="s">
        <v>2528</v>
      </c>
      <c r="E2411" s="2" t="s">
        <v>2529</v>
      </c>
      <c r="F2411" s="3">
        <v>105096</v>
      </c>
      <c r="G2411" s="3">
        <v>7790</v>
      </c>
      <c r="H2411" s="3">
        <v>739</v>
      </c>
      <c r="I2411" s="4">
        <v>15918.42</v>
      </c>
      <c r="J2411" s="4">
        <v>119560.1</v>
      </c>
      <c r="K2411" s="3">
        <v>555</v>
      </c>
      <c r="L2411" s="2" t="s">
        <v>2523</v>
      </c>
      <c r="M2411" s="2" t="s">
        <v>2526</v>
      </c>
      <c r="N2411" s="6">
        <f t="shared" si="148"/>
        <v>2</v>
      </c>
      <c r="O2411" t="str">
        <f>IF(Tabla_control[[#This Row],[Control_duplicados]]&gt;1,"Duplicado","Unico")</f>
        <v>Duplicado</v>
      </c>
      <c r="P2411" t="str">
        <f t="shared" si="149"/>
        <v>OK</v>
      </c>
      <c r="Q2411" t="str">
        <f t="shared" si="150"/>
        <v>OK</v>
      </c>
      <c r="R2411" t="str">
        <f t="shared" si="151"/>
        <v>OK</v>
      </c>
    </row>
    <row r="2412" spans="1:18" x14ac:dyDescent="0.3">
      <c r="A2412" s="1">
        <v>45973</v>
      </c>
      <c r="B2412" s="2" t="s">
        <v>2633</v>
      </c>
      <c r="C2412" s="2" t="s">
        <v>2543</v>
      </c>
      <c r="D2412" s="2" t="s">
        <v>2528</v>
      </c>
      <c r="E2412" s="2" t="s">
        <v>2517</v>
      </c>
      <c r="F2412" s="3">
        <v>139870</v>
      </c>
      <c r="G2412" s="3">
        <v>6061</v>
      </c>
      <c r="H2412" s="3">
        <v>811</v>
      </c>
      <c r="I2412" s="4">
        <v>2823.88</v>
      </c>
      <c r="J2412" s="4">
        <v>134104.56</v>
      </c>
      <c r="K2412" s="3">
        <v>570</v>
      </c>
      <c r="L2412" s="2" t="s">
        <v>2536</v>
      </c>
      <c r="M2412" s="2" t="s">
        <v>2537</v>
      </c>
      <c r="N2412" s="6">
        <f t="shared" si="148"/>
        <v>1</v>
      </c>
      <c r="O2412" t="str">
        <f>IF(Tabla_control[[#This Row],[Control_duplicados]]&gt;1,"Duplicado","Unico")</f>
        <v>Unico</v>
      </c>
      <c r="P2412" t="str">
        <f t="shared" si="149"/>
        <v>OK</v>
      </c>
      <c r="Q2412" t="str">
        <f t="shared" si="150"/>
        <v>OK</v>
      </c>
      <c r="R2412" t="str">
        <f t="shared" si="151"/>
        <v>OK</v>
      </c>
    </row>
    <row r="2413" spans="1:18" x14ac:dyDescent="0.3">
      <c r="A2413" s="1">
        <v>45682</v>
      </c>
      <c r="B2413" s="2" t="s">
        <v>2642</v>
      </c>
      <c r="C2413" s="2" t="s">
        <v>2527</v>
      </c>
      <c r="D2413" s="2" t="s">
        <v>2525</v>
      </c>
      <c r="E2413" s="2" t="s">
        <v>2517</v>
      </c>
      <c r="F2413" s="3">
        <v>104530</v>
      </c>
      <c r="G2413" s="3">
        <v>6590</v>
      </c>
      <c r="H2413" s="3">
        <v>474</v>
      </c>
      <c r="I2413" s="4">
        <v>7214.8</v>
      </c>
      <c r="J2413" s="4">
        <v>76628.23</v>
      </c>
      <c r="K2413" s="3">
        <v>384</v>
      </c>
      <c r="L2413" s="2" t="s">
        <v>2523</v>
      </c>
      <c r="M2413" s="2" t="s">
        <v>2526</v>
      </c>
      <c r="N2413" s="6">
        <f t="shared" si="148"/>
        <v>1</v>
      </c>
      <c r="O2413" t="str">
        <f>IF(Tabla_control[[#This Row],[Control_duplicados]]&gt;1,"Duplicado","Unico")</f>
        <v>Unico</v>
      </c>
      <c r="P2413" t="str">
        <f t="shared" si="149"/>
        <v>OK</v>
      </c>
      <c r="Q2413" t="str">
        <f t="shared" si="150"/>
        <v>OK</v>
      </c>
      <c r="R2413" t="str">
        <f t="shared" si="151"/>
        <v>OK</v>
      </c>
    </row>
    <row r="2414" spans="1:18" x14ac:dyDescent="0.3">
      <c r="A2414" s="1">
        <v>45964</v>
      </c>
      <c r="B2414" s="2" t="s">
        <v>2618</v>
      </c>
      <c r="C2414" s="2" t="s">
        <v>2533</v>
      </c>
      <c r="D2414" s="2" t="s">
        <v>2528</v>
      </c>
      <c r="E2414" s="2" t="s">
        <v>2529</v>
      </c>
      <c r="F2414" s="3">
        <v>163979</v>
      </c>
      <c r="G2414" s="3">
        <v>10871</v>
      </c>
      <c r="H2414" s="3">
        <v>1045</v>
      </c>
      <c r="I2414" s="4">
        <v>14415.42</v>
      </c>
      <c r="J2414" s="4">
        <v>112137.65</v>
      </c>
      <c r="K2414" s="3">
        <v>841</v>
      </c>
      <c r="L2414" s="2" t="s">
        <v>2523</v>
      </c>
      <c r="M2414" s="2" t="s">
        <v>2526</v>
      </c>
      <c r="N2414" s="6">
        <f t="shared" si="148"/>
        <v>1</v>
      </c>
      <c r="O2414" t="str">
        <f>IF(Tabla_control[[#This Row],[Control_duplicados]]&gt;1,"Duplicado","Unico")</f>
        <v>Unico</v>
      </c>
      <c r="P2414" t="str">
        <f t="shared" si="149"/>
        <v>OK</v>
      </c>
      <c r="Q2414" t="str">
        <f t="shared" si="150"/>
        <v>OK</v>
      </c>
      <c r="R2414" t="str">
        <f t="shared" si="151"/>
        <v>OK</v>
      </c>
    </row>
    <row r="2415" spans="1:18" x14ac:dyDescent="0.3">
      <c r="A2415" s="1">
        <v>45705</v>
      </c>
      <c r="B2415" s="2" t="s">
        <v>2641</v>
      </c>
      <c r="C2415" s="2" t="s">
        <v>2527</v>
      </c>
      <c r="D2415" s="2" t="s">
        <v>2525</v>
      </c>
      <c r="E2415" s="2" t="s">
        <v>2517</v>
      </c>
      <c r="F2415" s="3">
        <v>152420</v>
      </c>
      <c r="G2415" s="3">
        <v>2297</v>
      </c>
      <c r="H2415" s="3">
        <v>296</v>
      </c>
      <c r="I2415" s="4">
        <v>709.33</v>
      </c>
      <c r="J2415" s="4">
        <v>32651.22</v>
      </c>
      <c r="K2415" s="3">
        <v>266</v>
      </c>
      <c r="L2415" s="2" t="s">
        <v>2539</v>
      </c>
      <c r="M2415" s="2" t="s">
        <v>2524</v>
      </c>
      <c r="N2415" s="6">
        <f t="shared" si="148"/>
        <v>1</v>
      </c>
      <c r="O2415" t="str">
        <f>IF(Tabla_control[[#This Row],[Control_duplicados]]&gt;1,"Duplicado","Unico")</f>
        <v>Unico</v>
      </c>
      <c r="P2415" t="str">
        <f t="shared" si="149"/>
        <v>OK</v>
      </c>
      <c r="Q2415" t="str">
        <f t="shared" si="150"/>
        <v>OK</v>
      </c>
      <c r="R2415" t="str">
        <f t="shared" si="151"/>
        <v>OK</v>
      </c>
    </row>
    <row r="2416" spans="1:18" x14ac:dyDescent="0.3">
      <c r="A2416" s="1">
        <v>45936</v>
      </c>
      <c r="B2416" s="2" t="s">
        <v>2630</v>
      </c>
      <c r="C2416" s="2" t="s">
        <v>2543</v>
      </c>
      <c r="D2416" s="2" t="s">
        <v>2528</v>
      </c>
      <c r="E2416" s="2" t="s">
        <v>2529</v>
      </c>
      <c r="F2416" s="3">
        <v>96797</v>
      </c>
      <c r="G2416" s="3">
        <v>2065</v>
      </c>
      <c r="H2416" s="3">
        <v>85</v>
      </c>
      <c r="I2416" s="4">
        <v>1378.3</v>
      </c>
      <c r="J2416" s="4">
        <v>2011.12</v>
      </c>
      <c r="K2416" s="3">
        <v>59</v>
      </c>
      <c r="L2416" s="2" t="s">
        <v>2536</v>
      </c>
      <c r="M2416" s="2" t="s">
        <v>2526</v>
      </c>
      <c r="N2416" s="6">
        <f t="shared" si="148"/>
        <v>1</v>
      </c>
      <c r="O2416" t="str">
        <f>IF(Tabla_control[[#This Row],[Control_duplicados]]&gt;1,"Duplicado","Unico")</f>
        <v>Unico</v>
      </c>
      <c r="P2416" t="str">
        <f t="shared" si="149"/>
        <v>OK</v>
      </c>
      <c r="Q2416" t="str">
        <f t="shared" si="150"/>
        <v>OK</v>
      </c>
      <c r="R2416" t="str">
        <f t="shared" si="151"/>
        <v>OK</v>
      </c>
    </row>
    <row r="2417" spans="1:18" x14ac:dyDescent="0.3">
      <c r="A2417" s="1">
        <v>45875</v>
      </c>
      <c r="B2417" s="2" t="s">
        <v>2624</v>
      </c>
      <c r="C2417" s="2" t="s">
        <v>2527</v>
      </c>
      <c r="D2417" s="2" t="s">
        <v>2522</v>
      </c>
      <c r="E2417" s="2" t="s">
        <v>2529</v>
      </c>
      <c r="F2417" s="3">
        <v>150173</v>
      </c>
      <c r="G2417" s="3">
        <v>13170</v>
      </c>
      <c r="H2417" s="3">
        <v>88</v>
      </c>
      <c r="I2417" s="4">
        <v>23279.98</v>
      </c>
      <c r="J2417" s="4">
        <v>4308.62</v>
      </c>
      <c r="K2417" s="3">
        <v>61</v>
      </c>
      <c r="L2417" s="2" t="s">
        <v>2518</v>
      </c>
      <c r="M2417" s="2" t="s">
        <v>2519</v>
      </c>
      <c r="N2417" s="6">
        <f t="shared" si="148"/>
        <v>1</v>
      </c>
      <c r="O2417" t="str">
        <f>IF(Tabla_control[[#This Row],[Control_duplicados]]&gt;1,"Duplicado","Unico")</f>
        <v>Unico</v>
      </c>
      <c r="P2417" t="str">
        <f t="shared" si="149"/>
        <v>OK</v>
      </c>
      <c r="Q2417" t="str">
        <f t="shared" si="150"/>
        <v>OK</v>
      </c>
      <c r="R2417" t="str">
        <f t="shared" si="151"/>
        <v>OK</v>
      </c>
    </row>
    <row r="2418" spans="1:18" x14ac:dyDescent="0.3">
      <c r="A2418" s="1">
        <v>45740</v>
      </c>
      <c r="B2418" s="2" t="s">
        <v>2633</v>
      </c>
      <c r="C2418" s="2" t="s">
        <v>2521</v>
      </c>
      <c r="D2418" s="2" t="s">
        <v>2522</v>
      </c>
      <c r="E2418" s="2" t="s">
        <v>2517</v>
      </c>
      <c r="F2418" s="3">
        <v>63088</v>
      </c>
      <c r="G2418" s="3">
        <v>4672</v>
      </c>
      <c r="H2418" s="3">
        <v>514</v>
      </c>
      <c r="I2418" s="4">
        <v>3053.46</v>
      </c>
      <c r="J2418" s="4">
        <v>81746.13</v>
      </c>
      <c r="K2418" s="3">
        <v>278</v>
      </c>
      <c r="L2418" s="2" t="s">
        <v>2523</v>
      </c>
      <c r="M2418" s="2" t="s">
        <v>2546</v>
      </c>
      <c r="N2418" s="6">
        <f t="shared" si="148"/>
        <v>1</v>
      </c>
      <c r="O2418" t="str">
        <f>IF(Tabla_control[[#This Row],[Control_duplicados]]&gt;1,"Duplicado","Unico")</f>
        <v>Unico</v>
      </c>
      <c r="P2418" t="str">
        <f t="shared" si="149"/>
        <v>OK</v>
      </c>
      <c r="Q2418" t="str">
        <f t="shared" si="150"/>
        <v>OK</v>
      </c>
      <c r="R2418" t="str">
        <f t="shared" si="151"/>
        <v>OK</v>
      </c>
    </row>
    <row r="2419" spans="1:18" x14ac:dyDescent="0.3">
      <c r="A2419" s="1">
        <v>45808</v>
      </c>
      <c r="B2419" s="2" t="s">
        <v>2623</v>
      </c>
      <c r="C2419" s="2" t="s">
        <v>2541</v>
      </c>
      <c r="D2419" s="2" t="s">
        <v>2525</v>
      </c>
      <c r="E2419" s="2" t="s">
        <v>2517</v>
      </c>
      <c r="F2419" s="3">
        <v>50503</v>
      </c>
      <c r="G2419" s="3">
        <v>2701</v>
      </c>
      <c r="H2419" s="3">
        <v>210</v>
      </c>
      <c r="I2419" s="4">
        <v>319.08</v>
      </c>
      <c r="J2419" s="4">
        <v>21004.91</v>
      </c>
      <c r="K2419" s="3">
        <v>135</v>
      </c>
      <c r="L2419" s="2" t="s">
        <v>2539</v>
      </c>
      <c r="M2419" s="2" t="s">
        <v>2524</v>
      </c>
      <c r="N2419" s="6">
        <f t="shared" si="148"/>
        <v>1</v>
      </c>
      <c r="O2419" t="str">
        <f>IF(Tabla_control[[#This Row],[Control_duplicados]]&gt;1,"Duplicado","Unico")</f>
        <v>Unico</v>
      </c>
      <c r="P2419" t="str">
        <f t="shared" si="149"/>
        <v>OK</v>
      </c>
      <c r="Q2419" t="str">
        <f t="shared" si="150"/>
        <v>OK</v>
      </c>
      <c r="R2419" t="str">
        <f t="shared" si="151"/>
        <v>OK</v>
      </c>
    </row>
    <row r="2420" spans="1:18" x14ac:dyDescent="0.3">
      <c r="A2420" s="1">
        <v>45939</v>
      </c>
      <c r="B2420" s="2" t="s">
        <v>2627</v>
      </c>
      <c r="C2420" s="2" t="s">
        <v>2543</v>
      </c>
      <c r="D2420" s="2" t="s">
        <v>2522</v>
      </c>
      <c r="E2420" s="2" t="s">
        <v>2529</v>
      </c>
      <c r="F2420" s="3">
        <v>171687</v>
      </c>
      <c r="G2420" s="3">
        <v>8541</v>
      </c>
      <c r="H2420" s="3">
        <v>344</v>
      </c>
      <c r="I2420" s="4">
        <v>10748.37</v>
      </c>
      <c r="J2420" s="4">
        <v>11884.79</v>
      </c>
      <c r="K2420" s="3">
        <v>233</v>
      </c>
      <c r="L2420" s="2" t="s">
        <v>2523</v>
      </c>
      <c r="M2420" s="2" t="s">
        <v>2537</v>
      </c>
      <c r="N2420" s="6">
        <f t="shared" si="148"/>
        <v>1</v>
      </c>
      <c r="O2420" t="str">
        <f>IF(Tabla_control[[#This Row],[Control_duplicados]]&gt;1,"Duplicado","Unico")</f>
        <v>Unico</v>
      </c>
      <c r="P2420" t="str">
        <f t="shared" si="149"/>
        <v>OK</v>
      </c>
      <c r="Q2420" t="str">
        <f t="shared" si="150"/>
        <v>OK</v>
      </c>
      <c r="R2420" t="str">
        <f t="shared" si="151"/>
        <v>OK</v>
      </c>
    </row>
    <row r="2421" spans="1:18" x14ac:dyDescent="0.3">
      <c r="A2421" s="1">
        <v>45945</v>
      </c>
      <c r="B2421" s="2" t="s">
        <v>2616</v>
      </c>
      <c r="C2421" s="2" t="s">
        <v>2543</v>
      </c>
      <c r="D2421" s="2" t="s">
        <v>2531</v>
      </c>
      <c r="E2421" s="2" t="s">
        <v>2529</v>
      </c>
      <c r="F2421" s="3">
        <v>85382</v>
      </c>
      <c r="G2421" s="3">
        <v>4664</v>
      </c>
      <c r="H2421" s="3">
        <v>556</v>
      </c>
      <c r="I2421" s="4">
        <v>5962.18</v>
      </c>
      <c r="J2421" s="4">
        <v>83397.56</v>
      </c>
      <c r="K2421" s="3">
        <v>280</v>
      </c>
      <c r="L2421" s="2" t="s">
        <v>2523</v>
      </c>
      <c r="M2421" s="2" t="s">
        <v>2546</v>
      </c>
      <c r="N2421" s="6">
        <f t="shared" si="148"/>
        <v>1</v>
      </c>
      <c r="O2421" t="str">
        <f>IF(Tabla_control[[#This Row],[Control_duplicados]]&gt;1,"Duplicado","Unico")</f>
        <v>Unico</v>
      </c>
      <c r="P2421" t="str">
        <f t="shared" si="149"/>
        <v>OK</v>
      </c>
      <c r="Q2421" t="str">
        <f t="shared" si="150"/>
        <v>OK</v>
      </c>
      <c r="R2421" t="str">
        <f t="shared" si="151"/>
        <v>OK</v>
      </c>
    </row>
    <row r="2422" spans="1:18" x14ac:dyDescent="0.3">
      <c r="A2422" s="1">
        <v>45998</v>
      </c>
      <c r="B2422" s="2" t="s">
        <v>2624</v>
      </c>
      <c r="C2422" s="2" t="s">
        <v>2541</v>
      </c>
      <c r="D2422" s="2" t="s">
        <v>2528</v>
      </c>
      <c r="E2422" s="2" t="s">
        <v>2534</v>
      </c>
      <c r="F2422" s="3">
        <v>99552</v>
      </c>
      <c r="G2422" s="3">
        <v>4854</v>
      </c>
      <c r="H2422" s="3">
        <v>88</v>
      </c>
      <c r="I2422" s="4">
        <v>3678.59</v>
      </c>
      <c r="J2422" s="4">
        <v>2313.58</v>
      </c>
      <c r="K2422" s="3">
        <v>56</v>
      </c>
      <c r="L2422" s="2" t="s">
        <v>2536</v>
      </c>
      <c r="M2422" s="2" t="s">
        <v>2546</v>
      </c>
      <c r="N2422" s="6">
        <f t="shared" si="148"/>
        <v>1</v>
      </c>
      <c r="O2422" t="str">
        <f>IF(Tabla_control[[#This Row],[Control_duplicados]]&gt;1,"Duplicado","Unico")</f>
        <v>Unico</v>
      </c>
      <c r="P2422" t="str">
        <f t="shared" si="149"/>
        <v>OK</v>
      </c>
      <c r="Q2422" t="str">
        <f t="shared" si="150"/>
        <v>OK</v>
      </c>
      <c r="R2422" t="str">
        <f t="shared" si="151"/>
        <v>OK</v>
      </c>
    </row>
    <row r="2423" spans="1:18" x14ac:dyDescent="0.3">
      <c r="A2423" s="1">
        <v>45925</v>
      </c>
      <c r="B2423" s="2" t="s">
        <v>2615</v>
      </c>
      <c r="C2423" s="2" t="s">
        <v>2541</v>
      </c>
      <c r="D2423" s="2" t="s">
        <v>2528</v>
      </c>
      <c r="E2423" s="2" t="s">
        <v>2529</v>
      </c>
      <c r="F2423" s="3">
        <v>106069</v>
      </c>
      <c r="G2423" s="3">
        <v>3404</v>
      </c>
      <c r="H2423" s="3">
        <v>92</v>
      </c>
      <c r="I2423" s="4">
        <v>5410.79</v>
      </c>
      <c r="J2423" s="4">
        <v>17172.98</v>
      </c>
      <c r="K2423" s="3">
        <v>59</v>
      </c>
      <c r="L2423" s="2" t="s">
        <v>2536</v>
      </c>
      <c r="M2423" s="2" t="s">
        <v>2519</v>
      </c>
      <c r="N2423" s="6">
        <f t="shared" si="148"/>
        <v>1</v>
      </c>
      <c r="O2423" t="str">
        <f>IF(Tabla_control[[#This Row],[Control_duplicados]]&gt;1,"Duplicado","Unico")</f>
        <v>Unico</v>
      </c>
      <c r="P2423" t="str">
        <f t="shared" si="149"/>
        <v>OK</v>
      </c>
      <c r="Q2423" t="str">
        <f t="shared" si="150"/>
        <v>OK</v>
      </c>
      <c r="R2423" t="str">
        <f t="shared" si="151"/>
        <v>OK</v>
      </c>
    </row>
    <row r="2424" spans="1:18" x14ac:dyDescent="0.3">
      <c r="A2424" s="1">
        <v>45697</v>
      </c>
      <c r="B2424" s="2" t="s">
        <v>2615</v>
      </c>
      <c r="C2424" s="2" t="s">
        <v>2543</v>
      </c>
      <c r="D2424" s="2" t="s">
        <v>2525</v>
      </c>
      <c r="E2424" s="2" t="s">
        <v>2517</v>
      </c>
      <c r="F2424" s="3">
        <v>28374</v>
      </c>
      <c r="G2424" s="3">
        <v>1867</v>
      </c>
      <c r="H2424" s="3">
        <v>52</v>
      </c>
      <c r="I2424" s="4">
        <v>3092.31</v>
      </c>
      <c r="J2424" s="4">
        <v>1647.67</v>
      </c>
      <c r="K2424" s="3">
        <v>28</v>
      </c>
      <c r="L2424" s="2" t="s">
        <v>2536</v>
      </c>
      <c r="M2424" s="2" t="s">
        <v>2526</v>
      </c>
      <c r="N2424" s="6">
        <f t="shared" si="148"/>
        <v>1</v>
      </c>
      <c r="O2424" t="str">
        <f>IF(Tabla_control[[#This Row],[Control_duplicados]]&gt;1,"Duplicado","Unico")</f>
        <v>Unico</v>
      </c>
      <c r="P2424" t="str">
        <f t="shared" si="149"/>
        <v>OK</v>
      </c>
      <c r="Q2424" t="str">
        <f t="shared" si="150"/>
        <v>OK</v>
      </c>
      <c r="R2424" t="str">
        <f t="shared" si="151"/>
        <v>OK</v>
      </c>
    </row>
    <row r="2425" spans="1:18" x14ac:dyDescent="0.3">
      <c r="A2425" s="1">
        <v>45953</v>
      </c>
      <c r="B2425" s="2" t="s">
        <v>2619</v>
      </c>
      <c r="C2425" s="2" t="s">
        <v>2533</v>
      </c>
      <c r="D2425" s="2" t="s">
        <v>2525</v>
      </c>
      <c r="E2425" s="2" t="s">
        <v>2529</v>
      </c>
      <c r="F2425" s="3">
        <v>1214</v>
      </c>
      <c r="G2425" s="3">
        <v>49</v>
      </c>
      <c r="H2425" s="3">
        <v>2</v>
      </c>
      <c r="I2425" s="4">
        <v>50.07</v>
      </c>
      <c r="J2425" s="4">
        <v>252.03</v>
      </c>
      <c r="K2425" s="3">
        <v>1</v>
      </c>
      <c r="L2425" s="2" t="s">
        <v>2539</v>
      </c>
      <c r="M2425" s="2" t="s">
        <v>2526</v>
      </c>
      <c r="N2425" s="6">
        <f t="shared" si="148"/>
        <v>1</v>
      </c>
      <c r="O2425" t="str">
        <f>IF(Tabla_control[[#This Row],[Control_duplicados]]&gt;1,"Duplicado","Unico")</f>
        <v>Unico</v>
      </c>
      <c r="P2425" t="str">
        <f t="shared" si="149"/>
        <v>OK</v>
      </c>
      <c r="Q2425" t="str">
        <f t="shared" si="150"/>
        <v>OK</v>
      </c>
      <c r="R2425" t="str">
        <f t="shared" si="151"/>
        <v>OK</v>
      </c>
    </row>
    <row r="2426" spans="1:18" x14ac:dyDescent="0.3">
      <c r="A2426" s="1">
        <v>45669</v>
      </c>
      <c r="B2426" s="2" t="s">
        <v>2615</v>
      </c>
      <c r="C2426" s="2" t="s">
        <v>2515</v>
      </c>
      <c r="D2426" s="2" t="s">
        <v>2528</v>
      </c>
      <c r="E2426" s="2" t="s">
        <v>2529</v>
      </c>
      <c r="F2426" s="3">
        <v>102229</v>
      </c>
      <c r="G2426" s="3">
        <v>8025</v>
      </c>
      <c r="H2426" s="3">
        <v>1062</v>
      </c>
      <c r="I2426" s="4">
        <v>14604.59</v>
      </c>
      <c r="J2426" s="4">
        <v>178659.09</v>
      </c>
      <c r="K2426" s="3">
        <v>827</v>
      </c>
      <c r="L2426" s="2" t="s">
        <v>2523</v>
      </c>
      <c r="M2426" s="2" t="s">
        <v>2546</v>
      </c>
      <c r="N2426" s="6">
        <f t="shared" si="148"/>
        <v>1</v>
      </c>
      <c r="O2426" t="str">
        <f>IF(Tabla_control[[#This Row],[Control_duplicados]]&gt;1,"Duplicado","Unico")</f>
        <v>Unico</v>
      </c>
      <c r="P2426" t="str">
        <f t="shared" si="149"/>
        <v>OK</v>
      </c>
      <c r="Q2426" t="str">
        <f t="shared" si="150"/>
        <v>OK</v>
      </c>
      <c r="R2426" t="str">
        <f t="shared" si="151"/>
        <v>OK</v>
      </c>
    </row>
    <row r="2427" spans="1:18" x14ac:dyDescent="0.3">
      <c r="A2427" s="1">
        <v>45722</v>
      </c>
      <c r="B2427" s="2" t="s">
        <v>2617</v>
      </c>
      <c r="C2427" s="2" t="s">
        <v>2543</v>
      </c>
      <c r="D2427" s="2" t="s">
        <v>2528</v>
      </c>
      <c r="E2427" s="2" t="s">
        <v>2517</v>
      </c>
      <c r="F2427" s="3">
        <v>126631</v>
      </c>
      <c r="G2427" s="3">
        <v>8670</v>
      </c>
      <c r="H2427" s="3">
        <v>820</v>
      </c>
      <c r="I2427" s="4">
        <v>17713.2</v>
      </c>
      <c r="J2427" s="4">
        <v>92482.89</v>
      </c>
      <c r="K2427" s="3">
        <v>587</v>
      </c>
      <c r="L2427" s="2" t="s">
        <v>2539</v>
      </c>
      <c r="M2427" s="2" t="s">
        <v>2537</v>
      </c>
      <c r="N2427" s="6">
        <f t="shared" si="148"/>
        <v>1</v>
      </c>
      <c r="O2427" t="str">
        <f>IF(Tabla_control[[#This Row],[Control_duplicados]]&gt;1,"Duplicado","Unico")</f>
        <v>Unico</v>
      </c>
      <c r="P2427" t="str">
        <f t="shared" si="149"/>
        <v>OK</v>
      </c>
      <c r="Q2427" t="str">
        <f t="shared" si="150"/>
        <v>OK</v>
      </c>
      <c r="R2427" t="str">
        <f t="shared" si="151"/>
        <v>OK</v>
      </c>
    </row>
    <row r="2428" spans="1:18" x14ac:dyDescent="0.3">
      <c r="A2428" s="1">
        <v>46022</v>
      </c>
      <c r="B2428" s="2" t="s">
        <v>2631</v>
      </c>
      <c r="C2428" s="2" t="s">
        <v>2521</v>
      </c>
      <c r="D2428" s="2" t="s">
        <v>2525</v>
      </c>
      <c r="E2428" s="2" t="s">
        <v>2517</v>
      </c>
      <c r="F2428" s="3">
        <v>114197</v>
      </c>
      <c r="G2428" s="3">
        <v>3885</v>
      </c>
      <c r="H2428" s="3">
        <v>431</v>
      </c>
      <c r="I2428" s="4">
        <v>7387.11</v>
      </c>
      <c r="J2428" s="4">
        <v>69183.62</v>
      </c>
      <c r="K2428" s="3">
        <v>198</v>
      </c>
      <c r="L2428" s="2" t="s">
        <v>2536</v>
      </c>
      <c r="M2428" s="2" t="s">
        <v>2526</v>
      </c>
      <c r="N2428" s="6">
        <f t="shared" si="148"/>
        <v>1</v>
      </c>
      <c r="O2428" t="str">
        <f>IF(Tabla_control[[#This Row],[Control_duplicados]]&gt;1,"Duplicado","Unico")</f>
        <v>Unico</v>
      </c>
      <c r="P2428" t="str">
        <f t="shared" si="149"/>
        <v>OK</v>
      </c>
      <c r="Q2428" t="str">
        <f t="shared" si="150"/>
        <v>OK</v>
      </c>
      <c r="R2428" t="str">
        <f t="shared" si="151"/>
        <v>OK</v>
      </c>
    </row>
    <row r="2429" spans="1:18" x14ac:dyDescent="0.3">
      <c r="A2429" s="1">
        <v>46021</v>
      </c>
      <c r="B2429" s="2" t="s">
        <v>2622</v>
      </c>
      <c r="C2429" s="2" t="s">
        <v>2527</v>
      </c>
      <c r="D2429" s="2" t="s">
        <v>2528</v>
      </c>
      <c r="E2429" s="2" t="s">
        <v>2529</v>
      </c>
      <c r="F2429" s="3">
        <v>15873</v>
      </c>
      <c r="G2429" s="3">
        <v>680</v>
      </c>
      <c r="H2429" s="3">
        <v>32</v>
      </c>
      <c r="I2429" s="4">
        <v>252.96</v>
      </c>
      <c r="J2429" s="4">
        <v>4901.2299999999996</v>
      </c>
      <c r="K2429" s="3">
        <v>17</v>
      </c>
      <c r="L2429" s="2" t="s">
        <v>2518</v>
      </c>
      <c r="M2429" s="2" t="s">
        <v>2519</v>
      </c>
      <c r="N2429" s="6">
        <f t="shared" si="148"/>
        <v>1</v>
      </c>
      <c r="O2429" t="str">
        <f>IF(Tabla_control[[#This Row],[Control_duplicados]]&gt;1,"Duplicado","Unico")</f>
        <v>Unico</v>
      </c>
      <c r="P2429" t="str">
        <f t="shared" si="149"/>
        <v>OK</v>
      </c>
      <c r="Q2429" t="str">
        <f t="shared" si="150"/>
        <v>OK</v>
      </c>
      <c r="R2429" t="str">
        <f t="shared" si="151"/>
        <v>OK</v>
      </c>
    </row>
    <row r="2430" spans="1:18" x14ac:dyDescent="0.3">
      <c r="A2430" s="1">
        <v>45847</v>
      </c>
      <c r="B2430" s="2" t="s">
        <v>2633</v>
      </c>
      <c r="C2430" s="2" t="s">
        <v>2541</v>
      </c>
      <c r="D2430" s="2" t="s">
        <v>2528</v>
      </c>
      <c r="E2430" s="2" t="s">
        <v>2534</v>
      </c>
      <c r="F2430" s="3">
        <v>158168</v>
      </c>
      <c r="G2430" s="3">
        <v>13117</v>
      </c>
      <c r="H2430" s="3">
        <v>204</v>
      </c>
      <c r="I2430" s="4">
        <v>18104.75</v>
      </c>
      <c r="J2430" s="4">
        <v>28768.66</v>
      </c>
      <c r="K2430" s="3">
        <v>135</v>
      </c>
      <c r="L2430" s="2" t="s">
        <v>2518</v>
      </c>
      <c r="M2430" s="2" t="s">
        <v>2519</v>
      </c>
      <c r="N2430" s="6">
        <f t="shared" si="148"/>
        <v>1</v>
      </c>
      <c r="O2430" t="str">
        <f>IF(Tabla_control[[#This Row],[Control_duplicados]]&gt;1,"Duplicado","Unico")</f>
        <v>Unico</v>
      </c>
      <c r="P2430" t="str">
        <f t="shared" si="149"/>
        <v>OK</v>
      </c>
      <c r="Q2430" t="str">
        <f t="shared" si="150"/>
        <v>OK</v>
      </c>
      <c r="R2430" t="str">
        <f t="shared" si="151"/>
        <v>OK</v>
      </c>
    </row>
    <row r="2431" spans="1:18" x14ac:dyDescent="0.3">
      <c r="A2431" s="1">
        <v>45981</v>
      </c>
      <c r="B2431" s="2" t="s">
        <v>2620</v>
      </c>
      <c r="C2431" s="2" t="s">
        <v>2527</v>
      </c>
      <c r="D2431" s="2" t="s">
        <v>2528</v>
      </c>
      <c r="E2431" s="2" t="s">
        <v>2529</v>
      </c>
      <c r="F2431" s="3">
        <v>25969</v>
      </c>
      <c r="G2431" s="3">
        <v>516</v>
      </c>
      <c r="H2431" s="3">
        <v>64</v>
      </c>
      <c r="I2431" s="4">
        <v>745.61</v>
      </c>
      <c r="J2431" s="4">
        <v>2220.69</v>
      </c>
      <c r="K2431" s="3">
        <v>37</v>
      </c>
      <c r="L2431" s="2" t="s">
        <v>2539</v>
      </c>
      <c r="M2431" s="2" t="s">
        <v>2519</v>
      </c>
      <c r="N2431" s="6">
        <f t="shared" si="148"/>
        <v>2</v>
      </c>
      <c r="O2431" t="str">
        <f>IF(Tabla_control[[#This Row],[Control_duplicados]]&gt;1,"Duplicado","Unico")</f>
        <v>Duplicado</v>
      </c>
      <c r="P2431" t="str">
        <f t="shared" si="149"/>
        <v>OK</v>
      </c>
      <c r="Q2431" t="str">
        <f t="shared" si="150"/>
        <v>OK</v>
      </c>
      <c r="R2431" t="str">
        <f t="shared" si="151"/>
        <v>OK</v>
      </c>
    </row>
    <row r="2432" spans="1:18" x14ac:dyDescent="0.3">
      <c r="A2432" s="1">
        <v>45679</v>
      </c>
      <c r="B2432" s="2" t="s">
        <v>2637</v>
      </c>
      <c r="C2432" s="2" t="s">
        <v>2527</v>
      </c>
      <c r="D2432" s="2" t="s">
        <v>2531</v>
      </c>
      <c r="E2432" s="2" t="s">
        <v>2529</v>
      </c>
      <c r="F2432" s="3">
        <v>42981</v>
      </c>
      <c r="G2432" s="3">
        <v>2902</v>
      </c>
      <c r="H2432" s="3">
        <v>285</v>
      </c>
      <c r="I2432" s="4">
        <v>5485.4</v>
      </c>
      <c r="J2432" s="4">
        <v>57117.3</v>
      </c>
      <c r="K2432" s="3">
        <v>212</v>
      </c>
      <c r="L2432" s="2" t="s">
        <v>2523</v>
      </c>
      <c r="M2432" s="2" t="s">
        <v>2537</v>
      </c>
      <c r="N2432" s="6">
        <f t="shared" si="148"/>
        <v>1</v>
      </c>
      <c r="O2432" t="str">
        <f>IF(Tabla_control[[#This Row],[Control_duplicados]]&gt;1,"Duplicado","Unico")</f>
        <v>Unico</v>
      </c>
      <c r="P2432" t="str">
        <f t="shared" si="149"/>
        <v>OK</v>
      </c>
      <c r="Q2432" t="str">
        <f t="shared" si="150"/>
        <v>OK</v>
      </c>
      <c r="R2432" t="str">
        <f t="shared" si="151"/>
        <v>OK</v>
      </c>
    </row>
    <row r="2433" spans="1:18" x14ac:dyDescent="0.3">
      <c r="A2433" s="1">
        <v>45811</v>
      </c>
      <c r="B2433" s="2" t="s">
        <v>2624</v>
      </c>
      <c r="C2433" s="2" t="s">
        <v>2515</v>
      </c>
      <c r="D2433" s="2" t="s">
        <v>2528</v>
      </c>
      <c r="E2433" s="2" t="s">
        <v>2517</v>
      </c>
      <c r="F2433" s="3">
        <v>31010</v>
      </c>
      <c r="G2433" s="3">
        <v>1913</v>
      </c>
      <c r="H2433" s="3">
        <v>91</v>
      </c>
      <c r="I2433" s="4">
        <v>1889.37</v>
      </c>
      <c r="J2433" s="4">
        <v>4677.63</v>
      </c>
      <c r="K2433" s="3">
        <v>44</v>
      </c>
      <c r="L2433" s="2" t="s">
        <v>2536</v>
      </c>
      <c r="M2433" s="2" t="s">
        <v>2524</v>
      </c>
      <c r="N2433" s="6">
        <f t="shared" si="148"/>
        <v>1</v>
      </c>
      <c r="O2433" t="str">
        <f>IF(Tabla_control[[#This Row],[Control_duplicados]]&gt;1,"Duplicado","Unico")</f>
        <v>Unico</v>
      </c>
      <c r="P2433" t="str">
        <f t="shared" si="149"/>
        <v>OK</v>
      </c>
      <c r="Q2433" t="str">
        <f t="shared" si="150"/>
        <v>OK</v>
      </c>
      <c r="R2433" t="str">
        <f t="shared" si="151"/>
        <v>OK</v>
      </c>
    </row>
    <row r="2434" spans="1:18" x14ac:dyDescent="0.3">
      <c r="A2434" s="1">
        <v>45838</v>
      </c>
      <c r="B2434" s="2" t="s">
        <v>2618</v>
      </c>
      <c r="C2434" s="2" t="s">
        <v>2533</v>
      </c>
      <c r="D2434" s="2" t="s">
        <v>2528</v>
      </c>
      <c r="E2434" s="2" t="s">
        <v>2517</v>
      </c>
      <c r="F2434" s="3">
        <v>112192</v>
      </c>
      <c r="G2434" s="3">
        <v>5964</v>
      </c>
      <c r="H2434" s="3">
        <v>826</v>
      </c>
      <c r="I2434" s="4">
        <v>5272.56</v>
      </c>
      <c r="J2434" s="4">
        <v>103278.97</v>
      </c>
      <c r="K2434" s="3">
        <v>615</v>
      </c>
      <c r="L2434" s="2" t="s">
        <v>2536</v>
      </c>
      <c r="M2434" s="2" t="s">
        <v>2526</v>
      </c>
      <c r="N2434" s="6">
        <f t="shared" ref="N2434:N2497" si="152">COUNTIFS($A$2:$A$2536,A2434,$B$2:$B$2536,B2434,$C$2:$C$2536,C2434,$D$2:$D$2536,D2434,$E$2:$E$2536,E2434,$F$2:$F$2536,F2434,$G$2:$G$2536,G2434,$H$2:$H$2536,H2434,$I$2:$I$2536,I2434,$J$2:$J$2536,J2434,$K$2:$K$2536,K2434,$L$2:$L$2536,L2434,$M$2:$M$2536,M2434)</f>
        <v>1</v>
      </c>
      <c r="O2434" t="str">
        <f>IF(Tabla_control[[#This Row],[Control_duplicados]]&gt;1,"Duplicado","Unico")</f>
        <v>Unico</v>
      </c>
      <c r="P2434" t="str">
        <f t="shared" ref="P2434:P2497" si="153">IF(OR(I2434="",I2434&lt;0),"ERROR","OK")</f>
        <v>OK</v>
      </c>
      <c r="Q2434" t="str">
        <f t="shared" ref="Q2434:Q2497" si="154">IF(H2434&gt;F2434,"ERROR","OK")</f>
        <v>OK</v>
      </c>
      <c r="R2434" t="str">
        <f t="shared" ref="R2434:R2497" si="155">IF(K2434&gt;H2434,"ERROR","OK")</f>
        <v>OK</v>
      </c>
    </row>
    <row r="2435" spans="1:18" x14ac:dyDescent="0.3">
      <c r="A2435" s="1">
        <v>45842</v>
      </c>
      <c r="B2435" s="2" t="s">
        <v>2640</v>
      </c>
      <c r="C2435" s="2" t="s">
        <v>2527</v>
      </c>
      <c r="D2435" s="2" t="s">
        <v>2528</v>
      </c>
      <c r="E2435" s="2" t="s">
        <v>2529</v>
      </c>
      <c r="F2435" s="3">
        <v>116672</v>
      </c>
      <c r="G2435" s="3">
        <v>2178</v>
      </c>
      <c r="H2435" s="3">
        <v>296</v>
      </c>
      <c r="I2435" s="4">
        <v>3104.95</v>
      </c>
      <c r="J2435" s="4">
        <v>35826.36</v>
      </c>
      <c r="K2435" s="3">
        <v>175</v>
      </c>
      <c r="L2435" s="2" t="s">
        <v>2523</v>
      </c>
      <c r="M2435" s="2" t="s">
        <v>2526</v>
      </c>
      <c r="N2435" s="6">
        <f t="shared" si="152"/>
        <v>1</v>
      </c>
      <c r="O2435" t="str">
        <f>IF(Tabla_control[[#This Row],[Control_duplicados]]&gt;1,"Duplicado","Unico")</f>
        <v>Unico</v>
      </c>
      <c r="P2435" t="str">
        <f t="shared" si="153"/>
        <v>OK</v>
      </c>
      <c r="Q2435" t="str">
        <f t="shared" si="154"/>
        <v>OK</v>
      </c>
      <c r="R2435" t="str">
        <f t="shared" si="155"/>
        <v>OK</v>
      </c>
    </row>
    <row r="2436" spans="1:18" x14ac:dyDescent="0.3">
      <c r="A2436" s="1">
        <v>45771</v>
      </c>
      <c r="B2436" s="2" t="s">
        <v>2637</v>
      </c>
      <c r="C2436" s="2" t="s">
        <v>2543</v>
      </c>
      <c r="D2436" s="2" t="s">
        <v>2516</v>
      </c>
      <c r="E2436" s="2" t="s">
        <v>2534</v>
      </c>
      <c r="F2436" s="3">
        <v>165271</v>
      </c>
      <c r="G2436" s="3">
        <v>10161</v>
      </c>
      <c r="H2436" s="3">
        <v>750</v>
      </c>
      <c r="I2436" s="4">
        <v>2116.5500000000002</v>
      </c>
      <c r="J2436" s="4">
        <v>139746.29</v>
      </c>
      <c r="K2436" s="3">
        <v>382</v>
      </c>
      <c r="L2436" s="2" t="s">
        <v>2518</v>
      </c>
      <c r="M2436" s="2" t="s">
        <v>2524</v>
      </c>
      <c r="N2436" s="6">
        <f t="shared" si="152"/>
        <v>1</v>
      </c>
      <c r="O2436" t="str">
        <f>IF(Tabla_control[[#This Row],[Control_duplicados]]&gt;1,"Duplicado","Unico")</f>
        <v>Unico</v>
      </c>
      <c r="P2436" t="str">
        <f t="shared" si="153"/>
        <v>OK</v>
      </c>
      <c r="Q2436" t="str">
        <f t="shared" si="154"/>
        <v>OK</v>
      </c>
      <c r="R2436" t="str">
        <f t="shared" si="155"/>
        <v>OK</v>
      </c>
    </row>
    <row r="2437" spans="1:18" x14ac:dyDescent="0.3">
      <c r="A2437" s="1">
        <v>45879</v>
      </c>
      <c r="B2437" s="2" t="s">
        <v>2628</v>
      </c>
      <c r="C2437" s="2" t="s">
        <v>2521</v>
      </c>
      <c r="D2437" s="2" t="s">
        <v>2528</v>
      </c>
      <c r="E2437" s="2" t="s">
        <v>2529</v>
      </c>
      <c r="F2437" s="3">
        <v>137397</v>
      </c>
      <c r="G2437" s="3">
        <v>12252</v>
      </c>
      <c r="H2437" s="3">
        <v>339</v>
      </c>
      <c r="J2437" s="4">
        <v>16568.13</v>
      </c>
      <c r="K2437" s="3">
        <v>182</v>
      </c>
      <c r="L2437" s="2" t="s">
        <v>2536</v>
      </c>
      <c r="M2437" s="2" t="s">
        <v>2524</v>
      </c>
      <c r="N2437" s="6">
        <f t="shared" si="152"/>
        <v>0</v>
      </c>
      <c r="O2437" t="str">
        <f>IF(Tabla_control[[#This Row],[Control_duplicados]]&gt;1,"Duplicado","Unico")</f>
        <v>Unico</v>
      </c>
      <c r="P2437" t="str">
        <f t="shared" si="153"/>
        <v>ERROR</v>
      </c>
      <c r="Q2437" t="str">
        <f t="shared" si="154"/>
        <v>OK</v>
      </c>
      <c r="R2437" t="str">
        <f t="shared" si="155"/>
        <v>OK</v>
      </c>
    </row>
    <row r="2438" spans="1:18" x14ac:dyDescent="0.3">
      <c r="A2438" s="1">
        <v>45876</v>
      </c>
      <c r="B2438" s="2" t="s">
        <v>2635</v>
      </c>
      <c r="C2438" s="2" t="s">
        <v>2515</v>
      </c>
      <c r="D2438" s="2" t="s">
        <v>2522</v>
      </c>
      <c r="E2438" s="2" t="s">
        <v>2517</v>
      </c>
      <c r="F2438" s="3">
        <v>115744</v>
      </c>
      <c r="G2438" s="3">
        <v>8313</v>
      </c>
      <c r="H2438" s="3">
        <v>181</v>
      </c>
      <c r="I2438" s="4">
        <v>14193.28</v>
      </c>
      <c r="J2438" s="4">
        <v>19562.96</v>
      </c>
      <c r="K2438" s="3">
        <v>130</v>
      </c>
      <c r="L2438" s="2" t="s">
        <v>2518</v>
      </c>
      <c r="M2438" s="2" t="s">
        <v>2546</v>
      </c>
      <c r="N2438" s="6">
        <f t="shared" si="152"/>
        <v>1</v>
      </c>
      <c r="O2438" t="str">
        <f>IF(Tabla_control[[#This Row],[Control_duplicados]]&gt;1,"Duplicado","Unico")</f>
        <v>Unico</v>
      </c>
      <c r="P2438" t="str">
        <f t="shared" si="153"/>
        <v>OK</v>
      </c>
      <c r="Q2438" t="str">
        <f t="shared" si="154"/>
        <v>OK</v>
      </c>
      <c r="R2438" t="str">
        <f t="shared" si="155"/>
        <v>OK</v>
      </c>
    </row>
    <row r="2439" spans="1:18" x14ac:dyDescent="0.3">
      <c r="A2439" s="1">
        <v>45966</v>
      </c>
      <c r="B2439" s="2" t="s">
        <v>2639</v>
      </c>
      <c r="C2439" s="2" t="s">
        <v>2533</v>
      </c>
      <c r="D2439" s="2" t="s">
        <v>2528</v>
      </c>
      <c r="E2439" s="2" t="s">
        <v>2529</v>
      </c>
      <c r="F2439" s="3">
        <v>10681</v>
      </c>
      <c r="G2439" s="3">
        <v>675</v>
      </c>
      <c r="H2439" s="3">
        <v>4</v>
      </c>
      <c r="I2439" s="4">
        <v>886.65</v>
      </c>
      <c r="J2439" s="4">
        <v>87.15</v>
      </c>
      <c r="K2439" s="3">
        <v>2</v>
      </c>
      <c r="L2439" s="2" t="s">
        <v>2539</v>
      </c>
      <c r="M2439" s="2" t="s">
        <v>2519</v>
      </c>
      <c r="N2439" s="6">
        <f t="shared" si="152"/>
        <v>1</v>
      </c>
      <c r="O2439" t="str">
        <f>IF(Tabla_control[[#This Row],[Control_duplicados]]&gt;1,"Duplicado","Unico")</f>
        <v>Unico</v>
      </c>
      <c r="P2439" t="str">
        <f t="shared" si="153"/>
        <v>OK</v>
      </c>
      <c r="Q2439" t="str">
        <f t="shared" si="154"/>
        <v>OK</v>
      </c>
      <c r="R2439" t="str">
        <f t="shared" si="155"/>
        <v>OK</v>
      </c>
    </row>
    <row r="2440" spans="1:18" x14ac:dyDescent="0.3">
      <c r="A2440" s="1">
        <v>45982</v>
      </c>
      <c r="B2440" s="2" t="s">
        <v>2620</v>
      </c>
      <c r="C2440" s="2" t="s">
        <v>2541</v>
      </c>
      <c r="D2440" s="2" t="s">
        <v>2531</v>
      </c>
      <c r="E2440" s="2" t="s">
        <v>2529</v>
      </c>
      <c r="F2440" s="3">
        <v>96331</v>
      </c>
      <c r="G2440" s="3">
        <v>6941</v>
      </c>
      <c r="H2440" s="3">
        <v>654</v>
      </c>
      <c r="I2440" s="4">
        <v>13110.14</v>
      </c>
      <c r="J2440" s="4">
        <v>97813.35</v>
      </c>
      <c r="K2440" s="3">
        <v>493</v>
      </c>
      <c r="L2440" s="2" t="s">
        <v>2536</v>
      </c>
      <c r="M2440" s="2" t="s">
        <v>2524</v>
      </c>
      <c r="N2440" s="6">
        <f t="shared" si="152"/>
        <v>1</v>
      </c>
      <c r="O2440" t="str">
        <f>IF(Tabla_control[[#This Row],[Control_duplicados]]&gt;1,"Duplicado","Unico")</f>
        <v>Unico</v>
      </c>
      <c r="P2440" t="str">
        <f t="shared" si="153"/>
        <v>OK</v>
      </c>
      <c r="Q2440" t="str">
        <f t="shared" si="154"/>
        <v>OK</v>
      </c>
      <c r="R2440" t="str">
        <f t="shared" si="155"/>
        <v>OK</v>
      </c>
    </row>
    <row r="2441" spans="1:18" x14ac:dyDescent="0.3">
      <c r="A2441" s="1">
        <v>45959</v>
      </c>
      <c r="B2441" s="2" t="s">
        <v>2628</v>
      </c>
      <c r="C2441" s="2" t="s">
        <v>2527</v>
      </c>
      <c r="D2441" s="2" t="s">
        <v>2528</v>
      </c>
      <c r="E2441" s="2" t="s">
        <v>2529</v>
      </c>
      <c r="F2441" s="3">
        <v>66727</v>
      </c>
      <c r="G2441" s="3">
        <v>4522</v>
      </c>
      <c r="H2441" s="3">
        <v>528</v>
      </c>
      <c r="I2441" s="4">
        <v>5185.99</v>
      </c>
      <c r="J2441" s="4">
        <v>86182.75</v>
      </c>
      <c r="K2441" s="3">
        <v>472</v>
      </c>
      <c r="L2441" s="2" t="s">
        <v>2523</v>
      </c>
      <c r="M2441" s="2" t="s">
        <v>2537</v>
      </c>
      <c r="N2441" s="6">
        <f t="shared" si="152"/>
        <v>1</v>
      </c>
      <c r="O2441" t="str">
        <f>IF(Tabla_control[[#This Row],[Control_duplicados]]&gt;1,"Duplicado","Unico")</f>
        <v>Unico</v>
      </c>
      <c r="P2441" t="str">
        <f t="shared" si="153"/>
        <v>OK</v>
      </c>
      <c r="Q2441" t="str">
        <f t="shared" si="154"/>
        <v>OK</v>
      </c>
      <c r="R2441" t="str">
        <f t="shared" si="155"/>
        <v>OK</v>
      </c>
    </row>
    <row r="2442" spans="1:18" x14ac:dyDescent="0.3">
      <c r="A2442" s="1">
        <v>45926</v>
      </c>
      <c r="B2442" s="2" t="s">
        <v>2630</v>
      </c>
      <c r="C2442" s="2" t="s">
        <v>2515</v>
      </c>
      <c r="D2442" s="2" t="s">
        <v>2528</v>
      </c>
      <c r="E2442" s="2" t="s">
        <v>2529</v>
      </c>
      <c r="F2442" s="3">
        <v>158490</v>
      </c>
      <c r="G2442" s="3">
        <v>6871</v>
      </c>
      <c r="H2442" s="3">
        <v>489</v>
      </c>
      <c r="I2442" s="4">
        <v>13818.64</v>
      </c>
      <c r="J2442" s="4">
        <v>85169.09</v>
      </c>
      <c r="K2442" s="3">
        <v>301</v>
      </c>
      <c r="L2442" s="2" t="s">
        <v>2518</v>
      </c>
      <c r="M2442" s="2" t="s">
        <v>2546</v>
      </c>
      <c r="N2442" s="6">
        <f t="shared" si="152"/>
        <v>1</v>
      </c>
      <c r="O2442" t="str">
        <f>IF(Tabla_control[[#This Row],[Control_duplicados]]&gt;1,"Duplicado","Unico")</f>
        <v>Unico</v>
      </c>
      <c r="P2442" t="str">
        <f t="shared" si="153"/>
        <v>OK</v>
      </c>
      <c r="Q2442" t="str">
        <f t="shared" si="154"/>
        <v>OK</v>
      </c>
      <c r="R2442" t="str">
        <f t="shared" si="155"/>
        <v>OK</v>
      </c>
    </row>
    <row r="2443" spans="1:18" x14ac:dyDescent="0.3">
      <c r="A2443" s="1">
        <v>45784</v>
      </c>
      <c r="B2443" s="2" t="s">
        <v>2641</v>
      </c>
      <c r="C2443" s="2" t="s">
        <v>2521</v>
      </c>
      <c r="D2443" s="2" t="s">
        <v>2516</v>
      </c>
      <c r="E2443" s="2" t="s">
        <v>2529</v>
      </c>
      <c r="F2443" s="3">
        <v>150094</v>
      </c>
      <c r="G2443" s="3">
        <v>5387</v>
      </c>
      <c r="H2443" s="3">
        <v>545</v>
      </c>
      <c r="I2443" s="4">
        <v>5335.04</v>
      </c>
      <c r="J2443" s="4">
        <v>8683.6200000000008</v>
      </c>
      <c r="K2443" s="3">
        <v>430</v>
      </c>
      <c r="L2443" s="2" t="s">
        <v>2539</v>
      </c>
      <c r="M2443" s="2" t="s">
        <v>2537</v>
      </c>
      <c r="N2443" s="6">
        <f t="shared" si="152"/>
        <v>1</v>
      </c>
      <c r="O2443" t="str">
        <f>IF(Tabla_control[[#This Row],[Control_duplicados]]&gt;1,"Duplicado","Unico")</f>
        <v>Unico</v>
      </c>
      <c r="P2443" t="str">
        <f t="shared" si="153"/>
        <v>OK</v>
      </c>
      <c r="Q2443" t="str">
        <f t="shared" si="154"/>
        <v>OK</v>
      </c>
      <c r="R2443" t="str">
        <f t="shared" si="155"/>
        <v>OK</v>
      </c>
    </row>
    <row r="2444" spans="1:18" x14ac:dyDescent="0.3">
      <c r="A2444" s="1">
        <v>45856</v>
      </c>
      <c r="B2444" s="2" t="s">
        <v>2624</v>
      </c>
      <c r="C2444" s="2" t="s">
        <v>2521</v>
      </c>
      <c r="D2444" s="2" t="s">
        <v>2525</v>
      </c>
      <c r="E2444" s="2" t="s">
        <v>2517</v>
      </c>
      <c r="F2444" s="3">
        <v>153211</v>
      </c>
      <c r="G2444" s="3">
        <v>11578</v>
      </c>
      <c r="H2444" s="3">
        <v>965</v>
      </c>
      <c r="I2444" s="4">
        <v>9650.1299999999992</v>
      </c>
      <c r="J2444" s="4">
        <v>184088.59</v>
      </c>
      <c r="K2444" s="3">
        <v>570</v>
      </c>
      <c r="L2444" s="2" t="s">
        <v>2518</v>
      </c>
      <c r="M2444" s="2" t="s">
        <v>2546</v>
      </c>
      <c r="N2444" s="6">
        <f t="shared" si="152"/>
        <v>1</v>
      </c>
      <c r="O2444" t="str">
        <f>IF(Tabla_control[[#This Row],[Control_duplicados]]&gt;1,"Duplicado","Unico")</f>
        <v>Unico</v>
      </c>
      <c r="P2444" t="str">
        <f t="shared" si="153"/>
        <v>OK</v>
      </c>
      <c r="Q2444" t="str">
        <f t="shared" si="154"/>
        <v>OK</v>
      </c>
      <c r="R2444" t="str">
        <f t="shared" si="155"/>
        <v>OK</v>
      </c>
    </row>
    <row r="2445" spans="1:18" x14ac:dyDescent="0.3">
      <c r="A2445" s="1">
        <v>45943</v>
      </c>
      <c r="B2445" s="2" t="s">
        <v>2627</v>
      </c>
      <c r="C2445" s="2" t="s">
        <v>2541</v>
      </c>
      <c r="D2445" s="2" t="s">
        <v>2525</v>
      </c>
      <c r="E2445" s="2" t="s">
        <v>2517</v>
      </c>
      <c r="F2445" s="3">
        <v>135463</v>
      </c>
      <c r="G2445" s="3">
        <v>3593</v>
      </c>
      <c r="H2445" s="3">
        <v>480</v>
      </c>
      <c r="I2445" s="4">
        <v>1114.5999999999999</v>
      </c>
      <c r="J2445" s="4">
        <v>11042.63</v>
      </c>
      <c r="K2445" s="3">
        <v>283</v>
      </c>
      <c r="L2445" s="2" t="s">
        <v>2523</v>
      </c>
      <c r="M2445" s="2" t="s">
        <v>2524</v>
      </c>
      <c r="N2445" s="6">
        <f t="shared" si="152"/>
        <v>1</v>
      </c>
      <c r="O2445" t="str">
        <f>IF(Tabla_control[[#This Row],[Control_duplicados]]&gt;1,"Duplicado","Unico")</f>
        <v>Unico</v>
      </c>
      <c r="P2445" t="str">
        <f t="shared" si="153"/>
        <v>OK</v>
      </c>
      <c r="Q2445" t="str">
        <f t="shared" si="154"/>
        <v>OK</v>
      </c>
      <c r="R2445" t="str">
        <f t="shared" si="155"/>
        <v>OK</v>
      </c>
    </row>
    <row r="2446" spans="1:18" x14ac:dyDescent="0.3">
      <c r="A2446" s="1">
        <v>45906</v>
      </c>
      <c r="B2446" s="2" t="s">
        <v>2629</v>
      </c>
      <c r="C2446" s="2" t="s">
        <v>2533</v>
      </c>
      <c r="D2446" s="2" t="s">
        <v>2531</v>
      </c>
      <c r="E2446" s="2" t="s">
        <v>2517</v>
      </c>
      <c r="F2446" s="3">
        <v>140126</v>
      </c>
      <c r="G2446" s="3">
        <v>11011</v>
      </c>
      <c r="H2446" s="3">
        <v>1056</v>
      </c>
      <c r="I2446" s="4">
        <v>5021.1000000000004</v>
      </c>
      <c r="J2446" s="4">
        <v>153046.67000000001</v>
      </c>
      <c r="K2446" s="3">
        <v>515</v>
      </c>
      <c r="L2446" s="2" t="s">
        <v>2518</v>
      </c>
      <c r="M2446" s="2" t="s">
        <v>2537</v>
      </c>
      <c r="N2446" s="6">
        <f t="shared" si="152"/>
        <v>1</v>
      </c>
      <c r="O2446" t="str">
        <f>IF(Tabla_control[[#This Row],[Control_duplicados]]&gt;1,"Duplicado","Unico")</f>
        <v>Unico</v>
      </c>
      <c r="P2446" t="str">
        <f t="shared" si="153"/>
        <v>OK</v>
      </c>
      <c r="Q2446" t="str">
        <f t="shared" si="154"/>
        <v>OK</v>
      </c>
      <c r="R2446" t="str">
        <f t="shared" si="155"/>
        <v>OK</v>
      </c>
    </row>
    <row r="2447" spans="1:18" x14ac:dyDescent="0.3">
      <c r="A2447" s="1">
        <v>45724</v>
      </c>
      <c r="B2447" s="2" t="s">
        <v>2641</v>
      </c>
      <c r="C2447" s="2" t="s">
        <v>2515</v>
      </c>
      <c r="D2447" s="2" t="s">
        <v>2528</v>
      </c>
      <c r="E2447" s="2" t="s">
        <v>2529</v>
      </c>
      <c r="F2447" s="3">
        <v>67832</v>
      </c>
      <c r="G2447" s="3">
        <v>1516</v>
      </c>
      <c r="H2447" s="3">
        <v>87</v>
      </c>
      <c r="I2447" s="4">
        <v>448.12</v>
      </c>
      <c r="J2447" s="4">
        <v>5421.27</v>
      </c>
      <c r="K2447" s="3">
        <v>44</v>
      </c>
      <c r="L2447" s="2" t="s">
        <v>2539</v>
      </c>
      <c r="M2447" s="2" t="s">
        <v>2519</v>
      </c>
      <c r="N2447" s="6">
        <f t="shared" si="152"/>
        <v>1</v>
      </c>
      <c r="O2447" t="str">
        <f>IF(Tabla_control[[#This Row],[Control_duplicados]]&gt;1,"Duplicado","Unico")</f>
        <v>Unico</v>
      </c>
      <c r="P2447" t="str">
        <f t="shared" si="153"/>
        <v>OK</v>
      </c>
      <c r="Q2447" t="str">
        <f t="shared" si="154"/>
        <v>OK</v>
      </c>
      <c r="R2447" t="str">
        <f t="shared" si="155"/>
        <v>OK</v>
      </c>
    </row>
    <row r="2448" spans="1:18" x14ac:dyDescent="0.3">
      <c r="A2448" s="1">
        <v>45910</v>
      </c>
      <c r="B2448" s="2" t="s">
        <v>2617</v>
      </c>
      <c r="C2448" s="2" t="s">
        <v>2521</v>
      </c>
      <c r="D2448" s="2" t="s">
        <v>2525</v>
      </c>
      <c r="E2448" s="2" t="s">
        <v>2517</v>
      </c>
      <c r="F2448" s="3">
        <v>54132</v>
      </c>
      <c r="G2448" s="3">
        <v>4759</v>
      </c>
      <c r="H2448" s="3">
        <v>236</v>
      </c>
      <c r="I2448" s="4">
        <v>2053.7600000000002</v>
      </c>
      <c r="J2448" s="4">
        <v>42766.28</v>
      </c>
      <c r="K2448" s="3">
        <v>149</v>
      </c>
      <c r="L2448" s="2" t="s">
        <v>2523</v>
      </c>
      <c r="M2448" s="2" t="s">
        <v>2524</v>
      </c>
      <c r="N2448" s="6">
        <f t="shared" si="152"/>
        <v>1</v>
      </c>
      <c r="O2448" t="str">
        <f>IF(Tabla_control[[#This Row],[Control_duplicados]]&gt;1,"Duplicado","Unico")</f>
        <v>Unico</v>
      </c>
      <c r="P2448" t="str">
        <f t="shared" si="153"/>
        <v>OK</v>
      </c>
      <c r="Q2448" t="str">
        <f t="shared" si="154"/>
        <v>OK</v>
      </c>
      <c r="R2448" t="str">
        <f t="shared" si="155"/>
        <v>OK</v>
      </c>
    </row>
    <row r="2449" spans="1:18" x14ac:dyDescent="0.3">
      <c r="A2449" s="1">
        <v>45716</v>
      </c>
      <c r="B2449" s="2" t="s">
        <v>2631</v>
      </c>
      <c r="C2449" s="2" t="s">
        <v>2541</v>
      </c>
      <c r="D2449" s="2" t="s">
        <v>2528</v>
      </c>
      <c r="E2449" s="2" t="s">
        <v>2517</v>
      </c>
      <c r="F2449" s="3">
        <v>159021</v>
      </c>
      <c r="G2449" s="3">
        <v>6363</v>
      </c>
      <c r="H2449" s="3">
        <v>797</v>
      </c>
      <c r="I2449" s="4">
        <v>10746.17</v>
      </c>
      <c r="J2449" s="4">
        <v>59554.29</v>
      </c>
      <c r="K2449" s="3">
        <v>650</v>
      </c>
      <c r="L2449" s="2" t="s">
        <v>2518</v>
      </c>
      <c r="M2449" s="2" t="s">
        <v>2537</v>
      </c>
      <c r="N2449" s="6">
        <f t="shared" si="152"/>
        <v>1</v>
      </c>
      <c r="O2449" t="str">
        <f>IF(Tabla_control[[#This Row],[Control_duplicados]]&gt;1,"Duplicado","Unico")</f>
        <v>Unico</v>
      </c>
      <c r="P2449" t="str">
        <f t="shared" si="153"/>
        <v>OK</v>
      </c>
      <c r="Q2449" t="str">
        <f t="shared" si="154"/>
        <v>OK</v>
      </c>
      <c r="R2449" t="str">
        <f t="shared" si="155"/>
        <v>OK</v>
      </c>
    </row>
    <row r="2450" spans="1:18" x14ac:dyDescent="0.3">
      <c r="A2450" s="1">
        <v>45723</v>
      </c>
      <c r="B2450" s="2" t="s">
        <v>2625</v>
      </c>
      <c r="C2450" s="2" t="s">
        <v>2521</v>
      </c>
      <c r="D2450" s="2" t="s">
        <v>2525</v>
      </c>
      <c r="E2450" s="2" t="s">
        <v>2517</v>
      </c>
      <c r="F2450" s="3">
        <v>172334</v>
      </c>
      <c r="G2450" s="3">
        <v>11933</v>
      </c>
      <c r="H2450" s="3">
        <v>865</v>
      </c>
      <c r="I2450" s="4">
        <v>16565.84</v>
      </c>
      <c r="J2450" s="4">
        <v>22770.37</v>
      </c>
      <c r="K2450" s="3">
        <v>532</v>
      </c>
      <c r="L2450" s="2" t="s">
        <v>2518</v>
      </c>
      <c r="M2450" s="2" t="s">
        <v>2526</v>
      </c>
      <c r="N2450" s="6">
        <f t="shared" si="152"/>
        <v>1</v>
      </c>
      <c r="O2450" t="str">
        <f>IF(Tabla_control[[#This Row],[Control_duplicados]]&gt;1,"Duplicado","Unico")</f>
        <v>Unico</v>
      </c>
      <c r="P2450" t="str">
        <f t="shared" si="153"/>
        <v>OK</v>
      </c>
      <c r="Q2450" t="str">
        <f t="shared" si="154"/>
        <v>OK</v>
      </c>
      <c r="R2450" t="str">
        <f t="shared" si="155"/>
        <v>OK</v>
      </c>
    </row>
    <row r="2451" spans="1:18" x14ac:dyDescent="0.3">
      <c r="A2451" s="1">
        <v>45837</v>
      </c>
      <c r="B2451" s="2" t="s">
        <v>2642</v>
      </c>
      <c r="C2451" s="2" t="s">
        <v>2515</v>
      </c>
      <c r="D2451" s="2" t="s">
        <v>2522</v>
      </c>
      <c r="E2451" s="2" t="s">
        <v>2529</v>
      </c>
      <c r="F2451" s="3">
        <v>159170</v>
      </c>
      <c r="G2451" s="3">
        <v>13780</v>
      </c>
      <c r="H2451" s="3">
        <v>89</v>
      </c>
      <c r="I2451" s="4">
        <v>12935.9</v>
      </c>
      <c r="J2451" s="4">
        <v>9498.49</v>
      </c>
      <c r="K2451" s="3">
        <v>51</v>
      </c>
      <c r="L2451" s="2" t="s">
        <v>2523</v>
      </c>
      <c r="M2451" s="2" t="s">
        <v>2526</v>
      </c>
      <c r="N2451" s="6">
        <f t="shared" si="152"/>
        <v>1</v>
      </c>
      <c r="O2451" t="str">
        <f>IF(Tabla_control[[#This Row],[Control_duplicados]]&gt;1,"Duplicado","Unico")</f>
        <v>Unico</v>
      </c>
      <c r="P2451" t="str">
        <f t="shared" si="153"/>
        <v>OK</v>
      </c>
      <c r="Q2451" t="str">
        <f t="shared" si="154"/>
        <v>OK</v>
      </c>
      <c r="R2451" t="str">
        <f t="shared" si="155"/>
        <v>OK</v>
      </c>
    </row>
    <row r="2452" spans="1:18" x14ac:dyDescent="0.3">
      <c r="A2452" s="1">
        <v>45847</v>
      </c>
      <c r="B2452" s="2" t="s">
        <v>2641</v>
      </c>
      <c r="C2452" s="2" t="s">
        <v>2541</v>
      </c>
      <c r="D2452" s="2" t="s">
        <v>2531</v>
      </c>
      <c r="E2452" s="2" t="s">
        <v>2529</v>
      </c>
      <c r="F2452" s="3">
        <v>36139</v>
      </c>
      <c r="G2452" s="3">
        <v>1076</v>
      </c>
      <c r="H2452" s="3">
        <v>102</v>
      </c>
      <c r="I2452" s="4">
        <v>1871.09</v>
      </c>
      <c r="J2452" s="4">
        <v>22056</v>
      </c>
      <c r="K2452" s="3">
        <v>70</v>
      </c>
      <c r="L2452" s="2" t="s">
        <v>2518</v>
      </c>
      <c r="M2452" s="2" t="s">
        <v>2526</v>
      </c>
      <c r="N2452" s="6">
        <f t="shared" si="152"/>
        <v>1</v>
      </c>
      <c r="O2452" t="str">
        <f>IF(Tabla_control[[#This Row],[Control_duplicados]]&gt;1,"Duplicado","Unico")</f>
        <v>Unico</v>
      </c>
      <c r="P2452" t="str">
        <f t="shared" si="153"/>
        <v>OK</v>
      </c>
      <c r="Q2452" t="str">
        <f t="shared" si="154"/>
        <v>OK</v>
      </c>
      <c r="R2452" t="str">
        <f t="shared" si="155"/>
        <v>OK</v>
      </c>
    </row>
    <row r="2453" spans="1:18" x14ac:dyDescent="0.3">
      <c r="A2453" s="1">
        <v>45835</v>
      </c>
      <c r="B2453" s="2" t="s">
        <v>2629</v>
      </c>
      <c r="C2453" s="2" t="s">
        <v>2515</v>
      </c>
      <c r="D2453" s="2" t="s">
        <v>2528</v>
      </c>
      <c r="E2453" s="2" t="s">
        <v>2529</v>
      </c>
      <c r="F2453" s="3">
        <v>141083</v>
      </c>
      <c r="G2453" s="3">
        <v>3457</v>
      </c>
      <c r="H2453" s="3">
        <v>80</v>
      </c>
      <c r="I2453" s="4">
        <v>1030.1300000000001</v>
      </c>
      <c r="J2453" s="4">
        <v>1990.29</v>
      </c>
      <c r="K2453" s="3">
        <v>50</v>
      </c>
      <c r="L2453" s="2" t="s">
        <v>2523</v>
      </c>
      <c r="M2453" s="2" t="s">
        <v>2524</v>
      </c>
      <c r="N2453" s="6">
        <f t="shared" si="152"/>
        <v>1</v>
      </c>
      <c r="O2453" t="str">
        <f>IF(Tabla_control[[#This Row],[Control_duplicados]]&gt;1,"Duplicado","Unico")</f>
        <v>Unico</v>
      </c>
      <c r="P2453" t="str">
        <f t="shared" si="153"/>
        <v>OK</v>
      </c>
      <c r="Q2453" t="str">
        <f t="shared" si="154"/>
        <v>OK</v>
      </c>
      <c r="R2453" t="str">
        <f t="shared" si="155"/>
        <v>OK</v>
      </c>
    </row>
    <row r="2454" spans="1:18" x14ac:dyDescent="0.3">
      <c r="A2454" s="1">
        <v>45865</v>
      </c>
      <c r="B2454" s="2" t="s">
        <v>2630</v>
      </c>
      <c r="C2454" s="2" t="s">
        <v>2515</v>
      </c>
      <c r="D2454" s="2" t="s">
        <v>2516</v>
      </c>
      <c r="E2454" s="2" t="s">
        <v>2529</v>
      </c>
      <c r="F2454" s="3">
        <v>22975</v>
      </c>
      <c r="G2454" s="3">
        <v>1068</v>
      </c>
      <c r="H2454" s="3">
        <v>79</v>
      </c>
      <c r="I2454" s="4">
        <v>595.24</v>
      </c>
      <c r="J2454" s="4">
        <v>16489.900000000001</v>
      </c>
      <c r="K2454" s="3">
        <v>49</v>
      </c>
      <c r="L2454" s="2" t="s">
        <v>2518</v>
      </c>
      <c r="M2454" s="2" t="s">
        <v>2537</v>
      </c>
      <c r="N2454" s="6">
        <f t="shared" si="152"/>
        <v>1</v>
      </c>
      <c r="O2454" t="str">
        <f>IF(Tabla_control[[#This Row],[Control_duplicados]]&gt;1,"Duplicado","Unico")</f>
        <v>Unico</v>
      </c>
      <c r="P2454" t="str">
        <f t="shared" si="153"/>
        <v>OK</v>
      </c>
      <c r="Q2454" t="str">
        <f t="shared" si="154"/>
        <v>OK</v>
      </c>
      <c r="R2454" t="str">
        <f t="shared" si="155"/>
        <v>OK</v>
      </c>
    </row>
    <row r="2455" spans="1:18" x14ac:dyDescent="0.3">
      <c r="A2455" s="1">
        <v>45738</v>
      </c>
      <c r="B2455" s="2" t="s">
        <v>2630</v>
      </c>
      <c r="C2455" s="2" t="s">
        <v>2533</v>
      </c>
      <c r="D2455" s="2" t="s">
        <v>2528</v>
      </c>
      <c r="E2455" s="2" t="s">
        <v>2529</v>
      </c>
      <c r="F2455" s="3">
        <v>100611</v>
      </c>
      <c r="G2455" s="3">
        <v>1676</v>
      </c>
      <c r="H2455" s="3">
        <v>34</v>
      </c>
      <c r="I2455" s="4">
        <v>614.26</v>
      </c>
      <c r="J2455" s="4">
        <v>1240.72</v>
      </c>
      <c r="K2455" s="3">
        <v>29</v>
      </c>
      <c r="L2455" s="2" t="s">
        <v>2539</v>
      </c>
      <c r="M2455" s="2" t="s">
        <v>2537</v>
      </c>
      <c r="N2455" s="6">
        <f t="shared" si="152"/>
        <v>1</v>
      </c>
      <c r="O2455" t="str">
        <f>IF(Tabla_control[[#This Row],[Control_duplicados]]&gt;1,"Duplicado","Unico")</f>
        <v>Unico</v>
      </c>
      <c r="P2455" t="str">
        <f t="shared" si="153"/>
        <v>OK</v>
      </c>
      <c r="Q2455" t="str">
        <f t="shared" si="154"/>
        <v>OK</v>
      </c>
      <c r="R2455" t="str">
        <f t="shared" si="155"/>
        <v>OK</v>
      </c>
    </row>
    <row r="2456" spans="1:18" x14ac:dyDescent="0.3">
      <c r="A2456" s="1">
        <v>45870</v>
      </c>
      <c r="B2456" s="2" t="s">
        <v>2624</v>
      </c>
      <c r="C2456" s="2" t="s">
        <v>2533</v>
      </c>
      <c r="D2456" s="2" t="s">
        <v>2528</v>
      </c>
      <c r="E2456" s="2" t="s">
        <v>2529</v>
      </c>
      <c r="F2456" s="3">
        <v>152141</v>
      </c>
      <c r="G2456" s="3">
        <v>11790</v>
      </c>
      <c r="H2456" s="3">
        <v>1271</v>
      </c>
      <c r="I2456" s="4">
        <v>1659.98</v>
      </c>
      <c r="J2456" s="4">
        <v>120772.99</v>
      </c>
      <c r="K2456" s="3">
        <v>944</v>
      </c>
      <c r="L2456" s="2" t="s">
        <v>2523</v>
      </c>
      <c r="M2456" s="2" t="s">
        <v>2546</v>
      </c>
      <c r="N2456" s="6">
        <f t="shared" si="152"/>
        <v>1</v>
      </c>
      <c r="O2456" t="str">
        <f>IF(Tabla_control[[#This Row],[Control_duplicados]]&gt;1,"Duplicado","Unico")</f>
        <v>Unico</v>
      </c>
      <c r="P2456" t="str">
        <f t="shared" si="153"/>
        <v>OK</v>
      </c>
      <c r="Q2456" t="str">
        <f t="shared" si="154"/>
        <v>OK</v>
      </c>
      <c r="R2456" t="str">
        <f t="shared" si="155"/>
        <v>OK</v>
      </c>
    </row>
    <row r="2457" spans="1:18" x14ac:dyDescent="0.3">
      <c r="A2457" s="1">
        <v>45815</v>
      </c>
      <c r="B2457" s="2" t="s">
        <v>2635</v>
      </c>
      <c r="C2457" s="2" t="s">
        <v>2515</v>
      </c>
      <c r="D2457" s="2" t="s">
        <v>2528</v>
      </c>
      <c r="E2457" s="2" t="s">
        <v>2517</v>
      </c>
      <c r="F2457" s="3">
        <v>54026</v>
      </c>
      <c r="G2457" s="3">
        <v>4736</v>
      </c>
      <c r="H2457" s="3">
        <v>184</v>
      </c>
      <c r="I2457" s="4">
        <v>9548.18</v>
      </c>
      <c r="J2457" s="4">
        <v>30139.31</v>
      </c>
      <c r="K2457" s="3">
        <v>85</v>
      </c>
      <c r="L2457" s="2" t="s">
        <v>2523</v>
      </c>
      <c r="M2457" s="2" t="s">
        <v>2519</v>
      </c>
      <c r="N2457" s="6">
        <f t="shared" si="152"/>
        <v>1</v>
      </c>
      <c r="O2457" t="str">
        <f>IF(Tabla_control[[#This Row],[Control_duplicados]]&gt;1,"Duplicado","Unico")</f>
        <v>Unico</v>
      </c>
      <c r="P2457" t="str">
        <f t="shared" si="153"/>
        <v>OK</v>
      </c>
      <c r="Q2457" t="str">
        <f t="shared" si="154"/>
        <v>OK</v>
      </c>
      <c r="R2457" t="str">
        <f t="shared" si="155"/>
        <v>OK</v>
      </c>
    </row>
    <row r="2458" spans="1:18" x14ac:dyDescent="0.3">
      <c r="A2458" s="1">
        <v>45678</v>
      </c>
      <c r="B2458" s="2" t="s">
        <v>2633</v>
      </c>
      <c r="C2458" s="2" t="s">
        <v>2543</v>
      </c>
      <c r="D2458" s="2" t="s">
        <v>2531</v>
      </c>
      <c r="E2458" s="2" t="s">
        <v>2529</v>
      </c>
      <c r="F2458" s="3">
        <v>49736</v>
      </c>
      <c r="G2458" s="3">
        <v>787</v>
      </c>
      <c r="H2458" s="3">
        <v>16</v>
      </c>
      <c r="I2458" s="4">
        <v>1254.3</v>
      </c>
      <c r="J2458" s="4">
        <v>2345.4299999999998</v>
      </c>
      <c r="K2458" s="3">
        <v>7</v>
      </c>
      <c r="L2458" s="2" t="s">
        <v>2518</v>
      </c>
      <c r="M2458" s="2" t="s">
        <v>2524</v>
      </c>
      <c r="N2458" s="6">
        <f t="shared" si="152"/>
        <v>1</v>
      </c>
      <c r="O2458" t="str">
        <f>IF(Tabla_control[[#This Row],[Control_duplicados]]&gt;1,"Duplicado","Unico")</f>
        <v>Unico</v>
      </c>
      <c r="P2458" t="str">
        <f t="shared" si="153"/>
        <v>OK</v>
      </c>
      <c r="Q2458" t="str">
        <f t="shared" si="154"/>
        <v>OK</v>
      </c>
      <c r="R2458" t="str">
        <f t="shared" si="155"/>
        <v>OK</v>
      </c>
    </row>
    <row r="2459" spans="1:18" x14ac:dyDescent="0.3">
      <c r="A2459" s="1">
        <v>45760</v>
      </c>
      <c r="B2459" s="2" t="s">
        <v>2644</v>
      </c>
      <c r="C2459" s="2" t="s">
        <v>2521</v>
      </c>
      <c r="D2459" s="2" t="s">
        <v>2525</v>
      </c>
      <c r="E2459" s="2" t="s">
        <v>2529</v>
      </c>
      <c r="F2459" s="3">
        <v>80964</v>
      </c>
      <c r="G2459" s="3">
        <v>6340</v>
      </c>
      <c r="H2459" s="3">
        <v>40</v>
      </c>
      <c r="I2459" s="4">
        <v>12407.19</v>
      </c>
      <c r="J2459" s="4">
        <v>2860.03</v>
      </c>
      <c r="K2459" s="3">
        <v>31</v>
      </c>
      <c r="L2459" s="2" t="s">
        <v>2523</v>
      </c>
      <c r="M2459" s="2" t="s">
        <v>2519</v>
      </c>
      <c r="N2459" s="6">
        <f t="shared" si="152"/>
        <v>1</v>
      </c>
      <c r="O2459" t="str">
        <f>IF(Tabla_control[[#This Row],[Control_duplicados]]&gt;1,"Duplicado","Unico")</f>
        <v>Unico</v>
      </c>
      <c r="P2459" t="str">
        <f t="shared" si="153"/>
        <v>OK</v>
      </c>
      <c r="Q2459" t="str">
        <f t="shared" si="154"/>
        <v>OK</v>
      </c>
      <c r="R2459" t="str">
        <f t="shared" si="155"/>
        <v>OK</v>
      </c>
    </row>
    <row r="2460" spans="1:18" x14ac:dyDescent="0.3">
      <c r="A2460" s="1">
        <v>45678</v>
      </c>
      <c r="B2460" s="2" t="s">
        <v>2638</v>
      </c>
      <c r="C2460" s="2" t="s">
        <v>2541</v>
      </c>
      <c r="D2460" s="2" t="s">
        <v>2528</v>
      </c>
      <c r="E2460" s="2" t="s">
        <v>2529</v>
      </c>
      <c r="F2460" s="3">
        <v>101307</v>
      </c>
      <c r="G2460" s="3">
        <v>4951</v>
      </c>
      <c r="H2460" s="3">
        <v>33</v>
      </c>
      <c r="I2460" s="4">
        <v>2857.18</v>
      </c>
      <c r="J2460" s="4">
        <v>1326.66</v>
      </c>
      <c r="K2460" s="3">
        <v>19</v>
      </c>
      <c r="L2460" s="2" t="s">
        <v>2523</v>
      </c>
      <c r="M2460" s="2" t="s">
        <v>2546</v>
      </c>
      <c r="N2460" s="6">
        <f t="shared" si="152"/>
        <v>1</v>
      </c>
      <c r="O2460" t="str">
        <f>IF(Tabla_control[[#This Row],[Control_duplicados]]&gt;1,"Duplicado","Unico")</f>
        <v>Unico</v>
      </c>
      <c r="P2460" t="str">
        <f t="shared" si="153"/>
        <v>OK</v>
      </c>
      <c r="Q2460" t="str">
        <f t="shared" si="154"/>
        <v>OK</v>
      </c>
      <c r="R2460" t="str">
        <f t="shared" si="155"/>
        <v>OK</v>
      </c>
    </row>
    <row r="2461" spans="1:18" x14ac:dyDescent="0.3">
      <c r="A2461" s="1">
        <v>45676</v>
      </c>
      <c r="B2461" s="2" t="s">
        <v>2625</v>
      </c>
      <c r="C2461" s="2" t="s">
        <v>2527</v>
      </c>
      <c r="D2461" s="2" t="s">
        <v>2516</v>
      </c>
      <c r="E2461" s="2" t="s">
        <v>2517</v>
      </c>
      <c r="F2461" s="3">
        <v>72780</v>
      </c>
      <c r="G2461" s="3">
        <v>4278</v>
      </c>
      <c r="H2461" s="3">
        <v>512</v>
      </c>
      <c r="I2461" s="4">
        <v>951.71</v>
      </c>
      <c r="J2461" s="4">
        <v>24263.63</v>
      </c>
      <c r="K2461" s="3">
        <v>367</v>
      </c>
      <c r="L2461" s="2" t="s">
        <v>2518</v>
      </c>
      <c r="M2461" s="2" t="s">
        <v>2546</v>
      </c>
      <c r="N2461" s="6">
        <f t="shared" si="152"/>
        <v>1</v>
      </c>
      <c r="O2461" t="str">
        <f>IF(Tabla_control[[#This Row],[Control_duplicados]]&gt;1,"Duplicado","Unico")</f>
        <v>Unico</v>
      </c>
      <c r="P2461" t="str">
        <f t="shared" si="153"/>
        <v>OK</v>
      </c>
      <c r="Q2461" t="str">
        <f t="shared" si="154"/>
        <v>OK</v>
      </c>
      <c r="R2461" t="str">
        <f t="shared" si="155"/>
        <v>OK</v>
      </c>
    </row>
    <row r="2462" spans="1:18" x14ac:dyDescent="0.3">
      <c r="A2462" s="1">
        <v>46011</v>
      </c>
      <c r="B2462" s="2" t="s">
        <v>2624</v>
      </c>
      <c r="C2462" s="2" t="s">
        <v>2533</v>
      </c>
      <c r="D2462" s="2" t="s">
        <v>2528</v>
      </c>
      <c r="E2462" s="2" t="s">
        <v>2517</v>
      </c>
      <c r="F2462" s="3">
        <v>18565</v>
      </c>
      <c r="G2462" s="3">
        <v>1247</v>
      </c>
      <c r="H2462" s="3">
        <v>74</v>
      </c>
      <c r="I2462" s="4">
        <v>1565.04</v>
      </c>
      <c r="J2462" s="4">
        <v>6293.62</v>
      </c>
      <c r="K2462" s="3">
        <v>40</v>
      </c>
      <c r="L2462" s="2" t="s">
        <v>2539</v>
      </c>
      <c r="M2462" s="2" t="s">
        <v>2524</v>
      </c>
      <c r="N2462" s="6">
        <f t="shared" si="152"/>
        <v>1</v>
      </c>
      <c r="O2462" t="str">
        <f>IF(Tabla_control[[#This Row],[Control_duplicados]]&gt;1,"Duplicado","Unico")</f>
        <v>Unico</v>
      </c>
      <c r="P2462" t="str">
        <f t="shared" si="153"/>
        <v>OK</v>
      </c>
      <c r="Q2462" t="str">
        <f t="shared" si="154"/>
        <v>OK</v>
      </c>
      <c r="R2462" t="str">
        <f t="shared" si="155"/>
        <v>OK</v>
      </c>
    </row>
    <row r="2463" spans="1:18" x14ac:dyDescent="0.3">
      <c r="A2463" s="1">
        <v>45712</v>
      </c>
      <c r="B2463" s="2" t="s">
        <v>2630</v>
      </c>
      <c r="C2463" s="2" t="s">
        <v>2527</v>
      </c>
      <c r="D2463" s="2" t="s">
        <v>2516</v>
      </c>
      <c r="E2463" s="2" t="s">
        <v>2517</v>
      </c>
      <c r="F2463" s="3">
        <v>26290</v>
      </c>
      <c r="G2463" s="3">
        <v>349</v>
      </c>
      <c r="H2463" s="3">
        <v>39</v>
      </c>
      <c r="I2463" s="4">
        <v>702.38</v>
      </c>
      <c r="J2463" s="4">
        <v>4895.63</v>
      </c>
      <c r="K2463" s="3">
        <v>19</v>
      </c>
      <c r="L2463" s="2" t="s">
        <v>2536</v>
      </c>
      <c r="M2463" s="2" t="s">
        <v>2524</v>
      </c>
      <c r="N2463" s="6">
        <f t="shared" si="152"/>
        <v>1</v>
      </c>
      <c r="O2463" t="str">
        <f>IF(Tabla_control[[#This Row],[Control_duplicados]]&gt;1,"Duplicado","Unico")</f>
        <v>Unico</v>
      </c>
      <c r="P2463" t="str">
        <f t="shared" si="153"/>
        <v>OK</v>
      </c>
      <c r="Q2463" t="str">
        <f t="shared" si="154"/>
        <v>OK</v>
      </c>
      <c r="R2463" t="str">
        <f t="shared" si="155"/>
        <v>OK</v>
      </c>
    </row>
    <row r="2464" spans="1:18" x14ac:dyDescent="0.3">
      <c r="A2464" s="1">
        <v>45740</v>
      </c>
      <c r="B2464" s="2" t="s">
        <v>2637</v>
      </c>
      <c r="C2464" s="2" t="s">
        <v>2541</v>
      </c>
      <c r="D2464" s="2" t="s">
        <v>2528</v>
      </c>
      <c r="E2464" s="2" t="s">
        <v>2529</v>
      </c>
      <c r="F2464" s="3">
        <v>96040</v>
      </c>
      <c r="G2464" s="3">
        <v>3500</v>
      </c>
      <c r="H2464" s="3">
        <v>398</v>
      </c>
      <c r="I2464" s="4">
        <v>5383.58</v>
      </c>
      <c r="J2464" s="4">
        <v>52931.57</v>
      </c>
      <c r="K2464" s="3">
        <v>180</v>
      </c>
      <c r="L2464" s="2" t="s">
        <v>2523</v>
      </c>
      <c r="M2464" s="2" t="s">
        <v>2526</v>
      </c>
      <c r="N2464" s="6">
        <f t="shared" si="152"/>
        <v>1</v>
      </c>
      <c r="O2464" t="str">
        <f>IF(Tabla_control[[#This Row],[Control_duplicados]]&gt;1,"Duplicado","Unico")</f>
        <v>Unico</v>
      </c>
      <c r="P2464" t="str">
        <f t="shared" si="153"/>
        <v>OK</v>
      </c>
      <c r="Q2464" t="str">
        <f t="shared" si="154"/>
        <v>OK</v>
      </c>
      <c r="R2464" t="str">
        <f t="shared" si="155"/>
        <v>OK</v>
      </c>
    </row>
    <row r="2465" spans="1:18" x14ac:dyDescent="0.3">
      <c r="A2465" s="1">
        <v>45909</v>
      </c>
      <c r="B2465" s="2" t="s">
        <v>2640</v>
      </c>
      <c r="C2465" s="2" t="s">
        <v>2527</v>
      </c>
      <c r="D2465" s="2" t="s">
        <v>2525</v>
      </c>
      <c r="E2465" s="2" t="s">
        <v>2517</v>
      </c>
      <c r="F2465" s="3">
        <v>91403</v>
      </c>
      <c r="G2465" s="3">
        <v>7958</v>
      </c>
      <c r="H2465" s="3">
        <v>355</v>
      </c>
      <c r="I2465" s="4">
        <v>5697.89</v>
      </c>
      <c r="J2465" s="4">
        <v>70001.48</v>
      </c>
      <c r="K2465" s="3">
        <v>164</v>
      </c>
      <c r="L2465" s="2" t="s">
        <v>2518</v>
      </c>
      <c r="M2465" s="2" t="s">
        <v>2546</v>
      </c>
      <c r="N2465" s="6">
        <f t="shared" si="152"/>
        <v>2</v>
      </c>
      <c r="O2465" t="str">
        <f>IF(Tabla_control[[#This Row],[Control_duplicados]]&gt;1,"Duplicado","Unico")</f>
        <v>Duplicado</v>
      </c>
      <c r="P2465" t="str">
        <f t="shared" si="153"/>
        <v>OK</v>
      </c>
      <c r="Q2465" t="str">
        <f t="shared" si="154"/>
        <v>OK</v>
      </c>
      <c r="R2465" t="str">
        <f t="shared" si="155"/>
        <v>OK</v>
      </c>
    </row>
    <row r="2466" spans="1:18" x14ac:dyDescent="0.3">
      <c r="A2466" s="1">
        <v>45705</v>
      </c>
      <c r="B2466" s="2" t="s">
        <v>2640</v>
      </c>
      <c r="C2466" s="2" t="s">
        <v>2541</v>
      </c>
      <c r="D2466" s="2" t="s">
        <v>2516</v>
      </c>
      <c r="E2466" s="2" t="s">
        <v>2517</v>
      </c>
      <c r="F2466" s="3">
        <v>41194</v>
      </c>
      <c r="G2466" s="3">
        <v>3055</v>
      </c>
      <c r="H2466" s="3">
        <v>282</v>
      </c>
      <c r="I2466" s="4">
        <v>1682.94</v>
      </c>
      <c r="J2466" s="4">
        <v>19862.990000000002</v>
      </c>
      <c r="K2466" s="3">
        <v>209</v>
      </c>
      <c r="L2466" s="2" t="s">
        <v>2518</v>
      </c>
      <c r="M2466" s="2" t="s">
        <v>2526</v>
      </c>
      <c r="N2466" s="6">
        <f t="shared" si="152"/>
        <v>1</v>
      </c>
      <c r="O2466" t="str">
        <f>IF(Tabla_control[[#This Row],[Control_duplicados]]&gt;1,"Duplicado","Unico")</f>
        <v>Unico</v>
      </c>
      <c r="P2466" t="str">
        <f t="shared" si="153"/>
        <v>OK</v>
      </c>
      <c r="Q2466" t="str">
        <f t="shared" si="154"/>
        <v>OK</v>
      </c>
      <c r="R2466" t="str">
        <f t="shared" si="155"/>
        <v>OK</v>
      </c>
    </row>
    <row r="2467" spans="1:18" x14ac:dyDescent="0.3">
      <c r="A2467" s="1">
        <v>45716</v>
      </c>
      <c r="B2467" s="2" t="s">
        <v>2617</v>
      </c>
      <c r="C2467" s="2" t="s">
        <v>2527</v>
      </c>
      <c r="D2467" s="2" t="s">
        <v>2522</v>
      </c>
      <c r="E2467" s="2" t="s">
        <v>2534</v>
      </c>
      <c r="F2467" s="3">
        <v>71272</v>
      </c>
      <c r="G2467" s="3">
        <v>461</v>
      </c>
      <c r="H2467" s="3">
        <v>28</v>
      </c>
      <c r="I2467" s="4">
        <v>559.41999999999996</v>
      </c>
      <c r="J2467" s="4">
        <v>5087.5200000000004</v>
      </c>
      <c r="K2467" s="3">
        <v>14</v>
      </c>
      <c r="L2467" s="2" t="s">
        <v>2518</v>
      </c>
      <c r="M2467" s="2" t="s">
        <v>2524</v>
      </c>
      <c r="N2467" s="6">
        <f t="shared" si="152"/>
        <v>1</v>
      </c>
      <c r="O2467" t="str">
        <f>IF(Tabla_control[[#This Row],[Control_duplicados]]&gt;1,"Duplicado","Unico")</f>
        <v>Unico</v>
      </c>
      <c r="P2467" t="str">
        <f t="shared" si="153"/>
        <v>OK</v>
      </c>
      <c r="Q2467" t="str">
        <f t="shared" si="154"/>
        <v>OK</v>
      </c>
      <c r="R2467" t="str">
        <f t="shared" si="155"/>
        <v>OK</v>
      </c>
    </row>
    <row r="2468" spans="1:18" x14ac:dyDescent="0.3">
      <c r="A2468" s="1">
        <v>45774</v>
      </c>
      <c r="B2468" s="2" t="s">
        <v>2635</v>
      </c>
      <c r="C2468" s="2" t="s">
        <v>2543</v>
      </c>
      <c r="D2468" s="2" t="s">
        <v>2528</v>
      </c>
      <c r="E2468" s="2" t="s">
        <v>2529</v>
      </c>
      <c r="F2468" s="3">
        <v>124841</v>
      </c>
      <c r="G2468" s="3">
        <v>1968</v>
      </c>
      <c r="H2468" s="3">
        <v>153</v>
      </c>
      <c r="I2468" s="4">
        <v>1671.86</v>
      </c>
      <c r="J2468" s="4">
        <v>11659.99</v>
      </c>
      <c r="K2468" s="3">
        <v>136</v>
      </c>
      <c r="L2468" s="2" t="s">
        <v>2539</v>
      </c>
      <c r="M2468" s="2" t="s">
        <v>2526</v>
      </c>
      <c r="N2468" s="6">
        <f t="shared" si="152"/>
        <v>1</v>
      </c>
      <c r="O2468" t="str">
        <f>IF(Tabla_control[[#This Row],[Control_duplicados]]&gt;1,"Duplicado","Unico")</f>
        <v>Unico</v>
      </c>
      <c r="P2468" t="str">
        <f t="shared" si="153"/>
        <v>OK</v>
      </c>
      <c r="Q2468" t="str">
        <f t="shared" si="154"/>
        <v>OK</v>
      </c>
      <c r="R2468" t="str">
        <f t="shared" si="155"/>
        <v>OK</v>
      </c>
    </row>
    <row r="2469" spans="1:18" x14ac:dyDescent="0.3">
      <c r="A2469" s="1">
        <v>45706</v>
      </c>
      <c r="B2469" s="2" t="s">
        <v>2623</v>
      </c>
      <c r="C2469" s="2" t="s">
        <v>2543</v>
      </c>
      <c r="D2469" s="2" t="s">
        <v>2528</v>
      </c>
      <c r="E2469" s="2" t="s">
        <v>2529</v>
      </c>
      <c r="F2469" s="3">
        <v>122209</v>
      </c>
      <c r="G2469" s="3">
        <v>7448</v>
      </c>
      <c r="H2469" s="3">
        <v>878</v>
      </c>
      <c r="I2469" s="4">
        <v>3623.81</v>
      </c>
      <c r="J2469" s="4">
        <v>147409.71</v>
      </c>
      <c r="K2469" s="3">
        <v>545</v>
      </c>
      <c r="L2469" s="2" t="s">
        <v>2518</v>
      </c>
      <c r="M2469" s="2" t="s">
        <v>2524</v>
      </c>
      <c r="N2469" s="6">
        <f t="shared" si="152"/>
        <v>1</v>
      </c>
      <c r="O2469" t="str">
        <f>IF(Tabla_control[[#This Row],[Control_duplicados]]&gt;1,"Duplicado","Unico")</f>
        <v>Unico</v>
      </c>
      <c r="P2469" t="str">
        <f t="shared" si="153"/>
        <v>OK</v>
      </c>
      <c r="Q2469" t="str">
        <f t="shared" si="154"/>
        <v>OK</v>
      </c>
      <c r="R2469" t="str">
        <f t="shared" si="155"/>
        <v>OK</v>
      </c>
    </row>
    <row r="2470" spans="1:18" x14ac:dyDescent="0.3">
      <c r="A2470" s="1">
        <v>45859</v>
      </c>
      <c r="B2470" s="2" t="s">
        <v>2644</v>
      </c>
      <c r="C2470" s="2" t="s">
        <v>2541</v>
      </c>
      <c r="D2470" s="2" t="s">
        <v>2528</v>
      </c>
      <c r="E2470" s="2" t="s">
        <v>2529</v>
      </c>
      <c r="F2470" s="3">
        <v>7795</v>
      </c>
      <c r="G2470" s="3">
        <v>170</v>
      </c>
      <c r="H2470" s="3">
        <v>19</v>
      </c>
      <c r="I2470" s="4">
        <v>106.63</v>
      </c>
      <c r="J2470" s="4">
        <v>920.32</v>
      </c>
      <c r="K2470" s="3">
        <v>14</v>
      </c>
      <c r="L2470" s="2" t="s">
        <v>2523</v>
      </c>
      <c r="M2470" s="2" t="s">
        <v>2524</v>
      </c>
      <c r="N2470" s="6">
        <f t="shared" si="152"/>
        <v>1</v>
      </c>
      <c r="O2470" t="str">
        <f>IF(Tabla_control[[#This Row],[Control_duplicados]]&gt;1,"Duplicado","Unico")</f>
        <v>Unico</v>
      </c>
      <c r="P2470" t="str">
        <f t="shared" si="153"/>
        <v>OK</v>
      </c>
      <c r="Q2470" t="str">
        <f t="shared" si="154"/>
        <v>OK</v>
      </c>
      <c r="R2470" t="str">
        <f t="shared" si="155"/>
        <v>OK</v>
      </c>
    </row>
    <row r="2471" spans="1:18" x14ac:dyDescent="0.3">
      <c r="A2471" s="1">
        <v>45780</v>
      </c>
      <c r="B2471" s="2" t="s">
        <v>2620</v>
      </c>
      <c r="C2471" s="2" t="s">
        <v>2541</v>
      </c>
      <c r="D2471" s="2" t="s">
        <v>2516</v>
      </c>
      <c r="E2471" s="2" t="s">
        <v>2529</v>
      </c>
      <c r="F2471" s="3">
        <v>58941</v>
      </c>
      <c r="G2471" s="3">
        <v>1271</v>
      </c>
      <c r="H2471" s="3">
        <v>63</v>
      </c>
      <c r="I2471" s="4">
        <v>1703.72</v>
      </c>
      <c r="J2471" s="4">
        <v>10931.68</v>
      </c>
      <c r="K2471" s="3">
        <v>43</v>
      </c>
      <c r="L2471" s="2" t="s">
        <v>2523</v>
      </c>
      <c r="M2471" s="2" t="s">
        <v>2519</v>
      </c>
      <c r="N2471" s="6">
        <f t="shared" si="152"/>
        <v>1</v>
      </c>
      <c r="O2471" t="str">
        <f>IF(Tabla_control[[#This Row],[Control_duplicados]]&gt;1,"Duplicado","Unico")</f>
        <v>Unico</v>
      </c>
      <c r="P2471" t="str">
        <f t="shared" si="153"/>
        <v>OK</v>
      </c>
      <c r="Q2471" t="str">
        <f t="shared" si="154"/>
        <v>OK</v>
      </c>
      <c r="R2471" t="str">
        <f t="shared" si="155"/>
        <v>OK</v>
      </c>
    </row>
    <row r="2472" spans="1:18" x14ac:dyDescent="0.3">
      <c r="A2472" s="1">
        <v>45925</v>
      </c>
      <c r="B2472" s="2" t="s">
        <v>2644</v>
      </c>
      <c r="C2472" s="2" t="s">
        <v>2541</v>
      </c>
      <c r="D2472" s="2" t="s">
        <v>2528</v>
      </c>
      <c r="E2472" s="2" t="s">
        <v>2517</v>
      </c>
      <c r="F2472" s="3">
        <v>83493</v>
      </c>
      <c r="G2472" s="3">
        <v>4386</v>
      </c>
      <c r="H2472" s="3">
        <v>161</v>
      </c>
      <c r="I2472" s="4">
        <v>978.91</v>
      </c>
      <c r="J2472" s="4">
        <v>27505.75</v>
      </c>
      <c r="K2472" s="3">
        <v>101</v>
      </c>
      <c r="L2472" s="2" t="s">
        <v>2523</v>
      </c>
      <c r="M2472" s="2" t="s">
        <v>2519</v>
      </c>
      <c r="N2472" s="6">
        <f t="shared" si="152"/>
        <v>1</v>
      </c>
      <c r="O2472" t="str">
        <f>IF(Tabla_control[[#This Row],[Control_duplicados]]&gt;1,"Duplicado","Unico")</f>
        <v>Unico</v>
      </c>
      <c r="P2472" t="str">
        <f t="shared" si="153"/>
        <v>OK</v>
      </c>
      <c r="Q2472" t="str">
        <f t="shared" si="154"/>
        <v>OK</v>
      </c>
      <c r="R2472" t="str">
        <f t="shared" si="155"/>
        <v>OK</v>
      </c>
    </row>
    <row r="2473" spans="1:18" x14ac:dyDescent="0.3">
      <c r="A2473" s="1">
        <v>45880</v>
      </c>
      <c r="B2473" s="2" t="s">
        <v>2643</v>
      </c>
      <c r="C2473" s="2" t="s">
        <v>2541</v>
      </c>
      <c r="D2473" s="2" t="s">
        <v>2528</v>
      </c>
      <c r="E2473" s="2" t="s">
        <v>2517</v>
      </c>
      <c r="F2473" s="3">
        <v>68958</v>
      </c>
      <c r="G2473" s="3">
        <v>2991</v>
      </c>
      <c r="H2473" s="3">
        <v>232</v>
      </c>
      <c r="I2473" s="4">
        <v>813.89</v>
      </c>
      <c r="J2473" s="4">
        <v>32807.15</v>
      </c>
      <c r="K2473" s="3">
        <v>185</v>
      </c>
      <c r="L2473" s="2" t="s">
        <v>2536</v>
      </c>
      <c r="M2473" s="2" t="s">
        <v>2546</v>
      </c>
      <c r="N2473" s="6">
        <f t="shared" si="152"/>
        <v>1</v>
      </c>
      <c r="O2473" t="str">
        <f>IF(Tabla_control[[#This Row],[Control_duplicados]]&gt;1,"Duplicado","Unico")</f>
        <v>Unico</v>
      </c>
      <c r="P2473" t="str">
        <f t="shared" si="153"/>
        <v>OK</v>
      </c>
      <c r="Q2473" t="str">
        <f t="shared" si="154"/>
        <v>OK</v>
      </c>
      <c r="R2473" t="str">
        <f t="shared" si="155"/>
        <v>OK</v>
      </c>
    </row>
    <row r="2474" spans="1:18" x14ac:dyDescent="0.3">
      <c r="A2474" s="1">
        <v>45984</v>
      </c>
      <c r="B2474" s="2" t="s">
        <v>2638</v>
      </c>
      <c r="C2474" s="2" t="s">
        <v>2527</v>
      </c>
      <c r="D2474" s="2" t="s">
        <v>2525</v>
      </c>
      <c r="E2474" s="2" t="s">
        <v>2529</v>
      </c>
      <c r="F2474" s="3">
        <v>4392</v>
      </c>
      <c r="G2474" s="3">
        <v>213</v>
      </c>
      <c r="H2474" s="3">
        <v>29</v>
      </c>
      <c r="I2474" s="4">
        <v>209.14</v>
      </c>
      <c r="J2474" s="4">
        <v>3945.3</v>
      </c>
      <c r="K2474" s="3">
        <v>16</v>
      </c>
      <c r="L2474" s="2" t="s">
        <v>2518</v>
      </c>
      <c r="M2474" s="2" t="s">
        <v>2519</v>
      </c>
      <c r="N2474" s="6">
        <f t="shared" si="152"/>
        <v>1</v>
      </c>
      <c r="O2474" t="str">
        <f>IF(Tabla_control[[#This Row],[Control_duplicados]]&gt;1,"Duplicado","Unico")</f>
        <v>Unico</v>
      </c>
      <c r="P2474" t="str">
        <f t="shared" si="153"/>
        <v>OK</v>
      </c>
      <c r="Q2474" t="str">
        <f t="shared" si="154"/>
        <v>OK</v>
      </c>
      <c r="R2474" t="str">
        <f t="shared" si="155"/>
        <v>OK</v>
      </c>
    </row>
    <row r="2475" spans="1:18" x14ac:dyDescent="0.3">
      <c r="A2475" s="1">
        <v>45673</v>
      </c>
      <c r="B2475" s="2" t="s">
        <v>2619</v>
      </c>
      <c r="C2475" s="2" t="s">
        <v>2541</v>
      </c>
      <c r="D2475" s="2" t="s">
        <v>2522</v>
      </c>
      <c r="E2475" s="2" t="s">
        <v>2517</v>
      </c>
      <c r="F2475" s="3">
        <v>49769</v>
      </c>
      <c r="G2475" s="3">
        <v>2369</v>
      </c>
      <c r="H2475" s="3">
        <v>162</v>
      </c>
      <c r="I2475" s="4">
        <v>2922.4</v>
      </c>
      <c r="J2475" s="4">
        <v>8937.06</v>
      </c>
      <c r="K2475" s="3">
        <v>127</v>
      </c>
      <c r="L2475" s="2" t="s">
        <v>2539</v>
      </c>
      <c r="M2475" s="2" t="s">
        <v>2524</v>
      </c>
      <c r="N2475" s="6">
        <f t="shared" si="152"/>
        <v>1</v>
      </c>
      <c r="O2475" t="str">
        <f>IF(Tabla_control[[#This Row],[Control_duplicados]]&gt;1,"Duplicado","Unico")</f>
        <v>Unico</v>
      </c>
      <c r="P2475" t="str">
        <f t="shared" si="153"/>
        <v>OK</v>
      </c>
      <c r="Q2475" t="str">
        <f t="shared" si="154"/>
        <v>OK</v>
      </c>
      <c r="R2475" t="str">
        <f t="shared" si="155"/>
        <v>OK</v>
      </c>
    </row>
    <row r="2476" spans="1:18" x14ac:dyDescent="0.3">
      <c r="A2476" s="1">
        <v>45866</v>
      </c>
      <c r="B2476" s="2" t="s">
        <v>2626</v>
      </c>
      <c r="C2476" s="2" t="s">
        <v>2515</v>
      </c>
      <c r="D2476" s="2" t="s">
        <v>2528</v>
      </c>
      <c r="E2476" s="2" t="s">
        <v>2529</v>
      </c>
      <c r="F2476" s="3">
        <v>100329</v>
      </c>
      <c r="G2476" s="3">
        <v>7091</v>
      </c>
      <c r="H2476" s="3">
        <v>508</v>
      </c>
      <c r="I2476" s="4">
        <v>7836.66</v>
      </c>
      <c r="J2476" s="4">
        <v>35450.83</v>
      </c>
      <c r="K2476" s="3">
        <v>232</v>
      </c>
      <c r="L2476" s="2" t="s">
        <v>2523</v>
      </c>
      <c r="M2476" s="2" t="s">
        <v>2519</v>
      </c>
      <c r="N2476" s="6">
        <f t="shared" si="152"/>
        <v>1</v>
      </c>
      <c r="O2476" t="str">
        <f>IF(Tabla_control[[#This Row],[Control_duplicados]]&gt;1,"Duplicado","Unico")</f>
        <v>Unico</v>
      </c>
      <c r="P2476" t="str">
        <f t="shared" si="153"/>
        <v>OK</v>
      </c>
      <c r="Q2476" t="str">
        <f t="shared" si="154"/>
        <v>OK</v>
      </c>
      <c r="R2476" t="str">
        <f t="shared" si="155"/>
        <v>OK</v>
      </c>
    </row>
    <row r="2477" spans="1:18" x14ac:dyDescent="0.3">
      <c r="A2477" s="1">
        <v>45992</v>
      </c>
      <c r="B2477" s="2" t="s">
        <v>2638</v>
      </c>
      <c r="C2477" s="2" t="s">
        <v>2515</v>
      </c>
      <c r="D2477" s="2" t="s">
        <v>2528</v>
      </c>
      <c r="E2477" s="2" t="s">
        <v>2517</v>
      </c>
      <c r="F2477" s="3">
        <v>44506</v>
      </c>
      <c r="G2477" s="3">
        <v>3547</v>
      </c>
      <c r="H2477" s="3">
        <v>221</v>
      </c>
      <c r="I2477" s="4">
        <v>1582.81</v>
      </c>
      <c r="J2477" s="4">
        <v>28638.77</v>
      </c>
      <c r="K2477" s="3">
        <v>190</v>
      </c>
      <c r="L2477" s="2" t="s">
        <v>2536</v>
      </c>
      <c r="M2477" s="2" t="s">
        <v>2524</v>
      </c>
      <c r="N2477" s="6">
        <f t="shared" si="152"/>
        <v>1</v>
      </c>
      <c r="O2477" t="str">
        <f>IF(Tabla_control[[#This Row],[Control_duplicados]]&gt;1,"Duplicado","Unico")</f>
        <v>Unico</v>
      </c>
      <c r="P2477" t="str">
        <f t="shared" si="153"/>
        <v>OK</v>
      </c>
      <c r="Q2477" t="str">
        <f t="shared" si="154"/>
        <v>OK</v>
      </c>
      <c r="R2477" t="str">
        <f t="shared" si="155"/>
        <v>OK</v>
      </c>
    </row>
    <row r="2478" spans="1:18" x14ac:dyDescent="0.3">
      <c r="A2478" s="1">
        <v>46014</v>
      </c>
      <c r="B2478" s="2" t="s">
        <v>2639</v>
      </c>
      <c r="C2478" s="2" t="s">
        <v>2533</v>
      </c>
      <c r="D2478" s="2" t="s">
        <v>2522</v>
      </c>
      <c r="E2478" s="2" t="s">
        <v>2529</v>
      </c>
      <c r="F2478" s="3">
        <v>10276</v>
      </c>
      <c r="G2478" s="3">
        <v>792</v>
      </c>
      <c r="H2478" s="3">
        <v>65</v>
      </c>
      <c r="I2478" s="4">
        <v>133.61000000000001</v>
      </c>
      <c r="J2478" s="4">
        <v>8534.5</v>
      </c>
      <c r="K2478" s="3">
        <v>33</v>
      </c>
      <c r="L2478" s="2" t="s">
        <v>2518</v>
      </c>
      <c r="M2478" s="2" t="s">
        <v>2524</v>
      </c>
      <c r="N2478" s="6">
        <f t="shared" si="152"/>
        <v>1</v>
      </c>
      <c r="O2478" t="str">
        <f>IF(Tabla_control[[#This Row],[Control_duplicados]]&gt;1,"Duplicado","Unico")</f>
        <v>Unico</v>
      </c>
      <c r="P2478" t="str">
        <f t="shared" si="153"/>
        <v>OK</v>
      </c>
      <c r="Q2478" t="str">
        <f t="shared" si="154"/>
        <v>OK</v>
      </c>
      <c r="R2478" t="str">
        <f t="shared" si="155"/>
        <v>OK</v>
      </c>
    </row>
    <row r="2479" spans="1:18" x14ac:dyDescent="0.3">
      <c r="A2479" s="1">
        <v>45856</v>
      </c>
      <c r="B2479" s="2" t="s">
        <v>2617</v>
      </c>
      <c r="C2479" s="2" t="s">
        <v>2521</v>
      </c>
      <c r="D2479" s="2" t="s">
        <v>2528</v>
      </c>
      <c r="E2479" s="2" t="s">
        <v>2529</v>
      </c>
      <c r="F2479" s="3">
        <v>129491</v>
      </c>
      <c r="G2479" s="3">
        <v>3490</v>
      </c>
      <c r="H2479" s="3">
        <v>424</v>
      </c>
      <c r="I2479" s="4">
        <v>6430.09</v>
      </c>
      <c r="J2479" s="4">
        <v>38355.269999999997</v>
      </c>
      <c r="K2479" s="3">
        <v>352</v>
      </c>
      <c r="L2479" s="2" t="s">
        <v>2518</v>
      </c>
      <c r="M2479" s="2" t="s">
        <v>2537</v>
      </c>
      <c r="N2479" s="6">
        <f t="shared" si="152"/>
        <v>1</v>
      </c>
      <c r="O2479" t="str">
        <f>IF(Tabla_control[[#This Row],[Control_duplicados]]&gt;1,"Duplicado","Unico")</f>
        <v>Unico</v>
      </c>
      <c r="P2479" t="str">
        <f t="shared" si="153"/>
        <v>OK</v>
      </c>
      <c r="Q2479" t="str">
        <f t="shared" si="154"/>
        <v>OK</v>
      </c>
      <c r="R2479" t="str">
        <f t="shared" si="155"/>
        <v>OK</v>
      </c>
    </row>
    <row r="2480" spans="1:18" x14ac:dyDescent="0.3">
      <c r="A2480" s="1">
        <v>45833</v>
      </c>
      <c r="B2480" s="2" t="s">
        <v>2630</v>
      </c>
      <c r="C2480" s="2" t="s">
        <v>2527</v>
      </c>
      <c r="D2480" s="2" t="s">
        <v>2531</v>
      </c>
      <c r="E2480" s="2" t="s">
        <v>2529</v>
      </c>
      <c r="F2480" s="3">
        <v>23352</v>
      </c>
      <c r="G2480" s="3">
        <v>256</v>
      </c>
      <c r="H2480" s="3">
        <v>26</v>
      </c>
      <c r="I2480" s="4">
        <v>65.61</v>
      </c>
      <c r="J2480" s="4">
        <v>2951.16</v>
      </c>
      <c r="K2480" s="3">
        <v>17</v>
      </c>
      <c r="L2480" s="2" t="s">
        <v>2536</v>
      </c>
      <c r="M2480" s="2" t="s">
        <v>2519</v>
      </c>
      <c r="N2480" s="6">
        <f t="shared" si="152"/>
        <v>1</v>
      </c>
      <c r="O2480" t="str">
        <f>IF(Tabla_control[[#This Row],[Control_duplicados]]&gt;1,"Duplicado","Unico")</f>
        <v>Unico</v>
      </c>
      <c r="P2480" t="str">
        <f t="shared" si="153"/>
        <v>OK</v>
      </c>
      <c r="Q2480" t="str">
        <f t="shared" si="154"/>
        <v>OK</v>
      </c>
      <c r="R2480" t="str">
        <f t="shared" si="155"/>
        <v>OK</v>
      </c>
    </row>
    <row r="2481" spans="1:18" x14ac:dyDescent="0.3">
      <c r="A2481" s="1">
        <v>45989</v>
      </c>
      <c r="B2481" s="2" t="s">
        <v>2632</v>
      </c>
      <c r="C2481" s="2" t="s">
        <v>2543</v>
      </c>
      <c r="D2481" s="2" t="s">
        <v>2528</v>
      </c>
      <c r="E2481" s="2" t="s">
        <v>2517</v>
      </c>
      <c r="F2481" s="3">
        <v>167159</v>
      </c>
      <c r="G2481" s="3">
        <v>3738</v>
      </c>
      <c r="H2481" s="3">
        <v>352</v>
      </c>
      <c r="I2481" s="4">
        <v>2308.5</v>
      </c>
      <c r="J2481" s="4">
        <v>21911.59</v>
      </c>
      <c r="K2481" s="3">
        <v>248</v>
      </c>
      <c r="L2481" s="2" t="s">
        <v>2536</v>
      </c>
      <c r="M2481" s="2" t="s">
        <v>2526</v>
      </c>
      <c r="N2481" s="6">
        <f t="shared" si="152"/>
        <v>1</v>
      </c>
      <c r="O2481" t="str">
        <f>IF(Tabla_control[[#This Row],[Control_duplicados]]&gt;1,"Duplicado","Unico")</f>
        <v>Unico</v>
      </c>
      <c r="P2481" t="str">
        <f t="shared" si="153"/>
        <v>OK</v>
      </c>
      <c r="Q2481" t="str">
        <f t="shared" si="154"/>
        <v>OK</v>
      </c>
      <c r="R2481" t="str">
        <f t="shared" si="155"/>
        <v>OK</v>
      </c>
    </row>
    <row r="2482" spans="1:18" x14ac:dyDescent="0.3">
      <c r="A2482" s="1">
        <v>45861</v>
      </c>
      <c r="B2482" s="2" t="s">
        <v>2634</v>
      </c>
      <c r="C2482" s="2" t="s">
        <v>2533</v>
      </c>
      <c r="D2482" s="2" t="s">
        <v>2522</v>
      </c>
      <c r="E2482" s="2" t="s">
        <v>2534</v>
      </c>
      <c r="F2482" s="3">
        <v>32706</v>
      </c>
      <c r="G2482" s="3">
        <v>1193</v>
      </c>
      <c r="H2482" s="3">
        <v>144</v>
      </c>
      <c r="I2482" s="4">
        <v>388.52</v>
      </c>
      <c r="J2482" s="4">
        <v>30124.36</v>
      </c>
      <c r="K2482" s="3">
        <v>91</v>
      </c>
      <c r="L2482" s="2" t="s">
        <v>2523</v>
      </c>
      <c r="M2482" s="2" t="s">
        <v>2526</v>
      </c>
      <c r="N2482" s="6">
        <f t="shared" si="152"/>
        <v>1</v>
      </c>
      <c r="O2482" t="str">
        <f>IF(Tabla_control[[#This Row],[Control_duplicados]]&gt;1,"Duplicado","Unico")</f>
        <v>Unico</v>
      </c>
      <c r="P2482" t="str">
        <f t="shared" si="153"/>
        <v>OK</v>
      </c>
      <c r="Q2482" t="str">
        <f t="shared" si="154"/>
        <v>OK</v>
      </c>
      <c r="R2482" t="str">
        <f t="shared" si="155"/>
        <v>OK</v>
      </c>
    </row>
    <row r="2483" spans="1:18" x14ac:dyDescent="0.3">
      <c r="A2483" s="1">
        <v>45685</v>
      </c>
      <c r="B2483" s="2" t="s">
        <v>2621</v>
      </c>
      <c r="C2483" s="2" t="s">
        <v>2533</v>
      </c>
      <c r="D2483" s="2" t="s">
        <v>2525</v>
      </c>
      <c r="E2483" s="2" t="s">
        <v>2529</v>
      </c>
      <c r="F2483" s="3">
        <v>66449</v>
      </c>
      <c r="G2483" s="3">
        <v>3950</v>
      </c>
      <c r="H2483" s="3">
        <v>157</v>
      </c>
      <c r="I2483" s="4">
        <v>6535.58</v>
      </c>
      <c r="J2483" s="4">
        <v>6902.17</v>
      </c>
      <c r="K2483" s="3">
        <v>104</v>
      </c>
      <c r="L2483" s="2" t="s">
        <v>2539</v>
      </c>
      <c r="M2483" s="2" t="s">
        <v>2524</v>
      </c>
      <c r="N2483" s="6">
        <f t="shared" si="152"/>
        <v>1</v>
      </c>
      <c r="O2483" t="str">
        <f>IF(Tabla_control[[#This Row],[Control_duplicados]]&gt;1,"Duplicado","Unico")</f>
        <v>Unico</v>
      </c>
      <c r="P2483" t="str">
        <f t="shared" si="153"/>
        <v>OK</v>
      </c>
      <c r="Q2483" t="str">
        <f t="shared" si="154"/>
        <v>OK</v>
      </c>
      <c r="R2483" t="str">
        <f t="shared" si="155"/>
        <v>OK</v>
      </c>
    </row>
    <row r="2484" spans="1:18" x14ac:dyDescent="0.3">
      <c r="A2484" s="1">
        <v>45870</v>
      </c>
      <c r="B2484" s="2" t="s">
        <v>2625</v>
      </c>
      <c r="C2484" s="2" t="s">
        <v>2541</v>
      </c>
      <c r="D2484" s="2" t="s">
        <v>2522</v>
      </c>
      <c r="E2484" s="2" t="s">
        <v>2517</v>
      </c>
      <c r="F2484" s="3">
        <v>125182</v>
      </c>
      <c r="G2484" s="3">
        <v>8444</v>
      </c>
      <c r="H2484" s="3">
        <v>846</v>
      </c>
      <c r="I2484" s="4">
        <v>9852.7199999999993</v>
      </c>
      <c r="J2484" s="4">
        <v>88178.6</v>
      </c>
      <c r="K2484" s="3">
        <v>733</v>
      </c>
      <c r="L2484" s="2" t="s">
        <v>2536</v>
      </c>
      <c r="M2484" s="2" t="s">
        <v>2546</v>
      </c>
      <c r="N2484" s="6">
        <f t="shared" si="152"/>
        <v>1</v>
      </c>
      <c r="O2484" t="str">
        <f>IF(Tabla_control[[#This Row],[Control_duplicados]]&gt;1,"Duplicado","Unico")</f>
        <v>Unico</v>
      </c>
      <c r="P2484" t="str">
        <f t="shared" si="153"/>
        <v>OK</v>
      </c>
      <c r="Q2484" t="str">
        <f t="shared" si="154"/>
        <v>OK</v>
      </c>
      <c r="R2484" t="str">
        <f t="shared" si="155"/>
        <v>OK</v>
      </c>
    </row>
    <row r="2485" spans="1:18" x14ac:dyDescent="0.3">
      <c r="A2485" s="1">
        <v>45916</v>
      </c>
      <c r="B2485" s="2" t="s">
        <v>2628</v>
      </c>
      <c r="C2485" s="2" t="s">
        <v>2515</v>
      </c>
      <c r="D2485" s="2" t="s">
        <v>2528</v>
      </c>
      <c r="E2485" s="2" t="s">
        <v>2517</v>
      </c>
      <c r="F2485" s="3">
        <v>163603</v>
      </c>
      <c r="G2485" s="3">
        <v>5107</v>
      </c>
      <c r="H2485" s="3">
        <v>597</v>
      </c>
      <c r="I2485" s="4">
        <v>9379.19</v>
      </c>
      <c r="J2485" s="4">
        <v>92404.53</v>
      </c>
      <c r="K2485" s="3">
        <v>279</v>
      </c>
      <c r="L2485" s="2" t="s">
        <v>2536</v>
      </c>
      <c r="M2485" s="2" t="s">
        <v>2524</v>
      </c>
      <c r="N2485" s="6">
        <f t="shared" si="152"/>
        <v>1</v>
      </c>
      <c r="O2485" t="str">
        <f>IF(Tabla_control[[#This Row],[Control_duplicados]]&gt;1,"Duplicado","Unico")</f>
        <v>Unico</v>
      </c>
      <c r="P2485" t="str">
        <f t="shared" si="153"/>
        <v>OK</v>
      </c>
      <c r="Q2485" t="str">
        <f t="shared" si="154"/>
        <v>OK</v>
      </c>
      <c r="R2485" t="str">
        <f t="shared" si="155"/>
        <v>OK</v>
      </c>
    </row>
    <row r="2486" spans="1:18" x14ac:dyDescent="0.3">
      <c r="A2486" s="1">
        <v>45844</v>
      </c>
      <c r="B2486" s="2" t="s">
        <v>2619</v>
      </c>
      <c r="C2486" s="2" t="s">
        <v>2543</v>
      </c>
      <c r="D2486" s="2" t="s">
        <v>2525</v>
      </c>
      <c r="E2486" s="2" t="s">
        <v>2529</v>
      </c>
      <c r="F2486" s="3">
        <v>161676</v>
      </c>
      <c r="G2486" s="3">
        <v>4319</v>
      </c>
      <c r="H2486" s="3">
        <v>522</v>
      </c>
      <c r="I2486" s="4">
        <v>3456.57</v>
      </c>
      <c r="J2486" s="4">
        <v>69730.7</v>
      </c>
      <c r="K2486" s="3">
        <v>338</v>
      </c>
      <c r="L2486" s="2" t="s">
        <v>2536</v>
      </c>
      <c r="M2486" s="2" t="s">
        <v>2519</v>
      </c>
      <c r="N2486" s="6">
        <f t="shared" si="152"/>
        <v>1</v>
      </c>
      <c r="O2486" t="str">
        <f>IF(Tabla_control[[#This Row],[Control_duplicados]]&gt;1,"Duplicado","Unico")</f>
        <v>Unico</v>
      </c>
      <c r="P2486" t="str">
        <f t="shared" si="153"/>
        <v>OK</v>
      </c>
      <c r="Q2486" t="str">
        <f t="shared" si="154"/>
        <v>OK</v>
      </c>
      <c r="R2486" t="str">
        <f t="shared" si="155"/>
        <v>OK</v>
      </c>
    </row>
    <row r="2487" spans="1:18" x14ac:dyDescent="0.3">
      <c r="A2487" s="1">
        <v>45763</v>
      </c>
      <c r="B2487" s="2" t="s">
        <v>2625</v>
      </c>
      <c r="C2487" s="2" t="s">
        <v>2533</v>
      </c>
      <c r="D2487" s="2" t="s">
        <v>2528</v>
      </c>
      <c r="E2487" s="2" t="s">
        <v>2517</v>
      </c>
      <c r="F2487" s="3">
        <v>69620</v>
      </c>
      <c r="G2487" s="3">
        <v>1607</v>
      </c>
      <c r="H2487" s="3">
        <v>47</v>
      </c>
      <c r="I2487" s="4">
        <v>1492.06</v>
      </c>
      <c r="J2487" s="4">
        <v>4179.17</v>
      </c>
      <c r="K2487" s="3">
        <v>33</v>
      </c>
      <c r="L2487" s="2" t="s">
        <v>2536</v>
      </c>
      <c r="M2487" s="2" t="s">
        <v>2524</v>
      </c>
      <c r="N2487" s="6">
        <f t="shared" si="152"/>
        <v>1</v>
      </c>
      <c r="O2487" t="str">
        <f>IF(Tabla_control[[#This Row],[Control_duplicados]]&gt;1,"Duplicado","Unico")</f>
        <v>Unico</v>
      </c>
      <c r="P2487" t="str">
        <f t="shared" si="153"/>
        <v>OK</v>
      </c>
      <c r="Q2487" t="str">
        <f t="shared" si="154"/>
        <v>OK</v>
      </c>
      <c r="R2487" t="str">
        <f t="shared" si="155"/>
        <v>OK</v>
      </c>
    </row>
    <row r="2488" spans="1:18" x14ac:dyDescent="0.3">
      <c r="A2488" s="1">
        <v>45676</v>
      </c>
      <c r="B2488" s="2" t="s">
        <v>2640</v>
      </c>
      <c r="C2488" s="2" t="s">
        <v>2527</v>
      </c>
      <c r="D2488" s="2" t="s">
        <v>2522</v>
      </c>
      <c r="E2488" s="2" t="s">
        <v>2529</v>
      </c>
      <c r="F2488" s="3">
        <v>81597</v>
      </c>
      <c r="G2488" s="3">
        <v>3942</v>
      </c>
      <c r="H2488" s="3">
        <v>411</v>
      </c>
      <c r="I2488" s="4">
        <v>2691.83</v>
      </c>
      <c r="J2488" s="4">
        <v>71212.160000000003</v>
      </c>
      <c r="K2488" s="3">
        <v>234</v>
      </c>
      <c r="L2488" s="2" t="s">
        <v>2536</v>
      </c>
      <c r="M2488" s="2" t="s">
        <v>2524</v>
      </c>
      <c r="N2488" s="6">
        <f t="shared" si="152"/>
        <v>1</v>
      </c>
      <c r="O2488" t="str">
        <f>IF(Tabla_control[[#This Row],[Control_duplicados]]&gt;1,"Duplicado","Unico")</f>
        <v>Unico</v>
      </c>
      <c r="P2488" t="str">
        <f t="shared" si="153"/>
        <v>OK</v>
      </c>
      <c r="Q2488" t="str">
        <f t="shared" si="154"/>
        <v>OK</v>
      </c>
      <c r="R2488" t="str">
        <f t="shared" si="155"/>
        <v>OK</v>
      </c>
    </row>
    <row r="2489" spans="1:18" x14ac:dyDescent="0.3">
      <c r="A2489" s="1">
        <v>45900</v>
      </c>
      <c r="B2489" s="2" t="s">
        <v>2629</v>
      </c>
      <c r="C2489" s="2" t="s">
        <v>2527</v>
      </c>
      <c r="D2489" s="2" t="s">
        <v>2528</v>
      </c>
      <c r="E2489" s="2" t="s">
        <v>2517</v>
      </c>
      <c r="F2489" s="3">
        <v>136673</v>
      </c>
      <c r="G2489" s="3">
        <v>4341</v>
      </c>
      <c r="H2489" s="3">
        <v>256</v>
      </c>
      <c r="I2489" s="4">
        <v>1117.29</v>
      </c>
      <c r="J2489" s="4">
        <v>9812.85</v>
      </c>
      <c r="K2489" s="3">
        <v>163</v>
      </c>
      <c r="L2489" s="2" t="s">
        <v>2536</v>
      </c>
      <c r="M2489" s="2" t="s">
        <v>2546</v>
      </c>
      <c r="N2489" s="6">
        <f t="shared" si="152"/>
        <v>1</v>
      </c>
      <c r="O2489" t="str">
        <f>IF(Tabla_control[[#This Row],[Control_duplicados]]&gt;1,"Duplicado","Unico")</f>
        <v>Unico</v>
      </c>
      <c r="P2489" t="str">
        <f t="shared" si="153"/>
        <v>OK</v>
      </c>
      <c r="Q2489" t="str">
        <f t="shared" si="154"/>
        <v>OK</v>
      </c>
      <c r="R2489" t="str">
        <f t="shared" si="155"/>
        <v>OK</v>
      </c>
    </row>
    <row r="2490" spans="1:18" x14ac:dyDescent="0.3">
      <c r="A2490" s="1">
        <v>45864</v>
      </c>
      <c r="B2490" s="2" t="s">
        <v>2617</v>
      </c>
      <c r="C2490" s="2" t="s">
        <v>2541</v>
      </c>
      <c r="D2490" s="2" t="s">
        <v>2522</v>
      </c>
      <c r="E2490" s="2" t="s">
        <v>2517</v>
      </c>
      <c r="F2490" s="3">
        <v>87836</v>
      </c>
      <c r="G2490" s="3">
        <v>1663</v>
      </c>
      <c r="H2490" s="3">
        <v>170</v>
      </c>
      <c r="I2490" s="4">
        <v>1956.54</v>
      </c>
      <c r="J2490" s="4">
        <v>14853.58</v>
      </c>
      <c r="K2490" s="3">
        <v>91</v>
      </c>
      <c r="L2490" s="2" t="s">
        <v>2536</v>
      </c>
      <c r="M2490" s="2" t="s">
        <v>2524</v>
      </c>
      <c r="N2490" s="6">
        <f t="shared" si="152"/>
        <v>1</v>
      </c>
      <c r="O2490" t="str">
        <f>IF(Tabla_control[[#This Row],[Control_duplicados]]&gt;1,"Duplicado","Unico")</f>
        <v>Unico</v>
      </c>
      <c r="P2490" t="str">
        <f t="shared" si="153"/>
        <v>OK</v>
      </c>
      <c r="Q2490" t="str">
        <f t="shared" si="154"/>
        <v>OK</v>
      </c>
      <c r="R2490" t="str">
        <f t="shared" si="155"/>
        <v>OK</v>
      </c>
    </row>
    <row r="2491" spans="1:18" x14ac:dyDescent="0.3">
      <c r="A2491" s="1">
        <v>45916</v>
      </c>
      <c r="B2491" s="2" t="s">
        <v>2615</v>
      </c>
      <c r="C2491" s="2" t="s">
        <v>2521</v>
      </c>
      <c r="D2491" s="2" t="s">
        <v>2528</v>
      </c>
      <c r="E2491" s="2" t="s">
        <v>2529</v>
      </c>
      <c r="F2491" s="3">
        <v>163694</v>
      </c>
      <c r="G2491" s="3">
        <v>6089</v>
      </c>
      <c r="H2491" s="3">
        <v>661</v>
      </c>
      <c r="I2491" s="4">
        <v>8045.69</v>
      </c>
      <c r="J2491" s="4">
        <v>124199.31</v>
      </c>
      <c r="K2491" s="3">
        <v>405</v>
      </c>
      <c r="L2491" s="2" t="s">
        <v>2523</v>
      </c>
      <c r="M2491" s="2" t="s">
        <v>2526</v>
      </c>
      <c r="N2491" s="6">
        <f t="shared" si="152"/>
        <v>1</v>
      </c>
      <c r="O2491" t="str">
        <f>IF(Tabla_control[[#This Row],[Control_duplicados]]&gt;1,"Duplicado","Unico")</f>
        <v>Unico</v>
      </c>
      <c r="P2491" t="str">
        <f t="shared" si="153"/>
        <v>OK</v>
      </c>
      <c r="Q2491" t="str">
        <f t="shared" si="154"/>
        <v>OK</v>
      </c>
      <c r="R2491" t="str">
        <f t="shared" si="155"/>
        <v>OK</v>
      </c>
    </row>
    <row r="2492" spans="1:18" x14ac:dyDescent="0.3">
      <c r="A2492" s="1">
        <v>46018</v>
      </c>
      <c r="B2492" s="2" t="s">
        <v>2622</v>
      </c>
      <c r="C2492" s="2" t="s">
        <v>2533</v>
      </c>
      <c r="D2492" s="2" t="s">
        <v>2522</v>
      </c>
      <c r="E2492" s="2" t="s">
        <v>2517</v>
      </c>
      <c r="F2492" s="3">
        <v>27326</v>
      </c>
      <c r="G2492" s="3">
        <v>1841</v>
      </c>
      <c r="H2492" s="3">
        <v>174</v>
      </c>
      <c r="I2492" s="4">
        <v>3309.03</v>
      </c>
      <c r="J2492" s="4">
        <v>14847.17</v>
      </c>
      <c r="K2492" s="3">
        <v>89</v>
      </c>
      <c r="L2492" s="2" t="s">
        <v>2539</v>
      </c>
      <c r="M2492" s="2" t="s">
        <v>2519</v>
      </c>
      <c r="N2492" s="6">
        <f t="shared" si="152"/>
        <v>1</v>
      </c>
      <c r="O2492" t="str">
        <f>IF(Tabla_control[[#This Row],[Control_duplicados]]&gt;1,"Duplicado","Unico")</f>
        <v>Unico</v>
      </c>
      <c r="P2492" t="str">
        <f t="shared" si="153"/>
        <v>OK</v>
      </c>
      <c r="Q2492" t="str">
        <f t="shared" si="154"/>
        <v>OK</v>
      </c>
      <c r="R2492" t="str">
        <f t="shared" si="155"/>
        <v>OK</v>
      </c>
    </row>
    <row r="2493" spans="1:18" x14ac:dyDescent="0.3">
      <c r="A2493" s="1">
        <v>46012</v>
      </c>
      <c r="B2493" s="2" t="s">
        <v>2625</v>
      </c>
      <c r="C2493" s="2" t="s">
        <v>2515</v>
      </c>
      <c r="D2493" s="2" t="s">
        <v>2522</v>
      </c>
      <c r="E2493" s="2" t="s">
        <v>2534</v>
      </c>
      <c r="F2493" s="3">
        <v>150246</v>
      </c>
      <c r="G2493" s="3">
        <v>2834</v>
      </c>
      <c r="H2493" s="3">
        <v>391</v>
      </c>
      <c r="I2493" s="4">
        <v>622.6</v>
      </c>
      <c r="J2493" s="4">
        <v>83373.570000000007</v>
      </c>
      <c r="K2493" s="3">
        <v>231</v>
      </c>
      <c r="L2493" s="2" t="s">
        <v>2523</v>
      </c>
      <c r="M2493" s="2" t="s">
        <v>2519</v>
      </c>
      <c r="N2493" s="6">
        <f t="shared" si="152"/>
        <v>1</v>
      </c>
      <c r="O2493" t="str">
        <f>IF(Tabla_control[[#This Row],[Control_duplicados]]&gt;1,"Duplicado","Unico")</f>
        <v>Unico</v>
      </c>
      <c r="P2493" t="str">
        <f t="shared" si="153"/>
        <v>OK</v>
      </c>
      <c r="Q2493" t="str">
        <f t="shared" si="154"/>
        <v>OK</v>
      </c>
      <c r="R2493" t="str">
        <f t="shared" si="155"/>
        <v>OK</v>
      </c>
    </row>
    <row r="2494" spans="1:18" x14ac:dyDescent="0.3">
      <c r="A2494" s="1">
        <v>45661</v>
      </c>
      <c r="B2494" s="2" t="s">
        <v>2625</v>
      </c>
      <c r="C2494" s="2" t="s">
        <v>2543</v>
      </c>
      <c r="D2494" s="2" t="s">
        <v>2531</v>
      </c>
      <c r="E2494" s="2" t="s">
        <v>2529</v>
      </c>
      <c r="F2494" s="3">
        <v>139698</v>
      </c>
      <c r="G2494" s="3">
        <v>11790</v>
      </c>
      <c r="H2494" s="3">
        <v>739</v>
      </c>
      <c r="I2494" s="4">
        <v>3155.14</v>
      </c>
      <c r="J2494" s="4">
        <v>98880.18</v>
      </c>
      <c r="K2494" s="3">
        <v>476</v>
      </c>
      <c r="L2494" s="2" t="s">
        <v>2539</v>
      </c>
      <c r="M2494" s="2" t="s">
        <v>2537</v>
      </c>
      <c r="N2494" s="6">
        <f t="shared" si="152"/>
        <v>1</v>
      </c>
      <c r="O2494" t="str">
        <f>IF(Tabla_control[[#This Row],[Control_duplicados]]&gt;1,"Duplicado","Unico")</f>
        <v>Unico</v>
      </c>
      <c r="P2494" t="str">
        <f t="shared" si="153"/>
        <v>OK</v>
      </c>
      <c r="Q2494" t="str">
        <f t="shared" si="154"/>
        <v>OK</v>
      </c>
      <c r="R2494" t="str">
        <f t="shared" si="155"/>
        <v>OK</v>
      </c>
    </row>
    <row r="2495" spans="1:18" x14ac:dyDescent="0.3">
      <c r="A2495" s="1">
        <v>45758</v>
      </c>
      <c r="B2495" s="2" t="s">
        <v>2641</v>
      </c>
      <c r="C2495" s="2" t="s">
        <v>2521</v>
      </c>
      <c r="D2495" s="2" t="s">
        <v>2525</v>
      </c>
      <c r="E2495" s="2" t="s">
        <v>2529</v>
      </c>
      <c r="F2495" s="3">
        <v>69394</v>
      </c>
      <c r="G2495" s="3">
        <v>2360</v>
      </c>
      <c r="H2495" s="3">
        <v>2388</v>
      </c>
      <c r="I2495" s="4">
        <v>321.44</v>
      </c>
      <c r="J2495" s="4">
        <v>7749.8</v>
      </c>
      <c r="K2495" s="3">
        <v>50</v>
      </c>
      <c r="L2495" s="2" t="s">
        <v>2518</v>
      </c>
      <c r="M2495" s="2" t="s">
        <v>2537</v>
      </c>
      <c r="N2495" s="6">
        <f t="shared" si="152"/>
        <v>1</v>
      </c>
      <c r="O2495" t="str">
        <f>IF(Tabla_control[[#This Row],[Control_duplicados]]&gt;1,"Duplicado","Unico")</f>
        <v>Unico</v>
      </c>
      <c r="P2495" t="str">
        <f t="shared" si="153"/>
        <v>OK</v>
      </c>
      <c r="Q2495" t="str">
        <f t="shared" si="154"/>
        <v>OK</v>
      </c>
      <c r="R2495" t="str">
        <f t="shared" si="155"/>
        <v>OK</v>
      </c>
    </row>
    <row r="2496" spans="1:18" x14ac:dyDescent="0.3">
      <c r="A2496" s="1">
        <v>45786</v>
      </c>
      <c r="B2496" s="2" t="s">
        <v>2630</v>
      </c>
      <c r="C2496" s="2" t="s">
        <v>2541</v>
      </c>
      <c r="D2496" s="2" t="s">
        <v>2522</v>
      </c>
      <c r="E2496" s="2" t="s">
        <v>2529</v>
      </c>
      <c r="F2496" s="3">
        <v>137747</v>
      </c>
      <c r="G2496" s="3">
        <v>8419</v>
      </c>
      <c r="H2496" s="3">
        <v>627</v>
      </c>
      <c r="I2496" s="4">
        <v>12724.72</v>
      </c>
      <c r="J2496" s="4">
        <v>99492.88</v>
      </c>
      <c r="K2496" s="3">
        <v>392</v>
      </c>
      <c r="L2496" s="2" t="s">
        <v>2536</v>
      </c>
      <c r="M2496" s="2" t="s">
        <v>2526</v>
      </c>
      <c r="N2496" s="6">
        <f t="shared" si="152"/>
        <v>1</v>
      </c>
      <c r="O2496" t="str">
        <f>IF(Tabla_control[[#This Row],[Control_duplicados]]&gt;1,"Duplicado","Unico")</f>
        <v>Unico</v>
      </c>
      <c r="P2496" t="str">
        <f t="shared" si="153"/>
        <v>OK</v>
      </c>
      <c r="Q2496" t="str">
        <f t="shared" si="154"/>
        <v>OK</v>
      </c>
      <c r="R2496" t="str">
        <f t="shared" si="155"/>
        <v>OK</v>
      </c>
    </row>
    <row r="2497" spans="1:18" x14ac:dyDescent="0.3">
      <c r="A2497" s="1">
        <v>45923</v>
      </c>
      <c r="B2497" s="2" t="s">
        <v>2622</v>
      </c>
      <c r="C2497" s="2" t="s">
        <v>2527</v>
      </c>
      <c r="D2497" s="2" t="s">
        <v>2528</v>
      </c>
      <c r="E2497" s="2" t="s">
        <v>2534</v>
      </c>
      <c r="F2497" s="3">
        <v>148063</v>
      </c>
      <c r="G2497" s="3">
        <v>5360</v>
      </c>
      <c r="H2497" s="3">
        <v>451</v>
      </c>
      <c r="I2497" s="4">
        <v>2029.66</v>
      </c>
      <c r="J2497" s="4">
        <v>86717.51</v>
      </c>
      <c r="K2497" s="3">
        <v>373</v>
      </c>
      <c r="L2497" s="2" t="s">
        <v>2536</v>
      </c>
      <c r="M2497" s="2" t="s">
        <v>2519</v>
      </c>
      <c r="N2497" s="6">
        <f t="shared" si="152"/>
        <v>1</v>
      </c>
      <c r="O2497" t="str">
        <f>IF(Tabla_control[[#This Row],[Control_duplicados]]&gt;1,"Duplicado","Unico")</f>
        <v>Unico</v>
      </c>
      <c r="P2497" t="str">
        <f t="shared" si="153"/>
        <v>OK</v>
      </c>
      <c r="Q2497" t="str">
        <f t="shared" si="154"/>
        <v>OK</v>
      </c>
      <c r="R2497" t="str">
        <f t="shared" si="155"/>
        <v>OK</v>
      </c>
    </row>
    <row r="2498" spans="1:18" x14ac:dyDescent="0.3">
      <c r="A2498" s="1">
        <v>45821</v>
      </c>
      <c r="B2498" s="2" t="s">
        <v>2636</v>
      </c>
      <c r="C2498" s="2" t="s">
        <v>2533</v>
      </c>
      <c r="D2498" s="2" t="s">
        <v>2528</v>
      </c>
      <c r="E2498" s="2" t="s">
        <v>2529</v>
      </c>
      <c r="F2498" s="3">
        <v>30710</v>
      </c>
      <c r="G2498" s="3">
        <v>1122</v>
      </c>
      <c r="H2498" s="3">
        <v>54</v>
      </c>
      <c r="I2498" s="4">
        <v>1536.49</v>
      </c>
      <c r="J2498" s="4">
        <v>6413.24</v>
      </c>
      <c r="K2498" s="3">
        <v>42</v>
      </c>
      <c r="L2498" s="2" t="s">
        <v>2523</v>
      </c>
      <c r="M2498" s="2" t="s">
        <v>2546</v>
      </c>
      <c r="N2498" s="6">
        <f t="shared" ref="N2498:N2536" si="156">COUNTIFS($A$2:$A$2536,A2498,$B$2:$B$2536,B2498,$C$2:$C$2536,C2498,$D$2:$D$2536,D2498,$E$2:$E$2536,E2498,$F$2:$F$2536,F2498,$G$2:$G$2536,G2498,$H$2:$H$2536,H2498,$I$2:$I$2536,I2498,$J$2:$J$2536,J2498,$K$2:$K$2536,K2498,$L$2:$L$2536,L2498,$M$2:$M$2536,M2498)</f>
        <v>1</v>
      </c>
      <c r="O2498" t="str">
        <f>IF(Tabla_control[[#This Row],[Control_duplicados]]&gt;1,"Duplicado","Unico")</f>
        <v>Unico</v>
      </c>
      <c r="P2498" t="str">
        <f t="shared" ref="P2498:P2536" si="157">IF(OR(I2498="",I2498&lt;0),"ERROR","OK")</f>
        <v>OK</v>
      </c>
      <c r="Q2498" t="str">
        <f t="shared" ref="Q2498:Q2536" si="158">IF(H2498&gt;F2498,"ERROR","OK")</f>
        <v>OK</v>
      </c>
      <c r="R2498" t="str">
        <f t="shared" ref="R2498:R2536" si="159">IF(K2498&gt;H2498,"ERROR","OK")</f>
        <v>OK</v>
      </c>
    </row>
    <row r="2499" spans="1:18" x14ac:dyDescent="0.3">
      <c r="A2499" s="1">
        <v>45707</v>
      </c>
      <c r="B2499" s="2" t="s">
        <v>2638</v>
      </c>
      <c r="C2499" s="2" t="s">
        <v>2515</v>
      </c>
      <c r="D2499" s="2" t="s">
        <v>2516</v>
      </c>
      <c r="E2499" s="2" t="s">
        <v>2517</v>
      </c>
      <c r="F2499" s="3">
        <v>34053</v>
      </c>
      <c r="G2499" s="3">
        <v>1137</v>
      </c>
      <c r="H2499" s="3">
        <v>92</v>
      </c>
      <c r="I2499" s="4">
        <v>417.55</v>
      </c>
      <c r="J2499" s="4">
        <v>11977.12</v>
      </c>
      <c r="K2499" s="3">
        <v>56</v>
      </c>
      <c r="L2499" s="2" t="s">
        <v>2523</v>
      </c>
      <c r="M2499" s="2" t="s">
        <v>2537</v>
      </c>
      <c r="N2499" s="6">
        <f t="shared" si="156"/>
        <v>1</v>
      </c>
      <c r="O2499" t="str">
        <f>IF(Tabla_control[[#This Row],[Control_duplicados]]&gt;1,"Duplicado","Unico")</f>
        <v>Unico</v>
      </c>
      <c r="P2499" t="str">
        <f t="shared" si="157"/>
        <v>OK</v>
      </c>
      <c r="Q2499" t="str">
        <f t="shared" si="158"/>
        <v>OK</v>
      </c>
      <c r="R2499" t="str">
        <f t="shared" si="159"/>
        <v>OK</v>
      </c>
    </row>
    <row r="2500" spans="1:18" x14ac:dyDescent="0.3">
      <c r="A2500" s="1">
        <v>45973</v>
      </c>
      <c r="B2500" s="2" t="s">
        <v>2622</v>
      </c>
      <c r="C2500" s="2" t="s">
        <v>2543</v>
      </c>
      <c r="D2500" s="2" t="s">
        <v>2528</v>
      </c>
      <c r="E2500" s="2" t="s">
        <v>2517</v>
      </c>
      <c r="F2500" s="3">
        <v>29424</v>
      </c>
      <c r="G2500" s="3">
        <v>2594</v>
      </c>
      <c r="H2500" s="3">
        <v>108</v>
      </c>
      <c r="I2500" s="4">
        <v>2502.42</v>
      </c>
      <c r="J2500" s="4">
        <v>2167.4699999999998</v>
      </c>
      <c r="K2500" s="3">
        <v>71</v>
      </c>
      <c r="L2500" s="2" t="s">
        <v>2518</v>
      </c>
      <c r="M2500" s="2" t="s">
        <v>2524</v>
      </c>
      <c r="N2500" s="6">
        <f t="shared" si="156"/>
        <v>1</v>
      </c>
      <c r="O2500" t="str">
        <f>IF(Tabla_control[[#This Row],[Control_duplicados]]&gt;1,"Duplicado","Unico")</f>
        <v>Unico</v>
      </c>
      <c r="P2500" t="str">
        <f t="shared" si="157"/>
        <v>OK</v>
      </c>
      <c r="Q2500" t="str">
        <f t="shared" si="158"/>
        <v>OK</v>
      </c>
      <c r="R2500" t="str">
        <f t="shared" si="159"/>
        <v>OK</v>
      </c>
    </row>
    <row r="2501" spans="1:18" x14ac:dyDescent="0.3">
      <c r="A2501" s="1">
        <v>45674</v>
      </c>
      <c r="B2501" s="2" t="s">
        <v>2638</v>
      </c>
      <c r="C2501" s="2" t="s">
        <v>2515</v>
      </c>
      <c r="D2501" s="2" t="s">
        <v>2528</v>
      </c>
      <c r="E2501" s="2" t="s">
        <v>2517</v>
      </c>
      <c r="F2501" s="3">
        <v>52692</v>
      </c>
      <c r="G2501" s="3">
        <v>4330</v>
      </c>
      <c r="H2501" s="3">
        <v>473</v>
      </c>
      <c r="I2501" s="4">
        <v>7339.28</v>
      </c>
      <c r="J2501" s="4">
        <v>67861.490000000005</v>
      </c>
      <c r="K2501" s="3">
        <v>344</v>
      </c>
      <c r="L2501" s="2" t="s">
        <v>2518</v>
      </c>
      <c r="M2501" s="2" t="s">
        <v>2524</v>
      </c>
      <c r="N2501" s="6">
        <f t="shared" si="156"/>
        <v>1</v>
      </c>
      <c r="O2501" t="str">
        <f>IF(Tabla_control[[#This Row],[Control_duplicados]]&gt;1,"Duplicado","Unico")</f>
        <v>Unico</v>
      </c>
      <c r="P2501" t="str">
        <f t="shared" si="157"/>
        <v>OK</v>
      </c>
      <c r="Q2501" t="str">
        <f t="shared" si="158"/>
        <v>OK</v>
      </c>
      <c r="R2501" t="str">
        <f t="shared" si="159"/>
        <v>OK</v>
      </c>
    </row>
    <row r="2502" spans="1:18" x14ac:dyDescent="0.3">
      <c r="A2502" s="1">
        <v>45812</v>
      </c>
      <c r="B2502" s="2" t="s">
        <v>2619</v>
      </c>
      <c r="C2502" s="2" t="s">
        <v>2533</v>
      </c>
      <c r="D2502" s="2" t="s">
        <v>2525</v>
      </c>
      <c r="E2502" s="2" t="s">
        <v>2517</v>
      </c>
      <c r="F2502" s="3">
        <v>134173</v>
      </c>
      <c r="G2502" s="3">
        <v>1030</v>
      </c>
      <c r="H2502" s="3">
        <v>70</v>
      </c>
      <c r="I2502" s="4">
        <v>874.43</v>
      </c>
      <c r="J2502" s="4">
        <v>8441.31</v>
      </c>
      <c r="K2502" s="3">
        <v>57</v>
      </c>
      <c r="L2502" s="2" t="s">
        <v>2518</v>
      </c>
      <c r="M2502" s="2" t="s">
        <v>2546</v>
      </c>
      <c r="N2502" s="6">
        <f t="shared" si="156"/>
        <v>1</v>
      </c>
      <c r="O2502" t="str">
        <f>IF(Tabla_control[[#This Row],[Control_duplicados]]&gt;1,"Duplicado","Unico")</f>
        <v>Unico</v>
      </c>
      <c r="P2502" t="str">
        <f t="shared" si="157"/>
        <v>OK</v>
      </c>
      <c r="Q2502" t="str">
        <f t="shared" si="158"/>
        <v>OK</v>
      </c>
      <c r="R2502" t="str">
        <f t="shared" si="159"/>
        <v>OK</v>
      </c>
    </row>
    <row r="2503" spans="1:18" x14ac:dyDescent="0.3">
      <c r="A2503" s="1">
        <v>45927</v>
      </c>
      <c r="B2503" s="2" t="s">
        <v>2629</v>
      </c>
      <c r="C2503" s="2" t="s">
        <v>2541</v>
      </c>
      <c r="D2503" s="2" t="s">
        <v>2525</v>
      </c>
      <c r="E2503" s="2" t="s">
        <v>2529</v>
      </c>
      <c r="F2503" s="3">
        <v>55134</v>
      </c>
      <c r="G2503" s="3">
        <v>1070</v>
      </c>
      <c r="H2503" s="3">
        <v>102</v>
      </c>
      <c r="I2503" s="4">
        <v>307.12</v>
      </c>
      <c r="J2503" s="4">
        <v>10397.1</v>
      </c>
      <c r="K2503" s="3">
        <v>63</v>
      </c>
      <c r="L2503" s="2" t="s">
        <v>2518</v>
      </c>
      <c r="M2503" s="2" t="s">
        <v>2524</v>
      </c>
      <c r="N2503" s="6">
        <f t="shared" si="156"/>
        <v>1</v>
      </c>
      <c r="O2503" t="str">
        <f>IF(Tabla_control[[#This Row],[Control_duplicados]]&gt;1,"Duplicado","Unico")</f>
        <v>Unico</v>
      </c>
      <c r="P2503" t="str">
        <f t="shared" si="157"/>
        <v>OK</v>
      </c>
      <c r="Q2503" t="str">
        <f t="shared" si="158"/>
        <v>OK</v>
      </c>
      <c r="R2503" t="str">
        <f t="shared" si="159"/>
        <v>OK</v>
      </c>
    </row>
    <row r="2504" spans="1:18" x14ac:dyDescent="0.3">
      <c r="A2504" s="1">
        <v>45943</v>
      </c>
      <c r="B2504" s="2" t="s">
        <v>2639</v>
      </c>
      <c r="C2504" s="2" t="s">
        <v>2521</v>
      </c>
      <c r="D2504" s="2" t="s">
        <v>2525</v>
      </c>
      <c r="E2504" s="2" t="s">
        <v>2517</v>
      </c>
      <c r="F2504" s="3">
        <v>18622</v>
      </c>
      <c r="G2504" s="3">
        <v>1383</v>
      </c>
      <c r="H2504" s="3">
        <v>190</v>
      </c>
      <c r="I2504" s="4">
        <v>1561.52</v>
      </c>
      <c r="J2504" s="4">
        <v>13186.9</v>
      </c>
      <c r="K2504" s="3">
        <v>134</v>
      </c>
      <c r="L2504" s="2" t="s">
        <v>2518</v>
      </c>
      <c r="M2504" s="2" t="s">
        <v>2546</v>
      </c>
      <c r="N2504" s="6">
        <f t="shared" si="156"/>
        <v>1</v>
      </c>
      <c r="O2504" t="str">
        <f>IF(Tabla_control[[#This Row],[Control_duplicados]]&gt;1,"Duplicado","Unico")</f>
        <v>Unico</v>
      </c>
      <c r="P2504" t="str">
        <f t="shared" si="157"/>
        <v>OK</v>
      </c>
      <c r="Q2504" t="str">
        <f t="shared" si="158"/>
        <v>OK</v>
      </c>
      <c r="R2504" t="str">
        <f t="shared" si="159"/>
        <v>OK</v>
      </c>
    </row>
    <row r="2505" spans="1:18" x14ac:dyDescent="0.3">
      <c r="A2505" s="1">
        <v>45799</v>
      </c>
      <c r="B2505" s="2" t="s">
        <v>2617</v>
      </c>
      <c r="C2505" s="2" t="s">
        <v>2527</v>
      </c>
      <c r="D2505" s="2" t="s">
        <v>2516</v>
      </c>
      <c r="E2505" s="2" t="s">
        <v>2529</v>
      </c>
      <c r="F2505" s="3">
        <v>20768</v>
      </c>
      <c r="G2505" s="3">
        <v>1198</v>
      </c>
      <c r="H2505" s="3">
        <v>96</v>
      </c>
      <c r="I2505" s="4">
        <v>733.98</v>
      </c>
      <c r="J2505" s="4">
        <v>4665.5600000000004</v>
      </c>
      <c r="K2505" s="3">
        <v>72</v>
      </c>
      <c r="L2505" s="2" t="s">
        <v>2536</v>
      </c>
      <c r="M2505" s="2" t="s">
        <v>2524</v>
      </c>
      <c r="N2505" s="6">
        <f t="shared" si="156"/>
        <v>1</v>
      </c>
      <c r="O2505" t="str">
        <f>IF(Tabla_control[[#This Row],[Control_duplicados]]&gt;1,"Duplicado","Unico")</f>
        <v>Unico</v>
      </c>
      <c r="P2505" t="str">
        <f t="shared" si="157"/>
        <v>OK</v>
      </c>
      <c r="Q2505" t="str">
        <f t="shared" si="158"/>
        <v>OK</v>
      </c>
      <c r="R2505" t="str">
        <f t="shared" si="159"/>
        <v>OK</v>
      </c>
    </row>
    <row r="2506" spans="1:18" x14ac:dyDescent="0.3">
      <c r="A2506" s="1">
        <v>45871</v>
      </c>
      <c r="B2506" s="2" t="s">
        <v>2642</v>
      </c>
      <c r="C2506" s="2" t="s">
        <v>2533</v>
      </c>
      <c r="D2506" s="2" t="s">
        <v>2528</v>
      </c>
      <c r="E2506" s="2" t="s">
        <v>2529</v>
      </c>
      <c r="F2506" s="3">
        <v>43334</v>
      </c>
      <c r="G2506" s="3">
        <v>3699</v>
      </c>
      <c r="H2506" s="3">
        <v>167</v>
      </c>
      <c r="I2506" s="4">
        <v>6005.73</v>
      </c>
      <c r="J2506" s="4">
        <v>14322.33</v>
      </c>
      <c r="K2506" s="3">
        <v>83</v>
      </c>
      <c r="L2506" s="2" t="s">
        <v>2539</v>
      </c>
      <c r="M2506" s="2" t="s">
        <v>2537</v>
      </c>
      <c r="N2506" s="6">
        <f t="shared" si="156"/>
        <v>1</v>
      </c>
      <c r="O2506" t="str">
        <f>IF(Tabla_control[[#This Row],[Control_duplicados]]&gt;1,"Duplicado","Unico")</f>
        <v>Unico</v>
      </c>
      <c r="P2506" t="str">
        <f t="shared" si="157"/>
        <v>OK</v>
      </c>
      <c r="Q2506" t="str">
        <f t="shared" si="158"/>
        <v>OK</v>
      </c>
      <c r="R2506" t="str">
        <f t="shared" si="159"/>
        <v>OK</v>
      </c>
    </row>
    <row r="2507" spans="1:18" x14ac:dyDescent="0.3">
      <c r="A2507" s="1">
        <v>45730</v>
      </c>
      <c r="B2507" s="2" t="s">
        <v>2639</v>
      </c>
      <c r="C2507" s="2" t="s">
        <v>2521</v>
      </c>
      <c r="D2507" s="2" t="s">
        <v>2528</v>
      </c>
      <c r="E2507" s="2" t="s">
        <v>2517</v>
      </c>
      <c r="F2507" s="3">
        <v>128199</v>
      </c>
      <c r="G2507" s="3">
        <v>4291</v>
      </c>
      <c r="H2507" s="3">
        <v>197</v>
      </c>
      <c r="I2507" s="4">
        <v>3924.31</v>
      </c>
      <c r="J2507" s="4">
        <v>39113.800000000003</v>
      </c>
      <c r="K2507" s="3">
        <v>169</v>
      </c>
      <c r="L2507" s="2" t="s">
        <v>2539</v>
      </c>
      <c r="M2507" s="2" t="s">
        <v>2526</v>
      </c>
      <c r="N2507" s="6">
        <f t="shared" si="156"/>
        <v>1</v>
      </c>
      <c r="O2507" t="str">
        <f>IF(Tabla_control[[#This Row],[Control_duplicados]]&gt;1,"Duplicado","Unico")</f>
        <v>Unico</v>
      </c>
      <c r="P2507" t="str">
        <f t="shared" si="157"/>
        <v>OK</v>
      </c>
      <c r="Q2507" t="str">
        <f t="shared" si="158"/>
        <v>OK</v>
      </c>
      <c r="R2507" t="str">
        <f t="shared" si="159"/>
        <v>OK</v>
      </c>
    </row>
    <row r="2508" spans="1:18" x14ac:dyDescent="0.3">
      <c r="A2508" s="1">
        <v>45941</v>
      </c>
      <c r="B2508" s="2" t="s">
        <v>2617</v>
      </c>
      <c r="C2508" s="2" t="s">
        <v>2541</v>
      </c>
      <c r="D2508" s="2" t="s">
        <v>2528</v>
      </c>
      <c r="E2508" s="2" t="s">
        <v>2517</v>
      </c>
      <c r="F2508" s="3">
        <v>44999</v>
      </c>
      <c r="G2508" s="3">
        <v>641</v>
      </c>
      <c r="H2508" s="3">
        <v>4</v>
      </c>
      <c r="I2508" s="4">
        <v>384.52</v>
      </c>
      <c r="J2508" s="4">
        <v>852.55</v>
      </c>
      <c r="K2508" s="3">
        <v>2</v>
      </c>
      <c r="L2508" s="2" t="s">
        <v>2518</v>
      </c>
      <c r="M2508" s="2" t="s">
        <v>2519</v>
      </c>
      <c r="N2508" s="6">
        <f t="shared" si="156"/>
        <v>1</v>
      </c>
      <c r="O2508" t="str">
        <f>IF(Tabla_control[[#This Row],[Control_duplicados]]&gt;1,"Duplicado","Unico")</f>
        <v>Unico</v>
      </c>
      <c r="P2508" t="str">
        <f t="shared" si="157"/>
        <v>OK</v>
      </c>
      <c r="Q2508" t="str">
        <f t="shared" si="158"/>
        <v>OK</v>
      </c>
      <c r="R2508" t="str">
        <f t="shared" si="159"/>
        <v>OK</v>
      </c>
    </row>
    <row r="2509" spans="1:18" x14ac:dyDescent="0.3">
      <c r="A2509" s="1">
        <v>45997</v>
      </c>
      <c r="B2509" s="2" t="s">
        <v>2615</v>
      </c>
      <c r="C2509" s="2" t="s">
        <v>2533</v>
      </c>
      <c r="D2509" s="2" t="s">
        <v>2531</v>
      </c>
      <c r="E2509" s="2" t="s">
        <v>2517</v>
      </c>
      <c r="F2509" s="3">
        <v>27560</v>
      </c>
      <c r="G2509" s="3">
        <v>1980</v>
      </c>
      <c r="H2509" s="3">
        <v>70</v>
      </c>
      <c r="I2509" s="4">
        <v>1018.45</v>
      </c>
      <c r="J2509" s="4">
        <v>6060.11</v>
      </c>
      <c r="K2509" s="3">
        <v>57</v>
      </c>
      <c r="L2509" s="2" t="s">
        <v>2523</v>
      </c>
      <c r="M2509" s="2" t="s">
        <v>2519</v>
      </c>
      <c r="N2509" s="6">
        <f t="shared" si="156"/>
        <v>1</v>
      </c>
      <c r="O2509" t="str">
        <f>IF(Tabla_control[[#This Row],[Control_duplicados]]&gt;1,"Duplicado","Unico")</f>
        <v>Unico</v>
      </c>
      <c r="P2509" t="str">
        <f t="shared" si="157"/>
        <v>OK</v>
      </c>
      <c r="Q2509" t="str">
        <f t="shared" si="158"/>
        <v>OK</v>
      </c>
      <c r="R2509" t="str">
        <f t="shared" si="159"/>
        <v>OK</v>
      </c>
    </row>
    <row r="2510" spans="1:18" x14ac:dyDescent="0.3">
      <c r="A2510" s="1">
        <v>45665</v>
      </c>
      <c r="B2510" s="2" t="s">
        <v>2636</v>
      </c>
      <c r="C2510" s="2" t="s">
        <v>2541</v>
      </c>
      <c r="D2510" s="2" t="s">
        <v>2516</v>
      </c>
      <c r="E2510" s="2" t="s">
        <v>2529</v>
      </c>
      <c r="F2510" s="3">
        <v>121614</v>
      </c>
      <c r="G2510" s="3">
        <v>4655</v>
      </c>
      <c r="H2510" s="3">
        <v>474</v>
      </c>
      <c r="I2510" s="4">
        <v>2463.4</v>
      </c>
      <c r="J2510" s="4">
        <v>52288.23</v>
      </c>
      <c r="K2510" s="3">
        <v>245</v>
      </c>
      <c r="L2510" s="2" t="s">
        <v>2518</v>
      </c>
      <c r="M2510" s="2" t="s">
        <v>2546</v>
      </c>
      <c r="N2510" s="6">
        <f t="shared" si="156"/>
        <v>1</v>
      </c>
      <c r="O2510" t="str">
        <f>IF(Tabla_control[[#This Row],[Control_duplicados]]&gt;1,"Duplicado","Unico")</f>
        <v>Unico</v>
      </c>
      <c r="P2510" t="str">
        <f t="shared" si="157"/>
        <v>OK</v>
      </c>
      <c r="Q2510" t="str">
        <f t="shared" si="158"/>
        <v>OK</v>
      </c>
      <c r="R2510" t="str">
        <f t="shared" si="159"/>
        <v>OK</v>
      </c>
    </row>
    <row r="2511" spans="1:18" x14ac:dyDescent="0.3">
      <c r="A2511" s="1">
        <v>45979</v>
      </c>
      <c r="B2511" s="2" t="s">
        <v>2641</v>
      </c>
      <c r="C2511" s="2" t="s">
        <v>2515</v>
      </c>
      <c r="D2511" s="2" t="s">
        <v>2528</v>
      </c>
      <c r="E2511" s="2" t="s">
        <v>2529</v>
      </c>
      <c r="F2511" s="3">
        <v>11152</v>
      </c>
      <c r="G2511" s="3">
        <v>60</v>
      </c>
      <c r="H2511" s="3">
        <v>5</v>
      </c>
      <c r="I2511" s="4">
        <v>28.8</v>
      </c>
      <c r="J2511" s="4">
        <v>992.32</v>
      </c>
      <c r="K2511" s="3">
        <v>2</v>
      </c>
      <c r="L2511" s="2" t="s">
        <v>2536</v>
      </c>
      <c r="M2511" s="2" t="s">
        <v>2546</v>
      </c>
      <c r="N2511" s="6">
        <f t="shared" si="156"/>
        <v>1</v>
      </c>
      <c r="O2511" t="str">
        <f>IF(Tabla_control[[#This Row],[Control_duplicados]]&gt;1,"Duplicado","Unico")</f>
        <v>Unico</v>
      </c>
      <c r="P2511" t="str">
        <f t="shared" si="157"/>
        <v>OK</v>
      </c>
      <c r="Q2511" t="str">
        <f t="shared" si="158"/>
        <v>OK</v>
      </c>
      <c r="R2511" t="str">
        <f t="shared" si="159"/>
        <v>OK</v>
      </c>
    </row>
    <row r="2512" spans="1:18" x14ac:dyDescent="0.3">
      <c r="A2512" s="1">
        <v>45738</v>
      </c>
      <c r="B2512" s="2" t="s">
        <v>2644</v>
      </c>
      <c r="C2512" s="2" t="s">
        <v>2541</v>
      </c>
      <c r="D2512" s="2" t="s">
        <v>2528</v>
      </c>
      <c r="E2512" s="2" t="s">
        <v>2517</v>
      </c>
      <c r="F2512" s="3">
        <v>42456</v>
      </c>
      <c r="G2512" s="3">
        <v>977</v>
      </c>
      <c r="H2512" s="3">
        <v>5</v>
      </c>
      <c r="I2512" s="4">
        <v>1877.93</v>
      </c>
      <c r="J2512" s="4">
        <v>509.17</v>
      </c>
      <c r="K2512" s="3">
        <v>3</v>
      </c>
      <c r="L2512" s="2" t="s">
        <v>2518</v>
      </c>
      <c r="M2512" s="2" t="s">
        <v>2526</v>
      </c>
      <c r="N2512" s="6">
        <f t="shared" si="156"/>
        <v>1</v>
      </c>
      <c r="O2512" t="str">
        <f>IF(Tabla_control[[#This Row],[Control_duplicados]]&gt;1,"Duplicado","Unico")</f>
        <v>Unico</v>
      </c>
      <c r="P2512" t="str">
        <f t="shared" si="157"/>
        <v>OK</v>
      </c>
      <c r="Q2512" t="str">
        <f t="shared" si="158"/>
        <v>OK</v>
      </c>
      <c r="R2512" t="str">
        <f t="shared" si="159"/>
        <v>OK</v>
      </c>
    </row>
    <row r="2513" spans="1:18" x14ac:dyDescent="0.3">
      <c r="A2513" s="1">
        <v>45960</v>
      </c>
      <c r="B2513" s="2" t="s">
        <v>2617</v>
      </c>
      <c r="C2513" s="2" t="s">
        <v>2533</v>
      </c>
      <c r="D2513" s="2" t="s">
        <v>2516</v>
      </c>
      <c r="E2513" s="2" t="s">
        <v>2517</v>
      </c>
      <c r="F2513" s="3">
        <v>16372</v>
      </c>
      <c r="G2513" s="3">
        <v>305</v>
      </c>
      <c r="H2513" s="3">
        <v>3</v>
      </c>
      <c r="I2513" s="4">
        <v>61.41</v>
      </c>
      <c r="J2513" s="4">
        <v>151.56</v>
      </c>
      <c r="K2513" s="3">
        <v>2</v>
      </c>
      <c r="L2513" s="2" t="s">
        <v>2523</v>
      </c>
      <c r="M2513" s="2" t="s">
        <v>2546</v>
      </c>
      <c r="N2513" s="6">
        <f t="shared" si="156"/>
        <v>1</v>
      </c>
      <c r="O2513" t="str">
        <f>IF(Tabla_control[[#This Row],[Control_duplicados]]&gt;1,"Duplicado","Unico")</f>
        <v>Unico</v>
      </c>
      <c r="P2513" t="str">
        <f t="shared" si="157"/>
        <v>OK</v>
      </c>
      <c r="Q2513" t="str">
        <f t="shared" si="158"/>
        <v>OK</v>
      </c>
      <c r="R2513" t="str">
        <f t="shared" si="159"/>
        <v>OK</v>
      </c>
    </row>
    <row r="2514" spans="1:18" x14ac:dyDescent="0.3">
      <c r="A2514" s="1">
        <v>45870</v>
      </c>
      <c r="B2514" s="2" t="s">
        <v>2632</v>
      </c>
      <c r="C2514" s="2" t="s">
        <v>2521</v>
      </c>
      <c r="D2514" s="2" t="s">
        <v>2516</v>
      </c>
      <c r="E2514" s="2" t="s">
        <v>2529</v>
      </c>
      <c r="F2514" s="3">
        <v>117559</v>
      </c>
      <c r="G2514" s="3">
        <v>2732</v>
      </c>
      <c r="H2514" s="3">
        <v>83</v>
      </c>
      <c r="I2514" s="4">
        <v>4818.75</v>
      </c>
      <c r="J2514" s="4">
        <v>9651.4</v>
      </c>
      <c r="K2514" s="3">
        <v>55</v>
      </c>
      <c r="L2514" s="2" t="s">
        <v>2536</v>
      </c>
      <c r="M2514" s="2" t="s">
        <v>2526</v>
      </c>
      <c r="N2514" s="6">
        <f t="shared" si="156"/>
        <v>1</v>
      </c>
      <c r="O2514" t="str">
        <f>IF(Tabla_control[[#This Row],[Control_duplicados]]&gt;1,"Duplicado","Unico")</f>
        <v>Unico</v>
      </c>
      <c r="P2514" t="str">
        <f t="shared" si="157"/>
        <v>OK</v>
      </c>
      <c r="Q2514" t="str">
        <f t="shared" si="158"/>
        <v>OK</v>
      </c>
      <c r="R2514" t="str">
        <f t="shared" si="159"/>
        <v>OK</v>
      </c>
    </row>
    <row r="2515" spans="1:18" x14ac:dyDescent="0.3">
      <c r="A2515" s="1">
        <v>45942</v>
      </c>
      <c r="B2515" s="2" t="s">
        <v>2639</v>
      </c>
      <c r="C2515" s="2" t="s">
        <v>2527</v>
      </c>
      <c r="D2515" s="2" t="s">
        <v>2525</v>
      </c>
      <c r="E2515" s="2" t="s">
        <v>2534</v>
      </c>
      <c r="F2515" s="3">
        <v>22612</v>
      </c>
      <c r="G2515" s="3">
        <v>556</v>
      </c>
      <c r="H2515" s="3">
        <v>69</v>
      </c>
      <c r="I2515" s="4">
        <v>309.48</v>
      </c>
      <c r="J2515" s="4">
        <v>8846.8700000000008</v>
      </c>
      <c r="K2515" s="3">
        <v>35</v>
      </c>
      <c r="L2515" s="2" t="s">
        <v>2539</v>
      </c>
      <c r="M2515" s="2" t="s">
        <v>2546</v>
      </c>
      <c r="N2515" s="6">
        <f t="shared" si="156"/>
        <v>1</v>
      </c>
      <c r="O2515" t="str">
        <f>IF(Tabla_control[[#This Row],[Control_duplicados]]&gt;1,"Duplicado","Unico")</f>
        <v>Unico</v>
      </c>
      <c r="P2515" t="str">
        <f t="shared" si="157"/>
        <v>OK</v>
      </c>
      <c r="Q2515" t="str">
        <f t="shared" si="158"/>
        <v>OK</v>
      </c>
      <c r="R2515" t="str">
        <f t="shared" si="159"/>
        <v>OK</v>
      </c>
    </row>
    <row r="2516" spans="1:18" x14ac:dyDescent="0.3">
      <c r="A2516" s="1">
        <v>45877</v>
      </c>
      <c r="B2516" s="2" t="s">
        <v>2641</v>
      </c>
      <c r="C2516" s="2" t="s">
        <v>2543</v>
      </c>
      <c r="D2516" s="2" t="s">
        <v>2531</v>
      </c>
      <c r="E2516" s="2" t="s">
        <v>2529</v>
      </c>
      <c r="F2516" s="3">
        <v>23085</v>
      </c>
      <c r="G2516" s="3">
        <v>620</v>
      </c>
      <c r="H2516" s="3">
        <v>65</v>
      </c>
      <c r="I2516" s="4">
        <v>394.01</v>
      </c>
      <c r="J2516" s="4">
        <v>7554.21</v>
      </c>
      <c r="K2516" s="3">
        <v>51</v>
      </c>
      <c r="L2516" s="2" t="s">
        <v>2536</v>
      </c>
      <c r="M2516" s="2" t="s">
        <v>2526</v>
      </c>
      <c r="N2516" s="6">
        <f t="shared" si="156"/>
        <v>1</v>
      </c>
      <c r="O2516" t="str">
        <f>IF(Tabla_control[[#This Row],[Control_duplicados]]&gt;1,"Duplicado","Unico")</f>
        <v>Unico</v>
      </c>
      <c r="P2516" t="str">
        <f t="shared" si="157"/>
        <v>OK</v>
      </c>
      <c r="Q2516" t="str">
        <f t="shared" si="158"/>
        <v>OK</v>
      </c>
      <c r="R2516" t="str">
        <f t="shared" si="159"/>
        <v>OK</v>
      </c>
    </row>
    <row r="2517" spans="1:18" x14ac:dyDescent="0.3">
      <c r="A2517" s="1">
        <v>45824</v>
      </c>
      <c r="B2517" s="2" t="s">
        <v>2618</v>
      </c>
      <c r="C2517" s="2" t="s">
        <v>2527</v>
      </c>
      <c r="D2517" s="2" t="s">
        <v>2528</v>
      </c>
      <c r="E2517" s="2" t="s">
        <v>2534</v>
      </c>
      <c r="F2517" s="3">
        <v>130725</v>
      </c>
      <c r="G2517" s="3">
        <v>8984</v>
      </c>
      <c r="H2517" s="3">
        <v>845</v>
      </c>
      <c r="I2517" s="4">
        <v>6429.68</v>
      </c>
      <c r="J2517" s="4">
        <v>23900.85</v>
      </c>
      <c r="K2517" s="3">
        <v>526</v>
      </c>
      <c r="L2517" s="2" t="s">
        <v>2536</v>
      </c>
      <c r="M2517" s="2" t="s">
        <v>2537</v>
      </c>
      <c r="N2517" s="6">
        <f t="shared" si="156"/>
        <v>1</v>
      </c>
      <c r="O2517" t="str">
        <f>IF(Tabla_control[[#This Row],[Control_duplicados]]&gt;1,"Duplicado","Unico")</f>
        <v>Unico</v>
      </c>
      <c r="P2517" t="str">
        <f t="shared" si="157"/>
        <v>OK</v>
      </c>
      <c r="Q2517" t="str">
        <f t="shared" si="158"/>
        <v>OK</v>
      </c>
      <c r="R2517" t="str">
        <f t="shared" si="159"/>
        <v>OK</v>
      </c>
    </row>
    <row r="2518" spans="1:18" x14ac:dyDescent="0.3">
      <c r="A2518" s="1">
        <v>45877</v>
      </c>
      <c r="B2518" s="2" t="s">
        <v>2630</v>
      </c>
      <c r="C2518" s="2" t="s">
        <v>2543</v>
      </c>
      <c r="D2518" s="2" t="s">
        <v>2522</v>
      </c>
      <c r="E2518" s="2" t="s">
        <v>2517</v>
      </c>
      <c r="F2518" s="3">
        <v>48007</v>
      </c>
      <c r="G2518" s="3">
        <v>460</v>
      </c>
      <c r="H2518" s="3">
        <v>17</v>
      </c>
      <c r="I2518" s="4">
        <v>198.7</v>
      </c>
      <c r="J2518" s="4">
        <v>2338.36</v>
      </c>
      <c r="K2518" s="3">
        <v>10</v>
      </c>
      <c r="L2518" s="2" t="s">
        <v>2539</v>
      </c>
      <c r="M2518" s="2" t="s">
        <v>2537</v>
      </c>
      <c r="N2518" s="6">
        <f t="shared" si="156"/>
        <v>1</v>
      </c>
      <c r="O2518" t="str">
        <f>IF(Tabla_control[[#This Row],[Control_duplicados]]&gt;1,"Duplicado","Unico")</f>
        <v>Unico</v>
      </c>
      <c r="P2518" t="str">
        <f t="shared" si="157"/>
        <v>OK</v>
      </c>
      <c r="Q2518" t="str">
        <f t="shared" si="158"/>
        <v>OK</v>
      </c>
      <c r="R2518" t="str">
        <f t="shared" si="159"/>
        <v>OK</v>
      </c>
    </row>
    <row r="2519" spans="1:18" x14ac:dyDescent="0.3">
      <c r="A2519" s="1">
        <v>45726</v>
      </c>
      <c r="B2519" s="2" t="s">
        <v>2618</v>
      </c>
      <c r="C2519" s="2" t="s">
        <v>2521</v>
      </c>
      <c r="D2519" s="2" t="s">
        <v>2531</v>
      </c>
      <c r="E2519" s="2" t="s">
        <v>2529</v>
      </c>
      <c r="F2519" s="3">
        <v>47850</v>
      </c>
      <c r="G2519" s="3">
        <v>2712</v>
      </c>
      <c r="H2519" s="3">
        <v>173</v>
      </c>
      <c r="I2519" s="4">
        <v>906.58</v>
      </c>
      <c r="J2519" s="4">
        <v>28561.94</v>
      </c>
      <c r="K2519" s="3">
        <v>134</v>
      </c>
      <c r="L2519" s="2" t="s">
        <v>2536</v>
      </c>
      <c r="M2519" s="2" t="s">
        <v>2546</v>
      </c>
      <c r="N2519" s="6">
        <f t="shared" si="156"/>
        <v>1</v>
      </c>
      <c r="O2519" t="str">
        <f>IF(Tabla_control[[#This Row],[Control_duplicados]]&gt;1,"Duplicado","Unico")</f>
        <v>Unico</v>
      </c>
      <c r="P2519" t="str">
        <f t="shared" si="157"/>
        <v>OK</v>
      </c>
      <c r="Q2519" t="str">
        <f t="shared" si="158"/>
        <v>OK</v>
      </c>
      <c r="R2519" t="str">
        <f t="shared" si="159"/>
        <v>OK</v>
      </c>
    </row>
    <row r="2520" spans="1:18" x14ac:dyDescent="0.3">
      <c r="A2520" s="1">
        <v>45816</v>
      </c>
      <c r="B2520" s="2" t="s">
        <v>2627</v>
      </c>
      <c r="C2520" s="2" t="s">
        <v>2527</v>
      </c>
      <c r="D2520" s="2" t="s">
        <v>2531</v>
      </c>
      <c r="E2520" s="2" t="s">
        <v>2517</v>
      </c>
      <c r="F2520" s="3">
        <v>7238</v>
      </c>
      <c r="G2520" s="3">
        <v>222</v>
      </c>
      <c r="H2520" s="3">
        <v>7</v>
      </c>
      <c r="I2520" s="4">
        <v>191.93</v>
      </c>
      <c r="J2520" s="4">
        <v>513.34</v>
      </c>
      <c r="K2520" s="3">
        <v>4</v>
      </c>
      <c r="L2520" s="2" t="s">
        <v>2518</v>
      </c>
      <c r="M2520" s="2" t="s">
        <v>2546</v>
      </c>
      <c r="N2520" s="6">
        <f t="shared" si="156"/>
        <v>1</v>
      </c>
      <c r="O2520" t="str">
        <f>IF(Tabla_control[[#This Row],[Control_duplicados]]&gt;1,"Duplicado","Unico")</f>
        <v>Unico</v>
      </c>
      <c r="P2520" t="str">
        <f t="shared" si="157"/>
        <v>OK</v>
      </c>
      <c r="Q2520" t="str">
        <f t="shared" si="158"/>
        <v>OK</v>
      </c>
      <c r="R2520" t="str">
        <f t="shared" si="159"/>
        <v>OK</v>
      </c>
    </row>
    <row r="2521" spans="1:18" x14ac:dyDescent="0.3">
      <c r="A2521" s="1">
        <v>46012</v>
      </c>
      <c r="B2521" s="2" t="s">
        <v>2621</v>
      </c>
      <c r="C2521" s="2" t="s">
        <v>2645</v>
      </c>
      <c r="D2521" s="2" t="s">
        <v>2528</v>
      </c>
      <c r="E2521" s="2" t="s">
        <v>2534</v>
      </c>
      <c r="F2521" s="3">
        <v>78232</v>
      </c>
      <c r="G2521" s="3">
        <v>2412</v>
      </c>
      <c r="H2521" s="3">
        <v>78</v>
      </c>
      <c r="I2521" s="4">
        <v>2979.21</v>
      </c>
      <c r="J2521" s="4">
        <v>16485.61</v>
      </c>
      <c r="K2521" s="3">
        <v>35</v>
      </c>
      <c r="L2521" s="2" t="s">
        <v>2518</v>
      </c>
      <c r="M2521" s="2" t="s">
        <v>2526</v>
      </c>
      <c r="N2521" s="6">
        <f t="shared" si="156"/>
        <v>1</v>
      </c>
      <c r="O2521" t="str">
        <f>IF(Tabla_control[[#This Row],[Control_duplicados]]&gt;1,"Duplicado","Unico")</f>
        <v>Unico</v>
      </c>
      <c r="P2521" t="str">
        <f t="shared" si="157"/>
        <v>OK</v>
      </c>
      <c r="Q2521" t="str">
        <f t="shared" si="158"/>
        <v>OK</v>
      </c>
      <c r="R2521" t="str">
        <f t="shared" si="159"/>
        <v>OK</v>
      </c>
    </row>
    <row r="2522" spans="1:18" x14ac:dyDescent="0.3">
      <c r="A2522" s="1">
        <v>45718</v>
      </c>
      <c r="B2522" s="2" t="s">
        <v>2641</v>
      </c>
      <c r="C2522" s="2" t="s">
        <v>2521</v>
      </c>
      <c r="D2522" s="2" t="s">
        <v>2522</v>
      </c>
      <c r="E2522" s="2" t="s">
        <v>2517</v>
      </c>
      <c r="F2522" s="3">
        <v>32213</v>
      </c>
      <c r="G2522" s="3">
        <v>2076</v>
      </c>
      <c r="H2522" s="3">
        <v>275</v>
      </c>
      <c r="I2522" s="4">
        <v>3699.24</v>
      </c>
      <c r="J2522" s="4">
        <v>42238.89</v>
      </c>
      <c r="K2522" s="3">
        <v>192</v>
      </c>
      <c r="L2522" s="2" t="s">
        <v>2518</v>
      </c>
      <c r="M2522" s="2" t="s">
        <v>2546</v>
      </c>
      <c r="N2522" s="6">
        <f t="shared" si="156"/>
        <v>1</v>
      </c>
      <c r="O2522" t="str">
        <f>IF(Tabla_control[[#This Row],[Control_duplicados]]&gt;1,"Duplicado","Unico")</f>
        <v>Unico</v>
      </c>
      <c r="P2522" t="str">
        <f t="shared" si="157"/>
        <v>OK</v>
      </c>
      <c r="Q2522" t="str">
        <f t="shared" si="158"/>
        <v>OK</v>
      </c>
      <c r="R2522" t="str">
        <f t="shared" si="159"/>
        <v>OK</v>
      </c>
    </row>
    <row r="2523" spans="1:18" x14ac:dyDescent="0.3">
      <c r="A2523" s="1">
        <v>45852</v>
      </c>
      <c r="B2523" s="2" t="s">
        <v>2616</v>
      </c>
      <c r="C2523" s="2" t="s">
        <v>2521</v>
      </c>
      <c r="D2523" s="2" t="s">
        <v>2522</v>
      </c>
      <c r="E2523" s="2" t="s">
        <v>2517</v>
      </c>
      <c r="F2523" s="3">
        <v>149006</v>
      </c>
      <c r="G2523" s="3">
        <v>3937</v>
      </c>
      <c r="H2523" s="3">
        <v>528</v>
      </c>
      <c r="I2523" s="4">
        <v>4470.6099999999997</v>
      </c>
      <c r="J2523" s="4">
        <v>26721.05</v>
      </c>
      <c r="K2523" s="3">
        <v>429</v>
      </c>
      <c r="L2523" s="2" t="s">
        <v>2523</v>
      </c>
      <c r="M2523" s="2" t="s">
        <v>2537</v>
      </c>
      <c r="N2523" s="6">
        <f t="shared" si="156"/>
        <v>1</v>
      </c>
      <c r="O2523" t="str">
        <f>IF(Tabla_control[[#This Row],[Control_duplicados]]&gt;1,"Duplicado","Unico")</f>
        <v>Unico</v>
      </c>
      <c r="P2523" t="str">
        <f t="shared" si="157"/>
        <v>OK</v>
      </c>
      <c r="Q2523" t="str">
        <f t="shared" si="158"/>
        <v>OK</v>
      </c>
      <c r="R2523" t="str">
        <f t="shared" si="159"/>
        <v>OK</v>
      </c>
    </row>
    <row r="2524" spans="1:18" x14ac:dyDescent="0.3">
      <c r="A2524" s="1">
        <v>45713</v>
      </c>
      <c r="B2524" s="2" t="s">
        <v>2615</v>
      </c>
      <c r="C2524" s="2" t="s">
        <v>2541</v>
      </c>
      <c r="D2524" s="2" t="s">
        <v>2516</v>
      </c>
      <c r="E2524" s="2" t="s">
        <v>2529</v>
      </c>
      <c r="F2524" s="3">
        <v>123155</v>
      </c>
      <c r="G2524" s="3">
        <v>3529</v>
      </c>
      <c r="H2524" s="3">
        <v>413</v>
      </c>
      <c r="I2524" s="4">
        <v>7192.56</v>
      </c>
      <c r="J2524" s="4">
        <v>7697.17</v>
      </c>
      <c r="K2524" s="3">
        <v>250</v>
      </c>
      <c r="L2524" s="2" t="s">
        <v>2518</v>
      </c>
      <c r="M2524" s="2" t="s">
        <v>2526</v>
      </c>
      <c r="N2524" s="6">
        <f t="shared" si="156"/>
        <v>1</v>
      </c>
      <c r="O2524" t="str">
        <f>IF(Tabla_control[[#This Row],[Control_duplicados]]&gt;1,"Duplicado","Unico")</f>
        <v>Unico</v>
      </c>
      <c r="P2524" t="str">
        <f t="shared" si="157"/>
        <v>OK</v>
      </c>
      <c r="Q2524" t="str">
        <f t="shared" si="158"/>
        <v>OK</v>
      </c>
      <c r="R2524" t="str">
        <f t="shared" si="159"/>
        <v>OK</v>
      </c>
    </row>
    <row r="2525" spans="1:18" x14ac:dyDescent="0.3">
      <c r="A2525" s="1">
        <v>45942</v>
      </c>
      <c r="B2525" s="2" t="s">
        <v>2621</v>
      </c>
      <c r="C2525" s="2" t="s">
        <v>2541</v>
      </c>
      <c r="D2525" s="2" t="s">
        <v>2522</v>
      </c>
      <c r="E2525" s="2" t="s">
        <v>2517</v>
      </c>
      <c r="F2525" s="3">
        <v>115563</v>
      </c>
      <c r="G2525" s="3">
        <v>2064</v>
      </c>
      <c r="H2525" s="3">
        <v>67</v>
      </c>
      <c r="I2525" s="4">
        <v>1210.3599999999999</v>
      </c>
      <c r="J2525" s="4">
        <v>1247.69</v>
      </c>
      <c r="K2525" s="3">
        <v>41</v>
      </c>
      <c r="L2525" s="2" t="s">
        <v>2518</v>
      </c>
      <c r="M2525" s="2" t="s">
        <v>2537</v>
      </c>
      <c r="N2525" s="6">
        <f t="shared" si="156"/>
        <v>1</v>
      </c>
      <c r="O2525" t="str">
        <f>IF(Tabla_control[[#This Row],[Control_duplicados]]&gt;1,"Duplicado","Unico")</f>
        <v>Unico</v>
      </c>
      <c r="P2525" t="str">
        <f t="shared" si="157"/>
        <v>OK</v>
      </c>
      <c r="Q2525" t="str">
        <f t="shared" si="158"/>
        <v>OK</v>
      </c>
      <c r="R2525" t="str">
        <f t="shared" si="159"/>
        <v>OK</v>
      </c>
    </row>
    <row r="2526" spans="1:18" x14ac:dyDescent="0.3">
      <c r="A2526" s="1">
        <v>45978</v>
      </c>
      <c r="B2526" s="2" t="s">
        <v>2618</v>
      </c>
      <c r="C2526" s="2" t="s">
        <v>2527</v>
      </c>
      <c r="D2526" s="2" t="s">
        <v>2528</v>
      </c>
      <c r="E2526" s="2" t="s">
        <v>2517</v>
      </c>
      <c r="F2526" s="3">
        <v>106405</v>
      </c>
      <c r="G2526" s="3">
        <v>8369</v>
      </c>
      <c r="H2526" s="3">
        <v>72</v>
      </c>
      <c r="I2526" s="4">
        <v>6594.17</v>
      </c>
      <c r="J2526" s="4">
        <v>4302.41</v>
      </c>
      <c r="K2526" s="3">
        <v>34</v>
      </c>
      <c r="L2526" s="2" t="s">
        <v>2539</v>
      </c>
      <c r="M2526" s="2" t="s">
        <v>2546</v>
      </c>
      <c r="N2526" s="6">
        <f t="shared" si="156"/>
        <v>1</v>
      </c>
      <c r="O2526" t="str">
        <f>IF(Tabla_control[[#This Row],[Control_duplicados]]&gt;1,"Duplicado","Unico")</f>
        <v>Unico</v>
      </c>
      <c r="P2526" t="str">
        <f t="shared" si="157"/>
        <v>OK</v>
      </c>
      <c r="Q2526" t="str">
        <f t="shared" si="158"/>
        <v>OK</v>
      </c>
      <c r="R2526" t="str">
        <f t="shared" si="159"/>
        <v>OK</v>
      </c>
    </row>
    <row r="2527" spans="1:18" x14ac:dyDescent="0.3">
      <c r="A2527" s="1">
        <v>45750</v>
      </c>
      <c r="B2527" s="2" t="s">
        <v>2623</v>
      </c>
      <c r="C2527" s="2" t="s">
        <v>2543</v>
      </c>
      <c r="D2527" s="2" t="s">
        <v>2528</v>
      </c>
      <c r="E2527" s="2" t="s">
        <v>2534</v>
      </c>
      <c r="F2527" s="3">
        <v>1167</v>
      </c>
      <c r="G2527" s="3">
        <v>32</v>
      </c>
      <c r="H2527" s="3">
        <v>3</v>
      </c>
      <c r="I2527" s="4">
        <v>61.24</v>
      </c>
      <c r="J2527" s="4">
        <v>513.97</v>
      </c>
      <c r="K2527" s="3">
        <v>2</v>
      </c>
      <c r="L2527" s="2" t="s">
        <v>2539</v>
      </c>
      <c r="M2527" s="2" t="s">
        <v>2546</v>
      </c>
      <c r="N2527" s="6">
        <f t="shared" si="156"/>
        <v>1</v>
      </c>
      <c r="O2527" t="str">
        <f>IF(Tabla_control[[#This Row],[Control_duplicados]]&gt;1,"Duplicado","Unico")</f>
        <v>Unico</v>
      </c>
      <c r="P2527" t="str">
        <f t="shared" si="157"/>
        <v>OK</v>
      </c>
      <c r="Q2527" t="str">
        <f t="shared" si="158"/>
        <v>OK</v>
      </c>
      <c r="R2527" t="str">
        <f t="shared" si="159"/>
        <v>OK</v>
      </c>
    </row>
    <row r="2528" spans="1:18" x14ac:dyDescent="0.3">
      <c r="A2528" s="1">
        <v>45947</v>
      </c>
      <c r="B2528" s="2" t="s">
        <v>2632</v>
      </c>
      <c r="C2528" s="2" t="s">
        <v>2533</v>
      </c>
      <c r="D2528" s="2" t="s">
        <v>2522</v>
      </c>
      <c r="E2528" s="2" t="s">
        <v>2517</v>
      </c>
      <c r="F2528" s="3">
        <v>41277</v>
      </c>
      <c r="G2528" s="3">
        <v>2138</v>
      </c>
      <c r="H2528" s="3">
        <v>116</v>
      </c>
      <c r="I2528" s="4">
        <v>2479.83</v>
      </c>
      <c r="J2528" s="4">
        <v>11289.34</v>
      </c>
      <c r="K2528" s="3">
        <v>97</v>
      </c>
      <c r="L2528" s="2" t="s">
        <v>2536</v>
      </c>
      <c r="M2528" s="2" t="s">
        <v>2546</v>
      </c>
      <c r="N2528" s="6">
        <f t="shared" si="156"/>
        <v>1</v>
      </c>
      <c r="O2528" t="str">
        <f>IF(Tabla_control[[#This Row],[Control_duplicados]]&gt;1,"Duplicado","Unico")</f>
        <v>Unico</v>
      </c>
      <c r="P2528" t="str">
        <f t="shared" si="157"/>
        <v>OK</v>
      </c>
      <c r="Q2528" t="str">
        <f t="shared" si="158"/>
        <v>OK</v>
      </c>
      <c r="R2528" t="str">
        <f t="shared" si="159"/>
        <v>OK</v>
      </c>
    </row>
    <row r="2529" spans="1:18" x14ac:dyDescent="0.3">
      <c r="A2529" s="1">
        <v>45784</v>
      </c>
      <c r="B2529" s="2" t="s">
        <v>2622</v>
      </c>
      <c r="C2529" s="2" t="s">
        <v>2533</v>
      </c>
      <c r="D2529" s="2" t="s">
        <v>2531</v>
      </c>
      <c r="E2529" s="2" t="s">
        <v>2517</v>
      </c>
      <c r="F2529" s="3">
        <v>18037</v>
      </c>
      <c r="G2529" s="3">
        <v>1119</v>
      </c>
      <c r="H2529" s="3">
        <v>84</v>
      </c>
      <c r="I2529" s="4">
        <v>2288.3000000000002</v>
      </c>
      <c r="J2529" s="4">
        <v>4991.54</v>
      </c>
      <c r="K2529" s="3">
        <v>64</v>
      </c>
      <c r="L2529" s="2" t="s">
        <v>2539</v>
      </c>
      <c r="M2529" s="2" t="s">
        <v>2526</v>
      </c>
      <c r="N2529" s="6">
        <f t="shared" si="156"/>
        <v>1</v>
      </c>
      <c r="O2529" t="str">
        <f>IF(Tabla_control[[#This Row],[Control_duplicados]]&gt;1,"Duplicado","Unico")</f>
        <v>Unico</v>
      </c>
      <c r="P2529" t="str">
        <f t="shared" si="157"/>
        <v>OK</v>
      </c>
      <c r="Q2529" t="str">
        <f t="shared" si="158"/>
        <v>OK</v>
      </c>
      <c r="R2529" t="str">
        <f t="shared" si="159"/>
        <v>OK</v>
      </c>
    </row>
    <row r="2530" spans="1:18" x14ac:dyDescent="0.3">
      <c r="A2530" s="1">
        <v>45945</v>
      </c>
      <c r="B2530" s="2" t="s">
        <v>2643</v>
      </c>
      <c r="C2530" s="2" t="s">
        <v>2521</v>
      </c>
      <c r="D2530" s="2" t="s">
        <v>2528</v>
      </c>
      <c r="E2530" s="2" t="s">
        <v>2517</v>
      </c>
      <c r="F2530" s="3">
        <v>95850</v>
      </c>
      <c r="G2530" s="3">
        <v>672</v>
      </c>
      <c r="H2530" s="3">
        <v>70</v>
      </c>
      <c r="I2530" s="4">
        <v>1199.28</v>
      </c>
      <c r="J2530" s="4">
        <v>11956.39</v>
      </c>
      <c r="K2530" s="3">
        <v>46</v>
      </c>
      <c r="L2530" s="2" t="s">
        <v>2536</v>
      </c>
      <c r="M2530" s="2" t="s">
        <v>2537</v>
      </c>
      <c r="N2530" s="6">
        <f t="shared" si="156"/>
        <v>1</v>
      </c>
      <c r="O2530" t="str">
        <f>IF(Tabla_control[[#This Row],[Control_duplicados]]&gt;1,"Duplicado","Unico")</f>
        <v>Unico</v>
      </c>
      <c r="P2530" t="str">
        <f t="shared" si="157"/>
        <v>OK</v>
      </c>
      <c r="Q2530" t="str">
        <f t="shared" si="158"/>
        <v>OK</v>
      </c>
      <c r="R2530" t="str">
        <f t="shared" si="159"/>
        <v>OK</v>
      </c>
    </row>
    <row r="2531" spans="1:18" x14ac:dyDescent="0.3">
      <c r="A2531" s="1">
        <v>45664</v>
      </c>
      <c r="B2531" s="2" t="s">
        <v>2636</v>
      </c>
      <c r="C2531" s="2" t="s">
        <v>2527</v>
      </c>
      <c r="D2531" s="2" t="s">
        <v>2516</v>
      </c>
      <c r="E2531" s="2" t="s">
        <v>2517</v>
      </c>
      <c r="F2531" s="3">
        <v>63519</v>
      </c>
      <c r="G2531" s="3">
        <v>3811</v>
      </c>
      <c r="H2531" s="3">
        <v>415</v>
      </c>
      <c r="I2531" s="4">
        <v>5741.06</v>
      </c>
      <c r="J2531" s="4">
        <v>38183.360000000001</v>
      </c>
      <c r="K2531" s="3">
        <v>328</v>
      </c>
      <c r="L2531" s="2" t="s">
        <v>2536</v>
      </c>
      <c r="M2531" s="2" t="s">
        <v>2519</v>
      </c>
      <c r="N2531" s="6">
        <f t="shared" si="156"/>
        <v>1</v>
      </c>
      <c r="O2531" t="str">
        <f>IF(Tabla_control[[#This Row],[Control_duplicados]]&gt;1,"Duplicado","Unico")</f>
        <v>Unico</v>
      </c>
      <c r="P2531" t="str">
        <f t="shared" si="157"/>
        <v>OK</v>
      </c>
      <c r="Q2531" t="str">
        <f t="shared" si="158"/>
        <v>OK</v>
      </c>
      <c r="R2531" t="str">
        <f t="shared" si="159"/>
        <v>OK</v>
      </c>
    </row>
    <row r="2532" spans="1:18" x14ac:dyDescent="0.3">
      <c r="A2532" s="1">
        <v>45675</v>
      </c>
      <c r="B2532" s="2" t="s">
        <v>2631</v>
      </c>
      <c r="C2532" s="2" t="s">
        <v>2521</v>
      </c>
      <c r="D2532" s="2" t="s">
        <v>2531</v>
      </c>
      <c r="E2532" s="2" t="s">
        <v>2517</v>
      </c>
      <c r="F2532" s="3">
        <v>141247</v>
      </c>
      <c r="G2532" s="3">
        <v>10050</v>
      </c>
      <c r="H2532" s="3">
        <v>89</v>
      </c>
      <c r="I2532" s="4">
        <v>9195.42</v>
      </c>
      <c r="J2532" s="4">
        <v>2930.77</v>
      </c>
      <c r="K2532" s="3">
        <v>78</v>
      </c>
      <c r="L2532" s="2" t="s">
        <v>2523</v>
      </c>
      <c r="M2532" s="2" t="s">
        <v>2546</v>
      </c>
      <c r="N2532" s="6">
        <f t="shared" si="156"/>
        <v>1</v>
      </c>
      <c r="O2532" t="str">
        <f>IF(Tabla_control[[#This Row],[Control_duplicados]]&gt;1,"Duplicado","Unico")</f>
        <v>Unico</v>
      </c>
      <c r="P2532" t="str">
        <f t="shared" si="157"/>
        <v>OK</v>
      </c>
      <c r="Q2532" t="str">
        <f t="shared" si="158"/>
        <v>OK</v>
      </c>
      <c r="R2532" t="str">
        <f t="shared" si="159"/>
        <v>OK</v>
      </c>
    </row>
    <row r="2533" spans="1:18" x14ac:dyDescent="0.3">
      <c r="A2533" s="1">
        <v>45853</v>
      </c>
      <c r="B2533" s="2" t="s">
        <v>2632</v>
      </c>
      <c r="C2533" s="2" t="s">
        <v>2527</v>
      </c>
      <c r="D2533" s="2" t="s">
        <v>2525</v>
      </c>
      <c r="E2533" s="2" t="s">
        <v>2529</v>
      </c>
      <c r="F2533" s="3">
        <v>43257</v>
      </c>
      <c r="G2533" s="3">
        <v>200</v>
      </c>
      <c r="H2533" s="3">
        <v>3</v>
      </c>
      <c r="I2533" s="4">
        <v>248.41</v>
      </c>
      <c r="J2533" s="4">
        <v>253.61</v>
      </c>
      <c r="K2533" s="3">
        <v>2</v>
      </c>
      <c r="L2533" s="2" t="s">
        <v>2536</v>
      </c>
      <c r="M2533" s="2" t="s">
        <v>2524</v>
      </c>
      <c r="N2533" s="6">
        <f t="shared" si="156"/>
        <v>1</v>
      </c>
      <c r="O2533" t="str">
        <f>IF(Tabla_control[[#This Row],[Control_duplicados]]&gt;1,"Duplicado","Unico")</f>
        <v>Unico</v>
      </c>
      <c r="P2533" t="str">
        <f t="shared" si="157"/>
        <v>OK</v>
      </c>
      <c r="Q2533" t="str">
        <f t="shared" si="158"/>
        <v>OK</v>
      </c>
      <c r="R2533" t="str">
        <f t="shared" si="159"/>
        <v>OK</v>
      </c>
    </row>
    <row r="2534" spans="1:18" x14ac:dyDescent="0.3">
      <c r="A2534" s="1">
        <v>45797</v>
      </c>
      <c r="B2534" s="2" t="s">
        <v>2619</v>
      </c>
      <c r="C2534" s="2" t="s">
        <v>2541</v>
      </c>
      <c r="D2534" s="2" t="s">
        <v>2525</v>
      </c>
      <c r="E2534" s="2" t="s">
        <v>2517</v>
      </c>
      <c r="F2534" s="3">
        <v>91559</v>
      </c>
      <c r="G2534" s="3">
        <v>1844</v>
      </c>
      <c r="H2534" s="3">
        <v>115</v>
      </c>
      <c r="I2534" s="4">
        <v>2847.34</v>
      </c>
      <c r="J2534" s="4">
        <v>8008.23</v>
      </c>
      <c r="K2534" s="3">
        <v>84</v>
      </c>
      <c r="L2534" s="2" t="s">
        <v>2523</v>
      </c>
      <c r="M2534" s="2" t="s">
        <v>2519</v>
      </c>
      <c r="N2534" s="6">
        <f t="shared" si="156"/>
        <v>1</v>
      </c>
      <c r="O2534" t="str">
        <f>IF(Tabla_control[[#This Row],[Control_duplicados]]&gt;1,"Duplicado","Unico")</f>
        <v>Unico</v>
      </c>
      <c r="P2534" t="str">
        <f t="shared" si="157"/>
        <v>OK</v>
      </c>
      <c r="Q2534" t="str">
        <f t="shared" si="158"/>
        <v>OK</v>
      </c>
      <c r="R2534" t="str">
        <f t="shared" si="159"/>
        <v>OK</v>
      </c>
    </row>
    <row r="2535" spans="1:18" x14ac:dyDescent="0.3">
      <c r="A2535" s="1">
        <v>45777</v>
      </c>
      <c r="B2535" s="2" t="s">
        <v>2640</v>
      </c>
      <c r="C2535" s="2" t="s">
        <v>2543</v>
      </c>
      <c r="D2535" s="2" t="s">
        <v>2522</v>
      </c>
      <c r="E2535" s="2" t="s">
        <v>2534</v>
      </c>
      <c r="F2535" s="3">
        <v>165506</v>
      </c>
      <c r="G2535" s="3">
        <v>1188</v>
      </c>
      <c r="H2535" s="3">
        <v>92</v>
      </c>
      <c r="I2535" s="4">
        <v>148.47999999999999</v>
      </c>
      <c r="J2535" s="4">
        <v>5724.74</v>
      </c>
      <c r="K2535" s="3">
        <v>58</v>
      </c>
      <c r="L2535" s="2" t="s">
        <v>2518</v>
      </c>
      <c r="M2535" s="2" t="s">
        <v>2519</v>
      </c>
      <c r="N2535" s="6">
        <f t="shared" si="156"/>
        <v>1</v>
      </c>
      <c r="O2535" t="str">
        <f>IF(Tabla_control[[#This Row],[Control_duplicados]]&gt;1,"Duplicado","Unico")</f>
        <v>Unico</v>
      </c>
      <c r="P2535" t="str">
        <f t="shared" si="157"/>
        <v>OK</v>
      </c>
      <c r="Q2535" t="str">
        <f t="shared" si="158"/>
        <v>OK</v>
      </c>
      <c r="R2535" t="str">
        <f t="shared" si="159"/>
        <v>OK</v>
      </c>
    </row>
    <row r="2536" spans="1:18" x14ac:dyDescent="0.3">
      <c r="A2536" s="1">
        <v>45793</v>
      </c>
      <c r="B2536" s="2" t="s">
        <v>2629</v>
      </c>
      <c r="C2536" s="2" t="s">
        <v>2515</v>
      </c>
      <c r="D2536" s="2" t="s">
        <v>2531</v>
      </c>
      <c r="E2536" s="2" t="s">
        <v>2529</v>
      </c>
      <c r="F2536" s="3">
        <v>3038</v>
      </c>
      <c r="G2536" s="3">
        <v>193</v>
      </c>
      <c r="H2536" s="3">
        <v>24</v>
      </c>
      <c r="I2536" s="4">
        <v>303.76</v>
      </c>
      <c r="J2536" s="4">
        <v>4454.33</v>
      </c>
      <c r="K2536" s="3">
        <v>18</v>
      </c>
      <c r="L2536" s="2" t="s">
        <v>2518</v>
      </c>
      <c r="M2536" s="2" t="s">
        <v>2524</v>
      </c>
      <c r="N2536" s="6">
        <f t="shared" si="156"/>
        <v>1</v>
      </c>
      <c r="O2536" t="str">
        <f>IF(Tabla_control[[#This Row],[Control_duplicados]]&gt;1,"Duplicado","Unico")</f>
        <v>Unico</v>
      </c>
      <c r="P2536" t="str">
        <f t="shared" si="157"/>
        <v>OK</v>
      </c>
      <c r="Q2536" t="str">
        <f t="shared" si="158"/>
        <v>OK</v>
      </c>
      <c r="R2536" t="str">
        <f t="shared" si="159"/>
        <v>OK</v>
      </c>
    </row>
  </sheetData>
  <mergeCells count="1">
    <mergeCell ref="U3:V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81B7-0F1F-45FE-8649-CB1D15C26A5F}">
  <dimension ref="A1:P2520"/>
  <sheetViews>
    <sheetView topLeftCell="C3" workbookViewId="0">
      <selection activeCell="O6" sqref="O6"/>
    </sheetView>
  </sheetViews>
  <sheetFormatPr baseColWidth="10" defaultRowHeight="12" x14ac:dyDescent="0.3"/>
  <cols>
    <col min="1" max="1" width="11.5546875" style="1"/>
    <col min="2" max="2" width="13.77734375" style="2" customWidth="1"/>
    <col min="3" max="4" width="11.5546875" style="2"/>
    <col min="5" max="5" width="12.5546875" style="2" customWidth="1"/>
    <col min="6" max="6" width="13.5546875" style="3" customWidth="1"/>
    <col min="7" max="7" width="11.5546875" style="3"/>
    <col min="8" max="8" width="14.33203125" style="3" customWidth="1"/>
    <col min="9" max="9" width="12.21875" style="4" customWidth="1"/>
    <col min="10" max="10" width="14.21875" style="4" customWidth="1"/>
    <col min="11" max="11" width="17" style="3" customWidth="1"/>
    <col min="12" max="12" width="15.5546875" style="2" customWidth="1"/>
    <col min="13" max="13" width="13.88671875" style="2" customWidth="1"/>
    <col min="15" max="15" width="20.5546875" bestFit="1" customWidth="1"/>
  </cols>
  <sheetData>
    <row r="1" spans="1:16" x14ac:dyDescent="0.3">
      <c r="A1" s="1" t="s">
        <v>2501</v>
      </c>
      <c r="B1" s="2" t="s">
        <v>2502</v>
      </c>
      <c r="C1" s="2" t="s">
        <v>2503</v>
      </c>
      <c r="D1" s="2" t="s">
        <v>2504</v>
      </c>
      <c r="E1" s="2" t="s">
        <v>2505</v>
      </c>
      <c r="F1" s="3" t="s">
        <v>2506</v>
      </c>
      <c r="G1" s="3" t="s">
        <v>2507</v>
      </c>
      <c r="H1" s="3" t="s">
        <v>2508</v>
      </c>
      <c r="I1" s="4" t="s">
        <v>2509</v>
      </c>
      <c r="J1" s="4" t="s">
        <v>2510</v>
      </c>
      <c r="K1" s="3" t="s">
        <v>2511</v>
      </c>
      <c r="L1" s="2" t="s">
        <v>2512</v>
      </c>
      <c r="M1" s="2" t="s">
        <v>2513</v>
      </c>
    </row>
    <row r="2" spans="1:16" x14ac:dyDescent="0.3">
      <c r="A2" s="1">
        <v>45868</v>
      </c>
      <c r="B2" s="2" t="s">
        <v>2615</v>
      </c>
      <c r="C2" s="2" t="s">
        <v>2515</v>
      </c>
      <c r="D2" s="2" t="s">
        <v>2516</v>
      </c>
      <c r="E2" s="2" t="s">
        <v>2517</v>
      </c>
      <c r="F2" s="3">
        <v>129041</v>
      </c>
      <c r="G2" s="3">
        <v>9255</v>
      </c>
      <c r="H2" s="3">
        <v>1081</v>
      </c>
      <c r="I2" s="4">
        <v>4728.1400000000003</v>
      </c>
      <c r="J2" s="4">
        <v>195401.22</v>
      </c>
      <c r="K2" s="3">
        <v>926</v>
      </c>
      <c r="L2" s="2" t="s">
        <v>2518</v>
      </c>
      <c r="M2" s="2" t="s">
        <v>2519</v>
      </c>
    </row>
    <row r="3" spans="1:16" x14ac:dyDescent="0.3">
      <c r="A3" s="1">
        <v>45779</v>
      </c>
      <c r="B3" s="2" t="s">
        <v>2616</v>
      </c>
      <c r="C3" s="2" t="s">
        <v>2521</v>
      </c>
      <c r="D3" s="2" t="s">
        <v>2522</v>
      </c>
      <c r="E3" s="2" t="s">
        <v>2517</v>
      </c>
      <c r="F3" s="3">
        <v>50677</v>
      </c>
      <c r="G3" s="3">
        <v>4047</v>
      </c>
      <c r="H3" s="3">
        <v>409</v>
      </c>
      <c r="I3" s="4">
        <v>6481.73</v>
      </c>
      <c r="J3" s="4">
        <v>65100.85</v>
      </c>
      <c r="K3" s="3">
        <v>249</v>
      </c>
      <c r="L3" s="2" t="s">
        <v>2523</v>
      </c>
      <c r="M3" s="2" t="s">
        <v>2524</v>
      </c>
    </row>
    <row r="4" spans="1:16" x14ac:dyDescent="0.3">
      <c r="A4" s="1">
        <v>45662</v>
      </c>
      <c r="B4" s="2" t="s">
        <v>2616</v>
      </c>
      <c r="C4" s="2" t="s">
        <v>2515</v>
      </c>
      <c r="D4" s="2" t="s">
        <v>2525</v>
      </c>
      <c r="E4" s="2" t="s">
        <v>2517</v>
      </c>
      <c r="F4" s="3">
        <v>12070</v>
      </c>
      <c r="G4" s="3">
        <v>959</v>
      </c>
      <c r="H4" s="3">
        <v>57</v>
      </c>
      <c r="I4" s="4">
        <v>1465.19</v>
      </c>
      <c r="J4" s="4">
        <v>7772.79</v>
      </c>
      <c r="K4" s="3">
        <v>31</v>
      </c>
      <c r="L4" s="2" t="s">
        <v>2523</v>
      </c>
      <c r="M4" s="2" t="s">
        <v>2526</v>
      </c>
      <c r="O4" t="s">
        <v>2605</v>
      </c>
      <c r="P4">
        <f>COUNTA(Tabla_limpios[Fecha])</f>
        <v>2484</v>
      </c>
    </row>
    <row r="5" spans="1:16" x14ac:dyDescent="0.3">
      <c r="A5" s="1">
        <v>45815</v>
      </c>
      <c r="B5" s="2" t="s">
        <v>2615</v>
      </c>
      <c r="C5" s="2" t="s">
        <v>2527</v>
      </c>
      <c r="D5" s="2" t="s">
        <v>2528</v>
      </c>
      <c r="E5" s="2" t="s">
        <v>2529</v>
      </c>
      <c r="F5" s="3">
        <v>114121</v>
      </c>
      <c r="G5" s="3">
        <v>890</v>
      </c>
      <c r="H5" s="3">
        <v>114</v>
      </c>
      <c r="I5" s="4">
        <v>1196.8</v>
      </c>
      <c r="J5" s="4">
        <v>24221.439999999999</v>
      </c>
      <c r="K5" s="3">
        <v>52</v>
      </c>
      <c r="L5" s="2" t="s">
        <v>2518</v>
      </c>
      <c r="M5" s="2" t="s">
        <v>2524</v>
      </c>
    </row>
    <row r="6" spans="1:16" x14ac:dyDescent="0.3">
      <c r="A6" s="1">
        <v>45916</v>
      </c>
      <c r="B6" s="2" t="s">
        <v>2617</v>
      </c>
      <c r="C6" s="2" t="s">
        <v>2521</v>
      </c>
      <c r="D6" s="2" t="s">
        <v>2531</v>
      </c>
      <c r="E6" s="2" t="s">
        <v>2517</v>
      </c>
      <c r="F6" s="3">
        <v>123994</v>
      </c>
      <c r="G6" s="3">
        <v>5563</v>
      </c>
      <c r="H6" s="3">
        <v>308</v>
      </c>
      <c r="I6" s="4">
        <v>1315.48</v>
      </c>
      <c r="J6" s="4">
        <v>47341.08</v>
      </c>
      <c r="K6" s="3">
        <v>254</v>
      </c>
      <c r="L6" s="2" t="s">
        <v>2518</v>
      </c>
      <c r="M6" s="2" t="s">
        <v>2524</v>
      </c>
    </row>
    <row r="7" spans="1:16" x14ac:dyDescent="0.3">
      <c r="A7" s="1">
        <v>45934</v>
      </c>
      <c r="B7" s="2" t="s">
        <v>2618</v>
      </c>
      <c r="C7" s="2" t="s">
        <v>2533</v>
      </c>
      <c r="D7" s="2" t="s">
        <v>2531</v>
      </c>
      <c r="E7" s="2" t="s">
        <v>2534</v>
      </c>
      <c r="F7" s="3">
        <v>170534</v>
      </c>
      <c r="G7" s="3">
        <v>7543</v>
      </c>
      <c r="H7" s="3">
        <v>96</v>
      </c>
      <c r="I7" s="4">
        <v>10662.79</v>
      </c>
      <c r="J7" s="4">
        <v>15691.35</v>
      </c>
      <c r="K7" s="3">
        <v>51</v>
      </c>
      <c r="L7" s="2" t="s">
        <v>2518</v>
      </c>
      <c r="M7" s="2" t="s">
        <v>2519</v>
      </c>
    </row>
    <row r="8" spans="1:16" x14ac:dyDescent="0.3">
      <c r="A8" s="1">
        <v>45828</v>
      </c>
      <c r="B8" s="2" t="s">
        <v>2619</v>
      </c>
      <c r="C8" s="2" t="s">
        <v>2515</v>
      </c>
      <c r="D8" s="2" t="s">
        <v>2525</v>
      </c>
      <c r="E8" s="2" t="s">
        <v>2534</v>
      </c>
      <c r="F8" s="3">
        <v>84579</v>
      </c>
      <c r="G8" s="3">
        <v>3855</v>
      </c>
      <c r="H8" s="3">
        <v>121</v>
      </c>
      <c r="I8" s="4">
        <v>7967.14</v>
      </c>
      <c r="J8" s="4">
        <v>12733.03</v>
      </c>
      <c r="K8" s="3">
        <v>58</v>
      </c>
      <c r="L8" s="2" t="s">
        <v>2536</v>
      </c>
      <c r="M8" s="2" t="s">
        <v>2537</v>
      </c>
    </row>
    <row r="9" spans="1:16" x14ac:dyDescent="0.3">
      <c r="A9" s="1">
        <v>45941</v>
      </c>
      <c r="B9" s="2" t="s">
        <v>2620</v>
      </c>
      <c r="C9" s="2" t="s">
        <v>2527</v>
      </c>
      <c r="D9" s="2" t="s">
        <v>2531</v>
      </c>
      <c r="E9" s="2" t="s">
        <v>2529</v>
      </c>
      <c r="F9" s="3">
        <v>125454</v>
      </c>
      <c r="G9" s="3">
        <v>7459</v>
      </c>
      <c r="H9" s="3">
        <v>507</v>
      </c>
      <c r="I9" s="4">
        <v>14866.14</v>
      </c>
      <c r="J9" s="4">
        <v>74384.02</v>
      </c>
      <c r="K9" s="3">
        <v>356</v>
      </c>
      <c r="L9" s="2" t="s">
        <v>2539</v>
      </c>
      <c r="M9" s="2" t="s">
        <v>2526</v>
      </c>
      <c r="O9" s="5"/>
    </row>
    <row r="10" spans="1:16" x14ac:dyDescent="0.3">
      <c r="A10" s="1">
        <v>45908</v>
      </c>
      <c r="B10" s="2" t="s">
        <v>2621</v>
      </c>
      <c r="C10" s="2" t="s">
        <v>2521</v>
      </c>
      <c r="D10" s="2" t="s">
        <v>2531</v>
      </c>
      <c r="E10" s="2" t="s">
        <v>2517</v>
      </c>
      <c r="F10" s="3">
        <v>147026</v>
      </c>
      <c r="G10" s="3">
        <v>2076</v>
      </c>
      <c r="H10" s="3">
        <v>174</v>
      </c>
      <c r="I10" s="4">
        <v>574.54999999999995</v>
      </c>
      <c r="J10" s="4">
        <v>13381.79</v>
      </c>
      <c r="K10" s="3">
        <v>125</v>
      </c>
      <c r="L10" s="2" t="s">
        <v>2539</v>
      </c>
      <c r="M10" s="2" t="s">
        <v>2524</v>
      </c>
    </row>
    <row r="11" spans="1:16" x14ac:dyDescent="0.3">
      <c r="A11" s="1">
        <v>45974</v>
      </c>
      <c r="B11" s="2" t="s">
        <v>2615</v>
      </c>
      <c r="C11" s="2" t="s">
        <v>2541</v>
      </c>
      <c r="D11" s="2" t="s">
        <v>2525</v>
      </c>
      <c r="E11" s="2" t="s">
        <v>2529</v>
      </c>
      <c r="F11" s="3">
        <v>8375</v>
      </c>
      <c r="G11" s="3">
        <v>469</v>
      </c>
      <c r="H11" s="3">
        <v>33</v>
      </c>
      <c r="I11" s="4">
        <v>672.99</v>
      </c>
      <c r="J11" s="4">
        <v>5104.2299999999996</v>
      </c>
      <c r="K11" s="3">
        <v>18</v>
      </c>
      <c r="L11" s="2" t="s">
        <v>2539</v>
      </c>
      <c r="M11" s="2" t="s">
        <v>2537</v>
      </c>
    </row>
    <row r="12" spans="1:16" x14ac:dyDescent="0.3">
      <c r="A12" s="1">
        <v>45838</v>
      </c>
      <c r="B12" s="2" t="s">
        <v>2622</v>
      </c>
      <c r="C12" s="2" t="s">
        <v>2543</v>
      </c>
      <c r="D12" s="2" t="s">
        <v>2528</v>
      </c>
      <c r="E12" s="2" t="s">
        <v>2517</v>
      </c>
      <c r="F12" s="3">
        <v>169640</v>
      </c>
      <c r="G12" s="3">
        <v>13188</v>
      </c>
      <c r="H12" s="3">
        <v>1573</v>
      </c>
      <c r="I12" s="4">
        <v>3188.1</v>
      </c>
      <c r="J12" s="4">
        <v>158029.53</v>
      </c>
      <c r="K12" s="3">
        <v>1309</v>
      </c>
      <c r="L12" s="2" t="s">
        <v>2523</v>
      </c>
      <c r="M12" s="2" t="s">
        <v>2524</v>
      </c>
    </row>
    <row r="13" spans="1:16" x14ac:dyDescent="0.3">
      <c r="A13" s="1">
        <v>45697</v>
      </c>
      <c r="B13" s="2" t="s">
        <v>2623</v>
      </c>
      <c r="C13" s="2" t="s">
        <v>2515</v>
      </c>
      <c r="D13" s="2" t="s">
        <v>2528</v>
      </c>
      <c r="E13" s="2" t="s">
        <v>2517</v>
      </c>
      <c r="F13" s="3">
        <v>1815</v>
      </c>
      <c r="G13" s="3">
        <v>46</v>
      </c>
      <c r="H13" s="3">
        <v>1</v>
      </c>
      <c r="I13" s="4">
        <v>54.04</v>
      </c>
      <c r="J13" s="4">
        <v>192.07</v>
      </c>
      <c r="K13" s="3">
        <v>0</v>
      </c>
      <c r="L13" s="2" t="s">
        <v>2539</v>
      </c>
      <c r="M13" s="2" t="s">
        <v>2537</v>
      </c>
    </row>
    <row r="14" spans="1:16" x14ac:dyDescent="0.3">
      <c r="A14" s="1">
        <v>45992</v>
      </c>
      <c r="B14" s="2" t="s">
        <v>2624</v>
      </c>
      <c r="C14" s="2" t="s">
        <v>2533</v>
      </c>
      <c r="D14" s="2" t="s">
        <v>2528</v>
      </c>
      <c r="E14" s="2" t="s">
        <v>2529</v>
      </c>
      <c r="F14" s="3">
        <v>58400</v>
      </c>
      <c r="G14" s="3">
        <v>2796</v>
      </c>
      <c r="H14" s="3">
        <v>80</v>
      </c>
      <c r="I14" s="4">
        <v>361.39</v>
      </c>
      <c r="J14" s="4">
        <v>8867.74</v>
      </c>
      <c r="K14" s="3">
        <v>71</v>
      </c>
      <c r="L14" s="2" t="s">
        <v>2536</v>
      </c>
      <c r="M14" s="2" t="s">
        <v>2546</v>
      </c>
    </row>
    <row r="15" spans="1:16" x14ac:dyDescent="0.3">
      <c r="A15" s="1">
        <v>45688</v>
      </c>
      <c r="B15" s="2" t="s">
        <v>2625</v>
      </c>
      <c r="C15" s="2" t="s">
        <v>2541</v>
      </c>
      <c r="D15" s="2" t="s">
        <v>2516</v>
      </c>
      <c r="E15" s="2" t="s">
        <v>2517</v>
      </c>
      <c r="F15" s="3">
        <v>95164</v>
      </c>
      <c r="G15" s="3">
        <v>467</v>
      </c>
      <c r="H15" s="3">
        <v>54</v>
      </c>
      <c r="I15" s="4">
        <v>899.8</v>
      </c>
      <c r="J15" s="4">
        <v>8314.82</v>
      </c>
      <c r="K15" s="3">
        <v>33</v>
      </c>
      <c r="L15" s="2" t="s">
        <v>2523</v>
      </c>
      <c r="M15" s="2" t="s">
        <v>2519</v>
      </c>
      <c r="P15" s="8"/>
    </row>
    <row r="16" spans="1:16" x14ac:dyDescent="0.3">
      <c r="A16" s="1">
        <v>45938</v>
      </c>
      <c r="B16" s="2" t="s">
        <v>2620</v>
      </c>
      <c r="C16" s="2" t="s">
        <v>2515</v>
      </c>
      <c r="D16" s="2" t="s">
        <v>2528</v>
      </c>
      <c r="E16" s="2" t="s">
        <v>2517</v>
      </c>
      <c r="F16" s="3">
        <v>163224</v>
      </c>
      <c r="G16" s="3">
        <v>892</v>
      </c>
      <c r="H16" s="3">
        <v>116</v>
      </c>
      <c r="I16" s="4">
        <v>645.97</v>
      </c>
      <c r="J16" s="4">
        <v>13245.61</v>
      </c>
      <c r="K16" s="3">
        <v>70</v>
      </c>
      <c r="L16" s="2" t="s">
        <v>2536</v>
      </c>
      <c r="M16" s="2" t="s">
        <v>2546</v>
      </c>
    </row>
    <row r="17" spans="1:13" x14ac:dyDescent="0.3">
      <c r="A17" s="1">
        <v>45780</v>
      </c>
      <c r="B17" s="2" t="s">
        <v>2626</v>
      </c>
      <c r="C17" s="2" t="s">
        <v>2527</v>
      </c>
      <c r="D17" s="2" t="s">
        <v>2525</v>
      </c>
      <c r="E17" s="2" t="s">
        <v>2534</v>
      </c>
      <c r="F17" s="3">
        <v>44509</v>
      </c>
      <c r="G17" s="3">
        <v>1756</v>
      </c>
      <c r="H17" s="3">
        <v>45</v>
      </c>
      <c r="I17" s="4">
        <v>2433.77</v>
      </c>
      <c r="J17" s="4">
        <v>1487.74</v>
      </c>
      <c r="K17" s="3">
        <v>24</v>
      </c>
      <c r="L17" s="2" t="s">
        <v>2539</v>
      </c>
      <c r="M17" s="2" t="s">
        <v>2546</v>
      </c>
    </row>
    <row r="18" spans="1:13" x14ac:dyDescent="0.3">
      <c r="A18" s="1">
        <v>45799</v>
      </c>
      <c r="B18" s="2" t="s">
        <v>2625</v>
      </c>
      <c r="C18" s="2" t="s">
        <v>2515</v>
      </c>
      <c r="D18" s="2" t="s">
        <v>2528</v>
      </c>
      <c r="E18" s="2" t="s">
        <v>2534</v>
      </c>
      <c r="F18" s="3">
        <v>49699</v>
      </c>
      <c r="G18" s="3">
        <v>549</v>
      </c>
      <c r="H18" s="3">
        <v>14</v>
      </c>
      <c r="I18" s="4">
        <v>407.19</v>
      </c>
      <c r="J18" s="4">
        <v>2598.86</v>
      </c>
      <c r="K18" s="3">
        <v>12</v>
      </c>
      <c r="L18" s="2" t="s">
        <v>2539</v>
      </c>
      <c r="M18" s="2" t="s">
        <v>2537</v>
      </c>
    </row>
    <row r="19" spans="1:13" x14ac:dyDescent="0.3">
      <c r="A19" s="1">
        <v>45738</v>
      </c>
      <c r="B19" s="2" t="s">
        <v>2624</v>
      </c>
      <c r="C19" s="2" t="s">
        <v>2527</v>
      </c>
      <c r="D19" s="2" t="s">
        <v>2528</v>
      </c>
      <c r="E19" s="2" t="s">
        <v>2529</v>
      </c>
      <c r="F19" s="3">
        <v>79946</v>
      </c>
      <c r="G19" s="3">
        <v>6644</v>
      </c>
      <c r="H19" s="3">
        <v>165</v>
      </c>
      <c r="I19" s="4">
        <v>12172.18</v>
      </c>
      <c r="J19" s="4">
        <v>3700.53</v>
      </c>
      <c r="K19" s="3">
        <v>97</v>
      </c>
      <c r="L19" s="2" t="s">
        <v>2523</v>
      </c>
      <c r="M19" s="2" t="s">
        <v>2524</v>
      </c>
    </row>
    <row r="20" spans="1:13" x14ac:dyDescent="0.3">
      <c r="A20" s="1">
        <v>45765</v>
      </c>
      <c r="B20" s="2" t="s">
        <v>2618</v>
      </c>
      <c r="C20" s="2" t="s">
        <v>2541</v>
      </c>
      <c r="D20" s="2" t="s">
        <v>2516</v>
      </c>
      <c r="E20" s="2" t="s">
        <v>2529</v>
      </c>
      <c r="F20" s="3">
        <v>90643</v>
      </c>
      <c r="G20" s="3">
        <v>6251</v>
      </c>
      <c r="H20" s="3">
        <v>607</v>
      </c>
      <c r="I20" s="4">
        <v>1069.28</v>
      </c>
      <c r="J20" s="4">
        <v>85223.12</v>
      </c>
      <c r="K20" s="3">
        <v>473</v>
      </c>
      <c r="L20" s="2" t="s">
        <v>2518</v>
      </c>
      <c r="M20" s="2" t="s">
        <v>2546</v>
      </c>
    </row>
    <row r="21" spans="1:13" x14ac:dyDescent="0.3">
      <c r="A21" s="1">
        <v>45973</v>
      </c>
      <c r="B21" s="2" t="s">
        <v>2627</v>
      </c>
      <c r="C21" s="2" t="s">
        <v>2541</v>
      </c>
      <c r="D21" s="2" t="s">
        <v>2528</v>
      </c>
      <c r="E21" s="2" t="s">
        <v>2529</v>
      </c>
      <c r="F21" s="3">
        <v>78294</v>
      </c>
      <c r="G21" s="3">
        <v>5439</v>
      </c>
      <c r="H21" s="3">
        <v>617</v>
      </c>
      <c r="I21" s="4">
        <v>1504.93</v>
      </c>
      <c r="J21" s="4">
        <v>130219.67</v>
      </c>
      <c r="K21" s="3">
        <v>538</v>
      </c>
      <c r="L21" s="2" t="s">
        <v>2539</v>
      </c>
      <c r="M21" s="2" t="s">
        <v>2526</v>
      </c>
    </row>
    <row r="22" spans="1:13" x14ac:dyDescent="0.3">
      <c r="A22" s="1">
        <v>46009</v>
      </c>
      <c r="B22" s="2" t="s">
        <v>2628</v>
      </c>
      <c r="C22" s="2" t="s">
        <v>2521</v>
      </c>
      <c r="D22" s="2" t="s">
        <v>2525</v>
      </c>
      <c r="E22" s="2" t="s">
        <v>2517</v>
      </c>
      <c r="F22" s="3">
        <v>4759</v>
      </c>
      <c r="G22" s="3">
        <v>234</v>
      </c>
      <c r="H22" s="3">
        <v>22</v>
      </c>
      <c r="I22" s="4">
        <v>333.25</v>
      </c>
      <c r="J22" s="4">
        <v>2425.61</v>
      </c>
      <c r="K22" s="3">
        <v>13</v>
      </c>
      <c r="L22" s="2" t="s">
        <v>2523</v>
      </c>
      <c r="M22" s="2" t="s">
        <v>2546</v>
      </c>
    </row>
    <row r="23" spans="1:13" x14ac:dyDescent="0.3">
      <c r="A23" s="1">
        <v>45791</v>
      </c>
      <c r="B23" s="2" t="s">
        <v>2629</v>
      </c>
      <c r="C23" s="2" t="s">
        <v>2543</v>
      </c>
      <c r="D23" s="2" t="s">
        <v>2525</v>
      </c>
      <c r="E23" s="2" t="s">
        <v>2529</v>
      </c>
      <c r="F23" s="3">
        <v>7310</v>
      </c>
      <c r="G23" s="3">
        <v>569</v>
      </c>
      <c r="H23" s="3">
        <v>77</v>
      </c>
      <c r="I23" s="4">
        <v>65.92</v>
      </c>
      <c r="J23" s="4">
        <v>3364.24</v>
      </c>
      <c r="K23" s="3">
        <v>59</v>
      </c>
      <c r="L23" s="2" t="s">
        <v>2536</v>
      </c>
      <c r="M23" s="2" t="s">
        <v>2524</v>
      </c>
    </row>
    <row r="24" spans="1:13" x14ac:dyDescent="0.3">
      <c r="A24" s="1">
        <v>45989</v>
      </c>
      <c r="B24" s="2" t="s">
        <v>2622</v>
      </c>
      <c r="C24" s="2" t="s">
        <v>2515</v>
      </c>
      <c r="D24" s="2" t="s">
        <v>2531</v>
      </c>
      <c r="E24" s="2" t="s">
        <v>2529</v>
      </c>
      <c r="F24" s="3">
        <v>42237</v>
      </c>
      <c r="G24" s="3">
        <v>591</v>
      </c>
      <c r="H24" s="3">
        <v>35</v>
      </c>
      <c r="I24" s="4">
        <v>506.92</v>
      </c>
      <c r="J24" s="4">
        <v>7159.42</v>
      </c>
      <c r="K24" s="3">
        <v>17</v>
      </c>
      <c r="L24" s="2" t="s">
        <v>2536</v>
      </c>
      <c r="M24" s="2" t="s">
        <v>2546</v>
      </c>
    </row>
    <row r="25" spans="1:13" x14ac:dyDescent="0.3">
      <c r="A25" s="1">
        <v>45829</v>
      </c>
      <c r="B25" s="2" t="s">
        <v>2615</v>
      </c>
      <c r="C25" s="2" t="s">
        <v>2541</v>
      </c>
      <c r="D25" s="2" t="s">
        <v>2531</v>
      </c>
      <c r="E25" s="2" t="s">
        <v>2529</v>
      </c>
      <c r="F25" s="3">
        <v>7568</v>
      </c>
      <c r="G25" s="3">
        <v>600</v>
      </c>
      <c r="H25" s="3">
        <v>21</v>
      </c>
      <c r="I25" s="4">
        <v>703.66</v>
      </c>
      <c r="J25" s="4">
        <v>3621.93</v>
      </c>
      <c r="K25" s="3">
        <v>15</v>
      </c>
      <c r="L25" s="2" t="s">
        <v>2518</v>
      </c>
      <c r="M25" s="2" t="s">
        <v>2546</v>
      </c>
    </row>
    <row r="26" spans="1:13" x14ac:dyDescent="0.3">
      <c r="A26" s="1">
        <v>45860</v>
      </c>
      <c r="B26" s="2" t="s">
        <v>2628</v>
      </c>
      <c r="C26" s="2" t="s">
        <v>2541</v>
      </c>
      <c r="D26" s="2" t="s">
        <v>2528</v>
      </c>
      <c r="E26" s="2" t="s">
        <v>2529</v>
      </c>
      <c r="F26" s="3">
        <v>105858</v>
      </c>
      <c r="G26" s="3">
        <v>9130</v>
      </c>
      <c r="H26" s="3">
        <v>579</v>
      </c>
      <c r="I26" s="4">
        <v>8905.2099999999991</v>
      </c>
      <c r="J26" s="4">
        <v>70771.17</v>
      </c>
      <c r="K26" s="3">
        <v>511</v>
      </c>
      <c r="L26" s="2" t="s">
        <v>2518</v>
      </c>
      <c r="M26" s="2" t="s">
        <v>2519</v>
      </c>
    </row>
    <row r="27" spans="1:13" x14ac:dyDescent="0.3">
      <c r="A27" s="1">
        <v>45844</v>
      </c>
      <c r="B27" s="2" t="s">
        <v>2630</v>
      </c>
      <c r="C27" s="2" t="s">
        <v>2541</v>
      </c>
      <c r="D27" s="2" t="s">
        <v>2528</v>
      </c>
      <c r="E27" s="2" t="s">
        <v>2529</v>
      </c>
      <c r="F27" s="3">
        <v>103769</v>
      </c>
      <c r="G27" s="3">
        <v>4146</v>
      </c>
      <c r="H27" s="3">
        <v>299</v>
      </c>
      <c r="I27" s="4">
        <v>1850.07</v>
      </c>
      <c r="J27" s="4">
        <v>12653.93</v>
      </c>
      <c r="K27" s="3">
        <v>235</v>
      </c>
      <c r="L27" s="2" t="s">
        <v>2523</v>
      </c>
      <c r="M27" s="2" t="s">
        <v>2524</v>
      </c>
    </row>
    <row r="28" spans="1:13" x14ac:dyDescent="0.3">
      <c r="A28" s="1">
        <v>45862</v>
      </c>
      <c r="B28" s="2" t="s">
        <v>2631</v>
      </c>
      <c r="C28" s="2" t="s">
        <v>2541</v>
      </c>
      <c r="D28" s="2" t="s">
        <v>2528</v>
      </c>
      <c r="E28" s="2" t="s">
        <v>2534</v>
      </c>
      <c r="F28" s="3">
        <v>82374</v>
      </c>
      <c r="G28" s="3">
        <v>1820</v>
      </c>
      <c r="H28" s="3">
        <v>101</v>
      </c>
      <c r="I28" s="4">
        <v>1012.99</v>
      </c>
      <c r="J28" s="4">
        <v>3526.15</v>
      </c>
      <c r="K28" s="3">
        <v>88</v>
      </c>
      <c r="L28" s="2" t="s">
        <v>2539</v>
      </c>
      <c r="M28" s="2" t="s">
        <v>2537</v>
      </c>
    </row>
    <row r="29" spans="1:13" x14ac:dyDescent="0.3">
      <c r="A29" s="1">
        <v>45878</v>
      </c>
      <c r="B29" s="2" t="s">
        <v>2628</v>
      </c>
      <c r="C29" s="2" t="s">
        <v>2515</v>
      </c>
      <c r="D29" s="2" t="s">
        <v>2531</v>
      </c>
      <c r="E29" s="2" t="s">
        <v>2529</v>
      </c>
      <c r="F29" s="3">
        <v>176221</v>
      </c>
      <c r="G29" s="3">
        <v>5694</v>
      </c>
      <c r="H29" s="3">
        <v>645</v>
      </c>
      <c r="I29" s="4">
        <v>9157.59</v>
      </c>
      <c r="J29" s="4">
        <v>126731.53</v>
      </c>
      <c r="K29" s="3">
        <v>313</v>
      </c>
      <c r="L29" s="2" t="s">
        <v>2518</v>
      </c>
      <c r="M29" s="2" t="s">
        <v>2526</v>
      </c>
    </row>
    <row r="30" spans="1:13" x14ac:dyDescent="0.3">
      <c r="A30" s="1">
        <v>45892</v>
      </c>
      <c r="B30" s="2" t="s">
        <v>2621</v>
      </c>
      <c r="C30" s="2" t="s">
        <v>2527</v>
      </c>
      <c r="D30" s="2" t="s">
        <v>2522</v>
      </c>
      <c r="E30" s="2" t="s">
        <v>2529</v>
      </c>
      <c r="F30" s="3">
        <v>69153</v>
      </c>
      <c r="G30" s="3">
        <v>3943</v>
      </c>
      <c r="H30" s="3">
        <v>89</v>
      </c>
      <c r="I30" s="4">
        <v>7263.43</v>
      </c>
      <c r="J30" s="4">
        <v>12869.36</v>
      </c>
      <c r="K30" s="3">
        <v>53</v>
      </c>
      <c r="L30" s="2" t="s">
        <v>2536</v>
      </c>
      <c r="M30" s="2" t="s">
        <v>2519</v>
      </c>
    </row>
    <row r="31" spans="1:13" x14ac:dyDescent="0.3">
      <c r="A31" s="1">
        <v>45660</v>
      </c>
      <c r="B31" s="2" t="s">
        <v>2632</v>
      </c>
      <c r="C31" s="2" t="s">
        <v>2533</v>
      </c>
      <c r="D31" s="2" t="s">
        <v>2525</v>
      </c>
      <c r="E31" s="2" t="s">
        <v>2529</v>
      </c>
      <c r="F31" s="3">
        <v>78114</v>
      </c>
      <c r="G31" s="3">
        <v>1158</v>
      </c>
      <c r="H31" s="3">
        <v>156</v>
      </c>
      <c r="I31" s="4">
        <v>738.9</v>
      </c>
      <c r="J31" s="4">
        <v>18166.68</v>
      </c>
      <c r="K31" s="3">
        <v>94</v>
      </c>
      <c r="L31" s="2" t="s">
        <v>2518</v>
      </c>
      <c r="M31" s="2" t="s">
        <v>2526</v>
      </c>
    </row>
    <row r="32" spans="1:13" x14ac:dyDescent="0.3">
      <c r="A32" s="1">
        <v>46006</v>
      </c>
      <c r="B32" s="2" t="s">
        <v>2617</v>
      </c>
      <c r="C32" s="2" t="s">
        <v>2541</v>
      </c>
      <c r="D32" s="2" t="s">
        <v>2528</v>
      </c>
      <c r="E32" s="2" t="s">
        <v>2517</v>
      </c>
      <c r="F32" s="3">
        <v>33428</v>
      </c>
      <c r="G32" s="3">
        <v>180</v>
      </c>
      <c r="H32" s="3">
        <v>5</v>
      </c>
      <c r="I32" s="4">
        <v>320.20999999999998</v>
      </c>
      <c r="J32" s="4">
        <v>175.56</v>
      </c>
      <c r="K32" s="3">
        <v>4</v>
      </c>
      <c r="L32" s="2" t="s">
        <v>2539</v>
      </c>
      <c r="M32" s="2" t="s">
        <v>2524</v>
      </c>
    </row>
    <row r="33" spans="1:13" x14ac:dyDescent="0.3">
      <c r="A33" s="1">
        <v>45917</v>
      </c>
      <c r="B33" s="2" t="s">
        <v>2633</v>
      </c>
      <c r="C33" s="2" t="s">
        <v>2527</v>
      </c>
      <c r="D33" s="2" t="s">
        <v>2528</v>
      </c>
      <c r="E33" s="2" t="s">
        <v>2517</v>
      </c>
      <c r="F33" s="3">
        <v>4187</v>
      </c>
      <c r="G33" s="3">
        <v>41</v>
      </c>
      <c r="H33" s="3">
        <v>0</v>
      </c>
      <c r="I33" s="4">
        <v>38.14</v>
      </c>
      <c r="J33" s="4">
        <v>0</v>
      </c>
      <c r="K33" s="3">
        <v>0</v>
      </c>
      <c r="L33" s="2" t="s">
        <v>2539</v>
      </c>
      <c r="M33" s="2" t="s">
        <v>2546</v>
      </c>
    </row>
    <row r="34" spans="1:13" x14ac:dyDescent="0.3">
      <c r="A34" s="1">
        <v>45751</v>
      </c>
      <c r="B34" s="2" t="s">
        <v>2619</v>
      </c>
      <c r="C34" s="2" t="s">
        <v>2543</v>
      </c>
      <c r="D34" s="2" t="s">
        <v>2528</v>
      </c>
      <c r="E34" s="2" t="s">
        <v>2534</v>
      </c>
      <c r="F34" s="3">
        <v>156964</v>
      </c>
      <c r="G34" s="3">
        <v>9714</v>
      </c>
      <c r="H34" s="3">
        <v>820</v>
      </c>
      <c r="I34" s="4">
        <v>16423.11</v>
      </c>
      <c r="J34" s="4">
        <v>39511.26</v>
      </c>
      <c r="K34" s="3">
        <v>557</v>
      </c>
      <c r="L34" s="2" t="s">
        <v>2518</v>
      </c>
      <c r="M34" s="2" t="s">
        <v>2546</v>
      </c>
    </row>
    <row r="35" spans="1:13" x14ac:dyDescent="0.3">
      <c r="A35" s="1">
        <v>45921</v>
      </c>
      <c r="B35" s="2" t="s">
        <v>2631</v>
      </c>
      <c r="C35" s="2" t="s">
        <v>2533</v>
      </c>
      <c r="D35" s="2" t="s">
        <v>2525</v>
      </c>
      <c r="E35" s="2" t="s">
        <v>2529</v>
      </c>
      <c r="F35" s="3">
        <v>78190</v>
      </c>
      <c r="G35" s="3">
        <v>387</v>
      </c>
      <c r="H35" s="3">
        <v>31</v>
      </c>
      <c r="I35" s="4">
        <v>203.63</v>
      </c>
      <c r="J35" s="4">
        <v>6507.47</v>
      </c>
      <c r="K35" s="3">
        <v>16</v>
      </c>
      <c r="L35" s="2" t="s">
        <v>2523</v>
      </c>
      <c r="M35" s="2" t="s">
        <v>2537</v>
      </c>
    </row>
    <row r="36" spans="1:13" x14ac:dyDescent="0.3">
      <c r="A36" s="1">
        <v>45755</v>
      </c>
      <c r="B36" s="2" t="s">
        <v>2631</v>
      </c>
      <c r="C36" s="2" t="s">
        <v>2645</v>
      </c>
      <c r="D36" s="2" t="s">
        <v>2516</v>
      </c>
      <c r="E36" s="2" t="s">
        <v>2517</v>
      </c>
      <c r="F36" s="3">
        <v>63702</v>
      </c>
      <c r="G36" s="3">
        <v>5675</v>
      </c>
      <c r="H36" s="3">
        <v>708</v>
      </c>
      <c r="I36" s="4">
        <v>4115.09</v>
      </c>
      <c r="J36" s="4">
        <v>107477.07</v>
      </c>
      <c r="K36" s="3">
        <v>459</v>
      </c>
      <c r="L36" s="2" t="s">
        <v>2536</v>
      </c>
      <c r="M36" s="2" t="s">
        <v>2546</v>
      </c>
    </row>
    <row r="37" spans="1:13" x14ac:dyDescent="0.3">
      <c r="A37" s="1">
        <v>45781</v>
      </c>
      <c r="B37" s="2" t="s">
        <v>2634</v>
      </c>
      <c r="C37" s="2" t="s">
        <v>2541</v>
      </c>
      <c r="D37" s="2" t="s">
        <v>2525</v>
      </c>
      <c r="E37" s="2" t="s">
        <v>2529</v>
      </c>
      <c r="F37" s="3">
        <v>62593</v>
      </c>
      <c r="G37" s="3">
        <v>3168</v>
      </c>
      <c r="H37" s="3">
        <v>202</v>
      </c>
      <c r="I37" s="4">
        <v>1472.4</v>
      </c>
      <c r="J37" s="4">
        <v>11607.45</v>
      </c>
      <c r="K37" s="3">
        <v>102</v>
      </c>
      <c r="L37" s="2" t="s">
        <v>2518</v>
      </c>
      <c r="M37" s="2" t="s">
        <v>2519</v>
      </c>
    </row>
    <row r="38" spans="1:13" x14ac:dyDescent="0.3">
      <c r="A38" s="1">
        <v>45680</v>
      </c>
      <c r="B38" s="2" t="s">
        <v>2615</v>
      </c>
      <c r="C38" s="2" t="s">
        <v>2515</v>
      </c>
      <c r="D38" s="2" t="s">
        <v>2516</v>
      </c>
      <c r="E38" s="2" t="s">
        <v>2517</v>
      </c>
      <c r="F38" s="3">
        <v>91161</v>
      </c>
      <c r="G38" s="3">
        <v>4430</v>
      </c>
      <c r="H38" s="3">
        <v>265</v>
      </c>
      <c r="I38" s="4">
        <v>5935.04</v>
      </c>
      <c r="J38" s="4">
        <v>35663.11</v>
      </c>
      <c r="K38" s="3">
        <v>186</v>
      </c>
      <c r="L38" s="2" t="s">
        <v>2539</v>
      </c>
      <c r="M38" s="2" t="s">
        <v>2519</v>
      </c>
    </row>
    <row r="39" spans="1:13" x14ac:dyDescent="0.3">
      <c r="A39" s="1">
        <v>45720</v>
      </c>
      <c r="B39" s="2" t="s">
        <v>2629</v>
      </c>
      <c r="C39" s="2" t="s">
        <v>2541</v>
      </c>
      <c r="D39" s="2" t="s">
        <v>2528</v>
      </c>
      <c r="E39" s="2" t="s">
        <v>2529</v>
      </c>
      <c r="F39" s="3">
        <v>16564</v>
      </c>
      <c r="G39" s="3">
        <v>169</v>
      </c>
      <c r="H39" s="3">
        <v>4</v>
      </c>
      <c r="I39" s="4">
        <v>152.83000000000001</v>
      </c>
      <c r="J39" s="4">
        <v>769.28</v>
      </c>
      <c r="K39" s="3">
        <v>2</v>
      </c>
      <c r="L39" s="2" t="s">
        <v>2539</v>
      </c>
      <c r="M39" s="2" t="s">
        <v>2546</v>
      </c>
    </row>
    <row r="40" spans="1:13" x14ac:dyDescent="0.3">
      <c r="A40" s="1">
        <v>45722</v>
      </c>
      <c r="B40" s="2" t="s">
        <v>2630</v>
      </c>
      <c r="C40" s="2" t="s">
        <v>2521</v>
      </c>
      <c r="D40" s="2" t="s">
        <v>2525</v>
      </c>
      <c r="E40" s="2" t="s">
        <v>2517</v>
      </c>
      <c r="F40" s="3">
        <v>65604</v>
      </c>
      <c r="G40" s="3">
        <v>2826</v>
      </c>
      <c r="H40" s="3">
        <v>147</v>
      </c>
      <c r="I40" s="4">
        <v>370.78</v>
      </c>
      <c r="J40" s="4">
        <v>8547.51</v>
      </c>
      <c r="K40" s="3">
        <v>112</v>
      </c>
      <c r="L40" s="2" t="s">
        <v>2523</v>
      </c>
      <c r="M40" s="2" t="s">
        <v>2546</v>
      </c>
    </row>
    <row r="41" spans="1:13" x14ac:dyDescent="0.3">
      <c r="A41" s="1">
        <v>45775</v>
      </c>
      <c r="B41" s="2" t="s">
        <v>2615</v>
      </c>
      <c r="C41" s="2" t="s">
        <v>2527</v>
      </c>
      <c r="D41" s="2" t="s">
        <v>2522</v>
      </c>
      <c r="E41" s="2" t="s">
        <v>2529</v>
      </c>
      <c r="F41" s="3">
        <v>84707</v>
      </c>
      <c r="G41" s="3">
        <v>512</v>
      </c>
      <c r="H41" s="3">
        <v>33</v>
      </c>
      <c r="I41" s="4">
        <v>940.78</v>
      </c>
      <c r="J41" s="4">
        <v>6912.23</v>
      </c>
      <c r="K41" s="3">
        <v>17</v>
      </c>
      <c r="L41" s="2" t="s">
        <v>2523</v>
      </c>
      <c r="M41" s="2" t="s">
        <v>2524</v>
      </c>
    </row>
    <row r="42" spans="1:13" x14ac:dyDescent="0.3">
      <c r="A42" s="1">
        <v>45748</v>
      </c>
      <c r="B42" s="2" t="s">
        <v>2627</v>
      </c>
      <c r="C42" s="2" t="s">
        <v>2543</v>
      </c>
      <c r="D42" s="2" t="s">
        <v>2516</v>
      </c>
      <c r="E42" s="2" t="s">
        <v>2517</v>
      </c>
      <c r="F42" s="3">
        <v>125379</v>
      </c>
      <c r="G42" s="3">
        <v>2816</v>
      </c>
      <c r="H42" s="3">
        <v>211</v>
      </c>
      <c r="I42" s="4">
        <v>2108.8000000000002</v>
      </c>
      <c r="J42" s="4">
        <v>14718.61</v>
      </c>
      <c r="K42" s="3">
        <v>168</v>
      </c>
      <c r="L42" s="2" t="s">
        <v>2539</v>
      </c>
      <c r="M42" s="2" t="s">
        <v>2519</v>
      </c>
    </row>
    <row r="43" spans="1:13" x14ac:dyDescent="0.3">
      <c r="A43" s="1">
        <v>45788</v>
      </c>
      <c r="B43" s="2" t="s">
        <v>2633</v>
      </c>
      <c r="C43" s="2" t="s">
        <v>2527</v>
      </c>
      <c r="D43" s="2" t="s">
        <v>2522</v>
      </c>
      <c r="E43" s="2" t="s">
        <v>2529</v>
      </c>
      <c r="F43" s="3">
        <v>75503</v>
      </c>
      <c r="G43" s="3">
        <v>3617</v>
      </c>
      <c r="H43" s="3">
        <v>24</v>
      </c>
      <c r="I43" s="4">
        <v>3324.61</v>
      </c>
      <c r="J43" s="4">
        <v>462.18</v>
      </c>
      <c r="K43" s="3">
        <v>13</v>
      </c>
      <c r="L43" s="2" t="s">
        <v>2539</v>
      </c>
      <c r="M43" s="2" t="s">
        <v>2546</v>
      </c>
    </row>
    <row r="44" spans="1:13" x14ac:dyDescent="0.3">
      <c r="A44" s="1">
        <v>45911</v>
      </c>
      <c r="B44" s="2" t="s">
        <v>2632</v>
      </c>
      <c r="C44" s="2" t="s">
        <v>2521</v>
      </c>
      <c r="D44" s="2" t="s">
        <v>2525</v>
      </c>
      <c r="E44" s="2" t="s">
        <v>2517</v>
      </c>
      <c r="F44" s="3">
        <v>177363</v>
      </c>
      <c r="G44" s="3">
        <v>7732</v>
      </c>
      <c r="H44" s="3">
        <v>999</v>
      </c>
      <c r="I44" s="4">
        <v>9531.17</v>
      </c>
      <c r="J44" s="4">
        <v>71611.149999999994</v>
      </c>
      <c r="K44" s="3">
        <v>470</v>
      </c>
      <c r="L44" s="2" t="s">
        <v>2539</v>
      </c>
      <c r="M44" s="2" t="s">
        <v>2537</v>
      </c>
    </row>
    <row r="45" spans="1:13" x14ac:dyDescent="0.3">
      <c r="A45" s="1">
        <v>45784</v>
      </c>
      <c r="B45" s="2" t="s">
        <v>2617</v>
      </c>
      <c r="C45" s="2" t="s">
        <v>2515</v>
      </c>
      <c r="D45" s="2" t="s">
        <v>2528</v>
      </c>
      <c r="E45" s="2" t="s">
        <v>2529</v>
      </c>
      <c r="F45" s="3">
        <v>160559</v>
      </c>
      <c r="G45" s="3">
        <v>8096</v>
      </c>
      <c r="H45" s="3">
        <v>866</v>
      </c>
      <c r="I45" s="4">
        <v>14024.15</v>
      </c>
      <c r="J45" s="4">
        <v>165614.97</v>
      </c>
      <c r="K45" s="3">
        <v>406</v>
      </c>
      <c r="L45" s="2" t="s">
        <v>2523</v>
      </c>
      <c r="M45" s="2" t="s">
        <v>2524</v>
      </c>
    </row>
    <row r="46" spans="1:13" x14ac:dyDescent="0.3">
      <c r="A46" s="1">
        <v>46010</v>
      </c>
      <c r="B46" s="2" t="s">
        <v>2624</v>
      </c>
      <c r="C46" s="2" t="s">
        <v>2543</v>
      </c>
      <c r="D46" s="2" t="s">
        <v>2522</v>
      </c>
      <c r="E46" s="2" t="s">
        <v>2534</v>
      </c>
      <c r="F46" s="3">
        <v>134062</v>
      </c>
      <c r="G46" s="3">
        <v>11816</v>
      </c>
      <c r="H46" s="3">
        <v>1010</v>
      </c>
      <c r="I46" s="4">
        <v>23456.15</v>
      </c>
      <c r="J46" s="4">
        <v>139056.15</v>
      </c>
      <c r="K46" s="3">
        <v>867</v>
      </c>
      <c r="L46" s="2" t="s">
        <v>2523</v>
      </c>
      <c r="M46" s="2" t="s">
        <v>2519</v>
      </c>
    </row>
    <row r="47" spans="1:13" x14ac:dyDescent="0.3">
      <c r="A47" s="1">
        <v>45662</v>
      </c>
      <c r="B47" s="2" t="s">
        <v>2632</v>
      </c>
      <c r="C47" s="2" t="s">
        <v>2533</v>
      </c>
      <c r="D47" s="2" t="s">
        <v>2531</v>
      </c>
      <c r="E47" s="2" t="s">
        <v>2529</v>
      </c>
      <c r="F47" s="3">
        <v>80985</v>
      </c>
      <c r="G47" s="3">
        <v>3516</v>
      </c>
      <c r="H47" s="3">
        <v>69</v>
      </c>
      <c r="I47" s="4">
        <v>1147.83</v>
      </c>
      <c r="J47" s="4">
        <v>7612.07</v>
      </c>
      <c r="K47" s="3">
        <v>57</v>
      </c>
      <c r="L47" s="2" t="s">
        <v>2536</v>
      </c>
      <c r="M47" s="2" t="s">
        <v>2519</v>
      </c>
    </row>
    <row r="48" spans="1:13" x14ac:dyDescent="0.3">
      <c r="A48" s="1">
        <v>45860</v>
      </c>
      <c r="B48" s="2" t="s">
        <v>2635</v>
      </c>
      <c r="C48" s="2" t="s">
        <v>2521</v>
      </c>
      <c r="D48" s="2" t="s">
        <v>2516</v>
      </c>
      <c r="E48" s="2" t="s">
        <v>2534</v>
      </c>
      <c r="F48" s="3">
        <v>172110</v>
      </c>
      <c r="G48" s="3">
        <v>4863</v>
      </c>
      <c r="H48" s="3">
        <v>151</v>
      </c>
      <c r="I48" s="4">
        <v>4544.82</v>
      </c>
      <c r="J48" s="4">
        <v>12852.56</v>
      </c>
      <c r="K48" s="3">
        <v>78</v>
      </c>
      <c r="L48" s="2" t="s">
        <v>2539</v>
      </c>
      <c r="M48" s="2" t="s">
        <v>2537</v>
      </c>
    </row>
    <row r="49" spans="1:13" x14ac:dyDescent="0.3">
      <c r="A49" s="1">
        <v>45840</v>
      </c>
      <c r="B49" s="2" t="s">
        <v>2632</v>
      </c>
      <c r="C49" s="2" t="s">
        <v>2533</v>
      </c>
      <c r="D49" s="2" t="s">
        <v>2528</v>
      </c>
      <c r="E49" s="2" t="s">
        <v>2517</v>
      </c>
      <c r="F49" s="3">
        <v>52772</v>
      </c>
      <c r="G49" s="3">
        <v>2897</v>
      </c>
      <c r="H49" s="3">
        <v>134</v>
      </c>
      <c r="I49" s="4">
        <v>5137.29</v>
      </c>
      <c r="J49" s="4">
        <v>11255.29</v>
      </c>
      <c r="K49" s="3">
        <v>68</v>
      </c>
      <c r="L49" s="2" t="s">
        <v>2523</v>
      </c>
      <c r="M49" s="2" t="s">
        <v>2519</v>
      </c>
    </row>
    <row r="50" spans="1:13" x14ac:dyDescent="0.3">
      <c r="A50" s="1">
        <v>45919</v>
      </c>
      <c r="B50" s="2" t="s">
        <v>2636</v>
      </c>
      <c r="C50" s="2" t="s">
        <v>2515</v>
      </c>
      <c r="D50" s="2" t="s">
        <v>2528</v>
      </c>
      <c r="E50" s="2" t="s">
        <v>2517</v>
      </c>
      <c r="F50" s="3">
        <v>96520</v>
      </c>
      <c r="G50" s="3">
        <v>6563</v>
      </c>
      <c r="H50" s="3">
        <v>575</v>
      </c>
      <c r="I50" s="4">
        <v>2726.57</v>
      </c>
      <c r="J50" s="4">
        <v>11899.29</v>
      </c>
      <c r="K50" s="3">
        <v>387</v>
      </c>
      <c r="L50" s="2" t="s">
        <v>2536</v>
      </c>
      <c r="M50" s="2" t="s">
        <v>2519</v>
      </c>
    </row>
    <row r="51" spans="1:13" x14ac:dyDescent="0.3">
      <c r="A51" s="1">
        <v>45906</v>
      </c>
      <c r="B51" s="2" t="s">
        <v>2623</v>
      </c>
      <c r="C51" s="2" t="s">
        <v>2521</v>
      </c>
      <c r="D51" s="2" t="s">
        <v>2525</v>
      </c>
      <c r="E51" s="2" t="s">
        <v>2529</v>
      </c>
      <c r="F51" s="3">
        <v>12544</v>
      </c>
      <c r="G51" s="3">
        <v>523</v>
      </c>
      <c r="H51" s="3">
        <v>43</v>
      </c>
      <c r="I51" s="4">
        <v>424.74</v>
      </c>
      <c r="J51" s="4">
        <v>763.12</v>
      </c>
      <c r="K51" s="3">
        <v>20</v>
      </c>
      <c r="L51" s="2" t="s">
        <v>2539</v>
      </c>
      <c r="M51" s="2" t="s">
        <v>2519</v>
      </c>
    </row>
    <row r="52" spans="1:13" x14ac:dyDescent="0.3">
      <c r="A52" s="1">
        <v>45941</v>
      </c>
      <c r="B52" s="2" t="s">
        <v>2632</v>
      </c>
      <c r="C52" s="2" t="s">
        <v>2533</v>
      </c>
      <c r="D52" s="2" t="s">
        <v>2516</v>
      </c>
      <c r="E52" s="2" t="s">
        <v>2517</v>
      </c>
      <c r="F52" s="3">
        <v>47739</v>
      </c>
      <c r="G52" s="3">
        <v>1011</v>
      </c>
      <c r="H52" s="3">
        <v>134</v>
      </c>
      <c r="I52" s="4">
        <v>1917.9</v>
      </c>
      <c r="J52" s="4">
        <v>24435.95</v>
      </c>
      <c r="K52" s="3">
        <v>73</v>
      </c>
      <c r="L52" s="2" t="s">
        <v>2539</v>
      </c>
      <c r="M52" s="2" t="s">
        <v>2537</v>
      </c>
    </row>
    <row r="53" spans="1:13" x14ac:dyDescent="0.3">
      <c r="A53" s="1">
        <v>45800</v>
      </c>
      <c r="B53" s="2" t="s">
        <v>2622</v>
      </c>
      <c r="C53" s="2" t="s">
        <v>2543</v>
      </c>
      <c r="D53" s="2" t="s">
        <v>2528</v>
      </c>
      <c r="E53" s="2" t="s">
        <v>2534</v>
      </c>
      <c r="F53" s="3">
        <v>163458</v>
      </c>
      <c r="G53" s="3">
        <v>4544</v>
      </c>
      <c r="H53" s="3">
        <v>304</v>
      </c>
      <c r="I53" s="4">
        <v>4643.72</v>
      </c>
      <c r="J53" s="4">
        <v>48587.57</v>
      </c>
      <c r="K53" s="3">
        <v>203</v>
      </c>
      <c r="L53" s="2" t="s">
        <v>2523</v>
      </c>
      <c r="M53" s="2" t="s">
        <v>2519</v>
      </c>
    </row>
    <row r="54" spans="1:13" x14ac:dyDescent="0.3">
      <c r="A54" s="1">
        <v>45741</v>
      </c>
      <c r="B54" s="2" t="s">
        <v>2637</v>
      </c>
      <c r="C54" s="2" t="s">
        <v>2541</v>
      </c>
      <c r="D54" s="2" t="s">
        <v>2516</v>
      </c>
      <c r="E54" s="2" t="s">
        <v>2517</v>
      </c>
      <c r="F54" s="3">
        <v>87998</v>
      </c>
      <c r="G54" s="3">
        <v>400</v>
      </c>
      <c r="H54" s="3">
        <v>16</v>
      </c>
      <c r="I54" s="4">
        <v>369.77</v>
      </c>
      <c r="J54" s="4">
        <v>2155.19</v>
      </c>
      <c r="K54" s="3">
        <v>11</v>
      </c>
      <c r="L54" s="2" t="s">
        <v>2536</v>
      </c>
      <c r="M54" s="2" t="s">
        <v>2526</v>
      </c>
    </row>
    <row r="55" spans="1:13" x14ac:dyDescent="0.3">
      <c r="A55" s="1">
        <v>45850</v>
      </c>
      <c r="B55" s="2" t="s">
        <v>2638</v>
      </c>
      <c r="C55" s="2" t="s">
        <v>2521</v>
      </c>
      <c r="D55" s="2" t="s">
        <v>2516</v>
      </c>
      <c r="E55" s="2" t="s">
        <v>2517</v>
      </c>
      <c r="F55" s="3">
        <v>22982</v>
      </c>
      <c r="G55" s="3">
        <v>488</v>
      </c>
      <c r="H55" s="3">
        <v>52</v>
      </c>
      <c r="I55" s="4">
        <v>723.46</v>
      </c>
      <c r="J55" s="4">
        <v>10282.51</v>
      </c>
      <c r="K55" s="3">
        <v>32</v>
      </c>
      <c r="L55" s="2" t="s">
        <v>2539</v>
      </c>
      <c r="M55" s="2" t="s">
        <v>2526</v>
      </c>
    </row>
    <row r="56" spans="1:13" x14ac:dyDescent="0.3">
      <c r="A56" s="1">
        <v>45941</v>
      </c>
      <c r="B56" s="2" t="s">
        <v>2639</v>
      </c>
      <c r="C56" s="2" t="s">
        <v>2527</v>
      </c>
      <c r="D56" s="2" t="s">
        <v>2528</v>
      </c>
      <c r="E56" s="2" t="s">
        <v>2529</v>
      </c>
      <c r="F56" s="3">
        <v>36400</v>
      </c>
      <c r="G56" s="3">
        <v>698</v>
      </c>
      <c r="H56" s="3">
        <v>13</v>
      </c>
      <c r="I56" s="4">
        <v>619.54</v>
      </c>
      <c r="J56" s="4">
        <v>1889.23</v>
      </c>
      <c r="K56" s="3">
        <v>6</v>
      </c>
      <c r="L56" s="2" t="s">
        <v>2539</v>
      </c>
      <c r="M56" s="2" t="s">
        <v>2519</v>
      </c>
    </row>
    <row r="57" spans="1:13" x14ac:dyDescent="0.3">
      <c r="A57" s="1">
        <v>45707</v>
      </c>
      <c r="B57" s="2" t="s">
        <v>2640</v>
      </c>
      <c r="C57" s="2" t="s">
        <v>2533</v>
      </c>
      <c r="D57" s="2" t="s">
        <v>2525</v>
      </c>
      <c r="E57" s="2" t="s">
        <v>2517</v>
      </c>
      <c r="F57" s="3">
        <v>39432</v>
      </c>
      <c r="G57" s="3">
        <v>195</v>
      </c>
      <c r="H57" s="3">
        <v>2</v>
      </c>
      <c r="I57" s="4">
        <v>359.51</v>
      </c>
      <c r="J57" s="4">
        <v>360.95</v>
      </c>
      <c r="K57" s="3">
        <v>1</v>
      </c>
      <c r="L57" s="2" t="s">
        <v>2523</v>
      </c>
      <c r="M57" s="2" t="s">
        <v>2519</v>
      </c>
    </row>
    <row r="58" spans="1:13" x14ac:dyDescent="0.3">
      <c r="A58" s="1">
        <v>45914</v>
      </c>
      <c r="B58" s="2" t="s">
        <v>2640</v>
      </c>
      <c r="C58" s="2" t="s">
        <v>2533</v>
      </c>
      <c r="D58" s="2" t="s">
        <v>2528</v>
      </c>
      <c r="E58" s="2" t="s">
        <v>2517</v>
      </c>
      <c r="F58" s="3">
        <v>142452</v>
      </c>
      <c r="G58" s="3">
        <v>8914</v>
      </c>
      <c r="H58" s="3">
        <v>761</v>
      </c>
      <c r="I58" s="4">
        <v>17944.189999999999</v>
      </c>
      <c r="J58" s="4">
        <v>61323.71</v>
      </c>
      <c r="K58" s="3">
        <v>450</v>
      </c>
      <c r="L58" s="2" t="s">
        <v>2536</v>
      </c>
      <c r="M58" s="2" t="s">
        <v>2519</v>
      </c>
    </row>
    <row r="59" spans="1:13" x14ac:dyDescent="0.3">
      <c r="A59" s="1">
        <v>45976</v>
      </c>
      <c r="B59" s="2" t="s">
        <v>2632</v>
      </c>
      <c r="C59" s="2" t="s">
        <v>2527</v>
      </c>
      <c r="D59" s="2" t="s">
        <v>2528</v>
      </c>
      <c r="E59" s="2" t="s">
        <v>2529</v>
      </c>
      <c r="F59" s="3">
        <v>102729</v>
      </c>
      <c r="G59" s="3">
        <v>8680</v>
      </c>
      <c r="H59" s="3">
        <v>476</v>
      </c>
      <c r="I59" s="4">
        <v>13309.01</v>
      </c>
      <c r="J59" s="4">
        <v>89911.75</v>
      </c>
      <c r="K59" s="3">
        <v>357</v>
      </c>
      <c r="L59" s="2" t="s">
        <v>2523</v>
      </c>
      <c r="M59" s="2" t="s">
        <v>2546</v>
      </c>
    </row>
    <row r="60" spans="1:13" x14ac:dyDescent="0.3">
      <c r="A60" s="1">
        <v>46018</v>
      </c>
      <c r="B60" s="2" t="s">
        <v>2641</v>
      </c>
      <c r="C60" s="2" t="s">
        <v>2533</v>
      </c>
      <c r="D60" s="2" t="s">
        <v>2522</v>
      </c>
      <c r="E60" s="2" t="s">
        <v>2529</v>
      </c>
      <c r="F60" s="3">
        <v>7852</v>
      </c>
      <c r="G60" s="3">
        <v>278</v>
      </c>
      <c r="H60" s="3">
        <v>36</v>
      </c>
      <c r="I60" s="4">
        <v>151.88999999999999</v>
      </c>
      <c r="J60" s="4">
        <v>5039.9799999999996</v>
      </c>
      <c r="K60" s="3">
        <v>20</v>
      </c>
      <c r="L60" s="2" t="s">
        <v>2539</v>
      </c>
      <c r="M60" s="2" t="s">
        <v>2524</v>
      </c>
    </row>
    <row r="61" spans="1:13" x14ac:dyDescent="0.3">
      <c r="A61" s="1">
        <v>45809</v>
      </c>
      <c r="B61" s="2" t="s">
        <v>2629</v>
      </c>
      <c r="C61" s="2" t="s">
        <v>2515</v>
      </c>
      <c r="D61" s="2" t="s">
        <v>2531</v>
      </c>
      <c r="E61" s="2" t="s">
        <v>2517</v>
      </c>
      <c r="F61" s="3">
        <v>143687</v>
      </c>
      <c r="G61" s="3">
        <v>8758</v>
      </c>
      <c r="H61" s="3">
        <v>590</v>
      </c>
      <c r="I61" s="4">
        <v>3260.05</v>
      </c>
      <c r="J61" s="4">
        <v>78308.19</v>
      </c>
      <c r="K61" s="3">
        <v>323</v>
      </c>
      <c r="L61" s="2" t="s">
        <v>2539</v>
      </c>
      <c r="M61" s="2" t="s">
        <v>2537</v>
      </c>
    </row>
    <row r="62" spans="1:13" x14ac:dyDescent="0.3">
      <c r="A62" s="1">
        <v>45882</v>
      </c>
      <c r="B62" s="2" t="s">
        <v>2642</v>
      </c>
      <c r="C62" s="2" t="s">
        <v>2541</v>
      </c>
      <c r="D62" s="2" t="s">
        <v>2528</v>
      </c>
      <c r="E62" s="2" t="s">
        <v>2517</v>
      </c>
      <c r="F62" s="3">
        <v>78011</v>
      </c>
      <c r="G62" s="3">
        <v>3428</v>
      </c>
      <c r="H62" s="3">
        <v>452</v>
      </c>
      <c r="I62" s="4">
        <v>7029.6</v>
      </c>
      <c r="J62" s="4">
        <v>14793.01</v>
      </c>
      <c r="K62" s="3">
        <v>343</v>
      </c>
      <c r="L62" s="2" t="s">
        <v>2523</v>
      </c>
      <c r="M62" s="2" t="s">
        <v>2526</v>
      </c>
    </row>
    <row r="63" spans="1:13" x14ac:dyDescent="0.3">
      <c r="A63" s="1">
        <v>45702</v>
      </c>
      <c r="B63" s="2" t="s">
        <v>2637</v>
      </c>
      <c r="C63" s="2" t="s">
        <v>2543</v>
      </c>
      <c r="D63" s="2" t="s">
        <v>2525</v>
      </c>
      <c r="E63" s="2" t="s">
        <v>2529</v>
      </c>
      <c r="F63" s="3">
        <v>101430</v>
      </c>
      <c r="G63" s="3">
        <v>3059</v>
      </c>
      <c r="H63" s="3">
        <v>396</v>
      </c>
      <c r="I63" s="4">
        <v>6195.71</v>
      </c>
      <c r="J63" s="4">
        <v>57060.46</v>
      </c>
      <c r="K63" s="3">
        <v>334</v>
      </c>
      <c r="L63" s="2" t="s">
        <v>2539</v>
      </c>
      <c r="M63" s="2" t="s">
        <v>2537</v>
      </c>
    </row>
    <row r="64" spans="1:13" x14ac:dyDescent="0.3">
      <c r="A64" s="1">
        <v>45869</v>
      </c>
      <c r="B64" s="2" t="s">
        <v>2615</v>
      </c>
      <c r="C64" s="2" t="s">
        <v>2541</v>
      </c>
      <c r="D64" s="2" t="s">
        <v>2525</v>
      </c>
      <c r="E64" s="2" t="s">
        <v>2529</v>
      </c>
      <c r="F64" s="3">
        <v>131405</v>
      </c>
      <c r="G64" s="3">
        <v>8184</v>
      </c>
      <c r="H64" s="3">
        <v>574</v>
      </c>
      <c r="I64" s="4">
        <v>10376.290000000001</v>
      </c>
      <c r="J64" s="4">
        <v>58970.85</v>
      </c>
      <c r="K64" s="3">
        <v>338</v>
      </c>
      <c r="L64" s="2" t="s">
        <v>2523</v>
      </c>
      <c r="M64" s="2" t="s">
        <v>2537</v>
      </c>
    </row>
    <row r="65" spans="1:13" x14ac:dyDescent="0.3">
      <c r="A65" s="1">
        <v>45884</v>
      </c>
      <c r="B65" s="2" t="s">
        <v>2641</v>
      </c>
      <c r="C65" s="2" t="s">
        <v>2521</v>
      </c>
      <c r="D65" s="2" t="s">
        <v>2528</v>
      </c>
      <c r="E65" s="2" t="s">
        <v>2529</v>
      </c>
      <c r="F65" s="3">
        <v>130442</v>
      </c>
      <c r="G65" s="3">
        <v>8546</v>
      </c>
      <c r="H65" s="3">
        <v>578</v>
      </c>
      <c r="I65" s="4">
        <v>13234.62</v>
      </c>
      <c r="J65" s="4">
        <v>74181.06</v>
      </c>
      <c r="K65" s="3">
        <v>477</v>
      </c>
      <c r="L65" s="2" t="s">
        <v>2536</v>
      </c>
      <c r="M65" s="2" t="s">
        <v>2526</v>
      </c>
    </row>
    <row r="66" spans="1:13" x14ac:dyDescent="0.3">
      <c r="A66" s="1">
        <v>45798</v>
      </c>
      <c r="B66" s="2" t="s">
        <v>2640</v>
      </c>
      <c r="C66" s="2" t="s">
        <v>2533</v>
      </c>
      <c r="D66" s="2" t="s">
        <v>2528</v>
      </c>
      <c r="E66" s="2" t="s">
        <v>2517</v>
      </c>
      <c r="F66" s="3">
        <v>106661</v>
      </c>
      <c r="G66" s="3">
        <v>2841</v>
      </c>
      <c r="H66" s="3">
        <v>357</v>
      </c>
      <c r="I66" s="4">
        <v>1574.27</v>
      </c>
      <c r="J66" s="4">
        <v>69957.06</v>
      </c>
      <c r="K66" s="3">
        <v>212</v>
      </c>
      <c r="L66" s="2" t="s">
        <v>2539</v>
      </c>
      <c r="M66" s="2" t="s">
        <v>2519</v>
      </c>
    </row>
    <row r="67" spans="1:13" x14ac:dyDescent="0.3">
      <c r="A67" s="1">
        <v>45678</v>
      </c>
      <c r="B67" s="2" t="s">
        <v>2642</v>
      </c>
      <c r="C67" s="2" t="s">
        <v>2527</v>
      </c>
      <c r="D67" s="2" t="s">
        <v>2528</v>
      </c>
      <c r="E67" s="2" t="s">
        <v>2529</v>
      </c>
      <c r="F67" s="3">
        <v>97055</v>
      </c>
      <c r="G67" s="3">
        <v>1101</v>
      </c>
      <c r="H67" s="3">
        <v>105</v>
      </c>
      <c r="I67" s="4">
        <v>1653.64</v>
      </c>
      <c r="J67" s="4">
        <v>9527.19</v>
      </c>
      <c r="K67" s="3">
        <v>72</v>
      </c>
      <c r="L67" s="2" t="s">
        <v>2518</v>
      </c>
      <c r="M67" s="2" t="s">
        <v>2526</v>
      </c>
    </row>
    <row r="68" spans="1:13" x14ac:dyDescent="0.3">
      <c r="A68" s="1">
        <v>45886</v>
      </c>
      <c r="B68" s="2" t="s">
        <v>2629</v>
      </c>
      <c r="C68" s="2" t="s">
        <v>2543</v>
      </c>
      <c r="D68" s="2" t="s">
        <v>2516</v>
      </c>
      <c r="E68" s="2" t="s">
        <v>2529</v>
      </c>
      <c r="F68" s="3">
        <v>143820</v>
      </c>
      <c r="G68" s="3">
        <v>12456</v>
      </c>
      <c r="H68" s="3">
        <v>1679</v>
      </c>
      <c r="I68" s="4">
        <v>13393.63</v>
      </c>
      <c r="J68" s="4">
        <v>46663.92</v>
      </c>
      <c r="K68" s="3">
        <v>1062</v>
      </c>
      <c r="L68" s="2" t="s">
        <v>2523</v>
      </c>
      <c r="M68" s="2" t="s">
        <v>2519</v>
      </c>
    </row>
    <row r="69" spans="1:13" x14ac:dyDescent="0.3">
      <c r="A69" s="1">
        <v>45948</v>
      </c>
      <c r="B69" s="2" t="s">
        <v>2619</v>
      </c>
      <c r="C69" s="2" t="s">
        <v>2541</v>
      </c>
      <c r="D69" s="2" t="s">
        <v>2522</v>
      </c>
      <c r="E69" s="2" t="s">
        <v>2517</v>
      </c>
      <c r="F69" s="3">
        <v>156599</v>
      </c>
      <c r="G69" s="3">
        <v>4886</v>
      </c>
      <c r="H69" s="3">
        <v>403</v>
      </c>
      <c r="I69" s="4">
        <v>5879.31</v>
      </c>
      <c r="J69" s="4">
        <v>53974.45</v>
      </c>
      <c r="K69" s="3">
        <v>261</v>
      </c>
      <c r="L69" s="2" t="s">
        <v>2536</v>
      </c>
      <c r="M69" s="2" t="s">
        <v>2526</v>
      </c>
    </row>
    <row r="70" spans="1:13" x14ac:dyDescent="0.3">
      <c r="A70" s="1">
        <v>45771</v>
      </c>
      <c r="B70" s="2" t="s">
        <v>2631</v>
      </c>
      <c r="C70" s="2" t="s">
        <v>2543</v>
      </c>
      <c r="D70" s="2" t="s">
        <v>2525</v>
      </c>
      <c r="E70" s="2" t="s">
        <v>2517</v>
      </c>
      <c r="F70" s="3">
        <v>146138</v>
      </c>
      <c r="G70" s="3">
        <v>7737</v>
      </c>
      <c r="H70" s="3">
        <v>949</v>
      </c>
      <c r="I70" s="4">
        <v>6548.8</v>
      </c>
      <c r="J70" s="4">
        <v>123026.44</v>
      </c>
      <c r="K70" s="3">
        <v>625</v>
      </c>
      <c r="L70" s="2" t="s">
        <v>2523</v>
      </c>
      <c r="M70" s="2" t="s">
        <v>2546</v>
      </c>
    </row>
    <row r="71" spans="1:13" x14ac:dyDescent="0.3">
      <c r="A71" s="1">
        <v>45998</v>
      </c>
      <c r="B71" s="2" t="s">
        <v>2643</v>
      </c>
      <c r="C71" s="2" t="s">
        <v>2543</v>
      </c>
      <c r="D71" s="2" t="s">
        <v>2528</v>
      </c>
      <c r="E71" s="2" t="s">
        <v>2529</v>
      </c>
      <c r="F71" s="3">
        <v>95481</v>
      </c>
      <c r="G71" s="3">
        <v>1518</v>
      </c>
      <c r="H71" s="3">
        <v>95</v>
      </c>
      <c r="I71" s="4">
        <v>1000.65</v>
      </c>
      <c r="J71" s="4">
        <v>2508.0500000000002</v>
      </c>
      <c r="K71" s="3">
        <v>48</v>
      </c>
      <c r="L71" s="2" t="s">
        <v>2518</v>
      </c>
      <c r="M71" s="2" t="s">
        <v>2537</v>
      </c>
    </row>
    <row r="72" spans="1:13" x14ac:dyDescent="0.3">
      <c r="A72" s="1">
        <v>45934</v>
      </c>
      <c r="B72" s="2" t="s">
        <v>2635</v>
      </c>
      <c r="C72" s="2" t="s">
        <v>2527</v>
      </c>
      <c r="D72" s="2" t="s">
        <v>2528</v>
      </c>
      <c r="E72" s="2" t="s">
        <v>2517</v>
      </c>
      <c r="F72" s="3">
        <v>83550</v>
      </c>
      <c r="G72" s="3">
        <v>7172</v>
      </c>
      <c r="H72" s="3">
        <v>217</v>
      </c>
      <c r="I72" s="4">
        <v>3758.29</v>
      </c>
      <c r="J72" s="4">
        <v>34404</v>
      </c>
      <c r="K72" s="3">
        <v>121</v>
      </c>
      <c r="L72" s="2" t="s">
        <v>2539</v>
      </c>
      <c r="M72" s="2" t="s">
        <v>2526</v>
      </c>
    </row>
    <row r="73" spans="1:13" x14ac:dyDescent="0.3">
      <c r="A73" s="1">
        <v>45829</v>
      </c>
      <c r="B73" s="2" t="s">
        <v>2627</v>
      </c>
      <c r="C73" s="2" t="s">
        <v>2515</v>
      </c>
      <c r="D73" s="2" t="s">
        <v>2522</v>
      </c>
      <c r="E73" s="2" t="s">
        <v>2534</v>
      </c>
      <c r="F73" s="3">
        <v>137916</v>
      </c>
      <c r="G73" s="3">
        <v>6514</v>
      </c>
      <c r="H73" s="3">
        <v>592</v>
      </c>
      <c r="I73" s="4">
        <v>4804.74</v>
      </c>
      <c r="J73" s="4">
        <v>20376.89</v>
      </c>
      <c r="K73" s="3">
        <v>450</v>
      </c>
      <c r="L73" s="2" t="s">
        <v>2518</v>
      </c>
      <c r="M73" s="2" t="s">
        <v>2524</v>
      </c>
    </row>
    <row r="74" spans="1:13" x14ac:dyDescent="0.3">
      <c r="A74" s="1">
        <v>45949</v>
      </c>
      <c r="B74" s="2" t="s">
        <v>2618</v>
      </c>
      <c r="C74" s="2" t="s">
        <v>2515</v>
      </c>
      <c r="D74" s="2" t="s">
        <v>2525</v>
      </c>
      <c r="E74" s="2" t="s">
        <v>2529</v>
      </c>
      <c r="F74" s="3">
        <v>164370</v>
      </c>
      <c r="G74" s="3">
        <v>9643</v>
      </c>
      <c r="H74" s="3">
        <v>1013</v>
      </c>
      <c r="I74" s="4">
        <v>7211.11</v>
      </c>
      <c r="J74" s="4">
        <v>123210.79</v>
      </c>
      <c r="K74" s="3">
        <v>702</v>
      </c>
      <c r="L74" s="2" t="s">
        <v>2523</v>
      </c>
      <c r="M74" s="2" t="s">
        <v>2524</v>
      </c>
    </row>
    <row r="75" spans="1:13" x14ac:dyDescent="0.3">
      <c r="A75" s="1">
        <v>45855</v>
      </c>
      <c r="B75" s="2" t="s">
        <v>2635</v>
      </c>
      <c r="C75" s="2" t="s">
        <v>2533</v>
      </c>
      <c r="D75" s="2" t="s">
        <v>2528</v>
      </c>
      <c r="E75" s="2" t="s">
        <v>2517</v>
      </c>
      <c r="F75" s="3">
        <v>17033</v>
      </c>
      <c r="G75" s="3">
        <v>407</v>
      </c>
      <c r="H75" s="3">
        <v>36</v>
      </c>
      <c r="I75" s="4">
        <v>423.88</v>
      </c>
      <c r="J75" s="4">
        <v>1569.98</v>
      </c>
      <c r="K75" s="3">
        <v>19</v>
      </c>
      <c r="L75" s="2" t="s">
        <v>2536</v>
      </c>
      <c r="M75" s="2" t="s">
        <v>2537</v>
      </c>
    </row>
    <row r="76" spans="1:13" x14ac:dyDescent="0.3">
      <c r="A76" s="1">
        <v>45808</v>
      </c>
      <c r="B76" s="2" t="s">
        <v>2628</v>
      </c>
      <c r="C76" s="2" t="s">
        <v>2541</v>
      </c>
      <c r="D76" s="2" t="s">
        <v>2528</v>
      </c>
      <c r="E76" s="2" t="s">
        <v>2529</v>
      </c>
      <c r="F76" s="3">
        <v>165163</v>
      </c>
      <c r="G76" s="3">
        <v>6066</v>
      </c>
      <c r="H76" s="3">
        <v>257</v>
      </c>
      <c r="I76" s="4">
        <v>1640.69</v>
      </c>
      <c r="J76" s="4">
        <v>7248.36</v>
      </c>
      <c r="K76" s="3">
        <v>132</v>
      </c>
      <c r="L76" s="2" t="s">
        <v>2523</v>
      </c>
      <c r="M76" s="2" t="s">
        <v>2526</v>
      </c>
    </row>
    <row r="77" spans="1:13" x14ac:dyDescent="0.3">
      <c r="A77" s="1">
        <v>45956</v>
      </c>
      <c r="B77" s="2" t="s">
        <v>2617</v>
      </c>
      <c r="C77" s="2" t="s">
        <v>2533</v>
      </c>
      <c r="D77" s="2" t="s">
        <v>2528</v>
      </c>
      <c r="E77" s="2" t="s">
        <v>2529</v>
      </c>
      <c r="F77" s="3">
        <v>164400</v>
      </c>
      <c r="G77" s="3">
        <v>8064</v>
      </c>
      <c r="H77" s="3">
        <v>247</v>
      </c>
      <c r="I77" s="4">
        <v>13717.53</v>
      </c>
      <c r="J77" s="4">
        <v>49833.79</v>
      </c>
      <c r="K77" s="3">
        <v>124</v>
      </c>
      <c r="L77" s="2" t="s">
        <v>2536</v>
      </c>
      <c r="M77" s="2" t="s">
        <v>2537</v>
      </c>
    </row>
    <row r="78" spans="1:13" x14ac:dyDescent="0.3">
      <c r="A78" s="1">
        <v>46005</v>
      </c>
      <c r="B78" s="2" t="s">
        <v>2642</v>
      </c>
      <c r="C78" s="2" t="s">
        <v>2527</v>
      </c>
      <c r="D78" s="2" t="s">
        <v>2525</v>
      </c>
      <c r="E78" s="2" t="s">
        <v>2517</v>
      </c>
      <c r="F78" s="3">
        <v>5929</v>
      </c>
      <c r="G78" s="3">
        <v>440</v>
      </c>
      <c r="H78" s="3">
        <v>31</v>
      </c>
      <c r="I78" s="4">
        <v>184.05</v>
      </c>
      <c r="J78" s="4">
        <v>5250.9</v>
      </c>
      <c r="K78" s="3">
        <v>26</v>
      </c>
      <c r="L78" s="2" t="s">
        <v>2539</v>
      </c>
      <c r="M78" s="2" t="s">
        <v>2537</v>
      </c>
    </row>
    <row r="79" spans="1:13" x14ac:dyDescent="0.3">
      <c r="A79" s="1">
        <v>45659</v>
      </c>
      <c r="B79" s="2" t="s">
        <v>2616</v>
      </c>
      <c r="C79" s="2" t="s">
        <v>2521</v>
      </c>
      <c r="D79" s="2" t="s">
        <v>2516</v>
      </c>
      <c r="E79" s="2" t="s">
        <v>2529</v>
      </c>
      <c r="F79" s="3">
        <v>120263</v>
      </c>
      <c r="G79" s="3">
        <v>727</v>
      </c>
      <c r="H79" s="3">
        <v>68</v>
      </c>
      <c r="I79" s="4">
        <v>600.79</v>
      </c>
      <c r="J79" s="4">
        <v>8622.59</v>
      </c>
      <c r="K79" s="3">
        <v>46</v>
      </c>
      <c r="L79" s="2" t="s">
        <v>2539</v>
      </c>
      <c r="M79" s="2" t="s">
        <v>2546</v>
      </c>
    </row>
    <row r="80" spans="1:13" x14ac:dyDescent="0.3">
      <c r="A80" s="1">
        <v>45690</v>
      </c>
      <c r="B80" s="2" t="s">
        <v>2623</v>
      </c>
      <c r="C80" s="2" t="s">
        <v>2541</v>
      </c>
      <c r="D80" s="2" t="s">
        <v>2516</v>
      </c>
      <c r="E80" s="2" t="s">
        <v>2517</v>
      </c>
      <c r="F80" s="3">
        <v>14379</v>
      </c>
      <c r="G80" s="3">
        <v>1204</v>
      </c>
      <c r="H80" s="3">
        <v>117</v>
      </c>
      <c r="I80" s="4">
        <v>2429.36</v>
      </c>
      <c r="J80" s="4">
        <v>6917.04</v>
      </c>
      <c r="K80" s="3">
        <v>54</v>
      </c>
      <c r="L80" s="2" t="s">
        <v>2536</v>
      </c>
      <c r="M80" s="2" t="s">
        <v>2524</v>
      </c>
    </row>
    <row r="81" spans="1:13" x14ac:dyDescent="0.3">
      <c r="A81" s="1">
        <v>45838</v>
      </c>
      <c r="B81" s="2" t="s">
        <v>2616</v>
      </c>
      <c r="C81" s="2" t="s">
        <v>2515</v>
      </c>
      <c r="D81" s="2" t="s">
        <v>2528</v>
      </c>
      <c r="E81" s="2" t="s">
        <v>2529</v>
      </c>
      <c r="F81" s="3">
        <v>139435</v>
      </c>
      <c r="G81" s="3">
        <v>7423</v>
      </c>
      <c r="H81" s="3">
        <v>294</v>
      </c>
      <c r="I81" s="4">
        <v>2712.89</v>
      </c>
      <c r="J81" s="4">
        <v>49981.84</v>
      </c>
      <c r="K81" s="3">
        <v>183</v>
      </c>
      <c r="L81" s="2" t="s">
        <v>2539</v>
      </c>
      <c r="M81" s="2" t="s">
        <v>2519</v>
      </c>
    </row>
    <row r="82" spans="1:13" x14ac:dyDescent="0.3">
      <c r="A82" s="1">
        <v>45941</v>
      </c>
      <c r="B82" s="2" t="s">
        <v>2621</v>
      </c>
      <c r="C82" s="2" t="s">
        <v>2515</v>
      </c>
      <c r="D82" s="2" t="s">
        <v>2528</v>
      </c>
      <c r="E82" s="2" t="s">
        <v>2517</v>
      </c>
      <c r="F82" s="3">
        <v>82478</v>
      </c>
      <c r="G82" s="3">
        <v>5286</v>
      </c>
      <c r="H82" s="3">
        <v>368</v>
      </c>
      <c r="I82" s="4">
        <v>1588.16</v>
      </c>
      <c r="J82" s="4">
        <v>33465.74</v>
      </c>
      <c r="K82" s="3">
        <v>267</v>
      </c>
      <c r="L82" s="2" t="s">
        <v>2523</v>
      </c>
      <c r="M82" s="2" t="s">
        <v>2524</v>
      </c>
    </row>
    <row r="83" spans="1:13" x14ac:dyDescent="0.3">
      <c r="A83" s="1">
        <v>45988</v>
      </c>
      <c r="B83" s="2" t="s">
        <v>2633</v>
      </c>
      <c r="C83" s="2" t="s">
        <v>2541</v>
      </c>
      <c r="D83" s="2" t="s">
        <v>2522</v>
      </c>
      <c r="E83" s="2" t="s">
        <v>2529</v>
      </c>
      <c r="F83" s="3">
        <v>7947</v>
      </c>
      <c r="G83" s="3">
        <v>546</v>
      </c>
      <c r="H83" s="3">
        <v>11</v>
      </c>
      <c r="I83" s="4">
        <v>681.04</v>
      </c>
      <c r="J83" s="4">
        <v>1400.69</v>
      </c>
      <c r="K83" s="3">
        <v>5</v>
      </c>
      <c r="L83" s="2" t="s">
        <v>2518</v>
      </c>
      <c r="M83" s="2" t="s">
        <v>2519</v>
      </c>
    </row>
    <row r="84" spans="1:13" x14ac:dyDescent="0.3">
      <c r="A84" s="1">
        <v>45678</v>
      </c>
      <c r="B84" s="2" t="s">
        <v>2616</v>
      </c>
      <c r="C84" s="2" t="s">
        <v>2543</v>
      </c>
      <c r="D84" s="2" t="s">
        <v>2525</v>
      </c>
      <c r="E84" s="2" t="s">
        <v>2529</v>
      </c>
      <c r="F84" s="3">
        <v>40689</v>
      </c>
      <c r="G84" s="3">
        <v>834</v>
      </c>
      <c r="H84" s="3">
        <v>91</v>
      </c>
      <c r="I84" s="4">
        <v>594.19000000000005</v>
      </c>
      <c r="J84" s="4">
        <v>8098.42</v>
      </c>
      <c r="K84" s="3">
        <v>48</v>
      </c>
      <c r="L84" s="2" t="s">
        <v>2518</v>
      </c>
      <c r="M84" s="2" t="s">
        <v>2524</v>
      </c>
    </row>
    <row r="85" spans="1:13" x14ac:dyDescent="0.3">
      <c r="A85" s="1">
        <v>45728</v>
      </c>
      <c r="B85" s="2" t="s">
        <v>2624</v>
      </c>
      <c r="C85" s="2" t="s">
        <v>2541</v>
      </c>
      <c r="D85" s="2" t="s">
        <v>2531</v>
      </c>
      <c r="E85" s="2" t="s">
        <v>2529</v>
      </c>
      <c r="F85" s="3">
        <v>19998</v>
      </c>
      <c r="G85" s="3">
        <v>92</v>
      </c>
      <c r="H85" s="3">
        <v>5</v>
      </c>
      <c r="I85" s="4">
        <v>190.04</v>
      </c>
      <c r="J85" s="4">
        <v>861.71</v>
      </c>
      <c r="K85" s="3">
        <v>2</v>
      </c>
      <c r="L85" s="2" t="s">
        <v>2523</v>
      </c>
      <c r="M85" s="2" t="s">
        <v>2537</v>
      </c>
    </row>
    <row r="86" spans="1:13" x14ac:dyDescent="0.3">
      <c r="A86" s="1">
        <v>46019</v>
      </c>
      <c r="B86" s="2" t="s">
        <v>2625</v>
      </c>
      <c r="C86" s="2" t="s">
        <v>2541</v>
      </c>
      <c r="D86" s="2" t="s">
        <v>2522</v>
      </c>
      <c r="E86" s="2" t="s">
        <v>2534</v>
      </c>
      <c r="F86" s="3">
        <v>41090</v>
      </c>
      <c r="G86" s="3">
        <v>886</v>
      </c>
      <c r="H86" s="3">
        <v>74</v>
      </c>
      <c r="I86" s="4">
        <v>378.97</v>
      </c>
      <c r="J86" s="4">
        <v>3753.55</v>
      </c>
      <c r="K86" s="3">
        <v>64</v>
      </c>
      <c r="L86" s="2" t="s">
        <v>2523</v>
      </c>
      <c r="M86" s="2" t="s">
        <v>2519</v>
      </c>
    </row>
    <row r="87" spans="1:13" x14ac:dyDescent="0.3">
      <c r="A87" s="1">
        <v>45685</v>
      </c>
      <c r="B87" s="2" t="s">
        <v>2636</v>
      </c>
      <c r="C87" s="2" t="s">
        <v>2515</v>
      </c>
      <c r="D87" s="2" t="s">
        <v>2525</v>
      </c>
      <c r="E87" s="2" t="s">
        <v>2534</v>
      </c>
      <c r="F87" s="3">
        <v>93340</v>
      </c>
      <c r="G87" s="3">
        <v>3758</v>
      </c>
      <c r="H87" s="3">
        <v>325</v>
      </c>
      <c r="I87" s="4">
        <v>7207.83</v>
      </c>
      <c r="J87" s="4">
        <v>50159.42</v>
      </c>
      <c r="K87" s="3">
        <v>205</v>
      </c>
      <c r="L87" s="2" t="s">
        <v>2523</v>
      </c>
      <c r="M87" s="2" t="s">
        <v>2526</v>
      </c>
    </row>
    <row r="88" spans="1:13" x14ac:dyDescent="0.3">
      <c r="A88" s="1">
        <v>45970</v>
      </c>
      <c r="B88" s="2" t="s">
        <v>2638</v>
      </c>
      <c r="C88" s="2" t="s">
        <v>2515</v>
      </c>
      <c r="D88" s="2" t="s">
        <v>2522</v>
      </c>
      <c r="E88" s="2" t="s">
        <v>2529</v>
      </c>
      <c r="F88" s="3">
        <v>168209</v>
      </c>
      <c r="G88" s="3">
        <v>4760</v>
      </c>
      <c r="H88" s="3">
        <v>445</v>
      </c>
      <c r="I88" s="4">
        <v>9212.81</v>
      </c>
      <c r="J88" s="4">
        <v>49516.92</v>
      </c>
      <c r="K88" s="3">
        <v>299</v>
      </c>
      <c r="L88" s="2" t="s">
        <v>2518</v>
      </c>
      <c r="M88" s="2" t="s">
        <v>2519</v>
      </c>
    </row>
    <row r="89" spans="1:13" x14ac:dyDescent="0.3">
      <c r="A89" s="1">
        <v>45952</v>
      </c>
      <c r="B89" s="2" t="s">
        <v>2642</v>
      </c>
      <c r="C89" s="2" t="s">
        <v>2515</v>
      </c>
      <c r="D89" s="2" t="s">
        <v>2528</v>
      </c>
      <c r="E89" s="2" t="s">
        <v>2529</v>
      </c>
      <c r="F89" s="3">
        <v>167113</v>
      </c>
      <c r="G89" s="3">
        <v>6183</v>
      </c>
      <c r="H89" s="3">
        <v>317</v>
      </c>
      <c r="I89" s="4">
        <v>8053.02</v>
      </c>
      <c r="J89" s="4">
        <v>17412.28</v>
      </c>
      <c r="K89" s="3">
        <v>239</v>
      </c>
      <c r="L89" s="2" t="s">
        <v>2536</v>
      </c>
      <c r="M89" s="2" t="s">
        <v>2526</v>
      </c>
    </row>
    <row r="90" spans="1:13" x14ac:dyDescent="0.3">
      <c r="A90" s="1">
        <v>45662</v>
      </c>
      <c r="B90" s="2" t="s">
        <v>2626</v>
      </c>
      <c r="C90" s="2" t="s">
        <v>2527</v>
      </c>
      <c r="D90" s="2" t="s">
        <v>2528</v>
      </c>
      <c r="E90" s="2" t="s">
        <v>2529</v>
      </c>
      <c r="F90" s="3">
        <v>97811</v>
      </c>
      <c r="G90" s="3">
        <v>501</v>
      </c>
      <c r="H90" s="3">
        <v>33</v>
      </c>
      <c r="I90" s="4">
        <v>968.45</v>
      </c>
      <c r="J90" s="4">
        <v>3617.76</v>
      </c>
      <c r="K90" s="3">
        <v>26</v>
      </c>
      <c r="L90" s="2" t="s">
        <v>2539</v>
      </c>
      <c r="M90" s="2" t="s">
        <v>2524</v>
      </c>
    </row>
    <row r="91" spans="1:13" x14ac:dyDescent="0.3">
      <c r="A91" s="1">
        <v>45745</v>
      </c>
      <c r="B91" s="2" t="s">
        <v>2642</v>
      </c>
      <c r="C91" s="2" t="s">
        <v>2527</v>
      </c>
      <c r="D91" s="2" t="s">
        <v>2528</v>
      </c>
      <c r="E91" s="2" t="s">
        <v>2517</v>
      </c>
      <c r="F91" s="3">
        <v>56013</v>
      </c>
      <c r="G91" s="3">
        <v>824</v>
      </c>
      <c r="H91" s="3">
        <v>113</v>
      </c>
      <c r="I91" s="4">
        <v>864.84</v>
      </c>
      <c r="J91" s="4">
        <v>8343.14</v>
      </c>
      <c r="K91" s="3">
        <v>65</v>
      </c>
      <c r="L91" s="2" t="s">
        <v>2523</v>
      </c>
      <c r="M91" s="2" t="s">
        <v>2546</v>
      </c>
    </row>
    <row r="92" spans="1:13" x14ac:dyDescent="0.3">
      <c r="A92" s="1">
        <v>45834</v>
      </c>
      <c r="B92" s="2" t="s">
        <v>2640</v>
      </c>
      <c r="C92" s="2" t="s">
        <v>2533</v>
      </c>
      <c r="D92" s="2" t="s">
        <v>2522</v>
      </c>
      <c r="E92" s="2" t="s">
        <v>2529</v>
      </c>
      <c r="F92" s="3">
        <v>168186</v>
      </c>
      <c r="G92" s="3">
        <v>12846</v>
      </c>
      <c r="H92" s="3">
        <v>248</v>
      </c>
      <c r="I92" s="4">
        <v>11843.19</v>
      </c>
      <c r="J92" s="4">
        <v>16511.03</v>
      </c>
      <c r="K92" s="3">
        <v>193</v>
      </c>
      <c r="L92" s="2" t="s">
        <v>2539</v>
      </c>
      <c r="M92" s="2" t="s">
        <v>2526</v>
      </c>
    </row>
    <row r="93" spans="1:13" x14ac:dyDescent="0.3">
      <c r="A93" s="1">
        <v>45770</v>
      </c>
      <c r="B93" s="2" t="s">
        <v>2627</v>
      </c>
      <c r="C93" s="2" t="s">
        <v>2527</v>
      </c>
      <c r="D93" s="2" t="s">
        <v>2531</v>
      </c>
      <c r="E93" s="2" t="s">
        <v>2529</v>
      </c>
      <c r="F93" s="3">
        <v>156107</v>
      </c>
      <c r="G93" s="3">
        <v>10929</v>
      </c>
      <c r="H93" s="3">
        <v>151</v>
      </c>
      <c r="I93" s="4">
        <v>14137.01</v>
      </c>
      <c r="J93" s="4">
        <v>25165.32</v>
      </c>
      <c r="K93" s="3">
        <v>106</v>
      </c>
      <c r="L93" s="2" t="s">
        <v>2523</v>
      </c>
      <c r="M93" s="2" t="s">
        <v>2519</v>
      </c>
    </row>
    <row r="94" spans="1:13" x14ac:dyDescent="0.3">
      <c r="A94" s="1">
        <v>45963</v>
      </c>
      <c r="B94" s="2" t="s">
        <v>2617</v>
      </c>
      <c r="C94" s="2" t="s">
        <v>2533</v>
      </c>
      <c r="D94" s="2" t="s">
        <v>2525</v>
      </c>
      <c r="E94" s="2" t="s">
        <v>2529</v>
      </c>
      <c r="F94" s="3">
        <v>107920</v>
      </c>
      <c r="G94" s="3">
        <v>2646</v>
      </c>
      <c r="H94" s="3">
        <v>80</v>
      </c>
      <c r="I94" s="4">
        <v>313.33999999999997</v>
      </c>
      <c r="J94" s="4">
        <v>16240.95</v>
      </c>
      <c r="K94" s="3">
        <v>70</v>
      </c>
      <c r="L94" s="2" t="s">
        <v>2536</v>
      </c>
      <c r="M94" s="2" t="s">
        <v>2526</v>
      </c>
    </row>
    <row r="95" spans="1:13" x14ac:dyDescent="0.3">
      <c r="A95" s="1">
        <v>45830</v>
      </c>
      <c r="B95" s="2" t="s">
        <v>2630</v>
      </c>
      <c r="C95" s="2" t="s">
        <v>2521</v>
      </c>
      <c r="D95" s="2" t="s">
        <v>2528</v>
      </c>
      <c r="E95" s="2" t="s">
        <v>2534</v>
      </c>
      <c r="F95" s="3">
        <v>149923</v>
      </c>
      <c r="G95" s="3">
        <v>13315</v>
      </c>
      <c r="H95" s="3">
        <v>1463</v>
      </c>
      <c r="I95" s="4">
        <v>10768.8</v>
      </c>
      <c r="J95" s="4">
        <v>89544.3</v>
      </c>
      <c r="K95" s="3">
        <v>1298</v>
      </c>
      <c r="L95" s="2" t="s">
        <v>2539</v>
      </c>
      <c r="M95" s="2" t="s">
        <v>2524</v>
      </c>
    </row>
    <row r="96" spans="1:13" x14ac:dyDescent="0.3">
      <c r="A96" s="1">
        <v>45888</v>
      </c>
      <c r="B96" s="2" t="s">
        <v>2618</v>
      </c>
      <c r="C96" s="2" t="s">
        <v>2521</v>
      </c>
      <c r="D96" s="2" t="s">
        <v>2531</v>
      </c>
      <c r="E96" s="2" t="s">
        <v>2517</v>
      </c>
      <c r="F96" s="3">
        <v>153656</v>
      </c>
      <c r="G96" s="3">
        <v>6271</v>
      </c>
      <c r="H96" s="3">
        <v>500</v>
      </c>
      <c r="I96" s="4">
        <v>12777.65</v>
      </c>
      <c r="J96" s="4">
        <v>13674.92</v>
      </c>
      <c r="K96" s="3">
        <v>260</v>
      </c>
      <c r="L96" s="2" t="s">
        <v>2536</v>
      </c>
      <c r="M96" s="2" t="s">
        <v>2526</v>
      </c>
    </row>
    <row r="97" spans="1:13" x14ac:dyDescent="0.3">
      <c r="A97" s="1">
        <v>45826</v>
      </c>
      <c r="B97" s="2" t="s">
        <v>2626</v>
      </c>
      <c r="C97" s="2" t="s">
        <v>2527</v>
      </c>
      <c r="D97" s="2" t="s">
        <v>2528</v>
      </c>
      <c r="E97" s="2" t="s">
        <v>2517</v>
      </c>
      <c r="F97" s="3">
        <v>50750</v>
      </c>
      <c r="G97" s="3">
        <v>742</v>
      </c>
      <c r="H97" s="3">
        <v>33</v>
      </c>
      <c r="I97" s="4">
        <v>121.99</v>
      </c>
      <c r="J97" s="4">
        <v>1482.78</v>
      </c>
      <c r="K97" s="3">
        <v>22</v>
      </c>
      <c r="L97" s="2" t="s">
        <v>2539</v>
      </c>
      <c r="M97" s="2" t="s">
        <v>2546</v>
      </c>
    </row>
    <row r="98" spans="1:13" x14ac:dyDescent="0.3">
      <c r="A98" s="1">
        <v>45854</v>
      </c>
      <c r="B98" s="2" t="s">
        <v>2618</v>
      </c>
      <c r="C98" s="2" t="s">
        <v>2521</v>
      </c>
      <c r="D98" s="2" t="s">
        <v>2531</v>
      </c>
      <c r="E98" s="2" t="s">
        <v>2529</v>
      </c>
      <c r="F98" s="3">
        <v>14125</v>
      </c>
      <c r="G98" s="3">
        <v>603</v>
      </c>
      <c r="H98" s="3">
        <v>7</v>
      </c>
      <c r="I98" s="4">
        <v>544.15</v>
      </c>
      <c r="J98" s="4">
        <v>785.17</v>
      </c>
      <c r="K98" s="3">
        <v>5</v>
      </c>
      <c r="L98" s="2" t="s">
        <v>2518</v>
      </c>
      <c r="M98" s="2" t="s">
        <v>2526</v>
      </c>
    </row>
    <row r="99" spans="1:13" x14ac:dyDescent="0.3">
      <c r="A99" s="1">
        <v>45930</v>
      </c>
      <c r="B99" s="2" t="s">
        <v>2625</v>
      </c>
      <c r="C99" s="2" t="s">
        <v>2533</v>
      </c>
      <c r="D99" s="2" t="s">
        <v>2528</v>
      </c>
      <c r="E99" s="2" t="s">
        <v>2517</v>
      </c>
      <c r="F99" s="3">
        <v>4605</v>
      </c>
      <c r="G99" s="3">
        <v>133</v>
      </c>
      <c r="H99" s="3">
        <v>16</v>
      </c>
      <c r="I99" s="4">
        <v>71.819999999999993</v>
      </c>
      <c r="J99" s="4">
        <v>2255.3200000000002</v>
      </c>
      <c r="K99" s="3">
        <v>10</v>
      </c>
      <c r="L99" s="2" t="s">
        <v>2539</v>
      </c>
      <c r="M99" s="2" t="s">
        <v>2524</v>
      </c>
    </row>
    <row r="100" spans="1:13" x14ac:dyDescent="0.3">
      <c r="A100" s="1">
        <v>45922</v>
      </c>
      <c r="B100" s="2" t="s">
        <v>2641</v>
      </c>
      <c r="C100" s="2" t="s">
        <v>2527</v>
      </c>
      <c r="D100" s="2" t="s">
        <v>2528</v>
      </c>
      <c r="E100" s="2" t="s">
        <v>2529</v>
      </c>
      <c r="F100" s="3">
        <v>110457</v>
      </c>
      <c r="G100" s="3">
        <v>2756</v>
      </c>
      <c r="H100" s="3">
        <v>71</v>
      </c>
      <c r="I100" s="4">
        <v>3572.7</v>
      </c>
      <c r="J100" s="4">
        <v>10415.200000000001</v>
      </c>
      <c r="K100" s="3">
        <v>38</v>
      </c>
      <c r="L100" s="2" t="s">
        <v>2536</v>
      </c>
      <c r="M100" s="2" t="s">
        <v>2537</v>
      </c>
    </row>
    <row r="101" spans="1:13" x14ac:dyDescent="0.3">
      <c r="A101" s="1">
        <v>46012</v>
      </c>
      <c r="B101" s="2" t="s">
        <v>2616</v>
      </c>
      <c r="C101" s="2" t="s">
        <v>2515</v>
      </c>
      <c r="D101" s="2" t="s">
        <v>2522</v>
      </c>
      <c r="E101" s="2" t="s">
        <v>2517</v>
      </c>
      <c r="F101" s="3">
        <v>9726</v>
      </c>
      <c r="G101" s="3">
        <v>296</v>
      </c>
      <c r="H101" s="3">
        <v>26</v>
      </c>
      <c r="I101" s="4">
        <v>102.51</v>
      </c>
      <c r="J101" s="4">
        <v>2620.52</v>
      </c>
      <c r="K101" s="3">
        <v>22</v>
      </c>
      <c r="L101" s="2" t="s">
        <v>2536</v>
      </c>
      <c r="M101" s="2" t="s">
        <v>2526</v>
      </c>
    </row>
    <row r="102" spans="1:13" x14ac:dyDescent="0.3">
      <c r="A102" s="1">
        <v>45672</v>
      </c>
      <c r="B102" s="2" t="s">
        <v>2634</v>
      </c>
      <c r="C102" s="2" t="s">
        <v>2541</v>
      </c>
      <c r="D102" s="2" t="s">
        <v>2528</v>
      </c>
      <c r="E102" s="2" t="s">
        <v>2517</v>
      </c>
      <c r="F102" s="3">
        <v>164689</v>
      </c>
      <c r="G102" s="3">
        <v>8202</v>
      </c>
      <c r="H102" s="3">
        <v>215</v>
      </c>
      <c r="I102" s="4">
        <v>17165.28</v>
      </c>
      <c r="J102" s="4">
        <v>9987.1</v>
      </c>
      <c r="K102" s="3">
        <v>156</v>
      </c>
      <c r="L102" s="2" t="s">
        <v>2539</v>
      </c>
      <c r="M102" s="2" t="s">
        <v>2524</v>
      </c>
    </row>
    <row r="103" spans="1:13" x14ac:dyDescent="0.3">
      <c r="A103" s="1">
        <v>45969</v>
      </c>
      <c r="B103" s="2" t="s">
        <v>2624</v>
      </c>
      <c r="C103" s="2" t="s">
        <v>2515</v>
      </c>
      <c r="D103" s="2" t="s">
        <v>2525</v>
      </c>
      <c r="E103" s="2" t="s">
        <v>2517</v>
      </c>
      <c r="F103" s="3">
        <v>24391</v>
      </c>
      <c r="G103" s="3">
        <v>1360</v>
      </c>
      <c r="H103" s="3">
        <v>179</v>
      </c>
      <c r="I103" s="4">
        <v>2162.02</v>
      </c>
      <c r="J103" s="4">
        <v>9403.73</v>
      </c>
      <c r="K103" s="3">
        <v>102</v>
      </c>
      <c r="L103" s="2" t="s">
        <v>2539</v>
      </c>
      <c r="M103" s="2" t="s">
        <v>2519</v>
      </c>
    </row>
    <row r="104" spans="1:13" x14ac:dyDescent="0.3">
      <c r="A104" s="1">
        <v>46008</v>
      </c>
      <c r="B104" s="2" t="s">
        <v>2616</v>
      </c>
      <c r="C104" s="2" t="s">
        <v>2527</v>
      </c>
      <c r="D104" s="2" t="s">
        <v>2516</v>
      </c>
      <c r="E104" s="2" t="s">
        <v>2517</v>
      </c>
      <c r="F104" s="3">
        <v>150402</v>
      </c>
      <c r="G104" s="3">
        <v>7857</v>
      </c>
      <c r="H104" s="3">
        <v>646</v>
      </c>
      <c r="I104" s="4">
        <v>8959.44</v>
      </c>
      <c r="J104" s="4">
        <v>13290.32</v>
      </c>
      <c r="K104" s="3">
        <v>314</v>
      </c>
      <c r="L104" s="2" t="s">
        <v>2523</v>
      </c>
      <c r="M104" s="2" t="s">
        <v>2524</v>
      </c>
    </row>
    <row r="105" spans="1:13" x14ac:dyDescent="0.3">
      <c r="A105" s="1">
        <v>45801</v>
      </c>
      <c r="B105" s="2" t="s">
        <v>2642</v>
      </c>
      <c r="C105" s="2" t="s">
        <v>2527</v>
      </c>
      <c r="D105" s="2" t="s">
        <v>2528</v>
      </c>
      <c r="E105" s="2" t="s">
        <v>2517</v>
      </c>
      <c r="F105" s="3">
        <v>58465</v>
      </c>
      <c r="G105" s="3">
        <v>354</v>
      </c>
      <c r="H105" s="3">
        <v>14</v>
      </c>
      <c r="I105" s="4">
        <v>204.68</v>
      </c>
      <c r="J105" s="4">
        <v>2616.19</v>
      </c>
      <c r="K105" s="3">
        <v>8</v>
      </c>
      <c r="L105" s="2" t="s">
        <v>2539</v>
      </c>
      <c r="M105" s="2" t="s">
        <v>2519</v>
      </c>
    </row>
    <row r="106" spans="1:13" x14ac:dyDescent="0.3">
      <c r="A106" s="1">
        <v>45705</v>
      </c>
      <c r="B106" s="2" t="s">
        <v>2618</v>
      </c>
      <c r="C106" s="2" t="s">
        <v>2533</v>
      </c>
      <c r="D106" s="2" t="s">
        <v>2525</v>
      </c>
      <c r="E106" s="2" t="s">
        <v>2534</v>
      </c>
      <c r="F106" s="3">
        <v>71713</v>
      </c>
      <c r="G106" s="3">
        <v>1171</v>
      </c>
      <c r="H106" s="3">
        <v>163</v>
      </c>
      <c r="I106" s="4">
        <v>946.06</v>
      </c>
      <c r="J106" s="4">
        <v>24678.32</v>
      </c>
      <c r="K106" s="3">
        <v>138</v>
      </c>
      <c r="L106" s="2" t="s">
        <v>2539</v>
      </c>
      <c r="M106" s="2" t="s">
        <v>2546</v>
      </c>
    </row>
    <row r="107" spans="1:13" x14ac:dyDescent="0.3">
      <c r="A107" s="1">
        <v>45823</v>
      </c>
      <c r="B107" s="2" t="s">
        <v>2615</v>
      </c>
      <c r="C107" s="2" t="s">
        <v>2543</v>
      </c>
      <c r="D107" s="2" t="s">
        <v>2522</v>
      </c>
      <c r="E107" s="2" t="s">
        <v>2534</v>
      </c>
      <c r="F107" s="3">
        <v>163297</v>
      </c>
      <c r="G107" s="3">
        <v>9413</v>
      </c>
      <c r="H107" s="3">
        <v>744</v>
      </c>
      <c r="I107" s="4">
        <v>8149.36</v>
      </c>
      <c r="J107" s="4">
        <v>37371.14</v>
      </c>
      <c r="K107" s="3">
        <v>559</v>
      </c>
      <c r="L107" s="2" t="s">
        <v>2523</v>
      </c>
      <c r="M107" s="2" t="s">
        <v>2524</v>
      </c>
    </row>
    <row r="108" spans="1:13" x14ac:dyDescent="0.3">
      <c r="A108" s="1">
        <v>45916</v>
      </c>
      <c r="B108" s="2" t="s">
        <v>2617</v>
      </c>
      <c r="C108" s="2" t="s">
        <v>2521</v>
      </c>
      <c r="D108" s="2" t="s">
        <v>2516</v>
      </c>
      <c r="E108" s="2" t="s">
        <v>2529</v>
      </c>
      <c r="F108" s="3">
        <v>126504</v>
      </c>
      <c r="G108" s="3">
        <v>7015</v>
      </c>
      <c r="H108" s="3">
        <v>797</v>
      </c>
      <c r="I108" s="4">
        <v>8333.2900000000009</v>
      </c>
      <c r="J108" s="4">
        <v>17445.59</v>
      </c>
      <c r="K108" s="3">
        <v>397</v>
      </c>
      <c r="L108" s="2" t="s">
        <v>2539</v>
      </c>
      <c r="M108" s="2" t="s">
        <v>2537</v>
      </c>
    </row>
    <row r="109" spans="1:13" x14ac:dyDescent="0.3">
      <c r="A109" s="1">
        <v>45940</v>
      </c>
      <c r="B109" s="2" t="s">
        <v>2631</v>
      </c>
      <c r="C109" s="2" t="s">
        <v>2533</v>
      </c>
      <c r="D109" s="2" t="s">
        <v>2516</v>
      </c>
      <c r="E109" s="2" t="s">
        <v>2517</v>
      </c>
      <c r="F109" s="3">
        <v>31074</v>
      </c>
      <c r="G109" s="3">
        <v>2691</v>
      </c>
      <c r="H109" s="3">
        <v>22</v>
      </c>
      <c r="I109" s="4">
        <v>598.20000000000005</v>
      </c>
      <c r="J109" s="4">
        <v>2082.5</v>
      </c>
      <c r="K109" s="3">
        <v>11</v>
      </c>
      <c r="L109" s="2" t="s">
        <v>2523</v>
      </c>
      <c r="M109" s="2" t="s">
        <v>2546</v>
      </c>
    </row>
    <row r="110" spans="1:13" x14ac:dyDescent="0.3">
      <c r="A110" s="1">
        <v>45769</v>
      </c>
      <c r="B110" s="2" t="s">
        <v>2622</v>
      </c>
      <c r="C110" s="2" t="s">
        <v>2515</v>
      </c>
      <c r="D110" s="2" t="s">
        <v>2528</v>
      </c>
      <c r="E110" s="2" t="s">
        <v>2534</v>
      </c>
      <c r="F110" s="3">
        <v>5691</v>
      </c>
      <c r="G110" s="3">
        <v>424</v>
      </c>
      <c r="H110" s="3">
        <v>56</v>
      </c>
      <c r="I110" s="4">
        <v>640.21</v>
      </c>
      <c r="J110" s="4">
        <v>9464.19</v>
      </c>
      <c r="K110" s="3">
        <v>30</v>
      </c>
      <c r="L110" s="2" t="s">
        <v>2523</v>
      </c>
      <c r="M110" s="2" t="s">
        <v>2537</v>
      </c>
    </row>
    <row r="111" spans="1:13" x14ac:dyDescent="0.3">
      <c r="A111" s="1">
        <v>45956</v>
      </c>
      <c r="B111" s="2" t="s">
        <v>2622</v>
      </c>
      <c r="C111" s="2" t="s">
        <v>2543</v>
      </c>
      <c r="D111" s="2" t="s">
        <v>2531</v>
      </c>
      <c r="E111" s="2" t="s">
        <v>2517</v>
      </c>
      <c r="F111" s="3">
        <v>102137</v>
      </c>
      <c r="G111" s="3">
        <v>5209</v>
      </c>
      <c r="H111" s="3">
        <v>416</v>
      </c>
      <c r="I111" s="4">
        <v>3330.71</v>
      </c>
      <c r="J111" s="4">
        <v>80667.89</v>
      </c>
      <c r="K111" s="3">
        <v>320</v>
      </c>
      <c r="L111" s="2" t="s">
        <v>2518</v>
      </c>
      <c r="M111" s="2" t="s">
        <v>2546</v>
      </c>
    </row>
    <row r="112" spans="1:13" x14ac:dyDescent="0.3">
      <c r="A112" s="1">
        <v>45998</v>
      </c>
      <c r="B112" s="2" t="s">
        <v>2622</v>
      </c>
      <c r="C112" s="2" t="s">
        <v>2515</v>
      </c>
      <c r="D112" s="2" t="s">
        <v>2522</v>
      </c>
      <c r="E112" s="2" t="s">
        <v>2529</v>
      </c>
      <c r="F112" s="3">
        <v>132147</v>
      </c>
      <c r="G112" s="3">
        <v>3443</v>
      </c>
      <c r="H112" s="3">
        <v>468</v>
      </c>
      <c r="I112" s="4">
        <v>3993.42</v>
      </c>
      <c r="J112" s="4">
        <v>84664.15</v>
      </c>
      <c r="K112" s="3">
        <v>312</v>
      </c>
      <c r="L112" s="2" t="s">
        <v>2536</v>
      </c>
      <c r="M112" s="2" t="s">
        <v>2537</v>
      </c>
    </row>
    <row r="113" spans="1:13" x14ac:dyDescent="0.3">
      <c r="A113" s="1">
        <v>45861</v>
      </c>
      <c r="B113" s="2" t="s">
        <v>2624</v>
      </c>
      <c r="C113" s="2" t="s">
        <v>2521</v>
      </c>
      <c r="D113" s="2" t="s">
        <v>2528</v>
      </c>
      <c r="E113" s="2" t="s">
        <v>2529</v>
      </c>
      <c r="F113" s="3">
        <v>133955</v>
      </c>
      <c r="G113" s="3">
        <v>3696</v>
      </c>
      <c r="H113" s="3">
        <v>153</v>
      </c>
      <c r="I113" s="4">
        <v>3680.78</v>
      </c>
      <c r="J113" s="4">
        <v>3128.82</v>
      </c>
      <c r="K113" s="3">
        <v>79</v>
      </c>
      <c r="L113" s="2" t="s">
        <v>2536</v>
      </c>
      <c r="M113" s="2" t="s">
        <v>2524</v>
      </c>
    </row>
    <row r="114" spans="1:13" x14ac:dyDescent="0.3">
      <c r="A114" s="1">
        <v>46018</v>
      </c>
      <c r="B114" s="2" t="s">
        <v>2616</v>
      </c>
      <c r="C114" s="2" t="s">
        <v>2533</v>
      </c>
      <c r="D114" s="2" t="s">
        <v>2528</v>
      </c>
      <c r="E114" s="2" t="s">
        <v>2517</v>
      </c>
      <c r="F114" s="3">
        <v>64939</v>
      </c>
      <c r="G114" s="3">
        <v>1976</v>
      </c>
      <c r="H114" s="3">
        <v>196</v>
      </c>
      <c r="I114" s="4">
        <v>3152.73</v>
      </c>
      <c r="J114" s="4">
        <v>26300.52</v>
      </c>
      <c r="K114" s="3">
        <v>151</v>
      </c>
      <c r="L114" s="2" t="s">
        <v>2518</v>
      </c>
      <c r="M114" s="2" t="s">
        <v>2524</v>
      </c>
    </row>
    <row r="115" spans="1:13" x14ac:dyDescent="0.3">
      <c r="A115" s="1">
        <v>45864</v>
      </c>
      <c r="B115" s="2" t="s">
        <v>2644</v>
      </c>
      <c r="C115" s="2" t="s">
        <v>2543</v>
      </c>
      <c r="D115" s="2" t="s">
        <v>2516</v>
      </c>
      <c r="E115" s="2" t="s">
        <v>2529</v>
      </c>
      <c r="F115" s="3">
        <v>114954</v>
      </c>
      <c r="G115" s="3">
        <v>5234</v>
      </c>
      <c r="H115" s="3">
        <v>528</v>
      </c>
      <c r="I115" s="4">
        <v>10691.29</v>
      </c>
      <c r="J115" s="4">
        <v>19430.849999999999</v>
      </c>
      <c r="K115" s="3">
        <v>406</v>
      </c>
      <c r="L115" s="2" t="s">
        <v>2536</v>
      </c>
      <c r="M115" s="2" t="s">
        <v>2546</v>
      </c>
    </row>
    <row r="116" spans="1:13" x14ac:dyDescent="0.3">
      <c r="A116" s="1">
        <v>45857</v>
      </c>
      <c r="B116" s="2" t="s">
        <v>2635</v>
      </c>
      <c r="C116" s="2" t="s">
        <v>2521</v>
      </c>
      <c r="D116" s="2" t="s">
        <v>2528</v>
      </c>
      <c r="E116" s="2" t="s">
        <v>2529</v>
      </c>
      <c r="F116" s="3">
        <v>87216</v>
      </c>
      <c r="G116" s="3">
        <v>2108</v>
      </c>
      <c r="H116" s="3">
        <v>210</v>
      </c>
      <c r="I116" s="4">
        <v>2454.09</v>
      </c>
      <c r="J116" s="4">
        <v>45379.1</v>
      </c>
      <c r="K116" s="3">
        <v>115</v>
      </c>
      <c r="L116" s="2" t="s">
        <v>2536</v>
      </c>
      <c r="M116" s="2" t="s">
        <v>2526</v>
      </c>
    </row>
    <row r="117" spans="1:13" x14ac:dyDescent="0.3">
      <c r="A117" s="1">
        <v>45960</v>
      </c>
      <c r="B117" s="2" t="s">
        <v>2632</v>
      </c>
      <c r="C117" s="2" t="s">
        <v>2515</v>
      </c>
      <c r="D117" s="2" t="s">
        <v>2528</v>
      </c>
      <c r="E117" s="2" t="s">
        <v>2517</v>
      </c>
      <c r="F117" s="3">
        <v>110960</v>
      </c>
      <c r="G117" s="3">
        <v>5601</v>
      </c>
      <c r="H117" s="3">
        <v>36</v>
      </c>
      <c r="I117" s="4">
        <v>1946.95</v>
      </c>
      <c r="J117" s="4">
        <v>1679.45</v>
      </c>
      <c r="K117" s="3">
        <v>21</v>
      </c>
      <c r="L117" s="2" t="s">
        <v>2539</v>
      </c>
      <c r="M117" s="2" t="s">
        <v>2546</v>
      </c>
    </row>
    <row r="118" spans="1:13" x14ac:dyDescent="0.3">
      <c r="A118" s="1">
        <v>45959</v>
      </c>
      <c r="B118" s="2" t="s">
        <v>2631</v>
      </c>
      <c r="C118" s="2" t="s">
        <v>2541</v>
      </c>
      <c r="D118" s="2" t="s">
        <v>2531</v>
      </c>
      <c r="E118" s="2" t="s">
        <v>2517</v>
      </c>
      <c r="F118" s="3">
        <v>116461</v>
      </c>
      <c r="G118" s="3">
        <v>2968</v>
      </c>
      <c r="H118" s="3">
        <v>241</v>
      </c>
      <c r="I118" s="4">
        <v>4277.7700000000004</v>
      </c>
      <c r="J118" s="4">
        <v>39297.040000000001</v>
      </c>
      <c r="K118" s="3">
        <v>188</v>
      </c>
      <c r="L118" s="2" t="s">
        <v>2518</v>
      </c>
      <c r="M118" s="2" t="s">
        <v>2519</v>
      </c>
    </row>
    <row r="119" spans="1:13" x14ac:dyDescent="0.3">
      <c r="A119" s="1">
        <v>45868</v>
      </c>
      <c r="B119" s="2" t="s">
        <v>2638</v>
      </c>
      <c r="C119" s="2" t="s">
        <v>2515</v>
      </c>
      <c r="D119" s="2" t="s">
        <v>2531</v>
      </c>
      <c r="E119" s="2" t="s">
        <v>2517</v>
      </c>
      <c r="F119" s="3">
        <v>135208</v>
      </c>
      <c r="G119" s="3">
        <v>1566</v>
      </c>
      <c r="H119" s="3">
        <v>197</v>
      </c>
      <c r="I119" s="4">
        <v>488.54</v>
      </c>
      <c r="J119" s="4">
        <v>28752.400000000001</v>
      </c>
      <c r="K119" s="3">
        <v>136</v>
      </c>
      <c r="L119" s="2" t="s">
        <v>2536</v>
      </c>
      <c r="M119" s="2" t="s">
        <v>2519</v>
      </c>
    </row>
    <row r="120" spans="1:13" x14ac:dyDescent="0.3">
      <c r="A120" s="1">
        <v>45982</v>
      </c>
      <c r="B120" s="2" t="s">
        <v>2631</v>
      </c>
      <c r="C120" s="2" t="s">
        <v>2533</v>
      </c>
      <c r="D120" s="2" t="s">
        <v>2528</v>
      </c>
      <c r="E120" s="2" t="s">
        <v>2529</v>
      </c>
      <c r="F120" s="3">
        <v>73777</v>
      </c>
      <c r="G120" s="3">
        <v>4368</v>
      </c>
      <c r="H120" s="3">
        <v>392</v>
      </c>
      <c r="I120" s="4">
        <v>2832.11</v>
      </c>
      <c r="J120" s="4">
        <v>44982.77</v>
      </c>
      <c r="K120" s="3">
        <v>352</v>
      </c>
      <c r="L120" s="2" t="s">
        <v>2523</v>
      </c>
      <c r="M120" s="2" t="s">
        <v>2546</v>
      </c>
    </row>
    <row r="121" spans="1:13" x14ac:dyDescent="0.3">
      <c r="A121" s="1">
        <v>45783</v>
      </c>
      <c r="B121" s="2" t="s">
        <v>2642</v>
      </c>
      <c r="C121" s="2" t="s">
        <v>2521</v>
      </c>
      <c r="D121" s="2" t="s">
        <v>2528</v>
      </c>
      <c r="E121" s="2" t="s">
        <v>2529</v>
      </c>
      <c r="F121" s="3">
        <v>4291</v>
      </c>
      <c r="G121" s="3">
        <v>45</v>
      </c>
      <c r="H121" s="3">
        <v>62</v>
      </c>
      <c r="I121" s="4">
        <v>24.22</v>
      </c>
      <c r="J121" s="4">
        <v>345.27</v>
      </c>
      <c r="K121" s="3">
        <v>3</v>
      </c>
      <c r="L121" s="2" t="s">
        <v>2536</v>
      </c>
      <c r="M121" s="2" t="s">
        <v>2537</v>
      </c>
    </row>
    <row r="122" spans="1:13" x14ac:dyDescent="0.3">
      <c r="A122" s="1">
        <v>45806</v>
      </c>
      <c r="B122" s="2" t="s">
        <v>2622</v>
      </c>
      <c r="C122" s="2" t="s">
        <v>2541</v>
      </c>
      <c r="D122" s="2" t="s">
        <v>2531</v>
      </c>
      <c r="E122" s="2" t="s">
        <v>2529</v>
      </c>
      <c r="F122" s="3">
        <v>113389</v>
      </c>
      <c r="G122" s="3">
        <v>8082</v>
      </c>
      <c r="H122" s="3">
        <v>55</v>
      </c>
      <c r="I122" s="4">
        <v>8745.5499999999993</v>
      </c>
      <c r="J122" s="4">
        <v>6590.93</v>
      </c>
      <c r="K122" s="3">
        <v>32</v>
      </c>
      <c r="L122" s="2" t="s">
        <v>2523</v>
      </c>
      <c r="M122" s="2" t="s">
        <v>2546</v>
      </c>
    </row>
    <row r="123" spans="1:13" x14ac:dyDescent="0.3">
      <c r="A123" s="1">
        <v>45781</v>
      </c>
      <c r="B123" s="2" t="s">
        <v>2644</v>
      </c>
      <c r="C123" s="2" t="s">
        <v>2543</v>
      </c>
      <c r="D123" s="2" t="s">
        <v>2522</v>
      </c>
      <c r="E123" s="2" t="s">
        <v>2529</v>
      </c>
      <c r="F123" s="3">
        <v>111620</v>
      </c>
      <c r="G123" s="3">
        <v>690</v>
      </c>
      <c r="H123" s="3">
        <v>41</v>
      </c>
      <c r="I123" s="4">
        <v>603.36</v>
      </c>
      <c r="J123" s="4">
        <v>6363.86</v>
      </c>
      <c r="K123" s="3">
        <v>23</v>
      </c>
      <c r="L123" s="2" t="s">
        <v>2536</v>
      </c>
      <c r="M123" s="2" t="s">
        <v>2524</v>
      </c>
    </row>
    <row r="124" spans="1:13" x14ac:dyDescent="0.3">
      <c r="A124" s="1">
        <v>45775</v>
      </c>
      <c r="B124" s="2" t="s">
        <v>2624</v>
      </c>
      <c r="C124" s="2" t="s">
        <v>2515</v>
      </c>
      <c r="D124" s="2" t="s">
        <v>2531</v>
      </c>
      <c r="E124" s="2" t="s">
        <v>2529</v>
      </c>
      <c r="F124" s="3">
        <v>152550</v>
      </c>
      <c r="G124" s="3">
        <v>9882</v>
      </c>
      <c r="H124" s="3">
        <v>276</v>
      </c>
      <c r="I124" s="4">
        <v>1384.37</v>
      </c>
      <c r="J124" s="4">
        <v>21403.25</v>
      </c>
      <c r="K124" s="3">
        <v>242</v>
      </c>
      <c r="L124" s="2" t="s">
        <v>2518</v>
      </c>
      <c r="M124" s="2" t="s">
        <v>2537</v>
      </c>
    </row>
    <row r="125" spans="1:13" x14ac:dyDescent="0.3">
      <c r="A125" s="1">
        <v>45698</v>
      </c>
      <c r="B125" s="2" t="s">
        <v>2619</v>
      </c>
      <c r="C125" s="2" t="s">
        <v>2515</v>
      </c>
      <c r="D125" s="2" t="s">
        <v>2525</v>
      </c>
      <c r="E125" s="2" t="s">
        <v>2534</v>
      </c>
      <c r="F125" s="3">
        <v>112119</v>
      </c>
      <c r="G125" s="3">
        <v>6380</v>
      </c>
      <c r="H125" s="3">
        <v>601</v>
      </c>
      <c r="I125" s="4">
        <v>1706.79</v>
      </c>
      <c r="J125" s="4">
        <v>54102.23</v>
      </c>
      <c r="K125" s="3">
        <v>475</v>
      </c>
      <c r="L125" s="2" t="s">
        <v>2518</v>
      </c>
      <c r="M125" s="2" t="s">
        <v>2526</v>
      </c>
    </row>
    <row r="126" spans="1:13" x14ac:dyDescent="0.3">
      <c r="A126" s="1">
        <v>45803</v>
      </c>
      <c r="B126" s="2" t="s">
        <v>2625</v>
      </c>
      <c r="C126" s="2" t="s">
        <v>2543</v>
      </c>
      <c r="D126" s="2" t="s">
        <v>2528</v>
      </c>
      <c r="E126" s="2" t="s">
        <v>2517</v>
      </c>
      <c r="F126" s="3">
        <v>63469</v>
      </c>
      <c r="G126" s="3">
        <v>4281</v>
      </c>
      <c r="H126" s="3">
        <v>215</v>
      </c>
      <c r="I126" s="4">
        <v>5713.43</v>
      </c>
      <c r="J126" s="4">
        <v>27455.77</v>
      </c>
      <c r="K126" s="3">
        <v>160</v>
      </c>
      <c r="L126" s="2" t="s">
        <v>2539</v>
      </c>
      <c r="M126" s="2" t="s">
        <v>2519</v>
      </c>
    </row>
    <row r="127" spans="1:13" x14ac:dyDescent="0.3">
      <c r="A127" s="1">
        <v>45710</v>
      </c>
      <c r="B127" s="2" t="s">
        <v>2640</v>
      </c>
      <c r="C127" s="2" t="s">
        <v>2521</v>
      </c>
      <c r="D127" s="2" t="s">
        <v>2528</v>
      </c>
      <c r="E127" s="2" t="s">
        <v>2517</v>
      </c>
      <c r="F127" s="3">
        <v>147884</v>
      </c>
      <c r="G127" s="3">
        <v>3787</v>
      </c>
      <c r="H127" s="3">
        <v>390</v>
      </c>
      <c r="I127" s="4">
        <v>6465.2</v>
      </c>
      <c r="J127" s="4">
        <v>66488.03</v>
      </c>
      <c r="K127" s="3">
        <v>176</v>
      </c>
      <c r="L127" s="2" t="s">
        <v>2518</v>
      </c>
      <c r="M127" s="2" t="s">
        <v>2524</v>
      </c>
    </row>
    <row r="128" spans="1:13" x14ac:dyDescent="0.3">
      <c r="A128" s="1">
        <v>46008</v>
      </c>
      <c r="B128" s="2" t="s">
        <v>2621</v>
      </c>
      <c r="C128" s="2" t="s">
        <v>2527</v>
      </c>
      <c r="D128" s="2" t="s">
        <v>2522</v>
      </c>
      <c r="E128" s="2" t="s">
        <v>2517</v>
      </c>
      <c r="F128" s="3">
        <v>133022</v>
      </c>
      <c r="G128" s="3">
        <v>10526</v>
      </c>
      <c r="H128" s="3">
        <v>1091</v>
      </c>
      <c r="I128" s="4">
        <v>1592.72</v>
      </c>
      <c r="J128" s="4">
        <v>21694.43</v>
      </c>
      <c r="K128" s="3">
        <v>846</v>
      </c>
      <c r="L128" s="2" t="s">
        <v>2539</v>
      </c>
      <c r="M128" s="2" t="s">
        <v>2546</v>
      </c>
    </row>
    <row r="129" spans="1:13" x14ac:dyDescent="0.3">
      <c r="A129" s="1">
        <v>46019</v>
      </c>
      <c r="B129" s="2" t="s">
        <v>2625</v>
      </c>
      <c r="C129" s="2" t="s">
        <v>2533</v>
      </c>
      <c r="D129" s="2" t="s">
        <v>2516</v>
      </c>
      <c r="E129" s="2" t="s">
        <v>2517</v>
      </c>
      <c r="F129" s="3">
        <v>100094</v>
      </c>
      <c r="G129" s="3">
        <v>1969</v>
      </c>
      <c r="H129" s="3">
        <v>134</v>
      </c>
      <c r="I129" s="4">
        <v>2790.29</v>
      </c>
      <c r="J129" s="4">
        <v>23430.25</v>
      </c>
      <c r="K129" s="3">
        <v>106</v>
      </c>
      <c r="L129" s="2" t="s">
        <v>2518</v>
      </c>
      <c r="M129" s="2" t="s">
        <v>2524</v>
      </c>
    </row>
    <row r="130" spans="1:13" x14ac:dyDescent="0.3">
      <c r="A130" s="1">
        <v>45935</v>
      </c>
      <c r="B130" s="2" t="s">
        <v>2628</v>
      </c>
      <c r="C130" s="2" t="s">
        <v>2645</v>
      </c>
      <c r="D130" s="2" t="s">
        <v>2522</v>
      </c>
      <c r="E130" s="2" t="s">
        <v>2529</v>
      </c>
      <c r="F130" s="3">
        <v>103365</v>
      </c>
      <c r="G130" s="3">
        <v>6169</v>
      </c>
      <c r="H130" s="3">
        <v>521</v>
      </c>
      <c r="I130" s="4">
        <v>12257.09</v>
      </c>
      <c r="J130" s="4">
        <v>70918.399999999994</v>
      </c>
      <c r="K130" s="3">
        <v>364</v>
      </c>
      <c r="L130" s="2" t="s">
        <v>2536</v>
      </c>
      <c r="M130" s="2" t="s">
        <v>2526</v>
      </c>
    </row>
    <row r="131" spans="1:13" x14ac:dyDescent="0.3">
      <c r="A131" s="1">
        <v>45766</v>
      </c>
      <c r="B131" s="2" t="s">
        <v>2638</v>
      </c>
      <c r="C131" s="2" t="s">
        <v>2533</v>
      </c>
      <c r="D131" s="2" t="s">
        <v>2522</v>
      </c>
      <c r="E131" s="2" t="s">
        <v>2534</v>
      </c>
      <c r="F131" s="3">
        <v>31914</v>
      </c>
      <c r="G131" s="3">
        <v>856</v>
      </c>
      <c r="H131" s="3">
        <v>66</v>
      </c>
      <c r="I131" s="4">
        <v>892.79</v>
      </c>
      <c r="J131" s="4">
        <v>4847.6400000000003</v>
      </c>
      <c r="K131" s="3">
        <v>36</v>
      </c>
      <c r="L131" s="2" t="s">
        <v>2523</v>
      </c>
      <c r="M131" s="2" t="s">
        <v>2537</v>
      </c>
    </row>
    <row r="132" spans="1:13" x14ac:dyDescent="0.3">
      <c r="A132" s="1">
        <v>45665</v>
      </c>
      <c r="B132" s="2" t="s">
        <v>2621</v>
      </c>
      <c r="C132" s="2" t="s">
        <v>2533</v>
      </c>
      <c r="D132" s="2" t="s">
        <v>2525</v>
      </c>
      <c r="E132" s="2" t="s">
        <v>2529</v>
      </c>
      <c r="F132" s="3">
        <v>138819</v>
      </c>
      <c r="G132" s="3">
        <v>2950</v>
      </c>
      <c r="H132" s="3">
        <v>187</v>
      </c>
      <c r="I132" s="4">
        <v>4263.57</v>
      </c>
      <c r="J132" s="4">
        <v>24624.94</v>
      </c>
      <c r="K132" s="3">
        <v>89</v>
      </c>
      <c r="L132" s="2" t="s">
        <v>2539</v>
      </c>
      <c r="M132" s="2" t="s">
        <v>2524</v>
      </c>
    </row>
    <row r="133" spans="1:13" x14ac:dyDescent="0.3">
      <c r="A133" s="1">
        <v>45916</v>
      </c>
      <c r="B133" s="2" t="s">
        <v>2615</v>
      </c>
      <c r="C133" s="2" t="s">
        <v>2533</v>
      </c>
      <c r="D133" s="2" t="s">
        <v>2531</v>
      </c>
      <c r="E133" s="2" t="s">
        <v>2529</v>
      </c>
      <c r="F133" s="3">
        <v>36595</v>
      </c>
      <c r="G133" s="3">
        <v>1891</v>
      </c>
      <c r="H133" s="3">
        <v>109</v>
      </c>
      <c r="I133" s="4">
        <v>2139.31</v>
      </c>
      <c r="J133" s="4">
        <v>19247.150000000001</v>
      </c>
      <c r="K133" s="3">
        <v>79</v>
      </c>
      <c r="L133" s="2" t="s">
        <v>2536</v>
      </c>
      <c r="M133" s="2" t="s">
        <v>2546</v>
      </c>
    </row>
    <row r="134" spans="1:13" x14ac:dyDescent="0.3">
      <c r="A134" s="1">
        <v>45836</v>
      </c>
      <c r="B134" s="2" t="s">
        <v>2619</v>
      </c>
      <c r="C134" s="2" t="s">
        <v>2543</v>
      </c>
      <c r="D134" s="2" t="s">
        <v>2528</v>
      </c>
      <c r="E134" s="2" t="s">
        <v>2517</v>
      </c>
      <c r="F134" s="3">
        <v>164535</v>
      </c>
      <c r="G134" s="3">
        <v>3912</v>
      </c>
      <c r="H134" s="3">
        <v>539</v>
      </c>
      <c r="I134" s="4">
        <v>4300.55</v>
      </c>
      <c r="J134" s="4">
        <v>58327.65</v>
      </c>
      <c r="K134" s="3">
        <v>249</v>
      </c>
      <c r="L134" s="2" t="s">
        <v>2536</v>
      </c>
      <c r="M134" s="2" t="s">
        <v>2546</v>
      </c>
    </row>
    <row r="135" spans="1:13" x14ac:dyDescent="0.3">
      <c r="A135" s="1">
        <v>45870</v>
      </c>
      <c r="B135" s="2" t="s">
        <v>2636</v>
      </c>
      <c r="C135" s="2" t="s">
        <v>2521</v>
      </c>
      <c r="D135" s="2" t="s">
        <v>2528</v>
      </c>
      <c r="E135" s="2" t="s">
        <v>2517</v>
      </c>
      <c r="F135" s="3">
        <v>27241</v>
      </c>
      <c r="G135" s="3">
        <v>1316</v>
      </c>
      <c r="H135" s="3">
        <v>88</v>
      </c>
      <c r="I135" s="4">
        <v>664.57</v>
      </c>
      <c r="J135" s="4">
        <v>4930.3900000000003</v>
      </c>
      <c r="K135" s="3">
        <v>46</v>
      </c>
      <c r="L135" s="2" t="s">
        <v>2518</v>
      </c>
      <c r="M135" s="2" t="s">
        <v>2526</v>
      </c>
    </row>
    <row r="136" spans="1:13" x14ac:dyDescent="0.3">
      <c r="A136" s="1">
        <v>45805</v>
      </c>
      <c r="B136" s="2" t="s">
        <v>2638</v>
      </c>
      <c r="C136" s="2" t="s">
        <v>2521</v>
      </c>
      <c r="D136" s="2" t="s">
        <v>2528</v>
      </c>
      <c r="E136" s="2" t="s">
        <v>2517</v>
      </c>
      <c r="F136" s="3">
        <v>68241</v>
      </c>
      <c r="G136" s="3">
        <v>5400</v>
      </c>
      <c r="H136" s="3">
        <v>76</v>
      </c>
      <c r="I136" s="4">
        <v>5656.65</v>
      </c>
      <c r="J136" s="4">
        <v>7573.44</v>
      </c>
      <c r="K136" s="3">
        <v>55</v>
      </c>
      <c r="L136" s="2" t="s">
        <v>2523</v>
      </c>
      <c r="M136" s="2" t="s">
        <v>2537</v>
      </c>
    </row>
    <row r="137" spans="1:13" x14ac:dyDescent="0.3">
      <c r="A137" s="1">
        <v>45728</v>
      </c>
      <c r="B137" s="2" t="s">
        <v>2639</v>
      </c>
      <c r="C137" s="2" t="s">
        <v>2543</v>
      </c>
      <c r="D137" s="2" t="s">
        <v>2531</v>
      </c>
      <c r="E137" s="2" t="s">
        <v>2517</v>
      </c>
      <c r="F137" s="3">
        <v>116273</v>
      </c>
      <c r="G137" s="3">
        <v>7385</v>
      </c>
      <c r="H137" s="3">
        <v>510</v>
      </c>
      <c r="I137" s="4">
        <v>13188.13</v>
      </c>
      <c r="J137" s="4">
        <v>90766.58</v>
      </c>
      <c r="K137" s="3">
        <v>315</v>
      </c>
      <c r="L137" s="2" t="s">
        <v>2536</v>
      </c>
      <c r="M137" s="2" t="s">
        <v>2519</v>
      </c>
    </row>
    <row r="138" spans="1:13" x14ac:dyDescent="0.3">
      <c r="A138" s="1">
        <v>46005</v>
      </c>
      <c r="B138" s="2" t="s">
        <v>2635</v>
      </c>
      <c r="C138" s="2" t="s">
        <v>2527</v>
      </c>
      <c r="D138" s="2" t="s">
        <v>2516</v>
      </c>
      <c r="E138" s="2" t="s">
        <v>2517</v>
      </c>
      <c r="F138" s="3">
        <v>50511</v>
      </c>
      <c r="G138" s="3">
        <v>290</v>
      </c>
      <c r="H138" s="3">
        <v>34</v>
      </c>
      <c r="I138" s="4">
        <v>552.38</v>
      </c>
      <c r="J138" s="4">
        <v>3612.1</v>
      </c>
      <c r="K138" s="3">
        <v>30</v>
      </c>
      <c r="L138" s="2" t="s">
        <v>2523</v>
      </c>
      <c r="M138" s="2" t="s">
        <v>2537</v>
      </c>
    </row>
    <row r="139" spans="1:13" x14ac:dyDescent="0.3">
      <c r="A139" s="1">
        <v>45917</v>
      </c>
      <c r="B139" s="2" t="s">
        <v>2634</v>
      </c>
      <c r="C139" s="2" t="s">
        <v>2515</v>
      </c>
      <c r="D139" s="2" t="s">
        <v>2531</v>
      </c>
      <c r="E139" s="2" t="s">
        <v>2517</v>
      </c>
      <c r="F139" s="3">
        <v>82692</v>
      </c>
      <c r="G139" s="3">
        <v>6137</v>
      </c>
      <c r="H139" s="3">
        <v>337</v>
      </c>
      <c r="I139" s="4">
        <v>2284.7199999999998</v>
      </c>
      <c r="J139" s="4">
        <v>73323.360000000001</v>
      </c>
      <c r="K139" s="3">
        <v>266</v>
      </c>
      <c r="L139" s="2" t="s">
        <v>2518</v>
      </c>
      <c r="M139" s="2" t="s">
        <v>2526</v>
      </c>
    </row>
    <row r="140" spans="1:13" x14ac:dyDescent="0.3">
      <c r="A140" s="1">
        <v>45729</v>
      </c>
      <c r="B140" s="2" t="s">
        <v>2643</v>
      </c>
      <c r="C140" s="2" t="s">
        <v>2515</v>
      </c>
      <c r="D140" s="2" t="s">
        <v>2528</v>
      </c>
      <c r="E140" s="2" t="s">
        <v>2517</v>
      </c>
      <c r="F140" s="3">
        <v>24708</v>
      </c>
      <c r="G140" s="3">
        <v>1803</v>
      </c>
      <c r="H140" s="3">
        <v>151</v>
      </c>
      <c r="I140" s="4">
        <v>947.2</v>
      </c>
      <c r="J140" s="4">
        <v>30738.35</v>
      </c>
      <c r="K140" s="3">
        <v>127</v>
      </c>
      <c r="L140" s="2" t="s">
        <v>2523</v>
      </c>
      <c r="M140" s="2" t="s">
        <v>2526</v>
      </c>
    </row>
    <row r="141" spans="1:13" x14ac:dyDescent="0.3">
      <c r="A141" s="1">
        <v>45701</v>
      </c>
      <c r="B141" s="2" t="s">
        <v>2633</v>
      </c>
      <c r="C141" s="2" t="s">
        <v>2515</v>
      </c>
      <c r="D141" s="2" t="s">
        <v>2528</v>
      </c>
      <c r="E141" s="2" t="s">
        <v>2529</v>
      </c>
      <c r="F141" s="3">
        <v>109330</v>
      </c>
      <c r="G141" s="3">
        <v>9561</v>
      </c>
      <c r="H141" s="3">
        <v>959</v>
      </c>
      <c r="I141" s="4">
        <v>11031.29</v>
      </c>
      <c r="J141" s="4">
        <v>171417.69</v>
      </c>
      <c r="K141" s="3">
        <v>634</v>
      </c>
      <c r="L141" s="2" t="s">
        <v>2536</v>
      </c>
      <c r="M141" s="2" t="s">
        <v>2537</v>
      </c>
    </row>
    <row r="142" spans="1:13" x14ac:dyDescent="0.3">
      <c r="A142" s="1">
        <v>45664</v>
      </c>
      <c r="B142" s="2" t="s">
        <v>2625</v>
      </c>
      <c r="C142" s="2" t="s">
        <v>2543</v>
      </c>
      <c r="D142" s="2" t="s">
        <v>2528</v>
      </c>
      <c r="E142" s="2" t="s">
        <v>2529</v>
      </c>
      <c r="F142" s="3">
        <v>127287</v>
      </c>
      <c r="G142" s="3">
        <v>2984</v>
      </c>
      <c r="H142" s="3">
        <v>355</v>
      </c>
      <c r="I142" s="4">
        <v>5481.3</v>
      </c>
      <c r="J142" s="4">
        <v>36120.639999999999</v>
      </c>
      <c r="K142" s="3">
        <v>300</v>
      </c>
      <c r="L142" s="2" t="s">
        <v>2518</v>
      </c>
      <c r="M142" s="2" t="s">
        <v>2526</v>
      </c>
    </row>
    <row r="143" spans="1:13" x14ac:dyDescent="0.3">
      <c r="A143" s="1">
        <v>45727</v>
      </c>
      <c r="B143" s="2" t="s">
        <v>2634</v>
      </c>
      <c r="C143" s="2" t="s">
        <v>2533</v>
      </c>
      <c r="D143" s="2" t="s">
        <v>2528</v>
      </c>
      <c r="E143" s="2" t="s">
        <v>2517</v>
      </c>
      <c r="F143" s="3">
        <v>3205</v>
      </c>
      <c r="G143" s="3">
        <v>93</v>
      </c>
      <c r="H143" s="3">
        <v>5</v>
      </c>
      <c r="I143" s="4">
        <v>104.64</v>
      </c>
      <c r="J143" s="4">
        <v>308.27</v>
      </c>
      <c r="K143" s="3">
        <v>3</v>
      </c>
      <c r="L143" s="2" t="s">
        <v>2523</v>
      </c>
      <c r="M143" s="2" t="s">
        <v>2645</v>
      </c>
    </row>
    <row r="144" spans="1:13" x14ac:dyDescent="0.3">
      <c r="A144" s="1">
        <v>45747</v>
      </c>
      <c r="B144" s="2" t="s">
        <v>2618</v>
      </c>
      <c r="C144" s="2" t="s">
        <v>2541</v>
      </c>
      <c r="D144" s="2" t="s">
        <v>2516</v>
      </c>
      <c r="E144" s="2" t="s">
        <v>2529</v>
      </c>
      <c r="F144" s="3">
        <v>143186</v>
      </c>
      <c r="G144" s="3">
        <v>4151</v>
      </c>
      <c r="H144" s="3">
        <v>383</v>
      </c>
      <c r="I144" s="4">
        <v>5318.8</v>
      </c>
      <c r="J144" s="4">
        <v>26849.63</v>
      </c>
      <c r="K144" s="3">
        <v>300</v>
      </c>
      <c r="L144" s="2" t="s">
        <v>2536</v>
      </c>
      <c r="M144" s="2" t="s">
        <v>2537</v>
      </c>
    </row>
    <row r="145" spans="1:13" x14ac:dyDescent="0.3">
      <c r="A145" s="1">
        <v>45939</v>
      </c>
      <c r="B145" s="2" t="s">
        <v>2628</v>
      </c>
      <c r="C145" s="2" t="s">
        <v>2541</v>
      </c>
      <c r="D145" s="2" t="s">
        <v>2528</v>
      </c>
      <c r="E145" s="2" t="s">
        <v>2517</v>
      </c>
      <c r="F145" s="3">
        <v>159308</v>
      </c>
      <c r="G145" s="3">
        <v>10535</v>
      </c>
      <c r="H145" s="3">
        <v>140</v>
      </c>
      <c r="I145" s="4">
        <v>8913.76</v>
      </c>
      <c r="J145" s="4">
        <v>18838.45</v>
      </c>
      <c r="K145" s="3">
        <v>96</v>
      </c>
      <c r="L145" s="2" t="s">
        <v>2539</v>
      </c>
      <c r="M145" s="2" t="s">
        <v>2519</v>
      </c>
    </row>
    <row r="146" spans="1:13" x14ac:dyDescent="0.3">
      <c r="A146" s="1">
        <v>45725</v>
      </c>
      <c r="B146" s="2" t="s">
        <v>2626</v>
      </c>
      <c r="C146" s="2" t="s">
        <v>2527</v>
      </c>
      <c r="D146" s="2" t="s">
        <v>2525</v>
      </c>
      <c r="E146" s="2" t="s">
        <v>2529</v>
      </c>
      <c r="F146" s="3">
        <v>171401</v>
      </c>
      <c r="G146" s="3">
        <v>8378</v>
      </c>
      <c r="H146" s="3">
        <v>241</v>
      </c>
      <c r="I146" s="4">
        <v>17294.599999999999</v>
      </c>
      <c r="J146" s="4">
        <v>30380.080000000002</v>
      </c>
      <c r="K146" s="3">
        <v>180</v>
      </c>
      <c r="L146" s="2" t="s">
        <v>2539</v>
      </c>
      <c r="M146" s="2" t="s">
        <v>2526</v>
      </c>
    </row>
    <row r="147" spans="1:13" x14ac:dyDescent="0.3">
      <c r="A147" s="1">
        <v>45988</v>
      </c>
      <c r="B147" s="2" t="s">
        <v>2637</v>
      </c>
      <c r="C147" s="2" t="s">
        <v>2645</v>
      </c>
      <c r="D147" s="2" t="s">
        <v>2528</v>
      </c>
      <c r="E147" s="2" t="s">
        <v>2529</v>
      </c>
      <c r="F147" s="3">
        <v>56296</v>
      </c>
      <c r="G147" s="3">
        <v>2915</v>
      </c>
      <c r="H147" s="3">
        <v>404</v>
      </c>
      <c r="I147" s="4">
        <v>5926.51</v>
      </c>
      <c r="J147" s="4">
        <v>75911.75</v>
      </c>
      <c r="K147" s="3">
        <v>296</v>
      </c>
      <c r="L147" s="2" t="s">
        <v>2518</v>
      </c>
      <c r="M147" s="2" t="s">
        <v>2546</v>
      </c>
    </row>
    <row r="148" spans="1:13" x14ac:dyDescent="0.3">
      <c r="A148" s="1">
        <v>45832</v>
      </c>
      <c r="B148" s="2" t="s">
        <v>2642</v>
      </c>
      <c r="C148" s="2" t="s">
        <v>2515</v>
      </c>
      <c r="D148" s="2" t="s">
        <v>2528</v>
      </c>
      <c r="E148" s="2" t="s">
        <v>2517</v>
      </c>
      <c r="F148" s="3">
        <v>65635</v>
      </c>
      <c r="G148" s="3">
        <v>1596</v>
      </c>
      <c r="H148" s="3">
        <v>219</v>
      </c>
      <c r="I148" s="4">
        <v>1057.81</v>
      </c>
      <c r="J148" s="4">
        <v>17550.599999999999</v>
      </c>
      <c r="K148" s="3">
        <v>136</v>
      </c>
      <c r="L148" s="2" t="s">
        <v>2539</v>
      </c>
      <c r="M148" s="2" t="s">
        <v>2524</v>
      </c>
    </row>
    <row r="149" spans="1:13" x14ac:dyDescent="0.3">
      <c r="A149" s="1">
        <v>45812</v>
      </c>
      <c r="B149" s="2" t="s">
        <v>2618</v>
      </c>
      <c r="C149" s="2" t="s">
        <v>2541</v>
      </c>
      <c r="D149" s="2" t="s">
        <v>2516</v>
      </c>
      <c r="E149" s="2" t="s">
        <v>2529</v>
      </c>
      <c r="F149" s="3">
        <v>126856</v>
      </c>
      <c r="G149" s="3">
        <v>551</v>
      </c>
      <c r="H149" s="3">
        <v>48</v>
      </c>
      <c r="I149" s="4">
        <v>226.62</v>
      </c>
      <c r="J149" s="4">
        <v>1452.3</v>
      </c>
      <c r="K149" s="3">
        <v>28</v>
      </c>
      <c r="L149" s="2" t="s">
        <v>2523</v>
      </c>
      <c r="M149" s="2" t="s">
        <v>2526</v>
      </c>
    </row>
    <row r="150" spans="1:13" x14ac:dyDescent="0.3">
      <c r="A150" s="1">
        <v>45901</v>
      </c>
      <c r="B150" s="2" t="s">
        <v>2622</v>
      </c>
      <c r="C150" s="2" t="s">
        <v>2541</v>
      </c>
      <c r="D150" s="2" t="s">
        <v>2528</v>
      </c>
      <c r="E150" s="2" t="s">
        <v>2517</v>
      </c>
      <c r="F150" s="3">
        <v>151546</v>
      </c>
      <c r="G150" s="3">
        <v>706</v>
      </c>
      <c r="H150" s="3">
        <v>14</v>
      </c>
      <c r="I150" s="4">
        <v>852.88</v>
      </c>
      <c r="J150" s="4">
        <v>1939.33</v>
      </c>
      <c r="K150" s="3">
        <v>7</v>
      </c>
      <c r="L150" s="2" t="s">
        <v>2523</v>
      </c>
      <c r="M150" s="2" t="s">
        <v>2524</v>
      </c>
    </row>
    <row r="151" spans="1:13" x14ac:dyDescent="0.3">
      <c r="A151" s="1">
        <v>45880</v>
      </c>
      <c r="B151" s="2" t="s">
        <v>2633</v>
      </c>
      <c r="C151" s="2" t="s">
        <v>2533</v>
      </c>
      <c r="D151" s="2" t="s">
        <v>2528</v>
      </c>
      <c r="E151" s="2" t="s">
        <v>2529</v>
      </c>
      <c r="F151" s="3">
        <v>150117</v>
      </c>
      <c r="G151" s="3">
        <v>8309</v>
      </c>
      <c r="H151" s="3">
        <v>450</v>
      </c>
      <c r="I151" s="4">
        <v>7578.69</v>
      </c>
      <c r="J151" s="4">
        <v>81946.09</v>
      </c>
      <c r="K151" s="3">
        <v>226</v>
      </c>
      <c r="L151" s="2" t="s">
        <v>2539</v>
      </c>
      <c r="M151" s="2" t="s">
        <v>2519</v>
      </c>
    </row>
    <row r="152" spans="1:13" x14ac:dyDescent="0.3">
      <c r="A152" s="1">
        <v>45666</v>
      </c>
      <c r="B152" s="2" t="s">
        <v>2623</v>
      </c>
      <c r="C152" s="2" t="s">
        <v>2543</v>
      </c>
      <c r="D152" s="2" t="s">
        <v>2522</v>
      </c>
      <c r="E152" s="2" t="s">
        <v>2529</v>
      </c>
      <c r="F152" s="3">
        <v>78280</v>
      </c>
      <c r="G152" s="3">
        <v>3635</v>
      </c>
      <c r="H152" s="3">
        <v>303</v>
      </c>
      <c r="I152" s="4">
        <v>7526.87</v>
      </c>
      <c r="J152" s="4">
        <v>66167.11</v>
      </c>
      <c r="K152" s="3">
        <v>228</v>
      </c>
      <c r="L152" s="2" t="s">
        <v>2536</v>
      </c>
      <c r="M152" s="2" t="s">
        <v>2519</v>
      </c>
    </row>
    <row r="153" spans="1:13" x14ac:dyDescent="0.3">
      <c r="A153" s="1">
        <v>45939</v>
      </c>
      <c r="B153" s="2" t="s">
        <v>2620</v>
      </c>
      <c r="C153" s="2" t="s">
        <v>2527</v>
      </c>
      <c r="D153" s="2" t="s">
        <v>2516</v>
      </c>
      <c r="E153" s="2" t="s">
        <v>2517</v>
      </c>
      <c r="F153" s="3">
        <v>62151</v>
      </c>
      <c r="G153" s="3">
        <v>3252</v>
      </c>
      <c r="H153" s="3">
        <v>101</v>
      </c>
      <c r="I153" s="4">
        <v>5983.42</v>
      </c>
      <c r="J153" s="4">
        <v>20425.59</v>
      </c>
      <c r="K153" s="3">
        <v>81</v>
      </c>
      <c r="L153" s="2" t="s">
        <v>2523</v>
      </c>
      <c r="M153" s="2" t="s">
        <v>2537</v>
      </c>
    </row>
    <row r="154" spans="1:13" x14ac:dyDescent="0.3">
      <c r="A154" s="1">
        <v>45984</v>
      </c>
      <c r="B154" s="2" t="s">
        <v>2631</v>
      </c>
      <c r="C154" s="2" t="s">
        <v>2515</v>
      </c>
      <c r="D154" s="2" t="s">
        <v>2528</v>
      </c>
      <c r="E154" s="2" t="s">
        <v>2517</v>
      </c>
      <c r="F154" s="3">
        <v>84202</v>
      </c>
      <c r="G154" s="3">
        <v>5175</v>
      </c>
      <c r="H154" s="3">
        <v>523</v>
      </c>
      <c r="I154" s="4">
        <v>8691.2900000000009</v>
      </c>
      <c r="J154" s="4">
        <v>70646.539999999994</v>
      </c>
      <c r="K154" s="3">
        <v>315</v>
      </c>
      <c r="L154" s="2" t="s">
        <v>2523</v>
      </c>
      <c r="M154" s="2" t="s">
        <v>2526</v>
      </c>
    </row>
    <row r="155" spans="1:13" x14ac:dyDescent="0.3">
      <c r="A155" s="1">
        <v>45873</v>
      </c>
      <c r="B155" s="2" t="s">
        <v>2619</v>
      </c>
      <c r="C155" s="2" t="s">
        <v>2527</v>
      </c>
      <c r="D155" s="2" t="s">
        <v>2645</v>
      </c>
      <c r="E155" s="2" t="s">
        <v>2529</v>
      </c>
      <c r="F155" s="3">
        <v>70993</v>
      </c>
      <c r="G155" s="3">
        <v>5324</v>
      </c>
      <c r="H155" s="3">
        <v>363</v>
      </c>
      <c r="I155" s="4">
        <v>6370.38</v>
      </c>
      <c r="J155" s="4">
        <v>10725.48</v>
      </c>
      <c r="K155" s="3">
        <v>322</v>
      </c>
      <c r="L155" s="2" t="s">
        <v>2523</v>
      </c>
      <c r="M155" s="2" t="s">
        <v>2524</v>
      </c>
    </row>
    <row r="156" spans="1:13" x14ac:dyDescent="0.3">
      <c r="A156" s="1">
        <v>45943</v>
      </c>
      <c r="B156" s="2" t="s">
        <v>2643</v>
      </c>
      <c r="C156" s="2" t="s">
        <v>2543</v>
      </c>
      <c r="D156" s="2" t="s">
        <v>2525</v>
      </c>
      <c r="E156" s="2" t="s">
        <v>2529</v>
      </c>
      <c r="F156" s="3">
        <v>5365</v>
      </c>
      <c r="G156" s="3">
        <v>283</v>
      </c>
      <c r="H156" s="3">
        <v>20</v>
      </c>
      <c r="I156" s="4">
        <v>429.12</v>
      </c>
      <c r="J156" s="4">
        <v>1588.92</v>
      </c>
      <c r="K156" s="3">
        <v>9</v>
      </c>
      <c r="L156" s="2" t="s">
        <v>2518</v>
      </c>
      <c r="M156" s="2" t="s">
        <v>2524</v>
      </c>
    </row>
    <row r="157" spans="1:13" x14ac:dyDescent="0.3">
      <c r="A157" s="1">
        <v>45766</v>
      </c>
      <c r="B157" s="2" t="s">
        <v>2634</v>
      </c>
      <c r="C157" s="2" t="s">
        <v>2515</v>
      </c>
      <c r="D157" s="2" t="s">
        <v>2528</v>
      </c>
      <c r="E157" s="2" t="s">
        <v>2529</v>
      </c>
      <c r="F157" s="3">
        <v>76473</v>
      </c>
      <c r="G157" s="3">
        <v>1429</v>
      </c>
      <c r="H157" s="3">
        <v>67</v>
      </c>
      <c r="I157" s="4">
        <v>837.55</v>
      </c>
      <c r="J157" s="4">
        <v>10003.66</v>
      </c>
      <c r="K157" s="3">
        <v>37</v>
      </c>
      <c r="L157" s="2" t="s">
        <v>2539</v>
      </c>
      <c r="M157" s="2" t="s">
        <v>2519</v>
      </c>
    </row>
    <row r="158" spans="1:13" x14ac:dyDescent="0.3">
      <c r="A158" s="1">
        <v>45682</v>
      </c>
      <c r="B158" s="2" t="s">
        <v>2629</v>
      </c>
      <c r="C158" s="2" t="s">
        <v>2515</v>
      </c>
      <c r="D158" s="2" t="s">
        <v>2525</v>
      </c>
      <c r="E158" s="2" t="s">
        <v>2529</v>
      </c>
      <c r="F158" s="3">
        <v>89336</v>
      </c>
      <c r="G158" s="3">
        <v>2284</v>
      </c>
      <c r="H158" s="3">
        <v>258</v>
      </c>
      <c r="I158" s="4">
        <v>1750.33</v>
      </c>
      <c r="J158" s="4">
        <v>51761.79</v>
      </c>
      <c r="K158" s="3">
        <v>131</v>
      </c>
      <c r="L158" s="2" t="s">
        <v>2518</v>
      </c>
      <c r="M158" s="2" t="s">
        <v>2546</v>
      </c>
    </row>
    <row r="159" spans="1:13" x14ac:dyDescent="0.3">
      <c r="A159" s="1">
        <v>45672</v>
      </c>
      <c r="B159" s="2" t="s">
        <v>2628</v>
      </c>
      <c r="C159" s="2" t="s">
        <v>2541</v>
      </c>
      <c r="D159" s="2" t="s">
        <v>2528</v>
      </c>
      <c r="E159" s="2" t="s">
        <v>2517</v>
      </c>
      <c r="F159" s="3">
        <v>45075</v>
      </c>
      <c r="G159" s="3">
        <v>3575</v>
      </c>
      <c r="H159" s="3">
        <v>175</v>
      </c>
      <c r="I159" s="4">
        <v>5975.28</v>
      </c>
      <c r="J159" s="4">
        <v>36336.83</v>
      </c>
      <c r="K159" s="3">
        <v>128</v>
      </c>
      <c r="L159" s="2" t="s">
        <v>2523</v>
      </c>
      <c r="M159" s="2" t="s">
        <v>2526</v>
      </c>
    </row>
    <row r="160" spans="1:13" x14ac:dyDescent="0.3">
      <c r="A160" s="1">
        <v>46017</v>
      </c>
      <c r="B160" s="2" t="s">
        <v>2644</v>
      </c>
      <c r="C160" s="2" t="s">
        <v>2533</v>
      </c>
      <c r="D160" s="2" t="s">
        <v>2525</v>
      </c>
      <c r="E160" s="2" t="s">
        <v>2517</v>
      </c>
      <c r="F160" s="3">
        <v>10749</v>
      </c>
      <c r="G160" s="3">
        <v>592</v>
      </c>
      <c r="H160" s="3">
        <v>55</v>
      </c>
      <c r="I160" s="4">
        <v>794.7</v>
      </c>
      <c r="J160" s="4">
        <v>5606.04</v>
      </c>
      <c r="K160" s="3">
        <v>48</v>
      </c>
      <c r="L160" s="2" t="s">
        <v>2523</v>
      </c>
      <c r="M160" s="2" t="s">
        <v>2519</v>
      </c>
    </row>
    <row r="161" spans="1:13" x14ac:dyDescent="0.3">
      <c r="A161" s="1">
        <v>45915</v>
      </c>
      <c r="B161" s="2" t="s">
        <v>2631</v>
      </c>
      <c r="C161" s="2" t="s">
        <v>2527</v>
      </c>
      <c r="D161" s="2" t="s">
        <v>2516</v>
      </c>
      <c r="E161" s="2" t="s">
        <v>2517</v>
      </c>
      <c r="F161" s="3">
        <v>174829</v>
      </c>
      <c r="G161" s="3">
        <v>11184</v>
      </c>
      <c r="H161" s="3">
        <v>699</v>
      </c>
      <c r="I161" s="4">
        <v>23368.09</v>
      </c>
      <c r="J161" s="4">
        <v>152960.56</v>
      </c>
      <c r="K161" s="3">
        <v>468</v>
      </c>
      <c r="L161" s="2" t="s">
        <v>2518</v>
      </c>
      <c r="M161" s="2" t="s">
        <v>2537</v>
      </c>
    </row>
    <row r="162" spans="1:13" x14ac:dyDescent="0.3">
      <c r="A162" s="1">
        <v>45723</v>
      </c>
      <c r="B162" s="2" t="s">
        <v>2624</v>
      </c>
      <c r="C162" s="2" t="s">
        <v>2515</v>
      </c>
      <c r="D162" s="2" t="s">
        <v>2522</v>
      </c>
      <c r="E162" s="2" t="s">
        <v>2529</v>
      </c>
      <c r="F162" s="3">
        <v>150839</v>
      </c>
      <c r="G162" s="3">
        <v>2552</v>
      </c>
      <c r="H162" s="3">
        <v>228</v>
      </c>
      <c r="I162" s="4">
        <v>2408.91</v>
      </c>
      <c r="J162" s="4">
        <v>48203.95</v>
      </c>
      <c r="K162" s="3">
        <v>117</v>
      </c>
      <c r="L162" s="2" t="s">
        <v>2523</v>
      </c>
      <c r="M162" s="2" t="s">
        <v>2524</v>
      </c>
    </row>
    <row r="163" spans="1:13" x14ac:dyDescent="0.3">
      <c r="A163" s="1">
        <v>45939</v>
      </c>
      <c r="B163" s="2" t="s">
        <v>2620</v>
      </c>
      <c r="C163" s="2" t="s">
        <v>2515</v>
      </c>
      <c r="D163" s="2" t="s">
        <v>2528</v>
      </c>
      <c r="E163" s="2" t="s">
        <v>2529</v>
      </c>
      <c r="F163" s="3">
        <v>31736</v>
      </c>
      <c r="G163" s="3">
        <v>664</v>
      </c>
      <c r="H163" s="3">
        <v>53</v>
      </c>
      <c r="I163" s="4">
        <v>135.88999999999999</v>
      </c>
      <c r="J163" s="4">
        <v>5370.7</v>
      </c>
      <c r="K163" s="3">
        <v>46</v>
      </c>
      <c r="L163" s="2" t="s">
        <v>2539</v>
      </c>
      <c r="M163" s="2" t="s">
        <v>2526</v>
      </c>
    </row>
    <row r="164" spans="1:13" x14ac:dyDescent="0.3">
      <c r="A164" s="1">
        <v>45962</v>
      </c>
      <c r="B164" s="2" t="s">
        <v>2616</v>
      </c>
      <c r="C164" s="2" t="s">
        <v>2521</v>
      </c>
      <c r="D164" s="2" t="s">
        <v>2516</v>
      </c>
      <c r="E164" s="2" t="s">
        <v>2517</v>
      </c>
      <c r="F164" s="3">
        <v>72086</v>
      </c>
      <c r="G164" s="3">
        <v>3771</v>
      </c>
      <c r="H164" s="3">
        <v>308</v>
      </c>
      <c r="I164" s="4">
        <v>4287.62</v>
      </c>
      <c r="J164" s="4">
        <v>18299.27</v>
      </c>
      <c r="K164" s="3">
        <v>147</v>
      </c>
      <c r="L164" s="2" t="s">
        <v>2518</v>
      </c>
      <c r="M164" s="2" t="s">
        <v>2546</v>
      </c>
    </row>
    <row r="165" spans="1:13" x14ac:dyDescent="0.3">
      <c r="A165" s="1">
        <v>45883</v>
      </c>
      <c r="B165" s="2" t="s">
        <v>2623</v>
      </c>
      <c r="C165" s="2" t="s">
        <v>2543</v>
      </c>
      <c r="D165" s="2" t="s">
        <v>2528</v>
      </c>
      <c r="E165" s="2" t="s">
        <v>2529</v>
      </c>
      <c r="F165" s="3">
        <v>171399</v>
      </c>
      <c r="G165" s="3">
        <v>13578</v>
      </c>
      <c r="H165" s="3">
        <v>577</v>
      </c>
      <c r="I165" s="4">
        <v>18535.46</v>
      </c>
      <c r="J165" s="4">
        <v>103508.43</v>
      </c>
      <c r="K165" s="3">
        <v>334</v>
      </c>
      <c r="L165" s="2" t="s">
        <v>2523</v>
      </c>
      <c r="M165" s="2" t="s">
        <v>2526</v>
      </c>
    </row>
    <row r="166" spans="1:13" x14ac:dyDescent="0.3">
      <c r="A166" s="1">
        <v>45895</v>
      </c>
      <c r="B166" s="2" t="s">
        <v>2644</v>
      </c>
      <c r="C166" s="2" t="s">
        <v>2543</v>
      </c>
      <c r="D166" s="2" t="s">
        <v>2528</v>
      </c>
      <c r="E166" s="2" t="s">
        <v>2529</v>
      </c>
      <c r="F166" s="3">
        <v>117579</v>
      </c>
      <c r="G166" s="3">
        <v>7543</v>
      </c>
      <c r="H166" s="3">
        <v>562</v>
      </c>
      <c r="I166" s="4">
        <v>5372.17</v>
      </c>
      <c r="J166" s="4">
        <v>49258.16</v>
      </c>
      <c r="K166" s="3">
        <v>446</v>
      </c>
      <c r="L166" s="2" t="s">
        <v>2523</v>
      </c>
      <c r="M166" s="2" t="s">
        <v>2546</v>
      </c>
    </row>
    <row r="167" spans="1:13" x14ac:dyDescent="0.3">
      <c r="A167" s="1">
        <v>45870</v>
      </c>
      <c r="B167" s="2" t="s">
        <v>2627</v>
      </c>
      <c r="C167" s="2" t="s">
        <v>2515</v>
      </c>
      <c r="D167" s="2" t="s">
        <v>2522</v>
      </c>
      <c r="E167" s="2" t="s">
        <v>2529</v>
      </c>
      <c r="F167" s="3">
        <v>88446</v>
      </c>
      <c r="G167" s="3">
        <v>4732</v>
      </c>
      <c r="H167" s="3">
        <v>194</v>
      </c>
      <c r="I167" s="4">
        <v>1292.18</v>
      </c>
      <c r="J167" s="4">
        <v>9438.83</v>
      </c>
      <c r="K167" s="3">
        <v>166</v>
      </c>
      <c r="L167" s="2" t="s">
        <v>2518</v>
      </c>
      <c r="M167" s="2" t="s">
        <v>2546</v>
      </c>
    </row>
    <row r="168" spans="1:13" x14ac:dyDescent="0.3">
      <c r="A168" s="1">
        <v>45770</v>
      </c>
      <c r="B168" s="2" t="s">
        <v>2625</v>
      </c>
      <c r="C168" s="2" t="s">
        <v>2543</v>
      </c>
      <c r="D168" s="2" t="s">
        <v>2528</v>
      </c>
      <c r="E168" s="2" t="s">
        <v>2534</v>
      </c>
      <c r="F168" s="3">
        <v>179028</v>
      </c>
      <c r="G168" s="3">
        <v>1943</v>
      </c>
      <c r="H168" s="3">
        <v>40</v>
      </c>
      <c r="I168" s="4">
        <v>1129.0899999999999</v>
      </c>
      <c r="J168" s="4">
        <v>4721.6000000000004</v>
      </c>
      <c r="K168" s="3">
        <v>35</v>
      </c>
      <c r="L168" s="2" t="s">
        <v>2523</v>
      </c>
      <c r="M168" s="2" t="s">
        <v>2524</v>
      </c>
    </row>
    <row r="169" spans="1:13" x14ac:dyDescent="0.3">
      <c r="A169" s="1">
        <v>45923</v>
      </c>
      <c r="B169" s="2" t="s">
        <v>2630</v>
      </c>
      <c r="C169" s="2" t="s">
        <v>2541</v>
      </c>
      <c r="D169" s="2" t="s">
        <v>2528</v>
      </c>
      <c r="E169" s="2" t="s">
        <v>2529</v>
      </c>
      <c r="F169" s="3">
        <v>70005</v>
      </c>
      <c r="G169" s="3">
        <v>6221</v>
      </c>
      <c r="H169" s="3">
        <v>224</v>
      </c>
      <c r="I169" s="4">
        <v>2607.3200000000002</v>
      </c>
      <c r="J169" s="4">
        <v>23165.439999999999</v>
      </c>
      <c r="K169" s="3">
        <v>111</v>
      </c>
      <c r="L169" s="2" t="s">
        <v>2536</v>
      </c>
      <c r="M169" s="2" t="s">
        <v>2519</v>
      </c>
    </row>
    <row r="170" spans="1:13" x14ac:dyDescent="0.3">
      <c r="A170" s="1">
        <v>45957</v>
      </c>
      <c r="B170" s="2" t="s">
        <v>2643</v>
      </c>
      <c r="C170" s="2" t="s">
        <v>2533</v>
      </c>
      <c r="D170" s="2" t="s">
        <v>2528</v>
      </c>
      <c r="E170" s="2" t="s">
        <v>2517</v>
      </c>
      <c r="F170" s="3">
        <v>10697</v>
      </c>
      <c r="G170" s="3">
        <v>849</v>
      </c>
      <c r="H170" s="3">
        <v>95</v>
      </c>
      <c r="I170" s="4">
        <v>1430.54</v>
      </c>
      <c r="J170" s="4">
        <v>20479.18</v>
      </c>
      <c r="K170" s="3">
        <v>60</v>
      </c>
      <c r="L170" s="2" t="s">
        <v>2536</v>
      </c>
      <c r="M170" s="2" t="s">
        <v>2519</v>
      </c>
    </row>
    <row r="171" spans="1:13" x14ac:dyDescent="0.3">
      <c r="A171" s="1">
        <v>45957</v>
      </c>
      <c r="B171" s="2" t="s">
        <v>2622</v>
      </c>
      <c r="C171" s="2" t="s">
        <v>2527</v>
      </c>
      <c r="D171" s="2" t="s">
        <v>2531</v>
      </c>
      <c r="E171" s="2" t="s">
        <v>2529</v>
      </c>
      <c r="F171" s="3">
        <v>35777</v>
      </c>
      <c r="G171" s="3">
        <v>2832</v>
      </c>
      <c r="H171" s="3">
        <v>350</v>
      </c>
      <c r="I171" s="4">
        <v>5404.25</v>
      </c>
      <c r="J171" s="4">
        <v>74096.95</v>
      </c>
      <c r="K171" s="3">
        <v>256</v>
      </c>
      <c r="L171" s="2" t="s">
        <v>2523</v>
      </c>
      <c r="M171" s="2" t="s">
        <v>2526</v>
      </c>
    </row>
    <row r="172" spans="1:13" x14ac:dyDescent="0.3">
      <c r="A172" s="1">
        <v>46001</v>
      </c>
      <c r="B172" s="2" t="s">
        <v>2636</v>
      </c>
      <c r="C172" s="2" t="s">
        <v>2533</v>
      </c>
      <c r="D172" s="2" t="s">
        <v>2528</v>
      </c>
      <c r="E172" s="2" t="s">
        <v>2529</v>
      </c>
      <c r="F172" s="3">
        <v>51515</v>
      </c>
      <c r="G172" s="3">
        <v>4161</v>
      </c>
      <c r="H172" s="3">
        <v>480</v>
      </c>
      <c r="I172" s="4">
        <v>3643.84</v>
      </c>
      <c r="J172" s="4">
        <v>88068.72</v>
      </c>
      <c r="K172" s="3">
        <v>338</v>
      </c>
      <c r="L172" s="2" t="s">
        <v>2523</v>
      </c>
      <c r="M172" s="2" t="s">
        <v>2526</v>
      </c>
    </row>
    <row r="173" spans="1:13" x14ac:dyDescent="0.3">
      <c r="A173" s="1">
        <v>45864</v>
      </c>
      <c r="B173" s="2" t="s">
        <v>2634</v>
      </c>
      <c r="C173" s="2" t="s">
        <v>2515</v>
      </c>
      <c r="D173" s="2" t="s">
        <v>2528</v>
      </c>
      <c r="E173" s="2" t="s">
        <v>2517</v>
      </c>
      <c r="F173" s="3">
        <v>83878</v>
      </c>
      <c r="G173" s="3">
        <v>5628</v>
      </c>
      <c r="H173" s="3">
        <v>435</v>
      </c>
      <c r="I173" s="4">
        <v>9012.74</v>
      </c>
      <c r="J173" s="4">
        <v>76121.440000000002</v>
      </c>
      <c r="K173" s="3">
        <v>200</v>
      </c>
      <c r="L173" s="2" t="s">
        <v>2523</v>
      </c>
      <c r="M173" s="2" t="s">
        <v>2546</v>
      </c>
    </row>
    <row r="174" spans="1:13" x14ac:dyDescent="0.3">
      <c r="A174" s="1">
        <v>45815</v>
      </c>
      <c r="B174" s="2" t="s">
        <v>2644</v>
      </c>
      <c r="C174" s="2" t="s">
        <v>2541</v>
      </c>
      <c r="D174" s="2" t="s">
        <v>2525</v>
      </c>
      <c r="E174" s="2" t="s">
        <v>2529</v>
      </c>
      <c r="F174" s="3">
        <v>37780</v>
      </c>
      <c r="G174" s="3">
        <v>2981</v>
      </c>
      <c r="H174" s="3">
        <v>208</v>
      </c>
      <c r="I174" s="4">
        <v>5424.77</v>
      </c>
      <c r="J174" s="4">
        <v>10400.280000000001</v>
      </c>
      <c r="K174" s="3">
        <v>108</v>
      </c>
      <c r="L174" s="2" t="s">
        <v>2539</v>
      </c>
      <c r="M174" s="2" t="s">
        <v>2537</v>
      </c>
    </row>
    <row r="175" spans="1:13" x14ac:dyDescent="0.3">
      <c r="A175" s="1">
        <v>45959</v>
      </c>
      <c r="B175" s="2" t="s">
        <v>2632</v>
      </c>
      <c r="C175" s="2" t="s">
        <v>2543</v>
      </c>
      <c r="D175" s="2" t="s">
        <v>2531</v>
      </c>
      <c r="E175" s="2" t="s">
        <v>2517</v>
      </c>
      <c r="F175" s="3">
        <v>140142</v>
      </c>
      <c r="G175" s="3">
        <v>720</v>
      </c>
      <c r="H175" s="3">
        <v>86</v>
      </c>
      <c r="I175" s="4">
        <v>654.98</v>
      </c>
      <c r="J175" s="4">
        <v>7203.58</v>
      </c>
      <c r="K175" s="3">
        <v>63</v>
      </c>
      <c r="L175" s="2" t="s">
        <v>2518</v>
      </c>
      <c r="M175" s="2" t="s">
        <v>2524</v>
      </c>
    </row>
    <row r="176" spans="1:13" x14ac:dyDescent="0.3">
      <c r="A176" s="1">
        <v>46012</v>
      </c>
      <c r="B176" s="2" t="s">
        <v>2615</v>
      </c>
      <c r="C176" s="2" t="s">
        <v>2521</v>
      </c>
      <c r="D176" s="2" t="s">
        <v>2522</v>
      </c>
      <c r="E176" s="2" t="s">
        <v>2529</v>
      </c>
      <c r="F176" s="3">
        <v>76778</v>
      </c>
      <c r="G176" s="3">
        <v>1269</v>
      </c>
      <c r="H176" s="3">
        <v>61</v>
      </c>
      <c r="I176" s="4">
        <v>1272.3599999999999</v>
      </c>
      <c r="J176" s="4">
        <v>3268.91</v>
      </c>
      <c r="K176" s="3">
        <v>41</v>
      </c>
      <c r="L176" s="2" t="s">
        <v>2523</v>
      </c>
      <c r="M176" s="2" t="s">
        <v>2524</v>
      </c>
    </row>
    <row r="177" spans="1:13" x14ac:dyDescent="0.3">
      <c r="A177" s="1">
        <v>45792</v>
      </c>
      <c r="B177" s="2" t="s">
        <v>2629</v>
      </c>
      <c r="C177" s="2" t="s">
        <v>2543</v>
      </c>
      <c r="D177" s="2" t="s">
        <v>2528</v>
      </c>
      <c r="E177" s="2" t="s">
        <v>2517</v>
      </c>
      <c r="F177" s="3">
        <v>118268</v>
      </c>
      <c r="G177" s="3">
        <v>1755</v>
      </c>
      <c r="H177" s="3">
        <v>147</v>
      </c>
      <c r="I177" s="4">
        <v>2369.2199999999998</v>
      </c>
      <c r="J177" s="4">
        <v>27133.4</v>
      </c>
      <c r="K177" s="3">
        <v>94</v>
      </c>
      <c r="L177" s="2" t="s">
        <v>2518</v>
      </c>
      <c r="M177" s="2" t="s">
        <v>2524</v>
      </c>
    </row>
    <row r="178" spans="1:13" x14ac:dyDescent="0.3">
      <c r="A178" s="1">
        <v>45749</v>
      </c>
      <c r="B178" s="2" t="s">
        <v>2637</v>
      </c>
      <c r="C178" s="2" t="s">
        <v>2541</v>
      </c>
      <c r="D178" s="2" t="s">
        <v>2531</v>
      </c>
      <c r="E178" s="2" t="s">
        <v>2529</v>
      </c>
      <c r="F178" s="3">
        <v>84649</v>
      </c>
      <c r="G178" s="3">
        <v>4760</v>
      </c>
      <c r="H178" s="3">
        <v>341</v>
      </c>
      <c r="I178" s="4">
        <v>4437.7299999999996</v>
      </c>
      <c r="J178" s="4">
        <v>12820.09</v>
      </c>
      <c r="K178" s="3">
        <v>243</v>
      </c>
      <c r="L178" s="2" t="s">
        <v>2518</v>
      </c>
      <c r="M178" s="2" t="s">
        <v>2524</v>
      </c>
    </row>
    <row r="179" spans="1:13" x14ac:dyDescent="0.3">
      <c r="A179" s="1">
        <v>45879</v>
      </c>
      <c r="B179" s="2" t="s">
        <v>2641</v>
      </c>
      <c r="C179" s="2" t="s">
        <v>2645</v>
      </c>
      <c r="D179" s="2" t="s">
        <v>2528</v>
      </c>
      <c r="E179" s="2" t="s">
        <v>2517</v>
      </c>
      <c r="F179" s="3">
        <v>149611</v>
      </c>
      <c r="G179" s="3">
        <v>8402</v>
      </c>
      <c r="H179" s="3">
        <v>717</v>
      </c>
      <c r="I179" s="4">
        <v>3182.49</v>
      </c>
      <c r="J179" s="4">
        <v>130126.07</v>
      </c>
      <c r="K179" s="3">
        <v>519</v>
      </c>
      <c r="L179" s="2" t="s">
        <v>2518</v>
      </c>
      <c r="M179" s="2" t="s">
        <v>2546</v>
      </c>
    </row>
    <row r="180" spans="1:13" x14ac:dyDescent="0.3">
      <c r="A180" s="1">
        <v>45888</v>
      </c>
      <c r="B180" s="2" t="s">
        <v>2621</v>
      </c>
      <c r="C180" s="2" t="s">
        <v>2527</v>
      </c>
      <c r="D180" s="2" t="s">
        <v>2531</v>
      </c>
      <c r="E180" s="2" t="s">
        <v>2517</v>
      </c>
      <c r="F180" s="3">
        <v>102417</v>
      </c>
      <c r="G180" s="3">
        <v>7999</v>
      </c>
      <c r="H180" s="3">
        <v>1066</v>
      </c>
      <c r="I180" s="4">
        <v>10019.24</v>
      </c>
      <c r="J180" s="4">
        <v>171998.5</v>
      </c>
      <c r="K180" s="3">
        <v>772</v>
      </c>
      <c r="L180" s="2" t="s">
        <v>2539</v>
      </c>
      <c r="M180" s="2" t="s">
        <v>2546</v>
      </c>
    </row>
    <row r="181" spans="1:13" x14ac:dyDescent="0.3">
      <c r="A181" s="1">
        <v>45978</v>
      </c>
      <c r="B181" s="2" t="s">
        <v>2627</v>
      </c>
      <c r="C181" s="2" t="s">
        <v>2527</v>
      </c>
      <c r="D181" s="2" t="s">
        <v>2528</v>
      </c>
      <c r="E181" s="2" t="s">
        <v>2517</v>
      </c>
      <c r="F181" s="3">
        <v>63443</v>
      </c>
      <c r="G181" s="3">
        <v>2659</v>
      </c>
      <c r="H181" s="3">
        <v>27</v>
      </c>
      <c r="I181" s="4">
        <v>1559.63</v>
      </c>
      <c r="J181" s="4">
        <v>4827.67</v>
      </c>
      <c r="K181" s="3">
        <v>19</v>
      </c>
      <c r="L181" s="2" t="s">
        <v>2518</v>
      </c>
      <c r="M181" s="2" t="s">
        <v>2524</v>
      </c>
    </row>
    <row r="182" spans="1:13" x14ac:dyDescent="0.3">
      <c r="A182" s="1">
        <v>45731</v>
      </c>
      <c r="B182" s="2" t="s">
        <v>2642</v>
      </c>
      <c r="C182" s="2" t="s">
        <v>2543</v>
      </c>
      <c r="D182" s="2" t="s">
        <v>2531</v>
      </c>
      <c r="E182" s="2" t="s">
        <v>2534</v>
      </c>
      <c r="F182" s="3">
        <v>54129</v>
      </c>
      <c r="G182" s="3">
        <v>1124</v>
      </c>
      <c r="H182" s="3">
        <v>67</v>
      </c>
      <c r="I182" s="4">
        <v>1833.71</v>
      </c>
      <c r="J182" s="4">
        <v>10818.44</v>
      </c>
      <c r="K182" s="3">
        <v>30</v>
      </c>
      <c r="L182" s="2" t="s">
        <v>2518</v>
      </c>
      <c r="M182" s="2" t="s">
        <v>2537</v>
      </c>
    </row>
    <row r="183" spans="1:13" x14ac:dyDescent="0.3">
      <c r="A183" s="1">
        <v>45885</v>
      </c>
      <c r="B183" s="2" t="s">
        <v>2619</v>
      </c>
      <c r="C183" s="2" t="s">
        <v>2521</v>
      </c>
      <c r="D183" s="2" t="s">
        <v>2516</v>
      </c>
      <c r="E183" s="2" t="s">
        <v>2529</v>
      </c>
      <c r="F183" s="3">
        <v>34490</v>
      </c>
      <c r="G183" s="3">
        <v>3056</v>
      </c>
      <c r="H183" s="3">
        <v>414</v>
      </c>
      <c r="I183" s="4">
        <v>3242.33</v>
      </c>
      <c r="J183" s="4">
        <v>41365.42</v>
      </c>
      <c r="K183" s="3">
        <v>227</v>
      </c>
      <c r="L183" s="2" t="s">
        <v>2539</v>
      </c>
      <c r="M183" s="2" t="s">
        <v>2519</v>
      </c>
    </row>
    <row r="184" spans="1:13" x14ac:dyDescent="0.3">
      <c r="A184" s="1">
        <v>45689</v>
      </c>
      <c r="B184" s="2" t="s">
        <v>2639</v>
      </c>
      <c r="C184" s="2" t="s">
        <v>2521</v>
      </c>
      <c r="D184" s="2" t="s">
        <v>2528</v>
      </c>
      <c r="E184" s="2" t="s">
        <v>2529</v>
      </c>
      <c r="F184" s="3">
        <v>1442</v>
      </c>
      <c r="G184" s="3">
        <v>113</v>
      </c>
      <c r="H184" s="3">
        <v>13</v>
      </c>
      <c r="I184" s="4">
        <v>147.84</v>
      </c>
      <c r="J184" s="4">
        <v>2250.66</v>
      </c>
      <c r="K184" s="3">
        <v>6</v>
      </c>
      <c r="L184" s="2" t="s">
        <v>2523</v>
      </c>
      <c r="M184" s="2" t="s">
        <v>2524</v>
      </c>
    </row>
    <row r="185" spans="1:13" x14ac:dyDescent="0.3">
      <c r="A185" s="1">
        <v>45865</v>
      </c>
      <c r="B185" s="2" t="s">
        <v>2635</v>
      </c>
      <c r="C185" s="2" t="s">
        <v>2515</v>
      </c>
      <c r="D185" s="2" t="s">
        <v>2531</v>
      </c>
      <c r="E185" s="2" t="s">
        <v>2529</v>
      </c>
      <c r="F185" s="3">
        <v>175538</v>
      </c>
      <c r="G185" s="3">
        <v>9664</v>
      </c>
      <c r="H185" s="3">
        <v>942</v>
      </c>
      <c r="I185" s="4">
        <v>10330.530000000001</v>
      </c>
      <c r="J185" s="4">
        <v>27823.85</v>
      </c>
      <c r="K185" s="3">
        <v>443</v>
      </c>
      <c r="L185" s="2" t="s">
        <v>2536</v>
      </c>
      <c r="M185" s="2" t="s">
        <v>2524</v>
      </c>
    </row>
    <row r="186" spans="1:13" x14ac:dyDescent="0.3">
      <c r="A186" s="1">
        <v>45920</v>
      </c>
      <c r="B186" s="2" t="s">
        <v>2633</v>
      </c>
      <c r="C186" s="2" t="s">
        <v>2541</v>
      </c>
      <c r="D186" s="2" t="s">
        <v>2516</v>
      </c>
      <c r="E186" s="2" t="s">
        <v>2529</v>
      </c>
      <c r="F186" s="3">
        <v>106994</v>
      </c>
      <c r="G186" s="3">
        <v>2689</v>
      </c>
      <c r="H186" s="3">
        <v>356</v>
      </c>
      <c r="I186" s="4">
        <v>2763.42</v>
      </c>
      <c r="J186" s="4">
        <v>30823.62</v>
      </c>
      <c r="K186" s="3">
        <v>265</v>
      </c>
      <c r="L186" s="2" t="s">
        <v>2523</v>
      </c>
      <c r="M186" s="2" t="s">
        <v>2546</v>
      </c>
    </row>
    <row r="187" spans="1:13" x14ac:dyDescent="0.3">
      <c r="A187" s="1">
        <v>46014</v>
      </c>
      <c r="B187" s="2" t="s">
        <v>2639</v>
      </c>
      <c r="C187" s="2" t="s">
        <v>2527</v>
      </c>
      <c r="D187" s="2" t="s">
        <v>2528</v>
      </c>
      <c r="E187" s="2" t="s">
        <v>2529</v>
      </c>
      <c r="F187" s="3">
        <v>30052</v>
      </c>
      <c r="G187" s="3">
        <v>1317</v>
      </c>
      <c r="H187" s="3">
        <v>166</v>
      </c>
      <c r="I187" s="4">
        <v>2716.37</v>
      </c>
      <c r="J187" s="4">
        <v>31158.799999999999</v>
      </c>
      <c r="K187" s="3">
        <v>124</v>
      </c>
      <c r="L187" s="2" t="s">
        <v>2523</v>
      </c>
      <c r="M187" s="2" t="s">
        <v>2537</v>
      </c>
    </row>
    <row r="188" spans="1:13" x14ac:dyDescent="0.3">
      <c r="A188" s="1">
        <v>45936</v>
      </c>
      <c r="B188" s="2" t="s">
        <v>2630</v>
      </c>
      <c r="C188" s="2" t="s">
        <v>2543</v>
      </c>
      <c r="D188" s="2" t="s">
        <v>2525</v>
      </c>
      <c r="E188" s="2" t="s">
        <v>2517</v>
      </c>
      <c r="F188" s="3">
        <v>83548</v>
      </c>
      <c r="G188" s="3">
        <v>638</v>
      </c>
      <c r="H188" s="3">
        <v>21</v>
      </c>
      <c r="I188" s="4">
        <v>1269.7</v>
      </c>
      <c r="J188" s="4">
        <v>1766.04</v>
      </c>
      <c r="K188" s="3">
        <v>12</v>
      </c>
      <c r="L188" s="2" t="s">
        <v>2523</v>
      </c>
      <c r="M188" s="2" t="s">
        <v>2537</v>
      </c>
    </row>
    <row r="189" spans="1:13" x14ac:dyDescent="0.3">
      <c r="A189" s="1">
        <v>45859</v>
      </c>
      <c r="B189" s="2" t="s">
        <v>2640</v>
      </c>
      <c r="C189" s="2" t="s">
        <v>2533</v>
      </c>
      <c r="D189" s="2" t="s">
        <v>2522</v>
      </c>
      <c r="E189" s="2" t="s">
        <v>2517</v>
      </c>
      <c r="F189" s="3">
        <v>58384</v>
      </c>
      <c r="G189" s="3">
        <v>5247</v>
      </c>
      <c r="H189" s="3">
        <v>264</v>
      </c>
      <c r="I189" s="4">
        <v>2724.49</v>
      </c>
      <c r="J189" s="4">
        <v>45380.79</v>
      </c>
      <c r="K189" s="3">
        <v>147</v>
      </c>
      <c r="L189" s="2" t="s">
        <v>2523</v>
      </c>
      <c r="M189" s="2" t="s">
        <v>2519</v>
      </c>
    </row>
    <row r="190" spans="1:13" x14ac:dyDescent="0.3">
      <c r="A190" s="1">
        <v>45956</v>
      </c>
      <c r="B190" s="2" t="s">
        <v>2628</v>
      </c>
      <c r="C190" s="2" t="s">
        <v>2541</v>
      </c>
      <c r="D190" s="2" t="s">
        <v>2531</v>
      </c>
      <c r="E190" s="2" t="s">
        <v>2517</v>
      </c>
      <c r="F190" s="3">
        <v>67410</v>
      </c>
      <c r="G190" s="3">
        <v>5920</v>
      </c>
      <c r="H190" s="3">
        <v>597</v>
      </c>
      <c r="I190" s="4">
        <v>4375.7700000000004</v>
      </c>
      <c r="J190" s="4">
        <v>115873.52</v>
      </c>
      <c r="K190" s="3">
        <v>470</v>
      </c>
      <c r="L190" s="2" t="s">
        <v>2536</v>
      </c>
      <c r="M190" s="2" t="s">
        <v>2546</v>
      </c>
    </row>
    <row r="191" spans="1:13" x14ac:dyDescent="0.3">
      <c r="A191" s="1">
        <v>45918</v>
      </c>
      <c r="B191" s="2" t="s">
        <v>2634</v>
      </c>
      <c r="C191" s="2" t="s">
        <v>2533</v>
      </c>
      <c r="D191" s="2" t="s">
        <v>2528</v>
      </c>
      <c r="E191" s="2" t="s">
        <v>2517</v>
      </c>
      <c r="F191" s="3">
        <v>143658</v>
      </c>
      <c r="G191" s="3">
        <v>3330</v>
      </c>
      <c r="H191" s="3">
        <v>139</v>
      </c>
      <c r="I191" s="4">
        <v>5711.52</v>
      </c>
      <c r="J191" s="4">
        <v>19409.71</v>
      </c>
      <c r="K191" s="3">
        <v>97</v>
      </c>
      <c r="L191" s="2" t="s">
        <v>2539</v>
      </c>
      <c r="M191" s="2" t="s">
        <v>2524</v>
      </c>
    </row>
    <row r="192" spans="1:13" x14ac:dyDescent="0.3">
      <c r="A192" s="1">
        <v>45920</v>
      </c>
      <c r="B192" s="2" t="s">
        <v>2641</v>
      </c>
      <c r="C192" s="2" t="s">
        <v>2543</v>
      </c>
      <c r="D192" s="2" t="s">
        <v>2516</v>
      </c>
      <c r="E192" s="2" t="s">
        <v>2529</v>
      </c>
      <c r="F192" s="3">
        <v>37343</v>
      </c>
      <c r="G192" s="3">
        <v>575</v>
      </c>
      <c r="H192" s="3">
        <v>32</v>
      </c>
      <c r="I192" s="4">
        <v>394.15</v>
      </c>
      <c r="J192" s="4">
        <v>3013.09</v>
      </c>
      <c r="K192" s="3">
        <v>21</v>
      </c>
      <c r="L192" s="2" t="s">
        <v>2518</v>
      </c>
      <c r="M192" s="2" t="s">
        <v>2537</v>
      </c>
    </row>
    <row r="193" spans="1:13" x14ac:dyDescent="0.3">
      <c r="A193" s="1">
        <v>45883</v>
      </c>
      <c r="B193" s="2" t="s">
        <v>2617</v>
      </c>
      <c r="C193" s="2" t="s">
        <v>2541</v>
      </c>
      <c r="D193" s="2" t="s">
        <v>2528</v>
      </c>
      <c r="E193" s="2" t="s">
        <v>2529</v>
      </c>
      <c r="F193" s="3">
        <v>99860</v>
      </c>
      <c r="G193" s="3">
        <v>4250</v>
      </c>
      <c r="H193" s="3">
        <v>534</v>
      </c>
      <c r="I193" s="4">
        <v>7379.33</v>
      </c>
      <c r="J193" s="4">
        <v>73696.14</v>
      </c>
      <c r="K193" s="3">
        <v>344</v>
      </c>
      <c r="L193" s="2" t="s">
        <v>2539</v>
      </c>
      <c r="M193" s="2" t="s">
        <v>2537</v>
      </c>
    </row>
    <row r="194" spans="1:13" x14ac:dyDescent="0.3">
      <c r="A194" s="1">
        <v>45751</v>
      </c>
      <c r="B194" s="2" t="s">
        <v>2625</v>
      </c>
      <c r="C194" s="2" t="s">
        <v>2533</v>
      </c>
      <c r="D194" s="2" t="s">
        <v>2528</v>
      </c>
      <c r="E194" s="2" t="s">
        <v>2529</v>
      </c>
      <c r="F194" s="3">
        <v>68867</v>
      </c>
      <c r="G194" s="3">
        <v>1547</v>
      </c>
      <c r="H194" s="3">
        <v>131</v>
      </c>
      <c r="I194" s="4">
        <v>1695.16</v>
      </c>
      <c r="J194" s="4">
        <v>21946.34</v>
      </c>
      <c r="K194" s="3">
        <v>94</v>
      </c>
      <c r="L194" s="2" t="s">
        <v>2523</v>
      </c>
      <c r="M194" s="2" t="s">
        <v>2519</v>
      </c>
    </row>
    <row r="195" spans="1:13" x14ac:dyDescent="0.3">
      <c r="A195" s="1">
        <v>45882</v>
      </c>
      <c r="B195" s="2" t="s">
        <v>2622</v>
      </c>
      <c r="C195" s="2" t="s">
        <v>2527</v>
      </c>
      <c r="D195" s="2" t="s">
        <v>2525</v>
      </c>
      <c r="E195" s="2" t="s">
        <v>2534</v>
      </c>
      <c r="F195" s="3">
        <v>66906</v>
      </c>
      <c r="G195" s="3">
        <v>4300</v>
      </c>
      <c r="H195" s="3">
        <v>84</v>
      </c>
      <c r="I195" s="4">
        <v>6004.22</v>
      </c>
      <c r="J195" s="4">
        <v>8643.41</v>
      </c>
      <c r="K195" s="3">
        <v>75</v>
      </c>
      <c r="L195" s="2" t="s">
        <v>2539</v>
      </c>
      <c r="M195" s="2" t="s">
        <v>2519</v>
      </c>
    </row>
    <row r="196" spans="1:13" x14ac:dyDescent="0.3">
      <c r="A196" s="1">
        <v>45781</v>
      </c>
      <c r="B196" s="2" t="s">
        <v>2625</v>
      </c>
      <c r="C196" s="2" t="s">
        <v>2527</v>
      </c>
      <c r="D196" s="2" t="s">
        <v>2528</v>
      </c>
      <c r="E196" s="2" t="s">
        <v>2529</v>
      </c>
      <c r="F196" s="3">
        <v>168910</v>
      </c>
      <c r="G196" s="3">
        <v>3675</v>
      </c>
      <c r="H196" s="3">
        <v>120</v>
      </c>
      <c r="I196" s="4">
        <v>7407.12</v>
      </c>
      <c r="J196" s="4">
        <v>14522.13</v>
      </c>
      <c r="K196" s="3">
        <v>54</v>
      </c>
      <c r="L196" s="2" t="s">
        <v>2518</v>
      </c>
      <c r="M196" s="2" t="s">
        <v>2519</v>
      </c>
    </row>
    <row r="197" spans="1:13" x14ac:dyDescent="0.3">
      <c r="A197" s="1">
        <v>45713</v>
      </c>
      <c r="B197" s="2" t="s">
        <v>2635</v>
      </c>
      <c r="C197" s="2" t="s">
        <v>2533</v>
      </c>
      <c r="D197" s="2" t="s">
        <v>2645</v>
      </c>
      <c r="E197" s="2" t="s">
        <v>2529</v>
      </c>
      <c r="F197" s="3">
        <v>30501</v>
      </c>
      <c r="G197" s="3">
        <v>330</v>
      </c>
      <c r="H197" s="3">
        <v>18</v>
      </c>
      <c r="I197" s="4">
        <v>68.59</v>
      </c>
      <c r="J197" s="4">
        <v>1006.33</v>
      </c>
      <c r="K197" s="3">
        <v>11</v>
      </c>
      <c r="L197" s="2" t="s">
        <v>2523</v>
      </c>
      <c r="M197" s="2" t="s">
        <v>2524</v>
      </c>
    </row>
    <row r="198" spans="1:13" x14ac:dyDescent="0.3">
      <c r="A198" s="1">
        <v>45667</v>
      </c>
      <c r="B198" s="2" t="s">
        <v>2637</v>
      </c>
      <c r="C198" s="2" t="s">
        <v>2533</v>
      </c>
      <c r="D198" s="2" t="s">
        <v>2516</v>
      </c>
      <c r="E198" s="2" t="s">
        <v>2529</v>
      </c>
      <c r="F198" s="3">
        <v>26787</v>
      </c>
      <c r="G198" s="3">
        <v>192</v>
      </c>
      <c r="H198" s="3">
        <v>25</v>
      </c>
      <c r="I198" s="4">
        <v>164</v>
      </c>
      <c r="J198" s="4">
        <v>5048.43</v>
      </c>
      <c r="K198" s="3">
        <v>15</v>
      </c>
      <c r="L198" s="2" t="s">
        <v>2523</v>
      </c>
      <c r="M198" s="2" t="s">
        <v>2526</v>
      </c>
    </row>
    <row r="199" spans="1:13" x14ac:dyDescent="0.3">
      <c r="A199" s="1">
        <v>45708</v>
      </c>
      <c r="B199" s="2" t="s">
        <v>2619</v>
      </c>
      <c r="C199" s="2" t="s">
        <v>2541</v>
      </c>
      <c r="D199" s="2" t="s">
        <v>2522</v>
      </c>
      <c r="E199" s="2" t="s">
        <v>2534</v>
      </c>
      <c r="F199" s="3">
        <v>102524</v>
      </c>
      <c r="G199" s="3">
        <v>5804</v>
      </c>
      <c r="H199" s="3">
        <v>515</v>
      </c>
      <c r="I199" s="4">
        <v>11138.51</v>
      </c>
      <c r="J199" s="4">
        <v>104492.16</v>
      </c>
      <c r="K199" s="3">
        <v>339</v>
      </c>
      <c r="L199" s="2" t="s">
        <v>2539</v>
      </c>
      <c r="M199" s="2" t="s">
        <v>2546</v>
      </c>
    </row>
    <row r="200" spans="1:13" x14ac:dyDescent="0.3">
      <c r="A200" s="1">
        <v>45668</v>
      </c>
      <c r="B200" s="2" t="s">
        <v>2634</v>
      </c>
      <c r="C200" s="2" t="s">
        <v>2527</v>
      </c>
      <c r="D200" s="2" t="s">
        <v>2522</v>
      </c>
      <c r="E200" s="2" t="s">
        <v>2517</v>
      </c>
      <c r="F200" s="3">
        <v>162716</v>
      </c>
      <c r="G200" s="3">
        <v>6461</v>
      </c>
      <c r="H200" s="3">
        <v>529</v>
      </c>
      <c r="I200" s="4">
        <v>9589.81</v>
      </c>
      <c r="J200" s="4">
        <v>94859.64</v>
      </c>
      <c r="K200" s="3">
        <v>265</v>
      </c>
      <c r="L200" s="2" t="s">
        <v>2518</v>
      </c>
      <c r="M200" s="2" t="s">
        <v>2537</v>
      </c>
    </row>
    <row r="201" spans="1:13" x14ac:dyDescent="0.3">
      <c r="A201" s="1">
        <v>45760</v>
      </c>
      <c r="B201" s="2" t="s">
        <v>2626</v>
      </c>
      <c r="C201" s="2" t="s">
        <v>2541</v>
      </c>
      <c r="D201" s="2" t="s">
        <v>2528</v>
      </c>
      <c r="E201" s="2" t="s">
        <v>2529</v>
      </c>
      <c r="F201" s="3">
        <v>123237</v>
      </c>
      <c r="G201" s="3">
        <v>2084</v>
      </c>
      <c r="H201" s="3">
        <v>136</v>
      </c>
      <c r="I201" s="4">
        <v>3356.46</v>
      </c>
      <c r="J201" s="4">
        <v>26452.87</v>
      </c>
      <c r="K201" s="3">
        <v>95</v>
      </c>
      <c r="L201" s="2" t="s">
        <v>2523</v>
      </c>
      <c r="M201" s="2" t="s">
        <v>2645</v>
      </c>
    </row>
    <row r="202" spans="1:13" x14ac:dyDescent="0.3">
      <c r="A202" s="1">
        <v>45789</v>
      </c>
      <c r="B202" s="2" t="s">
        <v>2620</v>
      </c>
      <c r="C202" s="2" t="s">
        <v>2527</v>
      </c>
      <c r="D202" s="2" t="s">
        <v>2528</v>
      </c>
      <c r="E202" s="2" t="s">
        <v>2529</v>
      </c>
      <c r="F202" s="3">
        <v>56944</v>
      </c>
      <c r="G202" s="3">
        <v>1611</v>
      </c>
      <c r="H202" s="3">
        <v>125</v>
      </c>
      <c r="I202" s="4">
        <v>1852.91</v>
      </c>
      <c r="J202" s="4">
        <v>25417.85</v>
      </c>
      <c r="K202" s="3">
        <v>66</v>
      </c>
      <c r="L202" s="2" t="s">
        <v>2536</v>
      </c>
      <c r="M202" s="2" t="s">
        <v>2526</v>
      </c>
    </row>
    <row r="203" spans="1:13" x14ac:dyDescent="0.3">
      <c r="A203" s="1">
        <v>45705</v>
      </c>
      <c r="B203" s="2" t="s">
        <v>2617</v>
      </c>
      <c r="C203" s="2" t="s">
        <v>2543</v>
      </c>
      <c r="D203" s="2" t="s">
        <v>2522</v>
      </c>
      <c r="E203" s="2" t="s">
        <v>2529</v>
      </c>
      <c r="F203" s="3">
        <v>116462</v>
      </c>
      <c r="G203" s="3">
        <v>3489</v>
      </c>
      <c r="H203" s="3">
        <v>365</v>
      </c>
      <c r="I203" s="4">
        <v>2433.89</v>
      </c>
      <c r="J203" s="4">
        <v>58568.78</v>
      </c>
      <c r="K203" s="3">
        <v>236</v>
      </c>
      <c r="L203" s="2" t="s">
        <v>2539</v>
      </c>
      <c r="M203" s="2" t="s">
        <v>2526</v>
      </c>
    </row>
    <row r="204" spans="1:13" x14ac:dyDescent="0.3">
      <c r="A204" s="1">
        <v>45781</v>
      </c>
      <c r="B204" s="2" t="s">
        <v>2642</v>
      </c>
      <c r="C204" s="2" t="s">
        <v>2543</v>
      </c>
      <c r="D204" s="2" t="s">
        <v>2528</v>
      </c>
      <c r="E204" s="2" t="s">
        <v>2529</v>
      </c>
      <c r="F204" s="3">
        <v>173404</v>
      </c>
      <c r="G204" s="3">
        <v>2979</v>
      </c>
      <c r="H204" s="3">
        <v>385</v>
      </c>
      <c r="I204" s="4">
        <v>6171.73</v>
      </c>
      <c r="J204" s="4">
        <v>52827.09</v>
      </c>
      <c r="K204" s="3">
        <v>229</v>
      </c>
      <c r="L204" s="2" t="s">
        <v>2536</v>
      </c>
      <c r="M204" s="2" t="s">
        <v>2537</v>
      </c>
    </row>
    <row r="205" spans="1:13" x14ac:dyDescent="0.3">
      <c r="A205" s="1">
        <v>45991</v>
      </c>
      <c r="B205" s="2" t="s">
        <v>2618</v>
      </c>
      <c r="C205" s="2" t="s">
        <v>2527</v>
      </c>
      <c r="D205" s="2" t="s">
        <v>2531</v>
      </c>
      <c r="E205" s="2" t="s">
        <v>2529</v>
      </c>
      <c r="F205" s="3">
        <v>47889</v>
      </c>
      <c r="G205" s="3">
        <v>2842</v>
      </c>
      <c r="H205" s="3">
        <v>171</v>
      </c>
      <c r="I205" s="4">
        <v>765.45</v>
      </c>
      <c r="J205" s="4">
        <v>37602.879999999997</v>
      </c>
      <c r="K205" s="3">
        <v>89</v>
      </c>
      <c r="L205" s="2" t="s">
        <v>2523</v>
      </c>
      <c r="M205" s="2" t="s">
        <v>2519</v>
      </c>
    </row>
    <row r="206" spans="1:13" x14ac:dyDescent="0.3">
      <c r="A206" s="1">
        <v>46012</v>
      </c>
      <c r="B206" s="2" t="s">
        <v>2622</v>
      </c>
      <c r="C206" s="2" t="s">
        <v>2533</v>
      </c>
      <c r="D206" s="2" t="s">
        <v>2525</v>
      </c>
      <c r="E206" s="2" t="s">
        <v>2529</v>
      </c>
      <c r="F206" s="3">
        <v>82416</v>
      </c>
      <c r="G206" s="3">
        <v>1753</v>
      </c>
      <c r="H206" s="3">
        <v>88</v>
      </c>
      <c r="I206" s="4">
        <v>2333.33</v>
      </c>
      <c r="J206" s="4">
        <v>1550.34</v>
      </c>
      <c r="K206" s="3">
        <v>46</v>
      </c>
      <c r="L206" s="2" t="s">
        <v>2523</v>
      </c>
      <c r="M206" s="2" t="s">
        <v>2537</v>
      </c>
    </row>
    <row r="207" spans="1:13" x14ac:dyDescent="0.3">
      <c r="A207" s="1">
        <v>45992</v>
      </c>
      <c r="B207" s="2" t="s">
        <v>2629</v>
      </c>
      <c r="C207" s="2" t="s">
        <v>2543</v>
      </c>
      <c r="D207" s="2" t="s">
        <v>2516</v>
      </c>
      <c r="E207" s="2" t="s">
        <v>2529</v>
      </c>
      <c r="F207" s="3">
        <v>37983</v>
      </c>
      <c r="G207" s="3">
        <v>383</v>
      </c>
      <c r="H207" s="3">
        <v>22</v>
      </c>
      <c r="I207" s="4">
        <v>536.04</v>
      </c>
      <c r="J207" s="4">
        <v>1977.36</v>
      </c>
      <c r="K207" s="3">
        <v>13</v>
      </c>
      <c r="L207" s="2" t="s">
        <v>2539</v>
      </c>
      <c r="M207" s="2" t="s">
        <v>2526</v>
      </c>
    </row>
    <row r="208" spans="1:13" x14ac:dyDescent="0.3">
      <c r="A208" s="1">
        <v>45902</v>
      </c>
      <c r="B208" s="2" t="s">
        <v>2634</v>
      </c>
      <c r="C208" s="2" t="s">
        <v>2521</v>
      </c>
      <c r="D208" s="2" t="s">
        <v>2528</v>
      </c>
      <c r="E208" s="2" t="s">
        <v>2517</v>
      </c>
      <c r="F208" s="3">
        <v>144326</v>
      </c>
      <c r="G208" s="3">
        <v>995</v>
      </c>
      <c r="H208" s="3">
        <v>80</v>
      </c>
      <c r="I208" s="4">
        <v>182.06</v>
      </c>
      <c r="J208" s="4">
        <v>7814.33</v>
      </c>
      <c r="K208" s="3">
        <v>65</v>
      </c>
      <c r="L208" s="2" t="s">
        <v>2523</v>
      </c>
      <c r="M208" s="2" t="s">
        <v>2519</v>
      </c>
    </row>
    <row r="209" spans="1:13" x14ac:dyDescent="0.3">
      <c r="A209" s="1">
        <v>45869</v>
      </c>
      <c r="B209" s="2" t="s">
        <v>2628</v>
      </c>
      <c r="C209" s="2" t="s">
        <v>2521</v>
      </c>
      <c r="D209" s="2" t="s">
        <v>2528</v>
      </c>
      <c r="E209" s="2" t="s">
        <v>2517</v>
      </c>
      <c r="F209" s="3">
        <v>31320</v>
      </c>
      <c r="G209" s="3">
        <v>2400</v>
      </c>
      <c r="H209" s="3">
        <v>307</v>
      </c>
      <c r="I209" s="4">
        <v>1348.17</v>
      </c>
      <c r="J209" s="4">
        <v>41922.46</v>
      </c>
      <c r="K209" s="3">
        <v>239</v>
      </c>
      <c r="L209" s="2" t="s">
        <v>2518</v>
      </c>
      <c r="M209" s="2" t="s">
        <v>2524</v>
      </c>
    </row>
    <row r="210" spans="1:13" x14ac:dyDescent="0.3">
      <c r="A210" s="1">
        <v>45888</v>
      </c>
      <c r="B210" s="2" t="s">
        <v>2631</v>
      </c>
      <c r="C210" s="2" t="s">
        <v>2527</v>
      </c>
      <c r="D210" s="2" t="s">
        <v>2516</v>
      </c>
      <c r="E210" s="2" t="s">
        <v>2529</v>
      </c>
      <c r="F210" s="3">
        <v>12248</v>
      </c>
      <c r="G210" s="3">
        <v>627</v>
      </c>
      <c r="H210" s="3">
        <v>5</v>
      </c>
      <c r="I210" s="4">
        <v>989.53</v>
      </c>
      <c r="J210" s="4">
        <v>737.79</v>
      </c>
      <c r="K210" s="3">
        <v>3</v>
      </c>
      <c r="L210" s="2" t="s">
        <v>2536</v>
      </c>
      <c r="M210" s="2" t="s">
        <v>2519</v>
      </c>
    </row>
    <row r="211" spans="1:13" x14ac:dyDescent="0.3">
      <c r="A211" s="1">
        <v>45749</v>
      </c>
      <c r="B211" s="2" t="s">
        <v>2635</v>
      </c>
      <c r="C211" s="2" t="s">
        <v>2543</v>
      </c>
      <c r="D211" s="2" t="s">
        <v>2525</v>
      </c>
      <c r="E211" s="2" t="s">
        <v>2517</v>
      </c>
      <c r="F211" s="3">
        <v>80445</v>
      </c>
      <c r="G211" s="3">
        <v>2334</v>
      </c>
      <c r="H211" s="3">
        <v>60</v>
      </c>
      <c r="I211" s="4">
        <v>679.7</v>
      </c>
      <c r="J211" s="4">
        <v>7450.56</v>
      </c>
      <c r="K211" s="3">
        <v>27</v>
      </c>
      <c r="L211" s="2" t="s">
        <v>2536</v>
      </c>
      <c r="M211" s="2" t="s">
        <v>2526</v>
      </c>
    </row>
    <row r="212" spans="1:13" x14ac:dyDescent="0.3">
      <c r="A212" s="1">
        <v>45833</v>
      </c>
      <c r="B212" s="2" t="s">
        <v>2634</v>
      </c>
      <c r="C212" s="2" t="s">
        <v>2521</v>
      </c>
      <c r="D212" s="2" t="s">
        <v>2528</v>
      </c>
      <c r="E212" s="2" t="s">
        <v>2529</v>
      </c>
      <c r="F212" s="3">
        <v>135678</v>
      </c>
      <c r="G212" s="3">
        <v>5225</v>
      </c>
      <c r="H212" s="3">
        <v>280</v>
      </c>
      <c r="I212" s="4">
        <v>2721.65</v>
      </c>
      <c r="J212" s="4">
        <v>56654.18</v>
      </c>
      <c r="K212" s="3">
        <v>133</v>
      </c>
      <c r="L212" s="2" t="s">
        <v>2523</v>
      </c>
      <c r="M212" s="2" t="s">
        <v>2524</v>
      </c>
    </row>
    <row r="213" spans="1:13" x14ac:dyDescent="0.3">
      <c r="A213" s="1">
        <v>45769</v>
      </c>
      <c r="B213" s="2" t="s">
        <v>2621</v>
      </c>
      <c r="C213" s="2" t="s">
        <v>2533</v>
      </c>
      <c r="D213" s="2" t="s">
        <v>2516</v>
      </c>
      <c r="E213" s="2" t="s">
        <v>2529</v>
      </c>
      <c r="F213" s="3">
        <v>90317</v>
      </c>
      <c r="G213" s="3">
        <v>1013</v>
      </c>
      <c r="H213" s="3">
        <v>121</v>
      </c>
      <c r="I213" s="4">
        <v>1931.04</v>
      </c>
      <c r="J213" s="4">
        <v>17672.45</v>
      </c>
      <c r="K213" s="3">
        <v>102</v>
      </c>
      <c r="L213" s="2" t="s">
        <v>2518</v>
      </c>
      <c r="M213" s="2" t="s">
        <v>2526</v>
      </c>
    </row>
    <row r="214" spans="1:13" x14ac:dyDescent="0.3">
      <c r="A214" s="1">
        <v>45714</v>
      </c>
      <c r="B214" s="2" t="s">
        <v>2629</v>
      </c>
      <c r="C214" s="2" t="s">
        <v>2543</v>
      </c>
      <c r="D214" s="2" t="s">
        <v>2528</v>
      </c>
      <c r="E214" s="2" t="s">
        <v>2529</v>
      </c>
      <c r="F214" s="3">
        <v>178817</v>
      </c>
      <c r="G214" s="3">
        <v>1545</v>
      </c>
      <c r="H214" s="3">
        <v>206</v>
      </c>
      <c r="I214" s="4">
        <v>167.94</v>
      </c>
      <c r="J214" s="4">
        <v>22360.62</v>
      </c>
      <c r="K214" s="3">
        <v>157</v>
      </c>
      <c r="L214" s="2" t="s">
        <v>2536</v>
      </c>
      <c r="M214" s="2" t="s">
        <v>2519</v>
      </c>
    </row>
    <row r="215" spans="1:13" x14ac:dyDescent="0.3">
      <c r="A215" s="1">
        <v>45776</v>
      </c>
      <c r="B215" s="2" t="s">
        <v>2620</v>
      </c>
      <c r="C215" s="2" t="s">
        <v>2541</v>
      </c>
      <c r="D215" s="2" t="s">
        <v>2525</v>
      </c>
      <c r="E215" s="2" t="s">
        <v>2534</v>
      </c>
      <c r="F215" s="3">
        <v>164988</v>
      </c>
      <c r="G215" s="3">
        <v>6517</v>
      </c>
      <c r="H215" s="3">
        <v>757</v>
      </c>
      <c r="I215" s="4">
        <v>4155.5600000000004</v>
      </c>
      <c r="J215" s="4">
        <v>158050.64000000001</v>
      </c>
      <c r="K215" s="3">
        <v>540</v>
      </c>
      <c r="L215" s="2" t="s">
        <v>2536</v>
      </c>
      <c r="M215" s="2" t="s">
        <v>2537</v>
      </c>
    </row>
    <row r="216" spans="1:13" x14ac:dyDescent="0.3">
      <c r="A216" s="1">
        <v>45973</v>
      </c>
      <c r="B216" s="2" t="s">
        <v>2623</v>
      </c>
      <c r="C216" s="2" t="s">
        <v>2543</v>
      </c>
      <c r="D216" s="2" t="s">
        <v>2531</v>
      </c>
      <c r="E216" s="2" t="s">
        <v>2517</v>
      </c>
      <c r="F216" s="3">
        <v>149825</v>
      </c>
      <c r="G216" s="3">
        <v>10305</v>
      </c>
      <c r="H216" s="3">
        <v>129</v>
      </c>
      <c r="I216" s="4">
        <v>8002.67</v>
      </c>
      <c r="J216" s="4">
        <v>26250.15</v>
      </c>
      <c r="K216" s="3">
        <v>81</v>
      </c>
      <c r="L216" s="2" t="s">
        <v>2523</v>
      </c>
      <c r="M216" s="2" t="s">
        <v>2519</v>
      </c>
    </row>
    <row r="217" spans="1:13" x14ac:dyDescent="0.3">
      <c r="A217" s="1">
        <v>45675</v>
      </c>
      <c r="B217" s="2" t="s">
        <v>2629</v>
      </c>
      <c r="C217" s="2" t="s">
        <v>2541</v>
      </c>
      <c r="D217" s="2" t="s">
        <v>2525</v>
      </c>
      <c r="E217" s="2" t="s">
        <v>2529</v>
      </c>
      <c r="F217" s="3">
        <v>173964</v>
      </c>
      <c r="G217" s="3">
        <v>1011</v>
      </c>
      <c r="H217" s="3">
        <v>27</v>
      </c>
      <c r="I217" s="4">
        <v>488.79</v>
      </c>
      <c r="J217" s="4">
        <v>1056.6300000000001</v>
      </c>
      <c r="K217" s="3">
        <v>18</v>
      </c>
      <c r="L217" s="2" t="s">
        <v>2518</v>
      </c>
      <c r="M217" s="2" t="s">
        <v>2526</v>
      </c>
    </row>
    <row r="218" spans="1:13" x14ac:dyDescent="0.3">
      <c r="A218" s="1">
        <v>45837</v>
      </c>
      <c r="B218" s="2" t="s">
        <v>2643</v>
      </c>
      <c r="C218" s="2" t="s">
        <v>2521</v>
      </c>
      <c r="D218" s="2" t="s">
        <v>2516</v>
      </c>
      <c r="E218" s="2" t="s">
        <v>2517</v>
      </c>
      <c r="F218" s="3">
        <v>65653</v>
      </c>
      <c r="G218" s="3">
        <v>1899</v>
      </c>
      <c r="H218" s="3">
        <v>84</v>
      </c>
      <c r="I218" s="4">
        <v>3409.3</v>
      </c>
      <c r="J218" s="4">
        <v>9517.7199999999993</v>
      </c>
      <c r="K218" s="3">
        <v>62</v>
      </c>
      <c r="L218" s="2" t="s">
        <v>2518</v>
      </c>
      <c r="M218" s="2" t="s">
        <v>2519</v>
      </c>
    </row>
    <row r="219" spans="1:13" x14ac:dyDescent="0.3">
      <c r="A219" s="1">
        <v>45696</v>
      </c>
      <c r="B219" s="2" t="s">
        <v>2637</v>
      </c>
      <c r="C219" s="2" t="s">
        <v>2515</v>
      </c>
      <c r="D219" s="2" t="s">
        <v>2528</v>
      </c>
      <c r="E219" s="2" t="s">
        <v>2529</v>
      </c>
      <c r="F219" s="3">
        <v>142845</v>
      </c>
      <c r="G219" s="3">
        <v>973</v>
      </c>
      <c r="H219" s="3">
        <v>105</v>
      </c>
      <c r="I219" s="4">
        <v>294.36</v>
      </c>
      <c r="J219" s="4">
        <v>12444.54</v>
      </c>
      <c r="K219" s="3">
        <v>72</v>
      </c>
      <c r="L219" s="2" t="s">
        <v>2536</v>
      </c>
      <c r="M219" s="2" t="s">
        <v>2524</v>
      </c>
    </row>
    <row r="220" spans="1:13" x14ac:dyDescent="0.3">
      <c r="A220" s="1">
        <v>45908</v>
      </c>
      <c r="B220" s="2" t="s">
        <v>2620</v>
      </c>
      <c r="C220" s="2" t="s">
        <v>2527</v>
      </c>
      <c r="D220" s="2" t="s">
        <v>2528</v>
      </c>
      <c r="E220" s="2" t="s">
        <v>2529</v>
      </c>
      <c r="F220" s="3">
        <v>56509</v>
      </c>
      <c r="G220" s="3">
        <v>2680</v>
      </c>
      <c r="H220" s="3">
        <v>36</v>
      </c>
      <c r="I220" s="4">
        <v>365.91</v>
      </c>
      <c r="J220" s="4">
        <v>6581.37</v>
      </c>
      <c r="K220" s="3">
        <v>18</v>
      </c>
      <c r="L220" s="2" t="s">
        <v>2518</v>
      </c>
      <c r="M220" s="2" t="s">
        <v>2524</v>
      </c>
    </row>
    <row r="221" spans="1:13" x14ac:dyDescent="0.3">
      <c r="A221" s="1">
        <v>45767</v>
      </c>
      <c r="B221" s="2" t="s">
        <v>2640</v>
      </c>
      <c r="C221" s="2" t="s">
        <v>2527</v>
      </c>
      <c r="D221" s="2" t="s">
        <v>2522</v>
      </c>
      <c r="E221" s="2" t="s">
        <v>2529</v>
      </c>
      <c r="F221" s="3">
        <v>123953</v>
      </c>
      <c r="G221" s="3">
        <v>5037</v>
      </c>
      <c r="H221" s="3">
        <v>123</v>
      </c>
      <c r="I221" s="4">
        <v>3732.75</v>
      </c>
      <c r="J221" s="4">
        <v>9020.39</v>
      </c>
      <c r="K221" s="3">
        <v>86</v>
      </c>
      <c r="L221" s="2" t="s">
        <v>2523</v>
      </c>
      <c r="M221" s="2" t="s">
        <v>2537</v>
      </c>
    </row>
    <row r="222" spans="1:13" x14ac:dyDescent="0.3">
      <c r="A222" s="1">
        <v>45820</v>
      </c>
      <c r="B222" s="2" t="s">
        <v>2639</v>
      </c>
      <c r="C222" s="2" t="s">
        <v>2515</v>
      </c>
      <c r="D222" s="2" t="s">
        <v>2528</v>
      </c>
      <c r="E222" s="2" t="s">
        <v>2529</v>
      </c>
      <c r="F222" s="3">
        <v>57863</v>
      </c>
      <c r="G222" s="3">
        <v>3291</v>
      </c>
      <c r="H222" s="3">
        <v>204</v>
      </c>
      <c r="I222" s="4">
        <v>1506.27</v>
      </c>
      <c r="J222" s="4">
        <v>4955.18</v>
      </c>
      <c r="K222" s="3">
        <v>166</v>
      </c>
      <c r="L222" s="2" t="s">
        <v>2539</v>
      </c>
      <c r="M222" s="2" t="s">
        <v>2537</v>
      </c>
    </row>
    <row r="223" spans="1:13" x14ac:dyDescent="0.3">
      <c r="A223" s="1">
        <v>45939</v>
      </c>
      <c r="B223" s="2" t="s">
        <v>2628</v>
      </c>
      <c r="C223" s="2" t="s">
        <v>2543</v>
      </c>
      <c r="D223" s="2" t="s">
        <v>2528</v>
      </c>
      <c r="E223" s="2" t="s">
        <v>2529</v>
      </c>
      <c r="F223" s="3">
        <v>29715</v>
      </c>
      <c r="G223" s="3">
        <v>2249</v>
      </c>
      <c r="H223" s="3">
        <v>89</v>
      </c>
      <c r="I223" s="4">
        <v>1855.71</v>
      </c>
      <c r="J223" s="4">
        <v>14720.55</v>
      </c>
      <c r="K223" s="3">
        <v>79</v>
      </c>
      <c r="L223" s="2" t="s">
        <v>2518</v>
      </c>
      <c r="M223" s="2" t="s">
        <v>2526</v>
      </c>
    </row>
    <row r="224" spans="1:13" x14ac:dyDescent="0.3">
      <c r="A224" s="1">
        <v>45953</v>
      </c>
      <c r="B224" s="2" t="s">
        <v>2624</v>
      </c>
      <c r="C224" s="2" t="s">
        <v>2521</v>
      </c>
      <c r="D224" s="2" t="s">
        <v>2531</v>
      </c>
      <c r="E224" s="2" t="s">
        <v>2529</v>
      </c>
      <c r="F224" s="3">
        <v>36403</v>
      </c>
      <c r="G224" s="3">
        <v>350</v>
      </c>
      <c r="H224" s="3">
        <v>43</v>
      </c>
      <c r="I224" s="4">
        <v>570.22</v>
      </c>
      <c r="J224" s="4">
        <v>5881.42</v>
      </c>
      <c r="K224" s="3">
        <v>33</v>
      </c>
      <c r="L224" s="2" t="s">
        <v>2539</v>
      </c>
      <c r="M224" s="2" t="s">
        <v>2537</v>
      </c>
    </row>
    <row r="225" spans="1:13" x14ac:dyDescent="0.3">
      <c r="A225" s="1">
        <v>45882</v>
      </c>
      <c r="B225" s="2" t="s">
        <v>2624</v>
      </c>
      <c r="C225" s="2" t="s">
        <v>2515</v>
      </c>
      <c r="D225" s="2" t="s">
        <v>2528</v>
      </c>
      <c r="E225" s="2" t="s">
        <v>2517</v>
      </c>
      <c r="F225" s="3">
        <v>119718</v>
      </c>
      <c r="G225" s="3">
        <v>9551</v>
      </c>
      <c r="H225" s="3">
        <v>804</v>
      </c>
      <c r="I225" s="4">
        <v>9584.7800000000007</v>
      </c>
      <c r="J225" s="4">
        <v>90520.69</v>
      </c>
      <c r="K225" s="3">
        <v>548</v>
      </c>
      <c r="L225" s="2" t="s">
        <v>2523</v>
      </c>
      <c r="M225" s="2" t="s">
        <v>2519</v>
      </c>
    </row>
    <row r="226" spans="1:13" x14ac:dyDescent="0.3">
      <c r="A226" s="1">
        <v>45738</v>
      </c>
      <c r="B226" s="2" t="s">
        <v>2641</v>
      </c>
      <c r="C226" s="2" t="s">
        <v>2515</v>
      </c>
      <c r="D226" s="2" t="s">
        <v>2522</v>
      </c>
      <c r="E226" s="2" t="s">
        <v>2529</v>
      </c>
      <c r="F226" s="3">
        <v>48427</v>
      </c>
      <c r="G226" s="3">
        <v>1976</v>
      </c>
      <c r="H226" s="3">
        <v>110</v>
      </c>
      <c r="I226" s="4">
        <v>2829.49</v>
      </c>
      <c r="J226" s="4">
        <v>21159.55</v>
      </c>
      <c r="K226" s="3">
        <v>62</v>
      </c>
      <c r="L226" s="2" t="s">
        <v>2523</v>
      </c>
      <c r="M226" s="2" t="s">
        <v>2524</v>
      </c>
    </row>
    <row r="227" spans="1:13" x14ac:dyDescent="0.3">
      <c r="A227" s="1">
        <v>45997</v>
      </c>
      <c r="B227" s="2" t="s">
        <v>2635</v>
      </c>
      <c r="C227" s="2" t="s">
        <v>2527</v>
      </c>
      <c r="D227" s="2" t="s">
        <v>2528</v>
      </c>
      <c r="E227" s="2" t="s">
        <v>2529</v>
      </c>
      <c r="F227" s="3">
        <v>171020</v>
      </c>
      <c r="G227" s="3">
        <v>8884</v>
      </c>
      <c r="H227" s="3">
        <v>662</v>
      </c>
      <c r="I227" s="4">
        <v>17801.39</v>
      </c>
      <c r="J227" s="4">
        <v>80424.039999999994</v>
      </c>
      <c r="K227" s="3">
        <v>303</v>
      </c>
      <c r="L227" s="2" t="s">
        <v>2536</v>
      </c>
      <c r="M227" s="2" t="s">
        <v>2645</v>
      </c>
    </row>
    <row r="228" spans="1:13" x14ac:dyDescent="0.3">
      <c r="A228" s="1">
        <v>46003</v>
      </c>
      <c r="B228" s="2" t="s">
        <v>2631</v>
      </c>
      <c r="C228" s="2" t="s">
        <v>2521</v>
      </c>
      <c r="D228" s="2" t="s">
        <v>2522</v>
      </c>
      <c r="E228" s="2" t="s">
        <v>2517</v>
      </c>
      <c r="F228" s="3">
        <v>57275</v>
      </c>
      <c r="G228" s="3">
        <v>258</v>
      </c>
      <c r="H228" s="3">
        <v>31</v>
      </c>
      <c r="I228" s="4">
        <v>203.76</v>
      </c>
      <c r="J228" s="4">
        <v>6572.26</v>
      </c>
      <c r="K228" s="3">
        <v>17</v>
      </c>
      <c r="L228" s="2" t="s">
        <v>2523</v>
      </c>
      <c r="M228" s="2" t="s">
        <v>2519</v>
      </c>
    </row>
    <row r="229" spans="1:13" x14ac:dyDescent="0.3">
      <c r="A229" s="1">
        <v>45769</v>
      </c>
      <c r="B229" s="2" t="s">
        <v>2618</v>
      </c>
      <c r="C229" s="2" t="s">
        <v>2541</v>
      </c>
      <c r="D229" s="2" t="s">
        <v>2525</v>
      </c>
      <c r="E229" s="2" t="s">
        <v>2534</v>
      </c>
      <c r="F229" s="3">
        <v>179090</v>
      </c>
      <c r="G229" s="3">
        <v>3073</v>
      </c>
      <c r="H229" s="3">
        <v>427</v>
      </c>
      <c r="I229" s="4">
        <v>6449.94</v>
      </c>
      <c r="J229" s="4">
        <v>27932.82</v>
      </c>
      <c r="K229" s="3">
        <v>363</v>
      </c>
      <c r="L229" s="2" t="s">
        <v>2518</v>
      </c>
      <c r="M229" s="2" t="s">
        <v>2546</v>
      </c>
    </row>
    <row r="230" spans="1:13" x14ac:dyDescent="0.3">
      <c r="A230" s="1">
        <v>45988</v>
      </c>
      <c r="B230" s="2" t="s">
        <v>2630</v>
      </c>
      <c r="C230" s="2" t="s">
        <v>2515</v>
      </c>
      <c r="D230" s="2" t="s">
        <v>2525</v>
      </c>
      <c r="E230" s="2" t="s">
        <v>2517</v>
      </c>
      <c r="F230" s="3">
        <v>158182</v>
      </c>
      <c r="G230" s="3">
        <v>14182</v>
      </c>
      <c r="H230" s="3">
        <v>1715</v>
      </c>
      <c r="I230" s="4">
        <v>15077.58</v>
      </c>
      <c r="J230" s="4">
        <v>315910.33</v>
      </c>
      <c r="K230" s="3">
        <v>1019</v>
      </c>
      <c r="L230" s="2" t="s">
        <v>2518</v>
      </c>
      <c r="M230" s="2" t="s">
        <v>2546</v>
      </c>
    </row>
    <row r="231" spans="1:13" x14ac:dyDescent="0.3">
      <c r="A231" s="1">
        <v>45727</v>
      </c>
      <c r="B231" s="2" t="s">
        <v>2618</v>
      </c>
      <c r="C231" s="2" t="s">
        <v>2533</v>
      </c>
      <c r="D231" s="2" t="s">
        <v>2522</v>
      </c>
      <c r="E231" s="2" t="s">
        <v>2529</v>
      </c>
      <c r="F231" s="3">
        <v>141359</v>
      </c>
      <c r="G231" s="3">
        <v>4614</v>
      </c>
      <c r="H231" s="3">
        <v>46</v>
      </c>
      <c r="I231" s="4">
        <v>6446.03</v>
      </c>
      <c r="J231" s="4">
        <v>3828.59</v>
      </c>
      <c r="K231" s="3">
        <v>25</v>
      </c>
      <c r="L231" s="2" t="s">
        <v>2539</v>
      </c>
      <c r="M231" s="2" t="s">
        <v>2537</v>
      </c>
    </row>
    <row r="232" spans="1:13" x14ac:dyDescent="0.3">
      <c r="A232" s="1">
        <v>45772</v>
      </c>
      <c r="B232" s="2" t="s">
        <v>2629</v>
      </c>
      <c r="C232" s="2" t="s">
        <v>2527</v>
      </c>
      <c r="D232" s="2" t="s">
        <v>2531</v>
      </c>
      <c r="E232" s="2" t="s">
        <v>2529</v>
      </c>
      <c r="F232" s="3">
        <v>43152</v>
      </c>
      <c r="G232" s="3">
        <v>1650</v>
      </c>
      <c r="H232" s="3">
        <v>56</v>
      </c>
      <c r="I232" s="4">
        <v>2605.81</v>
      </c>
      <c r="J232" s="4">
        <v>10686.11</v>
      </c>
      <c r="K232" s="3">
        <v>27</v>
      </c>
      <c r="L232" s="2" t="s">
        <v>2536</v>
      </c>
      <c r="M232" s="2" t="s">
        <v>2519</v>
      </c>
    </row>
    <row r="233" spans="1:13" x14ac:dyDescent="0.3">
      <c r="A233" s="1">
        <v>45937</v>
      </c>
      <c r="B233" s="2" t="s">
        <v>2628</v>
      </c>
      <c r="C233" s="2" t="s">
        <v>2527</v>
      </c>
      <c r="D233" s="2" t="s">
        <v>2528</v>
      </c>
      <c r="E233" s="2" t="s">
        <v>2534</v>
      </c>
      <c r="F233" s="3">
        <v>169243</v>
      </c>
      <c r="G233" s="3">
        <v>14397</v>
      </c>
      <c r="H233" s="3">
        <v>230</v>
      </c>
      <c r="I233" s="4">
        <v>13347.12</v>
      </c>
      <c r="J233" s="4">
        <v>36945.81</v>
      </c>
      <c r="K233" s="3">
        <v>124</v>
      </c>
      <c r="L233" s="2" t="s">
        <v>2539</v>
      </c>
      <c r="M233" s="2" t="s">
        <v>2526</v>
      </c>
    </row>
    <row r="234" spans="1:13" x14ac:dyDescent="0.3">
      <c r="A234" s="1">
        <v>45815</v>
      </c>
      <c r="B234" s="2" t="s">
        <v>2616</v>
      </c>
      <c r="C234" s="2" t="s">
        <v>2515</v>
      </c>
      <c r="D234" s="2" t="s">
        <v>2528</v>
      </c>
      <c r="E234" s="2" t="s">
        <v>2529</v>
      </c>
      <c r="F234" s="3">
        <v>144883</v>
      </c>
      <c r="G234" s="3">
        <v>1547</v>
      </c>
      <c r="H234" s="3">
        <v>181</v>
      </c>
      <c r="I234" s="4">
        <v>1961.74</v>
      </c>
      <c r="J234" s="4">
        <v>4464.3999999999996</v>
      </c>
      <c r="K234" s="3">
        <v>154</v>
      </c>
      <c r="L234" s="2" t="s">
        <v>2518</v>
      </c>
      <c r="M234" s="2" t="s">
        <v>2537</v>
      </c>
    </row>
    <row r="235" spans="1:13" x14ac:dyDescent="0.3">
      <c r="A235" s="1">
        <v>45948</v>
      </c>
      <c r="B235" s="2" t="s">
        <v>2634</v>
      </c>
      <c r="C235" s="2" t="s">
        <v>2541</v>
      </c>
      <c r="D235" s="2" t="s">
        <v>2531</v>
      </c>
      <c r="E235" s="2" t="s">
        <v>2529</v>
      </c>
      <c r="F235" s="3">
        <v>25762</v>
      </c>
      <c r="G235" s="3">
        <v>254</v>
      </c>
      <c r="H235" s="3">
        <v>32</v>
      </c>
      <c r="I235" s="4">
        <v>113.98</v>
      </c>
      <c r="J235" s="4">
        <v>6748.92</v>
      </c>
      <c r="K235" s="3">
        <v>21</v>
      </c>
      <c r="L235" s="2" t="s">
        <v>2539</v>
      </c>
      <c r="M235" s="2" t="s">
        <v>2546</v>
      </c>
    </row>
    <row r="236" spans="1:13" x14ac:dyDescent="0.3">
      <c r="A236" s="1">
        <v>45716</v>
      </c>
      <c r="B236" s="2" t="s">
        <v>2627</v>
      </c>
      <c r="C236" s="2" t="s">
        <v>2515</v>
      </c>
      <c r="D236" s="2" t="s">
        <v>2528</v>
      </c>
      <c r="E236" s="2" t="s">
        <v>2529</v>
      </c>
      <c r="F236" s="3">
        <v>162056</v>
      </c>
      <c r="G236" s="3">
        <v>4802</v>
      </c>
      <c r="H236" s="3">
        <v>403</v>
      </c>
      <c r="I236" s="4">
        <v>1479.31</v>
      </c>
      <c r="J236" s="4">
        <v>10907.97</v>
      </c>
      <c r="K236" s="3">
        <v>331</v>
      </c>
      <c r="L236" s="2" t="s">
        <v>2536</v>
      </c>
      <c r="M236" s="2" t="s">
        <v>2524</v>
      </c>
    </row>
    <row r="237" spans="1:13" x14ac:dyDescent="0.3">
      <c r="A237" s="1">
        <v>45872</v>
      </c>
      <c r="B237" s="2" t="s">
        <v>2625</v>
      </c>
      <c r="C237" s="2" t="s">
        <v>2515</v>
      </c>
      <c r="D237" s="2" t="s">
        <v>2525</v>
      </c>
      <c r="E237" s="2" t="s">
        <v>2529</v>
      </c>
      <c r="F237" s="3">
        <v>82909</v>
      </c>
      <c r="G237" s="3">
        <v>3126</v>
      </c>
      <c r="H237" s="3">
        <v>241</v>
      </c>
      <c r="I237" s="4">
        <v>5614.73</v>
      </c>
      <c r="J237" s="4">
        <v>47297.66</v>
      </c>
      <c r="K237" s="3">
        <v>122</v>
      </c>
      <c r="L237" s="2" t="s">
        <v>2539</v>
      </c>
      <c r="M237" s="2" t="s">
        <v>2519</v>
      </c>
    </row>
    <row r="238" spans="1:13" x14ac:dyDescent="0.3">
      <c r="A238" s="1">
        <v>45672</v>
      </c>
      <c r="B238" s="2" t="s">
        <v>2636</v>
      </c>
      <c r="C238" s="2" t="s">
        <v>2521</v>
      </c>
      <c r="D238" s="2" t="s">
        <v>2528</v>
      </c>
      <c r="E238" s="2" t="s">
        <v>2534</v>
      </c>
      <c r="F238" s="3">
        <v>4521</v>
      </c>
      <c r="G238" s="3">
        <v>190</v>
      </c>
      <c r="H238" s="3">
        <v>8</v>
      </c>
      <c r="I238" s="4">
        <v>24.97</v>
      </c>
      <c r="J238" s="4">
        <v>726.07</v>
      </c>
      <c r="K238" s="3">
        <v>4</v>
      </c>
      <c r="L238" s="2" t="s">
        <v>2518</v>
      </c>
      <c r="M238" s="2" t="s">
        <v>2526</v>
      </c>
    </row>
    <row r="239" spans="1:13" x14ac:dyDescent="0.3">
      <c r="A239" s="1">
        <v>45970</v>
      </c>
      <c r="B239" s="2" t="s">
        <v>2640</v>
      </c>
      <c r="C239" s="2" t="s">
        <v>2515</v>
      </c>
      <c r="D239" s="2" t="s">
        <v>2528</v>
      </c>
      <c r="E239" s="2" t="s">
        <v>2517</v>
      </c>
      <c r="F239" s="3">
        <v>73351</v>
      </c>
      <c r="G239" s="3">
        <v>2461</v>
      </c>
      <c r="H239" s="3">
        <v>341</v>
      </c>
      <c r="I239" s="4">
        <v>563.62</v>
      </c>
      <c r="J239" s="4">
        <v>41037.68</v>
      </c>
      <c r="K239" s="3">
        <v>187</v>
      </c>
      <c r="L239" s="2" t="s">
        <v>2539</v>
      </c>
      <c r="M239" s="2" t="s">
        <v>2524</v>
      </c>
    </row>
    <row r="240" spans="1:13" x14ac:dyDescent="0.3">
      <c r="A240" s="1">
        <v>45695</v>
      </c>
      <c r="B240" s="2" t="s">
        <v>2640</v>
      </c>
      <c r="C240" s="2" t="s">
        <v>2527</v>
      </c>
      <c r="D240" s="2" t="s">
        <v>2531</v>
      </c>
      <c r="E240" s="2" t="s">
        <v>2529</v>
      </c>
      <c r="F240" s="3">
        <v>88432</v>
      </c>
      <c r="G240" s="3">
        <v>1168</v>
      </c>
      <c r="H240" s="3">
        <v>132</v>
      </c>
      <c r="I240" s="4">
        <v>1704.43</v>
      </c>
      <c r="J240" s="4">
        <v>8742.64</v>
      </c>
      <c r="K240" s="3">
        <v>102</v>
      </c>
      <c r="L240" s="2" t="s">
        <v>2523</v>
      </c>
      <c r="M240" s="2" t="s">
        <v>2546</v>
      </c>
    </row>
    <row r="241" spans="1:13" x14ac:dyDescent="0.3">
      <c r="A241" s="1">
        <v>45666</v>
      </c>
      <c r="B241" s="2" t="s">
        <v>2635</v>
      </c>
      <c r="C241" s="2" t="s">
        <v>2543</v>
      </c>
      <c r="D241" s="2" t="s">
        <v>2528</v>
      </c>
      <c r="E241" s="2" t="s">
        <v>2529</v>
      </c>
      <c r="F241" s="3">
        <v>32995</v>
      </c>
      <c r="G241" s="3">
        <v>1206</v>
      </c>
      <c r="H241" s="3">
        <v>33</v>
      </c>
      <c r="I241" s="4">
        <v>466.06</v>
      </c>
      <c r="J241" s="4">
        <v>3024.19</v>
      </c>
      <c r="K241" s="3">
        <v>18</v>
      </c>
      <c r="L241" s="2" t="s">
        <v>2539</v>
      </c>
      <c r="M241" s="2" t="s">
        <v>2546</v>
      </c>
    </row>
    <row r="242" spans="1:13" x14ac:dyDescent="0.3">
      <c r="A242" s="1">
        <v>45829</v>
      </c>
      <c r="B242" s="2" t="s">
        <v>2628</v>
      </c>
      <c r="C242" s="2" t="s">
        <v>2527</v>
      </c>
      <c r="D242" s="2" t="s">
        <v>2528</v>
      </c>
      <c r="E242" s="2" t="s">
        <v>2529</v>
      </c>
      <c r="F242" s="3">
        <v>126344</v>
      </c>
      <c r="G242" s="3">
        <v>1283</v>
      </c>
      <c r="H242" s="3">
        <v>94</v>
      </c>
      <c r="I242" s="4">
        <v>815.77</v>
      </c>
      <c r="J242" s="4">
        <v>15005.56</v>
      </c>
      <c r="K242" s="3">
        <v>56</v>
      </c>
      <c r="L242" s="2" t="s">
        <v>2523</v>
      </c>
      <c r="M242" s="2" t="s">
        <v>2537</v>
      </c>
    </row>
    <row r="243" spans="1:13" x14ac:dyDescent="0.3">
      <c r="A243" s="1">
        <v>45892</v>
      </c>
      <c r="B243" s="2" t="s">
        <v>2638</v>
      </c>
      <c r="C243" s="2" t="s">
        <v>2541</v>
      </c>
      <c r="D243" s="2" t="s">
        <v>2516</v>
      </c>
      <c r="E243" s="2" t="s">
        <v>2529</v>
      </c>
      <c r="F243" s="3">
        <v>87265</v>
      </c>
      <c r="G243" s="3">
        <v>2441</v>
      </c>
      <c r="H243" s="3">
        <v>40</v>
      </c>
      <c r="I243" s="4">
        <v>3749.31</v>
      </c>
      <c r="J243" s="4">
        <v>2624.65</v>
      </c>
      <c r="K243" s="3">
        <v>27</v>
      </c>
      <c r="L243" s="2" t="s">
        <v>2523</v>
      </c>
      <c r="M243" s="2" t="s">
        <v>2537</v>
      </c>
    </row>
    <row r="244" spans="1:13" x14ac:dyDescent="0.3">
      <c r="A244" s="1">
        <v>45979</v>
      </c>
      <c r="B244" s="2" t="s">
        <v>2641</v>
      </c>
      <c r="C244" s="2" t="s">
        <v>2533</v>
      </c>
      <c r="D244" s="2" t="s">
        <v>2525</v>
      </c>
      <c r="E244" s="2" t="s">
        <v>2517</v>
      </c>
      <c r="F244" s="3">
        <v>96295</v>
      </c>
      <c r="G244" s="3">
        <v>1424</v>
      </c>
      <c r="H244" s="3">
        <v>81</v>
      </c>
      <c r="I244" s="4">
        <v>323.29000000000002</v>
      </c>
      <c r="J244" s="4">
        <v>16529.73</v>
      </c>
      <c r="K244" s="3">
        <v>39</v>
      </c>
      <c r="L244" s="2" t="s">
        <v>2518</v>
      </c>
      <c r="M244" s="2" t="s">
        <v>2546</v>
      </c>
    </row>
    <row r="245" spans="1:13" x14ac:dyDescent="0.3">
      <c r="A245" s="1">
        <v>45721</v>
      </c>
      <c r="B245" s="2" t="s">
        <v>2616</v>
      </c>
      <c r="C245" s="2" t="s">
        <v>2527</v>
      </c>
      <c r="D245" s="2" t="s">
        <v>2528</v>
      </c>
      <c r="E245" s="2" t="s">
        <v>2517</v>
      </c>
      <c r="F245" s="3">
        <v>43556</v>
      </c>
      <c r="G245" s="3">
        <v>2837</v>
      </c>
      <c r="H245" s="3">
        <v>206</v>
      </c>
      <c r="I245" s="4">
        <v>4174.68</v>
      </c>
      <c r="J245" s="4">
        <v>23271.79</v>
      </c>
      <c r="K245" s="3">
        <v>174</v>
      </c>
      <c r="L245" s="2" t="s">
        <v>2539</v>
      </c>
      <c r="M245" s="2" t="s">
        <v>2546</v>
      </c>
    </row>
    <row r="246" spans="1:13" x14ac:dyDescent="0.3">
      <c r="A246" s="1">
        <v>45875</v>
      </c>
      <c r="B246" s="2" t="s">
        <v>2642</v>
      </c>
      <c r="C246" s="2" t="s">
        <v>2527</v>
      </c>
      <c r="D246" s="2" t="s">
        <v>2528</v>
      </c>
      <c r="E246" s="2" t="s">
        <v>2517</v>
      </c>
      <c r="F246" s="3">
        <v>42915</v>
      </c>
      <c r="G246" s="3">
        <v>2250</v>
      </c>
      <c r="H246" s="3">
        <v>58</v>
      </c>
      <c r="I246" s="4">
        <v>386.61</v>
      </c>
      <c r="J246" s="4">
        <v>12032.29</v>
      </c>
      <c r="K246" s="3">
        <v>44</v>
      </c>
      <c r="L246" s="2" t="s">
        <v>2536</v>
      </c>
      <c r="M246" s="2" t="s">
        <v>2537</v>
      </c>
    </row>
    <row r="247" spans="1:13" x14ac:dyDescent="0.3">
      <c r="A247" s="1">
        <v>45965</v>
      </c>
      <c r="B247" s="2" t="s">
        <v>2626</v>
      </c>
      <c r="C247" s="2" t="s">
        <v>2533</v>
      </c>
      <c r="D247" s="2" t="s">
        <v>2531</v>
      </c>
      <c r="E247" s="2" t="s">
        <v>2529</v>
      </c>
      <c r="F247" s="3">
        <v>175749</v>
      </c>
      <c r="G247" s="3">
        <v>1470</v>
      </c>
      <c r="H247" s="3">
        <v>166</v>
      </c>
      <c r="I247" s="4">
        <v>1907.79</v>
      </c>
      <c r="J247" s="4">
        <v>12739.89</v>
      </c>
      <c r="K247" s="3">
        <v>77</v>
      </c>
      <c r="L247" s="2" t="s">
        <v>2536</v>
      </c>
      <c r="M247" s="2" t="s">
        <v>2546</v>
      </c>
    </row>
    <row r="248" spans="1:13" x14ac:dyDescent="0.3">
      <c r="A248" s="1">
        <v>45804</v>
      </c>
      <c r="B248" s="2" t="s">
        <v>2638</v>
      </c>
      <c r="C248" s="2" t="s">
        <v>2533</v>
      </c>
      <c r="D248" s="2" t="s">
        <v>2528</v>
      </c>
      <c r="E248" s="2" t="s">
        <v>2529</v>
      </c>
      <c r="F248" s="3">
        <v>141863</v>
      </c>
      <c r="G248" s="3">
        <v>11654</v>
      </c>
      <c r="H248" s="3">
        <v>142</v>
      </c>
      <c r="I248" s="4">
        <v>7848.74</v>
      </c>
      <c r="J248" s="4">
        <v>19458.05</v>
      </c>
      <c r="K248" s="3">
        <v>98</v>
      </c>
      <c r="L248" s="2" t="s">
        <v>2539</v>
      </c>
      <c r="M248" s="2" t="s">
        <v>2519</v>
      </c>
    </row>
    <row r="249" spans="1:13" x14ac:dyDescent="0.3">
      <c r="A249" s="1">
        <v>45758</v>
      </c>
      <c r="B249" s="2" t="s">
        <v>2639</v>
      </c>
      <c r="C249" s="2" t="s">
        <v>2541</v>
      </c>
      <c r="D249" s="2" t="s">
        <v>2525</v>
      </c>
      <c r="E249" s="2" t="s">
        <v>2534</v>
      </c>
      <c r="F249" s="3">
        <v>119882</v>
      </c>
      <c r="G249" s="3">
        <v>4931</v>
      </c>
      <c r="H249" s="3">
        <v>486</v>
      </c>
      <c r="I249" s="4">
        <v>9281.2900000000009</v>
      </c>
      <c r="J249" s="4">
        <v>71734.789999999994</v>
      </c>
      <c r="K249" s="3">
        <v>429</v>
      </c>
      <c r="L249" s="2" t="s">
        <v>2536</v>
      </c>
      <c r="M249" s="2" t="s">
        <v>2519</v>
      </c>
    </row>
    <row r="250" spans="1:13" x14ac:dyDescent="0.3">
      <c r="A250" s="1">
        <v>45973</v>
      </c>
      <c r="B250" s="2" t="s">
        <v>2641</v>
      </c>
      <c r="C250" s="2" t="s">
        <v>2541</v>
      </c>
      <c r="D250" s="2" t="s">
        <v>2528</v>
      </c>
      <c r="E250" s="2" t="s">
        <v>2529</v>
      </c>
      <c r="F250" s="3">
        <v>145941</v>
      </c>
      <c r="G250" s="3">
        <v>9341</v>
      </c>
      <c r="H250" s="3">
        <v>580</v>
      </c>
      <c r="I250" s="4">
        <v>9501.42</v>
      </c>
      <c r="J250" s="4">
        <v>101929.86</v>
      </c>
      <c r="K250" s="3">
        <v>447</v>
      </c>
      <c r="L250" s="2" t="s">
        <v>2523</v>
      </c>
      <c r="M250" s="2" t="s">
        <v>2645</v>
      </c>
    </row>
    <row r="251" spans="1:13" x14ac:dyDescent="0.3">
      <c r="A251" s="1">
        <v>45941</v>
      </c>
      <c r="B251" s="2" t="s">
        <v>2631</v>
      </c>
      <c r="C251" s="2" t="s">
        <v>2527</v>
      </c>
      <c r="D251" s="2" t="s">
        <v>2528</v>
      </c>
      <c r="E251" s="2" t="s">
        <v>2529</v>
      </c>
      <c r="F251" s="3">
        <v>105170</v>
      </c>
      <c r="G251" s="3">
        <v>9344</v>
      </c>
      <c r="H251" s="3">
        <v>1266</v>
      </c>
      <c r="I251" s="4">
        <v>19197.38</v>
      </c>
      <c r="J251" s="4">
        <v>90011.98</v>
      </c>
      <c r="K251" s="3">
        <v>682</v>
      </c>
      <c r="L251" s="2" t="s">
        <v>2536</v>
      </c>
      <c r="M251" s="2" t="s">
        <v>2524</v>
      </c>
    </row>
    <row r="252" spans="1:13" x14ac:dyDescent="0.3">
      <c r="A252" s="1">
        <v>45972</v>
      </c>
      <c r="B252" s="2" t="s">
        <v>2622</v>
      </c>
      <c r="C252" s="2" t="s">
        <v>2543</v>
      </c>
      <c r="D252" s="2" t="s">
        <v>2531</v>
      </c>
      <c r="E252" s="2" t="s">
        <v>2529</v>
      </c>
      <c r="F252" s="3">
        <v>162076</v>
      </c>
      <c r="G252" s="3">
        <v>13171</v>
      </c>
      <c r="H252" s="3">
        <v>1842</v>
      </c>
      <c r="I252" s="4">
        <v>22835.83</v>
      </c>
      <c r="J252" s="4">
        <v>158650.9</v>
      </c>
      <c r="K252" s="3">
        <v>1459</v>
      </c>
      <c r="L252" s="2" t="s">
        <v>2523</v>
      </c>
      <c r="M252" s="2" t="s">
        <v>2537</v>
      </c>
    </row>
    <row r="253" spans="1:13" x14ac:dyDescent="0.3">
      <c r="A253" s="1">
        <v>45866</v>
      </c>
      <c r="B253" s="2" t="s">
        <v>2618</v>
      </c>
      <c r="C253" s="2" t="s">
        <v>2533</v>
      </c>
      <c r="D253" s="2" t="s">
        <v>2525</v>
      </c>
      <c r="E253" s="2" t="s">
        <v>2517</v>
      </c>
      <c r="F253" s="3">
        <v>134055</v>
      </c>
      <c r="G253" s="3">
        <v>4008</v>
      </c>
      <c r="H253" s="3">
        <v>396</v>
      </c>
      <c r="I253" s="4">
        <v>4745.12</v>
      </c>
      <c r="J253" s="4">
        <v>20132.45</v>
      </c>
      <c r="K253" s="3">
        <v>335</v>
      </c>
      <c r="L253" s="2" t="s">
        <v>2536</v>
      </c>
      <c r="M253" s="2" t="s">
        <v>2526</v>
      </c>
    </row>
    <row r="254" spans="1:13" x14ac:dyDescent="0.3">
      <c r="A254" s="1">
        <v>46008</v>
      </c>
      <c r="B254" s="2" t="s">
        <v>2627</v>
      </c>
      <c r="C254" s="2" t="s">
        <v>2515</v>
      </c>
      <c r="D254" s="2" t="s">
        <v>2528</v>
      </c>
      <c r="E254" s="2" t="s">
        <v>2517</v>
      </c>
      <c r="F254" s="3">
        <v>68066</v>
      </c>
      <c r="G254" s="3">
        <v>5586</v>
      </c>
      <c r="H254" s="3">
        <v>127</v>
      </c>
      <c r="I254" s="4">
        <v>809.41</v>
      </c>
      <c r="J254" s="4">
        <v>17865.96</v>
      </c>
      <c r="K254" s="3">
        <v>104</v>
      </c>
      <c r="L254" s="2" t="s">
        <v>2536</v>
      </c>
      <c r="M254" s="2" t="s">
        <v>2524</v>
      </c>
    </row>
    <row r="255" spans="1:13" x14ac:dyDescent="0.3">
      <c r="A255" s="1">
        <v>45872</v>
      </c>
      <c r="B255" s="2" t="s">
        <v>2642</v>
      </c>
      <c r="C255" s="2" t="s">
        <v>2521</v>
      </c>
      <c r="D255" s="2" t="s">
        <v>2528</v>
      </c>
      <c r="E255" s="2" t="s">
        <v>2529</v>
      </c>
      <c r="F255" s="3">
        <v>152106</v>
      </c>
      <c r="G255" s="3">
        <v>9448</v>
      </c>
      <c r="H255" s="3">
        <v>723</v>
      </c>
      <c r="I255" s="4">
        <v>14822.38</v>
      </c>
      <c r="J255" s="4">
        <v>97549.7</v>
      </c>
      <c r="K255" s="3">
        <v>604</v>
      </c>
      <c r="L255" s="2" t="s">
        <v>2539</v>
      </c>
      <c r="M255" s="2" t="s">
        <v>2546</v>
      </c>
    </row>
    <row r="256" spans="1:13" x14ac:dyDescent="0.3">
      <c r="A256" s="1">
        <v>45817</v>
      </c>
      <c r="B256" s="2" t="s">
        <v>2635</v>
      </c>
      <c r="C256" s="2" t="s">
        <v>2541</v>
      </c>
      <c r="D256" s="2" t="s">
        <v>2528</v>
      </c>
      <c r="E256" s="2" t="s">
        <v>2517</v>
      </c>
      <c r="F256" s="3">
        <v>117875</v>
      </c>
      <c r="G256" s="3">
        <v>7713</v>
      </c>
      <c r="H256" s="3">
        <v>567</v>
      </c>
      <c r="I256" s="4">
        <v>11000.89</v>
      </c>
      <c r="J256" s="4">
        <v>52777.88</v>
      </c>
      <c r="K256" s="3">
        <v>450</v>
      </c>
      <c r="L256" s="2" t="s">
        <v>2518</v>
      </c>
      <c r="M256" s="2" t="s">
        <v>2524</v>
      </c>
    </row>
    <row r="257" spans="1:13" x14ac:dyDescent="0.3">
      <c r="A257" s="1">
        <v>45688</v>
      </c>
      <c r="B257" s="2" t="s">
        <v>2631</v>
      </c>
      <c r="C257" s="2" t="s">
        <v>2515</v>
      </c>
      <c r="D257" s="2" t="s">
        <v>2528</v>
      </c>
      <c r="E257" s="2" t="s">
        <v>2529</v>
      </c>
      <c r="F257" s="3">
        <v>90544</v>
      </c>
      <c r="G257" s="3">
        <v>2948</v>
      </c>
      <c r="H257" s="3">
        <v>219</v>
      </c>
      <c r="I257" s="4">
        <v>4556.2700000000004</v>
      </c>
      <c r="J257" s="4">
        <v>10935.12</v>
      </c>
      <c r="K257" s="3">
        <v>125</v>
      </c>
      <c r="L257" s="2" t="s">
        <v>2539</v>
      </c>
      <c r="M257" s="2" t="s">
        <v>2537</v>
      </c>
    </row>
    <row r="258" spans="1:13" x14ac:dyDescent="0.3">
      <c r="A258" s="1">
        <v>45704</v>
      </c>
      <c r="B258" s="2" t="s">
        <v>2637</v>
      </c>
      <c r="C258" s="2" t="s">
        <v>2515</v>
      </c>
      <c r="D258" s="2" t="s">
        <v>2528</v>
      </c>
      <c r="E258" s="2" t="s">
        <v>2517</v>
      </c>
      <c r="F258" s="3">
        <v>120504</v>
      </c>
      <c r="G258" s="3">
        <v>8297</v>
      </c>
      <c r="H258" s="3">
        <v>403</v>
      </c>
      <c r="I258" s="4">
        <v>12221.54</v>
      </c>
      <c r="J258" s="4">
        <v>84257.06</v>
      </c>
      <c r="K258" s="3">
        <v>335</v>
      </c>
      <c r="L258" s="2" t="s">
        <v>2536</v>
      </c>
      <c r="M258" s="2" t="s">
        <v>2546</v>
      </c>
    </row>
    <row r="259" spans="1:13" x14ac:dyDescent="0.3">
      <c r="A259" s="1">
        <v>45659</v>
      </c>
      <c r="B259" s="2" t="s">
        <v>2642</v>
      </c>
      <c r="C259" s="2" t="s">
        <v>2515</v>
      </c>
      <c r="D259" s="2" t="s">
        <v>2528</v>
      </c>
      <c r="E259" s="2" t="s">
        <v>2517</v>
      </c>
      <c r="F259" s="3">
        <v>157816</v>
      </c>
      <c r="G259" s="3">
        <v>11236</v>
      </c>
      <c r="H259" s="3">
        <v>1114</v>
      </c>
      <c r="I259" s="4">
        <v>16322.36</v>
      </c>
      <c r="J259" s="4">
        <v>32644.32</v>
      </c>
      <c r="K259" s="3">
        <v>718</v>
      </c>
      <c r="L259" s="2" t="s">
        <v>2539</v>
      </c>
      <c r="M259" s="2" t="s">
        <v>2524</v>
      </c>
    </row>
    <row r="260" spans="1:13" x14ac:dyDescent="0.3">
      <c r="A260" s="1">
        <v>45952</v>
      </c>
      <c r="B260" s="2" t="s">
        <v>2630</v>
      </c>
      <c r="C260" s="2" t="s">
        <v>2515</v>
      </c>
      <c r="D260" s="2" t="s">
        <v>2528</v>
      </c>
      <c r="E260" s="2" t="s">
        <v>2529</v>
      </c>
      <c r="F260" s="3">
        <v>38138</v>
      </c>
      <c r="G260" s="3">
        <v>3238</v>
      </c>
      <c r="H260" s="3">
        <v>289</v>
      </c>
      <c r="I260" s="4">
        <v>1553.98</v>
      </c>
      <c r="J260" s="4">
        <v>54085.79</v>
      </c>
      <c r="K260" s="3">
        <v>197</v>
      </c>
      <c r="L260" s="2" t="s">
        <v>2518</v>
      </c>
      <c r="M260" s="2" t="s">
        <v>2526</v>
      </c>
    </row>
    <row r="261" spans="1:13" x14ac:dyDescent="0.3">
      <c r="A261" s="1">
        <v>45805</v>
      </c>
      <c r="B261" s="2" t="s">
        <v>2636</v>
      </c>
      <c r="C261" s="2" t="s">
        <v>2521</v>
      </c>
      <c r="D261" s="2" t="s">
        <v>2528</v>
      </c>
      <c r="E261" s="2" t="s">
        <v>2517</v>
      </c>
      <c r="F261" s="3">
        <v>113419</v>
      </c>
      <c r="G261" s="3">
        <v>6605</v>
      </c>
      <c r="H261" s="3">
        <v>625</v>
      </c>
      <c r="I261" s="4">
        <v>11755.57</v>
      </c>
      <c r="J261" s="4">
        <v>120178.4</v>
      </c>
      <c r="K261" s="3">
        <v>310</v>
      </c>
      <c r="L261" s="2" t="s">
        <v>2539</v>
      </c>
      <c r="M261" s="2" t="s">
        <v>2537</v>
      </c>
    </row>
    <row r="262" spans="1:13" x14ac:dyDescent="0.3">
      <c r="A262" s="1">
        <v>45837</v>
      </c>
      <c r="B262" s="2" t="s">
        <v>2642</v>
      </c>
      <c r="C262" s="2" t="s">
        <v>2533</v>
      </c>
      <c r="D262" s="2" t="s">
        <v>2528</v>
      </c>
      <c r="E262" s="2" t="s">
        <v>2529</v>
      </c>
      <c r="F262" s="3">
        <v>115514</v>
      </c>
      <c r="G262" s="3">
        <v>6124</v>
      </c>
      <c r="H262" s="3">
        <v>76</v>
      </c>
      <c r="I262" s="4">
        <v>3124.21</v>
      </c>
      <c r="J262" s="4">
        <v>1815.51</v>
      </c>
      <c r="K262" s="3">
        <v>34</v>
      </c>
      <c r="L262" s="2" t="s">
        <v>2539</v>
      </c>
      <c r="M262" s="2" t="s">
        <v>2526</v>
      </c>
    </row>
    <row r="263" spans="1:13" x14ac:dyDescent="0.3">
      <c r="A263" s="1">
        <v>45799</v>
      </c>
      <c r="B263" s="2" t="s">
        <v>2631</v>
      </c>
      <c r="C263" s="2" t="s">
        <v>2515</v>
      </c>
      <c r="D263" s="2" t="s">
        <v>2525</v>
      </c>
      <c r="E263" s="2" t="s">
        <v>2517</v>
      </c>
      <c r="F263" s="3">
        <v>11582</v>
      </c>
      <c r="G263" s="3">
        <v>270</v>
      </c>
      <c r="H263" s="3">
        <v>37</v>
      </c>
      <c r="I263" s="4">
        <v>411.11</v>
      </c>
      <c r="J263" s="4">
        <v>6287.11</v>
      </c>
      <c r="K263" s="3">
        <v>20</v>
      </c>
      <c r="L263" s="2" t="s">
        <v>2539</v>
      </c>
      <c r="M263" s="2" t="s">
        <v>2537</v>
      </c>
    </row>
    <row r="264" spans="1:13" x14ac:dyDescent="0.3">
      <c r="A264" s="1">
        <v>45915</v>
      </c>
      <c r="B264" s="2" t="s">
        <v>2628</v>
      </c>
      <c r="C264" s="2" t="s">
        <v>2543</v>
      </c>
      <c r="D264" s="2" t="s">
        <v>2528</v>
      </c>
      <c r="E264" s="2" t="s">
        <v>2529</v>
      </c>
      <c r="F264" s="3">
        <v>88592</v>
      </c>
      <c r="G264" s="3">
        <v>537</v>
      </c>
      <c r="H264" s="3">
        <v>27</v>
      </c>
      <c r="I264" s="4">
        <v>881.92</v>
      </c>
      <c r="J264" s="4">
        <v>1497.89</v>
      </c>
      <c r="K264" s="3">
        <v>13</v>
      </c>
      <c r="L264" s="2" t="s">
        <v>2523</v>
      </c>
      <c r="M264" s="2" t="s">
        <v>2524</v>
      </c>
    </row>
    <row r="265" spans="1:13" x14ac:dyDescent="0.3">
      <c r="A265" s="1">
        <v>45911</v>
      </c>
      <c r="B265" s="2" t="s">
        <v>2620</v>
      </c>
      <c r="C265" s="2" t="s">
        <v>2533</v>
      </c>
      <c r="D265" s="2" t="s">
        <v>2525</v>
      </c>
      <c r="E265" s="2" t="s">
        <v>2529</v>
      </c>
      <c r="F265" s="3">
        <v>33650</v>
      </c>
      <c r="G265" s="3">
        <v>1872</v>
      </c>
      <c r="H265" s="3">
        <v>256</v>
      </c>
      <c r="I265" s="4">
        <v>805.37</v>
      </c>
      <c r="J265" s="4">
        <v>23017.61</v>
      </c>
      <c r="K265" s="3">
        <v>185</v>
      </c>
      <c r="L265" s="2" t="s">
        <v>2539</v>
      </c>
      <c r="M265" s="2" t="s">
        <v>2537</v>
      </c>
    </row>
    <row r="266" spans="1:13" x14ac:dyDescent="0.3">
      <c r="A266" s="1">
        <v>45779</v>
      </c>
      <c r="B266" s="2" t="s">
        <v>2636</v>
      </c>
      <c r="C266" s="2" t="s">
        <v>2541</v>
      </c>
      <c r="D266" s="2" t="s">
        <v>2531</v>
      </c>
      <c r="E266" s="2" t="s">
        <v>2529</v>
      </c>
      <c r="F266" s="3">
        <v>68140</v>
      </c>
      <c r="G266" s="3">
        <v>514</v>
      </c>
      <c r="H266" s="3">
        <v>4</v>
      </c>
      <c r="I266" s="4">
        <v>812.36</v>
      </c>
      <c r="J266" s="4">
        <v>547.03</v>
      </c>
      <c r="K266" s="3">
        <v>3</v>
      </c>
      <c r="L266" s="2" t="s">
        <v>2518</v>
      </c>
      <c r="M266" s="2" t="s">
        <v>2524</v>
      </c>
    </row>
    <row r="267" spans="1:13" x14ac:dyDescent="0.3">
      <c r="A267" s="1">
        <v>45714</v>
      </c>
      <c r="B267" s="2" t="s">
        <v>2639</v>
      </c>
      <c r="C267" s="2" t="s">
        <v>2533</v>
      </c>
      <c r="D267" s="2" t="s">
        <v>2528</v>
      </c>
      <c r="E267" s="2" t="s">
        <v>2517</v>
      </c>
      <c r="F267" s="3">
        <v>85605</v>
      </c>
      <c r="G267" s="3">
        <v>3356</v>
      </c>
      <c r="H267" s="3">
        <v>141</v>
      </c>
      <c r="I267" s="4">
        <v>2682.58</v>
      </c>
      <c r="J267" s="4">
        <v>17704.64</v>
      </c>
      <c r="K267" s="3">
        <v>75</v>
      </c>
      <c r="L267" s="2" t="s">
        <v>2523</v>
      </c>
      <c r="M267" s="2" t="s">
        <v>2546</v>
      </c>
    </row>
    <row r="268" spans="1:13" x14ac:dyDescent="0.3">
      <c r="A268" s="1">
        <v>45664</v>
      </c>
      <c r="B268" s="2" t="s">
        <v>2617</v>
      </c>
      <c r="C268" s="2" t="s">
        <v>2541</v>
      </c>
      <c r="D268" s="2" t="s">
        <v>2516</v>
      </c>
      <c r="E268" s="2" t="s">
        <v>2517</v>
      </c>
      <c r="F268" s="3">
        <v>47238</v>
      </c>
      <c r="G268" s="3">
        <v>577</v>
      </c>
      <c r="H268" s="3">
        <v>20</v>
      </c>
      <c r="I268" s="4">
        <v>864.87</v>
      </c>
      <c r="J268" s="4">
        <v>3835.5</v>
      </c>
      <c r="K268" s="3">
        <v>14</v>
      </c>
      <c r="L268" s="2" t="s">
        <v>2518</v>
      </c>
      <c r="M268" s="2" t="s">
        <v>2524</v>
      </c>
    </row>
    <row r="269" spans="1:13" x14ac:dyDescent="0.3">
      <c r="A269" s="1">
        <v>45945</v>
      </c>
      <c r="B269" s="2" t="s">
        <v>2627</v>
      </c>
      <c r="C269" s="2" t="s">
        <v>2541</v>
      </c>
      <c r="D269" s="2" t="s">
        <v>2528</v>
      </c>
      <c r="E269" s="2" t="s">
        <v>2517</v>
      </c>
      <c r="F269" s="3">
        <v>109089</v>
      </c>
      <c r="G269" s="3">
        <v>2184</v>
      </c>
      <c r="H269" s="3">
        <v>232</v>
      </c>
      <c r="I269" s="4">
        <v>3148.64</v>
      </c>
      <c r="J269" s="4">
        <v>27846.04</v>
      </c>
      <c r="K269" s="3">
        <v>208</v>
      </c>
      <c r="L269" s="2" t="s">
        <v>2518</v>
      </c>
      <c r="M269" s="2" t="s">
        <v>2519</v>
      </c>
    </row>
    <row r="270" spans="1:13" x14ac:dyDescent="0.3">
      <c r="A270" s="1">
        <v>45729</v>
      </c>
      <c r="B270" s="2" t="s">
        <v>2628</v>
      </c>
      <c r="C270" s="2" t="s">
        <v>2533</v>
      </c>
      <c r="D270" s="2" t="s">
        <v>2528</v>
      </c>
      <c r="E270" s="2" t="s">
        <v>2517</v>
      </c>
      <c r="F270" s="3">
        <v>75419</v>
      </c>
      <c r="G270" s="3">
        <v>6401</v>
      </c>
      <c r="H270" s="3">
        <v>322</v>
      </c>
      <c r="I270" s="4">
        <v>2650.59</v>
      </c>
      <c r="J270" s="4">
        <v>24284.18</v>
      </c>
      <c r="K270" s="3">
        <v>192</v>
      </c>
      <c r="L270" s="2" t="s">
        <v>2536</v>
      </c>
      <c r="M270" s="2" t="s">
        <v>2537</v>
      </c>
    </row>
    <row r="271" spans="1:13" x14ac:dyDescent="0.3">
      <c r="A271" s="1">
        <v>45872</v>
      </c>
      <c r="B271" s="2" t="s">
        <v>2634</v>
      </c>
      <c r="C271" s="2" t="s">
        <v>2543</v>
      </c>
      <c r="D271" s="2" t="s">
        <v>2525</v>
      </c>
      <c r="E271" s="2" t="s">
        <v>2517</v>
      </c>
      <c r="F271" s="3">
        <v>126828</v>
      </c>
      <c r="G271" s="3">
        <v>2773</v>
      </c>
      <c r="H271" s="3">
        <v>15</v>
      </c>
      <c r="I271" s="4">
        <v>1620.45</v>
      </c>
      <c r="J271" s="4">
        <v>1306.3900000000001</v>
      </c>
      <c r="K271" s="3">
        <v>8</v>
      </c>
      <c r="L271" s="2" t="s">
        <v>2536</v>
      </c>
      <c r="M271" s="2" t="s">
        <v>2524</v>
      </c>
    </row>
    <row r="272" spans="1:13" x14ac:dyDescent="0.3">
      <c r="A272" s="1">
        <v>45958</v>
      </c>
      <c r="B272" s="2" t="s">
        <v>2639</v>
      </c>
      <c r="C272" s="2" t="s">
        <v>2527</v>
      </c>
      <c r="D272" s="2" t="s">
        <v>2528</v>
      </c>
      <c r="E272" s="2" t="s">
        <v>2529</v>
      </c>
      <c r="F272" s="3">
        <v>115787</v>
      </c>
      <c r="G272" s="3">
        <v>8330</v>
      </c>
      <c r="H272" s="3">
        <v>347</v>
      </c>
      <c r="I272" s="4">
        <v>1050.1099999999999</v>
      </c>
      <c r="J272" s="4">
        <v>74920.490000000005</v>
      </c>
      <c r="K272" s="3">
        <v>249</v>
      </c>
      <c r="L272" s="2" t="s">
        <v>2518</v>
      </c>
      <c r="M272" s="2" t="s">
        <v>2645</v>
      </c>
    </row>
    <row r="273" spans="1:13" x14ac:dyDescent="0.3">
      <c r="A273" s="1">
        <v>45810</v>
      </c>
      <c r="B273" s="2" t="s">
        <v>2640</v>
      </c>
      <c r="C273" s="2" t="s">
        <v>2543</v>
      </c>
      <c r="D273" s="2" t="s">
        <v>2528</v>
      </c>
      <c r="E273" s="2" t="s">
        <v>2529</v>
      </c>
      <c r="F273" s="3">
        <v>153589</v>
      </c>
      <c r="G273" s="3">
        <v>12225</v>
      </c>
      <c r="H273" s="3">
        <v>1308</v>
      </c>
      <c r="I273" s="4">
        <v>3881</v>
      </c>
      <c r="J273" s="4">
        <v>224367.15</v>
      </c>
      <c r="K273" s="3">
        <v>911</v>
      </c>
      <c r="L273" s="2" t="s">
        <v>2523</v>
      </c>
      <c r="M273" s="2" t="s">
        <v>2519</v>
      </c>
    </row>
    <row r="274" spans="1:13" x14ac:dyDescent="0.3">
      <c r="A274" s="1">
        <v>45851</v>
      </c>
      <c r="B274" s="2" t="s">
        <v>2622</v>
      </c>
      <c r="C274" s="2" t="s">
        <v>2521</v>
      </c>
      <c r="D274" s="2" t="s">
        <v>2528</v>
      </c>
      <c r="E274" s="2" t="s">
        <v>2529</v>
      </c>
      <c r="F274" s="3">
        <v>54410</v>
      </c>
      <c r="G274" s="3">
        <v>4726</v>
      </c>
      <c r="H274" s="3">
        <v>133</v>
      </c>
      <c r="I274" s="4">
        <v>723.27</v>
      </c>
      <c r="J274" s="4">
        <v>12588.91</v>
      </c>
      <c r="K274" s="3">
        <v>104</v>
      </c>
      <c r="L274" s="2" t="s">
        <v>2523</v>
      </c>
      <c r="M274" s="2" t="s">
        <v>2526</v>
      </c>
    </row>
    <row r="275" spans="1:13" x14ac:dyDescent="0.3">
      <c r="A275" s="1">
        <v>45738</v>
      </c>
      <c r="B275" s="2" t="s">
        <v>2637</v>
      </c>
      <c r="C275" s="2" t="s">
        <v>2541</v>
      </c>
      <c r="D275" s="2" t="s">
        <v>2528</v>
      </c>
      <c r="E275" s="2" t="s">
        <v>2529</v>
      </c>
      <c r="F275" s="3">
        <v>178156</v>
      </c>
      <c r="G275" s="3">
        <v>9113</v>
      </c>
      <c r="H275" s="3">
        <v>297</v>
      </c>
      <c r="I275" s="4">
        <v>15507.44</v>
      </c>
      <c r="J275" s="4">
        <v>38586.19</v>
      </c>
      <c r="K275" s="3">
        <v>136</v>
      </c>
      <c r="L275" s="2" t="s">
        <v>2523</v>
      </c>
      <c r="M275" s="2" t="s">
        <v>2524</v>
      </c>
    </row>
    <row r="276" spans="1:13" x14ac:dyDescent="0.3">
      <c r="A276" s="1">
        <v>45998</v>
      </c>
      <c r="B276" s="2" t="s">
        <v>2636</v>
      </c>
      <c r="C276" s="2" t="s">
        <v>2541</v>
      </c>
      <c r="D276" s="2" t="s">
        <v>2528</v>
      </c>
      <c r="E276" s="2" t="s">
        <v>2529</v>
      </c>
      <c r="F276" s="3">
        <v>8328</v>
      </c>
      <c r="G276" s="3">
        <v>485</v>
      </c>
      <c r="H276" s="3">
        <v>9</v>
      </c>
      <c r="I276" s="4">
        <v>315.87</v>
      </c>
      <c r="J276" s="4">
        <v>1758.62</v>
      </c>
      <c r="K276" s="3">
        <v>7</v>
      </c>
      <c r="L276" s="2" t="s">
        <v>2518</v>
      </c>
      <c r="M276" s="2" t="s">
        <v>2526</v>
      </c>
    </row>
    <row r="277" spans="1:13" x14ac:dyDescent="0.3">
      <c r="A277" s="1">
        <v>45835</v>
      </c>
      <c r="B277" s="2" t="s">
        <v>2644</v>
      </c>
      <c r="C277" s="2" t="s">
        <v>2533</v>
      </c>
      <c r="D277" s="2" t="s">
        <v>2516</v>
      </c>
      <c r="E277" s="2" t="s">
        <v>2517</v>
      </c>
      <c r="F277" s="3">
        <v>160927</v>
      </c>
      <c r="G277" s="3">
        <v>9302</v>
      </c>
      <c r="H277" s="3">
        <v>850</v>
      </c>
      <c r="I277" s="4">
        <v>9590.2199999999993</v>
      </c>
      <c r="J277" s="4">
        <v>105028.08</v>
      </c>
      <c r="K277" s="3">
        <v>691</v>
      </c>
      <c r="L277" s="2" t="s">
        <v>2539</v>
      </c>
      <c r="M277" s="2" t="s">
        <v>2537</v>
      </c>
    </row>
    <row r="278" spans="1:13" x14ac:dyDescent="0.3">
      <c r="A278" s="1">
        <v>45811</v>
      </c>
      <c r="B278" s="2" t="s">
        <v>2641</v>
      </c>
      <c r="C278" s="2" t="s">
        <v>2543</v>
      </c>
      <c r="D278" s="2" t="s">
        <v>2528</v>
      </c>
      <c r="E278" s="2" t="s">
        <v>2517</v>
      </c>
      <c r="F278" s="3">
        <v>159515</v>
      </c>
      <c r="G278" s="3">
        <v>9905</v>
      </c>
      <c r="H278" s="3">
        <v>261</v>
      </c>
      <c r="I278" s="4">
        <v>2894.6</v>
      </c>
      <c r="J278" s="4">
        <v>48300.06</v>
      </c>
      <c r="K278" s="3">
        <v>192</v>
      </c>
      <c r="L278" s="2" t="s">
        <v>2536</v>
      </c>
      <c r="M278" s="2" t="s">
        <v>2519</v>
      </c>
    </row>
    <row r="279" spans="1:13" x14ac:dyDescent="0.3">
      <c r="A279" s="1">
        <v>45843</v>
      </c>
      <c r="B279" s="2" t="s">
        <v>2627</v>
      </c>
      <c r="C279" s="2" t="s">
        <v>2521</v>
      </c>
      <c r="D279" s="2" t="s">
        <v>2525</v>
      </c>
      <c r="E279" s="2" t="s">
        <v>2534</v>
      </c>
      <c r="F279" s="3">
        <v>143309</v>
      </c>
      <c r="G279" s="3">
        <v>10612</v>
      </c>
      <c r="H279" s="3">
        <v>1154</v>
      </c>
      <c r="I279" s="4">
        <v>17117.12</v>
      </c>
      <c r="J279" s="4">
        <v>226014</v>
      </c>
      <c r="K279" s="3">
        <v>840</v>
      </c>
      <c r="L279" s="2" t="s">
        <v>2536</v>
      </c>
      <c r="M279" s="2" t="s">
        <v>2519</v>
      </c>
    </row>
    <row r="280" spans="1:13" x14ac:dyDescent="0.3">
      <c r="A280" s="1">
        <v>45681</v>
      </c>
      <c r="B280" s="2" t="s">
        <v>2615</v>
      </c>
      <c r="C280" s="2" t="s">
        <v>2521</v>
      </c>
      <c r="D280" s="2" t="s">
        <v>2528</v>
      </c>
      <c r="E280" s="2" t="s">
        <v>2517</v>
      </c>
      <c r="F280" s="3">
        <v>175738</v>
      </c>
      <c r="G280" s="3">
        <v>6196</v>
      </c>
      <c r="H280" s="3">
        <v>682</v>
      </c>
      <c r="I280" s="4">
        <v>4348.78</v>
      </c>
      <c r="J280" s="4">
        <v>108463.67</v>
      </c>
      <c r="K280" s="3">
        <v>391</v>
      </c>
      <c r="L280" s="2" t="s">
        <v>2523</v>
      </c>
      <c r="M280" s="2" t="s">
        <v>2524</v>
      </c>
    </row>
    <row r="281" spans="1:13" x14ac:dyDescent="0.3">
      <c r="A281" s="1">
        <v>45926</v>
      </c>
      <c r="B281" s="2" t="s">
        <v>2637</v>
      </c>
      <c r="C281" s="2" t="s">
        <v>2521</v>
      </c>
      <c r="D281" s="2" t="s">
        <v>2522</v>
      </c>
      <c r="E281" s="2" t="s">
        <v>2529</v>
      </c>
      <c r="F281" s="3">
        <v>108199</v>
      </c>
      <c r="G281" s="3">
        <v>962</v>
      </c>
      <c r="H281" s="3">
        <v>62</v>
      </c>
      <c r="I281" s="4">
        <v>1061.45</v>
      </c>
      <c r="J281" s="4">
        <v>11040.25</v>
      </c>
      <c r="K281" s="3">
        <v>52</v>
      </c>
      <c r="L281" s="2" t="s">
        <v>2523</v>
      </c>
      <c r="M281" s="2" t="s">
        <v>2546</v>
      </c>
    </row>
    <row r="282" spans="1:13" x14ac:dyDescent="0.3">
      <c r="A282" s="1">
        <v>45738</v>
      </c>
      <c r="B282" s="2" t="s">
        <v>2619</v>
      </c>
      <c r="C282" s="2" t="s">
        <v>2515</v>
      </c>
      <c r="D282" s="2" t="s">
        <v>2516</v>
      </c>
      <c r="E282" s="2" t="s">
        <v>2517</v>
      </c>
      <c r="F282" s="3">
        <v>167371</v>
      </c>
      <c r="G282" s="3">
        <v>6770</v>
      </c>
      <c r="H282" s="3">
        <v>121</v>
      </c>
      <c r="I282" s="4">
        <v>1108.2</v>
      </c>
      <c r="J282" s="4">
        <v>20362.82</v>
      </c>
      <c r="K282" s="3">
        <v>57</v>
      </c>
      <c r="L282" s="2" t="s">
        <v>2523</v>
      </c>
      <c r="M282" s="2" t="s">
        <v>2537</v>
      </c>
    </row>
    <row r="283" spans="1:13" x14ac:dyDescent="0.3">
      <c r="A283" s="1">
        <v>45763</v>
      </c>
      <c r="B283" s="2" t="s">
        <v>2628</v>
      </c>
      <c r="C283" s="2" t="s">
        <v>2533</v>
      </c>
      <c r="D283" s="2" t="s">
        <v>2528</v>
      </c>
      <c r="E283" s="2" t="s">
        <v>2529</v>
      </c>
      <c r="F283" s="3">
        <v>163224</v>
      </c>
      <c r="G283" s="3">
        <v>163753</v>
      </c>
      <c r="H283" s="3">
        <v>303</v>
      </c>
      <c r="I283" s="4">
        <v>6163.53</v>
      </c>
      <c r="J283" s="4">
        <v>26899.45</v>
      </c>
      <c r="K283" s="3">
        <v>143</v>
      </c>
      <c r="L283" s="2" t="s">
        <v>2523</v>
      </c>
      <c r="M283" s="2" t="s">
        <v>2537</v>
      </c>
    </row>
    <row r="284" spans="1:13" x14ac:dyDescent="0.3">
      <c r="A284" s="1">
        <v>46011</v>
      </c>
      <c r="B284" s="2" t="s">
        <v>2634</v>
      </c>
      <c r="C284" s="2" t="s">
        <v>2533</v>
      </c>
      <c r="D284" s="2" t="s">
        <v>2528</v>
      </c>
      <c r="E284" s="2" t="s">
        <v>2529</v>
      </c>
      <c r="F284" s="3">
        <v>141588</v>
      </c>
      <c r="G284" s="3">
        <v>9887</v>
      </c>
      <c r="H284" s="3">
        <v>1154</v>
      </c>
      <c r="I284" s="4">
        <v>15717.65</v>
      </c>
      <c r="J284" s="4">
        <v>26965.62</v>
      </c>
      <c r="K284" s="3">
        <v>567</v>
      </c>
      <c r="L284" s="2" t="s">
        <v>2536</v>
      </c>
      <c r="M284" s="2" t="s">
        <v>2524</v>
      </c>
    </row>
    <row r="285" spans="1:13" x14ac:dyDescent="0.3">
      <c r="A285" s="1">
        <v>45879</v>
      </c>
      <c r="B285" s="2" t="s">
        <v>2626</v>
      </c>
      <c r="C285" s="2" t="s">
        <v>2543</v>
      </c>
      <c r="D285" s="2" t="s">
        <v>2528</v>
      </c>
      <c r="E285" s="2" t="s">
        <v>2529</v>
      </c>
      <c r="F285" s="3">
        <v>157193</v>
      </c>
      <c r="G285" s="3">
        <v>11883</v>
      </c>
      <c r="H285" s="3">
        <v>322</v>
      </c>
      <c r="I285" s="4">
        <v>21030.240000000002</v>
      </c>
      <c r="J285" s="4">
        <v>60087.95</v>
      </c>
      <c r="K285" s="3">
        <v>173</v>
      </c>
      <c r="L285" s="2" t="s">
        <v>2536</v>
      </c>
      <c r="M285" s="2" t="s">
        <v>2546</v>
      </c>
    </row>
    <row r="286" spans="1:13" x14ac:dyDescent="0.3">
      <c r="A286" s="1">
        <v>45771</v>
      </c>
      <c r="B286" s="2" t="s">
        <v>2622</v>
      </c>
      <c r="C286" s="2" t="s">
        <v>2527</v>
      </c>
      <c r="D286" s="2" t="s">
        <v>2528</v>
      </c>
      <c r="E286" s="2" t="s">
        <v>2529</v>
      </c>
      <c r="F286" s="3">
        <v>41286</v>
      </c>
      <c r="G286" s="3">
        <v>3027</v>
      </c>
      <c r="H286" s="3">
        <v>308</v>
      </c>
      <c r="I286" s="4">
        <v>5009.13</v>
      </c>
      <c r="J286" s="4">
        <v>19980.95</v>
      </c>
      <c r="K286" s="3">
        <v>263</v>
      </c>
      <c r="L286" s="2" t="s">
        <v>2523</v>
      </c>
      <c r="M286" s="2" t="s">
        <v>2519</v>
      </c>
    </row>
    <row r="287" spans="1:13" x14ac:dyDescent="0.3">
      <c r="A287" s="1">
        <v>45957</v>
      </c>
      <c r="B287" s="2" t="s">
        <v>2617</v>
      </c>
      <c r="C287" s="2" t="s">
        <v>2541</v>
      </c>
      <c r="D287" s="2" t="s">
        <v>2528</v>
      </c>
      <c r="E287" s="2" t="s">
        <v>2529</v>
      </c>
      <c r="F287" s="3">
        <v>51906</v>
      </c>
      <c r="G287" s="3">
        <v>1079</v>
      </c>
      <c r="H287" s="3">
        <v>86</v>
      </c>
      <c r="I287" s="4">
        <v>905.95</v>
      </c>
      <c r="J287" s="4">
        <v>10312.540000000001</v>
      </c>
      <c r="K287" s="3">
        <v>53</v>
      </c>
      <c r="L287" s="2" t="s">
        <v>2518</v>
      </c>
      <c r="M287" s="2" t="s">
        <v>2526</v>
      </c>
    </row>
    <row r="288" spans="1:13" x14ac:dyDescent="0.3">
      <c r="A288" s="1">
        <v>45839</v>
      </c>
      <c r="B288" s="2" t="s">
        <v>2628</v>
      </c>
      <c r="C288" s="2" t="s">
        <v>2527</v>
      </c>
      <c r="D288" s="2" t="s">
        <v>2528</v>
      </c>
      <c r="E288" s="2" t="s">
        <v>2529</v>
      </c>
      <c r="F288" s="3">
        <v>74448</v>
      </c>
      <c r="G288" s="3">
        <v>4364</v>
      </c>
      <c r="H288" s="3">
        <v>87</v>
      </c>
      <c r="I288" s="4">
        <v>5578.37</v>
      </c>
      <c r="J288" s="4">
        <v>17493.57</v>
      </c>
      <c r="K288" s="3">
        <v>46</v>
      </c>
      <c r="L288" s="2" t="s">
        <v>2539</v>
      </c>
      <c r="M288" s="2" t="s">
        <v>2524</v>
      </c>
    </row>
    <row r="289" spans="1:13" x14ac:dyDescent="0.3">
      <c r="A289" s="1">
        <v>45866</v>
      </c>
      <c r="B289" s="2" t="s">
        <v>2619</v>
      </c>
      <c r="C289" s="2" t="s">
        <v>2645</v>
      </c>
      <c r="D289" s="2" t="s">
        <v>2528</v>
      </c>
      <c r="E289" s="2" t="s">
        <v>2529</v>
      </c>
      <c r="F289" s="3">
        <v>10297</v>
      </c>
      <c r="G289" s="3">
        <v>548</v>
      </c>
      <c r="H289" s="3">
        <v>4</v>
      </c>
      <c r="I289" s="4">
        <v>590.85</v>
      </c>
      <c r="J289" s="4">
        <v>710.3</v>
      </c>
      <c r="K289" s="3">
        <v>2</v>
      </c>
      <c r="L289" s="2" t="s">
        <v>2518</v>
      </c>
      <c r="M289" s="2" t="s">
        <v>2519</v>
      </c>
    </row>
    <row r="290" spans="1:13" x14ac:dyDescent="0.3">
      <c r="A290" s="1">
        <v>45725</v>
      </c>
      <c r="B290" s="2" t="s">
        <v>2619</v>
      </c>
      <c r="C290" s="2" t="s">
        <v>2527</v>
      </c>
      <c r="D290" s="2" t="s">
        <v>2528</v>
      </c>
      <c r="E290" s="2" t="s">
        <v>2517</v>
      </c>
      <c r="F290" s="3">
        <v>23297</v>
      </c>
      <c r="G290" s="3">
        <v>1091</v>
      </c>
      <c r="H290" s="3">
        <v>58</v>
      </c>
      <c r="I290" s="4">
        <v>1702.07</v>
      </c>
      <c r="J290" s="4">
        <v>3133.53</v>
      </c>
      <c r="K290" s="3">
        <v>31</v>
      </c>
      <c r="L290" s="2" t="s">
        <v>2536</v>
      </c>
      <c r="M290" s="2" t="s">
        <v>2526</v>
      </c>
    </row>
    <row r="291" spans="1:13" x14ac:dyDescent="0.3">
      <c r="A291" s="1">
        <v>46020</v>
      </c>
      <c r="B291" s="2" t="s">
        <v>2617</v>
      </c>
      <c r="C291" s="2" t="s">
        <v>2533</v>
      </c>
      <c r="D291" s="2" t="s">
        <v>2525</v>
      </c>
      <c r="E291" s="2" t="s">
        <v>2517</v>
      </c>
      <c r="F291" s="3">
        <v>28312</v>
      </c>
      <c r="G291" s="3">
        <v>1297</v>
      </c>
      <c r="H291" s="3">
        <v>161</v>
      </c>
      <c r="I291" s="4">
        <v>1403.33</v>
      </c>
      <c r="J291" s="4">
        <v>16821.11</v>
      </c>
      <c r="K291" s="3">
        <v>132</v>
      </c>
      <c r="L291" s="2" t="s">
        <v>2539</v>
      </c>
      <c r="M291" s="2" t="s">
        <v>2537</v>
      </c>
    </row>
    <row r="292" spans="1:13" x14ac:dyDescent="0.3">
      <c r="A292" s="1">
        <v>45994</v>
      </c>
      <c r="B292" s="2" t="s">
        <v>2641</v>
      </c>
      <c r="C292" s="2" t="s">
        <v>2515</v>
      </c>
      <c r="D292" s="2" t="s">
        <v>2528</v>
      </c>
      <c r="E292" s="2" t="s">
        <v>2517</v>
      </c>
      <c r="F292" s="3">
        <v>44740</v>
      </c>
      <c r="G292" s="3">
        <v>2017</v>
      </c>
      <c r="H292" s="3">
        <v>35</v>
      </c>
      <c r="I292" s="4">
        <v>1810.86</v>
      </c>
      <c r="J292" s="4">
        <v>5613.76</v>
      </c>
      <c r="K292" s="3">
        <v>26</v>
      </c>
      <c r="L292" s="2" t="s">
        <v>2523</v>
      </c>
      <c r="M292" s="2" t="s">
        <v>2546</v>
      </c>
    </row>
    <row r="293" spans="1:13" x14ac:dyDescent="0.3">
      <c r="A293" s="1">
        <v>45678</v>
      </c>
      <c r="B293" s="2" t="s">
        <v>2635</v>
      </c>
      <c r="C293" s="2" t="s">
        <v>2527</v>
      </c>
      <c r="D293" s="2" t="s">
        <v>2516</v>
      </c>
      <c r="E293" s="2" t="s">
        <v>2517</v>
      </c>
      <c r="F293" s="3">
        <v>16741</v>
      </c>
      <c r="G293" s="3">
        <v>700</v>
      </c>
      <c r="H293" s="3">
        <v>29</v>
      </c>
      <c r="I293" s="4">
        <v>448.9</v>
      </c>
      <c r="J293" s="4">
        <v>5960.88</v>
      </c>
      <c r="K293" s="3">
        <v>25</v>
      </c>
      <c r="L293" s="2" t="s">
        <v>2523</v>
      </c>
      <c r="M293" s="2" t="s">
        <v>2537</v>
      </c>
    </row>
    <row r="294" spans="1:13" x14ac:dyDescent="0.3">
      <c r="A294" s="1">
        <v>45745</v>
      </c>
      <c r="B294" s="2" t="s">
        <v>2643</v>
      </c>
      <c r="C294" s="2" t="s">
        <v>2527</v>
      </c>
      <c r="D294" s="2" t="s">
        <v>2525</v>
      </c>
      <c r="E294" s="2" t="s">
        <v>2529</v>
      </c>
      <c r="F294" s="3">
        <v>71816</v>
      </c>
      <c r="G294" s="3">
        <v>971</v>
      </c>
      <c r="H294" s="3">
        <v>72</v>
      </c>
      <c r="I294" s="4">
        <v>773.45</v>
      </c>
      <c r="J294" s="4">
        <v>6667.06</v>
      </c>
      <c r="K294" s="3">
        <v>43</v>
      </c>
      <c r="L294" s="2" t="s">
        <v>2518</v>
      </c>
      <c r="M294" s="2" t="s">
        <v>2524</v>
      </c>
    </row>
    <row r="295" spans="1:13" x14ac:dyDescent="0.3">
      <c r="A295" s="1">
        <v>45993</v>
      </c>
      <c r="B295" s="2" t="s">
        <v>2617</v>
      </c>
      <c r="C295" s="2" t="s">
        <v>2541</v>
      </c>
      <c r="D295" s="2" t="s">
        <v>2522</v>
      </c>
      <c r="E295" s="2" t="s">
        <v>2534</v>
      </c>
      <c r="F295" s="3">
        <v>14732</v>
      </c>
      <c r="G295" s="3">
        <v>1305</v>
      </c>
      <c r="H295" s="3">
        <v>135</v>
      </c>
      <c r="I295" s="4">
        <v>957.79</v>
      </c>
      <c r="J295" s="4">
        <v>8015.26</v>
      </c>
      <c r="K295" s="3">
        <v>78</v>
      </c>
      <c r="L295" s="2" t="s">
        <v>2523</v>
      </c>
      <c r="M295" s="2" t="s">
        <v>2524</v>
      </c>
    </row>
    <row r="296" spans="1:13" x14ac:dyDescent="0.3">
      <c r="A296" s="1">
        <v>45800</v>
      </c>
      <c r="B296" s="2" t="s">
        <v>2629</v>
      </c>
      <c r="C296" s="2" t="s">
        <v>2527</v>
      </c>
      <c r="D296" s="2" t="s">
        <v>2528</v>
      </c>
      <c r="E296" s="2" t="s">
        <v>2529</v>
      </c>
      <c r="F296" s="3">
        <v>64904</v>
      </c>
      <c r="G296" s="3">
        <v>5053</v>
      </c>
      <c r="H296" s="3">
        <v>512</v>
      </c>
      <c r="I296" s="4">
        <v>10051.280000000001</v>
      </c>
      <c r="J296" s="4">
        <v>19429.25</v>
      </c>
      <c r="K296" s="3">
        <v>338</v>
      </c>
      <c r="L296" s="2" t="s">
        <v>2536</v>
      </c>
      <c r="M296" s="2" t="s">
        <v>2524</v>
      </c>
    </row>
    <row r="297" spans="1:13" x14ac:dyDescent="0.3">
      <c r="A297" s="1">
        <v>45735</v>
      </c>
      <c r="B297" s="2" t="s">
        <v>2640</v>
      </c>
      <c r="C297" s="2" t="s">
        <v>2521</v>
      </c>
      <c r="D297" s="2" t="s">
        <v>2525</v>
      </c>
      <c r="E297" s="2" t="s">
        <v>2529</v>
      </c>
      <c r="F297" s="3">
        <v>99094</v>
      </c>
      <c r="G297" s="3">
        <v>4193</v>
      </c>
      <c r="H297" s="3">
        <v>444</v>
      </c>
      <c r="I297" s="4">
        <v>4184.8999999999996</v>
      </c>
      <c r="J297" s="4">
        <v>80376.570000000007</v>
      </c>
      <c r="K297" s="3">
        <v>397</v>
      </c>
      <c r="L297" s="2" t="s">
        <v>2518</v>
      </c>
      <c r="M297" s="2" t="s">
        <v>2526</v>
      </c>
    </row>
    <row r="298" spans="1:13" x14ac:dyDescent="0.3">
      <c r="A298" s="1">
        <v>45917</v>
      </c>
      <c r="B298" s="2" t="s">
        <v>2633</v>
      </c>
      <c r="C298" s="2" t="s">
        <v>2521</v>
      </c>
      <c r="D298" s="2" t="s">
        <v>2522</v>
      </c>
      <c r="E298" s="2" t="s">
        <v>2517</v>
      </c>
      <c r="F298" s="3">
        <v>90201</v>
      </c>
      <c r="G298" s="3">
        <v>4310</v>
      </c>
      <c r="H298" s="3">
        <v>48</v>
      </c>
      <c r="I298" s="4">
        <v>7474.8</v>
      </c>
      <c r="J298" s="4">
        <v>7974.93</v>
      </c>
      <c r="K298" s="3">
        <v>27</v>
      </c>
      <c r="L298" s="2" t="s">
        <v>2536</v>
      </c>
      <c r="M298" s="2" t="s">
        <v>2546</v>
      </c>
    </row>
    <row r="299" spans="1:13" x14ac:dyDescent="0.3">
      <c r="A299" s="1">
        <v>45901</v>
      </c>
      <c r="B299" s="2" t="s">
        <v>2615</v>
      </c>
      <c r="C299" s="2" t="s">
        <v>2515</v>
      </c>
      <c r="D299" s="2" t="s">
        <v>2516</v>
      </c>
      <c r="E299" s="2" t="s">
        <v>2529</v>
      </c>
      <c r="F299" s="3">
        <v>103498</v>
      </c>
      <c r="G299" s="3">
        <v>3048</v>
      </c>
      <c r="H299" s="3">
        <v>419</v>
      </c>
      <c r="I299" s="4">
        <v>4067.56</v>
      </c>
      <c r="J299" s="4">
        <v>78539.23</v>
      </c>
      <c r="K299" s="3">
        <v>250</v>
      </c>
      <c r="L299" s="2" t="s">
        <v>2539</v>
      </c>
      <c r="M299" s="2" t="s">
        <v>2519</v>
      </c>
    </row>
    <row r="300" spans="1:13" x14ac:dyDescent="0.3">
      <c r="A300" s="1">
        <v>45754</v>
      </c>
      <c r="B300" s="2" t="s">
        <v>2643</v>
      </c>
      <c r="C300" s="2" t="s">
        <v>2515</v>
      </c>
      <c r="D300" s="2" t="s">
        <v>2522</v>
      </c>
      <c r="E300" s="2" t="s">
        <v>2517</v>
      </c>
      <c r="F300" s="3">
        <v>2827</v>
      </c>
      <c r="G300" s="3">
        <v>54</v>
      </c>
      <c r="H300" s="3">
        <v>0</v>
      </c>
      <c r="I300" s="4">
        <v>17.88</v>
      </c>
      <c r="J300" s="4">
        <v>0</v>
      </c>
      <c r="K300" s="3">
        <v>0</v>
      </c>
      <c r="L300" s="2" t="s">
        <v>2518</v>
      </c>
      <c r="M300" s="2" t="s">
        <v>2537</v>
      </c>
    </row>
    <row r="301" spans="1:13" x14ac:dyDescent="0.3">
      <c r="A301" s="1">
        <v>45903</v>
      </c>
      <c r="B301" s="2" t="s">
        <v>2629</v>
      </c>
      <c r="C301" s="2" t="s">
        <v>2527</v>
      </c>
      <c r="D301" s="2" t="s">
        <v>2528</v>
      </c>
      <c r="E301" s="2" t="s">
        <v>2529</v>
      </c>
      <c r="F301" s="3">
        <v>42588</v>
      </c>
      <c r="G301" s="3">
        <v>2351</v>
      </c>
      <c r="H301" s="3">
        <v>121</v>
      </c>
      <c r="I301" s="4">
        <v>1117.48</v>
      </c>
      <c r="J301" s="4">
        <v>9206.17</v>
      </c>
      <c r="K301" s="3">
        <v>77</v>
      </c>
      <c r="L301" s="2" t="s">
        <v>2536</v>
      </c>
      <c r="M301" s="2" t="s">
        <v>2546</v>
      </c>
    </row>
    <row r="302" spans="1:13" x14ac:dyDescent="0.3">
      <c r="A302" s="1">
        <v>45736</v>
      </c>
      <c r="B302" s="2" t="s">
        <v>2624</v>
      </c>
      <c r="C302" s="2" t="s">
        <v>2533</v>
      </c>
      <c r="D302" s="2" t="s">
        <v>2528</v>
      </c>
      <c r="E302" s="2" t="s">
        <v>2529</v>
      </c>
      <c r="F302" s="3">
        <v>95361</v>
      </c>
      <c r="G302" s="3">
        <v>1833</v>
      </c>
      <c r="H302" s="3">
        <v>162</v>
      </c>
      <c r="I302" s="4">
        <v>1415.64</v>
      </c>
      <c r="J302" s="4">
        <v>19044.169999999998</v>
      </c>
      <c r="K302" s="3">
        <v>103</v>
      </c>
      <c r="L302" s="2" t="s">
        <v>2523</v>
      </c>
      <c r="M302" s="2" t="s">
        <v>2537</v>
      </c>
    </row>
    <row r="303" spans="1:13" x14ac:dyDescent="0.3">
      <c r="A303" s="1">
        <v>46005</v>
      </c>
      <c r="B303" s="2" t="s">
        <v>2622</v>
      </c>
      <c r="C303" s="2" t="s">
        <v>2521</v>
      </c>
      <c r="D303" s="2" t="s">
        <v>2516</v>
      </c>
      <c r="E303" s="2" t="s">
        <v>2534</v>
      </c>
      <c r="F303" s="3">
        <v>165746</v>
      </c>
      <c r="G303" s="3">
        <v>8889</v>
      </c>
      <c r="H303" s="3">
        <v>300</v>
      </c>
      <c r="I303" s="4">
        <v>15327.29</v>
      </c>
      <c r="J303" s="4">
        <v>64209.86</v>
      </c>
      <c r="K303" s="3">
        <v>219</v>
      </c>
      <c r="L303" s="2" t="s">
        <v>2523</v>
      </c>
      <c r="M303" s="2" t="s">
        <v>2524</v>
      </c>
    </row>
    <row r="304" spans="1:13" x14ac:dyDescent="0.3">
      <c r="A304" s="1">
        <v>45924</v>
      </c>
      <c r="B304" s="2" t="s">
        <v>2616</v>
      </c>
      <c r="C304" s="2" t="s">
        <v>2541</v>
      </c>
      <c r="D304" s="2" t="s">
        <v>2516</v>
      </c>
      <c r="E304" s="2" t="s">
        <v>2517</v>
      </c>
      <c r="F304" s="3">
        <v>61892</v>
      </c>
      <c r="G304" s="3">
        <v>5375</v>
      </c>
      <c r="H304" s="3">
        <v>173</v>
      </c>
      <c r="I304" s="4">
        <v>3920.91</v>
      </c>
      <c r="J304" s="4">
        <v>19891.580000000002</v>
      </c>
      <c r="K304" s="3">
        <v>120</v>
      </c>
      <c r="L304" s="2" t="s">
        <v>2523</v>
      </c>
      <c r="M304" s="2" t="s">
        <v>2524</v>
      </c>
    </row>
    <row r="305" spans="1:13" x14ac:dyDescent="0.3">
      <c r="A305" s="1">
        <v>45764</v>
      </c>
      <c r="B305" s="2" t="s">
        <v>2642</v>
      </c>
      <c r="C305" s="2" t="s">
        <v>2515</v>
      </c>
      <c r="D305" s="2" t="s">
        <v>2528</v>
      </c>
      <c r="E305" s="2" t="s">
        <v>2517</v>
      </c>
      <c r="F305" s="3">
        <v>140194</v>
      </c>
      <c r="G305" s="3">
        <v>9802</v>
      </c>
      <c r="H305" s="3">
        <v>1092</v>
      </c>
      <c r="I305" s="4">
        <v>2069.8200000000002</v>
      </c>
      <c r="J305" s="4">
        <v>137377.51</v>
      </c>
      <c r="K305" s="3">
        <v>599</v>
      </c>
      <c r="L305" s="2" t="s">
        <v>2539</v>
      </c>
      <c r="M305" s="2" t="s">
        <v>2524</v>
      </c>
    </row>
    <row r="306" spans="1:13" x14ac:dyDescent="0.3">
      <c r="A306" s="1">
        <v>45714</v>
      </c>
      <c r="B306" s="2" t="s">
        <v>2621</v>
      </c>
      <c r="C306" s="2" t="s">
        <v>2541</v>
      </c>
      <c r="D306" s="2" t="s">
        <v>2528</v>
      </c>
      <c r="E306" s="2" t="s">
        <v>2529</v>
      </c>
      <c r="F306" s="3">
        <v>31265</v>
      </c>
      <c r="G306" s="3">
        <v>2095</v>
      </c>
      <c r="H306" s="3">
        <v>213</v>
      </c>
      <c r="I306" s="4">
        <v>1578.12</v>
      </c>
      <c r="J306" s="4">
        <v>22151.25</v>
      </c>
      <c r="K306" s="3">
        <v>108</v>
      </c>
      <c r="L306" s="2" t="s">
        <v>2539</v>
      </c>
      <c r="M306" s="2" t="s">
        <v>2524</v>
      </c>
    </row>
    <row r="307" spans="1:13" x14ac:dyDescent="0.3">
      <c r="A307" s="1">
        <v>45942</v>
      </c>
      <c r="B307" s="2" t="s">
        <v>2629</v>
      </c>
      <c r="C307" s="2" t="s">
        <v>2515</v>
      </c>
      <c r="D307" s="2" t="s">
        <v>2528</v>
      </c>
      <c r="E307" s="2" t="s">
        <v>2517</v>
      </c>
      <c r="F307" s="3">
        <v>42628</v>
      </c>
      <c r="G307" s="3">
        <v>1446</v>
      </c>
      <c r="H307" s="3">
        <v>78</v>
      </c>
      <c r="I307" s="4">
        <v>1678.51</v>
      </c>
      <c r="J307" s="4">
        <v>2963.14</v>
      </c>
      <c r="K307" s="3">
        <v>60</v>
      </c>
      <c r="L307" s="2" t="s">
        <v>2539</v>
      </c>
      <c r="M307" s="2" t="s">
        <v>2519</v>
      </c>
    </row>
    <row r="308" spans="1:13" x14ac:dyDescent="0.3">
      <c r="A308" s="1">
        <v>45900</v>
      </c>
      <c r="B308" s="2" t="s">
        <v>2625</v>
      </c>
      <c r="C308" s="2" t="s">
        <v>2541</v>
      </c>
      <c r="D308" s="2" t="s">
        <v>2516</v>
      </c>
      <c r="E308" s="2" t="s">
        <v>2534</v>
      </c>
      <c r="F308" s="3">
        <v>174697</v>
      </c>
      <c r="G308" s="3">
        <v>15348</v>
      </c>
      <c r="H308" s="3">
        <v>1313</v>
      </c>
      <c r="I308" s="4">
        <v>8450.42</v>
      </c>
      <c r="J308" s="4">
        <v>102248.99</v>
      </c>
      <c r="K308" s="3">
        <v>1087</v>
      </c>
      <c r="L308" s="2" t="s">
        <v>2539</v>
      </c>
      <c r="M308" s="2" t="s">
        <v>2526</v>
      </c>
    </row>
    <row r="309" spans="1:13" x14ac:dyDescent="0.3">
      <c r="A309" s="1">
        <v>45930</v>
      </c>
      <c r="B309" s="2" t="s">
        <v>2627</v>
      </c>
      <c r="C309" s="2" t="s">
        <v>2527</v>
      </c>
      <c r="D309" s="2" t="s">
        <v>2528</v>
      </c>
      <c r="E309" s="2" t="s">
        <v>2529</v>
      </c>
      <c r="F309" s="3">
        <v>130043</v>
      </c>
      <c r="G309" s="3">
        <v>9316</v>
      </c>
      <c r="H309" s="3">
        <v>907</v>
      </c>
      <c r="I309" s="4">
        <v>15919.54</v>
      </c>
      <c r="J309" s="4">
        <v>77025.84</v>
      </c>
      <c r="K309" s="3">
        <v>518</v>
      </c>
      <c r="L309" s="2" t="s">
        <v>2539</v>
      </c>
      <c r="M309" s="2" t="s">
        <v>2546</v>
      </c>
    </row>
    <row r="310" spans="1:13" x14ac:dyDescent="0.3">
      <c r="A310" s="1">
        <v>45888</v>
      </c>
      <c r="B310" s="2" t="s">
        <v>2637</v>
      </c>
      <c r="C310" s="2" t="s">
        <v>2527</v>
      </c>
      <c r="D310" s="2" t="s">
        <v>2528</v>
      </c>
      <c r="E310" s="2" t="s">
        <v>2517</v>
      </c>
      <c r="F310" s="3">
        <v>166041</v>
      </c>
      <c r="G310" s="3">
        <v>11422</v>
      </c>
      <c r="H310" s="3">
        <v>390</v>
      </c>
      <c r="I310" s="4">
        <v>10675.91</v>
      </c>
      <c r="J310" s="4">
        <v>46445.82</v>
      </c>
      <c r="K310" s="3">
        <v>263</v>
      </c>
      <c r="L310" s="2" t="s">
        <v>2539</v>
      </c>
      <c r="M310" s="2" t="s">
        <v>2524</v>
      </c>
    </row>
    <row r="311" spans="1:13" x14ac:dyDescent="0.3">
      <c r="A311" s="1">
        <v>45752</v>
      </c>
      <c r="B311" s="2" t="s">
        <v>2636</v>
      </c>
      <c r="C311" s="2" t="s">
        <v>2533</v>
      </c>
      <c r="D311" s="2" t="s">
        <v>2522</v>
      </c>
      <c r="E311" s="2" t="s">
        <v>2529</v>
      </c>
      <c r="F311" s="3">
        <v>110825</v>
      </c>
      <c r="G311" s="3">
        <v>8228</v>
      </c>
      <c r="H311" s="3">
        <v>665</v>
      </c>
      <c r="I311" s="4">
        <v>6451.84</v>
      </c>
      <c r="J311" s="4">
        <v>39926.01</v>
      </c>
      <c r="K311" s="3">
        <v>519</v>
      </c>
      <c r="L311" s="2" t="s">
        <v>2539</v>
      </c>
      <c r="M311" s="2" t="s">
        <v>2519</v>
      </c>
    </row>
    <row r="312" spans="1:13" x14ac:dyDescent="0.3">
      <c r="A312" s="1">
        <v>45728</v>
      </c>
      <c r="B312" s="2" t="s">
        <v>2630</v>
      </c>
      <c r="C312" s="2" t="s">
        <v>2541</v>
      </c>
      <c r="D312" s="2" t="s">
        <v>2516</v>
      </c>
      <c r="E312" s="2" t="s">
        <v>2529</v>
      </c>
      <c r="F312" s="3">
        <v>148146</v>
      </c>
      <c r="G312" s="3">
        <v>4180</v>
      </c>
      <c r="H312" s="3">
        <v>319</v>
      </c>
      <c r="I312" s="4">
        <v>8153.14</v>
      </c>
      <c r="J312" s="4">
        <v>21959.94</v>
      </c>
      <c r="K312" s="3">
        <v>207</v>
      </c>
      <c r="L312" s="2" t="s">
        <v>2539</v>
      </c>
      <c r="M312" s="2" t="s">
        <v>2537</v>
      </c>
    </row>
    <row r="313" spans="1:13" x14ac:dyDescent="0.3">
      <c r="A313" s="1">
        <v>45750</v>
      </c>
      <c r="B313" s="2" t="s">
        <v>2615</v>
      </c>
      <c r="C313" s="2" t="s">
        <v>2527</v>
      </c>
      <c r="D313" s="2" t="s">
        <v>2528</v>
      </c>
      <c r="E313" s="2" t="s">
        <v>2517</v>
      </c>
      <c r="F313" s="3">
        <v>135641</v>
      </c>
      <c r="G313" s="3">
        <v>4429</v>
      </c>
      <c r="H313" s="3">
        <v>565</v>
      </c>
      <c r="I313" s="4">
        <v>3940.34</v>
      </c>
      <c r="J313" s="4">
        <v>89461.53</v>
      </c>
      <c r="K313" s="3">
        <v>364</v>
      </c>
      <c r="L313" s="2" t="s">
        <v>2523</v>
      </c>
      <c r="M313" s="2" t="s">
        <v>2537</v>
      </c>
    </row>
    <row r="314" spans="1:13" x14ac:dyDescent="0.3">
      <c r="A314" s="1">
        <v>45850</v>
      </c>
      <c r="B314" s="2" t="s">
        <v>2628</v>
      </c>
      <c r="C314" s="2" t="s">
        <v>2543</v>
      </c>
      <c r="D314" s="2" t="s">
        <v>2528</v>
      </c>
      <c r="E314" s="2" t="s">
        <v>2529</v>
      </c>
      <c r="F314" s="3">
        <v>72739</v>
      </c>
      <c r="G314" s="3">
        <v>749</v>
      </c>
      <c r="H314" s="3">
        <v>9</v>
      </c>
      <c r="I314" s="4">
        <v>127.87</v>
      </c>
      <c r="J314" s="4">
        <v>1086.94</v>
      </c>
      <c r="K314" s="3">
        <v>5</v>
      </c>
      <c r="L314" s="2" t="s">
        <v>2518</v>
      </c>
      <c r="M314" s="2" t="s">
        <v>2519</v>
      </c>
    </row>
    <row r="315" spans="1:13" x14ac:dyDescent="0.3">
      <c r="A315" s="1">
        <v>45935</v>
      </c>
      <c r="B315" s="2" t="s">
        <v>2615</v>
      </c>
      <c r="C315" s="2" t="s">
        <v>2533</v>
      </c>
      <c r="D315" s="2" t="s">
        <v>2531</v>
      </c>
      <c r="E315" s="2" t="s">
        <v>2529</v>
      </c>
      <c r="F315" s="3">
        <v>102617</v>
      </c>
      <c r="G315" s="3">
        <v>2122</v>
      </c>
      <c r="H315" s="3">
        <v>138</v>
      </c>
      <c r="I315" s="4">
        <v>296.85000000000002</v>
      </c>
      <c r="J315" s="4">
        <v>23658.6</v>
      </c>
      <c r="K315" s="3">
        <v>83</v>
      </c>
      <c r="L315" s="2" t="s">
        <v>2539</v>
      </c>
      <c r="M315" s="2" t="s">
        <v>2526</v>
      </c>
    </row>
    <row r="316" spans="1:13" x14ac:dyDescent="0.3">
      <c r="A316" s="1">
        <v>45966</v>
      </c>
      <c r="B316" s="2" t="s">
        <v>2636</v>
      </c>
      <c r="C316" s="2" t="s">
        <v>2515</v>
      </c>
      <c r="D316" s="2" t="s">
        <v>2528</v>
      </c>
      <c r="E316" s="2" t="s">
        <v>2534</v>
      </c>
      <c r="F316" s="3">
        <v>65015</v>
      </c>
      <c r="G316" s="3">
        <v>579</v>
      </c>
      <c r="H316" s="3">
        <v>6</v>
      </c>
      <c r="I316" s="4">
        <v>1169.0899999999999</v>
      </c>
      <c r="J316" s="4">
        <v>1249.31</v>
      </c>
      <c r="K316" s="3">
        <v>4</v>
      </c>
      <c r="L316" s="2" t="s">
        <v>2536</v>
      </c>
      <c r="M316" s="2" t="s">
        <v>2519</v>
      </c>
    </row>
    <row r="317" spans="1:13" x14ac:dyDescent="0.3">
      <c r="A317" s="1">
        <v>45718</v>
      </c>
      <c r="B317" s="2" t="s">
        <v>2633</v>
      </c>
      <c r="C317" s="2" t="s">
        <v>2527</v>
      </c>
      <c r="D317" s="2" t="s">
        <v>2531</v>
      </c>
      <c r="E317" s="2" t="s">
        <v>2529</v>
      </c>
      <c r="F317" s="3">
        <v>170552</v>
      </c>
      <c r="G317" s="3">
        <v>5116</v>
      </c>
      <c r="H317" s="3">
        <v>592</v>
      </c>
      <c r="I317" s="4">
        <v>1865.32</v>
      </c>
      <c r="J317" s="4">
        <v>100739.53</v>
      </c>
      <c r="K317" s="3">
        <v>377</v>
      </c>
      <c r="L317" s="2" t="s">
        <v>2539</v>
      </c>
      <c r="M317" s="2" t="s">
        <v>2546</v>
      </c>
    </row>
    <row r="318" spans="1:13" x14ac:dyDescent="0.3">
      <c r="A318" s="1">
        <v>46004</v>
      </c>
      <c r="B318" s="2" t="s">
        <v>2627</v>
      </c>
      <c r="C318" s="2" t="s">
        <v>2541</v>
      </c>
      <c r="D318" s="2" t="s">
        <v>2522</v>
      </c>
      <c r="E318" s="2" t="s">
        <v>2517</v>
      </c>
      <c r="F318" s="3">
        <v>24494</v>
      </c>
      <c r="G318" s="3">
        <v>230</v>
      </c>
      <c r="H318" s="3">
        <v>29</v>
      </c>
      <c r="I318" s="4">
        <v>419.93</v>
      </c>
      <c r="J318" s="4">
        <v>2323.5100000000002</v>
      </c>
      <c r="K318" s="3">
        <v>21</v>
      </c>
      <c r="L318" s="2" t="s">
        <v>2539</v>
      </c>
      <c r="M318" s="2" t="s">
        <v>2519</v>
      </c>
    </row>
    <row r="319" spans="1:13" x14ac:dyDescent="0.3">
      <c r="A319" s="1">
        <v>45791</v>
      </c>
      <c r="B319" s="2" t="s">
        <v>2633</v>
      </c>
      <c r="C319" s="2" t="s">
        <v>2515</v>
      </c>
      <c r="D319" s="2" t="s">
        <v>2528</v>
      </c>
      <c r="E319" s="2" t="s">
        <v>2534</v>
      </c>
      <c r="F319" s="3">
        <v>42882</v>
      </c>
      <c r="G319" s="3">
        <v>316</v>
      </c>
      <c r="H319" s="3">
        <v>33</v>
      </c>
      <c r="I319" s="4">
        <v>258.41000000000003</v>
      </c>
      <c r="J319" s="4">
        <v>1087.1099999999999</v>
      </c>
      <c r="K319" s="3">
        <v>27</v>
      </c>
      <c r="L319" s="2" t="s">
        <v>2518</v>
      </c>
      <c r="M319" s="2" t="s">
        <v>2519</v>
      </c>
    </row>
    <row r="320" spans="1:13" x14ac:dyDescent="0.3">
      <c r="A320" s="1">
        <v>46020</v>
      </c>
      <c r="B320" s="2" t="s">
        <v>2637</v>
      </c>
      <c r="C320" s="2" t="s">
        <v>2521</v>
      </c>
      <c r="D320" s="2" t="s">
        <v>2516</v>
      </c>
      <c r="E320" s="2" t="s">
        <v>2517</v>
      </c>
      <c r="F320" s="3">
        <v>14564</v>
      </c>
      <c r="G320" s="3">
        <v>776</v>
      </c>
      <c r="H320" s="3">
        <v>28</v>
      </c>
      <c r="I320" s="4">
        <v>499.71</v>
      </c>
      <c r="J320" s="4">
        <v>2449.94</v>
      </c>
      <c r="K320" s="3">
        <v>20</v>
      </c>
      <c r="L320" s="2" t="s">
        <v>2539</v>
      </c>
      <c r="M320" s="2" t="s">
        <v>2546</v>
      </c>
    </row>
    <row r="321" spans="1:13" x14ac:dyDescent="0.3">
      <c r="A321" s="1">
        <v>45951</v>
      </c>
      <c r="B321" s="2" t="s">
        <v>2635</v>
      </c>
      <c r="C321" s="2" t="s">
        <v>2543</v>
      </c>
      <c r="D321" s="2" t="s">
        <v>2531</v>
      </c>
      <c r="E321" s="2" t="s">
        <v>2517</v>
      </c>
      <c r="F321" s="3">
        <v>113475</v>
      </c>
      <c r="G321" s="3">
        <v>560</v>
      </c>
      <c r="H321" s="3">
        <v>28</v>
      </c>
      <c r="I321" s="4">
        <v>705.42</v>
      </c>
      <c r="J321" s="4">
        <v>4685.83</v>
      </c>
      <c r="K321" s="3">
        <v>18</v>
      </c>
      <c r="L321" s="2" t="s">
        <v>2536</v>
      </c>
      <c r="M321" s="2" t="s">
        <v>2524</v>
      </c>
    </row>
    <row r="322" spans="1:13" x14ac:dyDescent="0.3">
      <c r="A322" s="1">
        <v>46022</v>
      </c>
      <c r="B322" s="2" t="s">
        <v>2622</v>
      </c>
      <c r="C322" s="2" t="s">
        <v>2527</v>
      </c>
      <c r="D322" s="2" t="s">
        <v>2516</v>
      </c>
      <c r="E322" s="2" t="s">
        <v>2529</v>
      </c>
      <c r="F322" s="3">
        <v>26549</v>
      </c>
      <c r="G322" s="3">
        <v>1150</v>
      </c>
      <c r="H322" s="3">
        <v>124</v>
      </c>
      <c r="I322" s="4">
        <v>521.91</v>
      </c>
      <c r="J322" s="4">
        <v>23758.33</v>
      </c>
      <c r="K322" s="3">
        <v>74</v>
      </c>
      <c r="L322" s="2" t="s">
        <v>2539</v>
      </c>
      <c r="M322" s="2" t="s">
        <v>2526</v>
      </c>
    </row>
    <row r="323" spans="1:13" x14ac:dyDescent="0.3">
      <c r="A323" s="1">
        <v>45726</v>
      </c>
      <c r="B323" s="2" t="s">
        <v>2615</v>
      </c>
      <c r="C323" s="2" t="s">
        <v>2543</v>
      </c>
      <c r="D323" s="2" t="s">
        <v>2528</v>
      </c>
      <c r="E323" s="2" t="s">
        <v>2517</v>
      </c>
      <c r="F323" s="3">
        <v>84112</v>
      </c>
      <c r="G323" s="3">
        <v>4169</v>
      </c>
      <c r="H323" s="3">
        <v>542</v>
      </c>
      <c r="I323" s="4">
        <v>7974.51</v>
      </c>
      <c r="J323" s="4">
        <v>45652.05</v>
      </c>
      <c r="K323" s="3">
        <v>361</v>
      </c>
      <c r="L323" s="2" t="s">
        <v>2523</v>
      </c>
      <c r="M323" s="2" t="s">
        <v>2546</v>
      </c>
    </row>
    <row r="324" spans="1:13" x14ac:dyDescent="0.3">
      <c r="A324" s="1">
        <v>45836</v>
      </c>
      <c r="B324" s="2" t="s">
        <v>2641</v>
      </c>
      <c r="C324" s="2" t="s">
        <v>2521</v>
      </c>
      <c r="D324" s="2" t="s">
        <v>2528</v>
      </c>
      <c r="E324" s="2" t="s">
        <v>2529</v>
      </c>
      <c r="F324" s="3">
        <v>177367</v>
      </c>
      <c r="G324" s="3">
        <v>11786</v>
      </c>
      <c r="H324" s="3">
        <v>977</v>
      </c>
      <c r="I324" s="4">
        <v>21306.639999999999</v>
      </c>
      <c r="J324" s="4">
        <v>38562.25</v>
      </c>
      <c r="K324" s="3">
        <v>465</v>
      </c>
      <c r="L324" s="2" t="s">
        <v>2523</v>
      </c>
      <c r="M324" s="2" t="s">
        <v>2537</v>
      </c>
    </row>
    <row r="325" spans="1:13" x14ac:dyDescent="0.3">
      <c r="A325" s="1">
        <v>46000</v>
      </c>
      <c r="B325" s="2" t="s">
        <v>2643</v>
      </c>
      <c r="C325" s="2" t="s">
        <v>2543</v>
      </c>
      <c r="D325" s="2" t="s">
        <v>2531</v>
      </c>
      <c r="E325" s="2" t="s">
        <v>2517</v>
      </c>
      <c r="F325" s="3">
        <v>40061</v>
      </c>
      <c r="G325" s="3">
        <v>634</v>
      </c>
      <c r="H325" s="3">
        <v>31</v>
      </c>
      <c r="I325" s="4">
        <v>736.85</v>
      </c>
      <c r="J325" s="4">
        <v>6405.86</v>
      </c>
      <c r="K325" s="3">
        <v>25</v>
      </c>
      <c r="L325" s="2" t="s">
        <v>2539</v>
      </c>
      <c r="M325" s="2" t="s">
        <v>2537</v>
      </c>
    </row>
    <row r="326" spans="1:13" x14ac:dyDescent="0.3">
      <c r="A326" s="1">
        <v>45836</v>
      </c>
      <c r="B326" s="2" t="s">
        <v>2616</v>
      </c>
      <c r="C326" s="2" t="s">
        <v>2515</v>
      </c>
      <c r="D326" s="2" t="s">
        <v>2516</v>
      </c>
      <c r="E326" s="2" t="s">
        <v>2529</v>
      </c>
      <c r="F326" s="3">
        <v>171816</v>
      </c>
      <c r="G326" s="3">
        <v>1637</v>
      </c>
      <c r="H326" s="3">
        <v>91</v>
      </c>
      <c r="I326" s="4">
        <v>734.06</v>
      </c>
      <c r="J326" s="4">
        <v>14514.06</v>
      </c>
      <c r="K326" s="3">
        <v>47</v>
      </c>
      <c r="L326" s="2" t="s">
        <v>2518</v>
      </c>
      <c r="M326" s="2" t="s">
        <v>2537</v>
      </c>
    </row>
    <row r="327" spans="1:13" x14ac:dyDescent="0.3">
      <c r="A327" s="1">
        <v>45964</v>
      </c>
      <c r="B327" s="2" t="s">
        <v>2627</v>
      </c>
      <c r="C327" s="2" t="s">
        <v>2527</v>
      </c>
      <c r="D327" s="2" t="s">
        <v>2528</v>
      </c>
      <c r="E327" s="2" t="s">
        <v>2529</v>
      </c>
      <c r="F327" s="3">
        <v>48643</v>
      </c>
      <c r="G327" s="3">
        <v>1703</v>
      </c>
      <c r="H327" s="3">
        <v>141</v>
      </c>
      <c r="I327" s="4">
        <v>2204.16</v>
      </c>
      <c r="J327" s="4">
        <v>10101.64</v>
      </c>
      <c r="K327" s="3">
        <v>81</v>
      </c>
      <c r="L327" s="2" t="s">
        <v>2536</v>
      </c>
      <c r="M327" s="2" t="s">
        <v>2526</v>
      </c>
    </row>
    <row r="328" spans="1:13" x14ac:dyDescent="0.3">
      <c r="A328" s="1">
        <v>45869</v>
      </c>
      <c r="B328" s="2" t="s">
        <v>2617</v>
      </c>
      <c r="C328" s="2" t="s">
        <v>2533</v>
      </c>
      <c r="D328" s="2" t="s">
        <v>2525</v>
      </c>
      <c r="E328" s="2" t="s">
        <v>2517</v>
      </c>
      <c r="F328" s="3">
        <v>104661</v>
      </c>
      <c r="G328" s="3">
        <v>2233</v>
      </c>
      <c r="H328" s="3">
        <v>260</v>
      </c>
      <c r="I328" s="4">
        <v>3545.43</v>
      </c>
      <c r="J328" s="4">
        <v>56370.76</v>
      </c>
      <c r="K328" s="3">
        <v>145</v>
      </c>
      <c r="L328" s="2" t="s">
        <v>2539</v>
      </c>
      <c r="M328" s="2" t="s">
        <v>2524</v>
      </c>
    </row>
    <row r="329" spans="1:13" x14ac:dyDescent="0.3">
      <c r="A329" s="1">
        <v>45983</v>
      </c>
      <c r="B329" s="2" t="s">
        <v>2644</v>
      </c>
      <c r="C329" s="2" t="s">
        <v>2521</v>
      </c>
      <c r="D329" s="2" t="s">
        <v>2528</v>
      </c>
      <c r="E329" s="2" t="s">
        <v>2529</v>
      </c>
      <c r="F329" s="3">
        <v>135174</v>
      </c>
      <c r="G329" s="3">
        <v>6534</v>
      </c>
      <c r="H329" s="3">
        <v>462</v>
      </c>
      <c r="I329" s="4">
        <v>9304.9599999999991</v>
      </c>
      <c r="J329" s="4">
        <v>50860.26</v>
      </c>
      <c r="K329" s="3">
        <v>288</v>
      </c>
      <c r="L329" s="2" t="s">
        <v>2523</v>
      </c>
      <c r="M329" s="2" t="s">
        <v>2526</v>
      </c>
    </row>
    <row r="330" spans="1:13" x14ac:dyDescent="0.3">
      <c r="A330" s="1">
        <v>45804</v>
      </c>
      <c r="B330" s="2" t="s">
        <v>2639</v>
      </c>
      <c r="C330" s="2" t="s">
        <v>2541</v>
      </c>
      <c r="D330" s="2" t="s">
        <v>2528</v>
      </c>
      <c r="E330" s="2" t="s">
        <v>2517</v>
      </c>
      <c r="F330" s="3">
        <v>65387</v>
      </c>
      <c r="G330" s="3">
        <v>3793</v>
      </c>
      <c r="H330" s="3">
        <v>329</v>
      </c>
      <c r="I330" s="4">
        <v>1005.81</v>
      </c>
      <c r="J330" s="4">
        <v>48243.97</v>
      </c>
      <c r="K330" s="3">
        <v>198</v>
      </c>
      <c r="L330" s="2" t="s">
        <v>2536</v>
      </c>
      <c r="M330" s="2" t="s">
        <v>2526</v>
      </c>
    </row>
    <row r="331" spans="1:13" x14ac:dyDescent="0.3">
      <c r="A331" s="1">
        <v>45660</v>
      </c>
      <c r="B331" s="2" t="s">
        <v>2644</v>
      </c>
      <c r="C331" s="2" t="s">
        <v>2521</v>
      </c>
      <c r="D331" s="2" t="s">
        <v>2528</v>
      </c>
      <c r="E331" s="2" t="s">
        <v>2517</v>
      </c>
      <c r="F331" s="3">
        <v>106826</v>
      </c>
      <c r="G331" s="3">
        <v>9377</v>
      </c>
      <c r="H331" s="3">
        <v>940</v>
      </c>
      <c r="I331" s="4">
        <v>18693.62</v>
      </c>
      <c r="J331" s="4">
        <v>148697.04</v>
      </c>
      <c r="K331" s="3">
        <v>587</v>
      </c>
      <c r="L331" s="2" t="s">
        <v>2536</v>
      </c>
      <c r="M331" s="2" t="s">
        <v>2537</v>
      </c>
    </row>
    <row r="332" spans="1:13" x14ac:dyDescent="0.3">
      <c r="A332" s="1">
        <v>45925</v>
      </c>
      <c r="B332" s="2" t="s">
        <v>2624</v>
      </c>
      <c r="C332" s="2" t="s">
        <v>2521</v>
      </c>
      <c r="D332" s="2" t="s">
        <v>2528</v>
      </c>
      <c r="E332" s="2" t="s">
        <v>2534</v>
      </c>
      <c r="F332" s="3">
        <v>44292</v>
      </c>
      <c r="G332" s="3">
        <v>2407</v>
      </c>
      <c r="H332" s="3">
        <v>70</v>
      </c>
      <c r="I332" s="4">
        <v>3578.59</v>
      </c>
      <c r="J332" s="4">
        <v>5034.71</v>
      </c>
      <c r="K332" s="3">
        <v>42</v>
      </c>
      <c r="L332" s="2" t="s">
        <v>2518</v>
      </c>
      <c r="M332" s="2" t="s">
        <v>2537</v>
      </c>
    </row>
    <row r="333" spans="1:13" x14ac:dyDescent="0.3">
      <c r="A333" s="1">
        <v>45867</v>
      </c>
      <c r="B333" s="2" t="s">
        <v>2616</v>
      </c>
      <c r="C333" s="2" t="s">
        <v>2521</v>
      </c>
      <c r="D333" s="2" t="s">
        <v>2528</v>
      </c>
      <c r="E333" s="2" t="s">
        <v>2529</v>
      </c>
      <c r="F333" s="3">
        <v>166986</v>
      </c>
      <c r="G333" s="3">
        <v>7719</v>
      </c>
      <c r="H333" s="3">
        <v>594</v>
      </c>
      <c r="I333" s="4">
        <v>6018.64</v>
      </c>
      <c r="J333" s="4">
        <v>52695.09</v>
      </c>
      <c r="K333" s="3">
        <v>299</v>
      </c>
      <c r="L333" s="2" t="s">
        <v>2523</v>
      </c>
      <c r="M333" s="2" t="s">
        <v>2546</v>
      </c>
    </row>
    <row r="334" spans="1:13" x14ac:dyDescent="0.3">
      <c r="A334" s="1">
        <v>45897</v>
      </c>
      <c r="B334" s="2" t="s">
        <v>2622</v>
      </c>
      <c r="C334" s="2" t="s">
        <v>2541</v>
      </c>
      <c r="D334" s="2" t="s">
        <v>2528</v>
      </c>
      <c r="E334" s="2" t="s">
        <v>2517</v>
      </c>
      <c r="F334" s="3">
        <v>76130</v>
      </c>
      <c r="G334" s="3">
        <v>4959</v>
      </c>
      <c r="H334" s="3">
        <v>674</v>
      </c>
      <c r="I334" s="4">
        <v>9570.6</v>
      </c>
      <c r="J334" s="4">
        <v>110246.44</v>
      </c>
      <c r="K334" s="3">
        <v>512</v>
      </c>
      <c r="L334" s="2" t="s">
        <v>2539</v>
      </c>
      <c r="M334" s="2" t="s">
        <v>2526</v>
      </c>
    </row>
    <row r="335" spans="1:13" x14ac:dyDescent="0.3">
      <c r="A335" s="1">
        <v>45909</v>
      </c>
      <c r="B335" s="2" t="s">
        <v>2626</v>
      </c>
      <c r="C335" s="2" t="s">
        <v>2515</v>
      </c>
      <c r="D335" s="2" t="s">
        <v>2525</v>
      </c>
      <c r="E335" s="2" t="s">
        <v>2529</v>
      </c>
      <c r="F335" s="3">
        <v>11965</v>
      </c>
      <c r="G335" s="3">
        <v>67</v>
      </c>
      <c r="H335" s="3">
        <v>7</v>
      </c>
      <c r="I335" s="4">
        <v>30.62</v>
      </c>
      <c r="J335" s="4">
        <v>1208.73</v>
      </c>
      <c r="K335" s="3">
        <v>5</v>
      </c>
      <c r="L335" s="2" t="s">
        <v>2518</v>
      </c>
      <c r="M335" s="2" t="s">
        <v>2546</v>
      </c>
    </row>
    <row r="336" spans="1:13" x14ac:dyDescent="0.3">
      <c r="A336" s="1">
        <v>45660</v>
      </c>
      <c r="B336" s="2" t="s">
        <v>2638</v>
      </c>
      <c r="C336" s="2" t="s">
        <v>2527</v>
      </c>
      <c r="D336" s="2" t="s">
        <v>2528</v>
      </c>
      <c r="E336" s="2" t="s">
        <v>2534</v>
      </c>
      <c r="F336" s="3">
        <v>138916</v>
      </c>
      <c r="G336" s="3">
        <v>4883</v>
      </c>
      <c r="H336" s="3">
        <v>625</v>
      </c>
      <c r="I336" s="4">
        <v>2324.27</v>
      </c>
      <c r="J336" s="4">
        <v>73508.25</v>
      </c>
      <c r="K336" s="3">
        <v>533</v>
      </c>
      <c r="L336" s="2" t="s">
        <v>2523</v>
      </c>
      <c r="M336" s="2" t="s">
        <v>2537</v>
      </c>
    </row>
    <row r="337" spans="1:13" x14ac:dyDescent="0.3">
      <c r="A337" s="1">
        <v>45660</v>
      </c>
      <c r="B337" s="2" t="s">
        <v>2637</v>
      </c>
      <c r="C337" s="2" t="s">
        <v>2521</v>
      </c>
      <c r="D337" s="2" t="s">
        <v>2528</v>
      </c>
      <c r="E337" s="2" t="s">
        <v>2517</v>
      </c>
      <c r="F337" s="3">
        <v>156774</v>
      </c>
      <c r="G337" s="3">
        <v>4038</v>
      </c>
      <c r="H337" s="3">
        <v>425</v>
      </c>
      <c r="I337" s="4">
        <v>2904.34</v>
      </c>
      <c r="J337" s="4">
        <v>87625.48</v>
      </c>
      <c r="K337" s="3">
        <v>253</v>
      </c>
      <c r="L337" s="2" t="s">
        <v>2523</v>
      </c>
      <c r="M337" s="2" t="s">
        <v>2526</v>
      </c>
    </row>
    <row r="338" spans="1:13" x14ac:dyDescent="0.3">
      <c r="A338" s="1">
        <v>46000</v>
      </c>
      <c r="B338" s="2" t="s">
        <v>2623</v>
      </c>
      <c r="C338" s="2" t="s">
        <v>2521</v>
      </c>
      <c r="D338" s="2" t="s">
        <v>2531</v>
      </c>
      <c r="E338" s="2" t="s">
        <v>2517</v>
      </c>
      <c r="F338" s="3">
        <v>125272</v>
      </c>
      <c r="G338" s="3">
        <v>5689</v>
      </c>
      <c r="H338" s="3">
        <v>383</v>
      </c>
      <c r="I338" s="4">
        <v>8059.72</v>
      </c>
      <c r="J338" s="4">
        <v>68829.960000000006</v>
      </c>
      <c r="K338" s="3">
        <v>198</v>
      </c>
      <c r="L338" s="2" t="s">
        <v>2539</v>
      </c>
      <c r="M338" s="2" t="s">
        <v>2537</v>
      </c>
    </row>
    <row r="339" spans="1:13" x14ac:dyDescent="0.3">
      <c r="A339" s="1">
        <v>45661</v>
      </c>
      <c r="B339" s="2" t="s">
        <v>2639</v>
      </c>
      <c r="C339" s="2" t="s">
        <v>2515</v>
      </c>
      <c r="D339" s="2" t="s">
        <v>2531</v>
      </c>
      <c r="E339" s="2" t="s">
        <v>2517</v>
      </c>
      <c r="F339" s="3">
        <v>120349</v>
      </c>
      <c r="G339" s="3">
        <v>4392</v>
      </c>
      <c r="H339" s="3">
        <v>193</v>
      </c>
      <c r="I339" s="4">
        <v>2151.5700000000002</v>
      </c>
      <c r="J339" s="4">
        <v>30337.3</v>
      </c>
      <c r="K339" s="3">
        <v>130</v>
      </c>
      <c r="L339" s="2" t="s">
        <v>2539</v>
      </c>
      <c r="M339" s="2" t="s">
        <v>2524</v>
      </c>
    </row>
    <row r="340" spans="1:13" x14ac:dyDescent="0.3">
      <c r="A340" s="1">
        <v>45666</v>
      </c>
      <c r="B340" s="2" t="s">
        <v>2615</v>
      </c>
      <c r="C340" s="2" t="s">
        <v>2543</v>
      </c>
      <c r="D340" s="2" t="s">
        <v>2531</v>
      </c>
      <c r="E340" s="2" t="s">
        <v>2529</v>
      </c>
      <c r="F340" s="3">
        <v>115709</v>
      </c>
      <c r="G340" s="3">
        <v>3063</v>
      </c>
      <c r="H340" s="3">
        <v>201</v>
      </c>
      <c r="I340" s="4">
        <v>6306.71</v>
      </c>
      <c r="J340" s="4">
        <v>37103.85</v>
      </c>
      <c r="K340" s="3">
        <v>152</v>
      </c>
      <c r="L340" s="2" t="s">
        <v>2523</v>
      </c>
      <c r="M340" s="2" t="s">
        <v>2546</v>
      </c>
    </row>
    <row r="341" spans="1:13" x14ac:dyDescent="0.3">
      <c r="A341" s="1">
        <v>45910</v>
      </c>
      <c r="B341" s="2" t="s">
        <v>2626</v>
      </c>
      <c r="C341" s="2" t="s">
        <v>2541</v>
      </c>
      <c r="D341" s="2" t="s">
        <v>2528</v>
      </c>
      <c r="E341" s="2" t="s">
        <v>2517</v>
      </c>
      <c r="F341" s="3">
        <v>81247</v>
      </c>
      <c r="G341" s="3">
        <v>2458</v>
      </c>
      <c r="H341" s="3">
        <v>145</v>
      </c>
      <c r="I341" s="4">
        <v>2095.11</v>
      </c>
      <c r="J341" s="4">
        <v>7504.78</v>
      </c>
      <c r="K341" s="3">
        <v>130</v>
      </c>
      <c r="L341" s="2" t="s">
        <v>2536</v>
      </c>
      <c r="M341" s="2" t="s">
        <v>2537</v>
      </c>
    </row>
    <row r="342" spans="1:13" x14ac:dyDescent="0.3">
      <c r="A342" s="1">
        <v>45965</v>
      </c>
      <c r="B342" s="2" t="s">
        <v>2642</v>
      </c>
      <c r="C342" s="2" t="s">
        <v>2515</v>
      </c>
      <c r="D342" s="2" t="s">
        <v>2531</v>
      </c>
      <c r="E342" s="2" t="s">
        <v>2529</v>
      </c>
      <c r="F342" s="3">
        <v>60952</v>
      </c>
      <c r="G342" s="3">
        <v>3535</v>
      </c>
      <c r="H342" s="3">
        <v>429</v>
      </c>
      <c r="I342" s="4">
        <v>3784.02</v>
      </c>
      <c r="J342" s="4">
        <v>85012.85</v>
      </c>
      <c r="K342" s="3">
        <v>253</v>
      </c>
      <c r="L342" s="2" t="s">
        <v>2523</v>
      </c>
      <c r="M342" s="2" t="s">
        <v>2537</v>
      </c>
    </row>
    <row r="343" spans="1:13" x14ac:dyDescent="0.3">
      <c r="A343" s="1">
        <v>45819</v>
      </c>
      <c r="B343" s="2" t="s">
        <v>2620</v>
      </c>
      <c r="C343" s="2" t="s">
        <v>2543</v>
      </c>
      <c r="D343" s="2" t="s">
        <v>2528</v>
      </c>
      <c r="E343" s="2" t="s">
        <v>2529</v>
      </c>
      <c r="F343" s="3">
        <v>33381</v>
      </c>
      <c r="G343" s="3">
        <v>2881</v>
      </c>
      <c r="H343" s="3">
        <v>374</v>
      </c>
      <c r="I343" s="4">
        <v>640</v>
      </c>
      <c r="J343" s="4">
        <v>5624.01</v>
      </c>
      <c r="K343" s="3">
        <v>293</v>
      </c>
      <c r="L343" s="2" t="s">
        <v>2523</v>
      </c>
      <c r="M343" s="2" t="s">
        <v>2519</v>
      </c>
    </row>
    <row r="344" spans="1:13" x14ac:dyDescent="0.3">
      <c r="A344" s="1">
        <v>45811</v>
      </c>
      <c r="B344" s="2" t="s">
        <v>2641</v>
      </c>
      <c r="C344" s="2" t="s">
        <v>2533</v>
      </c>
      <c r="D344" s="2" t="s">
        <v>2528</v>
      </c>
      <c r="E344" s="2" t="s">
        <v>2517</v>
      </c>
      <c r="F344" s="3">
        <v>85570</v>
      </c>
      <c r="G344" s="3">
        <v>418</v>
      </c>
      <c r="H344" s="3">
        <v>50</v>
      </c>
      <c r="I344" s="4">
        <v>267.2</v>
      </c>
      <c r="J344" s="4">
        <v>8632.26</v>
      </c>
      <c r="K344" s="3">
        <v>41</v>
      </c>
      <c r="L344" s="2" t="s">
        <v>2518</v>
      </c>
      <c r="M344" s="2" t="s">
        <v>2519</v>
      </c>
    </row>
    <row r="345" spans="1:13" x14ac:dyDescent="0.3">
      <c r="A345" s="1">
        <v>45778</v>
      </c>
      <c r="B345" s="2" t="s">
        <v>2633</v>
      </c>
      <c r="C345" s="2" t="s">
        <v>2527</v>
      </c>
      <c r="D345" s="2" t="s">
        <v>2528</v>
      </c>
      <c r="E345" s="2" t="s">
        <v>2517</v>
      </c>
      <c r="F345" s="3">
        <v>21807</v>
      </c>
      <c r="G345" s="3">
        <v>1668</v>
      </c>
      <c r="H345" s="3">
        <v>75</v>
      </c>
      <c r="I345" s="4">
        <v>3381.09</v>
      </c>
      <c r="J345" s="4">
        <v>8499.61</v>
      </c>
      <c r="K345" s="3">
        <v>36</v>
      </c>
      <c r="L345" s="2" t="s">
        <v>2518</v>
      </c>
      <c r="M345" s="2" t="s">
        <v>2519</v>
      </c>
    </row>
    <row r="346" spans="1:13" x14ac:dyDescent="0.3">
      <c r="A346" s="1">
        <v>45812</v>
      </c>
      <c r="B346" s="2" t="s">
        <v>2615</v>
      </c>
      <c r="C346" s="2" t="s">
        <v>2515</v>
      </c>
      <c r="D346" s="2" t="s">
        <v>2525</v>
      </c>
      <c r="E346" s="2" t="s">
        <v>2529</v>
      </c>
      <c r="F346" s="3">
        <v>100617</v>
      </c>
      <c r="G346" s="3">
        <v>6163</v>
      </c>
      <c r="H346" s="3">
        <v>642</v>
      </c>
      <c r="I346" s="4">
        <v>10935.04</v>
      </c>
      <c r="J346" s="4">
        <v>47540.1</v>
      </c>
      <c r="K346" s="3">
        <v>572</v>
      </c>
      <c r="L346" s="2" t="s">
        <v>2536</v>
      </c>
      <c r="M346" s="2" t="s">
        <v>2519</v>
      </c>
    </row>
    <row r="347" spans="1:13" x14ac:dyDescent="0.3">
      <c r="A347" s="1">
        <v>45815</v>
      </c>
      <c r="B347" s="2" t="s">
        <v>2642</v>
      </c>
      <c r="C347" s="2" t="s">
        <v>2543</v>
      </c>
      <c r="D347" s="2" t="s">
        <v>2528</v>
      </c>
      <c r="E347" s="2" t="s">
        <v>2534</v>
      </c>
      <c r="F347" s="3">
        <v>35619</v>
      </c>
      <c r="G347" s="3">
        <v>35851</v>
      </c>
      <c r="H347" s="3">
        <v>141</v>
      </c>
      <c r="I347" s="4">
        <v>1399.77</v>
      </c>
      <c r="J347" s="4">
        <v>21317.41</v>
      </c>
      <c r="K347" s="3">
        <v>66</v>
      </c>
      <c r="L347" s="2" t="s">
        <v>2518</v>
      </c>
      <c r="M347" s="2" t="s">
        <v>2524</v>
      </c>
    </row>
    <row r="348" spans="1:13" x14ac:dyDescent="0.3">
      <c r="A348" s="1">
        <v>45687</v>
      </c>
      <c r="B348" s="2" t="s">
        <v>2632</v>
      </c>
      <c r="C348" s="2" t="s">
        <v>2521</v>
      </c>
      <c r="D348" s="2" t="s">
        <v>2528</v>
      </c>
      <c r="E348" s="2" t="s">
        <v>2517</v>
      </c>
      <c r="F348" s="3">
        <v>23489</v>
      </c>
      <c r="G348" s="3">
        <v>1195</v>
      </c>
      <c r="H348" s="3">
        <v>107</v>
      </c>
      <c r="I348" s="4">
        <v>810.4</v>
      </c>
      <c r="J348" s="4">
        <v>17746.64</v>
      </c>
      <c r="K348" s="3">
        <v>51</v>
      </c>
      <c r="L348" s="2" t="s">
        <v>2539</v>
      </c>
      <c r="M348" s="2" t="s">
        <v>2524</v>
      </c>
    </row>
    <row r="349" spans="1:13" x14ac:dyDescent="0.3">
      <c r="A349" s="1">
        <v>45807</v>
      </c>
      <c r="B349" s="2" t="s">
        <v>2616</v>
      </c>
      <c r="C349" s="2" t="s">
        <v>2521</v>
      </c>
      <c r="D349" s="2" t="s">
        <v>2528</v>
      </c>
      <c r="E349" s="2" t="s">
        <v>2529</v>
      </c>
      <c r="F349" s="3">
        <v>177538</v>
      </c>
      <c r="G349" s="3">
        <v>14298</v>
      </c>
      <c r="H349" s="3">
        <v>1513</v>
      </c>
      <c r="I349" s="4">
        <v>6839.89</v>
      </c>
      <c r="J349" s="4">
        <v>101070.49</v>
      </c>
      <c r="K349" s="3">
        <v>1237</v>
      </c>
      <c r="L349" s="2" t="s">
        <v>2523</v>
      </c>
      <c r="M349" s="2" t="s">
        <v>2526</v>
      </c>
    </row>
    <row r="350" spans="1:13" x14ac:dyDescent="0.3">
      <c r="A350" s="1">
        <v>46001</v>
      </c>
      <c r="B350" s="2" t="s">
        <v>2625</v>
      </c>
      <c r="C350" s="2" t="s">
        <v>2527</v>
      </c>
      <c r="D350" s="2" t="s">
        <v>2528</v>
      </c>
      <c r="E350" s="2" t="s">
        <v>2517</v>
      </c>
      <c r="F350" s="3">
        <v>18970</v>
      </c>
      <c r="G350" s="3">
        <v>1596</v>
      </c>
      <c r="H350" s="3">
        <v>117</v>
      </c>
      <c r="I350" s="4">
        <v>1123.25</v>
      </c>
      <c r="J350" s="4">
        <v>6760.9</v>
      </c>
      <c r="K350" s="3">
        <v>74</v>
      </c>
      <c r="L350" s="2" t="s">
        <v>2518</v>
      </c>
      <c r="M350" s="2" t="s">
        <v>2519</v>
      </c>
    </row>
    <row r="351" spans="1:13" x14ac:dyDescent="0.3">
      <c r="A351" s="1">
        <v>45836</v>
      </c>
      <c r="B351" s="2" t="s">
        <v>2621</v>
      </c>
      <c r="C351" s="2" t="s">
        <v>2521</v>
      </c>
      <c r="D351" s="2" t="s">
        <v>2525</v>
      </c>
      <c r="E351" s="2" t="s">
        <v>2534</v>
      </c>
      <c r="F351" s="3">
        <v>34572</v>
      </c>
      <c r="G351" s="3">
        <v>576</v>
      </c>
      <c r="H351" s="3">
        <v>48</v>
      </c>
      <c r="I351" s="4">
        <v>386.89</v>
      </c>
      <c r="J351" s="4">
        <v>8015.47</v>
      </c>
      <c r="K351" s="3">
        <v>30</v>
      </c>
      <c r="L351" s="2" t="s">
        <v>2523</v>
      </c>
      <c r="M351" s="2" t="s">
        <v>2546</v>
      </c>
    </row>
    <row r="352" spans="1:13" x14ac:dyDescent="0.3">
      <c r="A352" s="1">
        <v>45923</v>
      </c>
      <c r="B352" s="2" t="s">
        <v>2616</v>
      </c>
      <c r="C352" s="2" t="s">
        <v>2543</v>
      </c>
      <c r="D352" s="2" t="s">
        <v>2528</v>
      </c>
      <c r="E352" s="2" t="s">
        <v>2517</v>
      </c>
      <c r="F352" s="3">
        <v>38592</v>
      </c>
      <c r="G352" s="3">
        <v>3438</v>
      </c>
      <c r="H352" s="3">
        <v>320</v>
      </c>
      <c r="I352" s="4">
        <v>3493</v>
      </c>
      <c r="J352" s="4">
        <v>26012.11</v>
      </c>
      <c r="K352" s="3">
        <v>238</v>
      </c>
      <c r="L352" s="2" t="s">
        <v>2539</v>
      </c>
      <c r="M352" s="2" t="s">
        <v>2546</v>
      </c>
    </row>
    <row r="353" spans="1:13" x14ac:dyDescent="0.3">
      <c r="A353" s="1">
        <v>45735</v>
      </c>
      <c r="B353" s="2" t="s">
        <v>2643</v>
      </c>
      <c r="C353" s="2" t="s">
        <v>2515</v>
      </c>
      <c r="D353" s="2" t="s">
        <v>2528</v>
      </c>
      <c r="E353" s="2" t="s">
        <v>2517</v>
      </c>
      <c r="F353" s="3">
        <v>27962</v>
      </c>
      <c r="G353" s="3">
        <v>1623</v>
      </c>
      <c r="H353" s="3">
        <v>196</v>
      </c>
      <c r="I353" s="4">
        <v>1903.84</v>
      </c>
      <c r="J353" s="4">
        <v>29641.94</v>
      </c>
      <c r="K353" s="3">
        <v>164</v>
      </c>
      <c r="L353" s="2" t="s">
        <v>2536</v>
      </c>
      <c r="M353" s="2" t="s">
        <v>2519</v>
      </c>
    </row>
    <row r="354" spans="1:13" x14ac:dyDescent="0.3">
      <c r="A354" s="1">
        <v>45848</v>
      </c>
      <c r="B354" s="2" t="s">
        <v>2634</v>
      </c>
      <c r="C354" s="2" t="s">
        <v>2541</v>
      </c>
      <c r="D354" s="2" t="s">
        <v>2531</v>
      </c>
      <c r="E354" s="2" t="s">
        <v>2517</v>
      </c>
      <c r="F354" s="3">
        <v>58138</v>
      </c>
      <c r="G354" s="3">
        <v>1903</v>
      </c>
      <c r="H354" s="3">
        <v>111</v>
      </c>
      <c r="I354" s="4">
        <v>2065.38</v>
      </c>
      <c r="J354" s="4">
        <v>4332.97</v>
      </c>
      <c r="K354" s="3">
        <v>51</v>
      </c>
      <c r="L354" s="2" t="s">
        <v>2539</v>
      </c>
      <c r="M354" s="2" t="s">
        <v>2546</v>
      </c>
    </row>
    <row r="355" spans="1:13" x14ac:dyDescent="0.3">
      <c r="A355" s="1">
        <v>45775</v>
      </c>
      <c r="B355" s="2" t="s">
        <v>2632</v>
      </c>
      <c r="C355" s="2" t="s">
        <v>2543</v>
      </c>
      <c r="D355" s="2" t="s">
        <v>2531</v>
      </c>
      <c r="E355" s="2" t="s">
        <v>2517</v>
      </c>
      <c r="F355" s="3">
        <v>58221</v>
      </c>
      <c r="G355" s="3">
        <v>967</v>
      </c>
      <c r="H355" s="3">
        <v>29</v>
      </c>
      <c r="I355" s="4">
        <v>354.59</v>
      </c>
      <c r="J355" s="4">
        <v>3435.83</v>
      </c>
      <c r="K355" s="3">
        <v>19</v>
      </c>
      <c r="L355" s="2" t="s">
        <v>2518</v>
      </c>
      <c r="M355" s="2" t="s">
        <v>2537</v>
      </c>
    </row>
    <row r="356" spans="1:13" x14ac:dyDescent="0.3">
      <c r="A356" s="1">
        <v>45745</v>
      </c>
      <c r="B356" s="2" t="s">
        <v>2637</v>
      </c>
      <c r="C356" s="2" t="s">
        <v>2533</v>
      </c>
      <c r="D356" s="2" t="s">
        <v>2531</v>
      </c>
      <c r="E356" s="2" t="s">
        <v>2529</v>
      </c>
      <c r="F356" s="3">
        <v>94253</v>
      </c>
      <c r="G356" s="3">
        <v>2847</v>
      </c>
      <c r="H356" s="3">
        <v>257</v>
      </c>
      <c r="I356" s="4">
        <v>5606.68</v>
      </c>
      <c r="J356" s="4">
        <v>38809.25</v>
      </c>
      <c r="K356" s="3">
        <v>140</v>
      </c>
      <c r="L356" s="2" t="s">
        <v>2518</v>
      </c>
      <c r="M356" s="2" t="s">
        <v>2519</v>
      </c>
    </row>
    <row r="357" spans="1:13" x14ac:dyDescent="0.3">
      <c r="A357" s="1">
        <v>45866</v>
      </c>
      <c r="B357" s="2" t="s">
        <v>2615</v>
      </c>
      <c r="C357" s="2" t="s">
        <v>2543</v>
      </c>
      <c r="D357" s="2" t="s">
        <v>2516</v>
      </c>
      <c r="E357" s="2" t="s">
        <v>2529</v>
      </c>
      <c r="F357" s="3">
        <v>89698</v>
      </c>
      <c r="G357" s="3">
        <v>6845</v>
      </c>
      <c r="H357" s="3">
        <v>6868</v>
      </c>
      <c r="I357" s="4">
        <v>11458.1</v>
      </c>
      <c r="J357" s="4">
        <v>31748.43</v>
      </c>
      <c r="K357" s="3">
        <v>268</v>
      </c>
      <c r="L357" s="2" t="s">
        <v>2536</v>
      </c>
      <c r="M357" s="2" t="s">
        <v>2519</v>
      </c>
    </row>
    <row r="358" spans="1:13" x14ac:dyDescent="0.3">
      <c r="A358" s="1">
        <v>45664</v>
      </c>
      <c r="B358" s="2" t="s">
        <v>2616</v>
      </c>
      <c r="C358" s="2" t="s">
        <v>2527</v>
      </c>
      <c r="D358" s="2" t="s">
        <v>2516</v>
      </c>
      <c r="E358" s="2" t="s">
        <v>2517</v>
      </c>
      <c r="F358" s="3">
        <v>86465</v>
      </c>
      <c r="G358" s="3">
        <v>1226</v>
      </c>
      <c r="H358" s="3">
        <v>165</v>
      </c>
      <c r="I358" s="4">
        <v>130.78</v>
      </c>
      <c r="J358" s="4">
        <v>3136.57</v>
      </c>
      <c r="K358" s="3">
        <v>97</v>
      </c>
      <c r="L358" s="2" t="s">
        <v>2523</v>
      </c>
      <c r="M358" s="2" t="s">
        <v>2526</v>
      </c>
    </row>
    <row r="359" spans="1:13" x14ac:dyDescent="0.3">
      <c r="A359" s="1">
        <v>45887</v>
      </c>
      <c r="B359" s="2" t="s">
        <v>2621</v>
      </c>
      <c r="C359" s="2" t="s">
        <v>2543</v>
      </c>
      <c r="D359" s="2" t="s">
        <v>2528</v>
      </c>
      <c r="E359" s="2" t="s">
        <v>2534</v>
      </c>
      <c r="F359" s="3">
        <v>161509</v>
      </c>
      <c r="G359" s="3">
        <v>6257</v>
      </c>
      <c r="H359" s="3">
        <v>701</v>
      </c>
      <c r="I359" s="4">
        <v>6965.17</v>
      </c>
      <c r="J359" s="4">
        <v>81589.81</v>
      </c>
      <c r="K359" s="3">
        <v>430</v>
      </c>
      <c r="L359" s="2" t="s">
        <v>2518</v>
      </c>
      <c r="M359" s="2" t="s">
        <v>2537</v>
      </c>
    </row>
    <row r="360" spans="1:13" x14ac:dyDescent="0.3">
      <c r="A360" s="1">
        <v>45658</v>
      </c>
      <c r="B360" s="2" t="s">
        <v>2615</v>
      </c>
      <c r="C360" s="2" t="s">
        <v>2521</v>
      </c>
      <c r="D360" s="2" t="s">
        <v>2528</v>
      </c>
      <c r="E360" s="2" t="s">
        <v>2517</v>
      </c>
      <c r="F360" s="3">
        <v>132090</v>
      </c>
      <c r="G360" s="3">
        <v>3254</v>
      </c>
      <c r="H360" s="3">
        <v>435</v>
      </c>
      <c r="I360" s="4">
        <v>5965.4</v>
      </c>
      <c r="J360" s="4">
        <v>90068.32</v>
      </c>
      <c r="K360" s="3">
        <v>236</v>
      </c>
      <c r="L360" s="2" t="s">
        <v>2518</v>
      </c>
      <c r="M360" s="2" t="s">
        <v>2519</v>
      </c>
    </row>
    <row r="361" spans="1:13" x14ac:dyDescent="0.3">
      <c r="A361" s="1">
        <v>45845</v>
      </c>
      <c r="B361" s="2" t="s">
        <v>2644</v>
      </c>
      <c r="C361" s="2" t="s">
        <v>2521</v>
      </c>
      <c r="D361" s="2" t="s">
        <v>2528</v>
      </c>
      <c r="E361" s="2" t="s">
        <v>2517</v>
      </c>
      <c r="F361" s="3">
        <v>61258</v>
      </c>
      <c r="G361" s="3">
        <v>1728</v>
      </c>
      <c r="H361" s="3">
        <v>60</v>
      </c>
      <c r="I361" s="4">
        <v>2894.07</v>
      </c>
      <c r="J361" s="4">
        <v>12563.29</v>
      </c>
      <c r="K361" s="3">
        <v>36</v>
      </c>
      <c r="L361" s="2" t="s">
        <v>2518</v>
      </c>
      <c r="M361" s="2" t="s">
        <v>2524</v>
      </c>
    </row>
    <row r="362" spans="1:13" x14ac:dyDescent="0.3">
      <c r="A362" s="1">
        <v>45686</v>
      </c>
      <c r="B362" s="2" t="s">
        <v>2620</v>
      </c>
      <c r="C362" s="2" t="s">
        <v>2533</v>
      </c>
      <c r="D362" s="2" t="s">
        <v>2516</v>
      </c>
      <c r="E362" s="2" t="s">
        <v>2517</v>
      </c>
      <c r="F362" s="3">
        <v>153601</v>
      </c>
      <c r="G362" s="3">
        <v>10179</v>
      </c>
      <c r="H362" s="3">
        <v>897</v>
      </c>
      <c r="I362" s="4">
        <v>1536.86</v>
      </c>
      <c r="J362" s="4">
        <v>51519.43</v>
      </c>
      <c r="K362" s="3">
        <v>417</v>
      </c>
      <c r="L362" s="2" t="s">
        <v>2536</v>
      </c>
      <c r="M362" s="2" t="s">
        <v>2526</v>
      </c>
    </row>
    <row r="363" spans="1:13" x14ac:dyDescent="0.3">
      <c r="A363" s="1">
        <v>45871</v>
      </c>
      <c r="B363" s="2" t="s">
        <v>2634</v>
      </c>
      <c r="C363" s="2" t="s">
        <v>2521</v>
      </c>
      <c r="D363" s="2" t="s">
        <v>2528</v>
      </c>
      <c r="E363" s="2" t="s">
        <v>2517</v>
      </c>
      <c r="F363" s="3">
        <v>8347</v>
      </c>
      <c r="G363" s="3">
        <v>81</v>
      </c>
      <c r="H363" s="3">
        <v>8</v>
      </c>
      <c r="I363" s="4">
        <v>58.25</v>
      </c>
      <c r="J363" s="4">
        <v>622.6</v>
      </c>
      <c r="K363" s="3">
        <v>4</v>
      </c>
      <c r="L363" s="2" t="s">
        <v>2536</v>
      </c>
      <c r="M363" s="2" t="s">
        <v>2519</v>
      </c>
    </row>
    <row r="364" spans="1:13" x14ac:dyDescent="0.3">
      <c r="A364" s="1">
        <v>45811</v>
      </c>
      <c r="B364" s="2" t="s">
        <v>2628</v>
      </c>
      <c r="C364" s="2" t="s">
        <v>2515</v>
      </c>
      <c r="D364" s="2" t="s">
        <v>2528</v>
      </c>
      <c r="E364" s="2" t="s">
        <v>2529</v>
      </c>
      <c r="F364" s="3">
        <v>12186</v>
      </c>
      <c r="G364" s="3">
        <v>513</v>
      </c>
      <c r="H364" s="3">
        <v>33</v>
      </c>
      <c r="I364" s="4">
        <v>840.7</v>
      </c>
      <c r="J364" s="4">
        <v>3090.58</v>
      </c>
      <c r="K364" s="3">
        <v>22</v>
      </c>
      <c r="L364" s="2" t="s">
        <v>2518</v>
      </c>
      <c r="M364" s="2" t="s">
        <v>2526</v>
      </c>
    </row>
    <row r="365" spans="1:13" x14ac:dyDescent="0.3">
      <c r="A365" s="1">
        <v>45954</v>
      </c>
      <c r="B365" s="2" t="s">
        <v>2618</v>
      </c>
      <c r="C365" s="2" t="s">
        <v>2515</v>
      </c>
      <c r="D365" s="2" t="s">
        <v>2525</v>
      </c>
      <c r="E365" s="2" t="s">
        <v>2517</v>
      </c>
      <c r="F365" s="3">
        <v>84768</v>
      </c>
      <c r="G365" s="3">
        <v>6549</v>
      </c>
      <c r="H365" s="3">
        <v>594</v>
      </c>
      <c r="I365" s="4">
        <v>2238.92</v>
      </c>
      <c r="J365" s="4">
        <v>107121.07</v>
      </c>
      <c r="K365" s="3">
        <v>309</v>
      </c>
      <c r="L365" s="2" t="s">
        <v>2518</v>
      </c>
      <c r="M365" s="2" t="s">
        <v>2519</v>
      </c>
    </row>
    <row r="366" spans="1:13" x14ac:dyDescent="0.3">
      <c r="A366" s="1">
        <v>45778</v>
      </c>
      <c r="B366" s="2" t="s">
        <v>2644</v>
      </c>
      <c r="C366" s="2" t="s">
        <v>2533</v>
      </c>
      <c r="D366" s="2" t="s">
        <v>2516</v>
      </c>
      <c r="E366" s="2" t="s">
        <v>2517</v>
      </c>
      <c r="F366" s="3">
        <v>30869</v>
      </c>
      <c r="G366" s="3">
        <v>1238</v>
      </c>
      <c r="H366" s="3">
        <v>83</v>
      </c>
      <c r="I366" s="4">
        <v>2347.1</v>
      </c>
      <c r="J366" s="4">
        <v>9543.58</v>
      </c>
      <c r="K366" s="3">
        <v>54</v>
      </c>
      <c r="L366" s="2" t="s">
        <v>2536</v>
      </c>
      <c r="M366" s="2" t="s">
        <v>2526</v>
      </c>
    </row>
    <row r="367" spans="1:13" x14ac:dyDescent="0.3">
      <c r="A367" s="1">
        <v>45661</v>
      </c>
      <c r="B367" s="2" t="s">
        <v>2635</v>
      </c>
      <c r="C367" s="2" t="s">
        <v>2543</v>
      </c>
      <c r="D367" s="2" t="s">
        <v>2528</v>
      </c>
      <c r="E367" s="2" t="s">
        <v>2529</v>
      </c>
      <c r="F367" s="3">
        <v>149800</v>
      </c>
      <c r="G367" s="3">
        <v>8365</v>
      </c>
      <c r="H367" s="3">
        <v>478</v>
      </c>
      <c r="I367" s="4">
        <v>1967.18</v>
      </c>
      <c r="J367" s="4">
        <v>56297.97</v>
      </c>
      <c r="K367" s="3">
        <v>350</v>
      </c>
      <c r="L367" s="2" t="s">
        <v>2539</v>
      </c>
      <c r="M367" s="2" t="s">
        <v>2546</v>
      </c>
    </row>
    <row r="368" spans="1:13" x14ac:dyDescent="0.3">
      <c r="A368" s="1">
        <v>45989</v>
      </c>
      <c r="B368" s="2" t="s">
        <v>2624</v>
      </c>
      <c r="C368" s="2" t="s">
        <v>2515</v>
      </c>
      <c r="D368" s="2" t="s">
        <v>2525</v>
      </c>
      <c r="E368" s="2" t="s">
        <v>2534</v>
      </c>
      <c r="F368" s="3">
        <v>131697</v>
      </c>
      <c r="G368" s="3">
        <v>2248</v>
      </c>
      <c r="H368" s="3">
        <v>187</v>
      </c>
      <c r="I368" s="4">
        <v>4050.36</v>
      </c>
      <c r="J368" s="4">
        <v>33252.28</v>
      </c>
      <c r="K368" s="3">
        <v>91</v>
      </c>
      <c r="L368" s="2" t="s">
        <v>2539</v>
      </c>
      <c r="M368" s="2" t="s">
        <v>2546</v>
      </c>
    </row>
    <row r="369" spans="1:13" x14ac:dyDescent="0.3">
      <c r="A369" s="1">
        <v>45729</v>
      </c>
      <c r="B369" s="2" t="s">
        <v>2630</v>
      </c>
      <c r="C369" s="2" t="s">
        <v>2515</v>
      </c>
      <c r="D369" s="2" t="s">
        <v>2528</v>
      </c>
      <c r="E369" s="2" t="s">
        <v>2529</v>
      </c>
      <c r="F369" s="3">
        <v>72072</v>
      </c>
      <c r="G369" s="3">
        <v>2918</v>
      </c>
      <c r="H369" s="3">
        <v>151</v>
      </c>
      <c r="I369" s="4">
        <v>2165.69</v>
      </c>
      <c r="J369" s="4">
        <v>11043.66</v>
      </c>
      <c r="K369" s="3">
        <v>118</v>
      </c>
      <c r="L369" s="2" t="s">
        <v>2518</v>
      </c>
      <c r="M369" s="2" t="s">
        <v>2524</v>
      </c>
    </row>
    <row r="370" spans="1:13" x14ac:dyDescent="0.3">
      <c r="A370" s="1">
        <v>45888</v>
      </c>
      <c r="B370" s="2" t="s">
        <v>2642</v>
      </c>
      <c r="C370" s="2" t="s">
        <v>2543</v>
      </c>
      <c r="D370" s="2" t="s">
        <v>2531</v>
      </c>
      <c r="E370" s="2" t="s">
        <v>2529</v>
      </c>
      <c r="F370" s="3">
        <v>22966</v>
      </c>
      <c r="G370" s="3">
        <v>131</v>
      </c>
      <c r="H370" s="3">
        <v>0</v>
      </c>
      <c r="I370" s="4">
        <v>59.28</v>
      </c>
      <c r="J370" s="4">
        <v>0</v>
      </c>
      <c r="K370" s="3">
        <v>0</v>
      </c>
      <c r="L370" s="2" t="s">
        <v>2518</v>
      </c>
      <c r="M370" s="2" t="s">
        <v>2546</v>
      </c>
    </row>
    <row r="371" spans="1:13" x14ac:dyDescent="0.3">
      <c r="A371" s="1">
        <v>45793</v>
      </c>
      <c r="B371" s="2" t="s">
        <v>2642</v>
      </c>
      <c r="C371" s="2" t="s">
        <v>2543</v>
      </c>
      <c r="D371" s="2" t="s">
        <v>2531</v>
      </c>
      <c r="E371" s="2" t="s">
        <v>2529</v>
      </c>
      <c r="F371" s="3">
        <v>57022</v>
      </c>
      <c r="G371" s="3">
        <v>3344</v>
      </c>
      <c r="H371" s="3">
        <v>460</v>
      </c>
      <c r="I371" s="4">
        <v>3789.67</v>
      </c>
      <c r="J371" s="4">
        <v>89547.31</v>
      </c>
      <c r="K371" s="3">
        <v>406</v>
      </c>
      <c r="L371" s="2" t="s">
        <v>2536</v>
      </c>
      <c r="M371" s="2" t="s">
        <v>2519</v>
      </c>
    </row>
    <row r="372" spans="1:13" x14ac:dyDescent="0.3">
      <c r="A372" s="1">
        <v>45890</v>
      </c>
      <c r="B372" s="2" t="s">
        <v>2631</v>
      </c>
      <c r="C372" s="2" t="s">
        <v>2521</v>
      </c>
      <c r="D372" s="2" t="s">
        <v>2528</v>
      </c>
      <c r="E372" s="2" t="s">
        <v>2517</v>
      </c>
      <c r="F372" s="3">
        <v>8420</v>
      </c>
      <c r="G372" s="3">
        <v>610</v>
      </c>
      <c r="H372" s="3">
        <v>21</v>
      </c>
      <c r="I372" s="4">
        <v>721.04</v>
      </c>
      <c r="J372" s="4">
        <v>2318.92</v>
      </c>
      <c r="K372" s="3">
        <v>12</v>
      </c>
      <c r="L372" s="2" t="s">
        <v>2523</v>
      </c>
      <c r="M372" s="2" t="s">
        <v>2537</v>
      </c>
    </row>
    <row r="373" spans="1:13" x14ac:dyDescent="0.3">
      <c r="A373" s="1">
        <v>45963</v>
      </c>
      <c r="B373" s="2" t="s">
        <v>2630</v>
      </c>
      <c r="C373" s="2" t="s">
        <v>2515</v>
      </c>
      <c r="D373" s="2" t="s">
        <v>2528</v>
      </c>
      <c r="E373" s="2" t="s">
        <v>2517</v>
      </c>
      <c r="F373" s="3">
        <v>11039</v>
      </c>
      <c r="G373" s="3">
        <v>625</v>
      </c>
      <c r="H373" s="3">
        <v>22</v>
      </c>
      <c r="I373" s="4">
        <v>209.95</v>
      </c>
      <c r="J373" s="4">
        <v>789.84</v>
      </c>
      <c r="K373" s="3">
        <v>15</v>
      </c>
      <c r="L373" s="2" t="s">
        <v>2523</v>
      </c>
      <c r="M373" s="2" t="s">
        <v>2524</v>
      </c>
    </row>
    <row r="374" spans="1:13" x14ac:dyDescent="0.3">
      <c r="A374" s="1">
        <v>45710</v>
      </c>
      <c r="B374" s="2" t="s">
        <v>2642</v>
      </c>
      <c r="C374" s="2" t="s">
        <v>2541</v>
      </c>
      <c r="D374" s="2" t="s">
        <v>2531</v>
      </c>
      <c r="E374" s="2" t="s">
        <v>2517</v>
      </c>
      <c r="F374" s="3">
        <v>146543</v>
      </c>
      <c r="G374" s="3">
        <v>3673</v>
      </c>
      <c r="H374" s="3">
        <v>478</v>
      </c>
      <c r="I374" s="4">
        <v>2467.1</v>
      </c>
      <c r="J374" s="4">
        <v>22806.01</v>
      </c>
      <c r="K374" s="3">
        <v>234</v>
      </c>
      <c r="L374" s="2" t="s">
        <v>2523</v>
      </c>
      <c r="M374" s="2" t="s">
        <v>2524</v>
      </c>
    </row>
    <row r="375" spans="1:13" x14ac:dyDescent="0.3">
      <c r="A375" s="1">
        <v>45704</v>
      </c>
      <c r="B375" s="2" t="s">
        <v>2641</v>
      </c>
      <c r="C375" s="2" t="s">
        <v>2543</v>
      </c>
      <c r="D375" s="2" t="s">
        <v>2516</v>
      </c>
      <c r="E375" s="2" t="s">
        <v>2517</v>
      </c>
      <c r="F375" s="3">
        <v>104929</v>
      </c>
      <c r="G375" s="3">
        <v>6977</v>
      </c>
      <c r="H375" s="3">
        <v>148</v>
      </c>
      <c r="I375" s="4">
        <v>12338.18</v>
      </c>
      <c r="J375" s="4">
        <v>16053.49</v>
      </c>
      <c r="K375" s="3">
        <v>129</v>
      </c>
      <c r="L375" s="2" t="s">
        <v>2523</v>
      </c>
      <c r="M375" s="2" t="s">
        <v>2526</v>
      </c>
    </row>
    <row r="376" spans="1:13" x14ac:dyDescent="0.3">
      <c r="A376" s="1">
        <v>45746</v>
      </c>
      <c r="B376" s="2" t="s">
        <v>2633</v>
      </c>
      <c r="C376" s="2" t="s">
        <v>2515</v>
      </c>
      <c r="D376" s="2" t="s">
        <v>2528</v>
      </c>
      <c r="E376" s="2" t="s">
        <v>2517</v>
      </c>
      <c r="F376" s="3">
        <v>35967</v>
      </c>
      <c r="G376" s="3">
        <v>1101</v>
      </c>
      <c r="H376" s="3">
        <v>149</v>
      </c>
      <c r="I376" s="4">
        <v>1316.87</v>
      </c>
      <c r="J376" s="4">
        <v>31454.55</v>
      </c>
      <c r="K376" s="3">
        <v>84</v>
      </c>
      <c r="L376" s="2" t="s">
        <v>2523</v>
      </c>
      <c r="M376" s="2" t="s">
        <v>2537</v>
      </c>
    </row>
    <row r="377" spans="1:13" x14ac:dyDescent="0.3">
      <c r="A377" s="1">
        <v>45905</v>
      </c>
      <c r="B377" s="2" t="s">
        <v>2629</v>
      </c>
      <c r="C377" s="2" t="s">
        <v>2515</v>
      </c>
      <c r="D377" s="2" t="s">
        <v>2531</v>
      </c>
      <c r="E377" s="2" t="s">
        <v>2517</v>
      </c>
      <c r="F377" s="3">
        <v>5114</v>
      </c>
      <c r="G377" s="3">
        <v>185</v>
      </c>
      <c r="H377" s="3">
        <v>11</v>
      </c>
      <c r="I377" s="4">
        <v>277.92</v>
      </c>
      <c r="J377" s="4">
        <v>1227.3499999999999</v>
      </c>
      <c r="K377" s="3">
        <v>6</v>
      </c>
      <c r="L377" s="2" t="s">
        <v>2539</v>
      </c>
      <c r="M377" s="2" t="s">
        <v>2546</v>
      </c>
    </row>
    <row r="378" spans="1:13" x14ac:dyDescent="0.3">
      <c r="A378" s="1">
        <v>45660</v>
      </c>
      <c r="B378" s="2" t="s">
        <v>2625</v>
      </c>
      <c r="C378" s="2" t="s">
        <v>2527</v>
      </c>
      <c r="D378" s="2" t="s">
        <v>2528</v>
      </c>
      <c r="E378" s="2" t="s">
        <v>2529</v>
      </c>
      <c r="F378" s="3">
        <v>139020</v>
      </c>
      <c r="G378" s="3">
        <v>8141</v>
      </c>
      <c r="H378" s="3">
        <v>44</v>
      </c>
      <c r="I378" s="4">
        <v>1743.65</v>
      </c>
      <c r="J378" s="4">
        <v>1465.69</v>
      </c>
      <c r="K378" s="3">
        <v>28</v>
      </c>
      <c r="L378" s="2" t="s">
        <v>2536</v>
      </c>
      <c r="M378" s="2" t="s">
        <v>2519</v>
      </c>
    </row>
    <row r="379" spans="1:13" x14ac:dyDescent="0.3">
      <c r="A379" s="1">
        <v>45883</v>
      </c>
      <c r="B379" s="2" t="s">
        <v>2633</v>
      </c>
      <c r="C379" s="2" t="s">
        <v>2527</v>
      </c>
      <c r="D379" s="2" t="s">
        <v>2528</v>
      </c>
      <c r="E379" s="2" t="s">
        <v>2517</v>
      </c>
      <c r="F379" s="3">
        <v>58585</v>
      </c>
      <c r="G379" s="3">
        <v>3433</v>
      </c>
      <c r="H379" s="3">
        <v>361</v>
      </c>
      <c r="I379" s="4">
        <v>4673.1000000000004</v>
      </c>
      <c r="J379" s="4">
        <v>72865.22</v>
      </c>
      <c r="K379" s="3">
        <v>295</v>
      </c>
      <c r="L379" s="2" t="s">
        <v>2536</v>
      </c>
      <c r="M379" s="2" t="s">
        <v>2526</v>
      </c>
    </row>
    <row r="380" spans="1:13" x14ac:dyDescent="0.3">
      <c r="A380" s="1">
        <v>45662</v>
      </c>
      <c r="B380" s="2" t="s">
        <v>2644</v>
      </c>
      <c r="C380" s="2" t="s">
        <v>2527</v>
      </c>
      <c r="D380" s="2" t="s">
        <v>2528</v>
      </c>
      <c r="E380" s="2" t="s">
        <v>2529</v>
      </c>
      <c r="F380" s="3">
        <v>151173</v>
      </c>
      <c r="G380" s="3">
        <v>7367</v>
      </c>
      <c r="H380" s="3">
        <v>701</v>
      </c>
      <c r="I380" s="4">
        <v>1387.83</v>
      </c>
      <c r="J380" s="4">
        <v>123094.05</v>
      </c>
      <c r="K380" s="3">
        <v>318</v>
      </c>
      <c r="L380" s="2" t="s">
        <v>2518</v>
      </c>
      <c r="M380" s="2" t="s">
        <v>2546</v>
      </c>
    </row>
    <row r="381" spans="1:13" x14ac:dyDescent="0.3">
      <c r="A381" s="1">
        <v>45850</v>
      </c>
      <c r="B381" s="2" t="s">
        <v>2638</v>
      </c>
      <c r="C381" s="2" t="s">
        <v>2543</v>
      </c>
      <c r="D381" s="2" t="s">
        <v>2525</v>
      </c>
      <c r="E381" s="2" t="s">
        <v>2529</v>
      </c>
      <c r="F381" s="3">
        <v>134284</v>
      </c>
      <c r="G381" s="3">
        <v>3137</v>
      </c>
      <c r="H381" s="3">
        <v>200</v>
      </c>
      <c r="I381" s="4">
        <v>4718.29</v>
      </c>
      <c r="J381" s="4">
        <v>10184.23</v>
      </c>
      <c r="K381" s="3">
        <v>143</v>
      </c>
      <c r="L381" s="2" t="s">
        <v>2523</v>
      </c>
      <c r="M381" s="2" t="s">
        <v>2537</v>
      </c>
    </row>
    <row r="382" spans="1:13" x14ac:dyDescent="0.3">
      <c r="A382" s="1">
        <v>45904</v>
      </c>
      <c r="B382" s="2" t="s">
        <v>2621</v>
      </c>
      <c r="C382" s="2" t="s">
        <v>2533</v>
      </c>
      <c r="D382" s="2" t="s">
        <v>2528</v>
      </c>
      <c r="E382" s="2" t="s">
        <v>2529</v>
      </c>
      <c r="F382" s="3">
        <v>41687</v>
      </c>
      <c r="G382" s="3">
        <v>2276</v>
      </c>
      <c r="H382" s="3">
        <v>144</v>
      </c>
      <c r="I382" s="4">
        <v>1511.61</v>
      </c>
      <c r="J382" s="4">
        <v>11437.22</v>
      </c>
      <c r="K382" s="3">
        <v>73</v>
      </c>
      <c r="L382" s="2" t="s">
        <v>2523</v>
      </c>
      <c r="M382" s="2" t="s">
        <v>2524</v>
      </c>
    </row>
    <row r="383" spans="1:13" x14ac:dyDescent="0.3">
      <c r="A383" s="1">
        <v>45688</v>
      </c>
      <c r="B383" s="2" t="s">
        <v>2622</v>
      </c>
      <c r="C383" s="2" t="s">
        <v>2543</v>
      </c>
      <c r="D383" s="2" t="s">
        <v>2516</v>
      </c>
      <c r="E383" s="2" t="s">
        <v>2517</v>
      </c>
      <c r="F383" s="3">
        <v>93615</v>
      </c>
      <c r="G383" s="3">
        <v>4787</v>
      </c>
      <c r="H383" s="3">
        <v>96</v>
      </c>
      <c r="I383" s="4">
        <v>7401.94</v>
      </c>
      <c r="J383" s="4">
        <v>11576.34</v>
      </c>
      <c r="K383" s="3">
        <v>57</v>
      </c>
      <c r="L383" s="2" t="s">
        <v>2536</v>
      </c>
      <c r="M383" s="2" t="s">
        <v>2524</v>
      </c>
    </row>
    <row r="384" spans="1:13" x14ac:dyDescent="0.3">
      <c r="A384" s="1">
        <v>46014</v>
      </c>
      <c r="B384" s="2" t="s">
        <v>2642</v>
      </c>
      <c r="C384" s="2" t="s">
        <v>2533</v>
      </c>
      <c r="D384" s="2" t="s">
        <v>2528</v>
      </c>
      <c r="E384" s="2" t="s">
        <v>2517</v>
      </c>
      <c r="F384" s="3">
        <v>111233</v>
      </c>
      <c r="G384" s="3">
        <v>6105</v>
      </c>
      <c r="H384" s="3">
        <v>724</v>
      </c>
      <c r="I384" s="4">
        <v>3326.59</v>
      </c>
      <c r="J384" s="4">
        <v>137632.60999999999</v>
      </c>
      <c r="K384" s="3">
        <v>528</v>
      </c>
      <c r="L384" s="2" t="s">
        <v>2536</v>
      </c>
      <c r="M384" s="2" t="s">
        <v>2524</v>
      </c>
    </row>
    <row r="385" spans="1:13" x14ac:dyDescent="0.3">
      <c r="A385" s="1">
        <v>45832</v>
      </c>
      <c r="B385" s="2" t="s">
        <v>2639</v>
      </c>
      <c r="C385" s="2" t="s">
        <v>2515</v>
      </c>
      <c r="D385" s="2" t="s">
        <v>2516</v>
      </c>
      <c r="E385" s="2" t="s">
        <v>2517</v>
      </c>
      <c r="F385" s="3">
        <v>93356</v>
      </c>
      <c r="G385" s="3">
        <v>2667</v>
      </c>
      <c r="H385" s="3">
        <v>150</v>
      </c>
      <c r="I385" s="4">
        <v>2410.14</v>
      </c>
      <c r="J385" s="4">
        <v>26349.85</v>
      </c>
      <c r="K385" s="3">
        <v>103</v>
      </c>
      <c r="L385" s="2" t="s">
        <v>2523</v>
      </c>
      <c r="M385" s="2" t="s">
        <v>2524</v>
      </c>
    </row>
    <row r="386" spans="1:13" x14ac:dyDescent="0.3">
      <c r="A386" s="1">
        <v>46013</v>
      </c>
      <c r="B386" s="2" t="s">
        <v>2642</v>
      </c>
      <c r="C386" s="2" t="s">
        <v>2543</v>
      </c>
      <c r="D386" s="2" t="s">
        <v>2528</v>
      </c>
      <c r="E386" s="2" t="s">
        <v>2517</v>
      </c>
      <c r="F386" s="3">
        <v>106825</v>
      </c>
      <c r="G386" s="3">
        <v>6665</v>
      </c>
      <c r="H386" s="3">
        <v>258</v>
      </c>
      <c r="I386" s="4">
        <v>6326.81</v>
      </c>
      <c r="J386" s="4">
        <v>31623.439999999999</v>
      </c>
      <c r="K386" s="3">
        <v>224</v>
      </c>
      <c r="L386" s="2" t="s">
        <v>2539</v>
      </c>
      <c r="M386" s="2" t="s">
        <v>2519</v>
      </c>
    </row>
    <row r="387" spans="1:13" x14ac:dyDescent="0.3">
      <c r="A387" s="1">
        <v>45841</v>
      </c>
      <c r="B387" s="2" t="s">
        <v>2619</v>
      </c>
      <c r="C387" s="2" t="s">
        <v>2527</v>
      </c>
      <c r="D387" s="2" t="s">
        <v>2525</v>
      </c>
      <c r="E387" s="2" t="s">
        <v>2517</v>
      </c>
      <c r="F387" s="3">
        <v>94836</v>
      </c>
      <c r="G387" s="3">
        <v>4946</v>
      </c>
      <c r="H387" s="3">
        <v>410</v>
      </c>
      <c r="I387" s="4">
        <v>7832.7</v>
      </c>
      <c r="J387" s="4">
        <v>33838.910000000003</v>
      </c>
      <c r="K387" s="3">
        <v>345</v>
      </c>
      <c r="L387" s="2" t="s">
        <v>2518</v>
      </c>
      <c r="M387" s="2" t="s">
        <v>2546</v>
      </c>
    </row>
    <row r="388" spans="1:13" x14ac:dyDescent="0.3">
      <c r="A388" s="1">
        <v>45735</v>
      </c>
      <c r="B388" s="2" t="s">
        <v>2619</v>
      </c>
      <c r="C388" s="2" t="s">
        <v>2515</v>
      </c>
      <c r="D388" s="2" t="s">
        <v>2528</v>
      </c>
      <c r="E388" s="2" t="s">
        <v>2529</v>
      </c>
      <c r="F388" s="3">
        <v>118831</v>
      </c>
      <c r="G388" s="3">
        <v>9553</v>
      </c>
      <c r="H388" s="3">
        <v>448</v>
      </c>
      <c r="I388" s="4">
        <v>16394.939999999999</v>
      </c>
      <c r="J388" s="4">
        <v>36719.760000000002</v>
      </c>
      <c r="K388" s="3">
        <v>328</v>
      </c>
      <c r="L388" s="2" t="s">
        <v>2523</v>
      </c>
      <c r="M388" s="2" t="s">
        <v>2546</v>
      </c>
    </row>
    <row r="389" spans="1:13" x14ac:dyDescent="0.3">
      <c r="A389" s="1">
        <v>45897</v>
      </c>
      <c r="B389" s="2" t="s">
        <v>2622</v>
      </c>
      <c r="C389" s="2" t="s">
        <v>2543</v>
      </c>
      <c r="D389" s="2" t="s">
        <v>2528</v>
      </c>
      <c r="E389" s="2" t="s">
        <v>2529</v>
      </c>
      <c r="F389" s="3">
        <v>104284</v>
      </c>
      <c r="G389" s="3">
        <v>4530</v>
      </c>
      <c r="H389" s="3">
        <v>573</v>
      </c>
      <c r="I389" s="4">
        <v>900.28</v>
      </c>
      <c r="J389" s="4">
        <v>78497.03</v>
      </c>
      <c r="K389" s="3">
        <v>413</v>
      </c>
      <c r="L389" s="2" t="s">
        <v>2536</v>
      </c>
      <c r="M389" s="2" t="s">
        <v>2537</v>
      </c>
    </row>
    <row r="390" spans="1:13" x14ac:dyDescent="0.3">
      <c r="A390" s="1">
        <v>45861</v>
      </c>
      <c r="B390" s="2" t="s">
        <v>2618</v>
      </c>
      <c r="C390" s="2" t="s">
        <v>2515</v>
      </c>
      <c r="D390" s="2" t="s">
        <v>2531</v>
      </c>
      <c r="E390" s="2" t="s">
        <v>2529</v>
      </c>
      <c r="F390" s="3">
        <v>82608</v>
      </c>
      <c r="G390" s="3">
        <v>1415</v>
      </c>
      <c r="H390" s="3">
        <v>76</v>
      </c>
      <c r="I390" s="4">
        <v>1335.65</v>
      </c>
      <c r="J390" s="4">
        <v>7896.56</v>
      </c>
      <c r="K390" s="3">
        <v>50</v>
      </c>
      <c r="L390" s="2" t="s">
        <v>2536</v>
      </c>
      <c r="M390" s="2" t="s">
        <v>2537</v>
      </c>
    </row>
    <row r="391" spans="1:13" x14ac:dyDescent="0.3">
      <c r="A391" s="1">
        <v>45855</v>
      </c>
      <c r="B391" s="2" t="s">
        <v>2631</v>
      </c>
      <c r="C391" s="2" t="s">
        <v>2527</v>
      </c>
      <c r="D391" s="2" t="s">
        <v>2528</v>
      </c>
      <c r="E391" s="2" t="s">
        <v>2517</v>
      </c>
      <c r="F391" s="3">
        <v>173373</v>
      </c>
      <c r="G391" s="3">
        <v>9272</v>
      </c>
      <c r="H391" s="3">
        <v>777</v>
      </c>
      <c r="I391" s="4">
        <v>4290.95</v>
      </c>
      <c r="J391" s="4">
        <v>143550.54</v>
      </c>
      <c r="K391" s="3">
        <v>440</v>
      </c>
      <c r="L391" s="2" t="s">
        <v>2539</v>
      </c>
      <c r="M391" s="2" t="s">
        <v>2546</v>
      </c>
    </row>
    <row r="392" spans="1:13" x14ac:dyDescent="0.3">
      <c r="A392" s="1">
        <v>45959</v>
      </c>
      <c r="B392" s="2" t="s">
        <v>2630</v>
      </c>
      <c r="C392" s="2" t="s">
        <v>2541</v>
      </c>
      <c r="D392" s="2" t="s">
        <v>2528</v>
      </c>
      <c r="E392" s="2" t="s">
        <v>2517</v>
      </c>
      <c r="F392" s="3">
        <v>156660</v>
      </c>
      <c r="G392" s="3">
        <v>8994</v>
      </c>
      <c r="H392" s="3">
        <v>698</v>
      </c>
      <c r="I392" s="4">
        <v>10431.11</v>
      </c>
      <c r="J392" s="4">
        <v>67054.63</v>
      </c>
      <c r="K392" s="3">
        <v>322</v>
      </c>
      <c r="L392" s="2" t="s">
        <v>2536</v>
      </c>
      <c r="M392" s="2" t="s">
        <v>2526</v>
      </c>
    </row>
    <row r="393" spans="1:13" x14ac:dyDescent="0.3">
      <c r="A393" s="1">
        <v>45818</v>
      </c>
      <c r="B393" s="2" t="s">
        <v>2629</v>
      </c>
      <c r="C393" s="2" t="s">
        <v>2533</v>
      </c>
      <c r="D393" s="2" t="s">
        <v>2516</v>
      </c>
      <c r="E393" s="2" t="s">
        <v>2529</v>
      </c>
      <c r="F393" s="3">
        <v>72507</v>
      </c>
      <c r="G393" s="3">
        <v>2561</v>
      </c>
      <c r="H393" s="3">
        <v>244</v>
      </c>
      <c r="I393" s="4">
        <v>4407.5600000000004</v>
      </c>
      <c r="J393" s="4">
        <v>11371.66</v>
      </c>
      <c r="K393" s="3">
        <v>125</v>
      </c>
      <c r="L393" s="2" t="s">
        <v>2523</v>
      </c>
      <c r="M393" s="2" t="s">
        <v>2524</v>
      </c>
    </row>
    <row r="394" spans="1:13" x14ac:dyDescent="0.3">
      <c r="A394" s="1">
        <v>45719</v>
      </c>
      <c r="B394" s="2" t="s">
        <v>2643</v>
      </c>
      <c r="C394" s="2" t="s">
        <v>2543</v>
      </c>
      <c r="D394" s="2" t="s">
        <v>2525</v>
      </c>
      <c r="E394" s="2" t="s">
        <v>2517</v>
      </c>
      <c r="F394" s="3">
        <v>37981</v>
      </c>
      <c r="G394" s="3">
        <v>1989</v>
      </c>
      <c r="H394" s="3">
        <v>83</v>
      </c>
      <c r="I394" s="4">
        <v>3794.99</v>
      </c>
      <c r="J394" s="4">
        <v>14168.96</v>
      </c>
      <c r="K394" s="3">
        <v>40</v>
      </c>
      <c r="L394" s="2" t="s">
        <v>2523</v>
      </c>
      <c r="M394" s="2" t="s">
        <v>2546</v>
      </c>
    </row>
    <row r="395" spans="1:13" x14ac:dyDescent="0.3">
      <c r="A395" s="1">
        <v>45807</v>
      </c>
      <c r="B395" s="2" t="s">
        <v>2642</v>
      </c>
      <c r="C395" s="2" t="s">
        <v>2543</v>
      </c>
      <c r="D395" s="2" t="s">
        <v>2528</v>
      </c>
      <c r="E395" s="2" t="s">
        <v>2517</v>
      </c>
      <c r="F395" s="3">
        <v>13647</v>
      </c>
      <c r="G395" s="3">
        <v>649</v>
      </c>
      <c r="H395" s="3">
        <v>73</v>
      </c>
      <c r="I395" s="4">
        <v>241.7</v>
      </c>
      <c r="J395" s="4">
        <v>11248.19</v>
      </c>
      <c r="K395" s="3">
        <v>33</v>
      </c>
      <c r="L395" s="2" t="s">
        <v>2523</v>
      </c>
      <c r="M395" s="2" t="s">
        <v>2524</v>
      </c>
    </row>
    <row r="396" spans="1:13" x14ac:dyDescent="0.3">
      <c r="A396" s="1">
        <v>45796</v>
      </c>
      <c r="B396" s="2" t="s">
        <v>2642</v>
      </c>
      <c r="C396" s="2" t="s">
        <v>2533</v>
      </c>
      <c r="D396" s="2" t="s">
        <v>2525</v>
      </c>
      <c r="E396" s="2" t="s">
        <v>2517</v>
      </c>
      <c r="F396" s="3">
        <v>4121</v>
      </c>
      <c r="G396" s="3">
        <v>162</v>
      </c>
      <c r="H396" s="3">
        <v>16</v>
      </c>
      <c r="I396" s="4">
        <v>67.010000000000005</v>
      </c>
      <c r="J396" s="4">
        <v>1208.56</v>
      </c>
      <c r="K396" s="3">
        <v>9</v>
      </c>
      <c r="L396" s="2" t="s">
        <v>2518</v>
      </c>
      <c r="M396" s="2" t="s">
        <v>2546</v>
      </c>
    </row>
    <row r="397" spans="1:13" x14ac:dyDescent="0.3">
      <c r="A397" s="1">
        <v>45880</v>
      </c>
      <c r="B397" s="2" t="s">
        <v>2633</v>
      </c>
      <c r="C397" s="2" t="s">
        <v>2521</v>
      </c>
      <c r="D397" s="2" t="s">
        <v>2528</v>
      </c>
      <c r="E397" s="2" t="s">
        <v>2517</v>
      </c>
      <c r="F397" s="3">
        <v>73156</v>
      </c>
      <c r="G397" s="3">
        <v>3027</v>
      </c>
      <c r="H397" s="3">
        <v>358</v>
      </c>
      <c r="I397" s="4">
        <v>1928.28</v>
      </c>
      <c r="J397" s="4">
        <v>77597.86</v>
      </c>
      <c r="K397" s="3">
        <v>260</v>
      </c>
      <c r="L397" s="2" t="s">
        <v>2536</v>
      </c>
      <c r="M397" s="2" t="s">
        <v>2519</v>
      </c>
    </row>
    <row r="398" spans="1:13" x14ac:dyDescent="0.3">
      <c r="A398" s="1">
        <v>45845</v>
      </c>
      <c r="B398" s="2" t="s">
        <v>2637</v>
      </c>
      <c r="C398" s="2" t="s">
        <v>2543</v>
      </c>
      <c r="D398" s="2" t="s">
        <v>2516</v>
      </c>
      <c r="E398" s="2" t="s">
        <v>2517</v>
      </c>
      <c r="F398" s="3">
        <v>60135</v>
      </c>
      <c r="G398" s="3">
        <v>3421</v>
      </c>
      <c r="H398" s="3">
        <v>241</v>
      </c>
      <c r="I398" s="4">
        <v>2632.77</v>
      </c>
      <c r="J398" s="4">
        <v>48199.48</v>
      </c>
      <c r="K398" s="3">
        <v>135</v>
      </c>
      <c r="L398" s="2" t="s">
        <v>2539</v>
      </c>
      <c r="M398" s="2" t="s">
        <v>2526</v>
      </c>
    </row>
    <row r="399" spans="1:13" x14ac:dyDescent="0.3">
      <c r="A399" s="1">
        <v>45947</v>
      </c>
      <c r="B399" s="2" t="s">
        <v>2639</v>
      </c>
      <c r="C399" s="2" t="s">
        <v>2515</v>
      </c>
      <c r="D399" s="2" t="s">
        <v>2528</v>
      </c>
      <c r="E399" s="2" t="s">
        <v>2529</v>
      </c>
      <c r="F399" s="3">
        <v>171696</v>
      </c>
      <c r="G399" s="3">
        <v>10160</v>
      </c>
      <c r="H399" s="3">
        <v>631</v>
      </c>
      <c r="I399" s="4">
        <v>3447.97</v>
      </c>
      <c r="J399" s="4">
        <v>65659.16</v>
      </c>
      <c r="K399" s="3">
        <v>522</v>
      </c>
      <c r="L399" s="2" t="s">
        <v>2523</v>
      </c>
      <c r="M399" s="2" t="s">
        <v>2526</v>
      </c>
    </row>
    <row r="400" spans="1:13" x14ac:dyDescent="0.3">
      <c r="A400" s="1">
        <v>45663</v>
      </c>
      <c r="B400" s="2" t="s">
        <v>2628</v>
      </c>
      <c r="C400" s="2" t="s">
        <v>2527</v>
      </c>
      <c r="D400" s="2" t="s">
        <v>2528</v>
      </c>
      <c r="E400" s="2" t="s">
        <v>2529</v>
      </c>
      <c r="F400" s="3">
        <v>131014</v>
      </c>
      <c r="G400" s="3">
        <v>5491</v>
      </c>
      <c r="H400" s="3">
        <v>273</v>
      </c>
      <c r="I400" s="4">
        <v>2219.41</v>
      </c>
      <c r="J400" s="4">
        <v>48559.66</v>
      </c>
      <c r="K400" s="3">
        <v>213</v>
      </c>
      <c r="L400" s="2" t="s">
        <v>2523</v>
      </c>
      <c r="M400" s="2" t="s">
        <v>2546</v>
      </c>
    </row>
    <row r="401" spans="1:13" x14ac:dyDescent="0.3">
      <c r="A401" s="1">
        <v>45803</v>
      </c>
      <c r="B401" s="2" t="s">
        <v>2631</v>
      </c>
      <c r="C401" s="2" t="s">
        <v>2541</v>
      </c>
      <c r="D401" s="2" t="s">
        <v>2525</v>
      </c>
      <c r="E401" s="2" t="s">
        <v>2517</v>
      </c>
      <c r="F401" s="3">
        <v>111209</v>
      </c>
      <c r="G401" s="3">
        <v>614</v>
      </c>
      <c r="H401" s="3">
        <v>50</v>
      </c>
      <c r="I401" s="4">
        <v>1227.6099999999999</v>
      </c>
      <c r="J401" s="4">
        <v>5144.0600000000004</v>
      </c>
      <c r="K401" s="3">
        <v>42</v>
      </c>
      <c r="L401" s="2" t="s">
        <v>2539</v>
      </c>
      <c r="M401" s="2" t="s">
        <v>2546</v>
      </c>
    </row>
    <row r="402" spans="1:13" x14ac:dyDescent="0.3">
      <c r="A402" s="1">
        <v>45897</v>
      </c>
      <c r="B402" s="2" t="s">
        <v>2629</v>
      </c>
      <c r="C402" s="2" t="s">
        <v>2533</v>
      </c>
      <c r="D402" s="2" t="s">
        <v>2516</v>
      </c>
      <c r="E402" s="2" t="s">
        <v>2529</v>
      </c>
      <c r="F402" s="3">
        <v>34148</v>
      </c>
      <c r="G402" s="3">
        <v>1110</v>
      </c>
      <c r="H402" s="3">
        <v>137</v>
      </c>
      <c r="I402" s="4">
        <v>635.35</v>
      </c>
      <c r="J402" s="4">
        <v>29895.5</v>
      </c>
      <c r="K402" s="3">
        <v>77</v>
      </c>
      <c r="L402" s="2" t="s">
        <v>2518</v>
      </c>
      <c r="M402" s="2" t="s">
        <v>2526</v>
      </c>
    </row>
    <row r="403" spans="1:13" x14ac:dyDescent="0.3">
      <c r="A403" s="1">
        <v>45717</v>
      </c>
      <c r="B403" s="2" t="s">
        <v>2641</v>
      </c>
      <c r="C403" s="2" t="s">
        <v>2543</v>
      </c>
      <c r="D403" s="2" t="s">
        <v>2528</v>
      </c>
      <c r="E403" s="2" t="s">
        <v>2529</v>
      </c>
      <c r="F403" s="3">
        <v>115268</v>
      </c>
      <c r="G403" s="3">
        <v>7661</v>
      </c>
      <c r="H403" s="3">
        <v>305</v>
      </c>
      <c r="I403" s="4">
        <v>7387.27</v>
      </c>
      <c r="J403" s="4">
        <v>40594.449999999997</v>
      </c>
      <c r="K403" s="3">
        <v>197</v>
      </c>
      <c r="L403" s="2" t="s">
        <v>2518</v>
      </c>
      <c r="M403" s="2" t="s">
        <v>2537</v>
      </c>
    </row>
    <row r="404" spans="1:13" x14ac:dyDescent="0.3">
      <c r="A404" s="1">
        <v>45749</v>
      </c>
      <c r="B404" s="2" t="s">
        <v>2639</v>
      </c>
      <c r="C404" s="2" t="s">
        <v>2515</v>
      </c>
      <c r="D404" s="2" t="s">
        <v>2516</v>
      </c>
      <c r="E404" s="2" t="s">
        <v>2517</v>
      </c>
      <c r="F404" s="3">
        <v>106490</v>
      </c>
      <c r="G404" s="3">
        <v>6905</v>
      </c>
      <c r="H404" s="3">
        <v>36</v>
      </c>
      <c r="I404" s="4">
        <v>1224.3800000000001</v>
      </c>
      <c r="J404" s="4">
        <v>6174.76</v>
      </c>
      <c r="K404" s="3">
        <v>25</v>
      </c>
      <c r="L404" s="2" t="s">
        <v>2518</v>
      </c>
      <c r="M404" s="2" t="s">
        <v>2537</v>
      </c>
    </row>
    <row r="405" spans="1:13" x14ac:dyDescent="0.3">
      <c r="A405" s="1">
        <v>45970</v>
      </c>
      <c r="B405" s="2" t="s">
        <v>2617</v>
      </c>
      <c r="C405" s="2" t="s">
        <v>2527</v>
      </c>
      <c r="D405" s="2" t="s">
        <v>2525</v>
      </c>
      <c r="E405" s="2" t="s">
        <v>2529</v>
      </c>
      <c r="F405" s="3">
        <v>123270</v>
      </c>
      <c r="G405" s="3">
        <v>3000</v>
      </c>
      <c r="H405" s="3">
        <v>227</v>
      </c>
      <c r="I405" s="4">
        <v>3605.01</v>
      </c>
      <c r="J405" s="4">
        <v>35185.300000000003</v>
      </c>
      <c r="K405" s="3">
        <v>123</v>
      </c>
      <c r="L405" s="2" t="s">
        <v>2518</v>
      </c>
      <c r="M405" s="2" t="s">
        <v>2526</v>
      </c>
    </row>
    <row r="406" spans="1:13" x14ac:dyDescent="0.3">
      <c r="A406" s="1">
        <v>45870</v>
      </c>
      <c r="B406" s="2" t="s">
        <v>2643</v>
      </c>
      <c r="C406" s="2" t="s">
        <v>2533</v>
      </c>
      <c r="D406" s="2" t="s">
        <v>2531</v>
      </c>
      <c r="E406" s="2" t="s">
        <v>2517</v>
      </c>
      <c r="F406" s="3">
        <v>38809</v>
      </c>
      <c r="G406" s="3">
        <v>2819</v>
      </c>
      <c r="H406" s="3">
        <v>83</v>
      </c>
      <c r="I406" s="4">
        <v>4985.32</v>
      </c>
      <c r="J406" s="4">
        <v>10001.44</v>
      </c>
      <c r="K406" s="3">
        <v>40</v>
      </c>
      <c r="L406" s="2" t="s">
        <v>2518</v>
      </c>
      <c r="M406" s="2" t="s">
        <v>2519</v>
      </c>
    </row>
    <row r="407" spans="1:13" x14ac:dyDescent="0.3">
      <c r="A407" s="1">
        <v>45785</v>
      </c>
      <c r="B407" s="2" t="s">
        <v>2628</v>
      </c>
      <c r="C407" s="2" t="s">
        <v>2515</v>
      </c>
      <c r="D407" s="2" t="s">
        <v>2516</v>
      </c>
      <c r="E407" s="2" t="s">
        <v>2517</v>
      </c>
      <c r="F407" s="3">
        <v>61245</v>
      </c>
      <c r="G407" s="3">
        <v>4769</v>
      </c>
      <c r="H407" s="3">
        <v>600</v>
      </c>
      <c r="I407" s="4">
        <v>9224.49</v>
      </c>
      <c r="J407" s="4">
        <v>10474.280000000001</v>
      </c>
      <c r="K407" s="3">
        <v>338</v>
      </c>
      <c r="L407" s="2" t="s">
        <v>2518</v>
      </c>
      <c r="M407" s="2" t="s">
        <v>2526</v>
      </c>
    </row>
    <row r="408" spans="1:13" x14ac:dyDescent="0.3">
      <c r="A408" s="1">
        <v>45803</v>
      </c>
      <c r="B408" s="2" t="s">
        <v>2636</v>
      </c>
      <c r="C408" s="2" t="s">
        <v>2521</v>
      </c>
      <c r="D408" s="2" t="s">
        <v>2528</v>
      </c>
      <c r="E408" s="2" t="s">
        <v>2517</v>
      </c>
      <c r="F408" s="3">
        <v>98569</v>
      </c>
      <c r="G408" s="3">
        <v>2025</v>
      </c>
      <c r="H408" s="3">
        <v>61</v>
      </c>
      <c r="I408" s="4">
        <v>1701.71</v>
      </c>
      <c r="J408" s="4">
        <v>7220.09</v>
      </c>
      <c r="K408" s="3">
        <v>50</v>
      </c>
      <c r="L408" s="2" t="s">
        <v>2539</v>
      </c>
      <c r="M408" s="2" t="s">
        <v>2519</v>
      </c>
    </row>
    <row r="409" spans="1:13" x14ac:dyDescent="0.3">
      <c r="A409" s="1">
        <v>45894</v>
      </c>
      <c r="B409" s="2" t="s">
        <v>2631</v>
      </c>
      <c r="C409" s="2" t="s">
        <v>2521</v>
      </c>
      <c r="D409" s="2" t="s">
        <v>2528</v>
      </c>
      <c r="E409" s="2" t="s">
        <v>2517</v>
      </c>
      <c r="F409" s="3">
        <v>41305</v>
      </c>
      <c r="G409" s="3">
        <v>635</v>
      </c>
      <c r="H409" s="3">
        <v>25</v>
      </c>
      <c r="I409" s="4">
        <v>563.75</v>
      </c>
      <c r="J409" s="4">
        <v>1774.87</v>
      </c>
      <c r="K409" s="3">
        <v>22</v>
      </c>
      <c r="L409" s="2" t="s">
        <v>2539</v>
      </c>
      <c r="M409" s="2" t="s">
        <v>2546</v>
      </c>
    </row>
    <row r="410" spans="1:13" x14ac:dyDescent="0.3">
      <c r="A410" s="1">
        <v>45805</v>
      </c>
      <c r="B410" s="2" t="s">
        <v>2633</v>
      </c>
      <c r="C410" s="2" t="s">
        <v>2521</v>
      </c>
      <c r="D410" s="2" t="s">
        <v>2528</v>
      </c>
      <c r="E410" s="2" t="s">
        <v>2517</v>
      </c>
      <c r="F410" s="3">
        <v>116027</v>
      </c>
      <c r="G410" s="3">
        <v>8024</v>
      </c>
      <c r="H410" s="3">
        <v>909</v>
      </c>
      <c r="I410" s="4">
        <v>10275.89</v>
      </c>
      <c r="J410" s="4">
        <v>25256.25</v>
      </c>
      <c r="K410" s="3">
        <v>608</v>
      </c>
      <c r="L410" s="2" t="s">
        <v>2523</v>
      </c>
      <c r="M410" s="2" t="s">
        <v>2524</v>
      </c>
    </row>
    <row r="411" spans="1:13" x14ac:dyDescent="0.3">
      <c r="A411" s="1">
        <v>45982</v>
      </c>
      <c r="B411" s="2" t="s">
        <v>2623</v>
      </c>
      <c r="C411" s="2" t="s">
        <v>2543</v>
      </c>
      <c r="D411" s="2" t="s">
        <v>2528</v>
      </c>
      <c r="E411" s="2" t="s">
        <v>2529</v>
      </c>
      <c r="F411" s="3">
        <v>31035</v>
      </c>
      <c r="G411" s="3">
        <v>1935</v>
      </c>
      <c r="H411" s="3">
        <v>144</v>
      </c>
      <c r="I411" s="4">
        <v>2842.24</v>
      </c>
      <c r="J411" s="4">
        <v>9533.4500000000007</v>
      </c>
      <c r="K411" s="3">
        <v>86</v>
      </c>
      <c r="L411" s="2" t="s">
        <v>2536</v>
      </c>
      <c r="M411" s="2" t="s">
        <v>2546</v>
      </c>
    </row>
    <row r="412" spans="1:13" x14ac:dyDescent="0.3">
      <c r="A412" s="1">
        <v>45901</v>
      </c>
      <c r="B412" s="2" t="s">
        <v>2623</v>
      </c>
      <c r="C412" s="2" t="s">
        <v>2533</v>
      </c>
      <c r="D412" s="2" t="s">
        <v>2528</v>
      </c>
      <c r="E412" s="2" t="s">
        <v>2529</v>
      </c>
      <c r="F412" s="3">
        <v>142758</v>
      </c>
      <c r="G412" s="3">
        <v>6426</v>
      </c>
      <c r="H412" s="3">
        <v>213</v>
      </c>
      <c r="I412" s="4">
        <v>2113.02</v>
      </c>
      <c r="J412" s="4">
        <v>19907.740000000002</v>
      </c>
      <c r="K412" s="3">
        <v>152</v>
      </c>
      <c r="L412" s="2" t="s">
        <v>2536</v>
      </c>
      <c r="M412" s="2" t="s">
        <v>2546</v>
      </c>
    </row>
    <row r="413" spans="1:13" x14ac:dyDescent="0.3">
      <c r="A413" s="1">
        <v>45914</v>
      </c>
      <c r="B413" s="2" t="s">
        <v>2637</v>
      </c>
      <c r="C413" s="2" t="s">
        <v>2543</v>
      </c>
      <c r="D413" s="2" t="s">
        <v>2525</v>
      </c>
      <c r="E413" s="2" t="s">
        <v>2529</v>
      </c>
      <c r="F413" s="3">
        <v>25072</v>
      </c>
      <c r="G413" s="3">
        <v>1290</v>
      </c>
      <c r="H413" s="3">
        <v>172</v>
      </c>
      <c r="I413" s="4">
        <v>1299.79</v>
      </c>
      <c r="J413" s="4">
        <v>19269.87</v>
      </c>
      <c r="K413" s="3">
        <v>120</v>
      </c>
      <c r="L413" s="2" t="s">
        <v>2536</v>
      </c>
      <c r="M413" s="2" t="s">
        <v>2546</v>
      </c>
    </row>
    <row r="414" spans="1:13" x14ac:dyDescent="0.3">
      <c r="A414" s="1">
        <v>45967</v>
      </c>
      <c r="B414" s="2" t="s">
        <v>2630</v>
      </c>
      <c r="C414" s="2" t="s">
        <v>2527</v>
      </c>
      <c r="D414" s="2" t="s">
        <v>2528</v>
      </c>
      <c r="E414" s="2" t="s">
        <v>2534</v>
      </c>
      <c r="F414" s="3">
        <v>50975</v>
      </c>
      <c r="G414" s="3">
        <v>1893</v>
      </c>
      <c r="H414" s="3">
        <v>235</v>
      </c>
      <c r="I414" s="4">
        <v>1283.3</v>
      </c>
      <c r="J414" s="4">
        <v>4760.55</v>
      </c>
      <c r="K414" s="3">
        <v>120</v>
      </c>
      <c r="L414" s="2" t="s">
        <v>2523</v>
      </c>
      <c r="M414" s="2" t="s">
        <v>2537</v>
      </c>
    </row>
    <row r="415" spans="1:13" x14ac:dyDescent="0.3">
      <c r="A415" s="1">
        <v>45806</v>
      </c>
      <c r="B415" s="2" t="s">
        <v>2619</v>
      </c>
      <c r="C415" s="2" t="s">
        <v>2527</v>
      </c>
      <c r="D415" s="2" t="s">
        <v>2528</v>
      </c>
      <c r="E415" s="2" t="s">
        <v>2529</v>
      </c>
      <c r="F415" s="3">
        <v>121280</v>
      </c>
      <c r="G415" s="3">
        <v>8459</v>
      </c>
      <c r="H415" s="3">
        <v>820</v>
      </c>
      <c r="I415" s="4">
        <v>8546.01</v>
      </c>
      <c r="J415" s="4">
        <v>120609.65</v>
      </c>
      <c r="K415" s="3">
        <v>642</v>
      </c>
      <c r="L415" s="2" t="s">
        <v>2523</v>
      </c>
      <c r="M415" s="2" t="s">
        <v>2526</v>
      </c>
    </row>
    <row r="416" spans="1:13" x14ac:dyDescent="0.3">
      <c r="A416" s="1">
        <v>45828</v>
      </c>
      <c r="B416" s="2" t="s">
        <v>2628</v>
      </c>
      <c r="C416" s="2" t="s">
        <v>2543</v>
      </c>
      <c r="D416" s="2" t="s">
        <v>2516</v>
      </c>
      <c r="E416" s="2" t="s">
        <v>2517</v>
      </c>
      <c r="F416" s="3">
        <v>67904</v>
      </c>
      <c r="G416" s="3">
        <v>4821</v>
      </c>
      <c r="H416" s="3">
        <v>298</v>
      </c>
      <c r="I416" s="4">
        <v>8124.61</v>
      </c>
      <c r="J416" s="4">
        <v>7316.18</v>
      </c>
      <c r="K416" s="3">
        <v>189</v>
      </c>
      <c r="L416" s="2" t="s">
        <v>2539</v>
      </c>
      <c r="M416" s="2" t="s">
        <v>2519</v>
      </c>
    </row>
    <row r="417" spans="1:13" x14ac:dyDescent="0.3">
      <c r="A417" s="1">
        <v>45881</v>
      </c>
      <c r="B417" s="2" t="s">
        <v>2616</v>
      </c>
      <c r="C417" s="2" t="s">
        <v>2521</v>
      </c>
      <c r="D417" s="2" t="s">
        <v>2528</v>
      </c>
      <c r="E417" s="2" t="s">
        <v>2517</v>
      </c>
      <c r="F417" s="3">
        <v>60851</v>
      </c>
      <c r="G417" s="3">
        <v>1526</v>
      </c>
      <c r="H417" s="3">
        <v>76</v>
      </c>
      <c r="I417" s="4">
        <v>333.86</v>
      </c>
      <c r="J417" s="4">
        <v>14129.53</v>
      </c>
      <c r="K417" s="3">
        <v>61</v>
      </c>
      <c r="L417" s="2" t="s">
        <v>2539</v>
      </c>
      <c r="M417" s="2" t="s">
        <v>2524</v>
      </c>
    </row>
    <row r="418" spans="1:13" x14ac:dyDescent="0.3">
      <c r="A418" s="1">
        <v>45888</v>
      </c>
      <c r="B418" s="2" t="s">
        <v>2640</v>
      </c>
      <c r="C418" s="2" t="s">
        <v>2541</v>
      </c>
      <c r="D418" s="2" t="s">
        <v>2516</v>
      </c>
      <c r="E418" s="2" t="s">
        <v>2529</v>
      </c>
      <c r="F418" s="3">
        <v>21969</v>
      </c>
      <c r="G418" s="3">
        <v>1041</v>
      </c>
      <c r="H418" s="3">
        <v>49</v>
      </c>
      <c r="I418" s="4">
        <v>1918.27</v>
      </c>
      <c r="J418" s="4">
        <v>2985.65</v>
      </c>
      <c r="K418" s="3">
        <v>40</v>
      </c>
      <c r="L418" s="2" t="s">
        <v>2539</v>
      </c>
      <c r="M418" s="2" t="s">
        <v>2546</v>
      </c>
    </row>
    <row r="419" spans="1:13" x14ac:dyDescent="0.3">
      <c r="A419" s="1">
        <v>45817</v>
      </c>
      <c r="B419" s="2" t="s">
        <v>2633</v>
      </c>
      <c r="C419" s="2" t="s">
        <v>2521</v>
      </c>
      <c r="D419" s="2" t="s">
        <v>2528</v>
      </c>
      <c r="E419" s="2" t="s">
        <v>2529</v>
      </c>
      <c r="F419" s="3">
        <v>173451</v>
      </c>
      <c r="G419" s="3">
        <v>13725</v>
      </c>
      <c r="H419" s="3">
        <v>790</v>
      </c>
      <c r="I419" s="4">
        <v>8034.93</v>
      </c>
      <c r="J419" s="4">
        <v>97812.09</v>
      </c>
      <c r="K419" s="3">
        <v>611</v>
      </c>
      <c r="L419" s="2" t="s">
        <v>2518</v>
      </c>
      <c r="M419" s="2" t="s">
        <v>2519</v>
      </c>
    </row>
    <row r="420" spans="1:13" x14ac:dyDescent="0.3">
      <c r="A420" s="1">
        <v>46001</v>
      </c>
      <c r="B420" s="2" t="s">
        <v>2617</v>
      </c>
      <c r="C420" s="2" t="s">
        <v>2521</v>
      </c>
      <c r="D420" s="2" t="s">
        <v>2528</v>
      </c>
      <c r="E420" s="2" t="s">
        <v>2534</v>
      </c>
      <c r="F420" s="3">
        <v>27569</v>
      </c>
      <c r="G420" s="3">
        <v>1601</v>
      </c>
      <c r="H420" s="3">
        <v>190</v>
      </c>
      <c r="I420" s="4">
        <v>1809.8</v>
      </c>
      <c r="J420" s="4">
        <v>31917.69</v>
      </c>
      <c r="K420" s="3">
        <v>113</v>
      </c>
      <c r="L420" s="2" t="s">
        <v>2523</v>
      </c>
      <c r="M420" s="2" t="s">
        <v>2526</v>
      </c>
    </row>
    <row r="421" spans="1:13" x14ac:dyDescent="0.3">
      <c r="A421" s="1">
        <v>45791</v>
      </c>
      <c r="B421" s="2" t="s">
        <v>2619</v>
      </c>
      <c r="C421" s="2" t="s">
        <v>2543</v>
      </c>
      <c r="D421" s="2" t="s">
        <v>2522</v>
      </c>
      <c r="E421" s="2" t="s">
        <v>2517</v>
      </c>
      <c r="F421" s="3">
        <v>116427</v>
      </c>
      <c r="G421" s="3">
        <v>6459</v>
      </c>
      <c r="H421" s="3">
        <v>753</v>
      </c>
      <c r="I421" s="4">
        <v>2914.31</v>
      </c>
      <c r="J421" s="4">
        <v>61557.71</v>
      </c>
      <c r="K421" s="3">
        <v>438</v>
      </c>
      <c r="L421" s="2" t="s">
        <v>2523</v>
      </c>
      <c r="M421" s="2" t="s">
        <v>2537</v>
      </c>
    </row>
    <row r="422" spans="1:13" x14ac:dyDescent="0.3">
      <c r="A422" s="1">
        <v>45814</v>
      </c>
      <c r="B422" s="2" t="s">
        <v>2617</v>
      </c>
      <c r="C422" s="2" t="s">
        <v>2521</v>
      </c>
      <c r="D422" s="2" t="s">
        <v>2528</v>
      </c>
      <c r="E422" s="2" t="s">
        <v>2517</v>
      </c>
      <c r="F422" s="3">
        <v>78135</v>
      </c>
      <c r="G422" s="3">
        <v>5223</v>
      </c>
      <c r="H422" s="3">
        <v>128</v>
      </c>
      <c r="I422" s="4">
        <v>5918.46</v>
      </c>
      <c r="J422" s="4">
        <v>23620.09</v>
      </c>
      <c r="K422" s="3">
        <v>82</v>
      </c>
      <c r="L422" s="2" t="s">
        <v>2536</v>
      </c>
      <c r="M422" s="2" t="s">
        <v>2526</v>
      </c>
    </row>
    <row r="423" spans="1:13" x14ac:dyDescent="0.3">
      <c r="A423" s="1">
        <v>45669</v>
      </c>
      <c r="B423" s="2" t="s">
        <v>2630</v>
      </c>
      <c r="C423" s="2" t="s">
        <v>2521</v>
      </c>
      <c r="D423" s="2" t="s">
        <v>2531</v>
      </c>
      <c r="E423" s="2" t="s">
        <v>2529</v>
      </c>
      <c r="F423" s="3">
        <v>134369</v>
      </c>
      <c r="G423" s="3">
        <v>8040</v>
      </c>
      <c r="H423" s="3">
        <v>427</v>
      </c>
      <c r="I423" s="4">
        <v>13056.82</v>
      </c>
      <c r="J423" s="4">
        <v>80392.05</v>
      </c>
      <c r="K423" s="3">
        <v>266</v>
      </c>
      <c r="L423" s="2" t="s">
        <v>2536</v>
      </c>
      <c r="M423" s="2" t="s">
        <v>2537</v>
      </c>
    </row>
    <row r="424" spans="1:13" x14ac:dyDescent="0.3">
      <c r="A424" s="1">
        <v>45836</v>
      </c>
      <c r="B424" s="2" t="s">
        <v>2618</v>
      </c>
      <c r="C424" s="2" t="s">
        <v>2541</v>
      </c>
      <c r="D424" s="2" t="s">
        <v>2531</v>
      </c>
      <c r="E424" s="2" t="s">
        <v>2517</v>
      </c>
      <c r="F424" s="3">
        <v>47711</v>
      </c>
      <c r="G424" s="3">
        <v>894</v>
      </c>
      <c r="H424" s="3">
        <v>84</v>
      </c>
      <c r="I424" s="4">
        <v>268.14999999999998</v>
      </c>
      <c r="J424" s="4">
        <v>3265.59</v>
      </c>
      <c r="K424" s="3">
        <v>43</v>
      </c>
      <c r="L424" s="2" t="s">
        <v>2536</v>
      </c>
      <c r="M424" s="2" t="s">
        <v>2526</v>
      </c>
    </row>
    <row r="425" spans="1:13" x14ac:dyDescent="0.3">
      <c r="A425" s="1">
        <v>45756</v>
      </c>
      <c r="B425" s="2" t="s">
        <v>2642</v>
      </c>
      <c r="C425" s="2" t="s">
        <v>2527</v>
      </c>
      <c r="D425" s="2" t="s">
        <v>2528</v>
      </c>
      <c r="E425" s="2" t="s">
        <v>2534</v>
      </c>
      <c r="F425" s="3">
        <v>94135</v>
      </c>
      <c r="G425" s="3">
        <v>8436</v>
      </c>
      <c r="H425" s="3">
        <v>763</v>
      </c>
      <c r="I425" s="4">
        <v>6389.71</v>
      </c>
      <c r="J425" s="4">
        <v>87038.18</v>
      </c>
      <c r="K425" s="3">
        <v>617</v>
      </c>
      <c r="L425" s="2" t="s">
        <v>2539</v>
      </c>
      <c r="M425" s="2" t="s">
        <v>2519</v>
      </c>
    </row>
    <row r="426" spans="1:13" x14ac:dyDescent="0.3">
      <c r="A426" s="1">
        <v>45667</v>
      </c>
      <c r="B426" s="2" t="s">
        <v>2633</v>
      </c>
      <c r="C426" s="2" t="s">
        <v>2521</v>
      </c>
      <c r="D426" s="2" t="s">
        <v>2522</v>
      </c>
      <c r="E426" s="2" t="s">
        <v>2517</v>
      </c>
      <c r="F426" s="3">
        <v>156784</v>
      </c>
      <c r="G426" s="3">
        <v>12189</v>
      </c>
      <c r="H426" s="3">
        <v>1133</v>
      </c>
      <c r="I426" s="4">
        <v>21486.76</v>
      </c>
      <c r="J426" s="4">
        <v>61293.279999999999</v>
      </c>
      <c r="K426" s="3">
        <v>957</v>
      </c>
      <c r="L426" s="2" t="s">
        <v>2523</v>
      </c>
      <c r="M426" s="2" t="s">
        <v>2537</v>
      </c>
    </row>
    <row r="427" spans="1:13" x14ac:dyDescent="0.3">
      <c r="A427" s="1">
        <v>46004</v>
      </c>
      <c r="B427" s="2" t="s">
        <v>2620</v>
      </c>
      <c r="C427" s="2" t="s">
        <v>2543</v>
      </c>
      <c r="D427" s="2" t="s">
        <v>2528</v>
      </c>
      <c r="E427" s="2" t="s">
        <v>2529</v>
      </c>
      <c r="F427" s="3">
        <v>25611</v>
      </c>
      <c r="G427" s="3">
        <v>2071</v>
      </c>
      <c r="H427" s="3">
        <v>43</v>
      </c>
      <c r="I427" s="4">
        <v>4220.7</v>
      </c>
      <c r="J427" s="4">
        <v>7609.47</v>
      </c>
      <c r="K427" s="3">
        <v>21</v>
      </c>
      <c r="L427" s="2" t="s">
        <v>2536</v>
      </c>
      <c r="M427" s="2" t="s">
        <v>2537</v>
      </c>
    </row>
    <row r="428" spans="1:13" x14ac:dyDescent="0.3">
      <c r="A428" s="1">
        <v>45731</v>
      </c>
      <c r="B428" s="2" t="s">
        <v>2632</v>
      </c>
      <c r="C428" s="2" t="s">
        <v>2533</v>
      </c>
      <c r="D428" s="2" t="s">
        <v>2528</v>
      </c>
      <c r="E428" s="2" t="s">
        <v>2529</v>
      </c>
      <c r="F428" s="3">
        <v>40730</v>
      </c>
      <c r="G428" s="3">
        <v>3636</v>
      </c>
      <c r="H428" s="3">
        <v>381</v>
      </c>
      <c r="I428" s="4">
        <v>4781.92</v>
      </c>
      <c r="J428" s="4">
        <v>63941.7</v>
      </c>
      <c r="K428" s="3">
        <v>308</v>
      </c>
      <c r="L428" s="2" t="s">
        <v>2536</v>
      </c>
      <c r="M428" s="2" t="s">
        <v>2546</v>
      </c>
    </row>
    <row r="429" spans="1:13" x14ac:dyDescent="0.3">
      <c r="A429" s="1">
        <v>45694</v>
      </c>
      <c r="B429" s="2" t="s">
        <v>2632</v>
      </c>
      <c r="C429" s="2" t="s">
        <v>2533</v>
      </c>
      <c r="D429" s="2" t="s">
        <v>2516</v>
      </c>
      <c r="E429" s="2" t="s">
        <v>2517</v>
      </c>
      <c r="F429" s="3">
        <v>87539</v>
      </c>
      <c r="G429" s="3">
        <v>1841</v>
      </c>
      <c r="H429" s="3">
        <v>185</v>
      </c>
      <c r="I429" s="4">
        <v>1910.38</v>
      </c>
      <c r="J429" s="4">
        <v>22123.87</v>
      </c>
      <c r="K429" s="3">
        <v>137</v>
      </c>
      <c r="L429" s="2" t="s">
        <v>2536</v>
      </c>
      <c r="M429" s="2" t="s">
        <v>2519</v>
      </c>
    </row>
    <row r="430" spans="1:13" x14ac:dyDescent="0.3">
      <c r="A430" s="1">
        <v>45955</v>
      </c>
      <c r="B430" s="2" t="s">
        <v>2615</v>
      </c>
      <c r="C430" s="2" t="s">
        <v>2541</v>
      </c>
      <c r="D430" s="2" t="s">
        <v>2528</v>
      </c>
      <c r="E430" s="2" t="s">
        <v>2517</v>
      </c>
      <c r="F430" s="3">
        <v>44272</v>
      </c>
      <c r="G430" s="3">
        <v>2043</v>
      </c>
      <c r="H430" s="3">
        <v>195</v>
      </c>
      <c r="I430" s="4">
        <v>3078</v>
      </c>
      <c r="J430" s="4">
        <v>41792.660000000003</v>
      </c>
      <c r="K430" s="3">
        <v>113</v>
      </c>
      <c r="L430" s="2" t="s">
        <v>2518</v>
      </c>
      <c r="M430" s="2" t="s">
        <v>2524</v>
      </c>
    </row>
    <row r="431" spans="1:13" x14ac:dyDescent="0.3">
      <c r="A431" s="1">
        <v>45849</v>
      </c>
      <c r="B431" s="2" t="s">
        <v>2642</v>
      </c>
      <c r="C431" s="2" t="s">
        <v>2533</v>
      </c>
      <c r="D431" s="2" t="s">
        <v>2528</v>
      </c>
      <c r="E431" s="2" t="s">
        <v>2529</v>
      </c>
      <c r="F431" s="3">
        <v>115801</v>
      </c>
      <c r="G431" s="3">
        <v>6196</v>
      </c>
      <c r="H431" s="3">
        <v>675</v>
      </c>
      <c r="I431" s="4">
        <v>4076.09</v>
      </c>
      <c r="J431" s="4">
        <v>33277.96</v>
      </c>
      <c r="K431" s="3">
        <v>431</v>
      </c>
      <c r="L431" s="2" t="s">
        <v>2539</v>
      </c>
      <c r="M431" s="2" t="s">
        <v>2524</v>
      </c>
    </row>
    <row r="432" spans="1:13" x14ac:dyDescent="0.3">
      <c r="A432" s="1">
        <v>45832</v>
      </c>
      <c r="B432" s="2" t="s">
        <v>2637</v>
      </c>
      <c r="C432" s="2" t="s">
        <v>2541</v>
      </c>
      <c r="D432" s="2" t="s">
        <v>2528</v>
      </c>
      <c r="E432" s="2" t="s">
        <v>2534</v>
      </c>
      <c r="F432" s="3">
        <v>105120</v>
      </c>
      <c r="G432" s="3">
        <v>2170</v>
      </c>
      <c r="H432" s="3">
        <v>229</v>
      </c>
      <c r="I432" s="4">
        <v>4271.96</v>
      </c>
      <c r="J432" s="4">
        <v>50132.56</v>
      </c>
      <c r="K432" s="3">
        <v>183</v>
      </c>
      <c r="L432" s="2" t="s">
        <v>2536</v>
      </c>
      <c r="M432" s="2" t="s">
        <v>2546</v>
      </c>
    </row>
    <row r="433" spans="1:13" x14ac:dyDescent="0.3">
      <c r="A433" s="1">
        <v>45918</v>
      </c>
      <c r="B433" s="2" t="s">
        <v>2625</v>
      </c>
      <c r="C433" s="2" t="s">
        <v>2515</v>
      </c>
      <c r="D433" s="2" t="s">
        <v>2516</v>
      </c>
      <c r="E433" s="2" t="s">
        <v>2529</v>
      </c>
      <c r="F433" s="3">
        <v>143256</v>
      </c>
      <c r="G433" s="3">
        <v>10691</v>
      </c>
      <c r="H433" s="3">
        <v>273</v>
      </c>
      <c r="I433" s="4">
        <v>6904.85</v>
      </c>
      <c r="J433" s="4">
        <v>19851.86</v>
      </c>
      <c r="K433" s="3">
        <v>188</v>
      </c>
      <c r="L433" s="2" t="s">
        <v>2523</v>
      </c>
      <c r="M433" s="2" t="s">
        <v>2546</v>
      </c>
    </row>
    <row r="434" spans="1:13" x14ac:dyDescent="0.3">
      <c r="A434" s="1">
        <v>45996</v>
      </c>
      <c r="B434" s="2" t="s">
        <v>2627</v>
      </c>
      <c r="C434" s="2" t="s">
        <v>2527</v>
      </c>
      <c r="D434" s="2" t="s">
        <v>2531</v>
      </c>
      <c r="E434" s="2" t="s">
        <v>2529</v>
      </c>
      <c r="F434" s="3">
        <v>99547</v>
      </c>
      <c r="G434" s="3">
        <v>7401</v>
      </c>
      <c r="H434" s="3">
        <v>292</v>
      </c>
      <c r="I434" s="4">
        <v>10224.870000000001</v>
      </c>
      <c r="J434" s="4">
        <v>35197.199999999997</v>
      </c>
      <c r="K434" s="3">
        <v>185</v>
      </c>
      <c r="L434" s="2" t="s">
        <v>2523</v>
      </c>
      <c r="M434" s="2" t="s">
        <v>2519</v>
      </c>
    </row>
    <row r="435" spans="1:13" x14ac:dyDescent="0.3">
      <c r="A435" s="1">
        <v>45908</v>
      </c>
      <c r="B435" s="2" t="s">
        <v>2638</v>
      </c>
      <c r="C435" s="2" t="s">
        <v>2515</v>
      </c>
      <c r="D435" s="2" t="s">
        <v>2528</v>
      </c>
      <c r="E435" s="2" t="s">
        <v>2517</v>
      </c>
      <c r="F435" s="3">
        <v>167919</v>
      </c>
      <c r="G435" s="3">
        <v>1854</v>
      </c>
      <c r="H435" s="3">
        <v>32</v>
      </c>
      <c r="I435" s="4">
        <v>3041.75</v>
      </c>
      <c r="J435" s="4">
        <v>2328.15</v>
      </c>
      <c r="K435" s="3">
        <v>23</v>
      </c>
      <c r="L435" s="2" t="s">
        <v>2518</v>
      </c>
      <c r="M435" s="2" t="s">
        <v>2524</v>
      </c>
    </row>
    <row r="436" spans="1:13" x14ac:dyDescent="0.3">
      <c r="A436" s="1">
        <v>45661</v>
      </c>
      <c r="B436" s="2" t="s">
        <v>2629</v>
      </c>
      <c r="C436" s="2" t="s">
        <v>2527</v>
      </c>
      <c r="D436" s="2" t="s">
        <v>2528</v>
      </c>
      <c r="E436" s="2" t="s">
        <v>2517</v>
      </c>
      <c r="F436" s="3">
        <v>170089</v>
      </c>
      <c r="G436" s="3">
        <v>12604</v>
      </c>
      <c r="H436" s="3">
        <v>1055</v>
      </c>
      <c r="I436" s="4">
        <v>26436.6</v>
      </c>
      <c r="J436" s="4">
        <v>209689.75</v>
      </c>
      <c r="K436" s="3">
        <v>706</v>
      </c>
      <c r="L436" s="2" t="s">
        <v>2518</v>
      </c>
      <c r="M436" s="2" t="s">
        <v>2519</v>
      </c>
    </row>
    <row r="437" spans="1:13" x14ac:dyDescent="0.3">
      <c r="A437" s="1">
        <v>45766</v>
      </c>
      <c r="B437" s="2" t="s">
        <v>2640</v>
      </c>
      <c r="C437" s="2" t="s">
        <v>2533</v>
      </c>
      <c r="D437" s="2" t="s">
        <v>2516</v>
      </c>
      <c r="E437" s="2" t="s">
        <v>2534</v>
      </c>
      <c r="F437" s="3">
        <v>101989</v>
      </c>
      <c r="G437" s="3">
        <v>4324</v>
      </c>
      <c r="H437" s="3">
        <v>366</v>
      </c>
      <c r="I437" s="4">
        <v>4400.8599999999997</v>
      </c>
      <c r="J437" s="4">
        <v>19356.11</v>
      </c>
      <c r="K437" s="3">
        <v>293</v>
      </c>
      <c r="L437" s="2" t="s">
        <v>2536</v>
      </c>
      <c r="M437" s="2" t="s">
        <v>2526</v>
      </c>
    </row>
    <row r="438" spans="1:13" x14ac:dyDescent="0.3">
      <c r="A438" s="1">
        <v>45781</v>
      </c>
      <c r="B438" s="2" t="s">
        <v>2632</v>
      </c>
      <c r="C438" s="2" t="s">
        <v>2543</v>
      </c>
      <c r="D438" s="2" t="s">
        <v>2525</v>
      </c>
      <c r="E438" s="2" t="s">
        <v>2529</v>
      </c>
      <c r="F438" s="3">
        <v>163343</v>
      </c>
      <c r="G438" s="3">
        <v>3081</v>
      </c>
      <c r="H438" s="3">
        <v>329</v>
      </c>
      <c r="I438" s="4">
        <v>5992.97</v>
      </c>
      <c r="J438" s="4">
        <v>56078.12</v>
      </c>
      <c r="K438" s="3">
        <v>236</v>
      </c>
      <c r="L438" s="2" t="s">
        <v>2539</v>
      </c>
      <c r="M438" s="2" t="s">
        <v>2526</v>
      </c>
    </row>
    <row r="439" spans="1:13" x14ac:dyDescent="0.3">
      <c r="A439" s="1">
        <v>45666</v>
      </c>
      <c r="B439" s="2" t="s">
        <v>2626</v>
      </c>
      <c r="C439" s="2" t="s">
        <v>2533</v>
      </c>
      <c r="D439" s="2" t="s">
        <v>2528</v>
      </c>
      <c r="E439" s="2" t="s">
        <v>2529</v>
      </c>
      <c r="F439" s="3">
        <v>37704</v>
      </c>
      <c r="G439" s="3">
        <v>1830</v>
      </c>
      <c r="H439" s="3">
        <v>232</v>
      </c>
      <c r="I439" s="4">
        <v>1541.86</v>
      </c>
      <c r="J439" s="4">
        <v>6678.72</v>
      </c>
      <c r="K439" s="3">
        <v>170</v>
      </c>
      <c r="L439" s="2" t="s">
        <v>2539</v>
      </c>
      <c r="M439" s="2" t="s">
        <v>2546</v>
      </c>
    </row>
    <row r="440" spans="1:13" x14ac:dyDescent="0.3">
      <c r="A440" s="1">
        <v>45934</v>
      </c>
      <c r="B440" s="2" t="s">
        <v>2622</v>
      </c>
      <c r="C440" s="2" t="s">
        <v>2543</v>
      </c>
      <c r="D440" s="2" t="s">
        <v>2525</v>
      </c>
      <c r="E440" s="2" t="s">
        <v>2529</v>
      </c>
      <c r="F440" s="3">
        <v>98300</v>
      </c>
      <c r="G440" s="3">
        <v>4012</v>
      </c>
      <c r="H440" s="3">
        <v>436</v>
      </c>
      <c r="I440" s="4">
        <v>7101.02</v>
      </c>
      <c r="J440" s="4">
        <v>51097.13</v>
      </c>
      <c r="K440" s="3">
        <v>253</v>
      </c>
      <c r="L440" s="2" t="s">
        <v>2539</v>
      </c>
      <c r="M440" s="2" t="s">
        <v>2519</v>
      </c>
    </row>
    <row r="441" spans="1:13" x14ac:dyDescent="0.3">
      <c r="A441" s="1">
        <v>45728</v>
      </c>
      <c r="B441" s="2" t="s">
        <v>2637</v>
      </c>
      <c r="C441" s="2" t="s">
        <v>2515</v>
      </c>
      <c r="D441" s="2" t="s">
        <v>2528</v>
      </c>
      <c r="E441" s="2" t="s">
        <v>2529</v>
      </c>
      <c r="F441" s="3">
        <v>37178</v>
      </c>
      <c r="G441" s="3">
        <v>688</v>
      </c>
      <c r="H441" s="3">
        <v>78</v>
      </c>
      <c r="I441" s="4">
        <v>71.44</v>
      </c>
      <c r="J441" s="4">
        <v>2202.84</v>
      </c>
      <c r="K441" s="3">
        <v>64</v>
      </c>
      <c r="L441" s="2" t="s">
        <v>2536</v>
      </c>
      <c r="M441" s="2" t="s">
        <v>2519</v>
      </c>
    </row>
    <row r="442" spans="1:13" x14ac:dyDescent="0.3">
      <c r="A442" s="1">
        <v>46010</v>
      </c>
      <c r="B442" s="2" t="s">
        <v>2626</v>
      </c>
      <c r="C442" s="2" t="s">
        <v>2543</v>
      </c>
      <c r="D442" s="2" t="s">
        <v>2528</v>
      </c>
      <c r="E442" s="2" t="s">
        <v>2529</v>
      </c>
      <c r="F442" s="3">
        <v>20305</v>
      </c>
      <c r="G442" s="3">
        <v>818</v>
      </c>
      <c r="H442" s="3">
        <v>70</v>
      </c>
      <c r="I442" s="4">
        <v>1507.51</v>
      </c>
      <c r="J442" s="4">
        <v>12332.9</v>
      </c>
      <c r="K442" s="3">
        <v>36</v>
      </c>
      <c r="L442" s="2" t="s">
        <v>2539</v>
      </c>
      <c r="M442" s="2" t="s">
        <v>2526</v>
      </c>
    </row>
    <row r="443" spans="1:13" x14ac:dyDescent="0.3">
      <c r="A443" s="1">
        <v>45782</v>
      </c>
      <c r="B443" s="2" t="s">
        <v>2640</v>
      </c>
      <c r="C443" s="2" t="s">
        <v>2527</v>
      </c>
      <c r="D443" s="2" t="s">
        <v>2516</v>
      </c>
      <c r="E443" s="2" t="s">
        <v>2517</v>
      </c>
      <c r="F443" s="3">
        <v>35325</v>
      </c>
      <c r="G443" s="3">
        <v>2472</v>
      </c>
      <c r="H443" s="3">
        <v>308</v>
      </c>
      <c r="I443" s="4">
        <v>3375</v>
      </c>
      <c r="J443" s="4">
        <v>14283.69</v>
      </c>
      <c r="K443" s="3">
        <v>201</v>
      </c>
      <c r="L443" s="2" t="s">
        <v>2523</v>
      </c>
      <c r="M443" s="2" t="s">
        <v>2519</v>
      </c>
    </row>
    <row r="444" spans="1:13" x14ac:dyDescent="0.3">
      <c r="A444" s="1">
        <v>45917</v>
      </c>
      <c r="B444" s="2" t="s">
        <v>2633</v>
      </c>
      <c r="C444" s="2" t="s">
        <v>2543</v>
      </c>
      <c r="D444" s="2" t="s">
        <v>2531</v>
      </c>
      <c r="E444" s="2" t="s">
        <v>2529</v>
      </c>
      <c r="F444" s="3">
        <v>152185</v>
      </c>
      <c r="G444" s="3">
        <v>4715</v>
      </c>
      <c r="H444" s="3">
        <v>384</v>
      </c>
      <c r="I444" s="4">
        <v>6919.95</v>
      </c>
      <c r="J444" s="4">
        <v>9966.42</v>
      </c>
      <c r="K444" s="3">
        <v>282</v>
      </c>
      <c r="L444" s="2" t="s">
        <v>2523</v>
      </c>
      <c r="M444" s="2" t="s">
        <v>2524</v>
      </c>
    </row>
    <row r="445" spans="1:13" x14ac:dyDescent="0.3">
      <c r="A445" s="1">
        <v>45884</v>
      </c>
      <c r="B445" s="2" t="s">
        <v>2643</v>
      </c>
      <c r="C445" s="2" t="s">
        <v>2527</v>
      </c>
      <c r="D445" s="2" t="s">
        <v>2528</v>
      </c>
      <c r="E445" s="2" t="s">
        <v>2529</v>
      </c>
      <c r="F445" s="3">
        <v>18638</v>
      </c>
      <c r="G445" s="3">
        <v>449</v>
      </c>
      <c r="H445" s="3">
        <v>19</v>
      </c>
      <c r="I445" s="4">
        <v>719.5</v>
      </c>
      <c r="J445" s="4">
        <v>695.54</v>
      </c>
      <c r="K445" s="3">
        <v>15</v>
      </c>
      <c r="L445" s="2" t="s">
        <v>2536</v>
      </c>
      <c r="M445" s="2" t="s">
        <v>2546</v>
      </c>
    </row>
    <row r="446" spans="1:13" x14ac:dyDescent="0.3">
      <c r="A446" s="1">
        <v>45681</v>
      </c>
      <c r="B446" s="2" t="s">
        <v>2620</v>
      </c>
      <c r="C446" s="2" t="s">
        <v>2527</v>
      </c>
      <c r="D446" s="2" t="s">
        <v>2528</v>
      </c>
      <c r="E446" s="2" t="s">
        <v>2529</v>
      </c>
      <c r="F446" s="3">
        <v>109206</v>
      </c>
      <c r="G446" s="3">
        <v>2154</v>
      </c>
      <c r="H446" s="3">
        <v>184</v>
      </c>
      <c r="I446" s="4">
        <v>1098.24</v>
      </c>
      <c r="J446" s="4">
        <v>12390.83</v>
      </c>
      <c r="K446" s="3">
        <v>149</v>
      </c>
      <c r="L446" s="2" t="s">
        <v>2539</v>
      </c>
      <c r="M446" s="2" t="s">
        <v>2526</v>
      </c>
    </row>
    <row r="447" spans="1:13" x14ac:dyDescent="0.3">
      <c r="A447" s="1">
        <v>45917</v>
      </c>
      <c r="B447" s="2" t="s">
        <v>2635</v>
      </c>
      <c r="C447" s="2" t="s">
        <v>2541</v>
      </c>
      <c r="D447" s="2" t="s">
        <v>2528</v>
      </c>
      <c r="E447" s="2" t="s">
        <v>2529</v>
      </c>
      <c r="F447" s="3">
        <v>85965</v>
      </c>
      <c r="G447" s="3">
        <v>7604</v>
      </c>
      <c r="H447" s="3">
        <v>978</v>
      </c>
      <c r="I447" s="4">
        <v>3516.33</v>
      </c>
      <c r="J447" s="4">
        <v>27733.89</v>
      </c>
      <c r="K447" s="3">
        <v>627</v>
      </c>
      <c r="L447" s="2" t="s">
        <v>2539</v>
      </c>
      <c r="M447" s="2" t="s">
        <v>2537</v>
      </c>
    </row>
    <row r="448" spans="1:13" x14ac:dyDescent="0.3">
      <c r="A448" s="1">
        <v>45788</v>
      </c>
      <c r="B448" s="2" t="s">
        <v>2622</v>
      </c>
      <c r="C448" s="2" t="s">
        <v>2541</v>
      </c>
      <c r="D448" s="2" t="s">
        <v>2528</v>
      </c>
      <c r="E448" s="2" t="s">
        <v>2517</v>
      </c>
      <c r="F448" s="3">
        <v>22266</v>
      </c>
      <c r="G448" s="3">
        <v>334</v>
      </c>
      <c r="H448" s="3">
        <v>15</v>
      </c>
      <c r="I448" s="4">
        <v>329.4</v>
      </c>
      <c r="J448" s="4">
        <v>2006.3</v>
      </c>
      <c r="K448" s="3">
        <v>12</v>
      </c>
      <c r="L448" s="2" t="s">
        <v>2523</v>
      </c>
      <c r="M448" s="2" t="s">
        <v>2524</v>
      </c>
    </row>
    <row r="449" spans="1:13" x14ac:dyDescent="0.3">
      <c r="A449" s="1">
        <v>45886</v>
      </c>
      <c r="B449" s="2" t="s">
        <v>2619</v>
      </c>
      <c r="C449" s="2" t="s">
        <v>2543</v>
      </c>
      <c r="D449" s="2" t="s">
        <v>2528</v>
      </c>
      <c r="E449" s="2" t="s">
        <v>2529</v>
      </c>
      <c r="F449" s="3">
        <v>126353</v>
      </c>
      <c r="G449" s="3">
        <v>7459</v>
      </c>
      <c r="H449" s="3">
        <v>420</v>
      </c>
      <c r="I449" s="4">
        <v>14410.49</v>
      </c>
      <c r="J449" s="4">
        <v>69168.399999999994</v>
      </c>
      <c r="K449" s="3">
        <v>271</v>
      </c>
      <c r="L449" s="2" t="s">
        <v>2523</v>
      </c>
      <c r="M449" s="2" t="s">
        <v>2546</v>
      </c>
    </row>
    <row r="450" spans="1:13" x14ac:dyDescent="0.3">
      <c r="A450" s="1">
        <v>46016</v>
      </c>
      <c r="B450" s="2" t="s">
        <v>2627</v>
      </c>
      <c r="C450" s="2" t="s">
        <v>2527</v>
      </c>
      <c r="D450" s="2" t="s">
        <v>2531</v>
      </c>
      <c r="E450" s="2" t="s">
        <v>2529</v>
      </c>
      <c r="F450" s="3">
        <v>167064</v>
      </c>
      <c r="G450" s="3">
        <v>9010</v>
      </c>
      <c r="H450" s="3">
        <v>585</v>
      </c>
      <c r="I450" s="4">
        <v>1844.62</v>
      </c>
      <c r="J450" s="4">
        <v>57698.74</v>
      </c>
      <c r="K450" s="3">
        <v>296</v>
      </c>
      <c r="L450" s="2" t="s">
        <v>2523</v>
      </c>
      <c r="M450" s="2" t="s">
        <v>2526</v>
      </c>
    </row>
    <row r="451" spans="1:13" x14ac:dyDescent="0.3">
      <c r="A451" s="1">
        <v>45666</v>
      </c>
      <c r="B451" s="2" t="s">
        <v>2617</v>
      </c>
      <c r="C451" s="2" t="s">
        <v>2521</v>
      </c>
      <c r="D451" s="2" t="s">
        <v>2528</v>
      </c>
      <c r="E451" s="2" t="s">
        <v>2529</v>
      </c>
      <c r="F451" s="3">
        <v>101149</v>
      </c>
      <c r="G451" s="3">
        <v>1079</v>
      </c>
      <c r="H451" s="3">
        <v>97</v>
      </c>
      <c r="I451" s="4">
        <v>185.84</v>
      </c>
      <c r="J451" s="4">
        <v>11389.97</v>
      </c>
      <c r="K451" s="3">
        <v>60</v>
      </c>
      <c r="L451" s="2" t="s">
        <v>2518</v>
      </c>
      <c r="M451" s="2" t="s">
        <v>2546</v>
      </c>
    </row>
    <row r="452" spans="1:13" x14ac:dyDescent="0.3">
      <c r="A452" s="1">
        <v>45806</v>
      </c>
      <c r="B452" s="2" t="s">
        <v>2621</v>
      </c>
      <c r="C452" s="2" t="s">
        <v>2543</v>
      </c>
      <c r="D452" s="2" t="s">
        <v>2528</v>
      </c>
      <c r="E452" s="2" t="s">
        <v>2517</v>
      </c>
      <c r="F452" s="3">
        <v>97102</v>
      </c>
      <c r="G452" s="3">
        <v>8187</v>
      </c>
      <c r="H452" s="3">
        <v>807</v>
      </c>
      <c r="I452" s="4">
        <v>16591.560000000001</v>
      </c>
      <c r="J452" s="4">
        <v>163037.92000000001</v>
      </c>
      <c r="K452" s="3">
        <v>569</v>
      </c>
      <c r="L452" s="2" t="s">
        <v>2539</v>
      </c>
      <c r="M452" s="2" t="s">
        <v>2524</v>
      </c>
    </row>
    <row r="453" spans="1:13" x14ac:dyDescent="0.3">
      <c r="A453" s="1">
        <v>45867</v>
      </c>
      <c r="B453" s="2" t="s">
        <v>2638</v>
      </c>
      <c r="C453" s="2" t="s">
        <v>2515</v>
      </c>
      <c r="D453" s="2" t="s">
        <v>2531</v>
      </c>
      <c r="E453" s="2" t="s">
        <v>2529</v>
      </c>
      <c r="F453" s="3">
        <v>88493</v>
      </c>
      <c r="G453" s="3">
        <v>670</v>
      </c>
      <c r="H453" s="3">
        <v>58</v>
      </c>
      <c r="I453" s="4">
        <v>984.3</v>
      </c>
      <c r="J453" s="4">
        <v>11436.83</v>
      </c>
      <c r="K453" s="3">
        <v>38</v>
      </c>
      <c r="L453" s="2" t="s">
        <v>2518</v>
      </c>
      <c r="M453" s="2" t="s">
        <v>2546</v>
      </c>
    </row>
    <row r="454" spans="1:13" x14ac:dyDescent="0.3">
      <c r="A454" s="1">
        <v>45839</v>
      </c>
      <c r="B454" s="2" t="s">
        <v>2628</v>
      </c>
      <c r="C454" s="2" t="s">
        <v>2521</v>
      </c>
      <c r="D454" s="2" t="s">
        <v>2528</v>
      </c>
      <c r="E454" s="2" t="s">
        <v>2517</v>
      </c>
      <c r="F454" s="3">
        <v>33457</v>
      </c>
      <c r="G454" s="3">
        <v>878</v>
      </c>
      <c r="H454" s="3">
        <v>49</v>
      </c>
      <c r="I454" s="4">
        <v>478.79</v>
      </c>
      <c r="J454" s="4">
        <v>7836.19</v>
      </c>
      <c r="K454" s="3">
        <v>22</v>
      </c>
      <c r="L454" s="2" t="s">
        <v>2523</v>
      </c>
      <c r="M454" s="2" t="s">
        <v>2537</v>
      </c>
    </row>
    <row r="455" spans="1:13" x14ac:dyDescent="0.3">
      <c r="A455" s="1">
        <v>45911</v>
      </c>
      <c r="B455" s="2" t="s">
        <v>2624</v>
      </c>
      <c r="C455" s="2" t="s">
        <v>2543</v>
      </c>
      <c r="D455" s="2" t="s">
        <v>2528</v>
      </c>
      <c r="E455" s="2" t="s">
        <v>2529</v>
      </c>
      <c r="F455" s="3">
        <v>70737</v>
      </c>
      <c r="G455" s="3">
        <v>984</v>
      </c>
      <c r="H455" s="3">
        <v>127</v>
      </c>
      <c r="I455" s="4">
        <v>341.17</v>
      </c>
      <c r="J455" s="4">
        <v>14379.5</v>
      </c>
      <c r="K455" s="3">
        <v>73</v>
      </c>
      <c r="L455" s="2" t="s">
        <v>2536</v>
      </c>
      <c r="M455" s="2" t="s">
        <v>2524</v>
      </c>
    </row>
    <row r="456" spans="1:13" x14ac:dyDescent="0.3">
      <c r="A456" s="1">
        <v>45983</v>
      </c>
      <c r="B456" s="2" t="s">
        <v>2632</v>
      </c>
      <c r="C456" s="2" t="s">
        <v>2521</v>
      </c>
      <c r="D456" s="2" t="s">
        <v>2528</v>
      </c>
      <c r="E456" s="2" t="s">
        <v>2529</v>
      </c>
      <c r="F456" s="3">
        <v>17808</v>
      </c>
      <c r="G456" s="3">
        <v>1303</v>
      </c>
      <c r="H456" s="3">
        <v>83</v>
      </c>
      <c r="I456" s="4">
        <v>1855.04</v>
      </c>
      <c r="J456" s="4">
        <v>16616.240000000002</v>
      </c>
      <c r="K456" s="3">
        <v>40</v>
      </c>
      <c r="L456" s="2" t="s">
        <v>2518</v>
      </c>
      <c r="M456" s="2" t="s">
        <v>2526</v>
      </c>
    </row>
    <row r="457" spans="1:13" x14ac:dyDescent="0.3">
      <c r="A457" s="1">
        <v>45853</v>
      </c>
      <c r="B457" s="2" t="s">
        <v>2617</v>
      </c>
      <c r="C457" s="2" t="s">
        <v>2543</v>
      </c>
      <c r="D457" s="2" t="s">
        <v>2525</v>
      </c>
      <c r="E457" s="2" t="s">
        <v>2529</v>
      </c>
      <c r="F457" s="3">
        <v>30254</v>
      </c>
      <c r="G457" s="3">
        <v>796</v>
      </c>
      <c r="H457" s="3">
        <v>80</v>
      </c>
      <c r="I457" s="4">
        <v>771.88</v>
      </c>
      <c r="J457" s="4">
        <v>16777.560000000001</v>
      </c>
      <c r="K457" s="3">
        <v>49</v>
      </c>
      <c r="L457" s="2" t="s">
        <v>2518</v>
      </c>
      <c r="M457" s="2" t="s">
        <v>2519</v>
      </c>
    </row>
    <row r="458" spans="1:13" x14ac:dyDescent="0.3">
      <c r="A458" s="1">
        <v>45775</v>
      </c>
      <c r="B458" s="2" t="s">
        <v>2629</v>
      </c>
      <c r="C458" s="2" t="s">
        <v>2533</v>
      </c>
      <c r="D458" s="2" t="s">
        <v>2528</v>
      </c>
      <c r="E458" s="2" t="s">
        <v>2517</v>
      </c>
      <c r="F458" s="3">
        <v>170054</v>
      </c>
      <c r="G458" s="3">
        <v>11704</v>
      </c>
      <c r="H458" s="3">
        <v>505</v>
      </c>
      <c r="I458" s="4">
        <v>20554.32</v>
      </c>
      <c r="J458" s="4">
        <v>10064.43</v>
      </c>
      <c r="K458" s="3">
        <v>446</v>
      </c>
      <c r="L458" s="2" t="s">
        <v>2518</v>
      </c>
      <c r="M458" s="2" t="s">
        <v>2519</v>
      </c>
    </row>
    <row r="459" spans="1:13" x14ac:dyDescent="0.3">
      <c r="A459" s="1">
        <v>45786</v>
      </c>
      <c r="B459" s="2" t="s">
        <v>2618</v>
      </c>
      <c r="C459" s="2" t="s">
        <v>2515</v>
      </c>
      <c r="D459" s="2" t="s">
        <v>2528</v>
      </c>
      <c r="E459" s="2" t="s">
        <v>2517</v>
      </c>
      <c r="F459" s="3">
        <v>104176</v>
      </c>
      <c r="G459" s="3">
        <v>1171</v>
      </c>
      <c r="H459" s="3">
        <v>58</v>
      </c>
      <c r="I459" s="4">
        <v>2416.0500000000002</v>
      </c>
      <c r="J459" s="4">
        <v>9910.9599999999991</v>
      </c>
      <c r="K459" s="3">
        <v>40</v>
      </c>
      <c r="L459" s="2" t="s">
        <v>2523</v>
      </c>
      <c r="M459" s="2" t="s">
        <v>2519</v>
      </c>
    </row>
    <row r="460" spans="1:13" x14ac:dyDescent="0.3">
      <c r="A460" s="1">
        <v>45936</v>
      </c>
      <c r="B460" s="2" t="s">
        <v>2631</v>
      </c>
      <c r="C460" s="2" t="s">
        <v>2527</v>
      </c>
      <c r="D460" s="2" t="s">
        <v>2528</v>
      </c>
      <c r="E460" s="2" t="s">
        <v>2529</v>
      </c>
      <c r="F460" s="3">
        <v>102542</v>
      </c>
      <c r="G460" s="3">
        <v>8517</v>
      </c>
      <c r="H460" s="3">
        <v>670</v>
      </c>
      <c r="I460" s="4">
        <v>10658.49</v>
      </c>
      <c r="J460" s="4">
        <v>111826.33</v>
      </c>
      <c r="K460" s="3">
        <v>306</v>
      </c>
      <c r="L460" s="2" t="s">
        <v>2523</v>
      </c>
      <c r="M460" s="2" t="s">
        <v>2546</v>
      </c>
    </row>
    <row r="461" spans="1:13" x14ac:dyDescent="0.3">
      <c r="A461" s="1">
        <v>45688</v>
      </c>
      <c r="B461" s="2" t="s">
        <v>2639</v>
      </c>
      <c r="C461" s="2" t="s">
        <v>2527</v>
      </c>
      <c r="D461" s="2" t="s">
        <v>2528</v>
      </c>
      <c r="E461" s="2" t="s">
        <v>2517</v>
      </c>
      <c r="F461" s="3">
        <v>120231</v>
      </c>
      <c r="G461" s="3">
        <v>6423</v>
      </c>
      <c r="H461" s="3">
        <v>316</v>
      </c>
      <c r="I461" s="4">
        <v>6005.11</v>
      </c>
      <c r="J461" s="4">
        <v>63165.760000000002</v>
      </c>
      <c r="K461" s="3">
        <v>188</v>
      </c>
      <c r="L461" s="2" t="s">
        <v>2536</v>
      </c>
      <c r="M461" s="2" t="s">
        <v>2519</v>
      </c>
    </row>
    <row r="462" spans="1:13" x14ac:dyDescent="0.3">
      <c r="A462" s="1">
        <v>45693</v>
      </c>
      <c r="B462" s="2" t="s">
        <v>2625</v>
      </c>
      <c r="C462" s="2" t="s">
        <v>2645</v>
      </c>
      <c r="D462" s="2" t="s">
        <v>2522</v>
      </c>
      <c r="E462" s="2" t="s">
        <v>2517</v>
      </c>
      <c r="F462" s="3">
        <v>52009</v>
      </c>
      <c r="G462" s="3">
        <v>1548</v>
      </c>
      <c r="H462" s="3">
        <v>203</v>
      </c>
      <c r="I462" s="4">
        <v>1936.84</v>
      </c>
      <c r="J462" s="4">
        <v>19790.669999999998</v>
      </c>
      <c r="K462" s="3">
        <v>158</v>
      </c>
      <c r="L462" s="2" t="s">
        <v>2536</v>
      </c>
      <c r="M462" s="2" t="s">
        <v>2546</v>
      </c>
    </row>
    <row r="463" spans="1:13" x14ac:dyDescent="0.3">
      <c r="A463" s="1">
        <v>45900</v>
      </c>
      <c r="B463" s="2" t="s">
        <v>2634</v>
      </c>
      <c r="C463" s="2" t="s">
        <v>2527</v>
      </c>
      <c r="D463" s="2" t="s">
        <v>2528</v>
      </c>
      <c r="E463" s="2" t="s">
        <v>2534</v>
      </c>
      <c r="F463" s="3">
        <v>96760</v>
      </c>
      <c r="G463" s="3">
        <v>7031</v>
      </c>
      <c r="H463" s="3">
        <v>341</v>
      </c>
      <c r="I463" s="4">
        <v>12676.24</v>
      </c>
      <c r="J463" s="4">
        <v>41745.440000000002</v>
      </c>
      <c r="K463" s="3">
        <v>297</v>
      </c>
      <c r="L463" s="2" t="s">
        <v>2523</v>
      </c>
      <c r="M463" s="2" t="s">
        <v>2526</v>
      </c>
    </row>
    <row r="464" spans="1:13" x14ac:dyDescent="0.3">
      <c r="A464" s="1">
        <v>45720</v>
      </c>
      <c r="B464" s="2" t="s">
        <v>2628</v>
      </c>
      <c r="C464" s="2" t="s">
        <v>2515</v>
      </c>
      <c r="D464" s="2" t="s">
        <v>2528</v>
      </c>
      <c r="E464" s="2" t="s">
        <v>2529</v>
      </c>
      <c r="F464" s="3">
        <v>51941</v>
      </c>
      <c r="G464" s="3">
        <v>1100</v>
      </c>
      <c r="H464" s="3">
        <v>107</v>
      </c>
      <c r="I464" s="4">
        <v>1030.4100000000001</v>
      </c>
      <c r="J464" s="4">
        <v>5595.7</v>
      </c>
      <c r="K464" s="3">
        <v>65</v>
      </c>
      <c r="L464" s="2" t="s">
        <v>2518</v>
      </c>
      <c r="M464" s="2" t="s">
        <v>2524</v>
      </c>
    </row>
    <row r="465" spans="1:13" x14ac:dyDescent="0.3">
      <c r="A465" s="1">
        <v>45745</v>
      </c>
      <c r="B465" s="2" t="s">
        <v>2621</v>
      </c>
      <c r="C465" s="2" t="s">
        <v>2533</v>
      </c>
      <c r="D465" s="2" t="s">
        <v>2528</v>
      </c>
      <c r="E465" s="2" t="s">
        <v>2534</v>
      </c>
      <c r="F465" s="3">
        <v>165122</v>
      </c>
      <c r="G465" s="3">
        <v>1090</v>
      </c>
      <c r="H465" s="3">
        <v>59</v>
      </c>
      <c r="I465" s="4">
        <v>1829</v>
      </c>
      <c r="J465" s="4">
        <v>10940.79</v>
      </c>
      <c r="K465" s="3">
        <v>48</v>
      </c>
      <c r="L465" s="2" t="s">
        <v>2539</v>
      </c>
      <c r="M465" s="2" t="s">
        <v>2526</v>
      </c>
    </row>
    <row r="466" spans="1:13" x14ac:dyDescent="0.3">
      <c r="A466" s="1">
        <v>45658</v>
      </c>
      <c r="B466" s="2" t="s">
        <v>2616</v>
      </c>
      <c r="C466" s="2" t="s">
        <v>2541</v>
      </c>
      <c r="D466" s="2" t="s">
        <v>2528</v>
      </c>
      <c r="E466" s="2" t="s">
        <v>2529</v>
      </c>
      <c r="F466" s="3">
        <v>67512</v>
      </c>
      <c r="G466" s="3">
        <v>1190</v>
      </c>
      <c r="H466" s="3">
        <v>71</v>
      </c>
      <c r="I466" s="4">
        <v>438.72</v>
      </c>
      <c r="J466" s="4">
        <v>7858.76</v>
      </c>
      <c r="K466" s="3">
        <v>40</v>
      </c>
      <c r="L466" s="2" t="s">
        <v>2518</v>
      </c>
      <c r="M466" s="2" t="s">
        <v>2519</v>
      </c>
    </row>
    <row r="467" spans="1:13" x14ac:dyDescent="0.3">
      <c r="A467" s="1">
        <v>45707</v>
      </c>
      <c r="B467" s="2" t="s">
        <v>2642</v>
      </c>
      <c r="C467" s="2" t="s">
        <v>2527</v>
      </c>
      <c r="D467" s="2" t="s">
        <v>2528</v>
      </c>
      <c r="E467" s="2" t="s">
        <v>2517</v>
      </c>
      <c r="F467" s="3">
        <v>12575</v>
      </c>
      <c r="G467" s="3">
        <v>906</v>
      </c>
      <c r="H467" s="3">
        <v>117</v>
      </c>
      <c r="I467" s="4">
        <v>903.69</v>
      </c>
      <c r="J467" s="4">
        <v>12176.09</v>
      </c>
      <c r="K467" s="3">
        <v>65</v>
      </c>
      <c r="L467" s="2" t="s">
        <v>2518</v>
      </c>
      <c r="M467" s="2" t="s">
        <v>2537</v>
      </c>
    </row>
    <row r="468" spans="1:13" x14ac:dyDescent="0.3">
      <c r="A468" s="1">
        <v>45674</v>
      </c>
      <c r="B468" s="2" t="s">
        <v>2633</v>
      </c>
      <c r="C468" s="2" t="s">
        <v>2543</v>
      </c>
      <c r="D468" s="2" t="s">
        <v>2528</v>
      </c>
      <c r="E468" s="2" t="s">
        <v>2529</v>
      </c>
      <c r="F468" s="3">
        <v>38973</v>
      </c>
      <c r="G468" s="3">
        <v>2999</v>
      </c>
      <c r="H468" s="3">
        <v>60</v>
      </c>
      <c r="I468" s="4">
        <v>1961.62</v>
      </c>
      <c r="J468" s="4">
        <v>12565.59</v>
      </c>
      <c r="K468" s="3">
        <v>43</v>
      </c>
      <c r="L468" s="2" t="s">
        <v>2536</v>
      </c>
      <c r="M468" s="2" t="s">
        <v>2546</v>
      </c>
    </row>
    <row r="469" spans="1:13" x14ac:dyDescent="0.3">
      <c r="A469" s="1">
        <v>45707</v>
      </c>
      <c r="B469" s="2" t="s">
        <v>2618</v>
      </c>
      <c r="C469" s="2" t="s">
        <v>2541</v>
      </c>
      <c r="D469" s="2" t="s">
        <v>2528</v>
      </c>
      <c r="E469" s="2" t="s">
        <v>2534</v>
      </c>
      <c r="F469" s="3">
        <v>77086</v>
      </c>
      <c r="G469" s="3">
        <v>2539</v>
      </c>
      <c r="H469" s="3">
        <v>145</v>
      </c>
      <c r="I469" s="4">
        <v>1838.19</v>
      </c>
      <c r="J469" s="4">
        <v>15663.22</v>
      </c>
      <c r="K469" s="3">
        <v>77</v>
      </c>
      <c r="L469" s="2" t="s">
        <v>2518</v>
      </c>
      <c r="M469" s="2" t="s">
        <v>2546</v>
      </c>
    </row>
    <row r="470" spans="1:13" x14ac:dyDescent="0.3">
      <c r="A470" s="1">
        <v>45785</v>
      </c>
      <c r="B470" s="2" t="s">
        <v>2634</v>
      </c>
      <c r="C470" s="2" t="s">
        <v>2541</v>
      </c>
      <c r="D470" s="2" t="s">
        <v>2528</v>
      </c>
      <c r="E470" s="2" t="s">
        <v>2517</v>
      </c>
      <c r="F470" s="3">
        <v>161276</v>
      </c>
      <c r="G470" s="3">
        <v>3955</v>
      </c>
      <c r="H470" s="3">
        <v>528</v>
      </c>
      <c r="I470" s="4">
        <v>3484.76</v>
      </c>
      <c r="J470" s="4">
        <v>105186.74</v>
      </c>
      <c r="K470" s="3">
        <v>361</v>
      </c>
      <c r="L470" s="2" t="s">
        <v>2523</v>
      </c>
      <c r="M470" s="2" t="s">
        <v>2546</v>
      </c>
    </row>
    <row r="471" spans="1:13" x14ac:dyDescent="0.3">
      <c r="A471" s="1">
        <v>45825</v>
      </c>
      <c r="B471" s="2" t="s">
        <v>2622</v>
      </c>
      <c r="C471" s="2" t="s">
        <v>2533</v>
      </c>
      <c r="D471" s="2" t="s">
        <v>2528</v>
      </c>
      <c r="E471" s="2" t="s">
        <v>2529</v>
      </c>
      <c r="F471" s="3">
        <v>26122</v>
      </c>
      <c r="G471" s="3">
        <v>499</v>
      </c>
      <c r="H471" s="3">
        <v>57</v>
      </c>
      <c r="I471" s="4">
        <v>293.72000000000003</v>
      </c>
      <c r="J471" s="4">
        <v>4039.17</v>
      </c>
      <c r="K471" s="3">
        <v>46</v>
      </c>
      <c r="L471" s="2" t="s">
        <v>2518</v>
      </c>
      <c r="M471" s="2" t="s">
        <v>2526</v>
      </c>
    </row>
    <row r="472" spans="1:13" x14ac:dyDescent="0.3">
      <c r="A472" s="1">
        <v>45992</v>
      </c>
      <c r="B472" s="2" t="s">
        <v>2635</v>
      </c>
      <c r="C472" s="2" t="s">
        <v>2527</v>
      </c>
      <c r="D472" s="2" t="s">
        <v>2522</v>
      </c>
      <c r="E472" s="2" t="s">
        <v>2529</v>
      </c>
      <c r="F472" s="3">
        <v>42728</v>
      </c>
      <c r="G472" s="3">
        <v>3632</v>
      </c>
      <c r="H472" s="3">
        <v>355</v>
      </c>
      <c r="I472" s="4">
        <v>1449.5</v>
      </c>
      <c r="J472" s="4">
        <v>48137.66</v>
      </c>
      <c r="K472" s="3">
        <v>226</v>
      </c>
      <c r="L472" s="2" t="s">
        <v>2523</v>
      </c>
      <c r="M472" s="2" t="s">
        <v>2519</v>
      </c>
    </row>
    <row r="473" spans="1:13" x14ac:dyDescent="0.3">
      <c r="A473" s="1">
        <v>45857</v>
      </c>
      <c r="B473" s="2" t="s">
        <v>2642</v>
      </c>
      <c r="C473" s="2" t="s">
        <v>2527</v>
      </c>
      <c r="D473" s="2" t="s">
        <v>2531</v>
      </c>
      <c r="E473" s="2" t="s">
        <v>2529</v>
      </c>
      <c r="F473" s="3">
        <v>155371</v>
      </c>
      <c r="G473" s="3">
        <v>7786</v>
      </c>
      <c r="H473" s="3">
        <v>424</v>
      </c>
      <c r="I473" s="4">
        <v>8660.42</v>
      </c>
      <c r="J473" s="4">
        <v>47785.440000000002</v>
      </c>
      <c r="K473" s="3">
        <v>227</v>
      </c>
      <c r="L473" s="2" t="s">
        <v>2523</v>
      </c>
      <c r="M473" s="2" t="s">
        <v>2537</v>
      </c>
    </row>
    <row r="474" spans="1:13" x14ac:dyDescent="0.3">
      <c r="A474" s="1">
        <v>46020</v>
      </c>
      <c r="B474" s="2" t="s">
        <v>2616</v>
      </c>
      <c r="C474" s="2" t="s">
        <v>2521</v>
      </c>
      <c r="D474" s="2" t="s">
        <v>2531</v>
      </c>
      <c r="E474" s="2" t="s">
        <v>2529</v>
      </c>
      <c r="F474" s="3">
        <v>65248</v>
      </c>
      <c r="G474" s="3">
        <v>3027</v>
      </c>
      <c r="H474" s="3">
        <v>334</v>
      </c>
      <c r="I474" s="4">
        <v>2988.37</v>
      </c>
      <c r="J474" s="4">
        <v>6309.75</v>
      </c>
      <c r="K474" s="3">
        <v>244</v>
      </c>
      <c r="L474" s="2" t="s">
        <v>2518</v>
      </c>
      <c r="M474" s="2" t="s">
        <v>2524</v>
      </c>
    </row>
    <row r="475" spans="1:13" x14ac:dyDescent="0.3">
      <c r="A475" s="1">
        <v>45829</v>
      </c>
      <c r="B475" s="2" t="s">
        <v>2632</v>
      </c>
      <c r="C475" s="2" t="s">
        <v>2533</v>
      </c>
      <c r="D475" s="2" t="s">
        <v>2525</v>
      </c>
      <c r="E475" s="2" t="s">
        <v>2529</v>
      </c>
      <c r="F475" s="3">
        <v>61936</v>
      </c>
      <c r="G475" s="3">
        <v>1364</v>
      </c>
      <c r="H475" s="3">
        <v>89</v>
      </c>
      <c r="I475" s="4">
        <v>1487.51</v>
      </c>
      <c r="J475" s="4">
        <v>1902.28</v>
      </c>
      <c r="K475" s="3">
        <v>43</v>
      </c>
      <c r="L475" s="2" t="s">
        <v>2536</v>
      </c>
      <c r="M475" s="2" t="s">
        <v>2526</v>
      </c>
    </row>
    <row r="476" spans="1:13" x14ac:dyDescent="0.3">
      <c r="A476" s="1">
        <v>45712</v>
      </c>
      <c r="B476" s="2" t="s">
        <v>2619</v>
      </c>
      <c r="C476" s="2" t="s">
        <v>2521</v>
      </c>
      <c r="D476" s="2" t="s">
        <v>2531</v>
      </c>
      <c r="E476" s="2" t="s">
        <v>2529</v>
      </c>
      <c r="F476" s="3">
        <v>44658</v>
      </c>
      <c r="G476" s="3">
        <v>2818</v>
      </c>
      <c r="H476" s="3">
        <v>264</v>
      </c>
      <c r="I476" s="4">
        <v>1079.2</v>
      </c>
      <c r="J476" s="4">
        <v>26505.26</v>
      </c>
      <c r="K476" s="3">
        <v>189</v>
      </c>
      <c r="L476" s="2" t="s">
        <v>2539</v>
      </c>
      <c r="M476" s="2" t="s">
        <v>2519</v>
      </c>
    </row>
    <row r="477" spans="1:13" x14ac:dyDescent="0.3">
      <c r="A477" s="1">
        <v>45934</v>
      </c>
      <c r="B477" s="2" t="s">
        <v>2631</v>
      </c>
      <c r="C477" s="2" t="s">
        <v>2541</v>
      </c>
      <c r="D477" s="2" t="s">
        <v>2531</v>
      </c>
      <c r="E477" s="2" t="s">
        <v>2517</v>
      </c>
      <c r="F477" s="3">
        <v>56708</v>
      </c>
      <c r="G477" s="3">
        <v>3425</v>
      </c>
      <c r="H477" s="3">
        <v>422</v>
      </c>
      <c r="I477" s="4">
        <v>4545.7700000000004</v>
      </c>
      <c r="J477" s="4">
        <v>24376.52</v>
      </c>
      <c r="K477" s="3">
        <v>225</v>
      </c>
      <c r="L477" s="2" t="s">
        <v>2523</v>
      </c>
      <c r="M477" s="2" t="s">
        <v>2537</v>
      </c>
    </row>
    <row r="478" spans="1:13" x14ac:dyDescent="0.3">
      <c r="A478" s="1">
        <v>45843</v>
      </c>
      <c r="B478" s="2" t="s">
        <v>2633</v>
      </c>
      <c r="C478" s="2" t="s">
        <v>2541</v>
      </c>
      <c r="D478" s="2" t="s">
        <v>2522</v>
      </c>
      <c r="E478" s="2" t="s">
        <v>2517</v>
      </c>
      <c r="F478" s="3">
        <v>38324</v>
      </c>
      <c r="G478" s="3">
        <v>1031</v>
      </c>
      <c r="H478" s="3">
        <v>130</v>
      </c>
      <c r="I478" s="4">
        <v>761.81</v>
      </c>
      <c r="J478" s="4">
        <v>16680.580000000002</v>
      </c>
      <c r="K478" s="3">
        <v>116</v>
      </c>
      <c r="L478" s="2" t="s">
        <v>2539</v>
      </c>
      <c r="M478" s="2" t="s">
        <v>2546</v>
      </c>
    </row>
    <row r="479" spans="1:13" x14ac:dyDescent="0.3">
      <c r="A479" s="1">
        <v>45695</v>
      </c>
      <c r="B479" s="2" t="s">
        <v>2624</v>
      </c>
      <c r="C479" s="2" t="s">
        <v>2515</v>
      </c>
      <c r="D479" s="2" t="s">
        <v>2528</v>
      </c>
      <c r="E479" s="2" t="s">
        <v>2517</v>
      </c>
      <c r="F479" s="3">
        <v>25936</v>
      </c>
      <c r="G479" s="3">
        <v>1810</v>
      </c>
      <c r="H479" s="3">
        <v>26</v>
      </c>
      <c r="I479" s="4">
        <v>3193.78</v>
      </c>
      <c r="J479" s="4">
        <v>3494.51</v>
      </c>
      <c r="K479" s="3">
        <v>16</v>
      </c>
      <c r="L479" s="2" t="s">
        <v>2536</v>
      </c>
      <c r="M479" s="2" t="s">
        <v>2546</v>
      </c>
    </row>
    <row r="480" spans="1:13" x14ac:dyDescent="0.3">
      <c r="A480" s="1">
        <v>45810</v>
      </c>
      <c r="B480" s="2" t="s">
        <v>2636</v>
      </c>
      <c r="C480" s="2" t="s">
        <v>2533</v>
      </c>
      <c r="D480" s="2" t="s">
        <v>2528</v>
      </c>
      <c r="E480" s="2" t="s">
        <v>2517</v>
      </c>
      <c r="F480" s="3">
        <v>11479</v>
      </c>
      <c r="G480" s="3">
        <v>669</v>
      </c>
      <c r="H480" s="3">
        <v>11</v>
      </c>
      <c r="I480" s="4">
        <v>384.59</v>
      </c>
      <c r="J480" s="4">
        <v>1251.18</v>
      </c>
      <c r="K480" s="3">
        <v>8</v>
      </c>
      <c r="L480" s="2" t="s">
        <v>2539</v>
      </c>
      <c r="M480" s="2" t="s">
        <v>2526</v>
      </c>
    </row>
    <row r="481" spans="1:13" x14ac:dyDescent="0.3">
      <c r="A481" s="1">
        <v>45870</v>
      </c>
      <c r="B481" s="2" t="s">
        <v>2637</v>
      </c>
      <c r="C481" s="2" t="s">
        <v>2521</v>
      </c>
      <c r="D481" s="2" t="s">
        <v>2528</v>
      </c>
      <c r="E481" s="2" t="s">
        <v>2529</v>
      </c>
      <c r="F481" s="3">
        <v>159787</v>
      </c>
      <c r="G481" s="3">
        <v>1884</v>
      </c>
      <c r="H481" s="3">
        <v>176</v>
      </c>
      <c r="I481" s="4">
        <v>1308.28</v>
      </c>
      <c r="J481" s="4">
        <v>12507.44</v>
      </c>
      <c r="K481" s="3">
        <v>106</v>
      </c>
      <c r="L481" s="2" t="s">
        <v>2536</v>
      </c>
      <c r="M481" s="2" t="s">
        <v>2519</v>
      </c>
    </row>
    <row r="482" spans="1:13" x14ac:dyDescent="0.3">
      <c r="A482" s="1">
        <v>45690</v>
      </c>
      <c r="B482" s="2" t="s">
        <v>2633</v>
      </c>
      <c r="C482" s="2" t="s">
        <v>2527</v>
      </c>
      <c r="D482" s="2" t="s">
        <v>2516</v>
      </c>
      <c r="E482" s="2" t="s">
        <v>2517</v>
      </c>
      <c r="F482" s="3">
        <v>136229</v>
      </c>
      <c r="G482" s="3">
        <v>5837</v>
      </c>
      <c r="H482" s="3">
        <v>472</v>
      </c>
      <c r="I482" s="4">
        <v>967.04</v>
      </c>
      <c r="J482" s="4">
        <v>84642.73</v>
      </c>
      <c r="K482" s="3">
        <v>246</v>
      </c>
      <c r="L482" s="2" t="s">
        <v>2518</v>
      </c>
      <c r="M482" s="2" t="s">
        <v>2546</v>
      </c>
    </row>
    <row r="483" spans="1:13" x14ac:dyDescent="0.3">
      <c r="A483" s="1">
        <v>45727</v>
      </c>
      <c r="B483" s="2" t="s">
        <v>2620</v>
      </c>
      <c r="C483" s="2" t="s">
        <v>2515</v>
      </c>
      <c r="D483" s="2" t="s">
        <v>2525</v>
      </c>
      <c r="E483" s="2" t="s">
        <v>2529</v>
      </c>
      <c r="F483" s="3">
        <v>41781</v>
      </c>
      <c r="G483" s="3">
        <v>272</v>
      </c>
      <c r="H483" s="3">
        <v>25</v>
      </c>
      <c r="I483" s="4">
        <v>219.94</v>
      </c>
      <c r="J483" s="4">
        <v>2227.52</v>
      </c>
      <c r="K483" s="3">
        <v>12</v>
      </c>
      <c r="L483" s="2" t="s">
        <v>2539</v>
      </c>
      <c r="M483" s="2" t="s">
        <v>2524</v>
      </c>
    </row>
    <row r="484" spans="1:13" x14ac:dyDescent="0.3">
      <c r="A484" s="1">
        <v>45914</v>
      </c>
      <c r="B484" s="2" t="s">
        <v>2627</v>
      </c>
      <c r="C484" s="2" t="s">
        <v>2527</v>
      </c>
      <c r="D484" s="2" t="s">
        <v>2528</v>
      </c>
      <c r="E484" s="2" t="s">
        <v>2529</v>
      </c>
      <c r="F484" s="3">
        <v>135739</v>
      </c>
      <c r="G484" s="3">
        <v>783</v>
      </c>
      <c r="H484" s="3">
        <v>28</v>
      </c>
      <c r="I484" s="4">
        <v>722.91</v>
      </c>
      <c r="J484" s="4">
        <v>2220.9899999999998</v>
      </c>
      <c r="K484" s="3">
        <v>25</v>
      </c>
      <c r="L484" s="2" t="s">
        <v>2539</v>
      </c>
      <c r="M484" s="2" t="s">
        <v>2537</v>
      </c>
    </row>
    <row r="485" spans="1:13" x14ac:dyDescent="0.3">
      <c r="A485" s="1">
        <v>45891</v>
      </c>
      <c r="B485" s="2" t="s">
        <v>2639</v>
      </c>
      <c r="C485" s="2" t="s">
        <v>2543</v>
      </c>
      <c r="D485" s="2" t="s">
        <v>2528</v>
      </c>
      <c r="E485" s="2" t="s">
        <v>2529</v>
      </c>
      <c r="F485" s="3">
        <v>163288</v>
      </c>
      <c r="G485" s="3">
        <v>883</v>
      </c>
      <c r="H485" s="3">
        <v>13</v>
      </c>
      <c r="I485" s="4">
        <v>1118.72</v>
      </c>
      <c r="J485" s="4">
        <v>1169.25</v>
      </c>
      <c r="K485" s="3">
        <v>11</v>
      </c>
      <c r="L485" s="2" t="s">
        <v>2536</v>
      </c>
      <c r="M485" s="2" t="s">
        <v>2524</v>
      </c>
    </row>
    <row r="486" spans="1:13" x14ac:dyDescent="0.3">
      <c r="A486" s="1">
        <v>46020</v>
      </c>
      <c r="B486" s="2" t="s">
        <v>2615</v>
      </c>
      <c r="C486" s="2" t="s">
        <v>2527</v>
      </c>
      <c r="D486" s="2" t="s">
        <v>2528</v>
      </c>
      <c r="E486" s="2" t="s">
        <v>2534</v>
      </c>
      <c r="F486" s="3">
        <v>73742</v>
      </c>
      <c r="G486" s="3">
        <v>6254</v>
      </c>
      <c r="H486" s="3">
        <v>417</v>
      </c>
      <c r="I486" s="4">
        <v>5231.8900000000003</v>
      </c>
      <c r="J486" s="4">
        <v>73521</v>
      </c>
      <c r="K486" s="3">
        <v>320</v>
      </c>
      <c r="L486" s="2" t="s">
        <v>2539</v>
      </c>
      <c r="M486" s="2" t="s">
        <v>2546</v>
      </c>
    </row>
    <row r="487" spans="1:13" x14ac:dyDescent="0.3">
      <c r="A487" s="1">
        <v>45802</v>
      </c>
      <c r="B487" s="2" t="s">
        <v>2635</v>
      </c>
      <c r="C487" s="2" t="s">
        <v>2521</v>
      </c>
      <c r="D487" s="2" t="s">
        <v>2528</v>
      </c>
      <c r="E487" s="2" t="s">
        <v>2529</v>
      </c>
      <c r="F487" s="3">
        <v>130689</v>
      </c>
      <c r="G487" s="3">
        <v>4848</v>
      </c>
      <c r="H487" s="3">
        <v>540</v>
      </c>
      <c r="I487" s="4">
        <v>8562.3700000000008</v>
      </c>
      <c r="J487" s="4">
        <v>85967.47</v>
      </c>
      <c r="K487" s="3">
        <v>451</v>
      </c>
      <c r="L487" s="2" t="s">
        <v>2539</v>
      </c>
      <c r="M487" s="2" t="s">
        <v>2524</v>
      </c>
    </row>
    <row r="488" spans="1:13" x14ac:dyDescent="0.3">
      <c r="A488" s="1">
        <v>45946</v>
      </c>
      <c r="B488" s="2" t="s">
        <v>2633</v>
      </c>
      <c r="C488" s="2" t="s">
        <v>2541</v>
      </c>
      <c r="D488" s="2" t="s">
        <v>2525</v>
      </c>
      <c r="E488" s="2" t="s">
        <v>2529</v>
      </c>
      <c r="F488" s="3">
        <v>61410</v>
      </c>
      <c r="G488" s="3">
        <v>1129</v>
      </c>
      <c r="H488" s="3">
        <v>124</v>
      </c>
      <c r="I488" s="4">
        <v>2034.74</v>
      </c>
      <c r="J488" s="4">
        <v>17273.48</v>
      </c>
      <c r="K488" s="3">
        <v>101</v>
      </c>
      <c r="L488" s="2" t="s">
        <v>2539</v>
      </c>
      <c r="M488" s="2" t="s">
        <v>2546</v>
      </c>
    </row>
    <row r="489" spans="1:13" x14ac:dyDescent="0.3">
      <c r="A489" s="1">
        <v>45995</v>
      </c>
      <c r="B489" s="2" t="s">
        <v>2643</v>
      </c>
      <c r="C489" s="2" t="s">
        <v>2521</v>
      </c>
      <c r="D489" s="2" t="s">
        <v>2528</v>
      </c>
      <c r="E489" s="2" t="s">
        <v>2517</v>
      </c>
      <c r="F489" s="3">
        <v>21153</v>
      </c>
      <c r="G489" s="3">
        <v>1088</v>
      </c>
      <c r="H489" s="3">
        <v>128</v>
      </c>
      <c r="I489" s="4">
        <v>357.9</v>
      </c>
      <c r="J489" s="4">
        <v>24785.87</v>
      </c>
      <c r="K489" s="3">
        <v>63</v>
      </c>
      <c r="L489" s="2" t="s">
        <v>2518</v>
      </c>
      <c r="M489" s="2" t="s">
        <v>2519</v>
      </c>
    </row>
    <row r="490" spans="1:13" x14ac:dyDescent="0.3">
      <c r="A490" s="1">
        <v>45857</v>
      </c>
      <c r="B490" s="2" t="s">
        <v>2621</v>
      </c>
      <c r="C490" s="2" t="s">
        <v>2521</v>
      </c>
      <c r="D490" s="2" t="s">
        <v>2525</v>
      </c>
      <c r="E490" s="2" t="s">
        <v>2529</v>
      </c>
      <c r="F490" s="3">
        <v>25155</v>
      </c>
      <c r="G490" s="3">
        <v>1326</v>
      </c>
      <c r="H490" s="3">
        <v>108</v>
      </c>
      <c r="I490" s="4">
        <v>2782.88</v>
      </c>
      <c r="J490" s="4">
        <v>8925.0499999999993</v>
      </c>
      <c r="K490" s="3">
        <v>81</v>
      </c>
      <c r="L490" s="2" t="s">
        <v>2539</v>
      </c>
      <c r="M490" s="2" t="s">
        <v>2546</v>
      </c>
    </row>
    <row r="491" spans="1:13" x14ac:dyDescent="0.3">
      <c r="A491" s="1">
        <v>45832</v>
      </c>
      <c r="B491" s="2" t="s">
        <v>2626</v>
      </c>
      <c r="C491" s="2" t="s">
        <v>2527</v>
      </c>
      <c r="D491" s="2" t="s">
        <v>2516</v>
      </c>
      <c r="E491" s="2" t="s">
        <v>2517</v>
      </c>
      <c r="F491" s="3">
        <v>49264</v>
      </c>
      <c r="G491" s="3">
        <v>1923</v>
      </c>
      <c r="H491" s="3">
        <v>34</v>
      </c>
      <c r="I491" s="4">
        <v>2500.38</v>
      </c>
      <c r="J491" s="4">
        <v>2200.38</v>
      </c>
      <c r="K491" s="3">
        <v>29</v>
      </c>
      <c r="L491" s="2" t="s">
        <v>2518</v>
      </c>
      <c r="M491" s="2" t="s">
        <v>2537</v>
      </c>
    </row>
    <row r="492" spans="1:13" x14ac:dyDescent="0.3">
      <c r="A492" s="1">
        <v>45912</v>
      </c>
      <c r="B492" s="2" t="s">
        <v>2641</v>
      </c>
      <c r="C492" s="2" t="s">
        <v>2533</v>
      </c>
      <c r="D492" s="2" t="s">
        <v>2528</v>
      </c>
      <c r="E492" s="2" t="s">
        <v>2529</v>
      </c>
      <c r="F492" s="3">
        <v>165221</v>
      </c>
      <c r="G492" s="3">
        <v>7412</v>
      </c>
      <c r="H492" s="3">
        <v>528</v>
      </c>
      <c r="I492" s="4">
        <v>8552.2800000000007</v>
      </c>
      <c r="J492" s="4">
        <v>43921.9</v>
      </c>
      <c r="K492" s="3">
        <v>424</v>
      </c>
      <c r="L492" s="2" t="s">
        <v>2539</v>
      </c>
      <c r="M492" s="2" t="s">
        <v>2546</v>
      </c>
    </row>
    <row r="493" spans="1:13" x14ac:dyDescent="0.3">
      <c r="A493" s="1">
        <v>45815</v>
      </c>
      <c r="B493" s="2" t="s">
        <v>2633</v>
      </c>
      <c r="C493" s="2" t="s">
        <v>2533</v>
      </c>
      <c r="D493" s="2" t="s">
        <v>2528</v>
      </c>
      <c r="E493" s="2" t="s">
        <v>2517</v>
      </c>
      <c r="F493" s="3">
        <v>98100</v>
      </c>
      <c r="G493" s="3">
        <v>4941</v>
      </c>
      <c r="H493" s="3">
        <v>56</v>
      </c>
      <c r="I493" s="4">
        <v>7871.56</v>
      </c>
      <c r="J493" s="4">
        <v>10234.19</v>
      </c>
      <c r="K493" s="3">
        <v>27</v>
      </c>
      <c r="L493" s="2" t="s">
        <v>2539</v>
      </c>
      <c r="M493" s="2" t="s">
        <v>2546</v>
      </c>
    </row>
    <row r="494" spans="1:13" x14ac:dyDescent="0.3">
      <c r="A494" s="1">
        <v>45738</v>
      </c>
      <c r="B494" s="2" t="s">
        <v>2640</v>
      </c>
      <c r="C494" s="2" t="s">
        <v>2515</v>
      </c>
      <c r="D494" s="2" t="s">
        <v>2528</v>
      </c>
      <c r="E494" s="2" t="s">
        <v>2517</v>
      </c>
      <c r="F494" s="3">
        <v>37462</v>
      </c>
      <c r="G494" s="3">
        <v>964</v>
      </c>
      <c r="H494" s="3">
        <v>72</v>
      </c>
      <c r="I494" s="4">
        <v>1796.03</v>
      </c>
      <c r="J494" s="4">
        <v>11227.49</v>
      </c>
      <c r="K494" s="3">
        <v>43</v>
      </c>
      <c r="L494" s="2" t="s">
        <v>2523</v>
      </c>
      <c r="M494" s="2" t="s">
        <v>2519</v>
      </c>
    </row>
    <row r="495" spans="1:13" x14ac:dyDescent="0.3">
      <c r="A495" s="1">
        <v>45750</v>
      </c>
      <c r="B495" s="2" t="s">
        <v>2628</v>
      </c>
      <c r="C495" s="2" t="s">
        <v>2543</v>
      </c>
      <c r="D495" s="2" t="s">
        <v>2516</v>
      </c>
      <c r="E495" s="2" t="s">
        <v>2529</v>
      </c>
      <c r="F495" s="3">
        <v>2773</v>
      </c>
      <c r="G495" s="3">
        <v>188</v>
      </c>
      <c r="H495" s="3">
        <v>4</v>
      </c>
      <c r="I495" s="4">
        <v>365.94</v>
      </c>
      <c r="J495" s="4">
        <v>842.67</v>
      </c>
      <c r="K495" s="3">
        <v>2</v>
      </c>
      <c r="L495" s="2" t="s">
        <v>2518</v>
      </c>
      <c r="M495" s="2" t="s">
        <v>2524</v>
      </c>
    </row>
    <row r="496" spans="1:13" x14ac:dyDescent="0.3">
      <c r="A496" s="1">
        <v>45995</v>
      </c>
      <c r="B496" s="2" t="s">
        <v>2623</v>
      </c>
      <c r="C496" s="2" t="s">
        <v>2533</v>
      </c>
      <c r="D496" s="2" t="s">
        <v>2531</v>
      </c>
      <c r="E496" s="2" t="s">
        <v>2534</v>
      </c>
      <c r="F496" s="3">
        <v>55755</v>
      </c>
      <c r="G496" s="3">
        <v>3489</v>
      </c>
      <c r="H496" s="3">
        <v>365</v>
      </c>
      <c r="I496" s="4">
        <v>2397.04</v>
      </c>
      <c r="J496" s="4">
        <v>64793.36</v>
      </c>
      <c r="K496" s="3">
        <v>276</v>
      </c>
      <c r="L496" s="2" t="s">
        <v>2518</v>
      </c>
      <c r="M496" s="2" t="s">
        <v>2519</v>
      </c>
    </row>
    <row r="497" spans="1:13" x14ac:dyDescent="0.3">
      <c r="A497" s="1">
        <v>45810</v>
      </c>
      <c r="B497" s="2" t="s">
        <v>2642</v>
      </c>
      <c r="C497" s="2" t="s">
        <v>2515</v>
      </c>
      <c r="D497" s="2" t="s">
        <v>2516</v>
      </c>
      <c r="E497" s="2" t="s">
        <v>2529</v>
      </c>
      <c r="F497" s="3">
        <v>161788</v>
      </c>
      <c r="G497" s="3">
        <v>11571</v>
      </c>
      <c r="H497" s="3">
        <v>1442</v>
      </c>
      <c r="I497" s="4">
        <v>12013.3</v>
      </c>
      <c r="J497" s="4">
        <v>179019.65</v>
      </c>
      <c r="K497" s="3">
        <v>1002</v>
      </c>
      <c r="L497" s="2" t="s">
        <v>2536</v>
      </c>
      <c r="M497" s="2" t="s">
        <v>2537</v>
      </c>
    </row>
    <row r="498" spans="1:13" x14ac:dyDescent="0.3">
      <c r="A498" s="1">
        <v>45694</v>
      </c>
      <c r="B498" s="2" t="s">
        <v>2623</v>
      </c>
      <c r="C498" s="2" t="s">
        <v>2543</v>
      </c>
      <c r="D498" s="2" t="s">
        <v>2528</v>
      </c>
      <c r="E498" s="2" t="s">
        <v>2529</v>
      </c>
      <c r="F498" s="3">
        <v>23010</v>
      </c>
      <c r="G498" s="3">
        <v>2050</v>
      </c>
      <c r="H498" s="3">
        <v>128</v>
      </c>
      <c r="I498" s="4">
        <v>3945.19</v>
      </c>
      <c r="J498" s="4">
        <v>18288.53</v>
      </c>
      <c r="K498" s="3">
        <v>70</v>
      </c>
      <c r="L498" s="2" t="s">
        <v>2539</v>
      </c>
      <c r="M498" s="2" t="s">
        <v>2524</v>
      </c>
    </row>
    <row r="499" spans="1:13" x14ac:dyDescent="0.3">
      <c r="A499" s="1">
        <v>45917</v>
      </c>
      <c r="B499" s="2" t="s">
        <v>2625</v>
      </c>
      <c r="C499" s="2" t="s">
        <v>2533</v>
      </c>
      <c r="D499" s="2" t="s">
        <v>2516</v>
      </c>
      <c r="E499" s="2" t="s">
        <v>2529</v>
      </c>
      <c r="F499" s="3">
        <v>160422</v>
      </c>
      <c r="G499" s="3">
        <v>12369</v>
      </c>
      <c r="H499" s="3">
        <v>1393</v>
      </c>
      <c r="I499" s="4">
        <v>8362.4</v>
      </c>
      <c r="J499" s="4">
        <v>245307.9</v>
      </c>
      <c r="K499" s="3">
        <v>881</v>
      </c>
      <c r="L499" s="2" t="s">
        <v>2518</v>
      </c>
      <c r="M499" s="2" t="s">
        <v>2519</v>
      </c>
    </row>
    <row r="500" spans="1:13" x14ac:dyDescent="0.3">
      <c r="A500" s="1">
        <v>45864</v>
      </c>
      <c r="B500" s="2" t="s">
        <v>2638</v>
      </c>
      <c r="C500" s="2" t="s">
        <v>2527</v>
      </c>
      <c r="D500" s="2" t="s">
        <v>2525</v>
      </c>
      <c r="E500" s="2" t="s">
        <v>2517</v>
      </c>
      <c r="F500" s="3">
        <v>155743</v>
      </c>
      <c r="G500" s="3">
        <v>11002</v>
      </c>
      <c r="H500" s="3">
        <v>1158</v>
      </c>
      <c r="I500" s="4">
        <v>8199.16</v>
      </c>
      <c r="J500" s="4">
        <v>69554.89</v>
      </c>
      <c r="K500" s="3">
        <v>996</v>
      </c>
      <c r="L500" s="2" t="s">
        <v>2539</v>
      </c>
      <c r="M500" s="2" t="s">
        <v>2537</v>
      </c>
    </row>
    <row r="501" spans="1:13" x14ac:dyDescent="0.3">
      <c r="A501" s="1">
        <v>45908</v>
      </c>
      <c r="B501" s="2" t="s">
        <v>2632</v>
      </c>
      <c r="C501" s="2" t="s">
        <v>2533</v>
      </c>
      <c r="D501" s="2" t="s">
        <v>2531</v>
      </c>
      <c r="E501" s="2" t="s">
        <v>2529</v>
      </c>
      <c r="F501" s="3">
        <v>92162</v>
      </c>
      <c r="G501" s="3">
        <v>7822</v>
      </c>
      <c r="H501" s="3">
        <v>59</v>
      </c>
      <c r="I501" s="4">
        <v>5813.1</v>
      </c>
      <c r="J501" s="4">
        <v>2901.77</v>
      </c>
      <c r="K501" s="3">
        <v>33</v>
      </c>
      <c r="L501" s="2" t="s">
        <v>2539</v>
      </c>
      <c r="M501" s="2" t="s">
        <v>2537</v>
      </c>
    </row>
    <row r="502" spans="1:13" x14ac:dyDescent="0.3">
      <c r="A502" s="1">
        <v>45795</v>
      </c>
      <c r="B502" s="2" t="s">
        <v>2621</v>
      </c>
      <c r="C502" s="2" t="s">
        <v>2533</v>
      </c>
      <c r="D502" s="2" t="s">
        <v>2531</v>
      </c>
      <c r="E502" s="2" t="s">
        <v>2517</v>
      </c>
      <c r="F502" s="3">
        <v>174272</v>
      </c>
      <c r="G502" s="3">
        <v>4503</v>
      </c>
      <c r="H502" s="3">
        <v>478</v>
      </c>
      <c r="I502" s="4">
        <v>2554.4299999999998</v>
      </c>
      <c r="J502" s="4">
        <v>42421.32</v>
      </c>
      <c r="K502" s="3">
        <v>220</v>
      </c>
      <c r="L502" s="2" t="s">
        <v>2539</v>
      </c>
      <c r="M502" s="2" t="s">
        <v>2537</v>
      </c>
    </row>
    <row r="503" spans="1:13" x14ac:dyDescent="0.3">
      <c r="A503" s="1">
        <v>45676</v>
      </c>
      <c r="B503" s="2" t="s">
        <v>2644</v>
      </c>
      <c r="C503" s="2" t="s">
        <v>2527</v>
      </c>
      <c r="D503" s="2" t="s">
        <v>2516</v>
      </c>
      <c r="E503" s="2" t="s">
        <v>2529</v>
      </c>
      <c r="F503" s="3">
        <v>126698</v>
      </c>
      <c r="G503" s="3">
        <v>2524</v>
      </c>
      <c r="H503" s="3">
        <v>123</v>
      </c>
      <c r="I503" s="4">
        <v>1638.84</v>
      </c>
      <c r="J503" s="4">
        <v>8326.49</v>
      </c>
      <c r="K503" s="3">
        <v>95</v>
      </c>
      <c r="L503" s="2" t="s">
        <v>2518</v>
      </c>
      <c r="M503" s="2" t="s">
        <v>2537</v>
      </c>
    </row>
    <row r="504" spans="1:13" x14ac:dyDescent="0.3">
      <c r="A504" s="1">
        <v>45669</v>
      </c>
      <c r="B504" s="2" t="s">
        <v>2619</v>
      </c>
      <c r="C504" s="2" t="s">
        <v>2543</v>
      </c>
      <c r="D504" s="2" t="s">
        <v>2516</v>
      </c>
      <c r="E504" s="2" t="s">
        <v>2529</v>
      </c>
      <c r="F504" s="3">
        <v>62262</v>
      </c>
      <c r="G504" s="3">
        <v>1815</v>
      </c>
      <c r="H504" s="3">
        <v>47</v>
      </c>
      <c r="I504" s="4">
        <v>2974.39</v>
      </c>
      <c r="J504" s="4">
        <v>9412.1</v>
      </c>
      <c r="K504" s="3">
        <v>30</v>
      </c>
      <c r="L504" s="2" t="s">
        <v>2536</v>
      </c>
      <c r="M504" s="2" t="s">
        <v>2526</v>
      </c>
    </row>
    <row r="505" spans="1:13" x14ac:dyDescent="0.3">
      <c r="A505" s="1">
        <v>45909</v>
      </c>
      <c r="B505" s="2" t="s">
        <v>2638</v>
      </c>
      <c r="C505" s="2" t="s">
        <v>2541</v>
      </c>
      <c r="D505" s="2" t="s">
        <v>2528</v>
      </c>
      <c r="E505" s="2" t="s">
        <v>2529</v>
      </c>
      <c r="F505" s="3">
        <v>108836</v>
      </c>
      <c r="G505" s="3">
        <v>5484</v>
      </c>
      <c r="H505" s="3">
        <v>492</v>
      </c>
      <c r="I505" s="4">
        <v>5035.92</v>
      </c>
      <c r="J505" s="4">
        <v>78452.45</v>
      </c>
      <c r="K505" s="3">
        <v>322</v>
      </c>
      <c r="L505" s="2" t="s">
        <v>2539</v>
      </c>
      <c r="M505" s="2" t="s">
        <v>2537</v>
      </c>
    </row>
    <row r="506" spans="1:13" x14ac:dyDescent="0.3">
      <c r="A506" s="1">
        <v>45712</v>
      </c>
      <c r="B506" s="2" t="s">
        <v>2640</v>
      </c>
      <c r="C506" s="2" t="s">
        <v>2515</v>
      </c>
      <c r="D506" s="2" t="s">
        <v>2528</v>
      </c>
      <c r="E506" s="2" t="s">
        <v>2517</v>
      </c>
      <c r="F506" s="3">
        <v>3882</v>
      </c>
      <c r="G506" s="3">
        <v>73</v>
      </c>
      <c r="H506" s="3">
        <v>6</v>
      </c>
      <c r="I506" s="4">
        <v>147.18</v>
      </c>
      <c r="J506" s="4">
        <v>776.89</v>
      </c>
      <c r="K506" s="3">
        <v>2</v>
      </c>
      <c r="L506" s="2" t="s">
        <v>2523</v>
      </c>
      <c r="M506" s="2" t="s">
        <v>2546</v>
      </c>
    </row>
    <row r="507" spans="1:13" x14ac:dyDescent="0.3">
      <c r="A507" s="1">
        <v>45970</v>
      </c>
      <c r="B507" s="2" t="s">
        <v>2625</v>
      </c>
      <c r="C507" s="2" t="s">
        <v>2515</v>
      </c>
      <c r="D507" s="2" t="s">
        <v>2525</v>
      </c>
      <c r="E507" s="2" t="s">
        <v>2517</v>
      </c>
      <c r="F507" s="3">
        <v>56304</v>
      </c>
      <c r="G507" s="3">
        <v>3821</v>
      </c>
      <c r="H507" s="3">
        <v>433</v>
      </c>
      <c r="I507" s="4">
        <v>3408.02</v>
      </c>
      <c r="J507" s="4">
        <v>44074.75</v>
      </c>
      <c r="K507" s="3">
        <v>335</v>
      </c>
      <c r="L507" s="2" t="s">
        <v>2523</v>
      </c>
      <c r="M507" s="2" t="s">
        <v>2546</v>
      </c>
    </row>
    <row r="508" spans="1:13" x14ac:dyDescent="0.3">
      <c r="A508" s="1">
        <v>45809</v>
      </c>
      <c r="B508" s="2" t="s">
        <v>2628</v>
      </c>
      <c r="C508" s="2" t="s">
        <v>2521</v>
      </c>
      <c r="D508" s="2" t="s">
        <v>2531</v>
      </c>
      <c r="E508" s="2" t="s">
        <v>2529</v>
      </c>
      <c r="F508" s="3">
        <v>40605</v>
      </c>
      <c r="G508" s="3">
        <v>1681</v>
      </c>
      <c r="H508" s="3">
        <v>205</v>
      </c>
      <c r="I508" s="4">
        <v>1539.51</v>
      </c>
      <c r="J508" s="4">
        <v>31761.61</v>
      </c>
      <c r="K508" s="3">
        <v>178</v>
      </c>
      <c r="L508" s="2" t="s">
        <v>2523</v>
      </c>
      <c r="M508" s="2" t="s">
        <v>2519</v>
      </c>
    </row>
    <row r="509" spans="1:13" x14ac:dyDescent="0.3">
      <c r="A509" s="1">
        <v>45675</v>
      </c>
      <c r="B509" s="2" t="s">
        <v>2615</v>
      </c>
      <c r="C509" s="2" t="s">
        <v>2515</v>
      </c>
      <c r="D509" s="2" t="s">
        <v>2528</v>
      </c>
      <c r="E509" s="2" t="s">
        <v>2529</v>
      </c>
      <c r="F509" s="3">
        <v>124301</v>
      </c>
      <c r="G509" s="3">
        <v>1789</v>
      </c>
      <c r="H509" s="3">
        <v>102</v>
      </c>
      <c r="I509" s="4">
        <v>3332.17</v>
      </c>
      <c r="J509" s="4">
        <v>17294.169999999998</v>
      </c>
      <c r="K509" s="3">
        <v>74</v>
      </c>
      <c r="L509" s="2" t="s">
        <v>2539</v>
      </c>
      <c r="M509" s="2" t="s">
        <v>2546</v>
      </c>
    </row>
    <row r="510" spans="1:13" x14ac:dyDescent="0.3">
      <c r="A510" s="1">
        <v>45859</v>
      </c>
      <c r="B510" s="2" t="s">
        <v>2637</v>
      </c>
      <c r="C510" s="2" t="s">
        <v>2515</v>
      </c>
      <c r="D510" s="2" t="s">
        <v>2528</v>
      </c>
      <c r="E510" s="2" t="s">
        <v>2529</v>
      </c>
      <c r="F510" s="3">
        <v>74435</v>
      </c>
      <c r="G510" s="3">
        <v>4341</v>
      </c>
      <c r="H510" s="3">
        <v>237</v>
      </c>
      <c r="I510" s="4">
        <v>8785.98</v>
      </c>
      <c r="J510" s="4">
        <v>12314.4</v>
      </c>
      <c r="K510" s="3">
        <v>168</v>
      </c>
      <c r="L510" s="2" t="s">
        <v>2518</v>
      </c>
      <c r="M510" s="2" t="s">
        <v>2537</v>
      </c>
    </row>
    <row r="511" spans="1:13" x14ac:dyDescent="0.3">
      <c r="A511" s="1">
        <v>45812</v>
      </c>
      <c r="B511" s="2" t="s">
        <v>2631</v>
      </c>
      <c r="C511" s="2" t="s">
        <v>2533</v>
      </c>
      <c r="D511" s="2" t="s">
        <v>2528</v>
      </c>
      <c r="E511" s="2" t="s">
        <v>2517</v>
      </c>
      <c r="F511" s="3">
        <v>5731</v>
      </c>
      <c r="G511" s="3">
        <v>102</v>
      </c>
      <c r="H511" s="3">
        <v>2</v>
      </c>
      <c r="I511" s="4">
        <v>11.2</v>
      </c>
      <c r="J511" s="4">
        <v>263.91000000000003</v>
      </c>
      <c r="K511" s="3">
        <v>1</v>
      </c>
      <c r="L511" s="2" t="s">
        <v>2539</v>
      </c>
      <c r="M511" s="2" t="s">
        <v>2526</v>
      </c>
    </row>
    <row r="512" spans="1:13" x14ac:dyDescent="0.3">
      <c r="A512" s="1">
        <v>46000</v>
      </c>
      <c r="B512" s="2" t="s">
        <v>2629</v>
      </c>
      <c r="C512" s="2" t="s">
        <v>2541</v>
      </c>
      <c r="D512" s="2" t="s">
        <v>2528</v>
      </c>
      <c r="E512" s="2" t="s">
        <v>2517</v>
      </c>
      <c r="F512" s="3">
        <v>75197</v>
      </c>
      <c r="G512" s="3">
        <v>639</v>
      </c>
      <c r="H512" s="3">
        <v>80</v>
      </c>
      <c r="I512" s="4">
        <v>481.65</v>
      </c>
      <c r="J512" s="4">
        <v>5156.6099999999997</v>
      </c>
      <c r="K512" s="3">
        <v>71</v>
      </c>
      <c r="L512" s="2" t="s">
        <v>2536</v>
      </c>
      <c r="M512" s="2" t="s">
        <v>2537</v>
      </c>
    </row>
    <row r="513" spans="1:13" x14ac:dyDescent="0.3">
      <c r="A513" s="1">
        <v>45759</v>
      </c>
      <c r="B513" s="2" t="s">
        <v>2633</v>
      </c>
      <c r="C513" s="2" t="s">
        <v>2521</v>
      </c>
      <c r="D513" s="2" t="s">
        <v>2528</v>
      </c>
      <c r="E513" s="2" t="s">
        <v>2517</v>
      </c>
      <c r="F513" s="3">
        <v>6340</v>
      </c>
      <c r="G513" s="3">
        <v>122</v>
      </c>
      <c r="H513" s="3">
        <v>15</v>
      </c>
      <c r="I513" s="4">
        <v>169.89</v>
      </c>
      <c r="J513" s="4">
        <v>2481.58</v>
      </c>
      <c r="K513" s="3">
        <v>9</v>
      </c>
      <c r="L513" s="2" t="s">
        <v>2539</v>
      </c>
      <c r="M513" s="2" t="s">
        <v>2524</v>
      </c>
    </row>
    <row r="514" spans="1:13" x14ac:dyDescent="0.3">
      <c r="A514" s="1">
        <v>45885</v>
      </c>
      <c r="B514" s="2" t="s">
        <v>2628</v>
      </c>
      <c r="C514" s="2" t="s">
        <v>2521</v>
      </c>
      <c r="D514" s="2" t="s">
        <v>2528</v>
      </c>
      <c r="E514" s="2" t="s">
        <v>2529</v>
      </c>
      <c r="F514" s="3">
        <v>25158</v>
      </c>
      <c r="G514" s="3">
        <v>1323</v>
      </c>
      <c r="H514" s="3">
        <v>183</v>
      </c>
      <c r="I514" s="4">
        <v>1286.6099999999999</v>
      </c>
      <c r="J514" s="4">
        <v>21545.99</v>
      </c>
      <c r="K514" s="3">
        <v>119</v>
      </c>
      <c r="L514" s="2" t="s">
        <v>2523</v>
      </c>
      <c r="M514" s="2" t="s">
        <v>2526</v>
      </c>
    </row>
    <row r="515" spans="1:13" x14ac:dyDescent="0.3">
      <c r="A515" s="1">
        <v>45848</v>
      </c>
      <c r="B515" s="2" t="s">
        <v>2624</v>
      </c>
      <c r="C515" s="2" t="s">
        <v>2521</v>
      </c>
      <c r="D515" s="2" t="s">
        <v>2525</v>
      </c>
      <c r="E515" s="2" t="s">
        <v>2529</v>
      </c>
      <c r="F515" s="3">
        <v>167573</v>
      </c>
      <c r="G515" s="3">
        <v>1953</v>
      </c>
      <c r="H515" s="3">
        <v>71</v>
      </c>
      <c r="I515" s="4">
        <v>4005.9</v>
      </c>
      <c r="J515" s="4">
        <v>14852.83</v>
      </c>
      <c r="K515" s="3">
        <v>57</v>
      </c>
      <c r="L515" s="2" t="s">
        <v>2536</v>
      </c>
      <c r="M515" s="2" t="s">
        <v>2526</v>
      </c>
    </row>
    <row r="516" spans="1:13" x14ac:dyDescent="0.3">
      <c r="A516" s="1">
        <v>45903</v>
      </c>
      <c r="B516" s="2" t="s">
        <v>2643</v>
      </c>
      <c r="C516" s="2" t="s">
        <v>2541</v>
      </c>
      <c r="D516" s="2" t="s">
        <v>2525</v>
      </c>
      <c r="E516" s="2" t="s">
        <v>2529</v>
      </c>
      <c r="F516" s="3">
        <v>169608</v>
      </c>
      <c r="G516" s="3">
        <v>12523</v>
      </c>
      <c r="H516" s="3">
        <v>131</v>
      </c>
      <c r="I516" s="4">
        <v>17347.38</v>
      </c>
      <c r="J516" s="4">
        <v>9240.32</v>
      </c>
      <c r="K516" s="3">
        <v>62</v>
      </c>
      <c r="L516" s="2" t="s">
        <v>2536</v>
      </c>
      <c r="M516" s="2" t="s">
        <v>2537</v>
      </c>
    </row>
    <row r="517" spans="1:13" x14ac:dyDescent="0.3">
      <c r="A517" s="1">
        <v>45716</v>
      </c>
      <c r="B517" s="2" t="s">
        <v>2633</v>
      </c>
      <c r="C517" s="2" t="s">
        <v>2543</v>
      </c>
      <c r="D517" s="2" t="s">
        <v>2516</v>
      </c>
      <c r="E517" s="2" t="s">
        <v>2529</v>
      </c>
      <c r="F517" s="3">
        <v>83513</v>
      </c>
      <c r="G517" s="3">
        <v>5009</v>
      </c>
      <c r="H517" s="3">
        <v>423</v>
      </c>
      <c r="I517" s="4">
        <v>9894.7000000000007</v>
      </c>
      <c r="J517" s="4">
        <v>57772.18</v>
      </c>
      <c r="K517" s="3">
        <v>273</v>
      </c>
      <c r="L517" s="2" t="s">
        <v>2536</v>
      </c>
      <c r="M517" s="2" t="s">
        <v>2524</v>
      </c>
    </row>
    <row r="518" spans="1:13" x14ac:dyDescent="0.3">
      <c r="A518" s="1">
        <v>45859</v>
      </c>
      <c r="B518" s="2" t="s">
        <v>2630</v>
      </c>
      <c r="C518" s="2" t="s">
        <v>2515</v>
      </c>
      <c r="D518" s="2" t="s">
        <v>2528</v>
      </c>
      <c r="E518" s="2" t="s">
        <v>2517</v>
      </c>
      <c r="F518" s="3">
        <v>91618</v>
      </c>
      <c r="G518" s="3">
        <v>954</v>
      </c>
      <c r="H518" s="3">
        <v>11</v>
      </c>
      <c r="I518" s="4">
        <v>1289.6300000000001</v>
      </c>
      <c r="J518" s="4">
        <v>981.21</v>
      </c>
      <c r="K518" s="3">
        <v>6</v>
      </c>
      <c r="L518" s="2" t="s">
        <v>2518</v>
      </c>
      <c r="M518" s="2" t="s">
        <v>2537</v>
      </c>
    </row>
    <row r="519" spans="1:13" x14ac:dyDescent="0.3">
      <c r="A519" s="1">
        <v>45816</v>
      </c>
      <c r="B519" s="2" t="s">
        <v>2632</v>
      </c>
      <c r="C519" s="2" t="s">
        <v>2521</v>
      </c>
      <c r="D519" s="2" t="s">
        <v>2528</v>
      </c>
      <c r="E519" s="2" t="s">
        <v>2517</v>
      </c>
      <c r="F519" s="3">
        <v>70587</v>
      </c>
      <c r="G519" s="3">
        <v>4263</v>
      </c>
      <c r="H519" s="3">
        <v>262</v>
      </c>
      <c r="I519" s="4">
        <v>7505.75</v>
      </c>
      <c r="J519" s="4">
        <v>25218.16</v>
      </c>
      <c r="K519" s="3">
        <v>128</v>
      </c>
      <c r="L519" s="2" t="s">
        <v>2539</v>
      </c>
      <c r="M519" s="2" t="s">
        <v>2519</v>
      </c>
    </row>
    <row r="520" spans="1:13" x14ac:dyDescent="0.3">
      <c r="A520" s="1">
        <v>46014</v>
      </c>
      <c r="B520" s="2" t="s">
        <v>2644</v>
      </c>
      <c r="C520" s="2" t="s">
        <v>2527</v>
      </c>
      <c r="D520" s="2" t="s">
        <v>2525</v>
      </c>
      <c r="E520" s="2" t="s">
        <v>2517</v>
      </c>
      <c r="F520" s="3">
        <v>135586</v>
      </c>
      <c r="G520" s="3">
        <v>8967</v>
      </c>
      <c r="H520" s="3">
        <v>1001</v>
      </c>
      <c r="I520" s="4">
        <v>4618.6899999999996</v>
      </c>
      <c r="J520" s="4">
        <v>161944.57</v>
      </c>
      <c r="K520" s="3">
        <v>794</v>
      </c>
      <c r="L520" s="2" t="s">
        <v>2523</v>
      </c>
      <c r="M520" s="2" t="s">
        <v>2524</v>
      </c>
    </row>
    <row r="521" spans="1:13" x14ac:dyDescent="0.3">
      <c r="A521" s="1">
        <v>45739</v>
      </c>
      <c r="B521" s="2" t="s">
        <v>2624</v>
      </c>
      <c r="C521" s="2" t="s">
        <v>2527</v>
      </c>
      <c r="D521" s="2" t="s">
        <v>2528</v>
      </c>
      <c r="E521" s="2" t="s">
        <v>2517</v>
      </c>
      <c r="F521" s="3">
        <v>123898</v>
      </c>
      <c r="G521" s="3">
        <v>7711</v>
      </c>
      <c r="H521" s="3">
        <v>554</v>
      </c>
      <c r="I521" s="4">
        <v>8737.2199999999993</v>
      </c>
      <c r="J521" s="4">
        <v>71905.38</v>
      </c>
      <c r="K521" s="3">
        <v>377</v>
      </c>
      <c r="L521" s="2" t="s">
        <v>2518</v>
      </c>
      <c r="M521" s="2" t="s">
        <v>2537</v>
      </c>
    </row>
    <row r="522" spans="1:13" x14ac:dyDescent="0.3">
      <c r="A522" s="1">
        <v>45760</v>
      </c>
      <c r="B522" s="2" t="s">
        <v>2623</v>
      </c>
      <c r="C522" s="2" t="s">
        <v>2533</v>
      </c>
      <c r="D522" s="2" t="s">
        <v>2525</v>
      </c>
      <c r="E522" s="2" t="s">
        <v>2517</v>
      </c>
      <c r="F522" s="3">
        <v>50197</v>
      </c>
      <c r="G522" s="3">
        <v>3435</v>
      </c>
      <c r="H522" s="3">
        <v>293</v>
      </c>
      <c r="I522" s="4">
        <v>652.86</v>
      </c>
      <c r="J522" s="4">
        <v>24762.57</v>
      </c>
      <c r="K522" s="3">
        <v>213</v>
      </c>
      <c r="L522" s="2" t="s">
        <v>2539</v>
      </c>
      <c r="M522" s="2" t="s">
        <v>2537</v>
      </c>
    </row>
    <row r="523" spans="1:13" x14ac:dyDescent="0.3">
      <c r="A523" s="1">
        <v>45910</v>
      </c>
      <c r="B523" s="2" t="s">
        <v>2619</v>
      </c>
      <c r="C523" s="2" t="s">
        <v>2541</v>
      </c>
      <c r="D523" s="2" t="s">
        <v>2516</v>
      </c>
      <c r="E523" s="2" t="s">
        <v>2517</v>
      </c>
      <c r="F523" s="3">
        <v>85059</v>
      </c>
      <c r="G523" s="3">
        <v>4913</v>
      </c>
      <c r="H523" s="3">
        <v>440</v>
      </c>
      <c r="I523" s="4">
        <v>7424.84</v>
      </c>
      <c r="J523" s="4">
        <v>57954.559999999998</v>
      </c>
      <c r="K523" s="3">
        <v>206</v>
      </c>
      <c r="L523" s="2" t="s">
        <v>2539</v>
      </c>
      <c r="M523" s="2" t="s">
        <v>2519</v>
      </c>
    </row>
    <row r="524" spans="1:13" x14ac:dyDescent="0.3">
      <c r="A524" s="1">
        <v>45908</v>
      </c>
      <c r="B524" s="2" t="s">
        <v>2637</v>
      </c>
      <c r="C524" s="2" t="s">
        <v>2515</v>
      </c>
      <c r="D524" s="2" t="s">
        <v>2516</v>
      </c>
      <c r="E524" s="2" t="s">
        <v>2517</v>
      </c>
      <c r="F524" s="3">
        <v>132539</v>
      </c>
      <c r="G524" s="3">
        <v>8958</v>
      </c>
      <c r="H524" s="3">
        <v>451</v>
      </c>
      <c r="I524" s="4">
        <v>10437.58</v>
      </c>
      <c r="J524" s="4">
        <v>55712.15</v>
      </c>
      <c r="K524" s="3">
        <v>371</v>
      </c>
      <c r="L524" s="2" t="s">
        <v>2536</v>
      </c>
      <c r="M524" s="2" t="s">
        <v>2546</v>
      </c>
    </row>
    <row r="525" spans="1:13" x14ac:dyDescent="0.3">
      <c r="A525" s="1">
        <v>45791</v>
      </c>
      <c r="B525" s="2" t="s">
        <v>2624</v>
      </c>
      <c r="C525" s="2" t="s">
        <v>2527</v>
      </c>
      <c r="D525" s="2" t="s">
        <v>2525</v>
      </c>
      <c r="E525" s="2" t="s">
        <v>2517</v>
      </c>
      <c r="F525" s="3">
        <v>13308</v>
      </c>
      <c r="G525" s="3">
        <v>380</v>
      </c>
      <c r="H525" s="3">
        <v>26</v>
      </c>
      <c r="I525" s="4">
        <v>400.15</v>
      </c>
      <c r="J525" s="4">
        <v>4777.84</v>
      </c>
      <c r="K525" s="3">
        <v>19</v>
      </c>
      <c r="L525" s="2" t="s">
        <v>2536</v>
      </c>
      <c r="M525" s="2" t="s">
        <v>2519</v>
      </c>
    </row>
    <row r="526" spans="1:13" x14ac:dyDescent="0.3">
      <c r="A526" s="1">
        <v>46015</v>
      </c>
      <c r="B526" s="2" t="s">
        <v>2627</v>
      </c>
      <c r="C526" s="2" t="s">
        <v>2543</v>
      </c>
      <c r="D526" s="2" t="s">
        <v>2528</v>
      </c>
      <c r="E526" s="2" t="s">
        <v>2517</v>
      </c>
      <c r="F526" s="3">
        <v>138585</v>
      </c>
      <c r="G526" s="3">
        <v>8238</v>
      </c>
      <c r="H526" s="3">
        <v>1013</v>
      </c>
      <c r="I526" s="4">
        <v>11972.56</v>
      </c>
      <c r="J526" s="4">
        <v>130558.93</v>
      </c>
      <c r="K526" s="3">
        <v>833</v>
      </c>
      <c r="L526" s="2" t="s">
        <v>2539</v>
      </c>
      <c r="M526" s="2" t="s">
        <v>2546</v>
      </c>
    </row>
    <row r="527" spans="1:13" x14ac:dyDescent="0.3">
      <c r="A527" s="1">
        <v>45730</v>
      </c>
      <c r="B527" s="2" t="s">
        <v>2639</v>
      </c>
      <c r="C527" s="2" t="s">
        <v>2521</v>
      </c>
      <c r="D527" s="2" t="s">
        <v>2528</v>
      </c>
      <c r="E527" s="2" t="s">
        <v>2529</v>
      </c>
      <c r="F527" s="3">
        <v>138022</v>
      </c>
      <c r="G527" s="3">
        <v>2106</v>
      </c>
      <c r="H527" s="3">
        <v>281</v>
      </c>
      <c r="I527" s="4">
        <v>3341.61</v>
      </c>
      <c r="J527" s="4">
        <v>26440.59</v>
      </c>
      <c r="K527" s="3">
        <v>190</v>
      </c>
      <c r="L527" s="2" t="s">
        <v>2539</v>
      </c>
      <c r="M527" s="2" t="s">
        <v>2524</v>
      </c>
    </row>
    <row r="528" spans="1:13" x14ac:dyDescent="0.3">
      <c r="A528" s="1">
        <v>45718</v>
      </c>
      <c r="B528" s="2" t="s">
        <v>2618</v>
      </c>
      <c r="C528" s="2" t="s">
        <v>2541</v>
      </c>
      <c r="D528" s="2" t="s">
        <v>2516</v>
      </c>
      <c r="E528" s="2" t="s">
        <v>2517</v>
      </c>
      <c r="F528" s="3">
        <v>59089</v>
      </c>
      <c r="G528" s="3">
        <v>5218</v>
      </c>
      <c r="H528" s="3">
        <v>659</v>
      </c>
      <c r="I528" s="4">
        <v>5609.93</v>
      </c>
      <c r="J528" s="4">
        <v>144502.79</v>
      </c>
      <c r="K528" s="3">
        <v>345</v>
      </c>
      <c r="L528" s="2" t="s">
        <v>2518</v>
      </c>
      <c r="M528" s="2" t="s">
        <v>2526</v>
      </c>
    </row>
    <row r="529" spans="1:13" x14ac:dyDescent="0.3">
      <c r="A529" s="1">
        <v>45950</v>
      </c>
      <c r="B529" s="2" t="s">
        <v>2631</v>
      </c>
      <c r="C529" s="2" t="s">
        <v>2527</v>
      </c>
      <c r="D529" s="2" t="s">
        <v>2528</v>
      </c>
      <c r="E529" s="2" t="s">
        <v>2517</v>
      </c>
      <c r="F529" s="3">
        <v>130778</v>
      </c>
      <c r="G529" s="3">
        <v>8568</v>
      </c>
      <c r="H529" s="3">
        <v>1168</v>
      </c>
      <c r="I529" s="4">
        <v>10774.75</v>
      </c>
      <c r="J529" s="4">
        <v>94265.13</v>
      </c>
      <c r="K529" s="3">
        <v>863</v>
      </c>
      <c r="L529" s="2" t="s">
        <v>2518</v>
      </c>
      <c r="M529" s="2" t="s">
        <v>2645</v>
      </c>
    </row>
    <row r="530" spans="1:13" x14ac:dyDescent="0.3">
      <c r="A530" s="1">
        <v>45703</v>
      </c>
      <c r="B530" s="2" t="s">
        <v>2616</v>
      </c>
      <c r="C530" s="2" t="s">
        <v>2541</v>
      </c>
      <c r="D530" s="2" t="s">
        <v>2528</v>
      </c>
      <c r="E530" s="2" t="s">
        <v>2534</v>
      </c>
      <c r="F530" s="3">
        <v>7197</v>
      </c>
      <c r="G530" s="3">
        <v>95</v>
      </c>
      <c r="H530" s="3">
        <v>9</v>
      </c>
      <c r="I530" s="4">
        <v>160.38</v>
      </c>
      <c r="J530" s="4">
        <v>1121.53</v>
      </c>
      <c r="K530" s="3">
        <v>4</v>
      </c>
      <c r="L530" s="2" t="s">
        <v>2518</v>
      </c>
      <c r="M530" s="2" t="s">
        <v>2537</v>
      </c>
    </row>
    <row r="531" spans="1:13" x14ac:dyDescent="0.3">
      <c r="A531" s="1">
        <v>45969</v>
      </c>
      <c r="B531" s="2" t="s">
        <v>2637</v>
      </c>
      <c r="C531" s="2" t="s">
        <v>2515</v>
      </c>
      <c r="D531" s="2" t="s">
        <v>2522</v>
      </c>
      <c r="E531" s="2" t="s">
        <v>2529</v>
      </c>
      <c r="F531" s="3">
        <v>55259</v>
      </c>
      <c r="G531" s="3">
        <v>3076</v>
      </c>
      <c r="H531" s="3">
        <v>199</v>
      </c>
      <c r="I531" s="4">
        <v>4397.83</v>
      </c>
      <c r="J531" s="4">
        <v>9510.76</v>
      </c>
      <c r="K531" s="3">
        <v>100</v>
      </c>
      <c r="L531" s="2" t="s">
        <v>2536</v>
      </c>
      <c r="M531" s="2" t="s">
        <v>2546</v>
      </c>
    </row>
    <row r="532" spans="1:13" x14ac:dyDescent="0.3">
      <c r="A532" s="1">
        <v>45768</v>
      </c>
      <c r="B532" s="2" t="s">
        <v>2631</v>
      </c>
      <c r="C532" s="2" t="s">
        <v>2515</v>
      </c>
      <c r="D532" s="2" t="s">
        <v>2528</v>
      </c>
      <c r="E532" s="2" t="s">
        <v>2517</v>
      </c>
      <c r="F532" s="3">
        <v>158415</v>
      </c>
      <c r="G532" s="3">
        <v>1114</v>
      </c>
      <c r="H532" s="3">
        <v>54</v>
      </c>
      <c r="I532" s="4">
        <v>910.04</v>
      </c>
      <c r="J532" s="4">
        <v>7523.75</v>
      </c>
      <c r="K532" s="3">
        <v>37</v>
      </c>
      <c r="L532" s="2" t="s">
        <v>2539</v>
      </c>
      <c r="M532" s="2" t="s">
        <v>2537</v>
      </c>
    </row>
    <row r="533" spans="1:13" x14ac:dyDescent="0.3">
      <c r="A533" s="1">
        <v>45918</v>
      </c>
      <c r="B533" s="2" t="s">
        <v>2621</v>
      </c>
      <c r="C533" s="2" t="s">
        <v>2541</v>
      </c>
      <c r="D533" s="2" t="s">
        <v>2528</v>
      </c>
      <c r="E533" s="2" t="s">
        <v>2517</v>
      </c>
      <c r="F533" s="3">
        <v>25674</v>
      </c>
      <c r="G533" s="3">
        <v>1385</v>
      </c>
      <c r="H533" s="3">
        <v>191</v>
      </c>
      <c r="I533" s="4">
        <v>2838.08</v>
      </c>
      <c r="J533" s="4">
        <v>32470.39</v>
      </c>
      <c r="K533" s="3">
        <v>165</v>
      </c>
      <c r="L533" s="2" t="s">
        <v>2518</v>
      </c>
      <c r="M533" s="2" t="s">
        <v>2524</v>
      </c>
    </row>
    <row r="534" spans="1:13" x14ac:dyDescent="0.3">
      <c r="A534" s="1">
        <v>46010</v>
      </c>
      <c r="B534" s="2" t="s">
        <v>2636</v>
      </c>
      <c r="C534" s="2" t="s">
        <v>2543</v>
      </c>
      <c r="D534" s="2" t="s">
        <v>2516</v>
      </c>
      <c r="E534" s="2" t="s">
        <v>2529</v>
      </c>
      <c r="F534" s="3">
        <v>134740</v>
      </c>
      <c r="G534" s="3">
        <v>1889</v>
      </c>
      <c r="H534" s="3">
        <v>158</v>
      </c>
      <c r="I534" s="4">
        <v>2162.62</v>
      </c>
      <c r="J534" s="4">
        <v>9584.8700000000008</v>
      </c>
      <c r="K534" s="3">
        <v>110</v>
      </c>
      <c r="L534" s="2" t="s">
        <v>2539</v>
      </c>
      <c r="M534" s="2" t="s">
        <v>2526</v>
      </c>
    </row>
    <row r="535" spans="1:13" x14ac:dyDescent="0.3">
      <c r="A535" s="1">
        <v>45676</v>
      </c>
      <c r="B535" s="2" t="s">
        <v>2634</v>
      </c>
      <c r="C535" s="2" t="s">
        <v>2515</v>
      </c>
      <c r="D535" s="2" t="s">
        <v>2522</v>
      </c>
      <c r="E535" s="2" t="s">
        <v>2529</v>
      </c>
      <c r="F535" s="3">
        <v>41430</v>
      </c>
      <c r="G535" s="3">
        <v>1764</v>
      </c>
      <c r="H535" s="3">
        <v>45</v>
      </c>
      <c r="I535" s="4">
        <v>1319.49</v>
      </c>
      <c r="J535" s="4">
        <v>3724.67</v>
      </c>
      <c r="K535" s="3">
        <v>22</v>
      </c>
      <c r="L535" s="2" t="s">
        <v>2536</v>
      </c>
      <c r="M535" s="2" t="s">
        <v>2524</v>
      </c>
    </row>
    <row r="536" spans="1:13" x14ac:dyDescent="0.3">
      <c r="A536" s="1">
        <v>45774</v>
      </c>
      <c r="B536" s="2" t="s">
        <v>2636</v>
      </c>
      <c r="C536" s="2" t="s">
        <v>2527</v>
      </c>
      <c r="D536" s="2" t="s">
        <v>2528</v>
      </c>
      <c r="E536" s="2" t="s">
        <v>2529</v>
      </c>
      <c r="F536" s="3">
        <v>76076</v>
      </c>
      <c r="G536" s="3">
        <v>6252</v>
      </c>
      <c r="H536" s="3">
        <v>88</v>
      </c>
      <c r="I536" s="4">
        <v>12712.37</v>
      </c>
      <c r="J536" s="4">
        <v>5792.79</v>
      </c>
      <c r="K536" s="3">
        <v>69</v>
      </c>
      <c r="L536" s="2" t="s">
        <v>2539</v>
      </c>
      <c r="M536" s="2" t="s">
        <v>2526</v>
      </c>
    </row>
    <row r="537" spans="1:13" x14ac:dyDescent="0.3">
      <c r="A537" s="1">
        <v>45908</v>
      </c>
      <c r="B537" s="2" t="s">
        <v>2637</v>
      </c>
      <c r="C537" s="2" t="s">
        <v>2521</v>
      </c>
      <c r="D537" s="2" t="s">
        <v>2525</v>
      </c>
      <c r="E537" s="2" t="s">
        <v>2534</v>
      </c>
      <c r="F537" s="3">
        <v>35282</v>
      </c>
      <c r="G537" s="3">
        <v>2628</v>
      </c>
      <c r="H537" s="3">
        <v>72</v>
      </c>
      <c r="I537" s="4">
        <v>1105.06</v>
      </c>
      <c r="J537" s="4">
        <v>2969.77</v>
      </c>
      <c r="K537" s="3">
        <v>64</v>
      </c>
      <c r="L537" s="2" t="s">
        <v>2539</v>
      </c>
      <c r="M537" s="2" t="s">
        <v>2519</v>
      </c>
    </row>
    <row r="538" spans="1:13" x14ac:dyDescent="0.3">
      <c r="A538" s="1">
        <v>45675</v>
      </c>
      <c r="B538" s="2" t="s">
        <v>2635</v>
      </c>
      <c r="C538" s="2" t="s">
        <v>2533</v>
      </c>
      <c r="D538" s="2" t="s">
        <v>2528</v>
      </c>
      <c r="E538" s="2" t="s">
        <v>2517</v>
      </c>
      <c r="F538" s="3">
        <v>126334</v>
      </c>
      <c r="G538" s="3">
        <v>9346</v>
      </c>
      <c r="H538" s="3">
        <v>246</v>
      </c>
      <c r="I538" s="4">
        <v>4917.71</v>
      </c>
      <c r="J538" s="4">
        <v>15174.97</v>
      </c>
      <c r="K538" s="3">
        <v>133</v>
      </c>
      <c r="L538" s="2" t="s">
        <v>2536</v>
      </c>
      <c r="M538" s="2" t="s">
        <v>2526</v>
      </c>
    </row>
    <row r="539" spans="1:13" x14ac:dyDescent="0.3">
      <c r="A539" s="1">
        <v>45677</v>
      </c>
      <c r="B539" s="2" t="s">
        <v>2644</v>
      </c>
      <c r="C539" s="2" t="s">
        <v>2543</v>
      </c>
      <c r="D539" s="2" t="s">
        <v>2525</v>
      </c>
      <c r="E539" s="2" t="s">
        <v>2529</v>
      </c>
      <c r="F539" s="3">
        <v>170456</v>
      </c>
      <c r="G539" s="3">
        <v>3801</v>
      </c>
      <c r="H539" s="3">
        <v>153</v>
      </c>
      <c r="I539" s="4">
        <v>1729.77</v>
      </c>
      <c r="J539" s="4">
        <v>32060.02</v>
      </c>
      <c r="K539" s="3">
        <v>71</v>
      </c>
      <c r="L539" s="2" t="s">
        <v>2539</v>
      </c>
      <c r="M539" s="2" t="s">
        <v>2524</v>
      </c>
    </row>
    <row r="540" spans="1:13" x14ac:dyDescent="0.3">
      <c r="A540" s="1">
        <v>45959</v>
      </c>
      <c r="B540" s="2" t="s">
        <v>2625</v>
      </c>
      <c r="C540" s="2" t="s">
        <v>2541</v>
      </c>
      <c r="D540" s="2" t="s">
        <v>2516</v>
      </c>
      <c r="E540" s="2" t="s">
        <v>2529</v>
      </c>
      <c r="F540" s="3">
        <v>160113</v>
      </c>
      <c r="G540" s="3">
        <v>7821</v>
      </c>
      <c r="H540" s="3">
        <v>487</v>
      </c>
      <c r="I540" s="4">
        <v>15375.48</v>
      </c>
      <c r="J540" s="4">
        <v>84113.12</v>
      </c>
      <c r="K540" s="3">
        <v>263</v>
      </c>
      <c r="L540" s="2" t="s">
        <v>2523</v>
      </c>
      <c r="M540" s="2" t="s">
        <v>2519</v>
      </c>
    </row>
    <row r="541" spans="1:13" x14ac:dyDescent="0.3">
      <c r="A541" s="1">
        <v>45779</v>
      </c>
      <c r="B541" s="2" t="s">
        <v>2618</v>
      </c>
      <c r="C541" s="2" t="s">
        <v>2541</v>
      </c>
      <c r="D541" s="2" t="s">
        <v>2531</v>
      </c>
      <c r="E541" s="2" t="s">
        <v>2534</v>
      </c>
      <c r="F541" s="3">
        <v>171194</v>
      </c>
      <c r="G541" s="3">
        <v>8972</v>
      </c>
      <c r="H541" s="3">
        <v>723</v>
      </c>
      <c r="I541" s="4">
        <v>4497.55</v>
      </c>
      <c r="J541" s="4">
        <v>134133.66</v>
      </c>
      <c r="K541" s="3">
        <v>352</v>
      </c>
      <c r="L541" s="2" t="s">
        <v>2539</v>
      </c>
      <c r="M541" s="2" t="s">
        <v>2537</v>
      </c>
    </row>
    <row r="542" spans="1:13" x14ac:dyDescent="0.3">
      <c r="A542" s="1">
        <v>45896</v>
      </c>
      <c r="B542" s="2" t="s">
        <v>2619</v>
      </c>
      <c r="C542" s="2" t="s">
        <v>2533</v>
      </c>
      <c r="D542" s="2" t="s">
        <v>2528</v>
      </c>
      <c r="E542" s="2" t="s">
        <v>2529</v>
      </c>
      <c r="F542" s="3">
        <v>106927</v>
      </c>
      <c r="G542" s="3">
        <v>7189</v>
      </c>
      <c r="H542" s="3">
        <v>972</v>
      </c>
      <c r="I542" s="4">
        <v>7497.92</v>
      </c>
      <c r="J542" s="4">
        <v>47868.88</v>
      </c>
      <c r="K542" s="3">
        <v>558</v>
      </c>
      <c r="L542" s="2" t="s">
        <v>2536</v>
      </c>
      <c r="M542" s="2" t="s">
        <v>2524</v>
      </c>
    </row>
    <row r="543" spans="1:13" x14ac:dyDescent="0.3">
      <c r="A543" s="1">
        <v>45948</v>
      </c>
      <c r="B543" s="2" t="s">
        <v>2638</v>
      </c>
      <c r="C543" s="2" t="s">
        <v>2521</v>
      </c>
      <c r="D543" s="2" t="s">
        <v>2528</v>
      </c>
      <c r="E543" s="2" t="s">
        <v>2517</v>
      </c>
      <c r="F543" s="3">
        <v>52188</v>
      </c>
      <c r="G543" s="3">
        <v>795</v>
      </c>
      <c r="H543" s="3">
        <v>21</v>
      </c>
      <c r="I543" s="4">
        <v>1482.99</v>
      </c>
      <c r="J543" s="4">
        <v>1736.66</v>
      </c>
      <c r="K543" s="3">
        <v>17</v>
      </c>
      <c r="L543" s="2" t="s">
        <v>2536</v>
      </c>
      <c r="M543" s="2" t="s">
        <v>2526</v>
      </c>
    </row>
    <row r="544" spans="1:13" x14ac:dyDescent="0.3">
      <c r="A544" s="1">
        <v>45935</v>
      </c>
      <c r="B544" s="2" t="s">
        <v>2630</v>
      </c>
      <c r="C544" s="2" t="s">
        <v>2521</v>
      </c>
      <c r="D544" s="2" t="s">
        <v>2528</v>
      </c>
      <c r="E544" s="2" t="s">
        <v>2517</v>
      </c>
      <c r="F544" s="3">
        <v>44539</v>
      </c>
      <c r="G544" s="3">
        <v>3798</v>
      </c>
      <c r="H544" s="3">
        <v>334</v>
      </c>
      <c r="I544" s="4">
        <v>2992.84</v>
      </c>
      <c r="J544" s="4">
        <v>36798.730000000003</v>
      </c>
      <c r="K544" s="3">
        <v>237</v>
      </c>
      <c r="L544" s="2" t="s">
        <v>2523</v>
      </c>
      <c r="M544" s="2" t="s">
        <v>2546</v>
      </c>
    </row>
    <row r="545" spans="1:13" x14ac:dyDescent="0.3">
      <c r="A545" s="1">
        <v>45856</v>
      </c>
      <c r="B545" s="2" t="s">
        <v>2627</v>
      </c>
      <c r="C545" s="2" t="s">
        <v>2527</v>
      </c>
      <c r="D545" s="2" t="s">
        <v>2531</v>
      </c>
      <c r="E545" s="2" t="s">
        <v>2529</v>
      </c>
      <c r="F545" s="3">
        <v>125485</v>
      </c>
      <c r="G545" s="3">
        <v>4174</v>
      </c>
      <c r="H545" s="3">
        <v>413</v>
      </c>
      <c r="I545" s="4">
        <v>5305.02</v>
      </c>
      <c r="J545" s="4">
        <v>69968.84</v>
      </c>
      <c r="K545" s="3">
        <v>266</v>
      </c>
      <c r="L545" s="2" t="s">
        <v>2518</v>
      </c>
      <c r="M545" s="2" t="s">
        <v>2526</v>
      </c>
    </row>
    <row r="546" spans="1:13" x14ac:dyDescent="0.3">
      <c r="A546" s="1">
        <v>45882</v>
      </c>
      <c r="B546" s="2" t="s">
        <v>2617</v>
      </c>
      <c r="C546" s="2" t="s">
        <v>2515</v>
      </c>
      <c r="D546" s="2" t="s">
        <v>2531</v>
      </c>
      <c r="E546" s="2" t="s">
        <v>2529</v>
      </c>
      <c r="F546" s="3">
        <v>106819</v>
      </c>
      <c r="G546" s="3">
        <v>6457</v>
      </c>
      <c r="H546" s="3">
        <v>261</v>
      </c>
      <c r="I546" s="4">
        <v>13028.48</v>
      </c>
      <c r="J546" s="4">
        <v>53526.559999999998</v>
      </c>
      <c r="K546" s="3">
        <v>164</v>
      </c>
      <c r="L546" s="2" t="s">
        <v>2518</v>
      </c>
      <c r="M546" s="2" t="s">
        <v>2524</v>
      </c>
    </row>
    <row r="547" spans="1:13" x14ac:dyDescent="0.3">
      <c r="A547" s="1">
        <v>46011</v>
      </c>
      <c r="B547" s="2" t="s">
        <v>2643</v>
      </c>
      <c r="C547" s="2" t="s">
        <v>2515</v>
      </c>
      <c r="D547" s="2" t="s">
        <v>2528</v>
      </c>
      <c r="E547" s="2" t="s">
        <v>2529</v>
      </c>
      <c r="F547" s="3">
        <v>26059</v>
      </c>
      <c r="G547" s="3">
        <v>427</v>
      </c>
      <c r="H547" s="3">
        <v>22</v>
      </c>
      <c r="I547" s="4">
        <v>271.81</v>
      </c>
      <c r="J547" s="4">
        <v>3786.04</v>
      </c>
      <c r="K547" s="3">
        <v>18</v>
      </c>
      <c r="L547" s="2" t="s">
        <v>2518</v>
      </c>
      <c r="M547" s="2" t="s">
        <v>2519</v>
      </c>
    </row>
    <row r="548" spans="1:13" x14ac:dyDescent="0.3">
      <c r="A548" s="1">
        <v>45682</v>
      </c>
      <c r="B548" s="2" t="s">
        <v>2631</v>
      </c>
      <c r="C548" s="2" t="s">
        <v>2533</v>
      </c>
      <c r="D548" s="2" t="s">
        <v>2531</v>
      </c>
      <c r="E548" s="2" t="s">
        <v>2534</v>
      </c>
      <c r="F548" s="3">
        <v>49350</v>
      </c>
      <c r="G548" s="3">
        <v>955</v>
      </c>
      <c r="H548" s="3">
        <v>44</v>
      </c>
      <c r="I548" s="4">
        <v>1281.1400000000001</v>
      </c>
      <c r="J548" s="4">
        <v>8267.9</v>
      </c>
      <c r="K548" s="3">
        <v>29</v>
      </c>
      <c r="L548" s="2" t="s">
        <v>2539</v>
      </c>
      <c r="M548" s="2" t="s">
        <v>2519</v>
      </c>
    </row>
    <row r="549" spans="1:13" x14ac:dyDescent="0.3">
      <c r="A549" s="1">
        <v>45805</v>
      </c>
      <c r="B549" s="2" t="s">
        <v>2634</v>
      </c>
      <c r="C549" s="2" t="s">
        <v>2645</v>
      </c>
      <c r="D549" s="2" t="s">
        <v>2531</v>
      </c>
      <c r="E549" s="2" t="s">
        <v>2534</v>
      </c>
      <c r="F549" s="3">
        <v>120476</v>
      </c>
      <c r="G549" s="3">
        <v>6343</v>
      </c>
      <c r="H549" s="3">
        <v>51</v>
      </c>
      <c r="I549" s="4">
        <v>2115.96</v>
      </c>
      <c r="J549" s="4">
        <v>6349.25</v>
      </c>
      <c r="K549" s="3">
        <v>34</v>
      </c>
      <c r="L549" s="2" t="s">
        <v>2518</v>
      </c>
      <c r="M549" s="2" t="s">
        <v>2519</v>
      </c>
    </row>
    <row r="550" spans="1:13" x14ac:dyDescent="0.3">
      <c r="A550" s="1">
        <v>45803</v>
      </c>
      <c r="B550" s="2" t="s">
        <v>2626</v>
      </c>
      <c r="C550" s="2" t="s">
        <v>2515</v>
      </c>
      <c r="D550" s="2" t="s">
        <v>2528</v>
      </c>
      <c r="E550" s="2" t="s">
        <v>2529</v>
      </c>
      <c r="F550" s="3">
        <v>56913</v>
      </c>
      <c r="G550" s="3">
        <v>935</v>
      </c>
      <c r="H550" s="3">
        <v>30</v>
      </c>
      <c r="I550" s="4">
        <v>1248.47</v>
      </c>
      <c r="J550" s="4">
        <v>1651.84</v>
      </c>
      <c r="K550" s="3">
        <v>18</v>
      </c>
      <c r="L550" s="2" t="s">
        <v>2539</v>
      </c>
      <c r="M550" s="2" t="s">
        <v>2537</v>
      </c>
    </row>
    <row r="551" spans="1:13" x14ac:dyDescent="0.3">
      <c r="A551" s="1">
        <v>46018</v>
      </c>
      <c r="B551" s="2" t="s">
        <v>2623</v>
      </c>
      <c r="C551" s="2" t="s">
        <v>2543</v>
      </c>
      <c r="D551" s="2" t="s">
        <v>2528</v>
      </c>
      <c r="E551" s="2" t="s">
        <v>2529</v>
      </c>
      <c r="F551" s="3">
        <v>74281</v>
      </c>
      <c r="G551" s="3">
        <v>6672</v>
      </c>
      <c r="H551" s="3">
        <v>679</v>
      </c>
      <c r="I551" s="4">
        <v>11982.8</v>
      </c>
      <c r="J551" s="4">
        <v>86471.32</v>
      </c>
      <c r="K551" s="3">
        <v>431</v>
      </c>
      <c r="L551" s="2" t="s">
        <v>2523</v>
      </c>
      <c r="M551" s="2" t="s">
        <v>2526</v>
      </c>
    </row>
    <row r="552" spans="1:13" x14ac:dyDescent="0.3">
      <c r="A552" s="1">
        <v>45749</v>
      </c>
      <c r="B552" s="2" t="s">
        <v>2641</v>
      </c>
      <c r="C552" s="2" t="s">
        <v>2515</v>
      </c>
      <c r="D552" s="2" t="s">
        <v>2531</v>
      </c>
      <c r="E552" s="2" t="s">
        <v>2517</v>
      </c>
      <c r="F552" s="3">
        <v>42773</v>
      </c>
      <c r="G552" s="3">
        <v>2533</v>
      </c>
      <c r="H552" s="3">
        <v>186</v>
      </c>
      <c r="I552" s="4">
        <v>3024.78</v>
      </c>
      <c r="J552" s="4">
        <v>5936.8</v>
      </c>
      <c r="K552" s="3">
        <v>110</v>
      </c>
      <c r="L552" s="2" t="s">
        <v>2539</v>
      </c>
      <c r="M552" s="2" t="s">
        <v>2537</v>
      </c>
    </row>
    <row r="553" spans="1:13" x14ac:dyDescent="0.3">
      <c r="A553" s="1">
        <v>45662</v>
      </c>
      <c r="B553" s="2" t="s">
        <v>2615</v>
      </c>
      <c r="C553" s="2" t="s">
        <v>2541</v>
      </c>
      <c r="D553" s="2" t="s">
        <v>2528</v>
      </c>
      <c r="E553" s="2" t="s">
        <v>2517</v>
      </c>
      <c r="F553" s="3">
        <v>70617</v>
      </c>
      <c r="G553" s="3">
        <v>6249</v>
      </c>
      <c r="H553" s="3">
        <v>100</v>
      </c>
      <c r="I553" s="4">
        <v>11461.52</v>
      </c>
      <c r="J553" s="4">
        <v>4341.01</v>
      </c>
      <c r="K553" s="3">
        <v>54</v>
      </c>
      <c r="L553" s="2" t="s">
        <v>2539</v>
      </c>
      <c r="M553" s="2" t="s">
        <v>2519</v>
      </c>
    </row>
    <row r="554" spans="1:13" x14ac:dyDescent="0.3">
      <c r="A554" s="1">
        <v>45825</v>
      </c>
      <c r="B554" s="2" t="s">
        <v>2642</v>
      </c>
      <c r="C554" s="2" t="s">
        <v>2527</v>
      </c>
      <c r="D554" s="2" t="s">
        <v>2528</v>
      </c>
      <c r="E554" s="2" t="s">
        <v>2517</v>
      </c>
      <c r="F554" s="3">
        <v>74727</v>
      </c>
      <c r="G554" s="3">
        <v>830</v>
      </c>
      <c r="H554" s="3">
        <v>86</v>
      </c>
      <c r="I554" s="4">
        <v>711.37</v>
      </c>
      <c r="J554" s="4">
        <v>11249.76</v>
      </c>
      <c r="K554" s="3">
        <v>40</v>
      </c>
      <c r="L554" s="2" t="s">
        <v>2536</v>
      </c>
      <c r="M554" s="2" t="s">
        <v>2537</v>
      </c>
    </row>
    <row r="555" spans="1:13" x14ac:dyDescent="0.3">
      <c r="A555" s="1">
        <v>45891</v>
      </c>
      <c r="B555" s="2" t="s">
        <v>2615</v>
      </c>
      <c r="C555" s="2" t="s">
        <v>2527</v>
      </c>
      <c r="D555" s="2" t="s">
        <v>2531</v>
      </c>
      <c r="E555" s="2" t="s">
        <v>2517</v>
      </c>
      <c r="F555" s="3">
        <v>90880</v>
      </c>
      <c r="G555" s="3">
        <v>7033</v>
      </c>
      <c r="H555" s="3">
        <v>108</v>
      </c>
      <c r="I555" s="4">
        <v>13104.11</v>
      </c>
      <c r="J555" s="4">
        <v>13560.46</v>
      </c>
      <c r="K555" s="3">
        <v>58</v>
      </c>
      <c r="L555" s="2" t="s">
        <v>2518</v>
      </c>
      <c r="M555" s="2" t="s">
        <v>2526</v>
      </c>
    </row>
    <row r="556" spans="1:13" x14ac:dyDescent="0.3">
      <c r="A556" s="1">
        <v>45978</v>
      </c>
      <c r="B556" s="2" t="s">
        <v>2628</v>
      </c>
      <c r="C556" s="2" t="s">
        <v>2541</v>
      </c>
      <c r="D556" s="2" t="s">
        <v>2528</v>
      </c>
      <c r="E556" s="2" t="s">
        <v>2529</v>
      </c>
      <c r="F556" s="3">
        <v>68941</v>
      </c>
      <c r="G556" s="3">
        <v>3323</v>
      </c>
      <c r="H556" s="3">
        <v>224</v>
      </c>
      <c r="I556" s="4">
        <v>4050.88</v>
      </c>
      <c r="J556" s="4">
        <v>30851.35</v>
      </c>
      <c r="K556" s="3">
        <v>188</v>
      </c>
      <c r="L556" s="2" t="s">
        <v>2523</v>
      </c>
      <c r="M556" s="2" t="s">
        <v>2526</v>
      </c>
    </row>
    <row r="557" spans="1:13" x14ac:dyDescent="0.3">
      <c r="A557" s="1">
        <v>45880</v>
      </c>
      <c r="B557" s="2" t="s">
        <v>2616</v>
      </c>
      <c r="C557" s="2" t="s">
        <v>2543</v>
      </c>
      <c r="D557" s="2" t="s">
        <v>2516</v>
      </c>
      <c r="E557" s="2" t="s">
        <v>2529</v>
      </c>
      <c r="F557" s="3">
        <v>66392</v>
      </c>
      <c r="G557" s="3">
        <v>3019</v>
      </c>
      <c r="H557" s="3">
        <v>343</v>
      </c>
      <c r="I557" s="4">
        <v>2949.92</v>
      </c>
      <c r="J557" s="4">
        <v>58734.42</v>
      </c>
      <c r="K557" s="3">
        <v>261</v>
      </c>
      <c r="L557" s="2" t="s">
        <v>2539</v>
      </c>
      <c r="M557" s="2" t="s">
        <v>2524</v>
      </c>
    </row>
    <row r="558" spans="1:13" x14ac:dyDescent="0.3">
      <c r="A558" s="1">
        <v>45985</v>
      </c>
      <c r="B558" s="2" t="s">
        <v>2634</v>
      </c>
      <c r="C558" s="2" t="s">
        <v>2543</v>
      </c>
      <c r="D558" s="2" t="s">
        <v>2528</v>
      </c>
      <c r="E558" s="2" t="s">
        <v>2517</v>
      </c>
      <c r="F558" s="3">
        <v>15386</v>
      </c>
      <c r="G558" s="3">
        <v>172</v>
      </c>
      <c r="H558" s="3">
        <v>23</v>
      </c>
      <c r="I558" s="4">
        <v>349.86</v>
      </c>
      <c r="J558" s="4">
        <v>2274.7399999999998</v>
      </c>
      <c r="K558" s="3">
        <v>18</v>
      </c>
      <c r="L558" s="2" t="s">
        <v>2523</v>
      </c>
      <c r="M558" s="2" t="s">
        <v>2546</v>
      </c>
    </row>
    <row r="559" spans="1:13" x14ac:dyDescent="0.3">
      <c r="A559" s="1">
        <v>45853</v>
      </c>
      <c r="B559" s="2" t="s">
        <v>2626</v>
      </c>
      <c r="C559" s="2" t="s">
        <v>2527</v>
      </c>
      <c r="D559" s="2" t="s">
        <v>2516</v>
      </c>
      <c r="E559" s="2" t="s">
        <v>2517</v>
      </c>
      <c r="F559" s="3">
        <v>8928</v>
      </c>
      <c r="G559" s="3">
        <v>456</v>
      </c>
      <c r="H559" s="3">
        <v>29</v>
      </c>
      <c r="I559" s="4">
        <v>547.5</v>
      </c>
      <c r="J559" s="4">
        <v>2951.23</v>
      </c>
      <c r="K559" s="3">
        <v>19</v>
      </c>
      <c r="L559" s="2" t="s">
        <v>2536</v>
      </c>
      <c r="M559" s="2" t="s">
        <v>2526</v>
      </c>
    </row>
    <row r="560" spans="1:13" x14ac:dyDescent="0.3">
      <c r="A560" s="1">
        <v>45708</v>
      </c>
      <c r="B560" s="2" t="s">
        <v>2619</v>
      </c>
      <c r="C560" s="2" t="s">
        <v>2533</v>
      </c>
      <c r="D560" s="2" t="s">
        <v>2528</v>
      </c>
      <c r="E560" s="2" t="s">
        <v>2517</v>
      </c>
      <c r="F560" s="3">
        <v>13231</v>
      </c>
      <c r="G560" s="3">
        <v>133</v>
      </c>
      <c r="H560" s="3">
        <v>1</v>
      </c>
      <c r="I560" s="4">
        <v>170.43</v>
      </c>
      <c r="J560" s="4">
        <v>204.54</v>
      </c>
      <c r="K560" s="3">
        <v>0</v>
      </c>
      <c r="L560" s="2" t="s">
        <v>2539</v>
      </c>
      <c r="M560" s="2" t="s">
        <v>2524</v>
      </c>
    </row>
    <row r="561" spans="1:13" x14ac:dyDescent="0.3">
      <c r="A561" s="1">
        <v>45891</v>
      </c>
      <c r="B561" s="2" t="s">
        <v>2640</v>
      </c>
      <c r="C561" s="2" t="s">
        <v>2533</v>
      </c>
      <c r="D561" s="2" t="s">
        <v>2528</v>
      </c>
      <c r="E561" s="2" t="s">
        <v>2517</v>
      </c>
      <c r="F561" s="3">
        <v>66443</v>
      </c>
      <c r="G561" s="3">
        <v>3211</v>
      </c>
      <c r="H561" s="3">
        <v>148</v>
      </c>
      <c r="I561" s="4">
        <v>1750.94</v>
      </c>
      <c r="J561" s="4">
        <v>20683.27</v>
      </c>
      <c r="K561" s="3">
        <v>117</v>
      </c>
      <c r="L561" s="2" t="s">
        <v>2536</v>
      </c>
      <c r="M561" s="2" t="s">
        <v>2524</v>
      </c>
    </row>
    <row r="562" spans="1:13" x14ac:dyDescent="0.3">
      <c r="A562" s="1">
        <v>45759</v>
      </c>
      <c r="B562" s="2" t="s">
        <v>2626</v>
      </c>
      <c r="C562" s="2" t="s">
        <v>2533</v>
      </c>
      <c r="D562" s="2" t="s">
        <v>2531</v>
      </c>
      <c r="E562" s="2" t="s">
        <v>2529</v>
      </c>
      <c r="F562" s="3">
        <v>175647</v>
      </c>
      <c r="G562" s="3">
        <v>9025</v>
      </c>
      <c r="H562" s="3">
        <v>152</v>
      </c>
      <c r="I562" s="4">
        <v>11827.49</v>
      </c>
      <c r="J562" s="4">
        <v>28793.54</v>
      </c>
      <c r="K562" s="3">
        <v>135</v>
      </c>
      <c r="L562" s="2" t="s">
        <v>2536</v>
      </c>
      <c r="M562" s="2" t="s">
        <v>2524</v>
      </c>
    </row>
    <row r="563" spans="1:13" x14ac:dyDescent="0.3">
      <c r="A563" s="1">
        <v>45668</v>
      </c>
      <c r="B563" s="2" t="s">
        <v>2622</v>
      </c>
      <c r="C563" s="2" t="s">
        <v>2527</v>
      </c>
      <c r="D563" s="2" t="s">
        <v>2531</v>
      </c>
      <c r="E563" s="2" t="s">
        <v>2517</v>
      </c>
      <c r="F563" s="3">
        <v>12434</v>
      </c>
      <c r="G563" s="3">
        <v>440</v>
      </c>
      <c r="H563" s="3">
        <v>42</v>
      </c>
      <c r="I563" s="4">
        <v>503.59</v>
      </c>
      <c r="J563" s="4">
        <v>2935.28</v>
      </c>
      <c r="K563" s="3">
        <v>36</v>
      </c>
      <c r="L563" s="2" t="s">
        <v>2518</v>
      </c>
      <c r="M563" s="2" t="s">
        <v>2524</v>
      </c>
    </row>
    <row r="564" spans="1:13" x14ac:dyDescent="0.3">
      <c r="A564" s="1">
        <v>45806</v>
      </c>
      <c r="B564" s="2" t="s">
        <v>2624</v>
      </c>
      <c r="C564" s="2" t="s">
        <v>2543</v>
      </c>
      <c r="D564" s="2" t="s">
        <v>2516</v>
      </c>
      <c r="E564" s="2" t="s">
        <v>2517</v>
      </c>
      <c r="F564" s="3">
        <v>139195</v>
      </c>
      <c r="G564" s="3">
        <v>7615</v>
      </c>
      <c r="H564" s="3">
        <v>67</v>
      </c>
      <c r="I564" s="4">
        <v>7958.98</v>
      </c>
      <c r="J564" s="4">
        <v>5996.87</v>
      </c>
      <c r="K564" s="3">
        <v>34</v>
      </c>
      <c r="L564" s="2" t="s">
        <v>2539</v>
      </c>
      <c r="M564" s="2" t="s">
        <v>2546</v>
      </c>
    </row>
    <row r="565" spans="1:13" x14ac:dyDescent="0.3">
      <c r="A565" s="1">
        <v>45692</v>
      </c>
      <c r="B565" s="2" t="s">
        <v>2623</v>
      </c>
      <c r="C565" s="2" t="s">
        <v>2515</v>
      </c>
      <c r="D565" s="2" t="s">
        <v>2528</v>
      </c>
      <c r="E565" s="2" t="s">
        <v>2534</v>
      </c>
      <c r="F565" s="3">
        <v>128819</v>
      </c>
      <c r="G565" s="3">
        <v>5095</v>
      </c>
      <c r="H565" s="3">
        <v>652</v>
      </c>
      <c r="I565" s="4">
        <v>4515.97</v>
      </c>
      <c r="J565" s="4">
        <v>82017.38</v>
      </c>
      <c r="K565" s="3">
        <v>494</v>
      </c>
      <c r="L565" s="2" t="s">
        <v>2523</v>
      </c>
      <c r="M565" s="2" t="s">
        <v>2524</v>
      </c>
    </row>
    <row r="566" spans="1:13" x14ac:dyDescent="0.3">
      <c r="A566" s="1">
        <v>45753</v>
      </c>
      <c r="B566" s="2" t="s">
        <v>2632</v>
      </c>
      <c r="C566" s="2" t="s">
        <v>2533</v>
      </c>
      <c r="D566" s="2" t="s">
        <v>2528</v>
      </c>
      <c r="E566" s="2" t="s">
        <v>2517</v>
      </c>
      <c r="F566" s="3">
        <v>170815</v>
      </c>
      <c r="G566" s="3">
        <v>9376</v>
      </c>
      <c r="H566" s="3">
        <v>62</v>
      </c>
      <c r="I566" s="4">
        <v>8088.11</v>
      </c>
      <c r="J566" s="4">
        <v>10101.870000000001</v>
      </c>
      <c r="K566" s="3">
        <v>36</v>
      </c>
      <c r="L566" s="2" t="s">
        <v>2523</v>
      </c>
      <c r="M566" s="2" t="s">
        <v>2524</v>
      </c>
    </row>
    <row r="567" spans="1:13" x14ac:dyDescent="0.3">
      <c r="A567" s="1">
        <v>45832</v>
      </c>
      <c r="B567" s="2" t="s">
        <v>2630</v>
      </c>
      <c r="C567" s="2" t="s">
        <v>2541</v>
      </c>
      <c r="D567" s="2" t="s">
        <v>2528</v>
      </c>
      <c r="E567" s="2" t="s">
        <v>2529</v>
      </c>
      <c r="F567" s="3">
        <v>137607</v>
      </c>
      <c r="G567" s="3">
        <v>8845</v>
      </c>
      <c r="H567" s="3">
        <v>435</v>
      </c>
      <c r="I567" s="4">
        <v>4920.1099999999997</v>
      </c>
      <c r="J567" s="4">
        <v>15525.93</v>
      </c>
      <c r="K567" s="3">
        <v>387</v>
      </c>
      <c r="L567" s="2" t="s">
        <v>2518</v>
      </c>
      <c r="M567" s="2" t="s">
        <v>2546</v>
      </c>
    </row>
    <row r="568" spans="1:13" x14ac:dyDescent="0.3">
      <c r="A568" s="1">
        <v>45680</v>
      </c>
      <c r="B568" s="2" t="s">
        <v>2622</v>
      </c>
      <c r="C568" s="2" t="s">
        <v>2527</v>
      </c>
      <c r="D568" s="2" t="s">
        <v>2528</v>
      </c>
      <c r="E568" s="2" t="s">
        <v>2529</v>
      </c>
      <c r="F568" s="3">
        <v>170460</v>
      </c>
      <c r="G568" s="3">
        <v>8346</v>
      </c>
      <c r="H568" s="3">
        <v>61</v>
      </c>
      <c r="I568" s="4">
        <v>4775.78</v>
      </c>
      <c r="J568" s="4">
        <v>7127.5</v>
      </c>
      <c r="K568" s="3">
        <v>28</v>
      </c>
      <c r="L568" s="2" t="s">
        <v>2518</v>
      </c>
      <c r="M568" s="2" t="s">
        <v>2524</v>
      </c>
    </row>
    <row r="569" spans="1:13" x14ac:dyDescent="0.3">
      <c r="A569" s="1">
        <v>45663</v>
      </c>
      <c r="B569" s="2" t="s">
        <v>2633</v>
      </c>
      <c r="C569" s="2" t="s">
        <v>2541</v>
      </c>
      <c r="D569" s="2" t="s">
        <v>2528</v>
      </c>
      <c r="E569" s="2" t="s">
        <v>2529</v>
      </c>
      <c r="F569" s="3">
        <v>8401</v>
      </c>
      <c r="G569" s="3">
        <v>674</v>
      </c>
      <c r="H569" s="3">
        <v>68</v>
      </c>
      <c r="I569" s="4">
        <v>1174.8</v>
      </c>
      <c r="J569" s="4">
        <v>3639.84</v>
      </c>
      <c r="K569" s="3">
        <v>53</v>
      </c>
      <c r="L569" s="2" t="s">
        <v>2518</v>
      </c>
      <c r="M569" s="2" t="s">
        <v>2526</v>
      </c>
    </row>
    <row r="570" spans="1:13" x14ac:dyDescent="0.3">
      <c r="A570" s="1">
        <v>45971</v>
      </c>
      <c r="B570" s="2" t="s">
        <v>2642</v>
      </c>
      <c r="C570" s="2" t="s">
        <v>2515</v>
      </c>
      <c r="D570" s="2" t="s">
        <v>2531</v>
      </c>
      <c r="E570" s="2" t="s">
        <v>2529</v>
      </c>
      <c r="F570" s="3">
        <v>54970</v>
      </c>
      <c r="G570" s="3">
        <v>3819</v>
      </c>
      <c r="H570" s="3">
        <v>213</v>
      </c>
      <c r="I570" s="4">
        <v>3752.24</v>
      </c>
      <c r="J570" s="4">
        <v>22328.83</v>
      </c>
      <c r="K570" s="3">
        <v>153</v>
      </c>
      <c r="L570" s="2" t="s">
        <v>2518</v>
      </c>
      <c r="M570" s="2" t="s">
        <v>2519</v>
      </c>
    </row>
    <row r="571" spans="1:13" x14ac:dyDescent="0.3">
      <c r="A571" s="1">
        <v>45757</v>
      </c>
      <c r="B571" s="2" t="s">
        <v>2615</v>
      </c>
      <c r="C571" s="2" t="s">
        <v>2521</v>
      </c>
      <c r="D571" s="2" t="s">
        <v>2516</v>
      </c>
      <c r="E571" s="2" t="s">
        <v>2529</v>
      </c>
      <c r="F571" s="3">
        <v>144557</v>
      </c>
      <c r="G571" s="3">
        <v>5218</v>
      </c>
      <c r="H571" s="3">
        <v>253</v>
      </c>
      <c r="I571" s="4">
        <v>10918.3</v>
      </c>
      <c r="J571" s="4">
        <v>20059.88</v>
      </c>
      <c r="K571" s="3">
        <v>155</v>
      </c>
      <c r="L571" s="2" t="s">
        <v>2539</v>
      </c>
      <c r="M571" s="2" t="s">
        <v>2546</v>
      </c>
    </row>
    <row r="572" spans="1:13" x14ac:dyDescent="0.3">
      <c r="A572" s="1">
        <v>45696</v>
      </c>
      <c r="B572" s="2" t="s">
        <v>2629</v>
      </c>
      <c r="C572" s="2" t="s">
        <v>2533</v>
      </c>
      <c r="D572" s="2" t="s">
        <v>2531</v>
      </c>
      <c r="E572" s="2" t="s">
        <v>2529</v>
      </c>
      <c r="F572" s="3">
        <v>26839</v>
      </c>
      <c r="G572" s="3">
        <v>1351</v>
      </c>
      <c r="H572" s="3">
        <v>23</v>
      </c>
      <c r="I572" s="4">
        <v>1225.67</v>
      </c>
      <c r="J572" s="4">
        <v>4264.6099999999997</v>
      </c>
      <c r="K572" s="3">
        <v>12</v>
      </c>
      <c r="L572" s="2" t="s">
        <v>2523</v>
      </c>
      <c r="M572" s="2" t="s">
        <v>2526</v>
      </c>
    </row>
    <row r="573" spans="1:13" x14ac:dyDescent="0.3">
      <c r="A573" s="1">
        <v>45941</v>
      </c>
      <c r="B573" s="2" t="s">
        <v>2625</v>
      </c>
      <c r="C573" s="2" t="s">
        <v>2541</v>
      </c>
      <c r="D573" s="2" t="s">
        <v>2516</v>
      </c>
      <c r="E573" s="2" t="s">
        <v>2529</v>
      </c>
      <c r="F573" s="3">
        <v>173842</v>
      </c>
      <c r="G573" s="3">
        <v>8923</v>
      </c>
      <c r="H573" s="3">
        <v>967</v>
      </c>
      <c r="I573" s="4">
        <v>16989.91</v>
      </c>
      <c r="J573" s="4">
        <v>152473.5</v>
      </c>
      <c r="K573" s="3">
        <v>817</v>
      </c>
      <c r="L573" s="2" t="s">
        <v>2518</v>
      </c>
      <c r="M573" s="2" t="s">
        <v>2519</v>
      </c>
    </row>
    <row r="574" spans="1:13" x14ac:dyDescent="0.3">
      <c r="A574" s="1">
        <v>45925</v>
      </c>
      <c r="B574" s="2" t="s">
        <v>2634</v>
      </c>
      <c r="C574" s="2" t="s">
        <v>2521</v>
      </c>
      <c r="D574" s="2" t="s">
        <v>2522</v>
      </c>
      <c r="E574" s="2" t="s">
        <v>2517</v>
      </c>
      <c r="F574" s="3">
        <v>79553</v>
      </c>
      <c r="G574" s="3">
        <v>626</v>
      </c>
      <c r="H574" s="3">
        <v>13</v>
      </c>
      <c r="I574" s="4">
        <v>332.47</v>
      </c>
      <c r="J574" s="4">
        <v>621.79999999999995</v>
      </c>
      <c r="K574" s="3">
        <v>10</v>
      </c>
      <c r="L574" s="2" t="s">
        <v>2518</v>
      </c>
      <c r="M574" s="2" t="s">
        <v>2519</v>
      </c>
    </row>
    <row r="575" spans="1:13" x14ac:dyDescent="0.3">
      <c r="A575" s="1">
        <v>45686</v>
      </c>
      <c r="B575" s="2" t="s">
        <v>2632</v>
      </c>
      <c r="C575" s="2" t="s">
        <v>2541</v>
      </c>
      <c r="D575" s="2" t="s">
        <v>2522</v>
      </c>
      <c r="E575" s="2" t="s">
        <v>2529</v>
      </c>
      <c r="F575" s="3">
        <v>161725</v>
      </c>
      <c r="G575" s="3">
        <v>13229</v>
      </c>
      <c r="H575" s="3">
        <v>507</v>
      </c>
      <c r="I575" s="4">
        <v>11992.95</v>
      </c>
      <c r="J575" s="4">
        <v>26635.59</v>
      </c>
      <c r="K575" s="3">
        <v>384</v>
      </c>
      <c r="L575" s="2" t="s">
        <v>2518</v>
      </c>
      <c r="M575" s="2" t="s">
        <v>2519</v>
      </c>
    </row>
    <row r="576" spans="1:13" x14ac:dyDescent="0.3">
      <c r="A576" s="1">
        <v>45831</v>
      </c>
      <c r="B576" s="2" t="s">
        <v>2621</v>
      </c>
      <c r="C576" s="2" t="s">
        <v>2521</v>
      </c>
      <c r="D576" s="2" t="s">
        <v>2528</v>
      </c>
      <c r="E576" s="2" t="s">
        <v>2529</v>
      </c>
      <c r="F576" s="3">
        <v>21844</v>
      </c>
      <c r="G576" s="3">
        <v>147</v>
      </c>
      <c r="H576" s="3">
        <v>16</v>
      </c>
      <c r="I576" s="4">
        <v>54.4</v>
      </c>
      <c r="J576" s="4">
        <v>1948.48</v>
      </c>
      <c r="K576" s="3">
        <v>11</v>
      </c>
      <c r="L576" s="2" t="s">
        <v>2523</v>
      </c>
      <c r="M576" s="2" t="s">
        <v>2519</v>
      </c>
    </row>
    <row r="577" spans="1:13" x14ac:dyDescent="0.3">
      <c r="A577" s="1">
        <v>45757</v>
      </c>
      <c r="B577" s="2" t="s">
        <v>2625</v>
      </c>
      <c r="C577" s="2" t="s">
        <v>2521</v>
      </c>
      <c r="D577" s="2" t="s">
        <v>2528</v>
      </c>
      <c r="E577" s="2" t="s">
        <v>2517</v>
      </c>
      <c r="F577" s="3">
        <v>101859</v>
      </c>
      <c r="G577" s="3">
        <v>2279</v>
      </c>
      <c r="H577" s="3">
        <v>50</v>
      </c>
      <c r="I577" s="4">
        <v>2227.21</v>
      </c>
      <c r="J577" s="4">
        <v>2297.36</v>
      </c>
      <c r="K577" s="3">
        <v>40</v>
      </c>
      <c r="L577" s="2" t="s">
        <v>2523</v>
      </c>
      <c r="M577" s="2" t="s">
        <v>2524</v>
      </c>
    </row>
    <row r="578" spans="1:13" x14ac:dyDescent="0.3">
      <c r="A578" s="1">
        <v>45751</v>
      </c>
      <c r="B578" s="2" t="s">
        <v>2616</v>
      </c>
      <c r="C578" s="2" t="s">
        <v>2541</v>
      </c>
      <c r="D578" s="2" t="s">
        <v>2531</v>
      </c>
      <c r="E578" s="2" t="s">
        <v>2529</v>
      </c>
      <c r="F578" s="3">
        <v>37646</v>
      </c>
      <c r="G578" s="3">
        <v>2476</v>
      </c>
      <c r="H578" s="3">
        <v>217</v>
      </c>
      <c r="I578" s="4">
        <v>2164.7800000000002</v>
      </c>
      <c r="J578" s="4">
        <v>38992.74</v>
      </c>
      <c r="K578" s="3">
        <v>186</v>
      </c>
      <c r="L578" s="2" t="s">
        <v>2518</v>
      </c>
      <c r="M578" s="2" t="s">
        <v>2537</v>
      </c>
    </row>
    <row r="579" spans="1:13" x14ac:dyDescent="0.3">
      <c r="A579" s="1">
        <v>45739</v>
      </c>
      <c r="B579" s="2" t="s">
        <v>2631</v>
      </c>
      <c r="C579" s="2" t="s">
        <v>2541</v>
      </c>
      <c r="D579" s="2" t="s">
        <v>2528</v>
      </c>
      <c r="E579" s="2" t="s">
        <v>2529</v>
      </c>
      <c r="F579" s="3">
        <v>160286</v>
      </c>
      <c r="G579" s="3">
        <v>13760</v>
      </c>
      <c r="H579" s="3">
        <v>1345</v>
      </c>
      <c r="I579" s="4">
        <v>14157.43</v>
      </c>
      <c r="J579" s="4">
        <v>75922.850000000006</v>
      </c>
      <c r="K579" s="3">
        <v>627</v>
      </c>
      <c r="L579" s="2" t="s">
        <v>2518</v>
      </c>
      <c r="M579" s="2" t="s">
        <v>2537</v>
      </c>
    </row>
    <row r="580" spans="1:13" x14ac:dyDescent="0.3">
      <c r="A580" s="1">
        <v>45949</v>
      </c>
      <c r="B580" s="2" t="s">
        <v>2636</v>
      </c>
      <c r="C580" s="2" t="s">
        <v>2541</v>
      </c>
      <c r="D580" s="2" t="s">
        <v>2528</v>
      </c>
      <c r="E580" s="2" t="s">
        <v>2529</v>
      </c>
      <c r="F580" s="3">
        <v>88940</v>
      </c>
      <c r="G580" s="3">
        <v>4498</v>
      </c>
      <c r="H580" s="3">
        <v>258</v>
      </c>
      <c r="I580" s="4">
        <v>7097.21</v>
      </c>
      <c r="J580" s="4">
        <v>33353.42</v>
      </c>
      <c r="K580" s="3">
        <v>218</v>
      </c>
      <c r="L580" s="2" t="s">
        <v>2523</v>
      </c>
      <c r="M580" s="2" t="s">
        <v>2526</v>
      </c>
    </row>
    <row r="581" spans="1:13" x14ac:dyDescent="0.3">
      <c r="A581" s="1">
        <v>45796</v>
      </c>
      <c r="B581" s="2" t="s">
        <v>2634</v>
      </c>
      <c r="C581" s="2" t="s">
        <v>2521</v>
      </c>
      <c r="D581" s="2" t="s">
        <v>2528</v>
      </c>
      <c r="E581" s="2" t="s">
        <v>2529</v>
      </c>
      <c r="F581" s="3">
        <v>132798</v>
      </c>
      <c r="G581" s="3">
        <v>1396</v>
      </c>
      <c r="H581" s="3">
        <v>176</v>
      </c>
      <c r="I581" s="4">
        <v>2011.16</v>
      </c>
      <c r="J581" s="4">
        <v>22320.79</v>
      </c>
      <c r="K581" s="3">
        <v>109</v>
      </c>
      <c r="L581" s="2" t="s">
        <v>2523</v>
      </c>
      <c r="M581" s="2" t="s">
        <v>2546</v>
      </c>
    </row>
    <row r="582" spans="1:13" x14ac:dyDescent="0.3">
      <c r="A582" s="1">
        <v>45958</v>
      </c>
      <c r="B582" s="2" t="s">
        <v>2634</v>
      </c>
      <c r="C582" s="2" t="s">
        <v>2515</v>
      </c>
      <c r="D582" s="2" t="s">
        <v>2528</v>
      </c>
      <c r="E582" s="2" t="s">
        <v>2529</v>
      </c>
      <c r="F582" s="3">
        <v>46715</v>
      </c>
      <c r="G582" s="3">
        <v>802</v>
      </c>
      <c r="H582" s="3">
        <v>25</v>
      </c>
      <c r="I582" s="4">
        <v>716.66</v>
      </c>
      <c r="J582" s="4">
        <v>381.22</v>
      </c>
      <c r="K582" s="3">
        <v>18</v>
      </c>
      <c r="L582" s="2" t="s">
        <v>2536</v>
      </c>
      <c r="M582" s="2" t="s">
        <v>2524</v>
      </c>
    </row>
    <row r="583" spans="1:13" x14ac:dyDescent="0.3">
      <c r="A583" s="1">
        <v>45754</v>
      </c>
      <c r="B583" s="2" t="s">
        <v>2628</v>
      </c>
      <c r="C583" s="2" t="s">
        <v>2541</v>
      </c>
      <c r="D583" s="2" t="s">
        <v>2528</v>
      </c>
      <c r="E583" s="2" t="s">
        <v>2529</v>
      </c>
      <c r="F583" s="3">
        <v>133242</v>
      </c>
      <c r="G583" s="3">
        <v>7880</v>
      </c>
      <c r="H583" s="3">
        <v>805</v>
      </c>
      <c r="I583" s="4">
        <v>13300.4</v>
      </c>
      <c r="J583" s="4">
        <v>154240.23000000001</v>
      </c>
      <c r="K583" s="3">
        <v>470</v>
      </c>
      <c r="L583" s="2" t="s">
        <v>2539</v>
      </c>
      <c r="M583" s="2" t="s">
        <v>2519</v>
      </c>
    </row>
    <row r="584" spans="1:13" x14ac:dyDescent="0.3">
      <c r="A584" s="1">
        <v>45914</v>
      </c>
      <c r="B584" s="2" t="s">
        <v>2624</v>
      </c>
      <c r="C584" s="2" t="s">
        <v>2541</v>
      </c>
      <c r="D584" s="2" t="s">
        <v>2528</v>
      </c>
      <c r="E584" s="2" t="s">
        <v>2529</v>
      </c>
      <c r="F584" s="3">
        <v>27662</v>
      </c>
      <c r="G584" s="3">
        <v>605</v>
      </c>
      <c r="H584" s="3">
        <v>5</v>
      </c>
      <c r="I584" s="4">
        <v>925.64</v>
      </c>
      <c r="J584" s="4">
        <v>940.04</v>
      </c>
      <c r="K584" s="3">
        <v>4</v>
      </c>
      <c r="L584" s="2" t="s">
        <v>2536</v>
      </c>
      <c r="M584" s="2" t="s">
        <v>2526</v>
      </c>
    </row>
    <row r="585" spans="1:13" x14ac:dyDescent="0.3">
      <c r="A585" s="1">
        <v>45836</v>
      </c>
      <c r="B585" s="2" t="s">
        <v>2627</v>
      </c>
      <c r="C585" s="2" t="s">
        <v>2541</v>
      </c>
      <c r="D585" s="2" t="s">
        <v>2522</v>
      </c>
      <c r="E585" s="2" t="s">
        <v>2529</v>
      </c>
      <c r="F585" s="3">
        <v>47996</v>
      </c>
      <c r="G585" s="3">
        <v>1707</v>
      </c>
      <c r="H585" s="3">
        <v>63</v>
      </c>
      <c r="I585" s="4">
        <v>3263.03</v>
      </c>
      <c r="J585" s="4">
        <v>13852.21</v>
      </c>
      <c r="K585" s="3">
        <v>39</v>
      </c>
      <c r="L585" s="2" t="s">
        <v>2523</v>
      </c>
      <c r="M585" s="2" t="s">
        <v>2537</v>
      </c>
    </row>
    <row r="586" spans="1:13" x14ac:dyDescent="0.3">
      <c r="A586" s="1">
        <v>45782</v>
      </c>
      <c r="B586" s="2" t="s">
        <v>2629</v>
      </c>
      <c r="C586" s="2" t="s">
        <v>2543</v>
      </c>
      <c r="D586" s="2" t="s">
        <v>2516</v>
      </c>
      <c r="E586" s="2" t="s">
        <v>2517</v>
      </c>
      <c r="F586" s="3">
        <v>101857</v>
      </c>
      <c r="G586" s="3">
        <v>415</v>
      </c>
      <c r="H586" s="3">
        <v>52</v>
      </c>
      <c r="I586" s="4">
        <v>255.48</v>
      </c>
      <c r="J586" s="4">
        <v>5174.42</v>
      </c>
      <c r="K586" s="3">
        <v>46</v>
      </c>
      <c r="L586" s="2" t="s">
        <v>2523</v>
      </c>
      <c r="M586" s="2" t="s">
        <v>2526</v>
      </c>
    </row>
    <row r="587" spans="1:13" x14ac:dyDescent="0.3">
      <c r="A587" s="1">
        <v>45725</v>
      </c>
      <c r="B587" s="2" t="s">
        <v>2641</v>
      </c>
      <c r="C587" s="2" t="s">
        <v>2543</v>
      </c>
      <c r="D587" s="2" t="s">
        <v>2525</v>
      </c>
      <c r="E587" s="2" t="s">
        <v>2529</v>
      </c>
      <c r="F587" s="3">
        <v>30438</v>
      </c>
      <c r="G587" s="3">
        <v>2569</v>
      </c>
      <c r="H587" s="3">
        <v>130</v>
      </c>
      <c r="I587" s="4">
        <v>4263.6099999999997</v>
      </c>
      <c r="J587" s="4">
        <v>23248.11</v>
      </c>
      <c r="K587" s="3">
        <v>71</v>
      </c>
      <c r="L587" s="2" t="s">
        <v>2518</v>
      </c>
      <c r="M587" s="2" t="s">
        <v>2537</v>
      </c>
    </row>
    <row r="588" spans="1:13" x14ac:dyDescent="0.3">
      <c r="A588" s="1">
        <v>45974</v>
      </c>
      <c r="B588" s="2" t="s">
        <v>2634</v>
      </c>
      <c r="C588" s="2" t="s">
        <v>2543</v>
      </c>
      <c r="D588" s="2" t="s">
        <v>2516</v>
      </c>
      <c r="E588" s="2" t="s">
        <v>2534</v>
      </c>
      <c r="F588" s="3">
        <v>91079</v>
      </c>
      <c r="G588" s="3">
        <v>6977</v>
      </c>
      <c r="H588" s="3">
        <v>920</v>
      </c>
      <c r="I588" s="4">
        <v>9778.34</v>
      </c>
      <c r="J588" s="4">
        <v>180286.24</v>
      </c>
      <c r="K588" s="3">
        <v>681</v>
      </c>
      <c r="L588" s="2" t="s">
        <v>2539</v>
      </c>
      <c r="M588" s="2" t="s">
        <v>2524</v>
      </c>
    </row>
    <row r="589" spans="1:13" x14ac:dyDescent="0.3">
      <c r="A589" s="1">
        <v>45943</v>
      </c>
      <c r="B589" s="2" t="s">
        <v>2641</v>
      </c>
      <c r="C589" s="2" t="s">
        <v>2527</v>
      </c>
      <c r="D589" s="2" t="s">
        <v>2516</v>
      </c>
      <c r="E589" s="2" t="s">
        <v>2517</v>
      </c>
      <c r="F589" s="3">
        <v>129946</v>
      </c>
      <c r="G589" s="3">
        <v>10277</v>
      </c>
      <c r="H589" s="3">
        <v>394</v>
      </c>
      <c r="I589" s="4">
        <v>10676.43</v>
      </c>
      <c r="J589" s="4">
        <v>7471.04</v>
      </c>
      <c r="K589" s="3">
        <v>177</v>
      </c>
      <c r="L589" s="2" t="s">
        <v>2523</v>
      </c>
      <c r="M589" s="2" t="s">
        <v>2524</v>
      </c>
    </row>
    <row r="590" spans="1:13" x14ac:dyDescent="0.3">
      <c r="A590" s="1">
        <v>45681</v>
      </c>
      <c r="B590" s="2" t="s">
        <v>2615</v>
      </c>
      <c r="C590" s="2" t="s">
        <v>2515</v>
      </c>
      <c r="D590" s="2" t="s">
        <v>2516</v>
      </c>
      <c r="E590" s="2" t="s">
        <v>2529</v>
      </c>
      <c r="F590" s="3">
        <v>90680</v>
      </c>
      <c r="G590" s="3">
        <v>7967</v>
      </c>
      <c r="H590" s="3">
        <v>853</v>
      </c>
      <c r="I590" s="4">
        <v>11879.65</v>
      </c>
      <c r="J590" s="4">
        <v>57024.19</v>
      </c>
      <c r="K590" s="3">
        <v>653</v>
      </c>
      <c r="L590" s="2" t="s">
        <v>2518</v>
      </c>
      <c r="M590" s="2" t="s">
        <v>2537</v>
      </c>
    </row>
    <row r="591" spans="1:13" x14ac:dyDescent="0.3">
      <c r="A591" s="1">
        <v>45831</v>
      </c>
      <c r="B591" s="2" t="s">
        <v>2640</v>
      </c>
      <c r="C591" s="2" t="s">
        <v>2541</v>
      </c>
      <c r="D591" s="2" t="s">
        <v>2528</v>
      </c>
      <c r="E591" s="2" t="s">
        <v>2529</v>
      </c>
      <c r="F591" s="3">
        <v>60465</v>
      </c>
      <c r="G591" s="3">
        <v>3682</v>
      </c>
      <c r="H591" s="3">
        <v>229</v>
      </c>
      <c r="I591" s="4">
        <v>876.17</v>
      </c>
      <c r="J591" s="4">
        <v>15289.48</v>
      </c>
      <c r="K591" s="3">
        <v>182</v>
      </c>
      <c r="L591" s="2" t="s">
        <v>2536</v>
      </c>
      <c r="M591" s="2" t="s">
        <v>2524</v>
      </c>
    </row>
    <row r="592" spans="1:13" x14ac:dyDescent="0.3">
      <c r="A592" s="1">
        <v>45767</v>
      </c>
      <c r="B592" s="2" t="s">
        <v>2630</v>
      </c>
      <c r="C592" s="2" t="s">
        <v>2533</v>
      </c>
      <c r="D592" s="2" t="s">
        <v>2528</v>
      </c>
      <c r="E592" s="2" t="s">
        <v>2529</v>
      </c>
      <c r="F592" s="3">
        <v>161407</v>
      </c>
      <c r="G592" s="3">
        <v>1743</v>
      </c>
      <c r="H592" s="3">
        <v>189</v>
      </c>
      <c r="I592" s="4">
        <v>646.80999999999995</v>
      </c>
      <c r="J592" s="4">
        <v>24511.74</v>
      </c>
      <c r="K592" s="3">
        <v>161</v>
      </c>
      <c r="L592" s="2" t="s">
        <v>2536</v>
      </c>
      <c r="M592" s="2" t="s">
        <v>2524</v>
      </c>
    </row>
    <row r="593" spans="1:13" x14ac:dyDescent="0.3">
      <c r="A593" s="1">
        <v>45865</v>
      </c>
      <c r="B593" s="2" t="s">
        <v>2616</v>
      </c>
      <c r="C593" s="2" t="s">
        <v>2541</v>
      </c>
      <c r="D593" s="2" t="s">
        <v>2531</v>
      </c>
      <c r="E593" s="2" t="s">
        <v>2517</v>
      </c>
      <c r="F593" s="3">
        <v>14418</v>
      </c>
      <c r="G593" s="3">
        <v>371</v>
      </c>
      <c r="H593" s="3">
        <v>39</v>
      </c>
      <c r="I593" s="4">
        <v>117.48</v>
      </c>
      <c r="J593" s="4">
        <v>7714.61</v>
      </c>
      <c r="K593" s="3">
        <v>34</v>
      </c>
      <c r="L593" s="2" t="s">
        <v>2539</v>
      </c>
      <c r="M593" s="2" t="s">
        <v>2519</v>
      </c>
    </row>
    <row r="594" spans="1:13" x14ac:dyDescent="0.3">
      <c r="A594" s="1">
        <v>45788</v>
      </c>
      <c r="B594" s="2" t="s">
        <v>2619</v>
      </c>
      <c r="C594" s="2" t="s">
        <v>2533</v>
      </c>
      <c r="D594" s="2" t="s">
        <v>2516</v>
      </c>
      <c r="E594" s="2" t="s">
        <v>2529</v>
      </c>
      <c r="F594" s="3">
        <v>77533</v>
      </c>
      <c r="G594" s="3">
        <v>2047</v>
      </c>
      <c r="H594" s="3">
        <v>118</v>
      </c>
      <c r="I594" s="4">
        <v>291.76</v>
      </c>
      <c r="J594" s="4">
        <v>24594.58</v>
      </c>
      <c r="K594" s="3">
        <v>97</v>
      </c>
      <c r="L594" s="2" t="s">
        <v>2518</v>
      </c>
      <c r="M594" s="2" t="s">
        <v>2526</v>
      </c>
    </row>
    <row r="595" spans="1:13" x14ac:dyDescent="0.3">
      <c r="A595" s="1">
        <v>45924</v>
      </c>
      <c r="B595" s="2" t="s">
        <v>2623</v>
      </c>
      <c r="C595" s="2" t="s">
        <v>2515</v>
      </c>
      <c r="D595" s="2" t="s">
        <v>2522</v>
      </c>
      <c r="E595" s="2" t="s">
        <v>2517</v>
      </c>
      <c r="F595" s="3">
        <v>159262</v>
      </c>
      <c r="G595" s="3">
        <v>3347</v>
      </c>
      <c r="H595" s="3">
        <v>291</v>
      </c>
      <c r="I595" s="4">
        <v>3179.13</v>
      </c>
      <c r="J595" s="4">
        <v>34527.14</v>
      </c>
      <c r="K595" s="3">
        <v>209</v>
      </c>
      <c r="L595" s="2" t="s">
        <v>2536</v>
      </c>
      <c r="M595" s="2" t="s">
        <v>2537</v>
      </c>
    </row>
    <row r="596" spans="1:13" x14ac:dyDescent="0.3">
      <c r="A596" s="1">
        <v>45791</v>
      </c>
      <c r="B596" s="2" t="s">
        <v>2639</v>
      </c>
      <c r="C596" s="2" t="s">
        <v>2533</v>
      </c>
      <c r="D596" s="2" t="s">
        <v>2528</v>
      </c>
      <c r="E596" s="2" t="s">
        <v>2529</v>
      </c>
      <c r="F596" s="3">
        <v>101491</v>
      </c>
      <c r="G596" s="3">
        <v>7199</v>
      </c>
      <c r="H596" s="3">
        <v>747</v>
      </c>
      <c r="I596" s="4">
        <v>2510.16</v>
      </c>
      <c r="J596" s="4">
        <v>73824.75</v>
      </c>
      <c r="K596" s="3">
        <v>474</v>
      </c>
      <c r="L596" s="2" t="s">
        <v>2523</v>
      </c>
      <c r="M596" s="2" t="s">
        <v>2546</v>
      </c>
    </row>
    <row r="597" spans="1:13" x14ac:dyDescent="0.3">
      <c r="A597" s="1">
        <v>45928</v>
      </c>
      <c r="B597" s="2" t="s">
        <v>2625</v>
      </c>
      <c r="C597" s="2" t="s">
        <v>2533</v>
      </c>
      <c r="D597" s="2" t="s">
        <v>2525</v>
      </c>
      <c r="E597" s="2" t="s">
        <v>2517</v>
      </c>
      <c r="F597" s="3">
        <v>177457</v>
      </c>
      <c r="G597" s="3">
        <v>1872</v>
      </c>
      <c r="H597" s="3">
        <v>140</v>
      </c>
      <c r="I597" s="4">
        <v>3126.01</v>
      </c>
      <c r="J597" s="4">
        <v>8528.6299999999992</v>
      </c>
      <c r="K597" s="3">
        <v>79</v>
      </c>
      <c r="L597" s="2" t="s">
        <v>2523</v>
      </c>
      <c r="M597" s="2" t="s">
        <v>2645</v>
      </c>
    </row>
    <row r="598" spans="1:13" x14ac:dyDescent="0.3">
      <c r="A598" s="1">
        <v>45771</v>
      </c>
      <c r="B598" s="2" t="s">
        <v>2641</v>
      </c>
      <c r="C598" s="2" t="s">
        <v>2541</v>
      </c>
      <c r="D598" s="2" t="s">
        <v>2528</v>
      </c>
      <c r="E598" s="2" t="s">
        <v>2529</v>
      </c>
      <c r="F598" s="3">
        <v>23455</v>
      </c>
      <c r="G598" s="3">
        <v>2008</v>
      </c>
      <c r="H598" s="3">
        <v>277</v>
      </c>
      <c r="I598" s="4">
        <v>492.11</v>
      </c>
      <c r="J598" s="4">
        <v>47655.86</v>
      </c>
      <c r="K598" s="3">
        <v>128</v>
      </c>
      <c r="L598" s="2" t="s">
        <v>2539</v>
      </c>
      <c r="M598" s="2" t="s">
        <v>2546</v>
      </c>
    </row>
    <row r="599" spans="1:13" x14ac:dyDescent="0.3">
      <c r="A599" s="1">
        <v>45777</v>
      </c>
      <c r="B599" s="2" t="s">
        <v>2622</v>
      </c>
      <c r="C599" s="2" t="s">
        <v>2541</v>
      </c>
      <c r="D599" s="2" t="s">
        <v>2525</v>
      </c>
      <c r="E599" s="2" t="s">
        <v>2529</v>
      </c>
      <c r="F599" s="3">
        <v>166998</v>
      </c>
      <c r="G599" s="3">
        <v>1308</v>
      </c>
      <c r="H599" s="3">
        <v>133</v>
      </c>
      <c r="I599" s="4">
        <v>1619.03</v>
      </c>
      <c r="J599" s="4">
        <v>23299.06</v>
      </c>
      <c r="K599" s="3">
        <v>109</v>
      </c>
      <c r="L599" s="2" t="s">
        <v>2536</v>
      </c>
      <c r="M599" s="2" t="s">
        <v>2519</v>
      </c>
    </row>
    <row r="600" spans="1:13" x14ac:dyDescent="0.3">
      <c r="A600" s="1">
        <v>45872</v>
      </c>
      <c r="B600" s="2" t="s">
        <v>2644</v>
      </c>
      <c r="C600" s="2" t="s">
        <v>2543</v>
      </c>
      <c r="D600" s="2" t="s">
        <v>2528</v>
      </c>
      <c r="E600" s="2" t="s">
        <v>2529</v>
      </c>
      <c r="F600" s="3">
        <v>55672</v>
      </c>
      <c r="G600" s="3">
        <v>2991</v>
      </c>
      <c r="H600" s="3">
        <v>120</v>
      </c>
      <c r="I600" s="4">
        <v>1624.55</v>
      </c>
      <c r="J600" s="4">
        <v>7429.8</v>
      </c>
      <c r="K600" s="3">
        <v>78</v>
      </c>
      <c r="L600" s="2" t="s">
        <v>2518</v>
      </c>
      <c r="M600" s="2" t="s">
        <v>2524</v>
      </c>
    </row>
    <row r="601" spans="1:13" x14ac:dyDescent="0.3">
      <c r="A601" s="1">
        <v>45951</v>
      </c>
      <c r="B601" s="2" t="s">
        <v>2634</v>
      </c>
      <c r="C601" s="2" t="s">
        <v>2543</v>
      </c>
      <c r="D601" s="2" t="s">
        <v>2525</v>
      </c>
      <c r="E601" s="2" t="s">
        <v>2517</v>
      </c>
      <c r="F601" s="3">
        <v>150544</v>
      </c>
      <c r="G601" s="3">
        <v>10877</v>
      </c>
      <c r="H601" s="3">
        <v>998</v>
      </c>
      <c r="I601" s="4">
        <v>13090.45</v>
      </c>
      <c r="J601" s="4">
        <v>45004.52</v>
      </c>
      <c r="K601" s="3">
        <v>602</v>
      </c>
      <c r="L601" s="2" t="s">
        <v>2536</v>
      </c>
      <c r="M601" s="2" t="s">
        <v>2524</v>
      </c>
    </row>
    <row r="602" spans="1:13" x14ac:dyDescent="0.3">
      <c r="A602" s="1">
        <v>45942</v>
      </c>
      <c r="B602" s="2" t="s">
        <v>2619</v>
      </c>
      <c r="C602" s="2" t="s">
        <v>2515</v>
      </c>
      <c r="D602" s="2" t="s">
        <v>2525</v>
      </c>
      <c r="E602" s="2" t="s">
        <v>2529</v>
      </c>
      <c r="F602" s="3">
        <v>151414</v>
      </c>
      <c r="G602" s="3">
        <v>2459</v>
      </c>
      <c r="H602" s="3">
        <v>312</v>
      </c>
      <c r="I602" s="4">
        <v>1466.72</v>
      </c>
      <c r="J602" s="4">
        <v>39785</v>
      </c>
      <c r="K602" s="3">
        <v>184</v>
      </c>
      <c r="L602" s="2" t="s">
        <v>2536</v>
      </c>
      <c r="M602" s="2" t="s">
        <v>2524</v>
      </c>
    </row>
    <row r="603" spans="1:13" x14ac:dyDescent="0.3">
      <c r="A603" s="1">
        <v>45697</v>
      </c>
      <c r="B603" s="2" t="s">
        <v>2633</v>
      </c>
      <c r="C603" s="2" t="s">
        <v>2533</v>
      </c>
      <c r="D603" s="2" t="s">
        <v>2528</v>
      </c>
      <c r="E603" s="2" t="s">
        <v>2529</v>
      </c>
      <c r="F603" s="3">
        <v>82511</v>
      </c>
      <c r="G603" s="3">
        <v>4275</v>
      </c>
      <c r="H603" s="3">
        <v>175</v>
      </c>
      <c r="I603" s="4">
        <v>4708.25</v>
      </c>
      <c r="J603" s="4">
        <v>3660.85</v>
      </c>
      <c r="K603" s="3">
        <v>132</v>
      </c>
      <c r="L603" s="2" t="s">
        <v>2539</v>
      </c>
      <c r="M603" s="2" t="s">
        <v>2546</v>
      </c>
    </row>
    <row r="604" spans="1:13" x14ac:dyDescent="0.3">
      <c r="A604" s="1">
        <v>45709</v>
      </c>
      <c r="B604" s="2" t="s">
        <v>2622</v>
      </c>
      <c r="C604" s="2" t="s">
        <v>2515</v>
      </c>
      <c r="D604" s="2" t="s">
        <v>2522</v>
      </c>
      <c r="E604" s="2" t="s">
        <v>2529</v>
      </c>
      <c r="F604" s="3">
        <v>144122</v>
      </c>
      <c r="G604" s="3">
        <v>4222</v>
      </c>
      <c r="H604" s="3">
        <v>167</v>
      </c>
      <c r="I604" s="4">
        <v>3146.15</v>
      </c>
      <c r="J604" s="4">
        <v>3272.92</v>
      </c>
      <c r="K604" s="3">
        <v>79</v>
      </c>
      <c r="L604" s="2" t="s">
        <v>2523</v>
      </c>
      <c r="M604" s="2" t="s">
        <v>2546</v>
      </c>
    </row>
    <row r="605" spans="1:13" x14ac:dyDescent="0.3">
      <c r="A605" s="1">
        <v>45772</v>
      </c>
      <c r="B605" s="2" t="s">
        <v>2619</v>
      </c>
      <c r="C605" s="2" t="s">
        <v>2533</v>
      </c>
      <c r="D605" s="2" t="s">
        <v>2522</v>
      </c>
      <c r="E605" s="2" t="s">
        <v>2517</v>
      </c>
      <c r="F605" s="3">
        <v>51124</v>
      </c>
      <c r="G605" s="3">
        <v>4044</v>
      </c>
      <c r="H605" s="3">
        <v>73</v>
      </c>
      <c r="I605" s="4">
        <v>1393.1</v>
      </c>
      <c r="J605" s="4">
        <v>12949.96</v>
      </c>
      <c r="K605" s="3">
        <v>55</v>
      </c>
      <c r="L605" s="2" t="s">
        <v>2539</v>
      </c>
      <c r="M605" s="2" t="s">
        <v>2526</v>
      </c>
    </row>
    <row r="606" spans="1:13" x14ac:dyDescent="0.3">
      <c r="A606" s="1">
        <v>45947</v>
      </c>
      <c r="B606" s="2" t="s">
        <v>2635</v>
      </c>
      <c r="C606" s="2" t="s">
        <v>2543</v>
      </c>
      <c r="D606" s="2" t="s">
        <v>2528</v>
      </c>
      <c r="E606" s="2" t="s">
        <v>2529</v>
      </c>
      <c r="F606" s="3">
        <v>113540</v>
      </c>
      <c r="G606" s="3">
        <v>6864</v>
      </c>
      <c r="H606" s="3">
        <v>215</v>
      </c>
      <c r="I606" s="4">
        <v>12385.04</v>
      </c>
      <c r="J606" s="4">
        <v>8141.21</v>
      </c>
      <c r="K606" s="3">
        <v>110</v>
      </c>
      <c r="L606" s="2" t="s">
        <v>2518</v>
      </c>
      <c r="M606" s="2" t="s">
        <v>2519</v>
      </c>
    </row>
    <row r="607" spans="1:13" x14ac:dyDescent="0.3">
      <c r="A607" s="1">
        <v>45794</v>
      </c>
      <c r="B607" s="2" t="s">
        <v>2630</v>
      </c>
      <c r="C607" s="2" t="s">
        <v>2543</v>
      </c>
      <c r="D607" s="2" t="s">
        <v>2522</v>
      </c>
      <c r="E607" s="2" t="s">
        <v>2517</v>
      </c>
      <c r="F607" s="3">
        <v>61818</v>
      </c>
      <c r="G607" s="3">
        <v>2591</v>
      </c>
      <c r="H607" s="3">
        <v>355</v>
      </c>
      <c r="I607" s="4">
        <v>2530.02</v>
      </c>
      <c r="J607" s="4">
        <v>69837.16</v>
      </c>
      <c r="K607" s="3">
        <v>180</v>
      </c>
      <c r="L607" s="2" t="s">
        <v>2539</v>
      </c>
      <c r="M607" s="2" t="s">
        <v>2519</v>
      </c>
    </row>
    <row r="608" spans="1:13" x14ac:dyDescent="0.3">
      <c r="A608" s="1">
        <v>45765</v>
      </c>
      <c r="B608" s="2" t="s">
        <v>2620</v>
      </c>
      <c r="C608" s="2" t="s">
        <v>2533</v>
      </c>
      <c r="D608" s="2" t="s">
        <v>2531</v>
      </c>
      <c r="E608" s="2" t="s">
        <v>2517</v>
      </c>
      <c r="F608" s="3">
        <v>55610</v>
      </c>
      <c r="G608" s="3">
        <v>1835</v>
      </c>
      <c r="H608" s="3">
        <v>153</v>
      </c>
      <c r="I608" s="4">
        <v>309.95999999999998</v>
      </c>
      <c r="J608" s="4">
        <v>14800.28</v>
      </c>
      <c r="K608" s="3">
        <v>93</v>
      </c>
      <c r="L608" s="2" t="s">
        <v>2523</v>
      </c>
      <c r="M608" s="2" t="s">
        <v>2519</v>
      </c>
    </row>
    <row r="609" spans="1:13" x14ac:dyDescent="0.3">
      <c r="A609" s="1">
        <v>46000</v>
      </c>
      <c r="B609" s="2" t="s">
        <v>2629</v>
      </c>
      <c r="C609" s="2" t="s">
        <v>2541</v>
      </c>
      <c r="D609" s="2" t="s">
        <v>2528</v>
      </c>
      <c r="E609" s="2" t="s">
        <v>2529</v>
      </c>
      <c r="F609" s="3">
        <v>78787</v>
      </c>
      <c r="G609" s="3">
        <v>5643</v>
      </c>
      <c r="H609" s="3">
        <v>396</v>
      </c>
      <c r="I609" s="4">
        <v>9196.9599999999991</v>
      </c>
      <c r="J609" s="4">
        <v>58416.36</v>
      </c>
      <c r="K609" s="3">
        <v>192</v>
      </c>
      <c r="L609" s="2" t="s">
        <v>2536</v>
      </c>
      <c r="M609" s="2" t="s">
        <v>2537</v>
      </c>
    </row>
    <row r="610" spans="1:13" x14ac:dyDescent="0.3">
      <c r="A610" s="1">
        <v>45806</v>
      </c>
      <c r="B610" s="2" t="s">
        <v>2638</v>
      </c>
      <c r="C610" s="2" t="s">
        <v>2515</v>
      </c>
      <c r="D610" s="2" t="s">
        <v>2528</v>
      </c>
      <c r="E610" s="2" t="s">
        <v>2517</v>
      </c>
      <c r="F610" s="3">
        <v>175408</v>
      </c>
      <c r="G610" s="3">
        <v>7460</v>
      </c>
      <c r="H610" s="3">
        <v>64</v>
      </c>
      <c r="I610" s="4">
        <v>12076.65</v>
      </c>
      <c r="J610" s="4">
        <v>4497</v>
      </c>
      <c r="K610" s="3">
        <v>37</v>
      </c>
      <c r="L610" s="2" t="s">
        <v>2536</v>
      </c>
      <c r="M610" s="2" t="s">
        <v>2526</v>
      </c>
    </row>
    <row r="611" spans="1:13" x14ac:dyDescent="0.3">
      <c r="A611" s="1">
        <v>45983</v>
      </c>
      <c r="B611" s="2" t="s">
        <v>2632</v>
      </c>
      <c r="C611" s="2" t="s">
        <v>2527</v>
      </c>
      <c r="D611" s="2" t="s">
        <v>2528</v>
      </c>
      <c r="E611" s="2" t="s">
        <v>2529</v>
      </c>
      <c r="F611" s="3">
        <v>6662</v>
      </c>
      <c r="G611" s="3">
        <v>342</v>
      </c>
      <c r="H611" s="3">
        <v>27</v>
      </c>
      <c r="I611" s="4">
        <v>476.43</v>
      </c>
      <c r="J611" s="4">
        <v>868.82</v>
      </c>
      <c r="K611" s="3">
        <v>13</v>
      </c>
      <c r="L611" s="2" t="s">
        <v>2518</v>
      </c>
      <c r="M611" s="2" t="s">
        <v>2519</v>
      </c>
    </row>
    <row r="612" spans="1:13" x14ac:dyDescent="0.3">
      <c r="A612" s="1">
        <v>45958</v>
      </c>
      <c r="B612" s="2" t="s">
        <v>2638</v>
      </c>
      <c r="C612" s="2" t="s">
        <v>2543</v>
      </c>
      <c r="D612" s="2" t="s">
        <v>2528</v>
      </c>
      <c r="E612" s="2" t="s">
        <v>2517</v>
      </c>
      <c r="F612" s="3">
        <v>19363</v>
      </c>
      <c r="G612" s="3">
        <v>1014</v>
      </c>
      <c r="H612" s="3">
        <v>27</v>
      </c>
      <c r="I612" s="4">
        <v>1853.9</v>
      </c>
      <c r="J612" s="4">
        <v>469.8</v>
      </c>
      <c r="K612" s="3">
        <v>16</v>
      </c>
      <c r="L612" s="2" t="s">
        <v>2523</v>
      </c>
      <c r="M612" s="2" t="s">
        <v>2524</v>
      </c>
    </row>
    <row r="613" spans="1:13" x14ac:dyDescent="0.3">
      <c r="A613" s="1">
        <v>45912</v>
      </c>
      <c r="B613" s="2" t="s">
        <v>2629</v>
      </c>
      <c r="C613" s="2" t="s">
        <v>2543</v>
      </c>
      <c r="D613" s="2" t="s">
        <v>2525</v>
      </c>
      <c r="E613" s="2" t="s">
        <v>2529</v>
      </c>
      <c r="F613" s="3">
        <v>125538</v>
      </c>
      <c r="G613" s="3">
        <v>7116</v>
      </c>
      <c r="H613" s="3">
        <v>419</v>
      </c>
      <c r="I613" s="4">
        <v>13150.3</v>
      </c>
      <c r="J613" s="4">
        <v>74135.75</v>
      </c>
      <c r="K613" s="3">
        <v>290</v>
      </c>
      <c r="L613" s="2" t="s">
        <v>2536</v>
      </c>
      <c r="M613" s="2" t="s">
        <v>2519</v>
      </c>
    </row>
    <row r="614" spans="1:13" x14ac:dyDescent="0.3">
      <c r="A614" s="1">
        <v>45706</v>
      </c>
      <c r="B614" s="2" t="s">
        <v>2616</v>
      </c>
      <c r="C614" s="2" t="s">
        <v>2543</v>
      </c>
      <c r="D614" s="2" t="s">
        <v>2528</v>
      </c>
      <c r="E614" s="2" t="s">
        <v>2534</v>
      </c>
      <c r="F614" s="3">
        <v>114654</v>
      </c>
      <c r="G614" s="3">
        <v>541</v>
      </c>
      <c r="H614" s="3">
        <v>65</v>
      </c>
      <c r="I614" s="4">
        <v>307.39999999999998</v>
      </c>
      <c r="J614" s="4">
        <v>10923.9</v>
      </c>
      <c r="K614" s="3">
        <v>53</v>
      </c>
      <c r="L614" s="2" t="s">
        <v>2539</v>
      </c>
      <c r="M614" s="2" t="s">
        <v>2546</v>
      </c>
    </row>
    <row r="615" spans="1:13" x14ac:dyDescent="0.3">
      <c r="A615" s="1">
        <v>45682</v>
      </c>
      <c r="B615" s="2" t="s">
        <v>2618</v>
      </c>
      <c r="C615" s="2" t="s">
        <v>2527</v>
      </c>
      <c r="D615" s="2" t="s">
        <v>2528</v>
      </c>
      <c r="E615" s="2" t="s">
        <v>2517</v>
      </c>
      <c r="F615" s="3">
        <v>61626</v>
      </c>
      <c r="G615" s="3">
        <v>3327</v>
      </c>
      <c r="H615" s="3">
        <v>336</v>
      </c>
      <c r="I615" s="4">
        <v>6464.39</v>
      </c>
      <c r="J615" s="4">
        <v>68355.5</v>
      </c>
      <c r="K615" s="3">
        <v>206</v>
      </c>
      <c r="L615" s="2" t="s">
        <v>2536</v>
      </c>
      <c r="M615" s="2" t="s">
        <v>2519</v>
      </c>
    </row>
    <row r="616" spans="1:13" x14ac:dyDescent="0.3">
      <c r="A616" s="1">
        <v>45964</v>
      </c>
      <c r="B616" s="2" t="s">
        <v>2623</v>
      </c>
      <c r="C616" s="2" t="s">
        <v>2541</v>
      </c>
      <c r="D616" s="2" t="s">
        <v>2516</v>
      </c>
      <c r="E616" s="2" t="s">
        <v>2529</v>
      </c>
      <c r="F616" s="3">
        <v>105283</v>
      </c>
      <c r="G616" s="3">
        <v>1239</v>
      </c>
      <c r="H616" s="3">
        <v>103</v>
      </c>
      <c r="I616" s="4">
        <v>1107.5</v>
      </c>
      <c r="J616" s="4">
        <v>4977.37</v>
      </c>
      <c r="K616" s="3">
        <v>71</v>
      </c>
      <c r="L616" s="2" t="s">
        <v>2518</v>
      </c>
      <c r="M616" s="2" t="s">
        <v>2526</v>
      </c>
    </row>
    <row r="617" spans="1:13" x14ac:dyDescent="0.3">
      <c r="A617" s="1">
        <v>45849</v>
      </c>
      <c r="B617" s="2" t="s">
        <v>2634</v>
      </c>
      <c r="C617" s="2" t="s">
        <v>2543</v>
      </c>
      <c r="D617" s="2" t="s">
        <v>2522</v>
      </c>
      <c r="E617" s="2" t="s">
        <v>2517</v>
      </c>
      <c r="F617" s="3">
        <v>74520</v>
      </c>
      <c r="G617" s="3">
        <v>5946</v>
      </c>
      <c r="H617" s="3">
        <v>653</v>
      </c>
      <c r="I617" s="4">
        <v>2725.42</v>
      </c>
      <c r="J617" s="4">
        <v>137235.64000000001</v>
      </c>
      <c r="K617" s="3">
        <v>561</v>
      </c>
      <c r="L617" s="2" t="s">
        <v>2539</v>
      </c>
      <c r="M617" s="2" t="s">
        <v>2519</v>
      </c>
    </row>
    <row r="618" spans="1:13" x14ac:dyDescent="0.3">
      <c r="A618" s="1">
        <v>45858</v>
      </c>
      <c r="B618" s="2" t="s">
        <v>2633</v>
      </c>
      <c r="C618" s="2" t="s">
        <v>2543</v>
      </c>
      <c r="D618" s="2" t="s">
        <v>2531</v>
      </c>
      <c r="E618" s="2" t="s">
        <v>2529</v>
      </c>
      <c r="F618" s="3">
        <v>1980</v>
      </c>
      <c r="G618" s="3">
        <v>22</v>
      </c>
      <c r="H618" s="3">
        <v>2</v>
      </c>
      <c r="I618" s="4">
        <v>3.12</v>
      </c>
      <c r="J618" s="4">
        <v>343.43</v>
      </c>
      <c r="K618" s="3">
        <v>1</v>
      </c>
      <c r="L618" s="2" t="s">
        <v>2518</v>
      </c>
      <c r="M618" s="2" t="s">
        <v>2526</v>
      </c>
    </row>
    <row r="619" spans="1:13" x14ac:dyDescent="0.3">
      <c r="A619" s="1">
        <v>45846</v>
      </c>
      <c r="B619" s="2" t="s">
        <v>2628</v>
      </c>
      <c r="C619" s="2" t="s">
        <v>2541</v>
      </c>
      <c r="D619" s="2" t="s">
        <v>2525</v>
      </c>
      <c r="E619" s="2" t="s">
        <v>2529</v>
      </c>
      <c r="F619" s="3">
        <v>66873</v>
      </c>
      <c r="G619" s="3">
        <v>1049</v>
      </c>
      <c r="H619" s="3">
        <v>101</v>
      </c>
      <c r="I619" s="4">
        <v>1738.74</v>
      </c>
      <c r="J619" s="4">
        <v>16691.240000000002</v>
      </c>
      <c r="K619" s="3">
        <v>83</v>
      </c>
      <c r="L619" s="2" t="s">
        <v>2523</v>
      </c>
      <c r="M619" s="2" t="s">
        <v>2524</v>
      </c>
    </row>
    <row r="620" spans="1:13" x14ac:dyDescent="0.3">
      <c r="A620" s="1">
        <v>45715</v>
      </c>
      <c r="B620" s="2" t="s">
        <v>2630</v>
      </c>
      <c r="C620" s="2" t="s">
        <v>2543</v>
      </c>
      <c r="D620" s="2" t="s">
        <v>2528</v>
      </c>
      <c r="E620" s="2" t="s">
        <v>2529</v>
      </c>
      <c r="F620" s="3">
        <v>137541</v>
      </c>
      <c r="G620" s="3">
        <v>5636</v>
      </c>
      <c r="H620" s="3">
        <v>273</v>
      </c>
      <c r="I620" s="4">
        <v>3413.76</v>
      </c>
      <c r="J620" s="4">
        <v>28266.14</v>
      </c>
      <c r="K620" s="3">
        <v>135</v>
      </c>
      <c r="L620" s="2" t="s">
        <v>2523</v>
      </c>
      <c r="M620" s="2" t="s">
        <v>2546</v>
      </c>
    </row>
    <row r="621" spans="1:13" x14ac:dyDescent="0.3">
      <c r="A621" s="1">
        <v>45863</v>
      </c>
      <c r="B621" s="2" t="s">
        <v>2634</v>
      </c>
      <c r="C621" s="2" t="s">
        <v>2527</v>
      </c>
      <c r="D621" s="2" t="s">
        <v>2522</v>
      </c>
      <c r="E621" s="2" t="s">
        <v>2517</v>
      </c>
      <c r="F621" s="3">
        <v>70688</v>
      </c>
      <c r="G621" s="3">
        <v>4949</v>
      </c>
      <c r="H621" s="3">
        <v>409</v>
      </c>
      <c r="I621" s="4">
        <v>3403.11</v>
      </c>
      <c r="J621" s="4">
        <v>53577.93</v>
      </c>
      <c r="K621" s="3">
        <v>210</v>
      </c>
      <c r="L621" s="2" t="s">
        <v>2536</v>
      </c>
      <c r="M621" s="2" t="s">
        <v>2519</v>
      </c>
    </row>
    <row r="622" spans="1:13" x14ac:dyDescent="0.3">
      <c r="A622" s="1">
        <v>45665</v>
      </c>
      <c r="B622" s="2" t="s">
        <v>2624</v>
      </c>
      <c r="C622" s="2" t="s">
        <v>2515</v>
      </c>
      <c r="D622" s="2" t="s">
        <v>2516</v>
      </c>
      <c r="E622" s="2" t="s">
        <v>2529</v>
      </c>
      <c r="F622" s="3">
        <v>172846</v>
      </c>
      <c r="G622" s="3">
        <v>6014</v>
      </c>
      <c r="H622" s="3">
        <v>704</v>
      </c>
      <c r="I622" s="4">
        <v>1463.73</v>
      </c>
      <c r="J622" s="4">
        <v>77483.72</v>
      </c>
      <c r="K622" s="3">
        <v>546</v>
      </c>
      <c r="L622" s="2" t="s">
        <v>2518</v>
      </c>
      <c r="M622" s="2" t="s">
        <v>2519</v>
      </c>
    </row>
    <row r="623" spans="1:13" x14ac:dyDescent="0.3">
      <c r="A623" s="1">
        <v>45865</v>
      </c>
      <c r="B623" s="2" t="s">
        <v>2637</v>
      </c>
      <c r="C623" s="2" t="s">
        <v>2521</v>
      </c>
      <c r="D623" s="2" t="s">
        <v>2525</v>
      </c>
      <c r="E623" s="2" t="s">
        <v>2529</v>
      </c>
      <c r="F623" s="3">
        <v>100849</v>
      </c>
      <c r="G623" s="3">
        <v>5626</v>
      </c>
      <c r="H623" s="3">
        <v>210</v>
      </c>
      <c r="I623" s="4">
        <v>2276.66</v>
      </c>
      <c r="J623" s="4">
        <v>16300.07</v>
      </c>
      <c r="K623" s="3">
        <v>111</v>
      </c>
      <c r="L623" s="2" t="s">
        <v>2523</v>
      </c>
      <c r="M623" s="2" t="s">
        <v>2519</v>
      </c>
    </row>
    <row r="624" spans="1:13" x14ac:dyDescent="0.3">
      <c r="A624" s="1">
        <v>45765</v>
      </c>
      <c r="B624" s="2" t="s">
        <v>2620</v>
      </c>
      <c r="C624" s="2" t="s">
        <v>2543</v>
      </c>
      <c r="D624" s="2" t="s">
        <v>2528</v>
      </c>
      <c r="E624" s="2" t="s">
        <v>2517</v>
      </c>
      <c r="F624" s="3">
        <v>102532</v>
      </c>
      <c r="G624" s="3">
        <v>9023</v>
      </c>
      <c r="H624" s="3">
        <v>958</v>
      </c>
      <c r="I624" s="4">
        <v>6462.89</v>
      </c>
      <c r="J624" s="4">
        <v>184870.89</v>
      </c>
      <c r="K624" s="3">
        <v>469</v>
      </c>
      <c r="L624" s="2" t="s">
        <v>2536</v>
      </c>
      <c r="M624" s="2" t="s">
        <v>2546</v>
      </c>
    </row>
    <row r="625" spans="1:13" x14ac:dyDescent="0.3">
      <c r="A625" s="1">
        <v>45863</v>
      </c>
      <c r="B625" s="2" t="s">
        <v>2619</v>
      </c>
      <c r="C625" s="2" t="s">
        <v>2541</v>
      </c>
      <c r="D625" s="2" t="s">
        <v>2528</v>
      </c>
      <c r="E625" s="2" t="s">
        <v>2529</v>
      </c>
      <c r="F625" s="3">
        <v>98413</v>
      </c>
      <c r="G625" s="3">
        <v>2172</v>
      </c>
      <c r="H625" s="3">
        <v>186</v>
      </c>
      <c r="I625" s="4">
        <v>905.11</v>
      </c>
      <c r="J625" s="4">
        <v>12273.46</v>
      </c>
      <c r="K625" s="3">
        <v>115</v>
      </c>
      <c r="L625" s="2" t="s">
        <v>2523</v>
      </c>
      <c r="M625" s="2" t="s">
        <v>2526</v>
      </c>
    </row>
    <row r="626" spans="1:13" x14ac:dyDescent="0.3">
      <c r="A626" s="1">
        <v>45963</v>
      </c>
      <c r="B626" s="2" t="s">
        <v>2624</v>
      </c>
      <c r="C626" s="2" t="s">
        <v>2521</v>
      </c>
      <c r="D626" s="2" t="s">
        <v>2516</v>
      </c>
      <c r="E626" s="2" t="s">
        <v>2529</v>
      </c>
      <c r="F626" s="3">
        <v>77029</v>
      </c>
      <c r="G626" s="3">
        <v>77272</v>
      </c>
      <c r="H626" s="3">
        <v>303</v>
      </c>
      <c r="I626" s="4">
        <v>5239.8900000000003</v>
      </c>
      <c r="J626" s="4">
        <v>12309.36</v>
      </c>
      <c r="K626" s="3">
        <v>204</v>
      </c>
      <c r="L626" s="2" t="s">
        <v>2518</v>
      </c>
      <c r="M626" s="2" t="s">
        <v>2537</v>
      </c>
    </row>
    <row r="627" spans="1:13" x14ac:dyDescent="0.3">
      <c r="A627" s="1">
        <v>45678</v>
      </c>
      <c r="B627" s="2" t="s">
        <v>2621</v>
      </c>
      <c r="C627" s="2" t="s">
        <v>2543</v>
      </c>
      <c r="D627" s="2" t="s">
        <v>2522</v>
      </c>
      <c r="E627" s="2" t="s">
        <v>2517</v>
      </c>
      <c r="F627" s="3">
        <v>50949</v>
      </c>
      <c r="G627" s="3">
        <v>2025</v>
      </c>
      <c r="H627" s="3">
        <v>69</v>
      </c>
      <c r="I627" s="4">
        <v>3336.51</v>
      </c>
      <c r="J627" s="4">
        <v>9142.67</v>
      </c>
      <c r="K627" s="3">
        <v>33</v>
      </c>
      <c r="L627" s="2" t="s">
        <v>2536</v>
      </c>
      <c r="M627" s="2" t="s">
        <v>2537</v>
      </c>
    </row>
    <row r="628" spans="1:13" x14ac:dyDescent="0.3">
      <c r="A628" s="1">
        <v>45661</v>
      </c>
      <c r="B628" s="2" t="s">
        <v>2626</v>
      </c>
      <c r="C628" s="2" t="s">
        <v>2521</v>
      </c>
      <c r="D628" s="2" t="s">
        <v>2531</v>
      </c>
      <c r="E628" s="2" t="s">
        <v>2534</v>
      </c>
      <c r="F628" s="3">
        <v>117222</v>
      </c>
      <c r="G628" s="3">
        <v>3792</v>
      </c>
      <c r="H628" s="3">
        <v>377</v>
      </c>
      <c r="I628" s="4">
        <v>4978.53</v>
      </c>
      <c r="J628" s="4">
        <v>54629.07</v>
      </c>
      <c r="K628" s="3">
        <v>232</v>
      </c>
      <c r="L628" s="2" t="s">
        <v>2536</v>
      </c>
      <c r="M628" s="2" t="s">
        <v>2519</v>
      </c>
    </row>
    <row r="629" spans="1:13" x14ac:dyDescent="0.3">
      <c r="A629" s="1">
        <v>45776</v>
      </c>
      <c r="B629" s="2" t="s">
        <v>2617</v>
      </c>
      <c r="C629" s="2" t="s">
        <v>2515</v>
      </c>
      <c r="D629" s="2" t="s">
        <v>2516</v>
      </c>
      <c r="E629" s="2" t="s">
        <v>2529</v>
      </c>
      <c r="F629" s="3">
        <v>9798</v>
      </c>
      <c r="G629" s="3">
        <v>405</v>
      </c>
      <c r="H629" s="3">
        <v>10</v>
      </c>
      <c r="I629" s="4">
        <v>509.77</v>
      </c>
      <c r="J629" s="4">
        <v>1018.24</v>
      </c>
      <c r="K629" s="3">
        <v>7</v>
      </c>
      <c r="L629" s="2" t="s">
        <v>2523</v>
      </c>
      <c r="M629" s="2" t="s">
        <v>2526</v>
      </c>
    </row>
    <row r="630" spans="1:13" x14ac:dyDescent="0.3">
      <c r="A630" s="1">
        <v>45848</v>
      </c>
      <c r="B630" s="2" t="s">
        <v>2628</v>
      </c>
      <c r="C630" s="2" t="s">
        <v>2527</v>
      </c>
      <c r="D630" s="2" t="s">
        <v>2528</v>
      </c>
      <c r="E630" s="2" t="s">
        <v>2534</v>
      </c>
      <c r="F630" s="3">
        <v>50433</v>
      </c>
      <c r="G630" s="3">
        <v>361</v>
      </c>
      <c r="H630" s="3">
        <v>31</v>
      </c>
      <c r="I630" s="4">
        <v>499.36</v>
      </c>
      <c r="J630" s="4">
        <v>4692.1000000000004</v>
      </c>
      <c r="K630" s="3">
        <v>15</v>
      </c>
      <c r="L630" s="2" t="s">
        <v>2539</v>
      </c>
      <c r="M630" s="2" t="s">
        <v>2546</v>
      </c>
    </row>
    <row r="631" spans="1:13" x14ac:dyDescent="0.3">
      <c r="A631" s="1">
        <v>45673</v>
      </c>
      <c r="B631" s="2" t="s">
        <v>2640</v>
      </c>
      <c r="C631" s="2" t="s">
        <v>2541</v>
      </c>
      <c r="D631" s="2" t="s">
        <v>2528</v>
      </c>
      <c r="E631" s="2" t="s">
        <v>2517</v>
      </c>
      <c r="F631" s="3">
        <v>91198</v>
      </c>
      <c r="G631" s="3">
        <v>1055</v>
      </c>
      <c r="H631" s="3">
        <v>107</v>
      </c>
      <c r="I631" s="4">
        <v>1102.57</v>
      </c>
      <c r="J631" s="4">
        <v>4468.3100000000004</v>
      </c>
      <c r="K631" s="3">
        <v>83</v>
      </c>
      <c r="L631" s="2" t="s">
        <v>2523</v>
      </c>
      <c r="M631" s="2" t="s">
        <v>2519</v>
      </c>
    </row>
    <row r="632" spans="1:13" x14ac:dyDescent="0.3">
      <c r="A632" s="1">
        <v>45977</v>
      </c>
      <c r="B632" s="2" t="s">
        <v>2623</v>
      </c>
      <c r="C632" s="2" t="s">
        <v>2521</v>
      </c>
      <c r="D632" s="2" t="s">
        <v>2528</v>
      </c>
      <c r="E632" s="2" t="s">
        <v>2529</v>
      </c>
      <c r="F632" s="3">
        <v>50931</v>
      </c>
      <c r="G632" s="3">
        <v>1955</v>
      </c>
      <c r="H632" s="3">
        <v>166</v>
      </c>
      <c r="I632" s="4">
        <v>3380.33</v>
      </c>
      <c r="J632" s="4">
        <v>28495.71</v>
      </c>
      <c r="K632" s="3">
        <v>101</v>
      </c>
      <c r="L632" s="2" t="s">
        <v>2536</v>
      </c>
      <c r="M632" s="2" t="s">
        <v>2524</v>
      </c>
    </row>
    <row r="633" spans="1:13" x14ac:dyDescent="0.3">
      <c r="A633" s="1">
        <v>45673</v>
      </c>
      <c r="B633" s="2" t="s">
        <v>2634</v>
      </c>
      <c r="C633" s="2" t="s">
        <v>2541</v>
      </c>
      <c r="D633" s="2" t="s">
        <v>2528</v>
      </c>
      <c r="E633" s="2" t="s">
        <v>2529</v>
      </c>
      <c r="F633" s="3">
        <v>131451</v>
      </c>
      <c r="G633" s="3">
        <v>10842</v>
      </c>
      <c r="H633" s="3">
        <v>1200</v>
      </c>
      <c r="I633" s="4">
        <v>22247.11</v>
      </c>
      <c r="J633" s="4">
        <v>246975.73</v>
      </c>
      <c r="K633" s="3">
        <v>947</v>
      </c>
      <c r="L633" s="2" t="s">
        <v>2518</v>
      </c>
      <c r="M633" s="2" t="s">
        <v>2546</v>
      </c>
    </row>
    <row r="634" spans="1:13" x14ac:dyDescent="0.3">
      <c r="A634" s="1">
        <v>45933</v>
      </c>
      <c r="B634" s="2" t="s">
        <v>2619</v>
      </c>
      <c r="C634" s="2" t="s">
        <v>2521</v>
      </c>
      <c r="D634" s="2" t="s">
        <v>2516</v>
      </c>
      <c r="E634" s="2" t="s">
        <v>2529</v>
      </c>
      <c r="F634" s="3">
        <v>133990</v>
      </c>
      <c r="G634" s="3">
        <v>1889</v>
      </c>
      <c r="H634" s="3">
        <v>31</v>
      </c>
      <c r="I634" s="4">
        <v>2510.4499999999998</v>
      </c>
      <c r="J634" s="4">
        <v>2879.75</v>
      </c>
      <c r="K634" s="3">
        <v>21</v>
      </c>
      <c r="L634" s="2" t="s">
        <v>2536</v>
      </c>
      <c r="M634" s="2" t="s">
        <v>2524</v>
      </c>
    </row>
    <row r="635" spans="1:13" x14ac:dyDescent="0.3">
      <c r="A635" s="1">
        <v>45782</v>
      </c>
      <c r="B635" s="2" t="s">
        <v>2636</v>
      </c>
      <c r="C635" s="2" t="s">
        <v>2541</v>
      </c>
      <c r="D635" s="2" t="s">
        <v>2528</v>
      </c>
      <c r="E635" s="2" t="s">
        <v>2529</v>
      </c>
      <c r="F635" s="3">
        <v>58227</v>
      </c>
      <c r="G635" s="3">
        <v>1929</v>
      </c>
      <c r="H635" s="3">
        <v>123</v>
      </c>
      <c r="I635" s="4">
        <v>3435.75</v>
      </c>
      <c r="J635" s="4">
        <v>8008.73</v>
      </c>
      <c r="K635" s="3">
        <v>60</v>
      </c>
      <c r="L635" s="2" t="s">
        <v>2518</v>
      </c>
      <c r="M635" s="2" t="s">
        <v>2546</v>
      </c>
    </row>
    <row r="636" spans="1:13" x14ac:dyDescent="0.3">
      <c r="A636" s="1">
        <v>45886</v>
      </c>
      <c r="B636" s="2" t="s">
        <v>2628</v>
      </c>
      <c r="C636" s="2" t="s">
        <v>2533</v>
      </c>
      <c r="D636" s="2" t="s">
        <v>2528</v>
      </c>
      <c r="E636" s="2" t="s">
        <v>2517</v>
      </c>
      <c r="F636" s="3">
        <v>81114</v>
      </c>
      <c r="G636" s="3">
        <v>1267</v>
      </c>
      <c r="H636" s="3">
        <v>46</v>
      </c>
      <c r="I636" s="4">
        <v>2487.8000000000002</v>
      </c>
      <c r="J636" s="4">
        <v>1800.26</v>
      </c>
      <c r="K636" s="3">
        <v>40</v>
      </c>
      <c r="L636" s="2" t="s">
        <v>2539</v>
      </c>
      <c r="M636" s="2" t="s">
        <v>2537</v>
      </c>
    </row>
    <row r="637" spans="1:13" x14ac:dyDescent="0.3">
      <c r="A637" s="1">
        <v>45659</v>
      </c>
      <c r="B637" s="2" t="s">
        <v>2635</v>
      </c>
      <c r="C637" s="2" t="s">
        <v>2533</v>
      </c>
      <c r="D637" s="2" t="s">
        <v>2528</v>
      </c>
      <c r="E637" s="2" t="s">
        <v>2517</v>
      </c>
      <c r="F637" s="3">
        <v>149481</v>
      </c>
      <c r="G637" s="3">
        <v>12168</v>
      </c>
      <c r="H637" s="3">
        <v>743</v>
      </c>
      <c r="I637" s="4">
        <v>14646.37</v>
      </c>
      <c r="J637" s="4">
        <v>91148.79</v>
      </c>
      <c r="K637" s="3">
        <v>633</v>
      </c>
      <c r="L637" s="2" t="s">
        <v>2539</v>
      </c>
      <c r="M637" s="2" t="s">
        <v>2524</v>
      </c>
    </row>
    <row r="638" spans="1:13" x14ac:dyDescent="0.3">
      <c r="A638" s="1">
        <v>45811</v>
      </c>
      <c r="B638" s="2" t="s">
        <v>2624</v>
      </c>
      <c r="C638" s="2" t="s">
        <v>2515</v>
      </c>
      <c r="D638" s="2" t="s">
        <v>2528</v>
      </c>
      <c r="E638" s="2" t="s">
        <v>2517</v>
      </c>
      <c r="F638" s="3">
        <v>33648</v>
      </c>
      <c r="G638" s="3">
        <v>456</v>
      </c>
      <c r="H638" s="3">
        <v>41</v>
      </c>
      <c r="I638" s="4">
        <v>603.47</v>
      </c>
      <c r="J638" s="4">
        <v>1694.01</v>
      </c>
      <c r="K638" s="3">
        <v>28</v>
      </c>
      <c r="L638" s="2" t="s">
        <v>2523</v>
      </c>
      <c r="M638" s="2" t="s">
        <v>2537</v>
      </c>
    </row>
    <row r="639" spans="1:13" x14ac:dyDescent="0.3">
      <c r="A639" s="1">
        <v>45746</v>
      </c>
      <c r="B639" s="2" t="s">
        <v>2627</v>
      </c>
      <c r="C639" s="2" t="s">
        <v>2543</v>
      </c>
      <c r="D639" s="2" t="s">
        <v>2522</v>
      </c>
      <c r="E639" s="2" t="s">
        <v>2529</v>
      </c>
      <c r="F639" s="3">
        <v>53021</v>
      </c>
      <c r="G639" s="3">
        <v>431</v>
      </c>
      <c r="H639" s="3">
        <v>38</v>
      </c>
      <c r="I639" s="4">
        <v>247.25</v>
      </c>
      <c r="J639" s="4">
        <v>1076.1300000000001</v>
      </c>
      <c r="K639" s="3">
        <v>26</v>
      </c>
      <c r="L639" s="2" t="s">
        <v>2539</v>
      </c>
      <c r="M639" s="2" t="s">
        <v>2526</v>
      </c>
    </row>
    <row r="640" spans="1:13" x14ac:dyDescent="0.3">
      <c r="A640" s="1">
        <v>45930</v>
      </c>
      <c r="B640" s="2" t="s">
        <v>2644</v>
      </c>
      <c r="C640" s="2" t="s">
        <v>2521</v>
      </c>
      <c r="D640" s="2" t="s">
        <v>2522</v>
      </c>
      <c r="E640" s="2" t="s">
        <v>2517</v>
      </c>
      <c r="F640" s="3">
        <v>151125</v>
      </c>
      <c r="G640" s="3">
        <v>11249</v>
      </c>
      <c r="H640" s="3">
        <v>1346</v>
      </c>
      <c r="I640" s="4">
        <v>21963.78</v>
      </c>
      <c r="J640" s="4">
        <v>131704.06</v>
      </c>
      <c r="K640" s="3">
        <v>666</v>
      </c>
      <c r="L640" s="2" t="s">
        <v>2518</v>
      </c>
      <c r="M640" s="2" t="s">
        <v>2526</v>
      </c>
    </row>
    <row r="641" spans="1:13" x14ac:dyDescent="0.3">
      <c r="A641" s="1">
        <v>45928</v>
      </c>
      <c r="B641" s="2" t="s">
        <v>2625</v>
      </c>
      <c r="C641" s="2" t="s">
        <v>2521</v>
      </c>
      <c r="D641" s="2" t="s">
        <v>2528</v>
      </c>
      <c r="E641" s="2" t="s">
        <v>2517</v>
      </c>
      <c r="F641" s="3">
        <v>95160</v>
      </c>
      <c r="G641" s="3">
        <v>3905</v>
      </c>
      <c r="H641" s="3">
        <v>216</v>
      </c>
      <c r="I641" s="4">
        <v>5486.17</v>
      </c>
      <c r="J641" s="4">
        <v>25201.43</v>
      </c>
      <c r="K641" s="3">
        <v>162</v>
      </c>
      <c r="L641" s="2" t="s">
        <v>2523</v>
      </c>
      <c r="M641" s="2" t="s">
        <v>2546</v>
      </c>
    </row>
    <row r="642" spans="1:13" x14ac:dyDescent="0.3">
      <c r="A642" s="1">
        <v>45731</v>
      </c>
      <c r="B642" s="2" t="s">
        <v>2624</v>
      </c>
      <c r="C642" s="2" t="s">
        <v>2533</v>
      </c>
      <c r="D642" s="2" t="s">
        <v>2528</v>
      </c>
      <c r="E642" s="2" t="s">
        <v>2517</v>
      </c>
      <c r="F642" s="3">
        <v>87005</v>
      </c>
      <c r="G642" s="3">
        <v>6512</v>
      </c>
      <c r="H642" s="3">
        <v>713</v>
      </c>
      <c r="I642" s="4">
        <v>12440.06</v>
      </c>
      <c r="J642" s="4">
        <v>115661.44</v>
      </c>
      <c r="K642" s="3">
        <v>353</v>
      </c>
      <c r="L642" s="2" t="s">
        <v>2536</v>
      </c>
      <c r="M642" s="2" t="s">
        <v>2526</v>
      </c>
    </row>
    <row r="643" spans="1:13" x14ac:dyDescent="0.3">
      <c r="A643" s="1">
        <v>45721</v>
      </c>
      <c r="B643" s="2" t="s">
        <v>2629</v>
      </c>
      <c r="C643" s="2" t="s">
        <v>2515</v>
      </c>
      <c r="D643" s="2" t="s">
        <v>2528</v>
      </c>
      <c r="E643" s="2" t="s">
        <v>2517</v>
      </c>
      <c r="F643" s="3">
        <v>81159</v>
      </c>
      <c r="G643" s="3">
        <v>2594</v>
      </c>
      <c r="H643" s="3">
        <v>281</v>
      </c>
      <c r="I643" s="4">
        <v>1977.55</v>
      </c>
      <c r="J643" s="4">
        <v>16439.189999999999</v>
      </c>
      <c r="K643" s="3">
        <v>140</v>
      </c>
      <c r="L643" s="2" t="s">
        <v>2536</v>
      </c>
      <c r="M643" s="2" t="s">
        <v>2524</v>
      </c>
    </row>
    <row r="644" spans="1:13" x14ac:dyDescent="0.3">
      <c r="A644" s="1">
        <v>46016</v>
      </c>
      <c r="B644" s="2" t="s">
        <v>2617</v>
      </c>
      <c r="C644" s="2" t="s">
        <v>2541</v>
      </c>
      <c r="D644" s="2" t="s">
        <v>2531</v>
      </c>
      <c r="E644" s="2" t="s">
        <v>2534</v>
      </c>
      <c r="F644" s="3">
        <v>146738</v>
      </c>
      <c r="G644" s="3">
        <v>11190</v>
      </c>
      <c r="H644" s="3">
        <v>809</v>
      </c>
      <c r="I644" s="4">
        <v>3671.31</v>
      </c>
      <c r="J644" s="4">
        <v>171892.14</v>
      </c>
      <c r="K644" s="3">
        <v>716</v>
      </c>
      <c r="L644" s="2" t="s">
        <v>2523</v>
      </c>
      <c r="M644" s="2" t="s">
        <v>2519</v>
      </c>
    </row>
    <row r="645" spans="1:13" x14ac:dyDescent="0.3">
      <c r="A645" s="1">
        <v>45960</v>
      </c>
      <c r="B645" s="2" t="s">
        <v>2635</v>
      </c>
      <c r="C645" s="2" t="s">
        <v>2521</v>
      </c>
      <c r="D645" s="2" t="s">
        <v>2525</v>
      </c>
      <c r="E645" s="2" t="s">
        <v>2529</v>
      </c>
      <c r="F645" s="3">
        <v>74760</v>
      </c>
      <c r="G645" s="3">
        <v>5526</v>
      </c>
      <c r="H645" s="3">
        <v>276</v>
      </c>
      <c r="I645" s="4">
        <v>10694.04</v>
      </c>
      <c r="J645" s="4">
        <v>54850.02</v>
      </c>
      <c r="K645" s="3">
        <v>149</v>
      </c>
      <c r="L645" s="2" t="s">
        <v>2536</v>
      </c>
      <c r="M645" s="2" t="s">
        <v>2537</v>
      </c>
    </row>
    <row r="646" spans="1:13" x14ac:dyDescent="0.3">
      <c r="A646" s="1">
        <v>45832</v>
      </c>
      <c r="B646" s="2" t="s">
        <v>2624</v>
      </c>
      <c r="C646" s="2" t="s">
        <v>2541</v>
      </c>
      <c r="D646" s="2" t="s">
        <v>2525</v>
      </c>
      <c r="E646" s="2" t="s">
        <v>2534</v>
      </c>
      <c r="F646" s="3">
        <v>86482</v>
      </c>
      <c r="G646" s="3">
        <v>629</v>
      </c>
      <c r="H646" s="3">
        <v>43</v>
      </c>
      <c r="I646" s="4">
        <v>1227.1199999999999</v>
      </c>
      <c r="J646" s="4">
        <v>1018.31</v>
      </c>
      <c r="K646" s="3">
        <v>28</v>
      </c>
      <c r="L646" s="2" t="s">
        <v>2518</v>
      </c>
      <c r="M646" s="2" t="s">
        <v>2519</v>
      </c>
    </row>
    <row r="647" spans="1:13" x14ac:dyDescent="0.3">
      <c r="A647" s="1">
        <v>45677</v>
      </c>
      <c r="B647" s="2" t="s">
        <v>2633</v>
      </c>
      <c r="C647" s="2" t="s">
        <v>2527</v>
      </c>
      <c r="D647" s="2" t="s">
        <v>2531</v>
      </c>
      <c r="E647" s="2" t="s">
        <v>2529</v>
      </c>
      <c r="F647" s="3">
        <v>44918</v>
      </c>
      <c r="G647" s="3">
        <v>1633</v>
      </c>
      <c r="H647" s="3">
        <v>208</v>
      </c>
      <c r="I647" s="4">
        <v>2262.04</v>
      </c>
      <c r="J647" s="4">
        <v>9065.77</v>
      </c>
      <c r="K647" s="3">
        <v>179</v>
      </c>
      <c r="L647" s="2" t="s">
        <v>2518</v>
      </c>
      <c r="M647" s="2" t="s">
        <v>2524</v>
      </c>
    </row>
    <row r="648" spans="1:13" x14ac:dyDescent="0.3">
      <c r="A648" s="1">
        <v>45893</v>
      </c>
      <c r="B648" s="2" t="s">
        <v>2624</v>
      </c>
      <c r="C648" s="2" t="s">
        <v>2515</v>
      </c>
      <c r="D648" s="2" t="s">
        <v>2525</v>
      </c>
      <c r="E648" s="2" t="s">
        <v>2517</v>
      </c>
      <c r="F648" s="3">
        <v>126350</v>
      </c>
      <c r="G648" s="3">
        <v>6760</v>
      </c>
      <c r="H648" s="3">
        <v>630</v>
      </c>
      <c r="I648" s="4">
        <v>3975.02</v>
      </c>
      <c r="J648" s="4">
        <v>91938.97</v>
      </c>
      <c r="K648" s="3">
        <v>544</v>
      </c>
      <c r="L648" s="2" t="s">
        <v>2523</v>
      </c>
      <c r="M648" s="2" t="s">
        <v>2645</v>
      </c>
    </row>
    <row r="649" spans="1:13" x14ac:dyDescent="0.3">
      <c r="A649" s="1">
        <v>45734</v>
      </c>
      <c r="B649" s="2" t="s">
        <v>2628</v>
      </c>
      <c r="C649" s="2" t="s">
        <v>2543</v>
      </c>
      <c r="D649" s="2" t="s">
        <v>2522</v>
      </c>
      <c r="E649" s="2" t="s">
        <v>2534</v>
      </c>
      <c r="F649" s="3">
        <v>47013</v>
      </c>
      <c r="G649" s="3">
        <v>930</v>
      </c>
      <c r="H649" s="3">
        <v>8</v>
      </c>
      <c r="I649" s="4">
        <v>936.32</v>
      </c>
      <c r="J649" s="4">
        <v>1098.92</v>
      </c>
      <c r="K649" s="3">
        <v>6</v>
      </c>
      <c r="L649" s="2" t="s">
        <v>2523</v>
      </c>
      <c r="M649" s="2" t="s">
        <v>2537</v>
      </c>
    </row>
    <row r="650" spans="1:13" x14ac:dyDescent="0.3">
      <c r="A650" s="1">
        <v>45703</v>
      </c>
      <c r="B650" s="2" t="s">
        <v>2622</v>
      </c>
      <c r="C650" s="2" t="s">
        <v>2541</v>
      </c>
      <c r="D650" s="2" t="s">
        <v>2528</v>
      </c>
      <c r="E650" s="2" t="s">
        <v>2529</v>
      </c>
      <c r="F650" s="3">
        <v>161969</v>
      </c>
      <c r="G650" s="3">
        <v>2844</v>
      </c>
      <c r="H650" s="3">
        <v>392</v>
      </c>
      <c r="I650" s="4">
        <v>3952.39</v>
      </c>
      <c r="J650" s="4">
        <v>27562.18</v>
      </c>
      <c r="K650" s="3">
        <v>273</v>
      </c>
      <c r="L650" s="2" t="s">
        <v>2539</v>
      </c>
      <c r="M650" s="2" t="s">
        <v>2546</v>
      </c>
    </row>
    <row r="651" spans="1:13" x14ac:dyDescent="0.3">
      <c r="A651" s="1">
        <v>45804</v>
      </c>
      <c r="B651" s="2" t="s">
        <v>2641</v>
      </c>
      <c r="C651" s="2" t="s">
        <v>2533</v>
      </c>
      <c r="D651" s="2" t="s">
        <v>2528</v>
      </c>
      <c r="E651" s="2" t="s">
        <v>2529</v>
      </c>
      <c r="F651" s="3">
        <v>159275</v>
      </c>
      <c r="G651" s="3">
        <v>3864</v>
      </c>
      <c r="H651" s="3">
        <v>313</v>
      </c>
      <c r="I651" s="4">
        <v>4832.8900000000003</v>
      </c>
      <c r="J651" s="4">
        <v>39914.720000000001</v>
      </c>
      <c r="K651" s="3">
        <v>224</v>
      </c>
      <c r="L651" s="2" t="s">
        <v>2536</v>
      </c>
      <c r="M651" s="2" t="s">
        <v>2537</v>
      </c>
    </row>
    <row r="652" spans="1:13" x14ac:dyDescent="0.3">
      <c r="A652" s="1">
        <v>45913</v>
      </c>
      <c r="B652" s="2" t="s">
        <v>2643</v>
      </c>
      <c r="C652" s="2" t="s">
        <v>2521</v>
      </c>
      <c r="D652" s="2" t="s">
        <v>2528</v>
      </c>
      <c r="E652" s="2" t="s">
        <v>2517</v>
      </c>
      <c r="F652" s="3">
        <v>1702</v>
      </c>
      <c r="G652" s="3">
        <v>96</v>
      </c>
      <c r="H652" s="3">
        <v>9</v>
      </c>
      <c r="I652" s="4">
        <v>15.89</v>
      </c>
      <c r="J652" s="4">
        <v>1009.66</v>
      </c>
      <c r="K652" s="3">
        <v>7</v>
      </c>
      <c r="L652" s="2" t="s">
        <v>2518</v>
      </c>
      <c r="M652" s="2" t="s">
        <v>2526</v>
      </c>
    </row>
    <row r="653" spans="1:13" x14ac:dyDescent="0.3">
      <c r="A653" s="1">
        <v>45730</v>
      </c>
      <c r="B653" s="2" t="s">
        <v>2636</v>
      </c>
      <c r="C653" s="2" t="s">
        <v>2543</v>
      </c>
      <c r="D653" s="2" t="s">
        <v>2525</v>
      </c>
      <c r="E653" s="2" t="s">
        <v>2517</v>
      </c>
      <c r="F653" s="3">
        <v>135293</v>
      </c>
      <c r="G653" s="3">
        <v>5402</v>
      </c>
      <c r="H653" s="3">
        <v>408</v>
      </c>
      <c r="I653" s="4">
        <v>5556.44</v>
      </c>
      <c r="J653" s="4">
        <v>78557.27</v>
      </c>
      <c r="K653" s="3">
        <v>207</v>
      </c>
      <c r="L653" s="2" t="s">
        <v>2518</v>
      </c>
      <c r="M653" s="2" t="s">
        <v>2546</v>
      </c>
    </row>
    <row r="654" spans="1:13" x14ac:dyDescent="0.3">
      <c r="A654" s="1">
        <v>45779</v>
      </c>
      <c r="B654" s="2" t="s">
        <v>2638</v>
      </c>
      <c r="C654" s="2" t="s">
        <v>2541</v>
      </c>
      <c r="D654" s="2" t="s">
        <v>2528</v>
      </c>
      <c r="E654" s="2" t="s">
        <v>2517</v>
      </c>
      <c r="F654" s="3">
        <v>44362</v>
      </c>
      <c r="G654" s="3">
        <v>1486</v>
      </c>
      <c r="H654" s="3">
        <v>86</v>
      </c>
      <c r="I654" s="4">
        <v>2994.64</v>
      </c>
      <c r="J654" s="4">
        <v>8399.7099999999991</v>
      </c>
      <c r="K654" s="3">
        <v>70</v>
      </c>
      <c r="L654" s="2" t="s">
        <v>2523</v>
      </c>
      <c r="M654" s="2" t="s">
        <v>2524</v>
      </c>
    </row>
    <row r="655" spans="1:13" x14ac:dyDescent="0.3">
      <c r="A655" s="1">
        <v>45922</v>
      </c>
      <c r="B655" s="2" t="s">
        <v>2637</v>
      </c>
      <c r="C655" s="2" t="s">
        <v>2515</v>
      </c>
      <c r="D655" s="2" t="s">
        <v>2528</v>
      </c>
      <c r="E655" s="2" t="s">
        <v>2534</v>
      </c>
      <c r="F655" s="3">
        <v>99175</v>
      </c>
      <c r="G655" s="3">
        <v>7418</v>
      </c>
      <c r="H655" s="3">
        <v>728</v>
      </c>
      <c r="I655" s="4">
        <v>3074.55</v>
      </c>
      <c r="J655" s="4">
        <v>93339.63</v>
      </c>
      <c r="K655" s="3">
        <v>330</v>
      </c>
      <c r="L655" s="2" t="s">
        <v>2518</v>
      </c>
      <c r="M655" s="2" t="s">
        <v>2526</v>
      </c>
    </row>
    <row r="656" spans="1:13" x14ac:dyDescent="0.3">
      <c r="A656" s="1">
        <v>46017</v>
      </c>
      <c r="B656" s="2" t="s">
        <v>2639</v>
      </c>
      <c r="C656" s="2" t="s">
        <v>2533</v>
      </c>
      <c r="D656" s="2" t="s">
        <v>2528</v>
      </c>
      <c r="E656" s="2" t="s">
        <v>2529</v>
      </c>
      <c r="F656" s="3">
        <v>109986</v>
      </c>
      <c r="G656" s="3">
        <v>9817</v>
      </c>
      <c r="H656" s="3">
        <v>535</v>
      </c>
      <c r="I656" s="4">
        <v>14561.54</v>
      </c>
      <c r="J656" s="4">
        <v>45881.61</v>
      </c>
      <c r="K656" s="3">
        <v>287</v>
      </c>
      <c r="L656" s="2" t="s">
        <v>2539</v>
      </c>
      <c r="M656" s="2" t="s">
        <v>2526</v>
      </c>
    </row>
    <row r="657" spans="1:13" x14ac:dyDescent="0.3">
      <c r="A657" s="1">
        <v>45811</v>
      </c>
      <c r="B657" s="2" t="s">
        <v>2643</v>
      </c>
      <c r="C657" s="2" t="s">
        <v>2515</v>
      </c>
      <c r="D657" s="2" t="s">
        <v>2525</v>
      </c>
      <c r="E657" s="2" t="s">
        <v>2517</v>
      </c>
      <c r="F657" s="3">
        <v>135869</v>
      </c>
      <c r="G657" s="3">
        <v>136843</v>
      </c>
      <c r="H657" s="3">
        <v>75</v>
      </c>
      <c r="I657" s="4">
        <v>1587.29</v>
      </c>
      <c r="J657" s="4">
        <v>5593.64</v>
      </c>
      <c r="K657" s="3">
        <v>49</v>
      </c>
      <c r="L657" s="2" t="s">
        <v>2539</v>
      </c>
      <c r="M657" s="2" t="s">
        <v>2526</v>
      </c>
    </row>
    <row r="658" spans="1:13" x14ac:dyDescent="0.3">
      <c r="A658" s="1">
        <v>45895</v>
      </c>
      <c r="B658" s="2" t="s">
        <v>2637</v>
      </c>
      <c r="C658" s="2" t="s">
        <v>2527</v>
      </c>
      <c r="D658" s="2" t="s">
        <v>2528</v>
      </c>
      <c r="E658" s="2" t="s">
        <v>2529</v>
      </c>
      <c r="F658" s="3">
        <v>162662</v>
      </c>
      <c r="G658" s="3">
        <v>4815</v>
      </c>
      <c r="H658" s="3">
        <v>566</v>
      </c>
      <c r="I658" s="4">
        <v>9443.9</v>
      </c>
      <c r="J658" s="4">
        <v>56501.69</v>
      </c>
      <c r="K658" s="3">
        <v>434</v>
      </c>
      <c r="L658" s="2" t="s">
        <v>2539</v>
      </c>
      <c r="M658" s="2" t="s">
        <v>2537</v>
      </c>
    </row>
    <row r="659" spans="1:13" x14ac:dyDescent="0.3">
      <c r="A659" s="1">
        <v>45842</v>
      </c>
      <c r="B659" s="2" t="s">
        <v>2628</v>
      </c>
      <c r="C659" s="2" t="s">
        <v>2521</v>
      </c>
      <c r="D659" s="2" t="s">
        <v>2525</v>
      </c>
      <c r="E659" s="2" t="s">
        <v>2517</v>
      </c>
      <c r="F659" s="3">
        <v>152078</v>
      </c>
      <c r="G659" s="3">
        <v>3574</v>
      </c>
      <c r="H659" s="3">
        <v>457</v>
      </c>
      <c r="I659" s="4">
        <v>2691.66</v>
      </c>
      <c r="J659" s="4">
        <v>13195.07</v>
      </c>
      <c r="K659" s="3">
        <v>360</v>
      </c>
      <c r="L659" s="2" t="s">
        <v>2523</v>
      </c>
      <c r="M659" s="2" t="s">
        <v>2537</v>
      </c>
    </row>
    <row r="660" spans="1:13" x14ac:dyDescent="0.3">
      <c r="A660" s="1">
        <v>45754</v>
      </c>
      <c r="B660" s="2" t="s">
        <v>2636</v>
      </c>
      <c r="C660" s="2" t="s">
        <v>2541</v>
      </c>
      <c r="D660" s="2" t="s">
        <v>2528</v>
      </c>
      <c r="E660" s="2" t="s">
        <v>2529</v>
      </c>
      <c r="F660" s="3">
        <v>148477</v>
      </c>
      <c r="G660" s="3">
        <v>8778</v>
      </c>
      <c r="H660" s="3">
        <v>358</v>
      </c>
      <c r="I660" s="4">
        <v>10750.86</v>
      </c>
      <c r="J660" s="4">
        <v>62423.5</v>
      </c>
      <c r="K660" s="3">
        <v>238</v>
      </c>
      <c r="L660" s="2" t="s">
        <v>2523</v>
      </c>
      <c r="M660" s="2" t="s">
        <v>2537</v>
      </c>
    </row>
    <row r="661" spans="1:13" x14ac:dyDescent="0.3">
      <c r="A661" s="1">
        <v>45834</v>
      </c>
      <c r="B661" s="2" t="s">
        <v>2616</v>
      </c>
      <c r="C661" s="2" t="s">
        <v>2543</v>
      </c>
      <c r="D661" s="2" t="s">
        <v>2525</v>
      </c>
      <c r="E661" s="2" t="s">
        <v>2517</v>
      </c>
      <c r="F661" s="3">
        <v>2680</v>
      </c>
      <c r="G661" s="3">
        <v>179</v>
      </c>
      <c r="H661" s="3">
        <v>15</v>
      </c>
      <c r="I661" s="4">
        <v>76.08</v>
      </c>
      <c r="J661" s="4">
        <v>2679.01</v>
      </c>
      <c r="K661" s="3">
        <v>11</v>
      </c>
      <c r="L661" s="2" t="s">
        <v>2536</v>
      </c>
      <c r="M661" s="2" t="s">
        <v>2524</v>
      </c>
    </row>
    <row r="662" spans="1:13" x14ac:dyDescent="0.3">
      <c r="A662" s="1">
        <v>45709</v>
      </c>
      <c r="B662" s="2" t="s">
        <v>2619</v>
      </c>
      <c r="C662" s="2" t="s">
        <v>2543</v>
      </c>
      <c r="D662" s="2" t="s">
        <v>2525</v>
      </c>
      <c r="E662" s="2" t="s">
        <v>2529</v>
      </c>
      <c r="F662" s="3">
        <v>58488</v>
      </c>
      <c r="G662" s="3">
        <v>3347</v>
      </c>
      <c r="H662" s="3">
        <v>142</v>
      </c>
      <c r="I662" s="4">
        <v>2706.93</v>
      </c>
      <c r="J662" s="4">
        <v>14894.22</v>
      </c>
      <c r="K662" s="3">
        <v>85</v>
      </c>
      <c r="L662" s="2" t="s">
        <v>2518</v>
      </c>
      <c r="M662" s="2" t="s">
        <v>2524</v>
      </c>
    </row>
    <row r="663" spans="1:13" x14ac:dyDescent="0.3">
      <c r="A663" s="1">
        <v>45658</v>
      </c>
      <c r="B663" s="2" t="s">
        <v>2626</v>
      </c>
      <c r="C663" s="2" t="s">
        <v>2533</v>
      </c>
      <c r="D663" s="2" t="s">
        <v>2528</v>
      </c>
      <c r="E663" s="2" t="s">
        <v>2529</v>
      </c>
      <c r="F663" s="3">
        <v>147855</v>
      </c>
      <c r="G663" s="3">
        <v>7882</v>
      </c>
      <c r="H663" s="3">
        <v>234</v>
      </c>
      <c r="I663" s="4">
        <v>6499.3</v>
      </c>
      <c r="J663" s="4">
        <v>36565.64</v>
      </c>
      <c r="K663" s="3">
        <v>152</v>
      </c>
      <c r="L663" s="2" t="s">
        <v>2523</v>
      </c>
      <c r="M663" s="2" t="s">
        <v>2546</v>
      </c>
    </row>
    <row r="664" spans="1:13" x14ac:dyDescent="0.3">
      <c r="A664" s="1">
        <v>45830</v>
      </c>
      <c r="B664" s="2" t="s">
        <v>2618</v>
      </c>
      <c r="C664" s="2" t="s">
        <v>2541</v>
      </c>
      <c r="D664" s="2" t="s">
        <v>2522</v>
      </c>
      <c r="E664" s="2" t="s">
        <v>2529</v>
      </c>
      <c r="F664" s="3">
        <v>94806</v>
      </c>
      <c r="G664" s="3">
        <v>6109</v>
      </c>
      <c r="H664" s="3">
        <v>341</v>
      </c>
      <c r="I664" s="4">
        <v>9131.02</v>
      </c>
      <c r="J664" s="4">
        <v>73804.23</v>
      </c>
      <c r="K664" s="3">
        <v>168</v>
      </c>
      <c r="L664" s="2" t="s">
        <v>2518</v>
      </c>
      <c r="M664" s="2" t="s">
        <v>2524</v>
      </c>
    </row>
    <row r="665" spans="1:13" x14ac:dyDescent="0.3">
      <c r="A665" s="1">
        <v>45816</v>
      </c>
      <c r="B665" s="2" t="s">
        <v>2643</v>
      </c>
      <c r="C665" s="2" t="s">
        <v>2541</v>
      </c>
      <c r="D665" s="2" t="s">
        <v>2528</v>
      </c>
      <c r="E665" s="2" t="s">
        <v>2529</v>
      </c>
      <c r="F665" s="3">
        <v>52683</v>
      </c>
      <c r="G665" s="3">
        <v>2255</v>
      </c>
      <c r="H665" s="3">
        <v>83</v>
      </c>
      <c r="I665" s="4">
        <v>3965.47</v>
      </c>
      <c r="J665" s="4">
        <v>11563.97</v>
      </c>
      <c r="K665" s="3">
        <v>39</v>
      </c>
      <c r="L665" s="2" t="s">
        <v>2518</v>
      </c>
      <c r="M665" s="2" t="s">
        <v>2524</v>
      </c>
    </row>
    <row r="666" spans="1:13" x14ac:dyDescent="0.3">
      <c r="A666" s="1">
        <v>45781</v>
      </c>
      <c r="B666" s="2" t="s">
        <v>2622</v>
      </c>
      <c r="C666" s="2" t="s">
        <v>2527</v>
      </c>
      <c r="D666" s="2" t="s">
        <v>2528</v>
      </c>
      <c r="E666" s="2" t="s">
        <v>2529</v>
      </c>
      <c r="F666" s="3">
        <v>129483</v>
      </c>
      <c r="G666" s="3">
        <v>1420</v>
      </c>
      <c r="H666" s="3">
        <v>186</v>
      </c>
      <c r="I666" s="4">
        <v>1310.1300000000001</v>
      </c>
      <c r="J666" s="4">
        <v>7578.48</v>
      </c>
      <c r="K666" s="3">
        <v>135</v>
      </c>
      <c r="L666" s="2" t="s">
        <v>2539</v>
      </c>
      <c r="M666" s="2" t="s">
        <v>2537</v>
      </c>
    </row>
    <row r="667" spans="1:13" x14ac:dyDescent="0.3">
      <c r="A667" s="1">
        <v>45960</v>
      </c>
      <c r="B667" s="2" t="s">
        <v>2619</v>
      </c>
      <c r="C667" s="2" t="s">
        <v>2515</v>
      </c>
      <c r="D667" s="2" t="s">
        <v>2516</v>
      </c>
      <c r="E667" s="2" t="s">
        <v>2529</v>
      </c>
      <c r="F667" s="3">
        <v>165650</v>
      </c>
      <c r="G667" s="3">
        <v>5047</v>
      </c>
      <c r="H667" s="3">
        <v>292</v>
      </c>
      <c r="I667" s="4">
        <v>2537.9699999999998</v>
      </c>
      <c r="J667" s="4">
        <v>32206.3</v>
      </c>
      <c r="K667" s="3">
        <v>156</v>
      </c>
      <c r="L667" s="2" t="s">
        <v>2523</v>
      </c>
      <c r="M667" s="2" t="s">
        <v>2524</v>
      </c>
    </row>
    <row r="668" spans="1:13" x14ac:dyDescent="0.3">
      <c r="A668" s="1">
        <v>45762</v>
      </c>
      <c r="B668" s="2" t="s">
        <v>2635</v>
      </c>
      <c r="C668" s="2" t="s">
        <v>2515</v>
      </c>
      <c r="D668" s="2" t="s">
        <v>2528</v>
      </c>
      <c r="E668" s="2" t="s">
        <v>2529</v>
      </c>
      <c r="F668" s="3">
        <v>22582</v>
      </c>
      <c r="G668" s="3">
        <v>433</v>
      </c>
      <c r="H668" s="3">
        <v>14</v>
      </c>
      <c r="I668" s="4">
        <v>794.38</v>
      </c>
      <c r="J668" s="4">
        <v>1345.65</v>
      </c>
      <c r="K668" s="3">
        <v>10</v>
      </c>
      <c r="L668" s="2" t="s">
        <v>2523</v>
      </c>
      <c r="M668" s="2" t="s">
        <v>2526</v>
      </c>
    </row>
    <row r="669" spans="1:13" x14ac:dyDescent="0.3">
      <c r="A669" s="1">
        <v>45929</v>
      </c>
      <c r="B669" s="2" t="s">
        <v>2622</v>
      </c>
      <c r="C669" s="2" t="s">
        <v>2515</v>
      </c>
      <c r="D669" s="2" t="s">
        <v>2522</v>
      </c>
      <c r="E669" s="2" t="s">
        <v>2517</v>
      </c>
      <c r="F669" s="3">
        <v>125690</v>
      </c>
      <c r="G669" s="3">
        <v>5482</v>
      </c>
      <c r="H669" s="3">
        <v>432</v>
      </c>
      <c r="I669" s="4">
        <v>9711.41</v>
      </c>
      <c r="J669" s="4">
        <v>21270.66</v>
      </c>
      <c r="K669" s="3">
        <v>347</v>
      </c>
      <c r="L669" s="2" t="s">
        <v>2518</v>
      </c>
      <c r="M669" s="2" t="s">
        <v>2546</v>
      </c>
    </row>
    <row r="670" spans="1:13" x14ac:dyDescent="0.3">
      <c r="A670" s="1">
        <v>45860</v>
      </c>
      <c r="B670" s="2" t="s">
        <v>2622</v>
      </c>
      <c r="C670" s="2" t="s">
        <v>2541</v>
      </c>
      <c r="D670" s="2" t="s">
        <v>2522</v>
      </c>
      <c r="E670" s="2" t="s">
        <v>2529</v>
      </c>
      <c r="F670" s="3">
        <v>57099</v>
      </c>
      <c r="G670" s="3">
        <v>4595</v>
      </c>
      <c r="H670" s="3">
        <v>242</v>
      </c>
      <c r="I670" s="4">
        <v>8110.22</v>
      </c>
      <c r="J670" s="4">
        <v>21665.16</v>
      </c>
      <c r="K670" s="3">
        <v>121</v>
      </c>
      <c r="L670" s="2" t="s">
        <v>2536</v>
      </c>
      <c r="M670" s="2" t="s">
        <v>2519</v>
      </c>
    </row>
    <row r="671" spans="1:13" x14ac:dyDescent="0.3">
      <c r="A671" s="1">
        <v>45672</v>
      </c>
      <c r="B671" s="2" t="s">
        <v>2635</v>
      </c>
      <c r="C671" s="2" t="s">
        <v>2527</v>
      </c>
      <c r="D671" s="2" t="s">
        <v>2531</v>
      </c>
      <c r="E671" s="2" t="s">
        <v>2529</v>
      </c>
      <c r="F671" s="3">
        <v>75640</v>
      </c>
      <c r="G671" s="3">
        <v>4641</v>
      </c>
      <c r="H671" s="3">
        <v>140</v>
      </c>
      <c r="I671" s="4">
        <v>5644.18</v>
      </c>
      <c r="J671" s="4">
        <v>14349.7</v>
      </c>
      <c r="K671" s="3">
        <v>78</v>
      </c>
      <c r="L671" s="2" t="s">
        <v>2539</v>
      </c>
      <c r="M671" s="2" t="s">
        <v>2546</v>
      </c>
    </row>
    <row r="672" spans="1:13" x14ac:dyDescent="0.3">
      <c r="A672" s="1">
        <v>45849</v>
      </c>
      <c r="B672" s="2" t="s">
        <v>2618</v>
      </c>
      <c r="C672" s="2" t="s">
        <v>2533</v>
      </c>
      <c r="D672" s="2" t="s">
        <v>2531</v>
      </c>
      <c r="E672" s="2" t="s">
        <v>2534</v>
      </c>
      <c r="F672" s="3">
        <v>168003</v>
      </c>
      <c r="G672" s="3">
        <v>8511</v>
      </c>
      <c r="H672" s="3">
        <v>464</v>
      </c>
      <c r="I672" s="4">
        <v>10605.75</v>
      </c>
      <c r="J672" s="4">
        <v>78496.539999999994</v>
      </c>
      <c r="K672" s="3">
        <v>291</v>
      </c>
      <c r="L672" s="2" t="s">
        <v>2518</v>
      </c>
      <c r="M672" s="2" t="s">
        <v>2524</v>
      </c>
    </row>
    <row r="673" spans="1:13" x14ac:dyDescent="0.3">
      <c r="A673" s="1">
        <v>45980</v>
      </c>
      <c r="B673" s="2" t="s">
        <v>2636</v>
      </c>
      <c r="C673" s="2" t="s">
        <v>2533</v>
      </c>
      <c r="D673" s="2" t="s">
        <v>2528</v>
      </c>
      <c r="E673" s="2" t="s">
        <v>2517</v>
      </c>
      <c r="F673" s="3">
        <v>48844</v>
      </c>
      <c r="G673" s="3">
        <v>1237</v>
      </c>
      <c r="H673" s="3">
        <v>129</v>
      </c>
      <c r="I673" s="4">
        <v>355.96</v>
      </c>
      <c r="J673" s="4">
        <v>16266.25</v>
      </c>
      <c r="K673" s="3">
        <v>93</v>
      </c>
      <c r="L673" s="2" t="s">
        <v>2536</v>
      </c>
      <c r="M673" s="2" t="s">
        <v>2526</v>
      </c>
    </row>
    <row r="674" spans="1:13" x14ac:dyDescent="0.3">
      <c r="A674" s="1">
        <v>45907</v>
      </c>
      <c r="B674" s="2" t="s">
        <v>2631</v>
      </c>
      <c r="C674" s="2" t="s">
        <v>2527</v>
      </c>
      <c r="D674" s="2" t="s">
        <v>2528</v>
      </c>
      <c r="E674" s="2" t="s">
        <v>2529</v>
      </c>
      <c r="F674" s="3">
        <v>157605</v>
      </c>
      <c r="G674" s="3">
        <v>10945</v>
      </c>
      <c r="H674" s="3">
        <v>753</v>
      </c>
      <c r="I674" s="4">
        <v>7928.79</v>
      </c>
      <c r="J674" s="4">
        <v>147210.54999999999</v>
      </c>
      <c r="K674" s="3">
        <v>493</v>
      </c>
      <c r="L674" s="2" t="s">
        <v>2518</v>
      </c>
      <c r="M674" s="2" t="s">
        <v>2537</v>
      </c>
    </row>
    <row r="675" spans="1:13" x14ac:dyDescent="0.3">
      <c r="A675" s="1">
        <v>45879</v>
      </c>
      <c r="B675" s="2" t="s">
        <v>2625</v>
      </c>
      <c r="C675" s="2" t="s">
        <v>2521</v>
      </c>
      <c r="D675" s="2" t="s">
        <v>2522</v>
      </c>
      <c r="E675" s="2" t="s">
        <v>2529</v>
      </c>
      <c r="F675" s="3">
        <v>117821</v>
      </c>
      <c r="G675" s="3">
        <v>1769</v>
      </c>
      <c r="H675" s="3">
        <v>134</v>
      </c>
      <c r="I675" s="4">
        <v>559</v>
      </c>
      <c r="J675" s="4">
        <v>3711</v>
      </c>
      <c r="K675" s="3">
        <v>117</v>
      </c>
      <c r="L675" s="2" t="s">
        <v>2539</v>
      </c>
      <c r="M675" s="2" t="s">
        <v>2537</v>
      </c>
    </row>
    <row r="676" spans="1:13" x14ac:dyDescent="0.3">
      <c r="A676" s="1">
        <v>45950</v>
      </c>
      <c r="B676" s="2" t="s">
        <v>2630</v>
      </c>
      <c r="C676" s="2" t="s">
        <v>2521</v>
      </c>
      <c r="D676" s="2" t="s">
        <v>2531</v>
      </c>
      <c r="E676" s="2" t="s">
        <v>2517</v>
      </c>
      <c r="F676" s="3">
        <v>90138</v>
      </c>
      <c r="G676" s="3">
        <v>1952</v>
      </c>
      <c r="H676" s="3">
        <v>182</v>
      </c>
      <c r="I676" s="4">
        <v>3510.27</v>
      </c>
      <c r="J676" s="4">
        <v>29254.3</v>
      </c>
      <c r="K676" s="3">
        <v>145</v>
      </c>
      <c r="L676" s="2" t="s">
        <v>2539</v>
      </c>
      <c r="M676" s="2" t="s">
        <v>2546</v>
      </c>
    </row>
    <row r="677" spans="1:13" x14ac:dyDescent="0.3">
      <c r="A677" s="1">
        <v>45877</v>
      </c>
      <c r="B677" s="2" t="s">
        <v>2628</v>
      </c>
      <c r="C677" s="2" t="s">
        <v>2645</v>
      </c>
      <c r="D677" s="2" t="s">
        <v>2516</v>
      </c>
      <c r="E677" s="2" t="s">
        <v>2529</v>
      </c>
      <c r="F677" s="3">
        <v>96911</v>
      </c>
      <c r="G677" s="3">
        <v>4918</v>
      </c>
      <c r="H677" s="3">
        <v>612</v>
      </c>
      <c r="I677" s="4">
        <v>8914.11</v>
      </c>
      <c r="J677" s="4">
        <v>66408.649999999994</v>
      </c>
      <c r="K677" s="3">
        <v>543</v>
      </c>
      <c r="L677" s="2" t="s">
        <v>2536</v>
      </c>
      <c r="M677" s="2" t="s">
        <v>2526</v>
      </c>
    </row>
    <row r="678" spans="1:13" x14ac:dyDescent="0.3">
      <c r="A678" s="1">
        <v>45891</v>
      </c>
      <c r="B678" s="2" t="s">
        <v>2635</v>
      </c>
      <c r="C678" s="2" t="s">
        <v>2527</v>
      </c>
      <c r="D678" s="2" t="s">
        <v>2528</v>
      </c>
      <c r="E678" s="2" t="s">
        <v>2534</v>
      </c>
      <c r="F678" s="3">
        <v>124883</v>
      </c>
      <c r="G678" s="3">
        <v>2655</v>
      </c>
      <c r="H678" s="3">
        <v>19</v>
      </c>
      <c r="I678" s="4">
        <v>3617.88</v>
      </c>
      <c r="J678" s="4">
        <v>3756.92</v>
      </c>
      <c r="K678" s="3">
        <v>15</v>
      </c>
      <c r="L678" s="2" t="s">
        <v>2518</v>
      </c>
      <c r="M678" s="2" t="s">
        <v>2546</v>
      </c>
    </row>
    <row r="679" spans="1:13" x14ac:dyDescent="0.3">
      <c r="A679" s="1">
        <v>45662</v>
      </c>
      <c r="B679" s="2" t="s">
        <v>2623</v>
      </c>
      <c r="C679" s="2" t="s">
        <v>2541</v>
      </c>
      <c r="D679" s="2" t="s">
        <v>2516</v>
      </c>
      <c r="E679" s="2" t="s">
        <v>2517</v>
      </c>
      <c r="F679" s="3">
        <v>162176</v>
      </c>
      <c r="G679" s="3">
        <v>7106</v>
      </c>
      <c r="H679" s="3">
        <v>872</v>
      </c>
      <c r="I679" s="4">
        <v>5250.62</v>
      </c>
      <c r="J679" s="4">
        <v>63653.01</v>
      </c>
      <c r="K679" s="3">
        <v>685</v>
      </c>
      <c r="L679" s="2" t="s">
        <v>2536</v>
      </c>
      <c r="M679" s="2" t="s">
        <v>2524</v>
      </c>
    </row>
    <row r="680" spans="1:13" x14ac:dyDescent="0.3">
      <c r="A680" s="1">
        <v>45980</v>
      </c>
      <c r="B680" s="2" t="s">
        <v>2623</v>
      </c>
      <c r="C680" s="2" t="s">
        <v>2521</v>
      </c>
      <c r="D680" s="2" t="s">
        <v>2528</v>
      </c>
      <c r="E680" s="2" t="s">
        <v>2529</v>
      </c>
      <c r="F680" s="3">
        <v>8595</v>
      </c>
      <c r="G680" s="3">
        <v>237</v>
      </c>
      <c r="H680" s="3">
        <v>13</v>
      </c>
      <c r="I680" s="4">
        <v>217.65</v>
      </c>
      <c r="J680" s="4">
        <v>241.9</v>
      </c>
      <c r="K680" s="3">
        <v>6</v>
      </c>
      <c r="L680" s="2" t="s">
        <v>2539</v>
      </c>
      <c r="M680" s="2" t="s">
        <v>2526</v>
      </c>
    </row>
    <row r="681" spans="1:13" x14ac:dyDescent="0.3">
      <c r="A681" s="1">
        <v>45705</v>
      </c>
      <c r="B681" s="2" t="s">
        <v>2621</v>
      </c>
      <c r="C681" s="2" t="s">
        <v>2515</v>
      </c>
      <c r="D681" s="2" t="s">
        <v>2516</v>
      </c>
      <c r="E681" s="2" t="s">
        <v>2529</v>
      </c>
      <c r="F681" s="3">
        <v>44692</v>
      </c>
      <c r="G681" s="3">
        <v>1730</v>
      </c>
      <c r="H681" s="3">
        <v>54</v>
      </c>
      <c r="I681" s="4">
        <v>1823.76</v>
      </c>
      <c r="J681" s="4">
        <v>8757.1299999999992</v>
      </c>
      <c r="K681" s="3">
        <v>26</v>
      </c>
      <c r="L681" s="2" t="s">
        <v>2536</v>
      </c>
      <c r="M681" s="2" t="s">
        <v>2519</v>
      </c>
    </row>
    <row r="682" spans="1:13" x14ac:dyDescent="0.3">
      <c r="A682" s="1">
        <v>45966</v>
      </c>
      <c r="B682" s="2" t="s">
        <v>2644</v>
      </c>
      <c r="C682" s="2" t="s">
        <v>2541</v>
      </c>
      <c r="D682" s="2" t="s">
        <v>2528</v>
      </c>
      <c r="E682" s="2" t="s">
        <v>2529</v>
      </c>
      <c r="F682" s="3">
        <v>169276</v>
      </c>
      <c r="G682" s="3">
        <v>1538</v>
      </c>
      <c r="H682" s="3">
        <v>200</v>
      </c>
      <c r="I682" s="4">
        <v>993.49</v>
      </c>
      <c r="J682" s="4">
        <v>27118.27</v>
      </c>
      <c r="K682" s="3">
        <v>95</v>
      </c>
      <c r="L682" s="2" t="s">
        <v>2536</v>
      </c>
      <c r="M682" s="2" t="s">
        <v>2537</v>
      </c>
    </row>
    <row r="683" spans="1:13" x14ac:dyDescent="0.3">
      <c r="A683" s="1">
        <v>45677</v>
      </c>
      <c r="B683" s="2" t="s">
        <v>2644</v>
      </c>
      <c r="C683" s="2" t="s">
        <v>2521</v>
      </c>
      <c r="D683" s="2" t="s">
        <v>2528</v>
      </c>
      <c r="E683" s="2" t="s">
        <v>2517</v>
      </c>
      <c r="F683" s="3">
        <v>152530</v>
      </c>
      <c r="G683" s="3">
        <v>7322</v>
      </c>
      <c r="H683" s="3">
        <v>373</v>
      </c>
      <c r="I683" s="4">
        <v>14004.51</v>
      </c>
      <c r="J683" s="4">
        <v>41976.75</v>
      </c>
      <c r="K683" s="3">
        <v>235</v>
      </c>
      <c r="L683" s="2" t="s">
        <v>2523</v>
      </c>
      <c r="M683" s="2" t="s">
        <v>2537</v>
      </c>
    </row>
    <row r="684" spans="1:13" x14ac:dyDescent="0.3">
      <c r="A684" s="1">
        <v>45821</v>
      </c>
      <c r="B684" s="2" t="s">
        <v>2615</v>
      </c>
      <c r="C684" s="2" t="s">
        <v>2533</v>
      </c>
      <c r="D684" s="2" t="s">
        <v>2528</v>
      </c>
      <c r="E684" s="2" t="s">
        <v>2529</v>
      </c>
      <c r="F684" s="3">
        <v>140560</v>
      </c>
      <c r="G684" s="3">
        <v>9208</v>
      </c>
      <c r="H684" s="3">
        <v>1003</v>
      </c>
      <c r="I684" s="4">
        <v>10197.780000000001</v>
      </c>
      <c r="J684" s="4">
        <v>175123.41</v>
      </c>
      <c r="K684" s="3">
        <v>501</v>
      </c>
      <c r="L684" s="2" t="s">
        <v>2523</v>
      </c>
      <c r="M684" s="2" t="s">
        <v>2519</v>
      </c>
    </row>
    <row r="685" spans="1:13" x14ac:dyDescent="0.3">
      <c r="A685" s="1">
        <v>45812</v>
      </c>
      <c r="B685" s="2" t="s">
        <v>2640</v>
      </c>
      <c r="C685" s="2" t="s">
        <v>2527</v>
      </c>
      <c r="D685" s="2" t="s">
        <v>2516</v>
      </c>
      <c r="E685" s="2" t="s">
        <v>2529</v>
      </c>
      <c r="F685" s="3">
        <v>83050</v>
      </c>
      <c r="G685" s="3">
        <v>4655</v>
      </c>
      <c r="H685" s="3">
        <v>43</v>
      </c>
      <c r="I685" s="4">
        <v>6003.72</v>
      </c>
      <c r="J685" s="4">
        <v>5642.28</v>
      </c>
      <c r="K685" s="3">
        <v>20</v>
      </c>
      <c r="L685" s="2" t="s">
        <v>2518</v>
      </c>
      <c r="M685" s="2" t="s">
        <v>2519</v>
      </c>
    </row>
    <row r="686" spans="1:13" x14ac:dyDescent="0.3">
      <c r="A686" s="1">
        <v>45673</v>
      </c>
      <c r="B686" s="2" t="s">
        <v>2616</v>
      </c>
      <c r="C686" s="2" t="s">
        <v>2543</v>
      </c>
      <c r="D686" s="2" t="s">
        <v>2522</v>
      </c>
      <c r="E686" s="2" t="s">
        <v>2517</v>
      </c>
      <c r="F686" s="3">
        <v>50916</v>
      </c>
      <c r="G686" s="3">
        <v>2977</v>
      </c>
      <c r="H686" s="3">
        <v>256</v>
      </c>
      <c r="I686" s="4">
        <v>3954.53</v>
      </c>
      <c r="J686" s="4">
        <v>15565.99</v>
      </c>
      <c r="K686" s="3">
        <v>197</v>
      </c>
      <c r="L686" s="2" t="s">
        <v>2536</v>
      </c>
      <c r="M686" s="2" t="s">
        <v>2519</v>
      </c>
    </row>
    <row r="687" spans="1:13" x14ac:dyDescent="0.3">
      <c r="A687" s="1">
        <v>45871</v>
      </c>
      <c r="B687" s="2" t="s">
        <v>2640</v>
      </c>
      <c r="C687" s="2" t="s">
        <v>2533</v>
      </c>
      <c r="D687" s="2" t="s">
        <v>2528</v>
      </c>
      <c r="E687" s="2" t="s">
        <v>2517</v>
      </c>
      <c r="F687" s="3">
        <v>122929</v>
      </c>
      <c r="G687" s="3">
        <v>9675</v>
      </c>
      <c r="H687" s="3">
        <v>765</v>
      </c>
      <c r="I687" s="4">
        <v>18052.349999999999</v>
      </c>
      <c r="J687" s="4">
        <v>164213.48000000001</v>
      </c>
      <c r="K687" s="3">
        <v>670</v>
      </c>
      <c r="L687" s="2" t="s">
        <v>2539</v>
      </c>
      <c r="M687" s="2" t="s">
        <v>2537</v>
      </c>
    </row>
    <row r="688" spans="1:13" x14ac:dyDescent="0.3">
      <c r="A688" s="1">
        <v>46011</v>
      </c>
      <c r="B688" s="2" t="s">
        <v>2637</v>
      </c>
      <c r="C688" s="2" t="s">
        <v>2533</v>
      </c>
      <c r="D688" s="2" t="s">
        <v>2516</v>
      </c>
      <c r="E688" s="2" t="s">
        <v>2529</v>
      </c>
      <c r="F688" s="3">
        <v>132460</v>
      </c>
      <c r="G688" s="3">
        <v>9522</v>
      </c>
      <c r="H688" s="3">
        <v>930</v>
      </c>
      <c r="I688" s="4">
        <v>3561.49</v>
      </c>
      <c r="J688" s="4">
        <v>188777.57</v>
      </c>
      <c r="K688" s="3">
        <v>461</v>
      </c>
      <c r="L688" s="2" t="s">
        <v>2536</v>
      </c>
      <c r="M688" s="2" t="s">
        <v>2519</v>
      </c>
    </row>
    <row r="689" spans="1:13" x14ac:dyDescent="0.3">
      <c r="A689" s="1">
        <v>45695</v>
      </c>
      <c r="B689" s="2" t="s">
        <v>2640</v>
      </c>
      <c r="C689" s="2" t="s">
        <v>2645</v>
      </c>
      <c r="D689" s="2" t="s">
        <v>2516</v>
      </c>
      <c r="E689" s="2" t="s">
        <v>2529</v>
      </c>
      <c r="F689" s="3">
        <v>22543</v>
      </c>
      <c r="G689" s="3">
        <v>1542</v>
      </c>
      <c r="H689" s="3">
        <v>135</v>
      </c>
      <c r="I689" s="4">
        <v>1832.85</v>
      </c>
      <c r="J689" s="4">
        <v>24155.74</v>
      </c>
      <c r="K689" s="3">
        <v>82</v>
      </c>
      <c r="L689" s="2" t="s">
        <v>2523</v>
      </c>
      <c r="M689" s="2" t="s">
        <v>2645</v>
      </c>
    </row>
    <row r="690" spans="1:13" x14ac:dyDescent="0.3">
      <c r="A690" s="1">
        <v>45867</v>
      </c>
      <c r="B690" s="2" t="s">
        <v>2640</v>
      </c>
      <c r="C690" s="2" t="s">
        <v>2515</v>
      </c>
      <c r="D690" s="2" t="s">
        <v>2528</v>
      </c>
      <c r="E690" s="2" t="s">
        <v>2534</v>
      </c>
      <c r="F690" s="3">
        <v>123717</v>
      </c>
      <c r="G690" s="3">
        <v>1968</v>
      </c>
      <c r="H690" s="3">
        <v>256</v>
      </c>
      <c r="I690" s="4">
        <v>4074.84</v>
      </c>
      <c r="J690" s="4">
        <v>23475.75</v>
      </c>
      <c r="K690" s="3">
        <v>218</v>
      </c>
      <c r="L690" s="2" t="s">
        <v>2523</v>
      </c>
      <c r="M690" s="2" t="s">
        <v>2524</v>
      </c>
    </row>
    <row r="691" spans="1:13" x14ac:dyDescent="0.3">
      <c r="A691" s="1">
        <v>45729</v>
      </c>
      <c r="B691" s="2" t="s">
        <v>2622</v>
      </c>
      <c r="C691" s="2" t="s">
        <v>2541</v>
      </c>
      <c r="D691" s="2" t="s">
        <v>2528</v>
      </c>
      <c r="E691" s="2" t="s">
        <v>2517</v>
      </c>
      <c r="F691" s="3">
        <v>40808</v>
      </c>
      <c r="G691" s="3">
        <v>1997</v>
      </c>
      <c r="H691" s="3">
        <v>245</v>
      </c>
      <c r="I691" s="4">
        <v>1451.18</v>
      </c>
      <c r="J691" s="4">
        <v>22368.11</v>
      </c>
      <c r="K691" s="3">
        <v>150</v>
      </c>
      <c r="L691" s="2" t="s">
        <v>2539</v>
      </c>
      <c r="M691" s="2" t="s">
        <v>2519</v>
      </c>
    </row>
    <row r="692" spans="1:13" x14ac:dyDescent="0.3">
      <c r="A692" s="1">
        <v>45981</v>
      </c>
      <c r="B692" s="2" t="s">
        <v>2636</v>
      </c>
      <c r="C692" s="2" t="s">
        <v>2515</v>
      </c>
      <c r="D692" s="2" t="s">
        <v>2528</v>
      </c>
      <c r="E692" s="2" t="s">
        <v>2517</v>
      </c>
      <c r="F692" s="3">
        <v>4453</v>
      </c>
      <c r="G692" s="3">
        <v>258</v>
      </c>
      <c r="H692" s="3">
        <v>30</v>
      </c>
      <c r="I692" s="4">
        <v>469.78</v>
      </c>
      <c r="J692" s="4">
        <v>1241.54</v>
      </c>
      <c r="K692" s="3">
        <v>14</v>
      </c>
      <c r="L692" s="2" t="s">
        <v>2518</v>
      </c>
      <c r="M692" s="2" t="s">
        <v>2526</v>
      </c>
    </row>
    <row r="693" spans="1:13" x14ac:dyDescent="0.3">
      <c r="A693" s="1">
        <v>45952</v>
      </c>
      <c r="B693" s="2" t="s">
        <v>2642</v>
      </c>
      <c r="C693" s="2" t="s">
        <v>2541</v>
      </c>
      <c r="D693" s="2" t="s">
        <v>2528</v>
      </c>
      <c r="E693" s="2" t="s">
        <v>2529</v>
      </c>
      <c r="F693" s="3">
        <v>86311</v>
      </c>
      <c r="G693" s="3">
        <v>4893</v>
      </c>
      <c r="H693" s="3">
        <v>91</v>
      </c>
      <c r="I693" s="4">
        <v>8967.0499999999993</v>
      </c>
      <c r="J693" s="4">
        <v>17490.52</v>
      </c>
      <c r="K693" s="3">
        <v>46</v>
      </c>
      <c r="L693" s="2" t="s">
        <v>2539</v>
      </c>
      <c r="M693" s="2" t="s">
        <v>2519</v>
      </c>
    </row>
    <row r="694" spans="1:13" x14ac:dyDescent="0.3">
      <c r="A694" s="1">
        <v>45826</v>
      </c>
      <c r="B694" s="2" t="s">
        <v>2628</v>
      </c>
      <c r="C694" s="2" t="s">
        <v>2521</v>
      </c>
      <c r="D694" s="2" t="s">
        <v>2525</v>
      </c>
      <c r="E694" s="2" t="s">
        <v>2534</v>
      </c>
      <c r="F694" s="3">
        <v>135061</v>
      </c>
      <c r="G694" s="3">
        <v>9589</v>
      </c>
      <c r="H694" s="3">
        <v>243</v>
      </c>
      <c r="I694" s="4">
        <v>10952.39</v>
      </c>
      <c r="J694" s="4">
        <v>15138.07</v>
      </c>
      <c r="K694" s="3">
        <v>113</v>
      </c>
      <c r="L694" s="2" t="s">
        <v>2518</v>
      </c>
      <c r="M694" s="2" t="s">
        <v>2546</v>
      </c>
    </row>
    <row r="695" spans="1:13" x14ac:dyDescent="0.3">
      <c r="A695" s="1">
        <v>45852</v>
      </c>
      <c r="B695" s="2" t="s">
        <v>2639</v>
      </c>
      <c r="C695" s="2" t="s">
        <v>2541</v>
      </c>
      <c r="D695" s="2" t="s">
        <v>2528</v>
      </c>
      <c r="E695" s="2" t="s">
        <v>2517</v>
      </c>
      <c r="F695" s="3">
        <v>140482</v>
      </c>
      <c r="G695" s="3">
        <v>7004</v>
      </c>
      <c r="H695" s="3">
        <v>317</v>
      </c>
      <c r="I695" s="4">
        <v>6340.18</v>
      </c>
      <c r="J695" s="4">
        <v>68644.59</v>
      </c>
      <c r="K695" s="3">
        <v>237</v>
      </c>
      <c r="L695" s="2" t="s">
        <v>2518</v>
      </c>
      <c r="M695" s="2" t="s">
        <v>2524</v>
      </c>
    </row>
    <row r="696" spans="1:13" x14ac:dyDescent="0.3">
      <c r="A696" s="1">
        <v>45758</v>
      </c>
      <c r="B696" s="2" t="s">
        <v>2617</v>
      </c>
      <c r="C696" s="2" t="s">
        <v>2533</v>
      </c>
      <c r="D696" s="2" t="s">
        <v>2528</v>
      </c>
      <c r="E696" s="2" t="s">
        <v>2517</v>
      </c>
      <c r="F696" s="3">
        <v>103816</v>
      </c>
      <c r="G696" s="3">
        <v>4253</v>
      </c>
      <c r="H696" s="3">
        <v>423</v>
      </c>
      <c r="I696" s="4">
        <v>5951.44</v>
      </c>
      <c r="J696" s="4">
        <v>64888.19</v>
      </c>
      <c r="K696" s="3">
        <v>222</v>
      </c>
      <c r="L696" s="2" t="s">
        <v>2539</v>
      </c>
      <c r="M696" s="2" t="s">
        <v>2524</v>
      </c>
    </row>
    <row r="697" spans="1:13" x14ac:dyDescent="0.3">
      <c r="A697" s="1">
        <v>45854</v>
      </c>
      <c r="B697" s="2" t="s">
        <v>2630</v>
      </c>
      <c r="C697" s="2" t="s">
        <v>2543</v>
      </c>
      <c r="D697" s="2" t="s">
        <v>2525</v>
      </c>
      <c r="E697" s="2" t="s">
        <v>2517</v>
      </c>
      <c r="F697" s="3">
        <v>41550</v>
      </c>
      <c r="G697" s="3">
        <v>2067</v>
      </c>
      <c r="H697" s="3">
        <v>177</v>
      </c>
      <c r="I697" s="4">
        <v>4241.22</v>
      </c>
      <c r="J697" s="4">
        <v>8388.51</v>
      </c>
      <c r="K697" s="3">
        <v>90</v>
      </c>
      <c r="L697" s="2" t="s">
        <v>2536</v>
      </c>
      <c r="M697" s="2" t="s">
        <v>2524</v>
      </c>
    </row>
    <row r="698" spans="1:13" x14ac:dyDescent="0.3">
      <c r="A698" s="1">
        <v>45793</v>
      </c>
      <c r="B698" s="2" t="s">
        <v>2635</v>
      </c>
      <c r="C698" s="2" t="s">
        <v>2515</v>
      </c>
      <c r="D698" s="2" t="s">
        <v>2528</v>
      </c>
      <c r="E698" s="2" t="s">
        <v>2529</v>
      </c>
      <c r="F698" s="3">
        <v>133765</v>
      </c>
      <c r="G698" s="3">
        <v>2011</v>
      </c>
      <c r="H698" s="3">
        <v>194</v>
      </c>
      <c r="I698" s="4">
        <v>3295.87</v>
      </c>
      <c r="J698" s="4">
        <v>18557.849999999999</v>
      </c>
      <c r="K698" s="3">
        <v>142</v>
      </c>
      <c r="L698" s="2" t="s">
        <v>2536</v>
      </c>
      <c r="M698" s="2" t="s">
        <v>2524</v>
      </c>
    </row>
    <row r="699" spans="1:13" x14ac:dyDescent="0.3">
      <c r="A699" s="1">
        <v>45824</v>
      </c>
      <c r="B699" s="2" t="s">
        <v>2639</v>
      </c>
      <c r="C699" s="2" t="s">
        <v>2541</v>
      </c>
      <c r="D699" s="2" t="s">
        <v>2528</v>
      </c>
      <c r="E699" s="2" t="s">
        <v>2517</v>
      </c>
      <c r="F699" s="3">
        <v>17060</v>
      </c>
      <c r="G699" s="3">
        <v>1013</v>
      </c>
      <c r="H699" s="3">
        <v>108</v>
      </c>
      <c r="I699" s="4">
        <v>1567.57</v>
      </c>
      <c r="J699" s="4">
        <v>3655.69</v>
      </c>
      <c r="K699" s="3">
        <v>50</v>
      </c>
      <c r="L699" s="2" t="s">
        <v>2539</v>
      </c>
      <c r="M699" s="2" t="s">
        <v>2524</v>
      </c>
    </row>
    <row r="700" spans="1:13" x14ac:dyDescent="0.3">
      <c r="A700" s="1">
        <v>45888</v>
      </c>
      <c r="B700" s="2" t="s">
        <v>2642</v>
      </c>
      <c r="C700" s="2" t="s">
        <v>2515</v>
      </c>
      <c r="D700" s="2" t="s">
        <v>2528</v>
      </c>
      <c r="E700" s="2" t="s">
        <v>2529</v>
      </c>
      <c r="F700" s="3">
        <v>4683</v>
      </c>
      <c r="G700" s="3">
        <v>222</v>
      </c>
      <c r="H700" s="3">
        <v>26</v>
      </c>
      <c r="I700" s="4">
        <v>317.05</v>
      </c>
      <c r="J700" s="4">
        <v>5622.11</v>
      </c>
      <c r="K700" s="3">
        <v>21</v>
      </c>
      <c r="L700" s="2" t="s">
        <v>2539</v>
      </c>
      <c r="M700" s="2" t="s">
        <v>2524</v>
      </c>
    </row>
    <row r="701" spans="1:13" x14ac:dyDescent="0.3">
      <c r="A701" s="1">
        <v>45870</v>
      </c>
      <c r="B701" s="2" t="s">
        <v>2637</v>
      </c>
      <c r="C701" s="2" t="s">
        <v>2543</v>
      </c>
      <c r="D701" s="2" t="s">
        <v>2525</v>
      </c>
      <c r="E701" s="2" t="s">
        <v>2529</v>
      </c>
      <c r="F701" s="3">
        <v>8037</v>
      </c>
      <c r="G701" s="3">
        <v>663</v>
      </c>
      <c r="H701" s="3">
        <v>62</v>
      </c>
      <c r="I701" s="4">
        <v>96.2</v>
      </c>
      <c r="J701" s="4">
        <v>11757.49</v>
      </c>
      <c r="K701" s="3">
        <v>37</v>
      </c>
      <c r="L701" s="2" t="s">
        <v>2518</v>
      </c>
      <c r="M701" s="2" t="s">
        <v>2537</v>
      </c>
    </row>
    <row r="702" spans="1:13" x14ac:dyDescent="0.3">
      <c r="A702" s="1">
        <v>45661</v>
      </c>
      <c r="B702" s="2" t="s">
        <v>2616</v>
      </c>
      <c r="C702" s="2" t="s">
        <v>2521</v>
      </c>
      <c r="D702" s="2" t="s">
        <v>2531</v>
      </c>
      <c r="E702" s="2" t="s">
        <v>2529</v>
      </c>
      <c r="F702" s="3">
        <v>100711</v>
      </c>
      <c r="G702" s="3">
        <v>1307</v>
      </c>
      <c r="H702" s="3">
        <v>141</v>
      </c>
      <c r="I702" s="4">
        <v>569.47</v>
      </c>
      <c r="J702" s="4">
        <v>20151.16</v>
      </c>
      <c r="K702" s="3">
        <v>106</v>
      </c>
      <c r="L702" s="2" t="s">
        <v>2539</v>
      </c>
      <c r="M702" s="2" t="s">
        <v>2519</v>
      </c>
    </row>
    <row r="703" spans="1:13" x14ac:dyDescent="0.3">
      <c r="A703" s="1">
        <v>45994</v>
      </c>
      <c r="B703" s="2" t="s">
        <v>2631</v>
      </c>
      <c r="C703" s="2" t="s">
        <v>2533</v>
      </c>
      <c r="D703" s="2" t="s">
        <v>2528</v>
      </c>
      <c r="E703" s="2" t="s">
        <v>2517</v>
      </c>
      <c r="F703" s="3">
        <v>138259</v>
      </c>
      <c r="G703" s="3">
        <v>6040</v>
      </c>
      <c r="H703" s="3">
        <v>417</v>
      </c>
      <c r="I703" s="4">
        <v>718.58</v>
      </c>
      <c r="J703" s="4">
        <v>91241.69</v>
      </c>
      <c r="K703" s="3">
        <v>188</v>
      </c>
      <c r="L703" s="2" t="s">
        <v>2523</v>
      </c>
      <c r="M703" s="2" t="s">
        <v>2537</v>
      </c>
    </row>
    <row r="704" spans="1:13" x14ac:dyDescent="0.3">
      <c r="A704" s="1">
        <v>45746</v>
      </c>
      <c r="B704" s="2" t="s">
        <v>2634</v>
      </c>
      <c r="C704" s="2" t="s">
        <v>2521</v>
      </c>
      <c r="D704" s="2" t="s">
        <v>2531</v>
      </c>
      <c r="E704" s="2" t="s">
        <v>2517</v>
      </c>
      <c r="F704" s="3">
        <v>69919</v>
      </c>
      <c r="G704" s="3">
        <v>1287</v>
      </c>
      <c r="H704" s="3">
        <v>69</v>
      </c>
      <c r="I704" s="4">
        <v>1184.23</v>
      </c>
      <c r="J704" s="4">
        <v>4859.4399999999996</v>
      </c>
      <c r="K704" s="3">
        <v>37</v>
      </c>
      <c r="L704" s="2" t="s">
        <v>2536</v>
      </c>
      <c r="M704" s="2" t="s">
        <v>2524</v>
      </c>
    </row>
    <row r="705" spans="1:13" x14ac:dyDescent="0.3">
      <c r="A705" s="1">
        <v>45688</v>
      </c>
      <c r="B705" s="2" t="s">
        <v>2635</v>
      </c>
      <c r="C705" s="2" t="s">
        <v>2527</v>
      </c>
      <c r="D705" s="2" t="s">
        <v>2528</v>
      </c>
      <c r="E705" s="2" t="s">
        <v>2529</v>
      </c>
      <c r="F705" s="3">
        <v>165022</v>
      </c>
      <c r="G705" s="3">
        <v>2044</v>
      </c>
      <c r="H705" s="3">
        <v>174</v>
      </c>
      <c r="I705" s="4">
        <v>2422.5300000000002</v>
      </c>
      <c r="J705" s="4">
        <v>30348.91</v>
      </c>
      <c r="K705" s="3">
        <v>140</v>
      </c>
      <c r="L705" s="2" t="s">
        <v>2523</v>
      </c>
      <c r="M705" s="2" t="s">
        <v>2524</v>
      </c>
    </row>
    <row r="706" spans="1:13" x14ac:dyDescent="0.3">
      <c r="A706" s="1">
        <v>45690</v>
      </c>
      <c r="B706" s="2" t="s">
        <v>2626</v>
      </c>
      <c r="C706" s="2" t="s">
        <v>2527</v>
      </c>
      <c r="D706" s="2" t="s">
        <v>2516</v>
      </c>
      <c r="E706" s="2" t="s">
        <v>2529</v>
      </c>
      <c r="F706" s="3">
        <v>163084</v>
      </c>
      <c r="G706" s="3">
        <v>1315</v>
      </c>
      <c r="H706" s="3">
        <v>83</v>
      </c>
      <c r="I706" s="4">
        <v>516.35</v>
      </c>
      <c r="J706" s="4">
        <v>9630.57</v>
      </c>
      <c r="K706" s="3">
        <v>57</v>
      </c>
      <c r="L706" s="2" t="s">
        <v>2539</v>
      </c>
      <c r="M706" s="2" t="s">
        <v>2526</v>
      </c>
    </row>
    <row r="707" spans="1:13" x14ac:dyDescent="0.3">
      <c r="A707" s="1">
        <v>45920</v>
      </c>
      <c r="B707" s="2" t="s">
        <v>2624</v>
      </c>
      <c r="C707" s="2" t="s">
        <v>2543</v>
      </c>
      <c r="D707" s="2" t="s">
        <v>2516</v>
      </c>
      <c r="E707" s="2" t="s">
        <v>2529</v>
      </c>
      <c r="F707" s="3">
        <v>16201</v>
      </c>
      <c r="G707" s="3">
        <v>973</v>
      </c>
      <c r="H707" s="3">
        <v>102</v>
      </c>
      <c r="I707" s="4">
        <v>576.88</v>
      </c>
      <c r="J707" s="4">
        <v>10063.280000000001</v>
      </c>
      <c r="K707" s="3">
        <v>81</v>
      </c>
      <c r="L707" s="2" t="s">
        <v>2518</v>
      </c>
      <c r="M707" s="2" t="s">
        <v>2519</v>
      </c>
    </row>
    <row r="708" spans="1:13" x14ac:dyDescent="0.3">
      <c r="A708" s="1">
        <v>45956</v>
      </c>
      <c r="B708" s="2" t="s">
        <v>2633</v>
      </c>
      <c r="C708" s="2" t="s">
        <v>2515</v>
      </c>
      <c r="D708" s="2" t="s">
        <v>2531</v>
      </c>
      <c r="E708" s="2" t="s">
        <v>2529</v>
      </c>
      <c r="F708" s="3">
        <v>77018</v>
      </c>
      <c r="G708" s="3">
        <v>522</v>
      </c>
      <c r="H708" s="3">
        <v>24</v>
      </c>
      <c r="I708" s="4">
        <v>272.86</v>
      </c>
      <c r="J708" s="4">
        <v>4052.72</v>
      </c>
      <c r="K708" s="3">
        <v>18</v>
      </c>
      <c r="L708" s="2" t="s">
        <v>2536</v>
      </c>
      <c r="M708" s="2" t="s">
        <v>2519</v>
      </c>
    </row>
    <row r="709" spans="1:13" x14ac:dyDescent="0.3">
      <c r="A709" s="1">
        <v>45674</v>
      </c>
      <c r="B709" s="2" t="s">
        <v>2630</v>
      </c>
      <c r="C709" s="2" t="s">
        <v>2533</v>
      </c>
      <c r="D709" s="2" t="s">
        <v>2531</v>
      </c>
      <c r="E709" s="2" t="s">
        <v>2517</v>
      </c>
      <c r="F709" s="3">
        <v>108937</v>
      </c>
      <c r="G709" s="3">
        <v>3881</v>
      </c>
      <c r="H709" s="3">
        <v>453</v>
      </c>
      <c r="I709" s="4">
        <v>3823.58</v>
      </c>
      <c r="J709" s="4">
        <v>62221.98</v>
      </c>
      <c r="K709" s="3">
        <v>204</v>
      </c>
      <c r="L709" s="2" t="s">
        <v>2518</v>
      </c>
      <c r="M709" s="2" t="s">
        <v>2526</v>
      </c>
    </row>
    <row r="710" spans="1:13" x14ac:dyDescent="0.3">
      <c r="A710" s="1">
        <v>45826</v>
      </c>
      <c r="B710" s="2" t="s">
        <v>2640</v>
      </c>
      <c r="C710" s="2" t="s">
        <v>2543</v>
      </c>
      <c r="D710" s="2" t="s">
        <v>2516</v>
      </c>
      <c r="E710" s="2" t="s">
        <v>2534</v>
      </c>
      <c r="F710" s="3">
        <v>122451</v>
      </c>
      <c r="G710" s="3">
        <v>836</v>
      </c>
      <c r="H710" s="3">
        <v>30</v>
      </c>
      <c r="I710" s="4">
        <v>841.1</v>
      </c>
      <c r="J710" s="4">
        <v>2204.09</v>
      </c>
      <c r="K710" s="3">
        <v>15</v>
      </c>
      <c r="L710" s="2" t="s">
        <v>2536</v>
      </c>
      <c r="M710" s="2" t="s">
        <v>2526</v>
      </c>
    </row>
    <row r="711" spans="1:13" x14ac:dyDescent="0.3">
      <c r="A711" s="1">
        <v>45860</v>
      </c>
      <c r="B711" s="2" t="s">
        <v>2637</v>
      </c>
      <c r="C711" s="2" t="s">
        <v>2541</v>
      </c>
      <c r="D711" s="2" t="s">
        <v>2528</v>
      </c>
      <c r="E711" s="2" t="s">
        <v>2517</v>
      </c>
      <c r="F711" s="3">
        <v>47533</v>
      </c>
      <c r="G711" s="3">
        <v>3471</v>
      </c>
      <c r="H711" s="3">
        <v>226</v>
      </c>
      <c r="I711" s="4">
        <v>4610.2</v>
      </c>
      <c r="J711" s="4">
        <v>22228.51</v>
      </c>
      <c r="K711" s="3">
        <v>123</v>
      </c>
      <c r="L711" s="2" t="s">
        <v>2539</v>
      </c>
      <c r="M711" s="2" t="s">
        <v>2537</v>
      </c>
    </row>
    <row r="712" spans="1:13" x14ac:dyDescent="0.3">
      <c r="A712" s="1">
        <v>45853</v>
      </c>
      <c r="B712" s="2" t="s">
        <v>2640</v>
      </c>
      <c r="C712" s="2" t="s">
        <v>2541</v>
      </c>
      <c r="D712" s="2" t="s">
        <v>2525</v>
      </c>
      <c r="E712" s="2" t="s">
        <v>2534</v>
      </c>
      <c r="F712" s="3">
        <v>82120</v>
      </c>
      <c r="G712" s="3">
        <v>4611</v>
      </c>
      <c r="H712" s="3">
        <v>272</v>
      </c>
      <c r="I712" s="4">
        <v>2313.8000000000002</v>
      </c>
      <c r="J712" s="4">
        <v>4159.42</v>
      </c>
      <c r="K712" s="3">
        <v>142</v>
      </c>
      <c r="L712" s="2" t="s">
        <v>2518</v>
      </c>
      <c r="M712" s="2" t="s">
        <v>2546</v>
      </c>
    </row>
    <row r="713" spans="1:13" x14ac:dyDescent="0.3">
      <c r="A713" s="1">
        <v>45771</v>
      </c>
      <c r="B713" s="2" t="s">
        <v>2635</v>
      </c>
      <c r="C713" s="2" t="s">
        <v>2515</v>
      </c>
      <c r="D713" s="2" t="s">
        <v>2528</v>
      </c>
      <c r="E713" s="2" t="s">
        <v>2529</v>
      </c>
      <c r="F713" s="3">
        <v>38503</v>
      </c>
      <c r="G713" s="3">
        <v>1614</v>
      </c>
      <c r="H713" s="3">
        <v>117</v>
      </c>
      <c r="I713" s="4">
        <v>3054.19</v>
      </c>
      <c r="J713" s="4">
        <v>9729.19</v>
      </c>
      <c r="K713" s="3">
        <v>54</v>
      </c>
      <c r="L713" s="2" t="s">
        <v>2539</v>
      </c>
      <c r="M713" s="2" t="s">
        <v>2519</v>
      </c>
    </row>
    <row r="714" spans="1:13" x14ac:dyDescent="0.3">
      <c r="A714" s="1">
        <v>46008</v>
      </c>
      <c r="B714" s="2" t="s">
        <v>2630</v>
      </c>
      <c r="C714" s="2" t="s">
        <v>2533</v>
      </c>
      <c r="D714" s="2" t="s">
        <v>2528</v>
      </c>
      <c r="E714" s="2" t="s">
        <v>2529</v>
      </c>
      <c r="F714" s="3">
        <v>11744</v>
      </c>
      <c r="G714" s="3">
        <v>897</v>
      </c>
      <c r="H714" s="3">
        <v>120</v>
      </c>
      <c r="I714" s="4">
        <v>1453.94</v>
      </c>
      <c r="J714" s="4">
        <v>3353.92</v>
      </c>
      <c r="K714" s="3">
        <v>96</v>
      </c>
      <c r="L714" s="2" t="s">
        <v>2536</v>
      </c>
      <c r="M714" s="2" t="s">
        <v>2537</v>
      </c>
    </row>
    <row r="715" spans="1:13" x14ac:dyDescent="0.3">
      <c r="A715" s="1">
        <v>45757</v>
      </c>
      <c r="B715" s="2" t="s">
        <v>2627</v>
      </c>
      <c r="C715" s="2" t="s">
        <v>2541</v>
      </c>
      <c r="D715" s="2" t="s">
        <v>2531</v>
      </c>
      <c r="E715" s="2" t="s">
        <v>2529</v>
      </c>
      <c r="F715" s="3">
        <v>158762</v>
      </c>
      <c r="G715" s="3">
        <v>2877</v>
      </c>
      <c r="H715" s="3">
        <v>394</v>
      </c>
      <c r="I715" s="4">
        <v>2254.1999999999998</v>
      </c>
      <c r="J715" s="4">
        <v>9774.61</v>
      </c>
      <c r="K715" s="3">
        <v>238</v>
      </c>
      <c r="L715" s="2" t="s">
        <v>2536</v>
      </c>
      <c r="M715" s="2" t="s">
        <v>2537</v>
      </c>
    </row>
    <row r="716" spans="1:13" x14ac:dyDescent="0.3">
      <c r="A716" s="1">
        <v>45816</v>
      </c>
      <c r="B716" s="2" t="s">
        <v>2633</v>
      </c>
      <c r="C716" s="2" t="s">
        <v>2533</v>
      </c>
      <c r="D716" s="2" t="s">
        <v>2525</v>
      </c>
      <c r="E716" s="2" t="s">
        <v>2517</v>
      </c>
      <c r="F716" s="3">
        <v>70439</v>
      </c>
      <c r="G716" s="3">
        <v>3020</v>
      </c>
      <c r="H716" s="3">
        <v>285</v>
      </c>
      <c r="I716" s="4">
        <v>3072.76</v>
      </c>
      <c r="J716" s="4">
        <v>50081.89</v>
      </c>
      <c r="K716" s="3">
        <v>216</v>
      </c>
      <c r="L716" s="2" t="s">
        <v>2523</v>
      </c>
      <c r="M716" s="2" t="s">
        <v>2546</v>
      </c>
    </row>
    <row r="717" spans="1:13" x14ac:dyDescent="0.3">
      <c r="A717" s="1">
        <v>45698</v>
      </c>
      <c r="B717" s="2" t="s">
        <v>2643</v>
      </c>
      <c r="C717" s="2" t="s">
        <v>2515</v>
      </c>
      <c r="D717" s="2" t="s">
        <v>2525</v>
      </c>
      <c r="E717" s="2" t="s">
        <v>2529</v>
      </c>
      <c r="F717" s="3">
        <v>139390</v>
      </c>
      <c r="G717" s="3">
        <v>2428</v>
      </c>
      <c r="H717" s="3">
        <v>282</v>
      </c>
      <c r="I717" s="4">
        <v>798.42</v>
      </c>
      <c r="J717" s="4">
        <v>60827.41</v>
      </c>
      <c r="K717" s="3">
        <v>204</v>
      </c>
      <c r="L717" s="2" t="s">
        <v>2536</v>
      </c>
      <c r="M717" s="2" t="s">
        <v>2546</v>
      </c>
    </row>
    <row r="718" spans="1:13" x14ac:dyDescent="0.3">
      <c r="A718" s="1">
        <v>45931</v>
      </c>
      <c r="B718" s="2" t="s">
        <v>2619</v>
      </c>
      <c r="C718" s="2" t="s">
        <v>2527</v>
      </c>
      <c r="D718" s="2" t="s">
        <v>2522</v>
      </c>
      <c r="E718" s="2" t="s">
        <v>2517</v>
      </c>
      <c r="F718" s="3">
        <v>83329</v>
      </c>
      <c r="G718" s="3">
        <v>4118</v>
      </c>
      <c r="H718" s="3">
        <v>295</v>
      </c>
      <c r="I718" s="4">
        <v>5296.06</v>
      </c>
      <c r="J718" s="4">
        <v>64681.17</v>
      </c>
      <c r="K718" s="3">
        <v>175</v>
      </c>
      <c r="L718" s="2" t="s">
        <v>2536</v>
      </c>
      <c r="M718" s="2" t="s">
        <v>2526</v>
      </c>
    </row>
    <row r="719" spans="1:13" x14ac:dyDescent="0.3">
      <c r="A719" s="1">
        <v>45924</v>
      </c>
      <c r="B719" s="2" t="s">
        <v>2632</v>
      </c>
      <c r="C719" s="2" t="s">
        <v>2527</v>
      </c>
      <c r="D719" s="2" t="s">
        <v>2516</v>
      </c>
      <c r="E719" s="2" t="s">
        <v>2517</v>
      </c>
      <c r="F719" s="3">
        <v>144675</v>
      </c>
      <c r="G719" s="3">
        <v>2845</v>
      </c>
      <c r="H719" s="3">
        <v>294</v>
      </c>
      <c r="I719" s="4">
        <v>4611.5</v>
      </c>
      <c r="J719" s="4">
        <v>27756.52</v>
      </c>
      <c r="K719" s="3">
        <v>142</v>
      </c>
      <c r="L719" s="2" t="s">
        <v>2523</v>
      </c>
      <c r="M719" s="2" t="s">
        <v>2519</v>
      </c>
    </row>
    <row r="720" spans="1:13" x14ac:dyDescent="0.3">
      <c r="A720" s="1">
        <v>45799</v>
      </c>
      <c r="B720" s="2" t="s">
        <v>2629</v>
      </c>
      <c r="C720" s="2" t="s">
        <v>2527</v>
      </c>
      <c r="D720" s="2" t="s">
        <v>2531</v>
      </c>
      <c r="E720" s="2" t="s">
        <v>2517</v>
      </c>
      <c r="F720" s="3">
        <v>25946</v>
      </c>
      <c r="G720" s="3">
        <v>679</v>
      </c>
      <c r="H720" s="3">
        <v>94</v>
      </c>
      <c r="I720" s="4">
        <v>785.09</v>
      </c>
      <c r="J720" s="4">
        <v>14844.03</v>
      </c>
      <c r="K720" s="3">
        <v>48</v>
      </c>
      <c r="L720" s="2" t="s">
        <v>2518</v>
      </c>
      <c r="M720" s="2" t="s">
        <v>2537</v>
      </c>
    </row>
    <row r="721" spans="1:13" x14ac:dyDescent="0.3">
      <c r="A721" s="1">
        <v>45959</v>
      </c>
      <c r="B721" s="2" t="s">
        <v>2615</v>
      </c>
      <c r="C721" s="2" t="s">
        <v>2533</v>
      </c>
      <c r="D721" s="2" t="s">
        <v>2516</v>
      </c>
      <c r="E721" s="2" t="s">
        <v>2529</v>
      </c>
      <c r="F721" s="3">
        <v>143247</v>
      </c>
      <c r="G721" s="3">
        <v>3851</v>
      </c>
      <c r="H721" s="3">
        <v>426</v>
      </c>
      <c r="I721" s="4">
        <v>6567.88</v>
      </c>
      <c r="J721" s="4">
        <v>66057.87</v>
      </c>
      <c r="K721" s="3">
        <v>360</v>
      </c>
      <c r="L721" s="2" t="s">
        <v>2536</v>
      </c>
      <c r="M721" s="2" t="s">
        <v>2519</v>
      </c>
    </row>
    <row r="722" spans="1:13" x14ac:dyDescent="0.3">
      <c r="A722" s="1">
        <v>45992</v>
      </c>
      <c r="B722" s="2" t="s">
        <v>2637</v>
      </c>
      <c r="C722" s="2" t="s">
        <v>2543</v>
      </c>
      <c r="D722" s="2" t="s">
        <v>2525</v>
      </c>
      <c r="E722" s="2" t="s">
        <v>2529</v>
      </c>
      <c r="F722" s="3">
        <v>46246</v>
      </c>
      <c r="G722" s="3">
        <v>3300</v>
      </c>
      <c r="H722" s="3">
        <v>92</v>
      </c>
      <c r="I722" s="4">
        <v>6353.65</v>
      </c>
      <c r="J722" s="4">
        <v>18476.07</v>
      </c>
      <c r="K722" s="3">
        <v>45</v>
      </c>
      <c r="L722" s="2" t="s">
        <v>2523</v>
      </c>
      <c r="M722" s="2" t="s">
        <v>2524</v>
      </c>
    </row>
    <row r="723" spans="1:13" x14ac:dyDescent="0.3">
      <c r="A723" s="1">
        <v>45861</v>
      </c>
      <c r="B723" s="2" t="s">
        <v>2623</v>
      </c>
      <c r="C723" s="2" t="s">
        <v>2533</v>
      </c>
      <c r="D723" s="2" t="s">
        <v>2528</v>
      </c>
      <c r="E723" s="2" t="s">
        <v>2529</v>
      </c>
      <c r="F723" s="3">
        <v>101042</v>
      </c>
      <c r="G723" s="3">
        <v>3646</v>
      </c>
      <c r="H723" s="3">
        <v>68</v>
      </c>
      <c r="I723" s="4">
        <v>1267.02</v>
      </c>
      <c r="J723" s="4">
        <v>6990.29</v>
      </c>
      <c r="K723" s="3">
        <v>51</v>
      </c>
      <c r="L723" s="2" t="s">
        <v>2523</v>
      </c>
      <c r="M723" s="2" t="s">
        <v>2526</v>
      </c>
    </row>
    <row r="724" spans="1:13" x14ac:dyDescent="0.3">
      <c r="A724" s="1">
        <v>45843</v>
      </c>
      <c r="B724" s="2" t="s">
        <v>2622</v>
      </c>
      <c r="C724" s="2" t="s">
        <v>2543</v>
      </c>
      <c r="D724" s="2" t="s">
        <v>2516</v>
      </c>
      <c r="E724" s="2" t="s">
        <v>2517</v>
      </c>
      <c r="F724" s="3">
        <v>50040</v>
      </c>
      <c r="G724" s="3">
        <v>1259</v>
      </c>
      <c r="H724" s="3">
        <v>139</v>
      </c>
      <c r="I724" s="4">
        <v>1706.27</v>
      </c>
      <c r="J724" s="4">
        <v>10810.01</v>
      </c>
      <c r="K724" s="3">
        <v>95</v>
      </c>
      <c r="L724" s="2" t="s">
        <v>2536</v>
      </c>
      <c r="M724" s="2" t="s">
        <v>2519</v>
      </c>
    </row>
    <row r="725" spans="1:13" x14ac:dyDescent="0.3">
      <c r="A725" s="1">
        <v>45909</v>
      </c>
      <c r="B725" s="2" t="s">
        <v>2643</v>
      </c>
      <c r="C725" s="2" t="s">
        <v>2533</v>
      </c>
      <c r="D725" s="2" t="s">
        <v>2528</v>
      </c>
      <c r="E725" s="2" t="s">
        <v>2517</v>
      </c>
      <c r="F725" s="3">
        <v>27535</v>
      </c>
      <c r="G725" s="3">
        <v>1096</v>
      </c>
      <c r="H725" s="3">
        <v>102</v>
      </c>
      <c r="I725" s="4">
        <v>2110.41</v>
      </c>
      <c r="J725" s="4">
        <v>14556.7</v>
      </c>
      <c r="K725" s="3">
        <v>88</v>
      </c>
      <c r="L725" s="2" t="s">
        <v>2539</v>
      </c>
      <c r="M725" s="2" t="s">
        <v>2546</v>
      </c>
    </row>
    <row r="726" spans="1:13" x14ac:dyDescent="0.3">
      <c r="A726" s="1">
        <v>45770</v>
      </c>
      <c r="B726" s="2" t="s">
        <v>2625</v>
      </c>
      <c r="C726" s="2" t="s">
        <v>2543</v>
      </c>
      <c r="D726" s="2" t="s">
        <v>2528</v>
      </c>
      <c r="E726" s="2" t="s">
        <v>2534</v>
      </c>
      <c r="F726" s="3">
        <v>135863</v>
      </c>
      <c r="G726" s="3">
        <v>7737</v>
      </c>
      <c r="H726" s="3">
        <v>610</v>
      </c>
      <c r="I726" s="4">
        <v>3671.31</v>
      </c>
      <c r="J726" s="4">
        <v>102362.6</v>
      </c>
      <c r="K726" s="3">
        <v>296</v>
      </c>
      <c r="L726" s="2" t="s">
        <v>2539</v>
      </c>
      <c r="M726" s="2" t="s">
        <v>2537</v>
      </c>
    </row>
    <row r="727" spans="1:13" x14ac:dyDescent="0.3">
      <c r="A727" s="1">
        <v>45922</v>
      </c>
      <c r="B727" s="2" t="s">
        <v>2634</v>
      </c>
      <c r="C727" s="2" t="s">
        <v>2543</v>
      </c>
      <c r="D727" s="2" t="s">
        <v>2531</v>
      </c>
      <c r="E727" s="2" t="s">
        <v>2534</v>
      </c>
      <c r="F727" s="3">
        <v>65094</v>
      </c>
      <c r="G727" s="3">
        <v>1450</v>
      </c>
      <c r="H727" s="3">
        <v>191</v>
      </c>
      <c r="I727" s="4">
        <v>1850.3</v>
      </c>
      <c r="J727" s="4">
        <v>15422.98</v>
      </c>
      <c r="K727" s="3">
        <v>163</v>
      </c>
      <c r="L727" s="2" t="s">
        <v>2539</v>
      </c>
      <c r="M727" s="2" t="s">
        <v>2526</v>
      </c>
    </row>
    <row r="728" spans="1:13" x14ac:dyDescent="0.3">
      <c r="A728" s="1">
        <v>45956</v>
      </c>
      <c r="B728" s="2" t="s">
        <v>2639</v>
      </c>
      <c r="C728" s="2" t="s">
        <v>2541</v>
      </c>
      <c r="D728" s="2" t="s">
        <v>2516</v>
      </c>
      <c r="E728" s="2" t="s">
        <v>2534</v>
      </c>
      <c r="F728" s="3">
        <v>46578</v>
      </c>
      <c r="G728" s="3">
        <v>1781</v>
      </c>
      <c r="H728" s="3">
        <v>113</v>
      </c>
      <c r="I728" s="4">
        <v>3522.64</v>
      </c>
      <c r="J728" s="4">
        <v>10737.39</v>
      </c>
      <c r="K728" s="3">
        <v>66</v>
      </c>
      <c r="L728" s="2" t="s">
        <v>2518</v>
      </c>
      <c r="M728" s="2" t="s">
        <v>2519</v>
      </c>
    </row>
    <row r="729" spans="1:13" x14ac:dyDescent="0.3">
      <c r="A729" s="1">
        <v>45768</v>
      </c>
      <c r="B729" s="2" t="s">
        <v>2633</v>
      </c>
      <c r="C729" s="2" t="s">
        <v>2527</v>
      </c>
      <c r="D729" s="2" t="s">
        <v>2516</v>
      </c>
      <c r="E729" s="2" t="s">
        <v>2517</v>
      </c>
      <c r="F729" s="3">
        <v>49899</v>
      </c>
      <c r="G729" s="3">
        <v>1109</v>
      </c>
      <c r="H729" s="3">
        <v>37</v>
      </c>
      <c r="I729" s="4">
        <v>406.24</v>
      </c>
      <c r="J729" s="4">
        <v>989.68</v>
      </c>
      <c r="K729" s="3">
        <v>18</v>
      </c>
      <c r="L729" s="2" t="s">
        <v>2518</v>
      </c>
      <c r="M729" s="2" t="s">
        <v>2546</v>
      </c>
    </row>
    <row r="730" spans="1:13" x14ac:dyDescent="0.3">
      <c r="A730" s="1">
        <v>45801</v>
      </c>
      <c r="B730" s="2" t="s">
        <v>2635</v>
      </c>
      <c r="C730" s="2" t="s">
        <v>2533</v>
      </c>
      <c r="D730" s="2" t="s">
        <v>2516</v>
      </c>
      <c r="E730" s="2" t="s">
        <v>2517</v>
      </c>
      <c r="F730" s="3">
        <v>63818</v>
      </c>
      <c r="G730" s="3">
        <v>3546</v>
      </c>
      <c r="H730" s="3">
        <v>188</v>
      </c>
      <c r="I730" s="4">
        <v>5263.57</v>
      </c>
      <c r="J730" s="4">
        <v>12005.05</v>
      </c>
      <c r="K730" s="3">
        <v>135</v>
      </c>
      <c r="L730" s="2" t="s">
        <v>2523</v>
      </c>
      <c r="M730" s="2" t="s">
        <v>2524</v>
      </c>
    </row>
    <row r="731" spans="1:13" x14ac:dyDescent="0.3">
      <c r="A731" s="1">
        <v>45894</v>
      </c>
      <c r="B731" s="2" t="s">
        <v>2629</v>
      </c>
      <c r="C731" s="2" t="s">
        <v>2527</v>
      </c>
      <c r="D731" s="2" t="s">
        <v>2525</v>
      </c>
      <c r="E731" s="2" t="s">
        <v>2529</v>
      </c>
      <c r="F731" s="3">
        <v>30638</v>
      </c>
      <c r="G731" s="3">
        <v>532</v>
      </c>
      <c r="H731" s="3">
        <v>68</v>
      </c>
      <c r="I731" s="4">
        <v>1091.68</v>
      </c>
      <c r="J731" s="4">
        <v>13486.37</v>
      </c>
      <c r="K731" s="3">
        <v>55</v>
      </c>
      <c r="L731" s="2" t="s">
        <v>2539</v>
      </c>
      <c r="M731" s="2" t="s">
        <v>2524</v>
      </c>
    </row>
    <row r="732" spans="1:13" x14ac:dyDescent="0.3">
      <c r="A732" s="1">
        <v>46003</v>
      </c>
      <c r="B732" s="2" t="s">
        <v>2640</v>
      </c>
      <c r="C732" s="2" t="s">
        <v>2515</v>
      </c>
      <c r="D732" s="2" t="s">
        <v>2516</v>
      </c>
      <c r="E732" s="2" t="s">
        <v>2517</v>
      </c>
      <c r="F732" s="3">
        <v>16480</v>
      </c>
      <c r="G732" s="3">
        <v>1002</v>
      </c>
      <c r="H732" s="3">
        <v>103</v>
      </c>
      <c r="I732" s="4">
        <v>269.98</v>
      </c>
      <c r="J732" s="4">
        <v>20077.27</v>
      </c>
      <c r="K732" s="3">
        <v>67</v>
      </c>
      <c r="L732" s="2" t="s">
        <v>2523</v>
      </c>
      <c r="M732" s="2" t="s">
        <v>2546</v>
      </c>
    </row>
    <row r="733" spans="1:13" x14ac:dyDescent="0.3">
      <c r="A733" s="1">
        <v>45716</v>
      </c>
      <c r="B733" s="2" t="s">
        <v>2618</v>
      </c>
      <c r="C733" s="2" t="s">
        <v>2533</v>
      </c>
      <c r="D733" s="2" t="s">
        <v>2528</v>
      </c>
      <c r="E733" s="2" t="s">
        <v>2517</v>
      </c>
      <c r="F733" s="3">
        <v>119149</v>
      </c>
      <c r="G733" s="3">
        <v>1015</v>
      </c>
      <c r="H733" s="3">
        <v>118</v>
      </c>
      <c r="I733" s="4">
        <v>1161.76</v>
      </c>
      <c r="J733" s="4">
        <v>10503.91</v>
      </c>
      <c r="K733" s="3">
        <v>83</v>
      </c>
      <c r="L733" s="2" t="s">
        <v>2518</v>
      </c>
      <c r="M733" s="2" t="s">
        <v>2537</v>
      </c>
    </row>
    <row r="734" spans="1:13" x14ac:dyDescent="0.3">
      <c r="A734" s="1">
        <v>45871</v>
      </c>
      <c r="B734" s="2" t="s">
        <v>2632</v>
      </c>
      <c r="C734" s="2" t="s">
        <v>2541</v>
      </c>
      <c r="D734" s="2" t="s">
        <v>2516</v>
      </c>
      <c r="E734" s="2" t="s">
        <v>2517</v>
      </c>
      <c r="F734" s="3">
        <v>116079</v>
      </c>
      <c r="G734" s="3">
        <v>4906</v>
      </c>
      <c r="H734" s="3">
        <v>626</v>
      </c>
      <c r="I734" s="4">
        <v>6054.74</v>
      </c>
      <c r="J734" s="4">
        <v>33695.96</v>
      </c>
      <c r="K734" s="3">
        <v>411</v>
      </c>
      <c r="L734" s="2" t="s">
        <v>2518</v>
      </c>
      <c r="M734" s="2" t="s">
        <v>2537</v>
      </c>
    </row>
    <row r="735" spans="1:13" x14ac:dyDescent="0.3">
      <c r="A735" s="1">
        <v>45773</v>
      </c>
      <c r="B735" s="2" t="s">
        <v>2635</v>
      </c>
      <c r="C735" s="2" t="s">
        <v>2521</v>
      </c>
      <c r="D735" s="2" t="s">
        <v>2528</v>
      </c>
      <c r="E735" s="2" t="s">
        <v>2529</v>
      </c>
      <c r="F735" s="3">
        <v>163278</v>
      </c>
      <c r="G735" s="3">
        <v>6742</v>
      </c>
      <c r="H735" s="3">
        <v>120</v>
      </c>
      <c r="I735" s="4">
        <v>2803.16</v>
      </c>
      <c r="J735" s="4">
        <v>24446.27</v>
      </c>
      <c r="K735" s="3">
        <v>57</v>
      </c>
      <c r="L735" s="2" t="s">
        <v>2536</v>
      </c>
      <c r="M735" s="2" t="s">
        <v>2524</v>
      </c>
    </row>
    <row r="736" spans="1:13" x14ac:dyDescent="0.3">
      <c r="A736" s="1">
        <v>45681</v>
      </c>
      <c r="B736" s="2" t="s">
        <v>2626</v>
      </c>
      <c r="C736" s="2" t="s">
        <v>2541</v>
      </c>
      <c r="D736" s="2" t="s">
        <v>2522</v>
      </c>
      <c r="E736" s="2" t="s">
        <v>2517</v>
      </c>
      <c r="F736" s="3">
        <v>9002</v>
      </c>
      <c r="G736" s="3">
        <v>182</v>
      </c>
      <c r="H736" s="3">
        <v>2</v>
      </c>
      <c r="I736" s="4">
        <v>261.54000000000002</v>
      </c>
      <c r="J736" s="4">
        <v>116.36</v>
      </c>
      <c r="K736" s="3">
        <v>1</v>
      </c>
      <c r="L736" s="2" t="s">
        <v>2536</v>
      </c>
      <c r="M736" s="2" t="s">
        <v>2519</v>
      </c>
    </row>
    <row r="737" spans="1:13" x14ac:dyDescent="0.3">
      <c r="A737" s="1">
        <v>45954</v>
      </c>
      <c r="B737" s="2" t="s">
        <v>2628</v>
      </c>
      <c r="C737" s="2" t="s">
        <v>2543</v>
      </c>
      <c r="D737" s="2" t="s">
        <v>2528</v>
      </c>
      <c r="E737" s="2" t="s">
        <v>2529</v>
      </c>
      <c r="F737" s="3">
        <v>167184</v>
      </c>
      <c r="G737" s="3">
        <v>8796</v>
      </c>
      <c r="H737" s="3">
        <v>254</v>
      </c>
      <c r="I737" s="4">
        <v>7287.67</v>
      </c>
      <c r="J737" s="4">
        <v>52424.67</v>
      </c>
      <c r="K737" s="3">
        <v>165</v>
      </c>
      <c r="L737" s="2" t="s">
        <v>2539</v>
      </c>
      <c r="M737" s="2" t="s">
        <v>2526</v>
      </c>
    </row>
    <row r="738" spans="1:13" x14ac:dyDescent="0.3">
      <c r="A738" s="1">
        <v>45897</v>
      </c>
      <c r="B738" s="2" t="s">
        <v>2640</v>
      </c>
      <c r="C738" s="2" t="s">
        <v>2541</v>
      </c>
      <c r="D738" s="2" t="s">
        <v>2516</v>
      </c>
      <c r="E738" s="2" t="s">
        <v>2529</v>
      </c>
      <c r="F738" s="3">
        <v>165266</v>
      </c>
      <c r="G738" s="3">
        <v>12817</v>
      </c>
      <c r="H738" s="3">
        <v>101</v>
      </c>
      <c r="I738" s="4">
        <v>8409.6299999999992</v>
      </c>
      <c r="J738" s="4">
        <v>17234.509999999998</v>
      </c>
      <c r="K738" s="3">
        <v>74</v>
      </c>
      <c r="L738" s="2" t="s">
        <v>2539</v>
      </c>
      <c r="M738" s="2" t="s">
        <v>2519</v>
      </c>
    </row>
    <row r="739" spans="1:13" x14ac:dyDescent="0.3">
      <c r="A739" s="1">
        <v>45667</v>
      </c>
      <c r="B739" s="2" t="s">
        <v>2630</v>
      </c>
      <c r="C739" s="2" t="s">
        <v>2645</v>
      </c>
      <c r="D739" s="2" t="s">
        <v>2528</v>
      </c>
      <c r="E739" s="2" t="s">
        <v>2529</v>
      </c>
      <c r="F739" s="3">
        <v>151425</v>
      </c>
      <c r="G739" s="3">
        <v>6267</v>
      </c>
      <c r="H739" s="3">
        <v>732</v>
      </c>
      <c r="I739" s="4">
        <v>9867.48</v>
      </c>
      <c r="J739" s="4">
        <v>40433.919999999998</v>
      </c>
      <c r="K739" s="3">
        <v>512</v>
      </c>
      <c r="L739" s="2" t="s">
        <v>2518</v>
      </c>
      <c r="M739" s="2" t="s">
        <v>2526</v>
      </c>
    </row>
    <row r="740" spans="1:13" x14ac:dyDescent="0.3">
      <c r="A740" s="1">
        <v>45972</v>
      </c>
      <c r="B740" s="2" t="s">
        <v>2626</v>
      </c>
      <c r="C740" s="2" t="s">
        <v>2527</v>
      </c>
      <c r="D740" s="2" t="s">
        <v>2528</v>
      </c>
      <c r="E740" s="2" t="s">
        <v>2529</v>
      </c>
      <c r="F740" s="3">
        <v>54088</v>
      </c>
      <c r="G740" s="3">
        <v>790</v>
      </c>
      <c r="H740" s="3">
        <v>106</v>
      </c>
      <c r="I740" s="4">
        <v>732.9</v>
      </c>
      <c r="J740" s="4">
        <v>12409.69</v>
      </c>
      <c r="K740" s="3">
        <v>85</v>
      </c>
      <c r="L740" s="2" t="s">
        <v>2536</v>
      </c>
      <c r="M740" s="2" t="s">
        <v>2537</v>
      </c>
    </row>
    <row r="741" spans="1:13" x14ac:dyDescent="0.3">
      <c r="A741" s="1">
        <v>45752</v>
      </c>
      <c r="B741" s="2" t="s">
        <v>2625</v>
      </c>
      <c r="C741" s="2" t="s">
        <v>2533</v>
      </c>
      <c r="D741" s="2" t="s">
        <v>2516</v>
      </c>
      <c r="E741" s="2" t="s">
        <v>2517</v>
      </c>
      <c r="F741" s="3">
        <v>54678</v>
      </c>
      <c r="G741" s="3">
        <v>2415</v>
      </c>
      <c r="H741" s="3">
        <v>68</v>
      </c>
      <c r="I741" s="4">
        <v>2038.76</v>
      </c>
      <c r="J741" s="4">
        <v>5177.91</v>
      </c>
      <c r="K741" s="3">
        <v>36</v>
      </c>
      <c r="L741" s="2" t="s">
        <v>2518</v>
      </c>
      <c r="M741" s="2" t="s">
        <v>2537</v>
      </c>
    </row>
    <row r="742" spans="1:13" x14ac:dyDescent="0.3">
      <c r="A742" s="1">
        <v>46013</v>
      </c>
      <c r="B742" s="2" t="s">
        <v>2625</v>
      </c>
      <c r="C742" s="2" t="s">
        <v>2533</v>
      </c>
      <c r="D742" s="2" t="s">
        <v>2528</v>
      </c>
      <c r="E742" s="2" t="s">
        <v>2517</v>
      </c>
      <c r="F742" s="3">
        <v>65088</v>
      </c>
      <c r="G742" s="3">
        <v>3003</v>
      </c>
      <c r="H742" s="3">
        <v>21</v>
      </c>
      <c r="I742" s="4">
        <v>2878.21</v>
      </c>
      <c r="J742" s="4">
        <v>1777.93</v>
      </c>
      <c r="K742" s="3">
        <v>13</v>
      </c>
      <c r="L742" s="2" t="s">
        <v>2518</v>
      </c>
      <c r="M742" s="2" t="s">
        <v>2524</v>
      </c>
    </row>
    <row r="743" spans="1:13" x14ac:dyDescent="0.3">
      <c r="A743" s="1">
        <v>45714</v>
      </c>
      <c r="B743" s="2" t="s">
        <v>2641</v>
      </c>
      <c r="C743" s="2" t="s">
        <v>2541</v>
      </c>
      <c r="D743" s="2" t="s">
        <v>2525</v>
      </c>
      <c r="E743" s="2" t="s">
        <v>2529</v>
      </c>
      <c r="F743" s="3">
        <v>42796</v>
      </c>
      <c r="G743" s="3">
        <v>1696</v>
      </c>
      <c r="H743" s="3">
        <v>150</v>
      </c>
      <c r="I743" s="4">
        <v>3534.31</v>
      </c>
      <c r="J743" s="4">
        <v>32902.639999999999</v>
      </c>
      <c r="K743" s="3">
        <v>125</v>
      </c>
      <c r="L743" s="2" t="s">
        <v>2539</v>
      </c>
      <c r="M743" s="2" t="s">
        <v>2546</v>
      </c>
    </row>
    <row r="744" spans="1:13" x14ac:dyDescent="0.3">
      <c r="A744" s="1">
        <v>46012</v>
      </c>
      <c r="B744" s="2" t="s">
        <v>2638</v>
      </c>
      <c r="C744" s="2" t="s">
        <v>2533</v>
      </c>
      <c r="D744" s="2" t="s">
        <v>2522</v>
      </c>
      <c r="E744" s="2" t="s">
        <v>2517</v>
      </c>
      <c r="F744" s="3">
        <v>91944</v>
      </c>
      <c r="G744" s="3">
        <v>6325</v>
      </c>
      <c r="H744" s="3">
        <v>96</v>
      </c>
      <c r="I744" s="4">
        <v>4317.38</v>
      </c>
      <c r="J744" s="4">
        <v>11882.21</v>
      </c>
      <c r="K744" s="3">
        <v>47</v>
      </c>
      <c r="L744" s="2" t="s">
        <v>2518</v>
      </c>
      <c r="M744" s="2" t="s">
        <v>2526</v>
      </c>
    </row>
    <row r="745" spans="1:13" x14ac:dyDescent="0.3">
      <c r="A745" s="1">
        <v>45893</v>
      </c>
      <c r="B745" s="2" t="s">
        <v>2619</v>
      </c>
      <c r="C745" s="2" t="s">
        <v>2527</v>
      </c>
      <c r="D745" s="2" t="s">
        <v>2528</v>
      </c>
      <c r="E745" s="2" t="s">
        <v>2517</v>
      </c>
      <c r="F745" s="3">
        <v>82054</v>
      </c>
      <c r="G745" s="3">
        <v>7351</v>
      </c>
      <c r="H745" s="3">
        <v>551</v>
      </c>
      <c r="I745" s="4">
        <v>4641.66</v>
      </c>
      <c r="J745" s="4">
        <v>93199.89</v>
      </c>
      <c r="K745" s="3">
        <v>388</v>
      </c>
      <c r="L745" s="2" t="s">
        <v>2518</v>
      </c>
      <c r="M745" s="2" t="s">
        <v>2526</v>
      </c>
    </row>
    <row r="746" spans="1:13" x14ac:dyDescent="0.3">
      <c r="A746" s="1">
        <v>45743</v>
      </c>
      <c r="B746" s="2" t="s">
        <v>2635</v>
      </c>
      <c r="C746" s="2" t="s">
        <v>2515</v>
      </c>
      <c r="D746" s="2" t="s">
        <v>2528</v>
      </c>
      <c r="E746" s="2" t="s">
        <v>2529</v>
      </c>
      <c r="F746" s="3">
        <v>120467</v>
      </c>
      <c r="G746" s="3">
        <v>7430</v>
      </c>
      <c r="H746" s="3">
        <v>464</v>
      </c>
      <c r="I746" s="4">
        <v>8519.35</v>
      </c>
      <c r="J746" s="4">
        <v>89816.69</v>
      </c>
      <c r="K746" s="3">
        <v>240</v>
      </c>
      <c r="L746" s="2" t="s">
        <v>2539</v>
      </c>
      <c r="M746" s="2" t="s">
        <v>2519</v>
      </c>
    </row>
    <row r="747" spans="1:13" x14ac:dyDescent="0.3">
      <c r="A747" s="1">
        <v>45956</v>
      </c>
      <c r="B747" s="2" t="s">
        <v>2633</v>
      </c>
      <c r="C747" s="2" t="s">
        <v>2527</v>
      </c>
      <c r="D747" s="2" t="s">
        <v>2525</v>
      </c>
      <c r="E747" s="2" t="s">
        <v>2517</v>
      </c>
      <c r="F747" s="3">
        <v>102121</v>
      </c>
      <c r="G747" s="3">
        <v>3387</v>
      </c>
      <c r="H747" s="3">
        <v>80</v>
      </c>
      <c r="I747" s="4">
        <v>1947.51</v>
      </c>
      <c r="J747" s="4">
        <v>15005.61</v>
      </c>
      <c r="K747" s="3">
        <v>64</v>
      </c>
      <c r="L747" s="2" t="s">
        <v>2539</v>
      </c>
      <c r="M747" s="2" t="s">
        <v>2519</v>
      </c>
    </row>
    <row r="748" spans="1:13" x14ac:dyDescent="0.3">
      <c r="A748" s="1">
        <v>46013</v>
      </c>
      <c r="B748" s="2" t="s">
        <v>2621</v>
      </c>
      <c r="C748" s="2" t="s">
        <v>2515</v>
      </c>
      <c r="D748" s="2" t="s">
        <v>2528</v>
      </c>
      <c r="E748" s="2" t="s">
        <v>2517</v>
      </c>
      <c r="F748" s="3">
        <v>53461</v>
      </c>
      <c r="G748" s="3">
        <v>1511</v>
      </c>
      <c r="H748" s="3">
        <v>99</v>
      </c>
      <c r="I748" s="4">
        <v>1560.39</v>
      </c>
      <c r="J748" s="4">
        <v>3052.32</v>
      </c>
      <c r="K748" s="3">
        <v>64</v>
      </c>
      <c r="L748" s="2" t="s">
        <v>2518</v>
      </c>
      <c r="M748" s="2" t="s">
        <v>2526</v>
      </c>
    </row>
    <row r="749" spans="1:13" x14ac:dyDescent="0.3">
      <c r="A749" s="1">
        <v>45866</v>
      </c>
      <c r="B749" s="2" t="s">
        <v>2616</v>
      </c>
      <c r="C749" s="2" t="s">
        <v>2527</v>
      </c>
      <c r="D749" s="2" t="s">
        <v>2528</v>
      </c>
      <c r="E749" s="2" t="s">
        <v>2529</v>
      </c>
      <c r="F749" s="3">
        <v>22283</v>
      </c>
      <c r="G749" s="3">
        <v>888</v>
      </c>
      <c r="H749" s="3">
        <v>69</v>
      </c>
      <c r="I749" s="4">
        <v>1735.99</v>
      </c>
      <c r="J749" s="4">
        <v>14236.12</v>
      </c>
      <c r="K749" s="3">
        <v>45</v>
      </c>
      <c r="L749" s="2" t="s">
        <v>2539</v>
      </c>
      <c r="M749" s="2" t="s">
        <v>2519</v>
      </c>
    </row>
    <row r="750" spans="1:13" x14ac:dyDescent="0.3">
      <c r="A750" s="1">
        <v>45978</v>
      </c>
      <c r="B750" s="2" t="s">
        <v>2643</v>
      </c>
      <c r="C750" s="2" t="s">
        <v>2543</v>
      </c>
      <c r="D750" s="2" t="s">
        <v>2525</v>
      </c>
      <c r="E750" s="2" t="s">
        <v>2529</v>
      </c>
      <c r="F750" s="3">
        <v>28046</v>
      </c>
      <c r="G750" s="3">
        <v>765</v>
      </c>
      <c r="H750" s="3">
        <v>87</v>
      </c>
      <c r="I750" s="4">
        <v>1081.6199999999999</v>
      </c>
      <c r="J750" s="4">
        <v>10782.28</v>
      </c>
      <c r="K750" s="3">
        <v>76</v>
      </c>
      <c r="L750" s="2" t="s">
        <v>2518</v>
      </c>
      <c r="M750" s="2" t="s">
        <v>2519</v>
      </c>
    </row>
    <row r="751" spans="1:13" x14ac:dyDescent="0.3">
      <c r="A751" s="1">
        <v>45911</v>
      </c>
      <c r="B751" s="2" t="s">
        <v>2635</v>
      </c>
      <c r="C751" s="2" t="s">
        <v>2527</v>
      </c>
      <c r="D751" s="2" t="s">
        <v>2528</v>
      </c>
      <c r="E751" s="2" t="s">
        <v>2517</v>
      </c>
      <c r="F751" s="3">
        <v>27301</v>
      </c>
      <c r="G751" s="3">
        <v>2196</v>
      </c>
      <c r="H751" s="3">
        <v>18</v>
      </c>
      <c r="I751" s="4">
        <v>2795.96</v>
      </c>
      <c r="J751" s="4">
        <v>1053.48</v>
      </c>
      <c r="K751" s="3">
        <v>9</v>
      </c>
      <c r="L751" s="2" t="s">
        <v>2539</v>
      </c>
      <c r="M751" s="2" t="s">
        <v>2526</v>
      </c>
    </row>
    <row r="752" spans="1:13" x14ac:dyDescent="0.3">
      <c r="A752" s="1">
        <v>45911</v>
      </c>
      <c r="B752" s="2" t="s">
        <v>2615</v>
      </c>
      <c r="C752" s="2" t="s">
        <v>2543</v>
      </c>
      <c r="D752" s="2" t="s">
        <v>2525</v>
      </c>
      <c r="E752" s="2" t="s">
        <v>2529</v>
      </c>
      <c r="F752" s="3">
        <v>21900</v>
      </c>
      <c r="G752" s="3">
        <v>1871</v>
      </c>
      <c r="H752" s="3">
        <v>46</v>
      </c>
      <c r="I752" s="4">
        <v>3152.95</v>
      </c>
      <c r="J752" s="4">
        <v>2841.2</v>
      </c>
      <c r="K752" s="3">
        <v>35</v>
      </c>
      <c r="L752" s="2" t="s">
        <v>2536</v>
      </c>
      <c r="M752" s="2" t="s">
        <v>2546</v>
      </c>
    </row>
    <row r="753" spans="1:13" x14ac:dyDescent="0.3">
      <c r="A753" s="1">
        <v>45884</v>
      </c>
      <c r="B753" s="2" t="s">
        <v>2628</v>
      </c>
      <c r="C753" s="2" t="s">
        <v>2533</v>
      </c>
      <c r="D753" s="2" t="s">
        <v>2528</v>
      </c>
      <c r="E753" s="2" t="s">
        <v>2517</v>
      </c>
      <c r="F753" s="3">
        <v>21145</v>
      </c>
      <c r="G753" s="3">
        <v>312</v>
      </c>
      <c r="H753" s="3">
        <v>37</v>
      </c>
      <c r="I753" s="4">
        <v>95.27</v>
      </c>
      <c r="J753" s="4">
        <v>1987.06</v>
      </c>
      <c r="K753" s="3">
        <v>32</v>
      </c>
      <c r="L753" s="2" t="s">
        <v>2539</v>
      </c>
      <c r="M753" s="2" t="s">
        <v>2526</v>
      </c>
    </row>
    <row r="754" spans="1:13" x14ac:dyDescent="0.3">
      <c r="A754" s="1">
        <v>45985</v>
      </c>
      <c r="B754" s="2" t="s">
        <v>2622</v>
      </c>
      <c r="C754" s="2" t="s">
        <v>2541</v>
      </c>
      <c r="D754" s="2" t="s">
        <v>2528</v>
      </c>
      <c r="E754" s="2" t="s">
        <v>2529</v>
      </c>
      <c r="F754" s="3">
        <v>99270</v>
      </c>
      <c r="G754" s="3">
        <v>5091</v>
      </c>
      <c r="H754" s="3">
        <v>479</v>
      </c>
      <c r="I754" s="4">
        <v>9174.77</v>
      </c>
      <c r="J754" s="4">
        <v>95271.37</v>
      </c>
      <c r="K754" s="3">
        <v>300</v>
      </c>
      <c r="L754" s="2" t="s">
        <v>2536</v>
      </c>
      <c r="M754" s="2" t="s">
        <v>2537</v>
      </c>
    </row>
    <row r="755" spans="1:13" x14ac:dyDescent="0.3">
      <c r="A755" s="1">
        <v>45728</v>
      </c>
      <c r="B755" s="2" t="s">
        <v>2621</v>
      </c>
      <c r="C755" s="2" t="s">
        <v>2541</v>
      </c>
      <c r="D755" s="2" t="s">
        <v>2531</v>
      </c>
      <c r="E755" s="2" t="s">
        <v>2517</v>
      </c>
      <c r="F755" s="3">
        <v>34220</v>
      </c>
      <c r="G755" s="3">
        <v>1476</v>
      </c>
      <c r="H755" s="3">
        <v>119</v>
      </c>
      <c r="I755" s="4">
        <v>2550.65</v>
      </c>
      <c r="J755" s="4">
        <v>3059.4</v>
      </c>
      <c r="K755" s="3">
        <v>89</v>
      </c>
      <c r="L755" s="2" t="s">
        <v>2518</v>
      </c>
      <c r="M755" s="2" t="s">
        <v>2519</v>
      </c>
    </row>
    <row r="756" spans="1:13" x14ac:dyDescent="0.3">
      <c r="A756" s="1">
        <v>46013</v>
      </c>
      <c r="B756" s="2" t="s">
        <v>2622</v>
      </c>
      <c r="C756" s="2" t="s">
        <v>2543</v>
      </c>
      <c r="D756" s="2" t="s">
        <v>2531</v>
      </c>
      <c r="E756" s="2" t="s">
        <v>2529</v>
      </c>
      <c r="F756" s="3">
        <v>28165</v>
      </c>
      <c r="G756" s="3">
        <v>782</v>
      </c>
      <c r="H756" s="3">
        <v>82</v>
      </c>
      <c r="I756" s="4">
        <v>827.74</v>
      </c>
      <c r="J756" s="4">
        <v>12117.77</v>
      </c>
      <c r="K756" s="3">
        <v>41</v>
      </c>
      <c r="L756" s="2" t="s">
        <v>2539</v>
      </c>
      <c r="M756" s="2" t="s">
        <v>2546</v>
      </c>
    </row>
    <row r="757" spans="1:13" x14ac:dyDescent="0.3">
      <c r="A757" s="1">
        <v>45815</v>
      </c>
      <c r="B757" s="2" t="s">
        <v>2641</v>
      </c>
      <c r="C757" s="2" t="s">
        <v>2527</v>
      </c>
      <c r="D757" s="2" t="s">
        <v>2522</v>
      </c>
      <c r="E757" s="2" t="s">
        <v>2517</v>
      </c>
      <c r="F757" s="3">
        <v>160813</v>
      </c>
      <c r="G757" s="3">
        <v>11849</v>
      </c>
      <c r="H757" s="3">
        <v>1514</v>
      </c>
      <c r="I757" s="4">
        <v>20480.599999999999</v>
      </c>
      <c r="J757" s="4">
        <v>71723.09</v>
      </c>
      <c r="K757" s="3">
        <v>731</v>
      </c>
      <c r="L757" s="2" t="s">
        <v>2518</v>
      </c>
      <c r="M757" s="2" t="s">
        <v>2537</v>
      </c>
    </row>
    <row r="758" spans="1:13" x14ac:dyDescent="0.3">
      <c r="A758" s="1">
        <v>45662</v>
      </c>
      <c r="B758" s="2" t="s">
        <v>2643</v>
      </c>
      <c r="C758" s="2" t="s">
        <v>2521</v>
      </c>
      <c r="D758" s="2" t="s">
        <v>2516</v>
      </c>
      <c r="E758" s="2" t="s">
        <v>2517</v>
      </c>
      <c r="F758" s="3">
        <v>17559</v>
      </c>
      <c r="G758" s="3">
        <v>1552</v>
      </c>
      <c r="H758" s="3">
        <v>47</v>
      </c>
      <c r="I758" s="4">
        <v>2773.89</v>
      </c>
      <c r="J758" s="4">
        <v>7527.78</v>
      </c>
      <c r="K758" s="3">
        <v>21</v>
      </c>
      <c r="L758" s="2" t="s">
        <v>2518</v>
      </c>
      <c r="M758" s="2" t="s">
        <v>2524</v>
      </c>
    </row>
    <row r="759" spans="1:13" x14ac:dyDescent="0.3">
      <c r="A759" s="1">
        <v>45849</v>
      </c>
      <c r="B759" s="2" t="s">
        <v>2627</v>
      </c>
      <c r="C759" s="2" t="s">
        <v>2515</v>
      </c>
      <c r="D759" s="2" t="s">
        <v>2516</v>
      </c>
      <c r="E759" s="2" t="s">
        <v>2529</v>
      </c>
      <c r="F759" s="3">
        <v>31244</v>
      </c>
      <c r="G759" s="3">
        <v>1928</v>
      </c>
      <c r="H759" s="3">
        <v>121</v>
      </c>
      <c r="I759" s="4">
        <v>1116.72</v>
      </c>
      <c r="J759" s="4">
        <v>4479.5200000000004</v>
      </c>
      <c r="K759" s="3">
        <v>70</v>
      </c>
      <c r="L759" s="2" t="s">
        <v>2518</v>
      </c>
      <c r="M759" s="2" t="s">
        <v>2546</v>
      </c>
    </row>
    <row r="760" spans="1:13" x14ac:dyDescent="0.3">
      <c r="A760" s="1">
        <v>45949</v>
      </c>
      <c r="B760" s="2" t="s">
        <v>2644</v>
      </c>
      <c r="C760" s="2" t="s">
        <v>2541</v>
      </c>
      <c r="D760" s="2" t="s">
        <v>2528</v>
      </c>
      <c r="E760" s="2" t="s">
        <v>2517</v>
      </c>
      <c r="F760" s="3">
        <v>38829</v>
      </c>
      <c r="G760" s="3">
        <v>447</v>
      </c>
      <c r="H760" s="3">
        <v>61</v>
      </c>
      <c r="I760" s="4">
        <v>477.42</v>
      </c>
      <c r="J760" s="4">
        <v>8526.36</v>
      </c>
      <c r="K760" s="3">
        <v>53</v>
      </c>
      <c r="L760" s="2" t="s">
        <v>2518</v>
      </c>
      <c r="M760" s="2" t="s">
        <v>2524</v>
      </c>
    </row>
    <row r="761" spans="1:13" x14ac:dyDescent="0.3">
      <c r="A761" s="1">
        <v>45806</v>
      </c>
      <c r="B761" s="2" t="s">
        <v>2625</v>
      </c>
      <c r="C761" s="2" t="s">
        <v>2533</v>
      </c>
      <c r="D761" s="2" t="s">
        <v>2516</v>
      </c>
      <c r="E761" s="2" t="s">
        <v>2517</v>
      </c>
      <c r="F761" s="3">
        <v>92328</v>
      </c>
      <c r="G761" s="3">
        <v>620</v>
      </c>
      <c r="H761" s="3">
        <v>55</v>
      </c>
      <c r="I761" s="4">
        <v>813.04</v>
      </c>
      <c r="J761" s="4">
        <v>11242.87</v>
      </c>
      <c r="K761" s="3">
        <v>26</v>
      </c>
      <c r="L761" s="2" t="s">
        <v>2539</v>
      </c>
      <c r="M761" s="2" t="s">
        <v>2524</v>
      </c>
    </row>
    <row r="762" spans="1:13" x14ac:dyDescent="0.3">
      <c r="A762" s="1">
        <v>45908</v>
      </c>
      <c r="B762" s="2" t="s">
        <v>2629</v>
      </c>
      <c r="C762" s="2" t="s">
        <v>2541</v>
      </c>
      <c r="D762" s="2" t="s">
        <v>2531</v>
      </c>
      <c r="E762" s="2" t="s">
        <v>2529</v>
      </c>
      <c r="F762" s="3">
        <v>150675</v>
      </c>
      <c r="G762" s="3">
        <v>2762</v>
      </c>
      <c r="H762" s="3">
        <v>140</v>
      </c>
      <c r="I762" s="4">
        <v>4660.5600000000004</v>
      </c>
      <c r="J762" s="4">
        <v>21888.61</v>
      </c>
      <c r="K762" s="3">
        <v>89</v>
      </c>
      <c r="L762" s="2" t="s">
        <v>2523</v>
      </c>
      <c r="M762" s="2" t="s">
        <v>2519</v>
      </c>
    </row>
    <row r="763" spans="1:13" x14ac:dyDescent="0.3">
      <c r="A763" s="1">
        <v>45830</v>
      </c>
      <c r="B763" s="2" t="s">
        <v>2617</v>
      </c>
      <c r="C763" s="2" t="s">
        <v>2543</v>
      </c>
      <c r="D763" s="2" t="s">
        <v>2525</v>
      </c>
      <c r="E763" s="2" t="s">
        <v>2517</v>
      </c>
      <c r="F763" s="3">
        <v>150489</v>
      </c>
      <c r="G763" s="3">
        <v>12127</v>
      </c>
      <c r="H763" s="3">
        <v>1038</v>
      </c>
      <c r="I763" s="4">
        <v>14823.38</v>
      </c>
      <c r="J763" s="4">
        <v>147547.07</v>
      </c>
      <c r="K763" s="3">
        <v>817</v>
      </c>
      <c r="L763" s="2" t="s">
        <v>2539</v>
      </c>
      <c r="M763" s="2" t="s">
        <v>2524</v>
      </c>
    </row>
    <row r="764" spans="1:13" x14ac:dyDescent="0.3">
      <c r="A764" s="1">
        <v>45983</v>
      </c>
      <c r="B764" s="2" t="s">
        <v>2637</v>
      </c>
      <c r="C764" s="2" t="s">
        <v>2541</v>
      </c>
      <c r="D764" s="2" t="s">
        <v>2528</v>
      </c>
      <c r="E764" s="2" t="s">
        <v>2517</v>
      </c>
      <c r="F764" s="3">
        <v>8118</v>
      </c>
      <c r="G764" s="3">
        <v>86</v>
      </c>
      <c r="H764" s="3">
        <v>8</v>
      </c>
      <c r="I764" s="4">
        <v>47.61</v>
      </c>
      <c r="J764" s="4">
        <v>1384.94</v>
      </c>
      <c r="K764" s="3">
        <v>4</v>
      </c>
      <c r="L764" s="2" t="s">
        <v>2536</v>
      </c>
      <c r="M764" s="2" t="s">
        <v>2546</v>
      </c>
    </row>
    <row r="765" spans="1:13" x14ac:dyDescent="0.3">
      <c r="A765" s="1">
        <v>45737</v>
      </c>
      <c r="B765" s="2" t="s">
        <v>2633</v>
      </c>
      <c r="C765" s="2" t="s">
        <v>2543</v>
      </c>
      <c r="D765" s="2" t="s">
        <v>2525</v>
      </c>
      <c r="E765" s="2" t="s">
        <v>2529</v>
      </c>
      <c r="F765" s="3">
        <v>37879</v>
      </c>
      <c r="G765" s="3">
        <v>406</v>
      </c>
      <c r="H765" s="3">
        <v>40</v>
      </c>
      <c r="I765" s="4">
        <v>123.6</v>
      </c>
      <c r="J765" s="4">
        <v>975.87</v>
      </c>
      <c r="K765" s="3">
        <v>25</v>
      </c>
      <c r="L765" s="2" t="s">
        <v>2539</v>
      </c>
      <c r="M765" s="2" t="s">
        <v>2519</v>
      </c>
    </row>
    <row r="766" spans="1:13" x14ac:dyDescent="0.3">
      <c r="A766" s="1">
        <v>45663</v>
      </c>
      <c r="B766" s="2" t="s">
        <v>2622</v>
      </c>
      <c r="C766" s="2" t="s">
        <v>2521</v>
      </c>
      <c r="D766" s="2" t="s">
        <v>2528</v>
      </c>
      <c r="E766" s="2" t="s">
        <v>2529</v>
      </c>
      <c r="F766" s="3">
        <v>24633</v>
      </c>
      <c r="G766" s="3">
        <v>854</v>
      </c>
      <c r="H766" s="3">
        <v>43</v>
      </c>
      <c r="I766" s="4">
        <v>445.47</v>
      </c>
      <c r="J766" s="4">
        <v>9288.15</v>
      </c>
      <c r="K766" s="3">
        <v>25</v>
      </c>
      <c r="L766" s="2" t="s">
        <v>2518</v>
      </c>
      <c r="M766" s="2" t="s">
        <v>2546</v>
      </c>
    </row>
    <row r="767" spans="1:13" x14ac:dyDescent="0.3">
      <c r="A767" s="1">
        <v>45732</v>
      </c>
      <c r="B767" s="2" t="s">
        <v>2622</v>
      </c>
      <c r="C767" s="2" t="s">
        <v>2521</v>
      </c>
      <c r="D767" s="2" t="s">
        <v>2516</v>
      </c>
      <c r="E767" s="2" t="s">
        <v>2529</v>
      </c>
      <c r="F767" s="3">
        <v>49234</v>
      </c>
      <c r="G767" s="3">
        <v>1641</v>
      </c>
      <c r="H767" s="3">
        <v>150</v>
      </c>
      <c r="I767" s="4">
        <v>1635.05</v>
      </c>
      <c r="J767" s="4">
        <v>7538.28</v>
      </c>
      <c r="K767" s="3">
        <v>81</v>
      </c>
      <c r="L767" s="2" t="s">
        <v>2539</v>
      </c>
      <c r="M767" s="2" t="s">
        <v>2546</v>
      </c>
    </row>
    <row r="768" spans="1:13" x14ac:dyDescent="0.3">
      <c r="A768" s="1">
        <v>45920</v>
      </c>
      <c r="B768" s="2" t="s">
        <v>2621</v>
      </c>
      <c r="C768" s="2" t="s">
        <v>2541</v>
      </c>
      <c r="D768" s="2" t="s">
        <v>2528</v>
      </c>
      <c r="E768" s="2" t="s">
        <v>2529</v>
      </c>
      <c r="F768" s="3">
        <v>73196</v>
      </c>
      <c r="G768" s="3">
        <v>5815</v>
      </c>
      <c r="H768" s="3">
        <v>610</v>
      </c>
      <c r="I768" s="4">
        <v>10601.46</v>
      </c>
      <c r="J768" s="4">
        <v>11783.54</v>
      </c>
      <c r="K768" s="3">
        <v>372</v>
      </c>
      <c r="L768" s="2" t="s">
        <v>2539</v>
      </c>
      <c r="M768" s="2" t="s">
        <v>2546</v>
      </c>
    </row>
    <row r="769" spans="1:13" x14ac:dyDescent="0.3">
      <c r="A769" s="1">
        <v>45988</v>
      </c>
      <c r="B769" s="2" t="s">
        <v>2629</v>
      </c>
      <c r="C769" s="2" t="s">
        <v>2533</v>
      </c>
      <c r="D769" s="2" t="s">
        <v>2525</v>
      </c>
      <c r="E769" s="2" t="s">
        <v>2529</v>
      </c>
      <c r="F769" s="3">
        <v>101646</v>
      </c>
      <c r="G769" s="3">
        <v>5125</v>
      </c>
      <c r="H769" s="3">
        <v>653</v>
      </c>
      <c r="I769" s="4">
        <v>1100.9100000000001</v>
      </c>
      <c r="J769" s="4">
        <v>130268.63</v>
      </c>
      <c r="K769" s="3">
        <v>459</v>
      </c>
      <c r="L769" s="2" t="s">
        <v>2523</v>
      </c>
      <c r="M769" s="2" t="s">
        <v>2537</v>
      </c>
    </row>
    <row r="770" spans="1:13" x14ac:dyDescent="0.3">
      <c r="A770" s="1">
        <v>45859</v>
      </c>
      <c r="B770" s="2" t="s">
        <v>2622</v>
      </c>
      <c r="C770" s="2" t="s">
        <v>2521</v>
      </c>
      <c r="D770" s="2" t="s">
        <v>2516</v>
      </c>
      <c r="E770" s="2" t="s">
        <v>2529</v>
      </c>
      <c r="F770" s="3">
        <v>128452</v>
      </c>
      <c r="G770" s="3">
        <v>11301</v>
      </c>
      <c r="H770" s="3">
        <v>1108</v>
      </c>
      <c r="I770" s="4">
        <v>16753.939999999999</v>
      </c>
      <c r="J770" s="4">
        <v>173037.04</v>
      </c>
      <c r="K770" s="3">
        <v>674</v>
      </c>
      <c r="L770" s="2" t="s">
        <v>2518</v>
      </c>
      <c r="M770" s="2" t="s">
        <v>2524</v>
      </c>
    </row>
    <row r="771" spans="1:13" x14ac:dyDescent="0.3">
      <c r="A771" s="1">
        <v>45916</v>
      </c>
      <c r="B771" s="2" t="s">
        <v>2637</v>
      </c>
      <c r="C771" s="2" t="s">
        <v>2515</v>
      </c>
      <c r="D771" s="2" t="s">
        <v>2528</v>
      </c>
      <c r="E771" s="2" t="s">
        <v>2517</v>
      </c>
      <c r="F771" s="3">
        <v>85155</v>
      </c>
      <c r="G771" s="3">
        <v>6228</v>
      </c>
      <c r="H771" s="3">
        <v>491</v>
      </c>
      <c r="I771" s="4">
        <v>6653.61</v>
      </c>
      <c r="J771" s="4">
        <v>31486.41</v>
      </c>
      <c r="K771" s="3">
        <v>249</v>
      </c>
      <c r="L771" s="2" t="s">
        <v>2539</v>
      </c>
      <c r="M771" s="2" t="s">
        <v>2537</v>
      </c>
    </row>
    <row r="772" spans="1:13" x14ac:dyDescent="0.3">
      <c r="A772" s="1">
        <v>45832</v>
      </c>
      <c r="B772" s="2" t="s">
        <v>2633</v>
      </c>
      <c r="C772" s="2" t="s">
        <v>2527</v>
      </c>
      <c r="D772" s="2" t="s">
        <v>2528</v>
      </c>
      <c r="E772" s="2" t="s">
        <v>2529</v>
      </c>
      <c r="F772" s="3">
        <v>139134</v>
      </c>
      <c r="G772" s="3">
        <v>985</v>
      </c>
      <c r="H772" s="3">
        <v>9</v>
      </c>
      <c r="I772" s="4">
        <v>183.45</v>
      </c>
      <c r="J772" s="4">
        <v>641.09</v>
      </c>
      <c r="K772" s="3">
        <v>4</v>
      </c>
      <c r="L772" s="2" t="s">
        <v>2539</v>
      </c>
      <c r="M772" s="2" t="s">
        <v>2537</v>
      </c>
    </row>
    <row r="773" spans="1:13" x14ac:dyDescent="0.3">
      <c r="A773" s="1">
        <v>45691</v>
      </c>
      <c r="B773" s="2" t="s">
        <v>2616</v>
      </c>
      <c r="C773" s="2" t="s">
        <v>2541</v>
      </c>
      <c r="D773" s="2" t="s">
        <v>2528</v>
      </c>
      <c r="E773" s="2" t="s">
        <v>2517</v>
      </c>
      <c r="F773" s="3">
        <v>74707</v>
      </c>
      <c r="G773" s="3">
        <v>4255</v>
      </c>
      <c r="H773" s="3">
        <v>363</v>
      </c>
      <c r="I773" s="4">
        <v>7191.6</v>
      </c>
      <c r="J773" s="4">
        <v>66107.460000000006</v>
      </c>
      <c r="K773" s="3">
        <v>208</v>
      </c>
      <c r="L773" s="2" t="s">
        <v>2536</v>
      </c>
      <c r="M773" s="2" t="s">
        <v>2519</v>
      </c>
    </row>
    <row r="774" spans="1:13" x14ac:dyDescent="0.3">
      <c r="A774" s="1">
        <v>45731</v>
      </c>
      <c r="B774" s="2" t="s">
        <v>2619</v>
      </c>
      <c r="C774" s="2" t="s">
        <v>2541</v>
      </c>
      <c r="D774" s="2" t="s">
        <v>2528</v>
      </c>
      <c r="E774" s="2" t="s">
        <v>2529</v>
      </c>
      <c r="F774" s="3">
        <v>166112</v>
      </c>
      <c r="G774" s="3">
        <v>3732</v>
      </c>
      <c r="H774" s="3">
        <v>143</v>
      </c>
      <c r="I774" s="4">
        <v>490.92</v>
      </c>
      <c r="J774" s="4">
        <v>25789.09</v>
      </c>
      <c r="K774" s="3">
        <v>126</v>
      </c>
      <c r="L774" s="2" t="s">
        <v>2539</v>
      </c>
      <c r="M774" s="2" t="s">
        <v>2519</v>
      </c>
    </row>
    <row r="775" spans="1:13" x14ac:dyDescent="0.3">
      <c r="A775" s="1">
        <v>45827</v>
      </c>
      <c r="B775" s="2" t="s">
        <v>2629</v>
      </c>
      <c r="C775" s="2" t="s">
        <v>2543</v>
      </c>
      <c r="D775" s="2" t="s">
        <v>2516</v>
      </c>
      <c r="E775" s="2" t="s">
        <v>2517</v>
      </c>
      <c r="F775" s="3">
        <v>61091</v>
      </c>
      <c r="G775" s="3">
        <v>1135</v>
      </c>
      <c r="H775" s="3">
        <v>154</v>
      </c>
      <c r="I775" s="4">
        <v>1348.65</v>
      </c>
      <c r="J775" s="4">
        <v>18227.86</v>
      </c>
      <c r="K775" s="3">
        <v>123</v>
      </c>
      <c r="L775" s="2" t="s">
        <v>2536</v>
      </c>
      <c r="M775" s="2" t="s">
        <v>2524</v>
      </c>
    </row>
    <row r="776" spans="1:13" x14ac:dyDescent="0.3">
      <c r="A776" s="1">
        <v>45725</v>
      </c>
      <c r="B776" s="2" t="s">
        <v>2620</v>
      </c>
      <c r="C776" s="2" t="s">
        <v>2533</v>
      </c>
      <c r="D776" s="2" t="s">
        <v>2528</v>
      </c>
      <c r="E776" s="2" t="s">
        <v>2517</v>
      </c>
      <c r="F776" s="3">
        <v>90473</v>
      </c>
      <c r="G776" s="3">
        <v>7819</v>
      </c>
      <c r="H776" s="3">
        <v>864</v>
      </c>
      <c r="I776" s="4">
        <v>5021.29</v>
      </c>
      <c r="J776" s="4">
        <v>68341.570000000007</v>
      </c>
      <c r="K776" s="3">
        <v>390</v>
      </c>
      <c r="L776" s="2" t="s">
        <v>2523</v>
      </c>
      <c r="M776" s="2" t="s">
        <v>2524</v>
      </c>
    </row>
    <row r="777" spans="1:13" x14ac:dyDescent="0.3">
      <c r="A777" s="1">
        <v>46004</v>
      </c>
      <c r="B777" s="2" t="s">
        <v>2627</v>
      </c>
      <c r="C777" s="2" t="s">
        <v>2541</v>
      </c>
      <c r="D777" s="2" t="s">
        <v>2516</v>
      </c>
      <c r="E777" s="2" t="s">
        <v>2529</v>
      </c>
      <c r="F777" s="3">
        <v>23565</v>
      </c>
      <c r="G777" s="3">
        <v>1207</v>
      </c>
      <c r="H777" s="3">
        <v>136</v>
      </c>
      <c r="I777" s="4">
        <v>1109.26</v>
      </c>
      <c r="J777" s="4">
        <v>26944.22</v>
      </c>
      <c r="K777" s="3">
        <v>104</v>
      </c>
      <c r="L777" s="2" t="s">
        <v>2523</v>
      </c>
      <c r="M777" s="2" t="s">
        <v>2546</v>
      </c>
    </row>
    <row r="778" spans="1:13" x14ac:dyDescent="0.3">
      <c r="A778" s="1">
        <v>45745</v>
      </c>
      <c r="B778" s="2" t="s">
        <v>2638</v>
      </c>
      <c r="C778" s="2" t="s">
        <v>2521</v>
      </c>
      <c r="D778" s="2" t="s">
        <v>2528</v>
      </c>
      <c r="E778" s="2" t="s">
        <v>2517</v>
      </c>
      <c r="F778" s="3">
        <v>111367</v>
      </c>
      <c r="G778" s="3">
        <v>8081</v>
      </c>
      <c r="H778" s="3">
        <v>1093</v>
      </c>
      <c r="I778" s="4">
        <v>6697.16</v>
      </c>
      <c r="J778" s="4">
        <v>232412.6</v>
      </c>
      <c r="K778" s="3">
        <v>814</v>
      </c>
      <c r="L778" s="2" t="s">
        <v>2539</v>
      </c>
      <c r="M778" s="2" t="s">
        <v>2524</v>
      </c>
    </row>
    <row r="779" spans="1:13" x14ac:dyDescent="0.3">
      <c r="A779" s="1">
        <v>45675</v>
      </c>
      <c r="B779" s="2" t="s">
        <v>2623</v>
      </c>
      <c r="C779" s="2" t="s">
        <v>2515</v>
      </c>
      <c r="D779" s="2" t="s">
        <v>2522</v>
      </c>
      <c r="E779" s="2" t="s">
        <v>2517</v>
      </c>
      <c r="F779" s="3">
        <v>24110</v>
      </c>
      <c r="G779" s="3">
        <v>698</v>
      </c>
      <c r="H779" s="3">
        <v>66</v>
      </c>
      <c r="I779" s="4">
        <v>364.85</v>
      </c>
      <c r="J779" s="4">
        <v>11852.83</v>
      </c>
      <c r="K779" s="3">
        <v>58</v>
      </c>
      <c r="L779" s="2" t="s">
        <v>2539</v>
      </c>
      <c r="M779" s="2" t="s">
        <v>2519</v>
      </c>
    </row>
    <row r="780" spans="1:13" x14ac:dyDescent="0.3">
      <c r="A780" s="1">
        <v>45786</v>
      </c>
      <c r="B780" s="2" t="s">
        <v>2625</v>
      </c>
      <c r="C780" s="2" t="s">
        <v>2543</v>
      </c>
      <c r="D780" s="2" t="s">
        <v>2516</v>
      </c>
      <c r="E780" s="2" t="s">
        <v>2529</v>
      </c>
      <c r="F780" s="3">
        <v>44502</v>
      </c>
      <c r="G780" s="3">
        <v>3149</v>
      </c>
      <c r="H780" s="3">
        <v>411</v>
      </c>
      <c r="I780" s="4">
        <v>4510.66</v>
      </c>
      <c r="J780" s="4">
        <v>40680.639999999999</v>
      </c>
      <c r="K780" s="3">
        <v>349</v>
      </c>
      <c r="L780" s="2" t="s">
        <v>2518</v>
      </c>
      <c r="M780" s="2" t="s">
        <v>2519</v>
      </c>
    </row>
    <row r="781" spans="1:13" x14ac:dyDescent="0.3">
      <c r="A781" s="1">
        <v>45700</v>
      </c>
      <c r="B781" s="2" t="s">
        <v>2617</v>
      </c>
      <c r="C781" s="2" t="s">
        <v>2541</v>
      </c>
      <c r="D781" s="2" t="s">
        <v>2525</v>
      </c>
      <c r="E781" s="2" t="s">
        <v>2529</v>
      </c>
      <c r="F781" s="3">
        <v>140942</v>
      </c>
      <c r="G781" s="3">
        <v>11107</v>
      </c>
      <c r="H781" s="3">
        <v>185</v>
      </c>
      <c r="I781" s="4">
        <v>16890.669999999998</v>
      </c>
      <c r="J781" s="4">
        <v>12826</v>
      </c>
      <c r="K781" s="3">
        <v>115</v>
      </c>
      <c r="L781" s="2" t="s">
        <v>2518</v>
      </c>
      <c r="M781" s="2" t="s">
        <v>2526</v>
      </c>
    </row>
    <row r="782" spans="1:13" x14ac:dyDescent="0.3">
      <c r="A782" s="1">
        <v>45818</v>
      </c>
      <c r="B782" s="2" t="s">
        <v>2615</v>
      </c>
      <c r="C782" s="2" t="s">
        <v>2521</v>
      </c>
      <c r="D782" s="2" t="s">
        <v>2528</v>
      </c>
      <c r="E782" s="2" t="s">
        <v>2529</v>
      </c>
      <c r="F782" s="3">
        <v>44849</v>
      </c>
      <c r="G782" s="3">
        <v>2804</v>
      </c>
      <c r="H782" s="3">
        <v>187</v>
      </c>
      <c r="I782" s="4">
        <v>3166.17</v>
      </c>
      <c r="J782" s="4">
        <v>20693.62</v>
      </c>
      <c r="K782" s="3">
        <v>121</v>
      </c>
      <c r="L782" s="2" t="s">
        <v>2518</v>
      </c>
      <c r="M782" s="2" t="s">
        <v>2526</v>
      </c>
    </row>
    <row r="783" spans="1:13" x14ac:dyDescent="0.3">
      <c r="A783" s="1">
        <v>45757</v>
      </c>
      <c r="B783" s="2" t="s">
        <v>2623</v>
      </c>
      <c r="C783" s="2" t="s">
        <v>2541</v>
      </c>
      <c r="D783" s="2" t="s">
        <v>2528</v>
      </c>
      <c r="E783" s="2" t="s">
        <v>2529</v>
      </c>
      <c r="F783" s="3">
        <v>13075</v>
      </c>
      <c r="G783" s="3">
        <v>230</v>
      </c>
      <c r="H783" s="3">
        <v>8</v>
      </c>
      <c r="I783" s="4">
        <v>214.45</v>
      </c>
      <c r="J783" s="4">
        <v>1124.6099999999999</v>
      </c>
      <c r="K783" s="3">
        <v>6</v>
      </c>
      <c r="L783" s="2" t="s">
        <v>2536</v>
      </c>
      <c r="M783" s="2" t="s">
        <v>2526</v>
      </c>
    </row>
    <row r="784" spans="1:13" x14ac:dyDescent="0.3">
      <c r="A784" s="1">
        <v>45849</v>
      </c>
      <c r="B784" s="2" t="s">
        <v>2629</v>
      </c>
      <c r="C784" s="2" t="s">
        <v>2527</v>
      </c>
      <c r="D784" s="2" t="s">
        <v>2645</v>
      </c>
      <c r="E784" s="2" t="s">
        <v>2517</v>
      </c>
      <c r="F784" s="3">
        <v>22870</v>
      </c>
      <c r="G784" s="3">
        <v>214</v>
      </c>
      <c r="H784" s="3">
        <v>7</v>
      </c>
      <c r="I784" s="4">
        <v>349.93</v>
      </c>
      <c r="J784" s="4">
        <v>1066.1099999999999</v>
      </c>
      <c r="K784" s="3">
        <v>3</v>
      </c>
      <c r="L784" s="2" t="s">
        <v>2536</v>
      </c>
      <c r="M784" s="2" t="s">
        <v>2537</v>
      </c>
    </row>
    <row r="785" spans="1:13" x14ac:dyDescent="0.3">
      <c r="A785" s="1">
        <v>45982</v>
      </c>
      <c r="B785" s="2" t="s">
        <v>2644</v>
      </c>
      <c r="C785" s="2" t="s">
        <v>2515</v>
      </c>
      <c r="D785" s="2" t="s">
        <v>2528</v>
      </c>
      <c r="E785" s="2" t="s">
        <v>2529</v>
      </c>
      <c r="F785" s="3">
        <v>146245</v>
      </c>
      <c r="G785" s="3">
        <v>12457</v>
      </c>
      <c r="H785" s="3">
        <v>754</v>
      </c>
      <c r="I785" s="4">
        <v>12507.71</v>
      </c>
      <c r="J785" s="4">
        <v>28733.69</v>
      </c>
      <c r="K785" s="3">
        <v>530</v>
      </c>
      <c r="L785" s="2" t="s">
        <v>2523</v>
      </c>
      <c r="M785" s="2" t="s">
        <v>2519</v>
      </c>
    </row>
    <row r="786" spans="1:13" x14ac:dyDescent="0.3">
      <c r="A786" s="1">
        <v>45816</v>
      </c>
      <c r="B786" s="2" t="s">
        <v>2636</v>
      </c>
      <c r="C786" s="2" t="s">
        <v>2515</v>
      </c>
      <c r="D786" s="2" t="s">
        <v>2528</v>
      </c>
      <c r="E786" s="2" t="s">
        <v>2529</v>
      </c>
      <c r="F786" s="3">
        <v>166468</v>
      </c>
      <c r="G786" s="3">
        <v>13944</v>
      </c>
      <c r="H786" s="3">
        <v>634</v>
      </c>
      <c r="I786" s="4">
        <v>13976.1</v>
      </c>
      <c r="J786" s="4">
        <v>112922.56</v>
      </c>
      <c r="K786" s="3">
        <v>368</v>
      </c>
      <c r="L786" s="2" t="s">
        <v>2518</v>
      </c>
      <c r="M786" s="2" t="s">
        <v>2519</v>
      </c>
    </row>
    <row r="787" spans="1:13" x14ac:dyDescent="0.3">
      <c r="A787" s="1">
        <v>45979</v>
      </c>
      <c r="B787" s="2" t="s">
        <v>2636</v>
      </c>
      <c r="C787" s="2" t="s">
        <v>2541</v>
      </c>
      <c r="D787" s="2" t="s">
        <v>2522</v>
      </c>
      <c r="E787" s="2" t="s">
        <v>2529</v>
      </c>
      <c r="F787" s="3">
        <v>154129</v>
      </c>
      <c r="G787" s="3">
        <v>6600</v>
      </c>
      <c r="H787" s="3">
        <v>564</v>
      </c>
      <c r="I787" s="4">
        <v>7428.07</v>
      </c>
      <c r="J787" s="4">
        <v>31628.29</v>
      </c>
      <c r="K787" s="3">
        <v>454</v>
      </c>
      <c r="L787" s="2" t="s">
        <v>2539</v>
      </c>
      <c r="M787" s="2" t="s">
        <v>2546</v>
      </c>
    </row>
    <row r="788" spans="1:13" x14ac:dyDescent="0.3">
      <c r="A788" s="1">
        <v>45736</v>
      </c>
      <c r="B788" s="2" t="s">
        <v>2641</v>
      </c>
      <c r="C788" s="2" t="s">
        <v>2543</v>
      </c>
      <c r="D788" s="2" t="s">
        <v>2528</v>
      </c>
      <c r="E788" s="2" t="s">
        <v>2517</v>
      </c>
      <c r="F788" s="3">
        <v>33319</v>
      </c>
      <c r="G788" s="3">
        <v>2866</v>
      </c>
      <c r="H788" s="3">
        <v>202</v>
      </c>
      <c r="I788" s="4">
        <v>2578.2199999999998</v>
      </c>
      <c r="J788" s="4">
        <v>39447.24</v>
      </c>
      <c r="K788" s="3">
        <v>181</v>
      </c>
      <c r="L788" s="2" t="s">
        <v>2518</v>
      </c>
      <c r="M788" s="2" t="s">
        <v>2524</v>
      </c>
    </row>
    <row r="789" spans="1:13" x14ac:dyDescent="0.3">
      <c r="A789" s="1">
        <v>45976</v>
      </c>
      <c r="B789" s="2" t="s">
        <v>2624</v>
      </c>
      <c r="C789" s="2" t="s">
        <v>2543</v>
      </c>
      <c r="D789" s="2" t="s">
        <v>2525</v>
      </c>
      <c r="E789" s="2" t="s">
        <v>2534</v>
      </c>
      <c r="F789" s="3">
        <v>23608</v>
      </c>
      <c r="G789" s="3">
        <v>1929</v>
      </c>
      <c r="H789" s="3">
        <v>185</v>
      </c>
      <c r="I789" s="4">
        <v>1847.95</v>
      </c>
      <c r="J789" s="4">
        <v>11708.83</v>
      </c>
      <c r="K789" s="3">
        <v>148</v>
      </c>
      <c r="L789" s="2" t="s">
        <v>2539</v>
      </c>
      <c r="M789" s="2" t="s">
        <v>2546</v>
      </c>
    </row>
    <row r="790" spans="1:13" x14ac:dyDescent="0.3">
      <c r="A790" s="1">
        <v>45928</v>
      </c>
      <c r="B790" s="2" t="s">
        <v>2625</v>
      </c>
      <c r="C790" s="2" t="s">
        <v>2543</v>
      </c>
      <c r="D790" s="2" t="s">
        <v>2528</v>
      </c>
      <c r="E790" s="2" t="s">
        <v>2517</v>
      </c>
      <c r="F790" s="3">
        <v>131546</v>
      </c>
      <c r="G790" s="3">
        <v>3414</v>
      </c>
      <c r="H790" s="3">
        <v>30</v>
      </c>
      <c r="I790" s="4">
        <v>2943.15</v>
      </c>
      <c r="J790" s="4">
        <v>1661.82</v>
      </c>
      <c r="K790" s="3">
        <v>19</v>
      </c>
      <c r="L790" s="2" t="s">
        <v>2523</v>
      </c>
      <c r="M790" s="2" t="s">
        <v>2645</v>
      </c>
    </row>
    <row r="791" spans="1:13" x14ac:dyDescent="0.3">
      <c r="A791" s="1">
        <v>45749</v>
      </c>
      <c r="B791" s="2" t="s">
        <v>2636</v>
      </c>
      <c r="C791" s="2" t="s">
        <v>2515</v>
      </c>
      <c r="D791" s="2" t="s">
        <v>2522</v>
      </c>
      <c r="E791" s="2" t="s">
        <v>2517</v>
      </c>
      <c r="F791" s="3">
        <v>152028</v>
      </c>
      <c r="G791" s="3">
        <v>3505</v>
      </c>
      <c r="H791" s="3">
        <v>371</v>
      </c>
      <c r="I791" s="4">
        <v>5857.92</v>
      </c>
      <c r="J791" s="4">
        <v>78320.37</v>
      </c>
      <c r="K791" s="3">
        <v>299</v>
      </c>
      <c r="L791" s="2" t="s">
        <v>2518</v>
      </c>
      <c r="M791" s="2" t="s">
        <v>2524</v>
      </c>
    </row>
    <row r="792" spans="1:13" x14ac:dyDescent="0.3">
      <c r="A792" s="1">
        <v>45750</v>
      </c>
      <c r="B792" s="2" t="s">
        <v>2641</v>
      </c>
      <c r="C792" s="2" t="s">
        <v>2541</v>
      </c>
      <c r="D792" s="2" t="s">
        <v>2522</v>
      </c>
      <c r="E792" s="2" t="s">
        <v>2529</v>
      </c>
      <c r="F792" s="3">
        <v>131220</v>
      </c>
      <c r="G792" s="3">
        <v>6584</v>
      </c>
      <c r="H792" s="3">
        <v>662</v>
      </c>
      <c r="I792" s="4">
        <v>11019.72</v>
      </c>
      <c r="J792" s="4">
        <v>23343.39</v>
      </c>
      <c r="K792" s="3">
        <v>467</v>
      </c>
      <c r="L792" s="2" t="s">
        <v>2536</v>
      </c>
      <c r="M792" s="2" t="s">
        <v>2546</v>
      </c>
    </row>
    <row r="793" spans="1:13" x14ac:dyDescent="0.3">
      <c r="A793" s="1">
        <v>45982</v>
      </c>
      <c r="B793" s="2" t="s">
        <v>2616</v>
      </c>
      <c r="C793" s="2" t="s">
        <v>2543</v>
      </c>
      <c r="D793" s="2" t="s">
        <v>2516</v>
      </c>
      <c r="E793" s="2" t="s">
        <v>2517</v>
      </c>
      <c r="F793" s="3">
        <v>24772</v>
      </c>
      <c r="G793" s="3">
        <v>1537</v>
      </c>
      <c r="H793" s="3">
        <v>31</v>
      </c>
      <c r="I793" s="4">
        <v>2294.42</v>
      </c>
      <c r="J793" s="4">
        <v>5516.44</v>
      </c>
      <c r="K793" s="3">
        <v>21</v>
      </c>
      <c r="L793" s="2" t="s">
        <v>2518</v>
      </c>
      <c r="M793" s="2" t="s">
        <v>2524</v>
      </c>
    </row>
    <row r="794" spans="1:13" x14ac:dyDescent="0.3">
      <c r="A794" s="1">
        <v>45805</v>
      </c>
      <c r="B794" s="2" t="s">
        <v>2621</v>
      </c>
      <c r="C794" s="2" t="s">
        <v>2541</v>
      </c>
      <c r="D794" s="2" t="s">
        <v>2516</v>
      </c>
      <c r="E794" s="2" t="s">
        <v>2529</v>
      </c>
      <c r="F794" s="3">
        <v>120912</v>
      </c>
      <c r="G794" s="3">
        <v>8607</v>
      </c>
      <c r="H794" s="3">
        <v>534</v>
      </c>
      <c r="I794" s="4">
        <v>14050.5</v>
      </c>
      <c r="J794" s="4">
        <v>76264.33</v>
      </c>
      <c r="K794" s="3">
        <v>368</v>
      </c>
      <c r="L794" s="2" t="s">
        <v>2539</v>
      </c>
      <c r="M794" s="2" t="s">
        <v>2524</v>
      </c>
    </row>
    <row r="795" spans="1:13" x14ac:dyDescent="0.3">
      <c r="A795" s="1">
        <v>45688</v>
      </c>
      <c r="B795" s="2" t="s">
        <v>2615</v>
      </c>
      <c r="C795" s="2" t="s">
        <v>2515</v>
      </c>
      <c r="D795" s="2" t="s">
        <v>2528</v>
      </c>
      <c r="E795" s="2" t="s">
        <v>2529</v>
      </c>
      <c r="F795" s="3">
        <v>146442</v>
      </c>
      <c r="G795" s="3">
        <v>6907</v>
      </c>
      <c r="H795" s="3">
        <v>54</v>
      </c>
      <c r="I795" s="4">
        <v>3280.12</v>
      </c>
      <c r="J795" s="4">
        <v>1785.87</v>
      </c>
      <c r="K795" s="3">
        <v>42</v>
      </c>
      <c r="L795" s="2" t="s">
        <v>2539</v>
      </c>
      <c r="M795" s="2" t="s">
        <v>2519</v>
      </c>
    </row>
    <row r="796" spans="1:13" x14ac:dyDescent="0.3">
      <c r="A796" s="1">
        <v>45903</v>
      </c>
      <c r="B796" s="2" t="s">
        <v>2629</v>
      </c>
      <c r="C796" s="2" t="s">
        <v>2521</v>
      </c>
      <c r="D796" s="2" t="s">
        <v>2522</v>
      </c>
      <c r="E796" s="2" t="s">
        <v>2517</v>
      </c>
      <c r="F796" s="3">
        <v>128707</v>
      </c>
      <c r="G796" s="3">
        <v>900</v>
      </c>
      <c r="H796" s="3">
        <v>61</v>
      </c>
      <c r="I796" s="4">
        <v>874.97</v>
      </c>
      <c r="J796" s="4">
        <v>8820.36</v>
      </c>
      <c r="K796" s="3">
        <v>32</v>
      </c>
      <c r="L796" s="2" t="s">
        <v>2536</v>
      </c>
      <c r="M796" s="2" t="s">
        <v>2526</v>
      </c>
    </row>
    <row r="797" spans="1:13" x14ac:dyDescent="0.3">
      <c r="A797" s="1">
        <v>45785</v>
      </c>
      <c r="B797" s="2" t="s">
        <v>2628</v>
      </c>
      <c r="C797" s="2" t="s">
        <v>2543</v>
      </c>
      <c r="D797" s="2" t="s">
        <v>2528</v>
      </c>
      <c r="E797" s="2" t="s">
        <v>2517</v>
      </c>
      <c r="F797" s="3">
        <v>150475</v>
      </c>
      <c r="G797" s="3">
        <v>6716</v>
      </c>
      <c r="H797" s="3">
        <v>759</v>
      </c>
      <c r="I797" s="4">
        <v>4173.28</v>
      </c>
      <c r="J797" s="4">
        <v>114798.74</v>
      </c>
      <c r="K797" s="3">
        <v>607</v>
      </c>
      <c r="L797" s="2" t="s">
        <v>2539</v>
      </c>
      <c r="M797" s="2" t="s">
        <v>2546</v>
      </c>
    </row>
    <row r="798" spans="1:13" x14ac:dyDescent="0.3">
      <c r="A798" s="1">
        <v>45770</v>
      </c>
      <c r="B798" s="2" t="s">
        <v>2622</v>
      </c>
      <c r="C798" s="2" t="s">
        <v>2541</v>
      </c>
      <c r="D798" s="2" t="s">
        <v>2525</v>
      </c>
      <c r="E798" s="2" t="s">
        <v>2529</v>
      </c>
      <c r="F798" s="3">
        <v>60947</v>
      </c>
      <c r="G798" s="3">
        <v>3338</v>
      </c>
      <c r="H798" s="3">
        <v>85</v>
      </c>
      <c r="I798" s="4">
        <v>6638.56</v>
      </c>
      <c r="J798" s="4">
        <v>17689.5</v>
      </c>
      <c r="K798" s="3">
        <v>51</v>
      </c>
      <c r="L798" s="2" t="s">
        <v>2523</v>
      </c>
      <c r="M798" s="2" t="s">
        <v>2524</v>
      </c>
    </row>
    <row r="799" spans="1:13" x14ac:dyDescent="0.3">
      <c r="A799" s="1">
        <v>45672</v>
      </c>
      <c r="B799" s="2" t="s">
        <v>2617</v>
      </c>
      <c r="C799" s="2" t="s">
        <v>2515</v>
      </c>
      <c r="D799" s="2" t="s">
        <v>2525</v>
      </c>
      <c r="E799" s="2" t="s">
        <v>2529</v>
      </c>
      <c r="F799" s="3">
        <v>110843</v>
      </c>
      <c r="G799" s="3">
        <v>7620</v>
      </c>
      <c r="H799" s="3">
        <v>962</v>
      </c>
      <c r="I799" s="4">
        <v>11595.39</v>
      </c>
      <c r="J799" s="4">
        <v>122173.73</v>
      </c>
      <c r="K799" s="3">
        <v>692</v>
      </c>
      <c r="L799" s="2" t="s">
        <v>2539</v>
      </c>
      <c r="M799" s="2" t="s">
        <v>2526</v>
      </c>
    </row>
    <row r="800" spans="1:13" x14ac:dyDescent="0.3">
      <c r="A800" s="1">
        <v>45851</v>
      </c>
      <c r="B800" s="2" t="s">
        <v>2627</v>
      </c>
      <c r="C800" s="2" t="s">
        <v>2527</v>
      </c>
      <c r="D800" s="2" t="s">
        <v>2531</v>
      </c>
      <c r="E800" s="2" t="s">
        <v>2517</v>
      </c>
      <c r="F800" s="3">
        <v>62894</v>
      </c>
      <c r="G800" s="3">
        <v>4378</v>
      </c>
      <c r="H800" s="3">
        <v>36</v>
      </c>
      <c r="I800" s="4">
        <v>7185.74</v>
      </c>
      <c r="J800" s="4">
        <v>3293.5</v>
      </c>
      <c r="K800" s="3">
        <v>19</v>
      </c>
      <c r="L800" s="2" t="s">
        <v>2536</v>
      </c>
      <c r="M800" s="2" t="s">
        <v>2546</v>
      </c>
    </row>
    <row r="801" spans="1:13" x14ac:dyDescent="0.3">
      <c r="A801" s="1">
        <v>45757</v>
      </c>
      <c r="B801" s="2" t="s">
        <v>2616</v>
      </c>
      <c r="C801" s="2" t="s">
        <v>2515</v>
      </c>
      <c r="D801" s="2" t="s">
        <v>2516</v>
      </c>
      <c r="E801" s="2" t="s">
        <v>2517</v>
      </c>
      <c r="F801" s="3">
        <v>160226</v>
      </c>
      <c r="G801" s="3">
        <v>9087</v>
      </c>
      <c r="H801" s="3">
        <v>475</v>
      </c>
      <c r="I801" s="4">
        <v>2377.0100000000002</v>
      </c>
      <c r="J801" s="4">
        <v>98767.83</v>
      </c>
      <c r="K801" s="3">
        <v>331</v>
      </c>
      <c r="L801" s="2" t="s">
        <v>2539</v>
      </c>
      <c r="M801" s="2" t="s">
        <v>2519</v>
      </c>
    </row>
    <row r="802" spans="1:13" x14ac:dyDescent="0.3">
      <c r="A802" s="1">
        <v>45765</v>
      </c>
      <c r="B802" s="2" t="s">
        <v>2616</v>
      </c>
      <c r="C802" s="2" t="s">
        <v>2527</v>
      </c>
      <c r="D802" s="2" t="s">
        <v>2528</v>
      </c>
      <c r="E802" s="2" t="s">
        <v>2529</v>
      </c>
      <c r="F802" s="3">
        <v>143313</v>
      </c>
      <c r="G802" s="3">
        <v>3134</v>
      </c>
      <c r="H802" s="3">
        <v>221</v>
      </c>
      <c r="I802" s="4">
        <v>5028.5200000000004</v>
      </c>
      <c r="J802" s="4">
        <v>7892</v>
      </c>
      <c r="K802" s="3">
        <v>188</v>
      </c>
      <c r="L802" s="2" t="s">
        <v>2523</v>
      </c>
      <c r="M802" s="2" t="s">
        <v>2526</v>
      </c>
    </row>
    <row r="803" spans="1:13" x14ac:dyDescent="0.3">
      <c r="A803" s="1">
        <v>45945</v>
      </c>
      <c r="B803" s="2" t="s">
        <v>2632</v>
      </c>
      <c r="C803" s="2" t="s">
        <v>2533</v>
      </c>
      <c r="D803" s="2" t="s">
        <v>2531</v>
      </c>
      <c r="E803" s="2" t="s">
        <v>2529</v>
      </c>
      <c r="F803" s="3">
        <v>142471</v>
      </c>
      <c r="G803" s="3">
        <v>10962</v>
      </c>
      <c r="H803" s="3">
        <v>1448</v>
      </c>
      <c r="I803" s="4">
        <v>5700.32</v>
      </c>
      <c r="J803" s="4">
        <v>278741.78999999998</v>
      </c>
      <c r="K803" s="3">
        <v>657</v>
      </c>
      <c r="L803" s="2" t="s">
        <v>2536</v>
      </c>
      <c r="M803" s="2" t="s">
        <v>2524</v>
      </c>
    </row>
    <row r="804" spans="1:13" x14ac:dyDescent="0.3">
      <c r="A804" s="1">
        <v>46012</v>
      </c>
      <c r="B804" s="2" t="s">
        <v>2622</v>
      </c>
      <c r="C804" s="2" t="s">
        <v>2527</v>
      </c>
      <c r="D804" s="2" t="s">
        <v>2528</v>
      </c>
      <c r="E804" s="2" t="s">
        <v>2529</v>
      </c>
      <c r="F804" s="3">
        <v>122646</v>
      </c>
      <c r="G804" s="3">
        <v>8307</v>
      </c>
      <c r="H804" s="3">
        <v>862</v>
      </c>
      <c r="I804" s="4">
        <v>8828.2099999999991</v>
      </c>
      <c r="J804" s="4">
        <v>117170.78</v>
      </c>
      <c r="K804" s="3">
        <v>681</v>
      </c>
      <c r="L804" s="2" t="s">
        <v>2539</v>
      </c>
      <c r="M804" s="2" t="s">
        <v>2546</v>
      </c>
    </row>
    <row r="805" spans="1:13" x14ac:dyDescent="0.3">
      <c r="A805" s="1">
        <v>46017</v>
      </c>
      <c r="B805" s="2" t="s">
        <v>2628</v>
      </c>
      <c r="C805" s="2" t="s">
        <v>2541</v>
      </c>
      <c r="D805" s="2" t="s">
        <v>2528</v>
      </c>
      <c r="E805" s="2" t="s">
        <v>2517</v>
      </c>
      <c r="F805" s="3">
        <v>63278</v>
      </c>
      <c r="G805" s="3">
        <v>5025</v>
      </c>
      <c r="H805" s="3">
        <v>332</v>
      </c>
      <c r="I805" s="4">
        <v>6610</v>
      </c>
      <c r="J805" s="4">
        <v>67554.97</v>
      </c>
      <c r="K805" s="3">
        <v>297</v>
      </c>
      <c r="L805" s="2" t="s">
        <v>2518</v>
      </c>
      <c r="M805" s="2" t="s">
        <v>2537</v>
      </c>
    </row>
    <row r="806" spans="1:13" x14ac:dyDescent="0.3">
      <c r="A806" s="1">
        <v>45748</v>
      </c>
      <c r="B806" s="2" t="s">
        <v>2616</v>
      </c>
      <c r="C806" s="2" t="s">
        <v>2541</v>
      </c>
      <c r="D806" s="2" t="s">
        <v>2528</v>
      </c>
      <c r="E806" s="2" t="s">
        <v>2529</v>
      </c>
      <c r="F806" s="3">
        <v>174044</v>
      </c>
      <c r="G806" s="3">
        <v>14856</v>
      </c>
      <c r="H806" s="3">
        <v>405</v>
      </c>
      <c r="I806" s="4">
        <v>7078.96</v>
      </c>
      <c r="J806" s="4">
        <v>70701.649999999994</v>
      </c>
      <c r="K806" s="3">
        <v>319</v>
      </c>
      <c r="L806" s="2" t="s">
        <v>2523</v>
      </c>
      <c r="M806" s="2" t="s">
        <v>2537</v>
      </c>
    </row>
    <row r="807" spans="1:13" x14ac:dyDescent="0.3">
      <c r="A807" s="1">
        <v>45941</v>
      </c>
      <c r="B807" s="2" t="s">
        <v>2640</v>
      </c>
      <c r="C807" s="2" t="s">
        <v>2533</v>
      </c>
      <c r="D807" s="2" t="s">
        <v>2516</v>
      </c>
      <c r="E807" s="2" t="s">
        <v>2517</v>
      </c>
      <c r="F807" s="3">
        <v>59959</v>
      </c>
      <c r="G807" s="3">
        <v>931</v>
      </c>
      <c r="H807" s="3">
        <v>127</v>
      </c>
      <c r="I807" s="4">
        <v>262.22000000000003</v>
      </c>
      <c r="J807" s="4">
        <v>26172.18</v>
      </c>
      <c r="K807" s="3">
        <v>88</v>
      </c>
      <c r="L807" s="2" t="s">
        <v>2523</v>
      </c>
      <c r="M807" s="2" t="s">
        <v>2546</v>
      </c>
    </row>
    <row r="808" spans="1:13" x14ac:dyDescent="0.3">
      <c r="A808" s="1">
        <v>45934</v>
      </c>
      <c r="B808" s="2" t="s">
        <v>2630</v>
      </c>
      <c r="C808" s="2" t="s">
        <v>2541</v>
      </c>
      <c r="D808" s="2" t="s">
        <v>2525</v>
      </c>
      <c r="E808" s="2" t="s">
        <v>2529</v>
      </c>
      <c r="F808" s="3">
        <v>60952</v>
      </c>
      <c r="G808" s="3">
        <v>3572</v>
      </c>
      <c r="H808" s="3">
        <v>412</v>
      </c>
      <c r="I808" s="4">
        <v>1488.23</v>
      </c>
      <c r="J808" s="4">
        <v>78504.13</v>
      </c>
      <c r="K808" s="3">
        <v>370</v>
      </c>
      <c r="L808" s="2" t="s">
        <v>2539</v>
      </c>
      <c r="M808" s="2" t="s">
        <v>2519</v>
      </c>
    </row>
    <row r="809" spans="1:13" x14ac:dyDescent="0.3">
      <c r="A809" s="1">
        <v>45938</v>
      </c>
      <c r="B809" s="2" t="s">
        <v>2620</v>
      </c>
      <c r="C809" s="2" t="s">
        <v>2515</v>
      </c>
      <c r="D809" s="2" t="s">
        <v>2528</v>
      </c>
      <c r="E809" s="2" t="s">
        <v>2529</v>
      </c>
      <c r="F809" s="3">
        <v>34957</v>
      </c>
      <c r="G809" s="3">
        <v>399</v>
      </c>
      <c r="H809" s="3">
        <v>39</v>
      </c>
      <c r="I809" s="4">
        <v>238.01</v>
      </c>
      <c r="J809" s="4">
        <v>7306.67</v>
      </c>
      <c r="K809" s="3">
        <v>28</v>
      </c>
      <c r="L809" s="2" t="s">
        <v>2523</v>
      </c>
      <c r="M809" s="2" t="s">
        <v>2537</v>
      </c>
    </row>
    <row r="810" spans="1:13" x14ac:dyDescent="0.3">
      <c r="A810" s="1">
        <v>45719</v>
      </c>
      <c r="B810" s="2" t="s">
        <v>2644</v>
      </c>
      <c r="C810" s="2" t="s">
        <v>2541</v>
      </c>
      <c r="D810" s="2" t="s">
        <v>2528</v>
      </c>
      <c r="E810" s="2" t="s">
        <v>2529</v>
      </c>
      <c r="F810" s="3">
        <v>81329</v>
      </c>
      <c r="G810" s="3">
        <v>3572</v>
      </c>
      <c r="H810" s="3">
        <v>228</v>
      </c>
      <c r="I810" s="4">
        <v>5803.43</v>
      </c>
      <c r="J810" s="4">
        <v>12192.68</v>
      </c>
      <c r="K810" s="3">
        <v>164</v>
      </c>
      <c r="L810" s="2" t="s">
        <v>2536</v>
      </c>
      <c r="M810" s="2" t="s">
        <v>2524</v>
      </c>
    </row>
    <row r="811" spans="1:13" x14ac:dyDescent="0.3">
      <c r="A811" s="1">
        <v>45741</v>
      </c>
      <c r="B811" s="2" t="s">
        <v>2628</v>
      </c>
      <c r="C811" s="2" t="s">
        <v>2527</v>
      </c>
      <c r="D811" s="2" t="s">
        <v>2528</v>
      </c>
      <c r="E811" s="2" t="s">
        <v>2529</v>
      </c>
      <c r="F811" s="3">
        <v>34362</v>
      </c>
      <c r="G811" s="3">
        <v>213</v>
      </c>
      <c r="H811" s="3">
        <v>16</v>
      </c>
      <c r="I811" s="4">
        <v>60.36</v>
      </c>
      <c r="J811" s="4">
        <v>2183.71</v>
      </c>
      <c r="K811" s="3">
        <v>13</v>
      </c>
      <c r="L811" s="2" t="s">
        <v>2539</v>
      </c>
      <c r="M811" s="2" t="s">
        <v>2519</v>
      </c>
    </row>
    <row r="812" spans="1:13" x14ac:dyDescent="0.3">
      <c r="A812" s="1">
        <v>45942</v>
      </c>
      <c r="B812" s="2" t="s">
        <v>2641</v>
      </c>
      <c r="C812" s="2" t="s">
        <v>2521</v>
      </c>
      <c r="D812" s="2" t="s">
        <v>2516</v>
      </c>
      <c r="E812" s="2" t="s">
        <v>2529</v>
      </c>
      <c r="F812" s="3">
        <v>114352</v>
      </c>
      <c r="G812" s="3">
        <v>3496</v>
      </c>
      <c r="H812" s="3">
        <v>404</v>
      </c>
      <c r="I812" s="4">
        <v>4254.88</v>
      </c>
      <c r="J812" s="4">
        <v>24303.26</v>
      </c>
      <c r="K812" s="3">
        <v>311</v>
      </c>
      <c r="L812" s="2" t="s">
        <v>2518</v>
      </c>
      <c r="M812" s="2" t="s">
        <v>2537</v>
      </c>
    </row>
    <row r="813" spans="1:13" x14ac:dyDescent="0.3">
      <c r="A813" s="1">
        <v>45966</v>
      </c>
      <c r="B813" s="2" t="s">
        <v>2626</v>
      </c>
      <c r="C813" s="2" t="s">
        <v>2521</v>
      </c>
      <c r="D813" s="2" t="s">
        <v>2525</v>
      </c>
      <c r="E813" s="2" t="s">
        <v>2517</v>
      </c>
      <c r="F813" s="3">
        <v>10378</v>
      </c>
      <c r="G813" s="3">
        <v>865</v>
      </c>
      <c r="H813" s="3">
        <v>59</v>
      </c>
      <c r="I813" s="4">
        <v>1378.02</v>
      </c>
      <c r="J813" s="4">
        <v>1778.6</v>
      </c>
      <c r="K813" s="3">
        <v>44</v>
      </c>
      <c r="L813" s="2" t="s">
        <v>2536</v>
      </c>
      <c r="M813" s="2" t="s">
        <v>2526</v>
      </c>
    </row>
    <row r="814" spans="1:13" x14ac:dyDescent="0.3">
      <c r="A814" s="1">
        <v>45820</v>
      </c>
      <c r="B814" s="2" t="s">
        <v>2625</v>
      </c>
      <c r="C814" s="2" t="s">
        <v>2521</v>
      </c>
      <c r="D814" s="2" t="s">
        <v>2522</v>
      </c>
      <c r="E814" s="2" t="s">
        <v>2517</v>
      </c>
      <c r="F814" s="3">
        <v>116481</v>
      </c>
      <c r="G814" s="3">
        <v>9251</v>
      </c>
      <c r="H814" s="3">
        <v>1043</v>
      </c>
      <c r="I814" s="4">
        <v>7793.73</v>
      </c>
      <c r="J814" s="4">
        <v>46258.8</v>
      </c>
      <c r="K814" s="3">
        <v>854</v>
      </c>
      <c r="L814" s="2" t="s">
        <v>2523</v>
      </c>
      <c r="M814" s="2" t="s">
        <v>2537</v>
      </c>
    </row>
    <row r="815" spans="1:13" x14ac:dyDescent="0.3">
      <c r="A815" s="1">
        <v>45894</v>
      </c>
      <c r="B815" s="2" t="s">
        <v>2641</v>
      </c>
      <c r="C815" s="2" t="s">
        <v>2533</v>
      </c>
      <c r="D815" s="2" t="s">
        <v>2531</v>
      </c>
      <c r="E815" s="2" t="s">
        <v>2517</v>
      </c>
      <c r="F815" s="3">
        <v>149412</v>
      </c>
      <c r="G815" s="3">
        <v>8711</v>
      </c>
      <c r="H815" s="3">
        <v>724</v>
      </c>
      <c r="I815" s="4">
        <v>7475.95</v>
      </c>
      <c r="J815" s="4">
        <v>91341.68</v>
      </c>
      <c r="K815" s="3">
        <v>612</v>
      </c>
      <c r="L815" s="2" t="s">
        <v>2518</v>
      </c>
      <c r="M815" s="2" t="s">
        <v>2537</v>
      </c>
    </row>
    <row r="816" spans="1:13" x14ac:dyDescent="0.3">
      <c r="A816" s="1">
        <v>45726</v>
      </c>
      <c r="B816" s="2" t="s">
        <v>2615</v>
      </c>
      <c r="C816" s="2" t="s">
        <v>2533</v>
      </c>
      <c r="D816" s="2" t="s">
        <v>2516</v>
      </c>
      <c r="E816" s="2" t="s">
        <v>2534</v>
      </c>
      <c r="F816" s="3">
        <v>106161</v>
      </c>
      <c r="G816" s="3">
        <v>3887</v>
      </c>
      <c r="H816" s="3">
        <v>154</v>
      </c>
      <c r="I816" s="4">
        <v>5573.03</v>
      </c>
      <c r="J816" s="4">
        <v>23791.43</v>
      </c>
      <c r="K816" s="3">
        <v>81</v>
      </c>
      <c r="L816" s="2" t="s">
        <v>2539</v>
      </c>
      <c r="M816" s="2" t="s">
        <v>2546</v>
      </c>
    </row>
    <row r="817" spans="1:13" x14ac:dyDescent="0.3">
      <c r="A817" s="1">
        <v>45885</v>
      </c>
      <c r="B817" s="2" t="s">
        <v>2633</v>
      </c>
      <c r="C817" s="2" t="s">
        <v>2541</v>
      </c>
      <c r="D817" s="2" t="s">
        <v>2528</v>
      </c>
      <c r="E817" s="2" t="s">
        <v>2517</v>
      </c>
      <c r="F817" s="3">
        <v>169442</v>
      </c>
      <c r="G817" s="3">
        <v>12259</v>
      </c>
      <c r="H817" s="3">
        <v>183</v>
      </c>
      <c r="I817" s="4">
        <v>11671.66</v>
      </c>
      <c r="J817" s="4">
        <v>26088.82</v>
      </c>
      <c r="K817" s="3">
        <v>157</v>
      </c>
      <c r="L817" s="2" t="s">
        <v>2536</v>
      </c>
      <c r="M817" s="2" t="s">
        <v>2524</v>
      </c>
    </row>
    <row r="818" spans="1:13" x14ac:dyDescent="0.3">
      <c r="A818" s="1">
        <v>45983</v>
      </c>
      <c r="B818" s="2" t="s">
        <v>2626</v>
      </c>
      <c r="C818" s="2" t="s">
        <v>2515</v>
      </c>
      <c r="D818" s="2" t="s">
        <v>2528</v>
      </c>
      <c r="E818" s="2" t="s">
        <v>2529</v>
      </c>
      <c r="F818" s="3">
        <v>129396</v>
      </c>
      <c r="G818" s="3">
        <v>2635</v>
      </c>
      <c r="H818" s="3">
        <v>360</v>
      </c>
      <c r="I818" s="4">
        <v>4937.34</v>
      </c>
      <c r="J818" s="4">
        <v>67845.22</v>
      </c>
      <c r="K818" s="3">
        <v>221</v>
      </c>
      <c r="L818" s="2" t="s">
        <v>2523</v>
      </c>
      <c r="M818" s="2" t="s">
        <v>2526</v>
      </c>
    </row>
    <row r="819" spans="1:13" x14ac:dyDescent="0.3">
      <c r="A819" s="1">
        <v>45720</v>
      </c>
      <c r="B819" s="2" t="s">
        <v>2623</v>
      </c>
      <c r="C819" s="2" t="s">
        <v>2515</v>
      </c>
      <c r="D819" s="2" t="s">
        <v>2528</v>
      </c>
      <c r="E819" s="2" t="s">
        <v>2529</v>
      </c>
      <c r="F819" s="3">
        <v>77325</v>
      </c>
      <c r="G819" s="3">
        <v>6145</v>
      </c>
      <c r="H819" s="3">
        <v>61</v>
      </c>
      <c r="I819" s="4">
        <v>8498.1299999999992</v>
      </c>
      <c r="J819" s="4">
        <v>12125.94</v>
      </c>
      <c r="K819" s="3">
        <v>34</v>
      </c>
      <c r="L819" s="2" t="s">
        <v>2523</v>
      </c>
      <c r="M819" s="2" t="s">
        <v>2519</v>
      </c>
    </row>
    <row r="820" spans="1:13" x14ac:dyDescent="0.3">
      <c r="A820" s="1">
        <v>45769</v>
      </c>
      <c r="B820" s="2" t="s">
        <v>2644</v>
      </c>
      <c r="C820" s="2" t="s">
        <v>2533</v>
      </c>
      <c r="D820" s="2" t="s">
        <v>2528</v>
      </c>
      <c r="E820" s="2" t="s">
        <v>2517</v>
      </c>
      <c r="F820" s="3">
        <v>108296</v>
      </c>
      <c r="G820" s="3">
        <v>3870</v>
      </c>
      <c r="H820" s="3">
        <v>198</v>
      </c>
      <c r="I820" s="4">
        <v>708.28</v>
      </c>
      <c r="J820" s="4">
        <v>38705.94</v>
      </c>
      <c r="K820" s="3">
        <v>167</v>
      </c>
      <c r="L820" s="2" t="s">
        <v>2518</v>
      </c>
      <c r="M820" s="2" t="s">
        <v>2519</v>
      </c>
    </row>
    <row r="821" spans="1:13" x14ac:dyDescent="0.3">
      <c r="A821" s="1">
        <v>45881</v>
      </c>
      <c r="B821" s="2" t="s">
        <v>2629</v>
      </c>
      <c r="C821" s="2" t="s">
        <v>2515</v>
      </c>
      <c r="D821" s="2" t="s">
        <v>2528</v>
      </c>
      <c r="E821" s="2" t="s">
        <v>2534</v>
      </c>
      <c r="F821" s="3">
        <v>92190</v>
      </c>
      <c r="G821" s="3">
        <v>3343</v>
      </c>
      <c r="H821" s="3">
        <v>101</v>
      </c>
      <c r="I821" s="4">
        <v>6911.16</v>
      </c>
      <c r="J821" s="4">
        <v>18808.75</v>
      </c>
      <c r="K821" s="3">
        <v>76</v>
      </c>
      <c r="L821" s="2" t="s">
        <v>2539</v>
      </c>
      <c r="M821" s="2" t="s">
        <v>2526</v>
      </c>
    </row>
    <row r="822" spans="1:13" x14ac:dyDescent="0.3">
      <c r="A822" s="1">
        <v>45960</v>
      </c>
      <c r="B822" s="2" t="s">
        <v>2626</v>
      </c>
      <c r="C822" s="2" t="s">
        <v>2521</v>
      </c>
      <c r="D822" s="2" t="s">
        <v>2528</v>
      </c>
      <c r="E822" s="2" t="s">
        <v>2529</v>
      </c>
      <c r="F822" s="3">
        <v>145614</v>
      </c>
      <c r="G822" s="3">
        <v>11489</v>
      </c>
      <c r="H822" s="3">
        <v>673</v>
      </c>
      <c r="I822" s="4">
        <v>18880.11</v>
      </c>
      <c r="J822" s="4">
        <v>76757.77</v>
      </c>
      <c r="K822" s="3">
        <v>354</v>
      </c>
      <c r="L822" s="2" t="s">
        <v>2518</v>
      </c>
      <c r="M822" s="2" t="s">
        <v>2526</v>
      </c>
    </row>
    <row r="823" spans="1:13" x14ac:dyDescent="0.3">
      <c r="A823" s="1">
        <v>45685</v>
      </c>
      <c r="B823" s="2" t="s">
        <v>2640</v>
      </c>
      <c r="C823" s="2" t="s">
        <v>2521</v>
      </c>
      <c r="D823" s="2" t="s">
        <v>2528</v>
      </c>
      <c r="E823" s="2" t="s">
        <v>2517</v>
      </c>
      <c r="F823" s="3">
        <v>109628</v>
      </c>
      <c r="G823" s="3">
        <v>5201</v>
      </c>
      <c r="H823" s="3">
        <v>666</v>
      </c>
      <c r="I823" s="4">
        <v>7105.83</v>
      </c>
      <c r="J823" s="4">
        <v>14306.76</v>
      </c>
      <c r="K823" s="3">
        <v>594</v>
      </c>
      <c r="L823" s="2" t="s">
        <v>2536</v>
      </c>
      <c r="M823" s="2" t="s">
        <v>2537</v>
      </c>
    </row>
    <row r="824" spans="1:13" x14ac:dyDescent="0.3">
      <c r="A824" s="1">
        <v>45777</v>
      </c>
      <c r="B824" s="2" t="s">
        <v>2636</v>
      </c>
      <c r="C824" s="2" t="s">
        <v>2533</v>
      </c>
      <c r="D824" s="2" t="s">
        <v>2525</v>
      </c>
      <c r="E824" s="2" t="s">
        <v>2517</v>
      </c>
      <c r="F824" s="3">
        <v>158005</v>
      </c>
      <c r="G824" s="3">
        <v>10564</v>
      </c>
      <c r="H824" s="3">
        <v>875</v>
      </c>
      <c r="I824" s="4">
        <v>20563.59</v>
      </c>
      <c r="J824" s="4">
        <v>136576.22</v>
      </c>
      <c r="K824" s="3">
        <v>596</v>
      </c>
      <c r="L824" s="2" t="s">
        <v>2523</v>
      </c>
      <c r="M824" s="2" t="s">
        <v>2526</v>
      </c>
    </row>
    <row r="825" spans="1:13" x14ac:dyDescent="0.3">
      <c r="A825" s="1">
        <v>45805</v>
      </c>
      <c r="B825" s="2" t="s">
        <v>2624</v>
      </c>
      <c r="C825" s="2" t="s">
        <v>2527</v>
      </c>
      <c r="D825" s="2" t="s">
        <v>2528</v>
      </c>
      <c r="E825" s="2" t="s">
        <v>2517</v>
      </c>
      <c r="F825" s="3">
        <v>126790</v>
      </c>
      <c r="G825" s="3">
        <v>5145</v>
      </c>
      <c r="H825" s="3">
        <v>349</v>
      </c>
      <c r="I825" s="4">
        <v>5111.76</v>
      </c>
      <c r="J825" s="4">
        <v>19216.990000000002</v>
      </c>
      <c r="K825" s="3">
        <v>167</v>
      </c>
      <c r="L825" s="2" t="s">
        <v>2536</v>
      </c>
      <c r="M825" s="2" t="s">
        <v>2524</v>
      </c>
    </row>
    <row r="826" spans="1:13" x14ac:dyDescent="0.3">
      <c r="A826" s="1">
        <v>45711</v>
      </c>
      <c r="B826" s="2" t="s">
        <v>2627</v>
      </c>
      <c r="C826" s="2" t="s">
        <v>2515</v>
      </c>
      <c r="D826" s="2" t="s">
        <v>2516</v>
      </c>
      <c r="E826" s="2" t="s">
        <v>2529</v>
      </c>
      <c r="F826" s="3">
        <v>26134</v>
      </c>
      <c r="G826" s="3">
        <v>1126</v>
      </c>
      <c r="H826" s="3">
        <v>35</v>
      </c>
      <c r="I826" s="4">
        <v>1107.51</v>
      </c>
      <c r="J826" s="4">
        <v>819.26</v>
      </c>
      <c r="K826" s="3">
        <v>29</v>
      </c>
      <c r="L826" s="2" t="s">
        <v>2518</v>
      </c>
      <c r="M826" s="2" t="s">
        <v>2546</v>
      </c>
    </row>
    <row r="827" spans="1:13" x14ac:dyDescent="0.3">
      <c r="A827" s="1">
        <v>45771</v>
      </c>
      <c r="B827" s="2" t="s">
        <v>2634</v>
      </c>
      <c r="C827" s="2" t="s">
        <v>2527</v>
      </c>
      <c r="D827" s="2" t="s">
        <v>2528</v>
      </c>
      <c r="E827" s="2" t="s">
        <v>2529</v>
      </c>
      <c r="F827" s="3">
        <v>23511</v>
      </c>
      <c r="G827" s="3">
        <v>1184</v>
      </c>
      <c r="H827" s="3">
        <v>148</v>
      </c>
      <c r="I827" s="4">
        <v>2090.86</v>
      </c>
      <c r="J827" s="4">
        <v>11158.78</v>
      </c>
      <c r="K827" s="3">
        <v>131</v>
      </c>
      <c r="L827" s="2" t="s">
        <v>2518</v>
      </c>
      <c r="M827" s="2" t="s">
        <v>2526</v>
      </c>
    </row>
    <row r="828" spans="1:13" x14ac:dyDescent="0.3">
      <c r="A828" s="1">
        <v>45899</v>
      </c>
      <c r="B828" s="2" t="s">
        <v>2624</v>
      </c>
      <c r="C828" s="2" t="s">
        <v>2521</v>
      </c>
      <c r="D828" s="2" t="s">
        <v>2516</v>
      </c>
      <c r="E828" s="2" t="s">
        <v>2517</v>
      </c>
      <c r="F828" s="3">
        <v>30910</v>
      </c>
      <c r="G828" s="3">
        <v>1883</v>
      </c>
      <c r="H828" s="3">
        <v>138</v>
      </c>
      <c r="I828" s="4">
        <v>2608.61</v>
      </c>
      <c r="J828" s="4">
        <v>28008.3</v>
      </c>
      <c r="K828" s="3">
        <v>81</v>
      </c>
      <c r="L828" s="2" t="s">
        <v>2539</v>
      </c>
      <c r="M828" s="2" t="s">
        <v>2526</v>
      </c>
    </row>
    <row r="829" spans="1:13" x14ac:dyDescent="0.3">
      <c r="A829" s="1">
        <v>45816</v>
      </c>
      <c r="B829" s="2" t="s">
        <v>2634</v>
      </c>
      <c r="C829" s="2" t="s">
        <v>2521</v>
      </c>
      <c r="D829" s="2" t="s">
        <v>2525</v>
      </c>
      <c r="E829" s="2" t="s">
        <v>2529</v>
      </c>
      <c r="F829" s="3">
        <v>149544</v>
      </c>
      <c r="G829" s="3">
        <v>10208</v>
      </c>
      <c r="H829" s="3">
        <v>1016</v>
      </c>
      <c r="I829" s="4">
        <v>13261.09</v>
      </c>
      <c r="J829" s="4">
        <v>51645.3</v>
      </c>
      <c r="K829" s="3">
        <v>486</v>
      </c>
      <c r="L829" s="2" t="s">
        <v>2518</v>
      </c>
      <c r="M829" s="2" t="s">
        <v>2537</v>
      </c>
    </row>
    <row r="830" spans="1:13" x14ac:dyDescent="0.3">
      <c r="A830" s="1">
        <v>45927</v>
      </c>
      <c r="B830" s="2" t="s">
        <v>2629</v>
      </c>
      <c r="C830" s="2" t="s">
        <v>2543</v>
      </c>
      <c r="D830" s="2" t="s">
        <v>2522</v>
      </c>
      <c r="E830" s="2" t="s">
        <v>2529</v>
      </c>
      <c r="F830" s="3">
        <v>14381</v>
      </c>
      <c r="G830" s="3">
        <v>927</v>
      </c>
      <c r="H830" s="3">
        <v>91</v>
      </c>
      <c r="I830" s="4">
        <v>1659.73</v>
      </c>
      <c r="J830" s="4">
        <v>13029.68</v>
      </c>
      <c r="K830" s="3">
        <v>48</v>
      </c>
      <c r="L830" s="2" t="s">
        <v>2518</v>
      </c>
      <c r="M830" s="2" t="s">
        <v>2546</v>
      </c>
    </row>
    <row r="831" spans="1:13" x14ac:dyDescent="0.3">
      <c r="A831" s="1">
        <v>45735</v>
      </c>
      <c r="B831" s="2" t="s">
        <v>2625</v>
      </c>
      <c r="C831" s="2" t="s">
        <v>2543</v>
      </c>
      <c r="D831" s="2" t="s">
        <v>2528</v>
      </c>
      <c r="E831" s="2" t="s">
        <v>2517</v>
      </c>
      <c r="F831" s="3">
        <v>111545</v>
      </c>
      <c r="G831" s="3">
        <v>8352</v>
      </c>
      <c r="H831" s="3">
        <v>1004</v>
      </c>
      <c r="I831" s="4">
        <v>4492.0200000000004</v>
      </c>
      <c r="J831" s="4">
        <v>71953.429999999993</v>
      </c>
      <c r="K831" s="3">
        <v>566</v>
      </c>
      <c r="L831" s="2" t="s">
        <v>2518</v>
      </c>
      <c r="M831" s="2" t="s">
        <v>2526</v>
      </c>
    </row>
    <row r="832" spans="1:13" x14ac:dyDescent="0.3">
      <c r="A832" s="1">
        <v>45807</v>
      </c>
      <c r="B832" s="2" t="s">
        <v>2630</v>
      </c>
      <c r="C832" s="2" t="s">
        <v>2515</v>
      </c>
      <c r="D832" s="2" t="s">
        <v>2531</v>
      </c>
      <c r="E832" s="2" t="s">
        <v>2517</v>
      </c>
      <c r="F832" s="3">
        <v>119496</v>
      </c>
      <c r="G832" s="3">
        <v>1559</v>
      </c>
      <c r="H832" s="3">
        <v>62</v>
      </c>
      <c r="I832" s="4">
        <v>506.81</v>
      </c>
      <c r="J832" s="4">
        <v>1201.55</v>
      </c>
      <c r="K832" s="3">
        <v>47</v>
      </c>
      <c r="L832" s="2" t="s">
        <v>2523</v>
      </c>
      <c r="M832" s="2" t="s">
        <v>2537</v>
      </c>
    </row>
    <row r="833" spans="1:13" x14ac:dyDescent="0.3">
      <c r="A833" s="1">
        <v>45756</v>
      </c>
      <c r="B833" s="2" t="s">
        <v>2638</v>
      </c>
      <c r="C833" s="2" t="s">
        <v>2515</v>
      </c>
      <c r="D833" s="2" t="s">
        <v>2531</v>
      </c>
      <c r="E833" s="2" t="s">
        <v>2517</v>
      </c>
      <c r="F833" s="3">
        <v>118451</v>
      </c>
      <c r="G833" s="3">
        <v>5581</v>
      </c>
      <c r="H833" s="3">
        <v>768</v>
      </c>
      <c r="I833" s="4">
        <v>822.81</v>
      </c>
      <c r="J833" s="4">
        <v>23073.84</v>
      </c>
      <c r="K833" s="3">
        <v>669</v>
      </c>
      <c r="L833" s="2" t="s">
        <v>2523</v>
      </c>
      <c r="M833" s="2" t="s">
        <v>2524</v>
      </c>
    </row>
    <row r="834" spans="1:13" x14ac:dyDescent="0.3">
      <c r="A834" s="1">
        <v>46015</v>
      </c>
      <c r="B834" s="2" t="s">
        <v>2624</v>
      </c>
      <c r="C834" s="2" t="s">
        <v>2515</v>
      </c>
      <c r="D834" s="2" t="s">
        <v>2531</v>
      </c>
      <c r="E834" s="2" t="s">
        <v>2529</v>
      </c>
      <c r="F834" s="3">
        <v>90953</v>
      </c>
      <c r="G834" s="3">
        <v>5395</v>
      </c>
      <c r="H834" s="3">
        <v>715</v>
      </c>
      <c r="I834" s="4">
        <v>11158.91</v>
      </c>
      <c r="J834" s="4">
        <v>37462.21</v>
      </c>
      <c r="K834" s="3">
        <v>639</v>
      </c>
      <c r="L834" s="2" t="s">
        <v>2536</v>
      </c>
      <c r="M834" s="2" t="s">
        <v>2526</v>
      </c>
    </row>
    <row r="835" spans="1:13" x14ac:dyDescent="0.3">
      <c r="A835" s="1">
        <v>45777</v>
      </c>
      <c r="B835" s="2" t="s">
        <v>2619</v>
      </c>
      <c r="C835" s="2" t="s">
        <v>2515</v>
      </c>
      <c r="D835" s="2" t="s">
        <v>2531</v>
      </c>
      <c r="E835" s="2" t="s">
        <v>2517</v>
      </c>
      <c r="F835" s="3">
        <v>136154</v>
      </c>
      <c r="G835" s="3">
        <v>11781</v>
      </c>
      <c r="H835" s="3">
        <v>1109</v>
      </c>
      <c r="I835" s="4">
        <v>13673.61</v>
      </c>
      <c r="J835" s="4">
        <v>227706.76</v>
      </c>
      <c r="K835" s="3">
        <v>554</v>
      </c>
      <c r="L835" s="2" t="s">
        <v>2539</v>
      </c>
      <c r="M835" s="2" t="s">
        <v>2526</v>
      </c>
    </row>
    <row r="836" spans="1:13" x14ac:dyDescent="0.3">
      <c r="A836" s="1">
        <v>46005</v>
      </c>
      <c r="B836" s="2" t="s">
        <v>2632</v>
      </c>
      <c r="C836" s="2" t="s">
        <v>2515</v>
      </c>
      <c r="D836" s="2" t="s">
        <v>2528</v>
      </c>
      <c r="E836" s="2" t="s">
        <v>2517</v>
      </c>
      <c r="F836" s="3">
        <v>36173</v>
      </c>
      <c r="G836" s="3">
        <v>2830</v>
      </c>
      <c r="H836" s="3">
        <v>67</v>
      </c>
      <c r="I836" s="4">
        <v>2190.9299999999998</v>
      </c>
      <c r="J836" s="4">
        <v>13302.99</v>
      </c>
      <c r="K836" s="3">
        <v>45</v>
      </c>
      <c r="L836" s="2" t="s">
        <v>2536</v>
      </c>
      <c r="M836" s="2" t="s">
        <v>2537</v>
      </c>
    </row>
    <row r="837" spans="1:13" x14ac:dyDescent="0.3">
      <c r="A837" s="1">
        <v>45893</v>
      </c>
      <c r="B837" s="2" t="s">
        <v>2617</v>
      </c>
      <c r="C837" s="2" t="s">
        <v>2521</v>
      </c>
      <c r="D837" s="2" t="s">
        <v>2522</v>
      </c>
      <c r="E837" s="2" t="s">
        <v>2529</v>
      </c>
      <c r="F837" s="3">
        <v>11146</v>
      </c>
      <c r="G837" s="3">
        <v>296</v>
      </c>
      <c r="H837" s="3">
        <v>35</v>
      </c>
      <c r="I837" s="4">
        <v>276.81</v>
      </c>
      <c r="J837" s="4">
        <v>1864.13</v>
      </c>
      <c r="K837" s="3">
        <v>24</v>
      </c>
      <c r="L837" s="2" t="s">
        <v>2518</v>
      </c>
      <c r="M837" s="2" t="s">
        <v>2537</v>
      </c>
    </row>
    <row r="838" spans="1:13" x14ac:dyDescent="0.3">
      <c r="A838" s="1">
        <v>45798</v>
      </c>
      <c r="B838" s="2" t="s">
        <v>2617</v>
      </c>
      <c r="C838" s="2" t="s">
        <v>2543</v>
      </c>
      <c r="D838" s="2" t="s">
        <v>2531</v>
      </c>
      <c r="E838" s="2" t="s">
        <v>2517</v>
      </c>
      <c r="F838" s="3">
        <v>66119</v>
      </c>
      <c r="G838" s="3">
        <v>3177</v>
      </c>
      <c r="H838" s="3">
        <v>153</v>
      </c>
      <c r="I838" s="4">
        <v>897.84</v>
      </c>
      <c r="J838" s="4">
        <v>14228.85</v>
      </c>
      <c r="K838" s="3">
        <v>117</v>
      </c>
      <c r="L838" s="2" t="s">
        <v>2518</v>
      </c>
      <c r="M838" s="2" t="s">
        <v>2546</v>
      </c>
    </row>
    <row r="839" spans="1:13" x14ac:dyDescent="0.3">
      <c r="A839" s="1">
        <v>45950</v>
      </c>
      <c r="B839" s="2" t="s">
        <v>2615</v>
      </c>
      <c r="C839" s="2" t="s">
        <v>2533</v>
      </c>
      <c r="D839" s="2" t="s">
        <v>2516</v>
      </c>
      <c r="E839" s="2" t="s">
        <v>2517</v>
      </c>
      <c r="F839" s="3">
        <v>1675</v>
      </c>
      <c r="G839" s="3">
        <v>59</v>
      </c>
      <c r="H839" s="3">
        <v>3</v>
      </c>
      <c r="I839" s="4">
        <v>17.07</v>
      </c>
      <c r="J839" s="4">
        <v>592.82000000000005</v>
      </c>
      <c r="K839" s="3">
        <v>2</v>
      </c>
      <c r="L839" s="2" t="s">
        <v>2523</v>
      </c>
      <c r="M839" s="2" t="s">
        <v>2645</v>
      </c>
    </row>
    <row r="840" spans="1:13" x14ac:dyDescent="0.3">
      <c r="A840" s="1">
        <v>45818</v>
      </c>
      <c r="B840" s="2" t="s">
        <v>2617</v>
      </c>
      <c r="C840" s="2" t="s">
        <v>2527</v>
      </c>
      <c r="D840" s="2" t="s">
        <v>2531</v>
      </c>
      <c r="E840" s="2" t="s">
        <v>2517</v>
      </c>
      <c r="F840" s="3">
        <v>77309</v>
      </c>
      <c r="G840" s="3">
        <v>3137</v>
      </c>
      <c r="H840" s="3">
        <v>244</v>
      </c>
      <c r="I840" s="4">
        <v>5708.27</v>
      </c>
      <c r="J840" s="4">
        <v>8405.91</v>
      </c>
      <c r="K840" s="3">
        <v>138</v>
      </c>
      <c r="L840" s="2" t="s">
        <v>2523</v>
      </c>
      <c r="M840" s="2" t="s">
        <v>2519</v>
      </c>
    </row>
    <row r="841" spans="1:13" x14ac:dyDescent="0.3">
      <c r="A841" s="1">
        <v>45722</v>
      </c>
      <c r="B841" s="2" t="s">
        <v>2629</v>
      </c>
      <c r="C841" s="2" t="s">
        <v>2543</v>
      </c>
      <c r="D841" s="2" t="s">
        <v>2528</v>
      </c>
      <c r="E841" s="2" t="s">
        <v>2529</v>
      </c>
      <c r="F841" s="3">
        <v>88180</v>
      </c>
      <c r="G841" s="3">
        <v>6410</v>
      </c>
      <c r="H841" s="3">
        <v>757</v>
      </c>
      <c r="I841" s="4">
        <v>6071.06</v>
      </c>
      <c r="J841" s="4">
        <v>97118.14</v>
      </c>
      <c r="K841" s="3">
        <v>610</v>
      </c>
      <c r="L841" s="2" t="s">
        <v>2536</v>
      </c>
      <c r="M841" s="2" t="s">
        <v>2524</v>
      </c>
    </row>
    <row r="842" spans="1:13" x14ac:dyDescent="0.3">
      <c r="A842" s="1">
        <v>45900</v>
      </c>
      <c r="B842" s="2" t="s">
        <v>2632</v>
      </c>
      <c r="C842" s="2" t="s">
        <v>2541</v>
      </c>
      <c r="D842" s="2" t="s">
        <v>2522</v>
      </c>
      <c r="E842" s="2" t="s">
        <v>2529</v>
      </c>
      <c r="F842" s="3">
        <v>37982</v>
      </c>
      <c r="G842" s="3">
        <v>1902</v>
      </c>
      <c r="H842" s="3">
        <v>150</v>
      </c>
      <c r="I842" s="4">
        <v>1068.92</v>
      </c>
      <c r="J842" s="4">
        <v>16097.51</v>
      </c>
      <c r="K842" s="3">
        <v>92</v>
      </c>
      <c r="L842" s="2" t="s">
        <v>2523</v>
      </c>
      <c r="M842" s="2" t="s">
        <v>2645</v>
      </c>
    </row>
    <row r="843" spans="1:13" x14ac:dyDescent="0.3">
      <c r="A843" s="1">
        <v>45724</v>
      </c>
      <c r="B843" s="2" t="s">
        <v>2620</v>
      </c>
      <c r="C843" s="2" t="s">
        <v>2527</v>
      </c>
      <c r="D843" s="2" t="s">
        <v>2528</v>
      </c>
      <c r="E843" s="2" t="s">
        <v>2529</v>
      </c>
      <c r="F843" s="3">
        <v>9246</v>
      </c>
      <c r="G843" s="3">
        <v>562</v>
      </c>
      <c r="H843" s="3">
        <v>42</v>
      </c>
      <c r="I843" s="4">
        <v>1126.03</v>
      </c>
      <c r="J843" s="4">
        <v>3841.58</v>
      </c>
      <c r="K843" s="3">
        <v>28</v>
      </c>
      <c r="L843" s="2" t="s">
        <v>2539</v>
      </c>
      <c r="M843" s="2" t="s">
        <v>2537</v>
      </c>
    </row>
    <row r="844" spans="1:13" x14ac:dyDescent="0.3">
      <c r="A844" s="1">
        <v>45762</v>
      </c>
      <c r="B844" s="2" t="s">
        <v>2644</v>
      </c>
      <c r="C844" s="2" t="s">
        <v>2543</v>
      </c>
      <c r="D844" s="2" t="s">
        <v>2516</v>
      </c>
      <c r="E844" s="2" t="s">
        <v>2529</v>
      </c>
      <c r="F844" s="3">
        <v>44820</v>
      </c>
      <c r="G844" s="3">
        <v>1043</v>
      </c>
      <c r="H844" s="3">
        <v>139</v>
      </c>
      <c r="I844" s="4">
        <v>1558.12</v>
      </c>
      <c r="J844" s="4">
        <v>10402.969999999999</v>
      </c>
      <c r="K844" s="3">
        <v>77</v>
      </c>
      <c r="L844" s="2" t="s">
        <v>2536</v>
      </c>
      <c r="M844" s="2" t="s">
        <v>2519</v>
      </c>
    </row>
    <row r="845" spans="1:13" x14ac:dyDescent="0.3">
      <c r="A845" s="1">
        <v>45832</v>
      </c>
      <c r="B845" s="2" t="s">
        <v>2621</v>
      </c>
      <c r="C845" s="2" t="s">
        <v>2543</v>
      </c>
      <c r="D845" s="2" t="s">
        <v>2528</v>
      </c>
      <c r="E845" s="2" t="s">
        <v>2529</v>
      </c>
      <c r="F845" s="3">
        <v>54112</v>
      </c>
      <c r="G845" s="3">
        <v>1455</v>
      </c>
      <c r="H845" s="3">
        <v>50</v>
      </c>
      <c r="I845" s="4">
        <v>1043.8699999999999</v>
      </c>
      <c r="J845" s="4">
        <v>7731.54</v>
      </c>
      <c r="K845" s="3">
        <v>23</v>
      </c>
      <c r="L845" s="2" t="s">
        <v>2536</v>
      </c>
      <c r="M845" s="2" t="s">
        <v>2546</v>
      </c>
    </row>
    <row r="846" spans="1:13" x14ac:dyDescent="0.3">
      <c r="A846" s="1">
        <v>45791</v>
      </c>
      <c r="B846" s="2" t="s">
        <v>2623</v>
      </c>
      <c r="C846" s="2" t="s">
        <v>2543</v>
      </c>
      <c r="D846" s="2" t="s">
        <v>2522</v>
      </c>
      <c r="E846" s="2" t="s">
        <v>2517</v>
      </c>
      <c r="F846" s="3">
        <v>131864</v>
      </c>
      <c r="G846" s="3">
        <v>1760</v>
      </c>
      <c r="H846" s="3">
        <v>141</v>
      </c>
      <c r="I846" s="4">
        <v>1242.8599999999999</v>
      </c>
      <c r="J846" s="4">
        <v>10347.379999999999</v>
      </c>
      <c r="K846" s="3">
        <v>65</v>
      </c>
      <c r="L846" s="2" t="s">
        <v>2523</v>
      </c>
      <c r="M846" s="2" t="s">
        <v>2519</v>
      </c>
    </row>
    <row r="847" spans="1:13" x14ac:dyDescent="0.3">
      <c r="A847" s="1">
        <v>45975</v>
      </c>
      <c r="B847" s="2" t="s">
        <v>2623</v>
      </c>
      <c r="C847" s="2" t="s">
        <v>2515</v>
      </c>
      <c r="D847" s="2" t="s">
        <v>2531</v>
      </c>
      <c r="E847" s="2" t="s">
        <v>2517</v>
      </c>
      <c r="F847" s="3">
        <v>19051</v>
      </c>
      <c r="G847" s="3">
        <v>1662</v>
      </c>
      <c r="H847" s="3">
        <v>166</v>
      </c>
      <c r="I847" s="4">
        <v>2489.13</v>
      </c>
      <c r="J847" s="4">
        <v>29045.29</v>
      </c>
      <c r="K847" s="3">
        <v>91</v>
      </c>
      <c r="L847" s="2" t="s">
        <v>2539</v>
      </c>
      <c r="M847" s="2" t="s">
        <v>2519</v>
      </c>
    </row>
    <row r="848" spans="1:13" x14ac:dyDescent="0.3">
      <c r="A848" s="1">
        <v>45904</v>
      </c>
      <c r="B848" s="2" t="s">
        <v>2631</v>
      </c>
      <c r="C848" s="2" t="s">
        <v>2543</v>
      </c>
      <c r="D848" s="2" t="s">
        <v>2528</v>
      </c>
      <c r="E848" s="2" t="s">
        <v>2517</v>
      </c>
      <c r="F848" s="3">
        <v>57687</v>
      </c>
      <c r="G848" s="3">
        <v>5019</v>
      </c>
      <c r="H848" s="3">
        <v>428</v>
      </c>
      <c r="I848" s="4">
        <v>5643.36</v>
      </c>
      <c r="J848" s="4">
        <v>53885.3</v>
      </c>
      <c r="K848" s="3">
        <v>220</v>
      </c>
      <c r="L848" s="2" t="s">
        <v>2518</v>
      </c>
      <c r="M848" s="2" t="s">
        <v>2537</v>
      </c>
    </row>
    <row r="849" spans="1:13" x14ac:dyDescent="0.3">
      <c r="A849" s="1">
        <v>46016</v>
      </c>
      <c r="B849" s="2" t="s">
        <v>2625</v>
      </c>
      <c r="C849" s="2" t="s">
        <v>2515</v>
      </c>
      <c r="D849" s="2" t="s">
        <v>2528</v>
      </c>
      <c r="E849" s="2" t="s">
        <v>2517</v>
      </c>
      <c r="F849" s="3">
        <v>33775</v>
      </c>
      <c r="G849" s="3">
        <v>1718</v>
      </c>
      <c r="H849" s="3">
        <v>33</v>
      </c>
      <c r="I849" s="4">
        <v>3476.24</v>
      </c>
      <c r="J849" s="4">
        <v>5848.22</v>
      </c>
      <c r="K849" s="3">
        <v>29</v>
      </c>
      <c r="L849" s="2" t="s">
        <v>2518</v>
      </c>
      <c r="M849" s="2" t="s">
        <v>2546</v>
      </c>
    </row>
    <row r="850" spans="1:13" x14ac:dyDescent="0.3">
      <c r="A850" s="1">
        <v>45729</v>
      </c>
      <c r="B850" s="2" t="s">
        <v>2616</v>
      </c>
      <c r="C850" s="2" t="s">
        <v>2527</v>
      </c>
      <c r="D850" s="2" t="s">
        <v>2516</v>
      </c>
      <c r="E850" s="2" t="s">
        <v>2517</v>
      </c>
      <c r="F850" s="3">
        <v>38937</v>
      </c>
      <c r="G850" s="3">
        <v>1630</v>
      </c>
      <c r="H850" s="3">
        <v>140</v>
      </c>
      <c r="I850" s="4">
        <v>1328.45</v>
      </c>
      <c r="J850" s="4">
        <v>6274.01</v>
      </c>
      <c r="K850" s="3">
        <v>104</v>
      </c>
      <c r="L850" s="2" t="s">
        <v>2523</v>
      </c>
      <c r="M850" s="2" t="s">
        <v>2524</v>
      </c>
    </row>
    <row r="851" spans="1:13" x14ac:dyDescent="0.3">
      <c r="A851" s="1">
        <v>45865</v>
      </c>
      <c r="B851" s="2" t="s">
        <v>2638</v>
      </c>
      <c r="C851" s="2" t="s">
        <v>2527</v>
      </c>
      <c r="D851" s="2" t="s">
        <v>2522</v>
      </c>
      <c r="E851" s="2" t="s">
        <v>2534</v>
      </c>
      <c r="F851" s="3">
        <v>147535</v>
      </c>
      <c r="G851" s="3">
        <v>3996</v>
      </c>
      <c r="H851" s="3">
        <v>335</v>
      </c>
      <c r="I851" s="4">
        <v>3653.16</v>
      </c>
      <c r="J851" s="4">
        <v>29614.720000000001</v>
      </c>
      <c r="K851" s="3">
        <v>165</v>
      </c>
      <c r="L851" s="2" t="s">
        <v>2523</v>
      </c>
      <c r="M851" s="2" t="s">
        <v>2526</v>
      </c>
    </row>
    <row r="852" spans="1:13" x14ac:dyDescent="0.3">
      <c r="A852" s="1">
        <v>45791</v>
      </c>
      <c r="B852" s="2" t="s">
        <v>2619</v>
      </c>
      <c r="C852" s="2" t="s">
        <v>2543</v>
      </c>
      <c r="D852" s="2" t="s">
        <v>2528</v>
      </c>
      <c r="E852" s="2" t="s">
        <v>2517</v>
      </c>
      <c r="F852" s="3">
        <v>178702</v>
      </c>
      <c r="G852" s="3">
        <v>6034</v>
      </c>
      <c r="H852" s="3">
        <v>164</v>
      </c>
      <c r="I852" s="4">
        <v>11602.18</v>
      </c>
      <c r="J852" s="4">
        <v>8990.69</v>
      </c>
      <c r="K852" s="3">
        <v>104</v>
      </c>
      <c r="L852" s="2" t="s">
        <v>2539</v>
      </c>
      <c r="M852" s="2" t="s">
        <v>2537</v>
      </c>
    </row>
    <row r="853" spans="1:13" x14ac:dyDescent="0.3">
      <c r="A853" s="1">
        <v>45871</v>
      </c>
      <c r="B853" s="2" t="s">
        <v>2633</v>
      </c>
      <c r="C853" s="2" t="s">
        <v>2533</v>
      </c>
      <c r="D853" s="2" t="s">
        <v>2528</v>
      </c>
      <c r="E853" s="2" t="s">
        <v>2534</v>
      </c>
      <c r="F853" s="3">
        <v>154858</v>
      </c>
      <c r="G853" s="3">
        <v>2889</v>
      </c>
      <c r="H853" s="3">
        <v>362</v>
      </c>
      <c r="I853" s="4">
        <v>5689.72</v>
      </c>
      <c r="J853" s="4">
        <v>62113.33</v>
      </c>
      <c r="K853" s="3">
        <v>295</v>
      </c>
      <c r="L853" s="2" t="s">
        <v>2539</v>
      </c>
      <c r="M853" s="2" t="s">
        <v>2526</v>
      </c>
    </row>
    <row r="854" spans="1:13" x14ac:dyDescent="0.3">
      <c r="A854" s="1">
        <v>45836</v>
      </c>
      <c r="B854" s="2" t="s">
        <v>2624</v>
      </c>
      <c r="C854" s="2" t="s">
        <v>2527</v>
      </c>
      <c r="D854" s="2" t="s">
        <v>2525</v>
      </c>
      <c r="E854" s="2" t="s">
        <v>2534</v>
      </c>
      <c r="F854" s="3">
        <v>66071</v>
      </c>
      <c r="G854" s="3">
        <v>336</v>
      </c>
      <c r="H854" s="3">
        <v>25</v>
      </c>
      <c r="I854" s="4">
        <v>508.95</v>
      </c>
      <c r="J854" s="4">
        <v>1467.86</v>
      </c>
      <c r="K854" s="3">
        <v>21</v>
      </c>
      <c r="L854" s="2" t="s">
        <v>2518</v>
      </c>
      <c r="M854" s="2" t="s">
        <v>2519</v>
      </c>
    </row>
    <row r="855" spans="1:13" x14ac:dyDescent="0.3">
      <c r="A855" s="1">
        <v>45748</v>
      </c>
      <c r="B855" s="2" t="s">
        <v>2616</v>
      </c>
      <c r="C855" s="2" t="s">
        <v>2527</v>
      </c>
      <c r="D855" s="2" t="s">
        <v>2531</v>
      </c>
      <c r="E855" s="2" t="s">
        <v>2534</v>
      </c>
      <c r="F855" s="3">
        <v>42619</v>
      </c>
      <c r="G855" s="3">
        <v>2924</v>
      </c>
      <c r="H855" s="3">
        <v>260</v>
      </c>
      <c r="I855" s="4">
        <v>4454.91</v>
      </c>
      <c r="J855" s="4">
        <v>26043.49</v>
      </c>
      <c r="K855" s="3">
        <v>201</v>
      </c>
      <c r="L855" s="2" t="s">
        <v>2523</v>
      </c>
      <c r="M855" s="2" t="s">
        <v>2526</v>
      </c>
    </row>
    <row r="856" spans="1:13" x14ac:dyDescent="0.3">
      <c r="A856" s="1">
        <v>45985</v>
      </c>
      <c r="B856" s="2" t="s">
        <v>2617</v>
      </c>
      <c r="C856" s="2" t="s">
        <v>2527</v>
      </c>
      <c r="D856" s="2" t="s">
        <v>2525</v>
      </c>
      <c r="E856" s="2" t="s">
        <v>2529</v>
      </c>
      <c r="F856" s="3">
        <v>121158</v>
      </c>
      <c r="G856" s="3">
        <v>7911</v>
      </c>
      <c r="H856" s="3">
        <v>118</v>
      </c>
      <c r="I856" s="4">
        <v>16233.36</v>
      </c>
      <c r="J856" s="4">
        <v>5614.42</v>
      </c>
      <c r="K856" s="3">
        <v>72</v>
      </c>
      <c r="L856" s="2" t="s">
        <v>2518</v>
      </c>
      <c r="M856" s="2" t="s">
        <v>2526</v>
      </c>
    </row>
    <row r="857" spans="1:13" x14ac:dyDescent="0.3">
      <c r="A857" s="1">
        <v>45914</v>
      </c>
      <c r="B857" s="2" t="s">
        <v>2635</v>
      </c>
      <c r="C857" s="2" t="s">
        <v>2541</v>
      </c>
      <c r="D857" s="2" t="s">
        <v>2528</v>
      </c>
      <c r="E857" s="2" t="s">
        <v>2517</v>
      </c>
      <c r="F857" s="3">
        <v>147443</v>
      </c>
      <c r="G857" s="3">
        <v>8139</v>
      </c>
      <c r="H857" s="3">
        <v>136</v>
      </c>
      <c r="I857" s="4">
        <v>15875.64</v>
      </c>
      <c r="J857" s="4">
        <v>22015.39</v>
      </c>
      <c r="K857" s="3">
        <v>84</v>
      </c>
      <c r="L857" s="2" t="s">
        <v>2523</v>
      </c>
      <c r="M857" s="2" t="s">
        <v>2537</v>
      </c>
    </row>
    <row r="858" spans="1:13" x14ac:dyDescent="0.3">
      <c r="A858" s="1">
        <v>46017</v>
      </c>
      <c r="B858" s="2" t="s">
        <v>2635</v>
      </c>
      <c r="C858" s="2" t="s">
        <v>2521</v>
      </c>
      <c r="D858" s="2" t="s">
        <v>2528</v>
      </c>
      <c r="E858" s="2" t="s">
        <v>2529</v>
      </c>
      <c r="F858" s="3">
        <v>125507</v>
      </c>
      <c r="G858" s="3">
        <v>3304</v>
      </c>
      <c r="H858" s="3">
        <v>184</v>
      </c>
      <c r="I858" s="4">
        <v>2361.98</v>
      </c>
      <c r="J858" s="4">
        <v>33066.79</v>
      </c>
      <c r="K858" s="3">
        <v>123</v>
      </c>
      <c r="L858" s="2" t="s">
        <v>2539</v>
      </c>
      <c r="M858" s="2" t="s">
        <v>2519</v>
      </c>
    </row>
    <row r="859" spans="1:13" x14ac:dyDescent="0.3">
      <c r="A859" s="1">
        <v>45706</v>
      </c>
      <c r="B859" s="2" t="s">
        <v>2638</v>
      </c>
      <c r="C859" s="2" t="s">
        <v>2533</v>
      </c>
      <c r="D859" s="2" t="s">
        <v>2522</v>
      </c>
      <c r="E859" s="2" t="s">
        <v>2529</v>
      </c>
      <c r="F859" s="3">
        <v>111274</v>
      </c>
      <c r="G859" s="3">
        <v>501</v>
      </c>
      <c r="H859" s="3">
        <v>51</v>
      </c>
      <c r="I859" s="4">
        <v>716.03</v>
      </c>
      <c r="J859" s="4">
        <v>8260.9699999999993</v>
      </c>
      <c r="K859" s="3">
        <v>41</v>
      </c>
      <c r="L859" s="2" t="s">
        <v>2539</v>
      </c>
      <c r="M859" s="2" t="s">
        <v>2546</v>
      </c>
    </row>
    <row r="860" spans="1:13" x14ac:dyDescent="0.3">
      <c r="A860" s="1">
        <v>45736</v>
      </c>
      <c r="B860" s="2" t="s">
        <v>2630</v>
      </c>
      <c r="C860" s="2" t="s">
        <v>2527</v>
      </c>
      <c r="D860" s="2" t="s">
        <v>2525</v>
      </c>
      <c r="E860" s="2" t="s">
        <v>2517</v>
      </c>
      <c r="F860" s="3">
        <v>101070</v>
      </c>
      <c r="G860" s="3">
        <v>3692</v>
      </c>
      <c r="H860" s="3">
        <v>323</v>
      </c>
      <c r="I860" s="4">
        <v>1152.3</v>
      </c>
      <c r="J860" s="4">
        <v>41834.160000000003</v>
      </c>
      <c r="K860" s="3">
        <v>190</v>
      </c>
      <c r="L860" s="2" t="s">
        <v>2536</v>
      </c>
      <c r="M860" s="2" t="s">
        <v>2526</v>
      </c>
    </row>
    <row r="861" spans="1:13" x14ac:dyDescent="0.3">
      <c r="A861" s="1">
        <v>45759</v>
      </c>
      <c r="B861" s="2" t="s">
        <v>2615</v>
      </c>
      <c r="C861" s="2" t="s">
        <v>2543</v>
      </c>
      <c r="D861" s="2" t="s">
        <v>2528</v>
      </c>
      <c r="E861" s="2" t="s">
        <v>2529</v>
      </c>
      <c r="F861" s="3">
        <v>84771</v>
      </c>
      <c r="G861" s="3">
        <v>85082</v>
      </c>
      <c r="H861" s="3">
        <v>72</v>
      </c>
      <c r="I861" s="4">
        <v>1261.51</v>
      </c>
      <c r="J861" s="4">
        <v>13755.87</v>
      </c>
      <c r="K861" s="3">
        <v>45</v>
      </c>
      <c r="L861" s="2" t="s">
        <v>2539</v>
      </c>
      <c r="M861" s="2" t="s">
        <v>2526</v>
      </c>
    </row>
    <row r="862" spans="1:13" x14ac:dyDescent="0.3">
      <c r="A862" s="1">
        <v>45811</v>
      </c>
      <c r="B862" s="2" t="s">
        <v>2615</v>
      </c>
      <c r="C862" s="2" t="s">
        <v>2533</v>
      </c>
      <c r="D862" s="2" t="s">
        <v>2531</v>
      </c>
      <c r="E862" s="2" t="s">
        <v>2529</v>
      </c>
      <c r="F862" s="3">
        <v>112075</v>
      </c>
      <c r="G862" s="3">
        <v>5382</v>
      </c>
      <c r="H862" s="3">
        <v>570</v>
      </c>
      <c r="I862" s="4">
        <v>9300.31</v>
      </c>
      <c r="J862" s="4">
        <v>94507.98</v>
      </c>
      <c r="K862" s="3">
        <v>419</v>
      </c>
      <c r="L862" s="2" t="s">
        <v>2523</v>
      </c>
      <c r="M862" s="2" t="s">
        <v>2526</v>
      </c>
    </row>
    <row r="863" spans="1:13" x14ac:dyDescent="0.3">
      <c r="A863" s="1">
        <v>45813</v>
      </c>
      <c r="B863" s="2" t="s">
        <v>2643</v>
      </c>
      <c r="C863" s="2" t="s">
        <v>2543</v>
      </c>
      <c r="D863" s="2" t="s">
        <v>2528</v>
      </c>
      <c r="E863" s="2" t="s">
        <v>2517</v>
      </c>
      <c r="F863" s="3">
        <v>32250</v>
      </c>
      <c r="G863" s="3">
        <v>811</v>
      </c>
      <c r="H863" s="3">
        <v>28</v>
      </c>
      <c r="I863" s="4">
        <v>1091.82</v>
      </c>
      <c r="J863" s="4">
        <v>4038.89</v>
      </c>
      <c r="K863" s="3">
        <v>14</v>
      </c>
      <c r="L863" s="2" t="s">
        <v>2523</v>
      </c>
      <c r="M863" s="2" t="s">
        <v>2546</v>
      </c>
    </row>
    <row r="864" spans="1:13" x14ac:dyDescent="0.3">
      <c r="A864" s="1">
        <v>45939</v>
      </c>
      <c r="B864" s="2" t="s">
        <v>2631</v>
      </c>
      <c r="C864" s="2" t="s">
        <v>2527</v>
      </c>
      <c r="D864" s="2" t="s">
        <v>2525</v>
      </c>
      <c r="E864" s="2" t="s">
        <v>2517</v>
      </c>
      <c r="F864" s="3">
        <v>47345</v>
      </c>
      <c r="G864" s="3">
        <v>787</v>
      </c>
      <c r="H864" s="3">
        <v>16</v>
      </c>
      <c r="I864" s="4">
        <v>501.39</v>
      </c>
      <c r="J864" s="4">
        <v>2941.71</v>
      </c>
      <c r="K864" s="3">
        <v>10</v>
      </c>
      <c r="L864" s="2" t="s">
        <v>2523</v>
      </c>
      <c r="M864" s="2" t="s">
        <v>2526</v>
      </c>
    </row>
    <row r="865" spans="1:13" x14ac:dyDescent="0.3">
      <c r="A865" s="1">
        <v>45756</v>
      </c>
      <c r="B865" s="2" t="s">
        <v>2618</v>
      </c>
      <c r="C865" s="2" t="s">
        <v>2543</v>
      </c>
      <c r="D865" s="2" t="s">
        <v>2516</v>
      </c>
      <c r="E865" s="2" t="s">
        <v>2529</v>
      </c>
      <c r="F865" s="3">
        <v>170369</v>
      </c>
      <c r="G865" s="3">
        <v>11510</v>
      </c>
      <c r="H865" s="3">
        <v>1080</v>
      </c>
      <c r="I865" s="4">
        <v>4435.8999999999996</v>
      </c>
      <c r="J865" s="4">
        <v>74907.839999999997</v>
      </c>
      <c r="K865" s="3">
        <v>689</v>
      </c>
      <c r="L865" s="2" t="s">
        <v>2536</v>
      </c>
      <c r="M865" s="2" t="s">
        <v>2537</v>
      </c>
    </row>
    <row r="866" spans="1:13" x14ac:dyDescent="0.3">
      <c r="A866" s="1">
        <v>45658</v>
      </c>
      <c r="B866" s="2" t="s">
        <v>2622</v>
      </c>
      <c r="C866" s="2" t="s">
        <v>2533</v>
      </c>
      <c r="D866" s="2" t="s">
        <v>2528</v>
      </c>
      <c r="E866" s="2" t="s">
        <v>2517</v>
      </c>
      <c r="F866" s="3">
        <v>37988</v>
      </c>
      <c r="G866" s="3">
        <v>2755</v>
      </c>
      <c r="H866" s="3">
        <v>108</v>
      </c>
      <c r="I866" s="4">
        <v>4772.68</v>
      </c>
      <c r="J866" s="4">
        <v>16713.490000000002</v>
      </c>
      <c r="K866" s="3">
        <v>75</v>
      </c>
      <c r="L866" s="2" t="s">
        <v>2536</v>
      </c>
      <c r="M866" s="2" t="s">
        <v>2546</v>
      </c>
    </row>
    <row r="867" spans="1:13" x14ac:dyDescent="0.3">
      <c r="A867" s="1">
        <v>45946</v>
      </c>
      <c r="B867" s="2" t="s">
        <v>2638</v>
      </c>
      <c r="C867" s="2" t="s">
        <v>2521</v>
      </c>
      <c r="D867" s="2" t="s">
        <v>2531</v>
      </c>
      <c r="E867" s="2" t="s">
        <v>2534</v>
      </c>
      <c r="F867" s="3">
        <v>174433</v>
      </c>
      <c r="G867" s="3">
        <v>5788</v>
      </c>
      <c r="H867" s="3">
        <v>203</v>
      </c>
      <c r="I867" s="4">
        <v>2419.35</v>
      </c>
      <c r="J867" s="4">
        <v>18187.61</v>
      </c>
      <c r="K867" s="3">
        <v>140</v>
      </c>
      <c r="L867" s="2" t="s">
        <v>2523</v>
      </c>
      <c r="M867" s="2" t="s">
        <v>2546</v>
      </c>
    </row>
    <row r="868" spans="1:13" x14ac:dyDescent="0.3">
      <c r="A868" s="1">
        <v>45742</v>
      </c>
      <c r="B868" s="2" t="s">
        <v>2617</v>
      </c>
      <c r="C868" s="2" t="s">
        <v>2543</v>
      </c>
      <c r="D868" s="2" t="s">
        <v>2528</v>
      </c>
      <c r="E868" s="2" t="s">
        <v>2534</v>
      </c>
      <c r="F868" s="3">
        <v>135956</v>
      </c>
      <c r="G868" s="3">
        <v>11039</v>
      </c>
      <c r="H868" s="3">
        <v>1530</v>
      </c>
      <c r="I868" s="4">
        <v>13536.84</v>
      </c>
      <c r="J868" s="4">
        <v>266167.69</v>
      </c>
      <c r="K868" s="3">
        <v>1090</v>
      </c>
      <c r="L868" s="2" t="s">
        <v>2536</v>
      </c>
      <c r="M868" s="2" t="s">
        <v>2546</v>
      </c>
    </row>
    <row r="869" spans="1:13" x14ac:dyDescent="0.3">
      <c r="A869" s="1">
        <v>45881</v>
      </c>
      <c r="B869" s="2" t="s">
        <v>2619</v>
      </c>
      <c r="C869" s="2" t="s">
        <v>2521</v>
      </c>
      <c r="D869" s="2" t="s">
        <v>2528</v>
      </c>
      <c r="E869" s="2" t="s">
        <v>2529</v>
      </c>
      <c r="F869" s="3">
        <v>144620</v>
      </c>
      <c r="G869" s="3">
        <v>7523</v>
      </c>
      <c r="H869" s="3">
        <v>393</v>
      </c>
      <c r="I869" s="4">
        <v>2867.27</v>
      </c>
      <c r="J869" s="4">
        <v>51533.42</v>
      </c>
      <c r="K869" s="3">
        <v>279</v>
      </c>
      <c r="L869" s="2" t="s">
        <v>2518</v>
      </c>
      <c r="M869" s="2" t="s">
        <v>2537</v>
      </c>
    </row>
    <row r="870" spans="1:13" x14ac:dyDescent="0.3">
      <c r="A870" s="1">
        <v>45883</v>
      </c>
      <c r="B870" s="2" t="s">
        <v>2640</v>
      </c>
      <c r="C870" s="2" t="s">
        <v>2541</v>
      </c>
      <c r="D870" s="2" t="s">
        <v>2516</v>
      </c>
      <c r="E870" s="2" t="s">
        <v>2517</v>
      </c>
      <c r="F870" s="3">
        <v>40244</v>
      </c>
      <c r="G870" s="3">
        <v>2878</v>
      </c>
      <c r="H870" s="3">
        <v>351</v>
      </c>
      <c r="I870" s="4">
        <v>4327.83</v>
      </c>
      <c r="J870" s="4">
        <v>76803.34</v>
      </c>
      <c r="K870" s="3">
        <v>278</v>
      </c>
      <c r="L870" s="2" t="s">
        <v>2518</v>
      </c>
      <c r="M870" s="2" t="s">
        <v>2546</v>
      </c>
    </row>
    <row r="871" spans="1:13" x14ac:dyDescent="0.3">
      <c r="A871" s="1">
        <v>45939</v>
      </c>
      <c r="B871" s="2" t="s">
        <v>2621</v>
      </c>
      <c r="C871" s="2" t="s">
        <v>2527</v>
      </c>
      <c r="D871" s="2" t="s">
        <v>2525</v>
      </c>
      <c r="E871" s="2" t="s">
        <v>2517</v>
      </c>
      <c r="F871" s="3">
        <v>139912</v>
      </c>
      <c r="G871" s="3">
        <v>10432</v>
      </c>
      <c r="H871" s="3">
        <v>1290</v>
      </c>
      <c r="I871" s="4">
        <v>4170.63</v>
      </c>
      <c r="J871" s="4">
        <v>111491.1</v>
      </c>
      <c r="K871" s="3">
        <v>1099</v>
      </c>
      <c r="L871" s="2" t="s">
        <v>2518</v>
      </c>
      <c r="M871" s="2" t="s">
        <v>2537</v>
      </c>
    </row>
    <row r="872" spans="1:13" x14ac:dyDescent="0.3">
      <c r="A872" s="1">
        <v>45926</v>
      </c>
      <c r="B872" s="2" t="s">
        <v>2634</v>
      </c>
      <c r="C872" s="2" t="s">
        <v>2515</v>
      </c>
      <c r="D872" s="2" t="s">
        <v>2516</v>
      </c>
      <c r="E872" s="2" t="s">
        <v>2529</v>
      </c>
      <c r="F872" s="3">
        <v>131083</v>
      </c>
      <c r="G872" s="3">
        <v>8065</v>
      </c>
      <c r="H872" s="3">
        <v>195</v>
      </c>
      <c r="I872" s="4">
        <v>4988.8999999999996</v>
      </c>
      <c r="J872" s="4">
        <v>21649.29</v>
      </c>
      <c r="K872" s="3">
        <v>148</v>
      </c>
      <c r="L872" s="2" t="s">
        <v>2518</v>
      </c>
      <c r="M872" s="2" t="s">
        <v>2519</v>
      </c>
    </row>
    <row r="873" spans="1:13" x14ac:dyDescent="0.3">
      <c r="A873" s="1">
        <v>45857</v>
      </c>
      <c r="B873" s="2" t="s">
        <v>2643</v>
      </c>
      <c r="C873" s="2" t="s">
        <v>2533</v>
      </c>
      <c r="D873" s="2" t="s">
        <v>2528</v>
      </c>
      <c r="E873" s="2" t="s">
        <v>2534</v>
      </c>
      <c r="F873" s="3">
        <v>133441</v>
      </c>
      <c r="G873" s="3">
        <v>8231</v>
      </c>
      <c r="H873" s="3">
        <v>1073</v>
      </c>
      <c r="I873" s="4">
        <v>11903.41</v>
      </c>
      <c r="J873" s="4">
        <v>21680.87</v>
      </c>
      <c r="K873" s="3">
        <v>803</v>
      </c>
      <c r="L873" s="2" t="s">
        <v>2518</v>
      </c>
      <c r="M873" s="2" t="s">
        <v>2537</v>
      </c>
    </row>
    <row r="874" spans="1:13" x14ac:dyDescent="0.3">
      <c r="A874" s="1">
        <v>45721</v>
      </c>
      <c r="B874" s="2" t="s">
        <v>2637</v>
      </c>
      <c r="C874" s="2" t="s">
        <v>2527</v>
      </c>
      <c r="D874" s="2" t="s">
        <v>2525</v>
      </c>
      <c r="E874" s="2" t="s">
        <v>2529</v>
      </c>
      <c r="F874" s="3">
        <v>165722</v>
      </c>
      <c r="G874" s="3">
        <v>12887</v>
      </c>
      <c r="H874" s="3">
        <v>1523</v>
      </c>
      <c r="I874" s="4">
        <v>22763.51</v>
      </c>
      <c r="J874" s="4">
        <v>68647.350000000006</v>
      </c>
      <c r="K874" s="3">
        <v>891</v>
      </c>
      <c r="L874" s="2" t="s">
        <v>2518</v>
      </c>
      <c r="M874" s="2" t="s">
        <v>2526</v>
      </c>
    </row>
    <row r="875" spans="1:13" x14ac:dyDescent="0.3">
      <c r="A875" s="1">
        <v>45696</v>
      </c>
      <c r="B875" s="2" t="s">
        <v>2639</v>
      </c>
      <c r="C875" s="2" t="s">
        <v>2527</v>
      </c>
      <c r="D875" s="2" t="s">
        <v>2516</v>
      </c>
      <c r="E875" s="2" t="s">
        <v>2529</v>
      </c>
      <c r="F875" s="3">
        <v>69940</v>
      </c>
      <c r="G875" s="3">
        <v>489</v>
      </c>
      <c r="H875" s="3">
        <v>48</v>
      </c>
      <c r="I875" s="4">
        <v>635.96</v>
      </c>
      <c r="J875" s="4">
        <v>2811.83</v>
      </c>
      <c r="K875" s="3">
        <v>37</v>
      </c>
      <c r="L875" s="2" t="s">
        <v>2539</v>
      </c>
      <c r="M875" s="2" t="s">
        <v>2526</v>
      </c>
    </row>
    <row r="876" spans="1:13" x14ac:dyDescent="0.3">
      <c r="A876" s="1">
        <v>45983</v>
      </c>
      <c r="B876" s="2" t="s">
        <v>2618</v>
      </c>
      <c r="C876" s="2" t="s">
        <v>2533</v>
      </c>
      <c r="D876" s="2" t="s">
        <v>2528</v>
      </c>
      <c r="E876" s="2" t="s">
        <v>2529</v>
      </c>
      <c r="F876" s="3">
        <v>24125</v>
      </c>
      <c r="G876" s="3">
        <v>782</v>
      </c>
      <c r="H876" s="3">
        <v>97</v>
      </c>
      <c r="I876" s="4">
        <v>902.64</v>
      </c>
      <c r="J876" s="4">
        <v>15290.48</v>
      </c>
      <c r="K876" s="3">
        <v>60</v>
      </c>
      <c r="L876" s="2" t="s">
        <v>2539</v>
      </c>
      <c r="M876" s="2" t="s">
        <v>2519</v>
      </c>
    </row>
    <row r="877" spans="1:13" x14ac:dyDescent="0.3">
      <c r="A877" s="1">
        <v>45779</v>
      </c>
      <c r="B877" s="2" t="s">
        <v>2625</v>
      </c>
      <c r="C877" s="2" t="s">
        <v>2515</v>
      </c>
      <c r="D877" s="2" t="s">
        <v>2516</v>
      </c>
      <c r="E877" s="2" t="s">
        <v>2517</v>
      </c>
      <c r="F877" s="3">
        <v>50091</v>
      </c>
      <c r="G877" s="3">
        <v>4205</v>
      </c>
      <c r="H877" s="3">
        <v>204</v>
      </c>
      <c r="I877" s="4">
        <v>2534</v>
      </c>
      <c r="J877" s="4">
        <v>36782.6</v>
      </c>
      <c r="K877" s="3">
        <v>139</v>
      </c>
      <c r="L877" s="2" t="s">
        <v>2518</v>
      </c>
      <c r="M877" s="2" t="s">
        <v>2519</v>
      </c>
    </row>
    <row r="878" spans="1:13" x14ac:dyDescent="0.3">
      <c r="A878" s="1">
        <v>45679</v>
      </c>
      <c r="B878" s="2" t="s">
        <v>2644</v>
      </c>
      <c r="C878" s="2" t="s">
        <v>2527</v>
      </c>
      <c r="D878" s="2" t="s">
        <v>2528</v>
      </c>
      <c r="E878" s="2" t="s">
        <v>2517</v>
      </c>
      <c r="F878" s="3">
        <v>173256</v>
      </c>
      <c r="G878" s="3">
        <v>7586</v>
      </c>
      <c r="H878" s="3">
        <v>652</v>
      </c>
      <c r="I878" s="4">
        <v>11764.93</v>
      </c>
      <c r="J878" s="4">
        <v>30093.16</v>
      </c>
      <c r="K878" s="3">
        <v>559</v>
      </c>
      <c r="L878" s="2" t="s">
        <v>2518</v>
      </c>
      <c r="M878" s="2" t="s">
        <v>2526</v>
      </c>
    </row>
    <row r="879" spans="1:13" x14ac:dyDescent="0.3">
      <c r="A879" s="1">
        <v>46016</v>
      </c>
      <c r="B879" s="2" t="s">
        <v>2636</v>
      </c>
      <c r="C879" s="2" t="s">
        <v>2533</v>
      </c>
      <c r="D879" s="2" t="s">
        <v>2525</v>
      </c>
      <c r="E879" s="2" t="s">
        <v>2529</v>
      </c>
      <c r="F879" s="3">
        <v>39456</v>
      </c>
      <c r="G879" s="3">
        <v>975</v>
      </c>
      <c r="H879" s="3">
        <v>121</v>
      </c>
      <c r="I879" s="4">
        <v>1770.75</v>
      </c>
      <c r="J879" s="4">
        <v>25361.75</v>
      </c>
      <c r="K879" s="3">
        <v>92</v>
      </c>
      <c r="L879" s="2" t="s">
        <v>2518</v>
      </c>
      <c r="M879" s="2" t="s">
        <v>2519</v>
      </c>
    </row>
    <row r="880" spans="1:13" x14ac:dyDescent="0.3">
      <c r="A880" s="1">
        <v>45780</v>
      </c>
      <c r="B880" s="2" t="s">
        <v>2641</v>
      </c>
      <c r="C880" s="2" t="s">
        <v>2541</v>
      </c>
      <c r="D880" s="2" t="s">
        <v>2528</v>
      </c>
      <c r="E880" s="2" t="s">
        <v>2517</v>
      </c>
      <c r="F880" s="3">
        <v>57755</v>
      </c>
      <c r="G880" s="3">
        <v>3798</v>
      </c>
      <c r="H880" s="3">
        <v>154</v>
      </c>
      <c r="I880" s="4">
        <v>2098.4499999999998</v>
      </c>
      <c r="J880" s="4">
        <v>28133.58</v>
      </c>
      <c r="K880" s="3">
        <v>79</v>
      </c>
      <c r="L880" s="2" t="s">
        <v>2518</v>
      </c>
      <c r="M880" s="2" t="s">
        <v>2519</v>
      </c>
    </row>
    <row r="881" spans="1:13" x14ac:dyDescent="0.3">
      <c r="A881" s="1">
        <v>45796</v>
      </c>
      <c r="B881" s="2" t="s">
        <v>2641</v>
      </c>
      <c r="C881" s="2" t="s">
        <v>2543</v>
      </c>
      <c r="D881" s="2" t="s">
        <v>2522</v>
      </c>
      <c r="E881" s="2" t="s">
        <v>2529</v>
      </c>
      <c r="F881" s="3">
        <v>103561</v>
      </c>
      <c r="G881" s="3">
        <v>2641</v>
      </c>
      <c r="H881" s="3">
        <v>329</v>
      </c>
      <c r="I881" s="4">
        <v>4108.5</v>
      </c>
      <c r="J881" s="4">
        <v>67225.850000000006</v>
      </c>
      <c r="K881" s="3">
        <v>212</v>
      </c>
      <c r="L881" s="2" t="s">
        <v>2536</v>
      </c>
      <c r="M881" s="2" t="s">
        <v>2519</v>
      </c>
    </row>
    <row r="882" spans="1:13" x14ac:dyDescent="0.3">
      <c r="A882" s="1">
        <v>45671</v>
      </c>
      <c r="B882" s="2" t="s">
        <v>2639</v>
      </c>
      <c r="C882" s="2" t="s">
        <v>2521</v>
      </c>
      <c r="D882" s="2" t="s">
        <v>2528</v>
      </c>
      <c r="E882" s="2" t="s">
        <v>2529</v>
      </c>
      <c r="F882" s="3">
        <v>41693</v>
      </c>
      <c r="G882" s="3">
        <v>1507</v>
      </c>
      <c r="H882" s="3">
        <v>75</v>
      </c>
      <c r="I882" s="4">
        <v>184.82</v>
      </c>
      <c r="J882" s="4">
        <v>14243.84</v>
      </c>
      <c r="K882" s="3">
        <v>64</v>
      </c>
      <c r="L882" s="2" t="s">
        <v>2539</v>
      </c>
      <c r="M882" s="2" t="s">
        <v>2524</v>
      </c>
    </row>
    <row r="883" spans="1:13" x14ac:dyDescent="0.3">
      <c r="A883" s="1">
        <v>45788</v>
      </c>
      <c r="B883" s="2" t="s">
        <v>2623</v>
      </c>
      <c r="C883" s="2" t="s">
        <v>2527</v>
      </c>
      <c r="D883" s="2" t="s">
        <v>2522</v>
      </c>
      <c r="E883" s="2" t="s">
        <v>2529</v>
      </c>
      <c r="F883" s="3">
        <v>125464</v>
      </c>
      <c r="G883" s="3">
        <v>4355</v>
      </c>
      <c r="H883" s="3">
        <v>209</v>
      </c>
      <c r="I883" s="4">
        <v>8971.16</v>
      </c>
      <c r="J883" s="4">
        <v>23296.400000000001</v>
      </c>
      <c r="K883" s="3">
        <v>101</v>
      </c>
      <c r="L883" s="2" t="s">
        <v>2539</v>
      </c>
      <c r="M883" s="2" t="s">
        <v>2524</v>
      </c>
    </row>
    <row r="884" spans="1:13" x14ac:dyDescent="0.3">
      <c r="A884" s="1">
        <v>45742</v>
      </c>
      <c r="B884" s="2" t="s">
        <v>2638</v>
      </c>
      <c r="C884" s="2" t="s">
        <v>2527</v>
      </c>
      <c r="D884" s="2" t="s">
        <v>2528</v>
      </c>
      <c r="E884" s="2" t="s">
        <v>2529</v>
      </c>
      <c r="F884" s="3">
        <v>3407</v>
      </c>
      <c r="G884" s="3">
        <v>263</v>
      </c>
      <c r="H884" s="3">
        <v>28</v>
      </c>
      <c r="I884" s="4">
        <v>538.49</v>
      </c>
      <c r="J884" s="4">
        <v>3168.29</v>
      </c>
      <c r="K884" s="3">
        <v>13</v>
      </c>
      <c r="L884" s="2" t="s">
        <v>2539</v>
      </c>
      <c r="M884" s="2" t="s">
        <v>2524</v>
      </c>
    </row>
    <row r="885" spans="1:13" x14ac:dyDescent="0.3">
      <c r="A885" s="1">
        <v>45930</v>
      </c>
      <c r="B885" s="2" t="s">
        <v>2642</v>
      </c>
      <c r="C885" s="2" t="s">
        <v>2527</v>
      </c>
      <c r="D885" s="2" t="s">
        <v>2528</v>
      </c>
      <c r="E885" s="2" t="s">
        <v>2517</v>
      </c>
      <c r="F885" s="3">
        <v>53660</v>
      </c>
      <c r="G885" s="3">
        <v>1329</v>
      </c>
      <c r="H885" s="3">
        <v>38</v>
      </c>
      <c r="I885" s="4">
        <v>165.94</v>
      </c>
      <c r="J885" s="4">
        <v>1833.31</v>
      </c>
      <c r="K885" s="3">
        <v>33</v>
      </c>
      <c r="L885" s="2" t="s">
        <v>2536</v>
      </c>
      <c r="M885" s="2" t="s">
        <v>2526</v>
      </c>
    </row>
    <row r="886" spans="1:13" x14ac:dyDescent="0.3">
      <c r="A886" s="1">
        <v>45960</v>
      </c>
      <c r="B886" s="2" t="s">
        <v>2629</v>
      </c>
      <c r="C886" s="2" t="s">
        <v>2521</v>
      </c>
      <c r="D886" s="2" t="s">
        <v>2522</v>
      </c>
      <c r="E886" s="2" t="s">
        <v>2529</v>
      </c>
      <c r="F886" s="3">
        <v>67113</v>
      </c>
      <c r="G886" s="3">
        <v>5250</v>
      </c>
      <c r="H886" s="3">
        <v>27</v>
      </c>
      <c r="I886" s="4">
        <v>1943.68</v>
      </c>
      <c r="J886" s="4">
        <v>3153.04</v>
      </c>
      <c r="K886" s="3">
        <v>14</v>
      </c>
      <c r="L886" s="2" t="s">
        <v>2518</v>
      </c>
      <c r="M886" s="2" t="s">
        <v>2519</v>
      </c>
    </row>
    <row r="887" spans="1:13" x14ac:dyDescent="0.3">
      <c r="A887" s="1">
        <v>45804</v>
      </c>
      <c r="B887" s="2" t="s">
        <v>2644</v>
      </c>
      <c r="C887" s="2" t="s">
        <v>2533</v>
      </c>
      <c r="D887" s="2" t="s">
        <v>2528</v>
      </c>
      <c r="E887" s="2" t="s">
        <v>2529</v>
      </c>
      <c r="F887" s="3">
        <v>12994</v>
      </c>
      <c r="G887" s="3">
        <v>1084</v>
      </c>
      <c r="H887" s="3">
        <v>106</v>
      </c>
      <c r="I887" s="4">
        <v>335.52</v>
      </c>
      <c r="J887" s="4">
        <v>1740.41</v>
      </c>
      <c r="K887" s="3">
        <v>80</v>
      </c>
      <c r="L887" s="2" t="s">
        <v>2523</v>
      </c>
      <c r="M887" s="2" t="s">
        <v>2526</v>
      </c>
    </row>
    <row r="888" spans="1:13" x14ac:dyDescent="0.3">
      <c r="A888" s="1">
        <v>45687</v>
      </c>
      <c r="B888" s="2" t="s">
        <v>2636</v>
      </c>
      <c r="C888" s="2" t="s">
        <v>2521</v>
      </c>
      <c r="D888" s="2" t="s">
        <v>2528</v>
      </c>
      <c r="E888" s="2" t="s">
        <v>2529</v>
      </c>
      <c r="F888" s="3">
        <v>160257</v>
      </c>
      <c r="G888" s="3">
        <v>5835</v>
      </c>
      <c r="H888" s="3">
        <v>732</v>
      </c>
      <c r="I888" s="4">
        <v>11258.43</v>
      </c>
      <c r="J888" s="4">
        <v>68587.91</v>
      </c>
      <c r="K888" s="3">
        <v>376</v>
      </c>
      <c r="L888" s="2" t="s">
        <v>2539</v>
      </c>
      <c r="M888" s="2" t="s">
        <v>2524</v>
      </c>
    </row>
    <row r="889" spans="1:13" x14ac:dyDescent="0.3">
      <c r="A889" s="1">
        <v>45975</v>
      </c>
      <c r="B889" s="2" t="s">
        <v>2626</v>
      </c>
      <c r="C889" s="2" t="s">
        <v>2521</v>
      </c>
      <c r="D889" s="2" t="s">
        <v>2528</v>
      </c>
      <c r="E889" s="2" t="s">
        <v>2534</v>
      </c>
      <c r="F889" s="3">
        <v>16244</v>
      </c>
      <c r="G889" s="3">
        <v>1329</v>
      </c>
      <c r="H889" s="3">
        <v>30</v>
      </c>
      <c r="I889" s="4">
        <v>1386.6</v>
      </c>
      <c r="J889" s="4">
        <v>5550.58</v>
      </c>
      <c r="K889" s="3">
        <v>23</v>
      </c>
      <c r="L889" s="2" t="s">
        <v>2536</v>
      </c>
      <c r="M889" s="2" t="s">
        <v>2537</v>
      </c>
    </row>
    <row r="890" spans="1:13" x14ac:dyDescent="0.3">
      <c r="A890" s="1">
        <v>45893</v>
      </c>
      <c r="B890" s="2" t="s">
        <v>2616</v>
      </c>
      <c r="C890" s="2" t="s">
        <v>2521</v>
      </c>
      <c r="D890" s="2" t="s">
        <v>2528</v>
      </c>
      <c r="E890" s="2" t="s">
        <v>2517</v>
      </c>
      <c r="F890" s="3">
        <v>6619</v>
      </c>
      <c r="G890" s="3">
        <v>50</v>
      </c>
      <c r="H890" s="3">
        <v>1</v>
      </c>
      <c r="I890" s="4">
        <v>22.64</v>
      </c>
      <c r="J890" s="4">
        <v>61.86</v>
      </c>
      <c r="K890" s="3">
        <v>0</v>
      </c>
      <c r="L890" s="2" t="s">
        <v>2523</v>
      </c>
      <c r="M890" s="2" t="s">
        <v>2526</v>
      </c>
    </row>
    <row r="891" spans="1:13" x14ac:dyDescent="0.3">
      <c r="A891" s="1">
        <v>45875</v>
      </c>
      <c r="B891" s="2" t="s">
        <v>2622</v>
      </c>
      <c r="C891" s="2" t="s">
        <v>2515</v>
      </c>
      <c r="D891" s="2" t="s">
        <v>2531</v>
      </c>
      <c r="E891" s="2" t="s">
        <v>2517</v>
      </c>
      <c r="F891" s="3">
        <v>151208</v>
      </c>
      <c r="G891" s="3">
        <v>3658</v>
      </c>
      <c r="H891" s="3">
        <v>101</v>
      </c>
      <c r="I891" s="4">
        <v>5920.5</v>
      </c>
      <c r="J891" s="4">
        <v>10129.379999999999</v>
      </c>
      <c r="K891" s="3">
        <v>53</v>
      </c>
      <c r="L891" s="2" t="s">
        <v>2536</v>
      </c>
      <c r="M891" s="2" t="s">
        <v>2524</v>
      </c>
    </row>
    <row r="892" spans="1:13" x14ac:dyDescent="0.3">
      <c r="A892" s="1">
        <v>45723</v>
      </c>
      <c r="B892" s="2" t="s">
        <v>2636</v>
      </c>
      <c r="C892" s="2" t="s">
        <v>2543</v>
      </c>
      <c r="D892" s="2" t="s">
        <v>2531</v>
      </c>
      <c r="E892" s="2" t="s">
        <v>2517</v>
      </c>
      <c r="F892" s="3">
        <v>10518</v>
      </c>
      <c r="G892" s="3">
        <v>228</v>
      </c>
      <c r="H892" s="3">
        <v>4</v>
      </c>
      <c r="I892" s="4">
        <v>456.54</v>
      </c>
      <c r="J892" s="4">
        <v>592.45000000000005</v>
      </c>
      <c r="K892" s="3">
        <v>2</v>
      </c>
      <c r="L892" s="2" t="s">
        <v>2518</v>
      </c>
      <c r="M892" s="2" t="s">
        <v>2519</v>
      </c>
    </row>
    <row r="893" spans="1:13" x14ac:dyDescent="0.3">
      <c r="A893" s="1">
        <v>45983</v>
      </c>
      <c r="B893" s="2" t="s">
        <v>2621</v>
      </c>
      <c r="C893" s="2" t="s">
        <v>2533</v>
      </c>
      <c r="D893" s="2" t="s">
        <v>2528</v>
      </c>
      <c r="E893" s="2" t="s">
        <v>2529</v>
      </c>
      <c r="F893" s="3">
        <v>126702</v>
      </c>
      <c r="G893" s="3">
        <v>8077</v>
      </c>
      <c r="H893" s="3">
        <v>468</v>
      </c>
      <c r="I893" s="4">
        <v>10547.52</v>
      </c>
      <c r="J893" s="4">
        <v>41953.11</v>
      </c>
      <c r="K893" s="3">
        <v>301</v>
      </c>
      <c r="L893" s="2" t="s">
        <v>2536</v>
      </c>
      <c r="M893" s="2" t="s">
        <v>2519</v>
      </c>
    </row>
    <row r="894" spans="1:13" x14ac:dyDescent="0.3">
      <c r="A894" s="1">
        <v>45768</v>
      </c>
      <c r="B894" s="2" t="s">
        <v>2628</v>
      </c>
      <c r="C894" s="2" t="s">
        <v>2527</v>
      </c>
      <c r="D894" s="2" t="s">
        <v>2516</v>
      </c>
      <c r="E894" s="2" t="s">
        <v>2529</v>
      </c>
      <c r="F894" s="3">
        <v>146066</v>
      </c>
      <c r="G894" s="3">
        <v>9997</v>
      </c>
      <c r="H894" s="3">
        <v>668</v>
      </c>
      <c r="I894" s="4">
        <v>1639.59</v>
      </c>
      <c r="J894" s="4">
        <v>60687.9</v>
      </c>
      <c r="K894" s="3">
        <v>501</v>
      </c>
      <c r="L894" s="2" t="s">
        <v>2539</v>
      </c>
      <c r="M894" s="2" t="s">
        <v>2524</v>
      </c>
    </row>
    <row r="895" spans="1:13" x14ac:dyDescent="0.3">
      <c r="A895" s="1">
        <v>45748</v>
      </c>
      <c r="B895" s="2" t="s">
        <v>2628</v>
      </c>
      <c r="C895" s="2" t="s">
        <v>2521</v>
      </c>
      <c r="D895" s="2" t="s">
        <v>2528</v>
      </c>
      <c r="E895" s="2" t="s">
        <v>2529</v>
      </c>
      <c r="F895" s="3">
        <v>55512</v>
      </c>
      <c r="G895" s="3">
        <v>393</v>
      </c>
      <c r="H895" s="3">
        <v>9</v>
      </c>
      <c r="I895" s="4">
        <v>530.29999999999995</v>
      </c>
      <c r="J895" s="4">
        <v>1904.01</v>
      </c>
      <c r="K895" s="3">
        <v>7</v>
      </c>
      <c r="L895" s="2" t="s">
        <v>2523</v>
      </c>
      <c r="M895" s="2" t="s">
        <v>2537</v>
      </c>
    </row>
    <row r="896" spans="1:13" x14ac:dyDescent="0.3">
      <c r="A896" s="1">
        <v>45761</v>
      </c>
      <c r="B896" s="2" t="s">
        <v>2615</v>
      </c>
      <c r="C896" s="2" t="s">
        <v>2533</v>
      </c>
      <c r="D896" s="2" t="s">
        <v>2528</v>
      </c>
      <c r="E896" s="2" t="s">
        <v>2529</v>
      </c>
      <c r="F896" s="3">
        <v>110027</v>
      </c>
      <c r="G896" s="3">
        <v>4061</v>
      </c>
      <c r="H896" s="3">
        <v>356</v>
      </c>
      <c r="I896" s="4">
        <v>7120.13</v>
      </c>
      <c r="J896" s="4">
        <v>66660.7</v>
      </c>
      <c r="K896" s="3">
        <v>243</v>
      </c>
      <c r="L896" s="2" t="s">
        <v>2523</v>
      </c>
      <c r="M896" s="2" t="s">
        <v>2524</v>
      </c>
    </row>
    <row r="897" spans="1:13" x14ac:dyDescent="0.3">
      <c r="A897" s="1">
        <v>45661</v>
      </c>
      <c r="B897" s="2" t="s">
        <v>2621</v>
      </c>
      <c r="C897" s="2" t="s">
        <v>2543</v>
      </c>
      <c r="D897" s="2" t="s">
        <v>2522</v>
      </c>
      <c r="E897" s="2" t="s">
        <v>2529</v>
      </c>
      <c r="F897" s="3">
        <v>176961</v>
      </c>
      <c r="G897" s="3">
        <v>7019</v>
      </c>
      <c r="H897" s="3">
        <v>901</v>
      </c>
      <c r="I897" s="4">
        <v>3594.73</v>
      </c>
      <c r="J897" s="4">
        <v>131335.76</v>
      </c>
      <c r="K897" s="3">
        <v>613</v>
      </c>
      <c r="L897" s="2" t="s">
        <v>2536</v>
      </c>
      <c r="M897" s="2" t="s">
        <v>2537</v>
      </c>
    </row>
    <row r="898" spans="1:13" x14ac:dyDescent="0.3">
      <c r="A898" s="1">
        <v>45789</v>
      </c>
      <c r="B898" s="2" t="s">
        <v>2621</v>
      </c>
      <c r="C898" s="2" t="s">
        <v>2645</v>
      </c>
      <c r="D898" s="2" t="s">
        <v>2528</v>
      </c>
      <c r="E898" s="2" t="s">
        <v>2517</v>
      </c>
      <c r="F898" s="3">
        <v>178864</v>
      </c>
      <c r="G898" s="3">
        <v>7632</v>
      </c>
      <c r="H898" s="3">
        <v>550</v>
      </c>
      <c r="I898" s="4">
        <v>14618.85</v>
      </c>
      <c r="J898" s="4">
        <v>117026.47</v>
      </c>
      <c r="K898" s="3">
        <v>373</v>
      </c>
      <c r="L898" s="2" t="s">
        <v>2539</v>
      </c>
      <c r="M898" s="2" t="s">
        <v>2526</v>
      </c>
    </row>
    <row r="899" spans="1:13" x14ac:dyDescent="0.3">
      <c r="A899" s="1">
        <v>45822</v>
      </c>
      <c r="B899" s="2" t="s">
        <v>2642</v>
      </c>
      <c r="C899" s="2" t="s">
        <v>2533</v>
      </c>
      <c r="D899" s="2" t="s">
        <v>2528</v>
      </c>
      <c r="E899" s="2" t="s">
        <v>2529</v>
      </c>
      <c r="F899" s="3">
        <v>53750</v>
      </c>
      <c r="G899" s="3">
        <v>405</v>
      </c>
      <c r="H899" s="3">
        <v>48</v>
      </c>
      <c r="I899" s="4">
        <v>484.88</v>
      </c>
      <c r="J899" s="4">
        <v>5727.46</v>
      </c>
      <c r="K899" s="3">
        <v>33</v>
      </c>
      <c r="L899" s="2" t="s">
        <v>2518</v>
      </c>
      <c r="M899" s="2" t="s">
        <v>2546</v>
      </c>
    </row>
    <row r="900" spans="1:13" x14ac:dyDescent="0.3">
      <c r="A900" s="1">
        <v>45909</v>
      </c>
      <c r="B900" s="2" t="s">
        <v>2634</v>
      </c>
      <c r="C900" s="2" t="s">
        <v>2527</v>
      </c>
      <c r="D900" s="2" t="s">
        <v>2516</v>
      </c>
      <c r="E900" s="2" t="s">
        <v>2529</v>
      </c>
      <c r="F900" s="3">
        <v>45842</v>
      </c>
      <c r="G900" s="3">
        <v>2244</v>
      </c>
      <c r="H900" s="3">
        <v>156</v>
      </c>
      <c r="I900" s="4">
        <v>4483.9399999999996</v>
      </c>
      <c r="J900" s="4">
        <v>32579.8</v>
      </c>
      <c r="K900" s="3">
        <v>127</v>
      </c>
      <c r="L900" s="2" t="s">
        <v>2539</v>
      </c>
      <c r="M900" s="2" t="s">
        <v>2546</v>
      </c>
    </row>
    <row r="901" spans="1:13" x14ac:dyDescent="0.3">
      <c r="A901" s="1">
        <v>45841</v>
      </c>
      <c r="B901" s="2" t="s">
        <v>2625</v>
      </c>
      <c r="C901" s="2" t="s">
        <v>2515</v>
      </c>
      <c r="D901" s="2" t="s">
        <v>2528</v>
      </c>
      <c r="E901" s="2" t="s">
        <v>2517</v>
      </c>
      <c r="F901" s="3">
        <v>29592</v>
      </c>
      <c r="G901" s="3">
        <v>386</v>
      </c>
      <c r="H901" s="3">
        <v>43</v>
      </c>
      <c r="I901" s="4">
        <v>349.73</v>
      </c>
      <c r="J901" s="4">
        <v>1037.7</v>
      </c>
      <c r="K901" s="3">
        <v>36</v>
      </c>
      <c r="L901" s="2" t="s">
        <v>2536</v>
      </c>
      <c r="M901" s="2" t="s">
        <v>2546</v>
      </c>
    </row>
    <row r="902" spans="1:13" x14ac:dyDescent="0.3">
      <c r="A902" s="1">
        <v>45690</v>
      </c>
      <c r="B902" s="2" t="s">
        <v>2616</v>
      </c>
      <c r="C902" s="2" t="s">
        <v>2533</v>
      </c>
      <c r="D902" s="2" t="s">
        <v>2516</v>
      </c>
      <c r="E902" s="2" t="s">
        <v>2517</v>
      </c>
      <c r="F902" s="3">
        <v>1939</v>
      </c>
      <c r="G902" s="3">
        <v>61</v>
      </c>
      <c r="H902" s="3">
        <v>7</v>
      </c>
      <c r="I902" s="4">
        <v>27.37</v>
      </c>
      <c r="J902" s="4">
        <v>717.61</v>
      </c>
      <c r="K902" s="3">
        <v>5</v>
      </c>
      <c r="L902" s="2" t="s">
        <v>2523</v>
      </c>
      <c r="M902" s="2" t="s">
        <v>2537</v>
      </c>
    </row>
    <row r="903" spans="1:13" x14ac:dyDescent="0.3">
      <c r="A903" s="1">
        <v>45908</v>
      </c>
      <c r="B903" s="2" t="s">
        <v>2630</v>
      </c>
      <c r="C903" s="2" t="s">
        <v>2515</v>
      </c>
      <c r="D903" s="2" t="s">
        <v>2516</v>
      </c>
      <c r="E903" s="2" t="s">
        <v>2529</v>
      </c>
      <c r="F903" s="3">
        <v>67678</v>
      </c>
      <c r="G903" s="3">
        <v>5109</v>
      </c>
      <c r="H903" s="3">
        <v>365</v>
      </c>
      <c r="I903" s="4">
        <v>5524.71</v>
      </c>
      <c r="J903" s="4">
        <v>60169.55</v>
      </c>
      <c r="K903" s="3">
        <v>187</v>
      </c>
      <c r="L903" s="2" t="s">
        <v>2539</v>
      </c>
      <c r="M903" s="2" t="s">
        <v>2524</v>
      </c>
    </row>
    <row r="904" spans="1:13" x14ac:dyDescent="0.3">
      <c r="A904" s="1">
        <v>45820</v>
      </c>
      <c r="B904" s="2" t="s">
        <v>2623</v>
      </c>
      <c r="C904" s="2" t="s">
        <v>2533</v>
      </c>
      <c r="D904" s="2" t="s">
        <v>2528</v>
      </c>
      <c r="E904" s="2" t="s">
        <v>2517</v>
      </c>
      <c r="F904" s="3">
        <v>108168</v>
      </c>
      <c r="G904" s="3">
        <v>2481</v>
      </c>
      <c r="H904" s="3">
        <v>241</v>
      </c>
      <c r="I904" s="4">
        <v>4824.9799999999996</v>
      </c>
      <c r="J904" s="4">
        <v>18509.439999999999</v>
      </c>
      <c r="K904" s="3">
        <v>149</v>
      </c>
      <c r="L904" s="2" t="s">
        <v>2523</v>
      </c>
      <c r="M904" s="2" t="s">
        <v>2526</v>
      </c>
    </row>
    <row r="905" spans="1:13" x14ac:dyDescent="0.3">
      <c r="A905" s="1">
        <v>45953</v>
      </c>
      <c r="B905" s="2" t="s">
        <v>2636</v>
      </c>
      <c r="C905" s="2" t="s">
        <v>2541</v>
      </c>
      <c r="D905" s="2" t="s">
        <v>2522</v>
      </c>
      <c r="E905" s="2" t="s">
        <v>2517</v>
      </c>
      <c r="F905" s="3">
        <v>43572</v>
      </c>
      <c r="G905" s="3">
        <v>855</v>
      </c>
      <c r="H905" s="3">
        <v>27</v>
      </c>
      <c r="I905" s="4">
        <v>541.9</v>
      </c>
      <c r="J905" s="4">
        <v>745.3</v>
      </c>
      <c r="K905" s="3">
        <v>12</v>
      </c>
      <c r="L905" s="2" t="s">
        <v>2536</v>
      </c>
      <c r="M905" s="2" t="s">
        <v>2519</v>
      </c>
    </row>
    <row r="906" spans="1:13" x14ac:dyDescent="0.3">
      <c r="A906" s="1">
        <v>45748</v>
      </c>
      <c r="B906" s="2" t="s">
        <v>2625</v>
      </c>
      <c r="C906" s="2" t="s">
        <v>2515</v>
      </c>
      <c r="D906" s="2" t="s">
        <v>2531</v>
      </c>
      <c r="E906" s="2" t="s">
        <v>2529</v>
      </c>
      <c r="F906" s="3">
        <v>16376</v>
      </c>
      <c r="G906" s="3">
        <v>747</v>
      </c>
      <c r="H906" s="3">
        <v>95</v>
      </c>
      <c r="I906" s="4">
        <v>1162.71</v>
      </c>
      <c r="J906" s="4">
        <v>4441.5</v>
      </c>
      <c r="K906" s="3">
        <v>51</v>
      </c>
      <c r="L906" s="2" t="s">
        <v>2518</v>
      </c>
      <c r="M906" s="2" t="s">
        <v>2519</v>
      </c>
    </row>
    <row r="907" spans="1:13" x14ac:dyDescent="0.3">
      <c r="A907" s="1">
        <v>45664</v>
      </c>
      <c r="B907" s="2" t="s">
        <v>2631</v>
      </c>
      <c r="C907" s="2" t="s">
        <v>2521</v>
      </c>
      <c r="D907" s="2" t="s">
        <v>2528</v>
      </c>
      <c r="E907" s="2" t="s">
        <v>2529</v>
      </c>
      <c r="F907" s="3">
        <v>135844</v>
      </c>
      <c r="G907" s="3">
        <v>5901</v>
      </c>
      <c r="H907" s="3">
        <v>428</v>
      </c>
      <c r="I907" s="4">
        <v>6080.53</v>
      </c>
      <c r="J907" s="4">
        <v>83659.13</v>
      </c>
      <c r="K907" s="3">
        <v>336</v>
      </c>
      <c r="L907" s="2" t="s">
        <v>2539</v>
      </c>
      <c r="M907" s="2" t="s">
        <v>2524</v>
      </c>
    </row>
    <row r="908" spans="1:13" x14ac:dyDescent="0.3">
      <c r="A908" s="1">
        <v>46015</v>
      </c>
      <c r="B908" s="2" t="s">
        <v>2629</v>
      </c>
      <c r="C908" s="2" t="s">
        <v>2533</v>
      </c>
      <c r="D908" s="2" t="s">
        <v>2528</v>
      </c>
      <c r="E908" s="2" t="s">
        <v>2517</v>
      </c>
      <c r="F908" s="3">
        <v>119856</v>
      </c>
      <c r="G908" s="3">
        <v>4321</v>
      </c>
      <c r="H908" s="3">
        <v>120</v>
      </c>
      <c r="I908" s="4">
        <v>3274.3</v>
      </c>
      <c r="J908" s="4">
        <v>25285.24</v>
      </c>
      <c r="K908" s="3">
        <v>93</v>
      </c>
      <c r="L908" s="2" t="s">
        <v>2518</v>
      </c>
      <c r="M908" s="2" t="s">
        <v>2519</v>
      </c>
    </row>
    <row r="909" spans="1:13" x14ac:dyDescent="0.3">
      <c r="A909" s="1">
        <v>45720</v>
      </c>
      <c r="B909" s="2" t="s">
        <v>2642</v>
      </c>
      <c r="C909" s="2" t="s">
        <v>2533</v>
      </c>
      <c r="D909" s="2" t="s">
        <v>2522</v>
      </c>
      <c r="E909" s="2" t="s">
        <v>2517</v>
      </c>
      <c r="F909" s="3">
        <v>56129</v>
      </c>
      <c r="G909" s="3">
        <v>2143</v>
      </c>
      <c r="H909" s="3">
        <v>276</v>
      </c>
      <c r="I909" s="4">
        <v>1240.8399999999999</v>
      </c>
      <c r="J909" s="4">
        <v>33875.72</v>
      </c>
      <c r="K909" s="3">
        <v>233</v>
      </c>
      <c r="L909" s="2" t="s">
        <v>2523</v>
      </c>
      <c r="M909" s="2" t="s">
        <v>2519</v>
      </c>
    </row>
    <row r="910" spans="1:13" x14ac:dyDescent="0.3">
      <c r="A910" s="1">
        <v>45972</v>
      </c>
      <c r="B910" s="2" t="s">
        <v>2631</v>
      </c>
      <c r="C910" s="2" t="s">
        <v>2521</v>
      </c>
      <c r="D910" s="2" t="s">
        <v>2516</v>
      </c>
      <c r="E910" s="2" t="s">
        <v>2517</v>
      </c>
      <c r="F910" s="3">
        <v>102749</v>
      </c>
      <c r="G910" s="3">
        <v>2923</v>
      </c>
      <c r="H910" s="3">
        <v>174</v>
      </c>
      <c r="I910" s="4">
        <v>2753.92</v>
      </c>
      <c r="J910" s="4">
        <v>19133.05</v>
      </c>
      <c r="K910" s="3">
        <v>121</v>
      </c>
      <c r="L910" s="2" t="s">
        <v>2539</v>
      </c>
      <c r="M910" s="2" t="s">
        <v>2546</v>
      </c>
    </row>
    <row r="911" spans="1:13" x14ac:dyDescent="0.3">
      <c r="A911" s="1">
        <v>45816</v>
      </c>
      <c r="B911" s="2" t="s">
        <v>2622</v>
      </c>
      <c r="C911" s="2" t="s">
        <v>2543</v>
      </c>
      <c r="D911" s="2" t="s">
        <v>2528</v>
      </c>
      <c r="E911" s="2" t="s">
        <v>2529</v>
      </c>
      <c r="F911" s="3">
        <v>65327</v>
      </c>
      <c r="G911" s="3">
        <v>853</v>
      </c>
      <c r="H911" s="3">
        <v>68</v>
      </c>
      <c r="I911" s="4">
        <v>299.35000000000002</v>
      </c>
      <c r="J911" s="4">
        <v>2223.89</v>
      </c>
      <c r="K911" s="3">
        <v>33</v>
      </c>
      <c r="L911" s="2" t="s">
        <v>2523</v>
      </c>
      <c r="M911" s="2" t="s">
        <v>2519</v>
      </c>
    </row>
    <row r="912" spans="1:13" x14ac:dyDescent="0.3">
      <c r="A912" s="1">
        <v>45827</v>
      </c>
      <c r="B912" s="2" t="s">
        <v>2636</v>
      </c>
      <c r="C912" s="2" t="s">
        <v>2543</v>
      </c>
      <c r="D912" s="2" t="s">
        <v>2522</v>
      </c>
      <c r="E912" s="2" t="s">
        <v>2529</v>
      </c>
      <c r="F912" s="3">
        <v>20180</v>
      </c>
      <c r="G912" s="3">
        <v>1525</v>
      </c>
      <c r="H912" s="3">
        <v>134</v>
      </c>
      <c r="I912" s="4">
        <v>1631.74</v>
      </c>
      <c r="J912" s="4">
        <v>5491.03</v>
      </c>
      <c r="K912" s="3">
        <v>88</v>
      </c>
      <c r="L912" s="2" t="s">
        <v>2536</v>
      </c>
      <c r="M912" s="2" t="s">
        <v>2524</v>
      </c>
    </row>
    <row r="913" spans="1:13" x14ac:dyDescent="0.3">
      <c r="A913" s="1">
        <v>45686</v>
      </c>
      <c r="B913" s="2" t="s">
        <v>2626</v>
      </c>
      <c r="C913" s="2" t="s">
        <v>2533</v>
      </c>
      <c r="D913" s="2" t="s">
        <v>2516</v>
      </c>
      <c r="E913" s="2" t="s">
        <v>2529</v>
      </c>
      <c r="F913" s="3">
        <v>127695</v>
      </c>
      <c r="G913" s="3">
        <v>2682</v>
      </c>
      <c r="H913" s="3">
        <v>371</v>
      </c>
      <c r="I913" s="4">
        <v>2925.87</v>
      </c>
      <c r="J913" s="4">
        <v>79919.12</v>
      </c>
      <c r="K913" s="3">
        <v>184</v>
      </c>
      <c r="L913" s="2" t="s">
        <v>2523</v>
      </c>
      <c r="M913" s="2" t="s">
        <v>2519</v>
      </c>
    </row>
    <row r="914" spans="1:13" x14ac:dyDescent="0.3">
      <c r="A914" s="1">
        <v>45967</v>
      </c>
      <c r="B914" s="2" t="s">
        <v>2644</v>
      </c>
      <c r="C914" s="2" t="s">
        <v>2527</v>
      </c>
      <c r="D914" s="2" t="s">
        <v>2516</v>
      </c>
      <c r="E914" s="2" t="s">
        <v>2529</v>
      </c>
      <c r="F914" s="3">
        <v>43676</v>
      </c>
      <c r="G914" s="3">
        <v>502</v>
      </c>
      <c r="H914" s="3">
        <v>49</v>
      </c>
      <c r="I914" s="4">
        <v>1034.0899999999999</v>
      </c>
      <c r="J914" s="4">
        <v>5107.08</v>
      </c>
      <c r="K914" s="3">
        <v>39</v>
      </c>
      <c r="L914" s="2" t="s">
        <v>2539</v>
      </c>
      <c r="M914" s="2" t="s">
        <v>2546</v>
      </c>
    </row>
    <row r="915" spans="1:13" x14ac:dyDescent="0.3">
      <c r="A915" s="1">
        <v>45714</v>
      </c>
      <c r="B915" s="2" t="s">
        <v>2640</v>
      </c>
      <c r="C915" s="2" t="s">
        <v>2541</v>
      </c>
      <c r="D915" s="2" t="s">
        <v>2525</v>
      </c>
      <c r="E915" s="2" t="s">
        <v>2517</v>
      </c>
      <c r="F915" s="3">
        <v>118766</v>
      </c>
      <c r="G915" s="3">
        <v>4593</v>
      </c>
      <c r="H915" s="3">
        <v>520</v>
      </c>
      <c r="I915" s="4">
        <v>4356.34</v>
      </c>
      <c r="J915" s="4">
        <v>89118.87</v>
      </c>
      <c r="K915" s="3">
        <v>320</v>
      </c>
      <c r="L915" s="2" t="s">
        <v>2536</v>
      </c>
      <c r="M915" s="2" t="s">
        <v>2524</v>
      </c>
    </row>
    <row r="916" spans="1:13" x14ac:dyDescent="0.3">
      <c r="A916" s="1">
        <v>45768</v>
      </c>
      <c r="B916" s="2" t="s">
        <v>2626</v>
      </c>
      <c r="C916" s="2" t="s">
        <v>2527</v>
      </c>
      <c r="D916" s="2" t="s">
        <v>2516</v>
      </c>
      <c r="E916" s="2" t="s">
        <v>2529</v>
      </c>
      <c r="F916" s="3">
        <v>84095</v>
      </c>
      <c r="G916" s="3">
        <v>6867</v>
      </c>
      <c r="H916" s="3">
        <v>237</v>
      </c>
      <c r="I916" s="4">
        <v>5383.68</v>
      </c>
      <c r="J916" s="4">
        <v>5268.54</v>
      </c>
      <c r="K916" s="3">
        <v>138</v>
      </c>
      <c r="L916" s="2" t="s">
        <v>2539</v>
      </c>
      <c r="M916" s="2" t="s">
        <v>2526</v>
      </c>
    </row>
    <row r="917" spans="1:13" x14ac:dyDescent="0.3">
      <c r="A917" s="1">
        <v>45829</v>
      </c>
      <c r="B917" s="2" t="s">
        <v>2639</v>
      </c>
      <c r="C917" s="2" t="s">
        <v>2521</v>
      </c>
      <c r="D917" s="2" t="s">
        <v>2525</v>
      </c>
      <c r="E917" s="2" t="s">
        <v>2517</v>
      </c>
      <c r="F917" s="3">
        <v>135724</v>
      </c>
      <c r="G917" s="3">
        <v>9134</v>
      </c>
      <c r="H917" s="3">
        <v>795</v>
      </c>
      <c r="I917" s="4">
        <v>11725.82</v>
      </c>
      <c r="J917" s="4">
        <v>82149.09</v>
      </c>
      <c r="K917" s="3">
        <v>663</v>
      </c>
      <c r="L917" s="2" t="s">
        <v>2518</v>
      </c>
      <c r="M917" s="2" t="s">
        <v>2537</v>
      </c>
    </row>
    <row r="918" spans="1:13" x14ac:dyDescent="0.3">
      <c r="A918" s="1">
        <v>46004</v>
      </c>
      <c r="B918" s="2" t="s">
        <v>2636</v>
      </c>
      <c r="C918" s="2" t="s">
        <v>2543</v>
      </c>
      <c r="D918" s="2" t="s">
        <v>2528</v>
      </c>
      <c r="E918" s="2" t="s">
        <v>2517</v>
      </c>
      <c r="F918" s="3">
        <v>16260</v>
      </c>
      <c r="G918" s="3">
        <v>600</v>
      </c>
      <c r="H918" s="3">
        <v>62</v>
      </c>
      <c r="I918" s="4">
        <v>564.33000000000004</v>
      </c>
      <c r="J918" s="4">
        <v>2334.1</v>
      </c>
      <c r="K918" s="3">
        <v>47</v>
      </c>
      <c r="L918" s="2" t="s">
        <v>2539</v>
      </c>
      <c r="M918" s="2" t="s">
        <v>2524</v>
      </c>
    </row>
    <row r="919" spans="1:13" x14ac:dyDescent="0.3">
      <c r="A919" s="1">
        <v>45997</v>
      </c>
      <c r="B919" s="2" t="s">
        <v>2634</v>
      </c>
      <c r="C919" s="2" t="s">
        <v>2541</v>
      </c>
      <c r="D919" s="2" t="s">
        <v>2531</v>
      </c>
      <c r="E919" s="2" t="s">
        <v>2517</v>
      </c>
      <c r="F919" s="3">
        <v>67299</v>
      </c>
      <c r="G919" s="3">
        <v>4163</v>
      </c>
      <c r="H919" s="3">
        <v>551</v>
      </c>
      <c r="I919" s="4">
        <v>6208.27</v>
      </c>
      <c r="J919" s="4">
        <v>105171.1</v>
      </c>
      <c r="K919" s="3">
        <v>380</v>
      </c>
      <c r="L919" s="2" t="s">
        <v>2523</v>
      </c>
      <c r="M919" s="2" t="s">
        <v>2526</v>
      </c>
    </row>
    <row r="920" spans="1:13" x14ac:dyDescent="0.3">
      <c r="A920" s="1">
        <v>45904</v>
      </c>
      <c r="B920" s="2" t="s">
        <v>2621</v>
      </c>
      <c r="C920" s="2" t="s">
        <v>2521</v>
      </c>
      <c r="D920" s="2" t="s">
        <v>2525</v>
      </c>
      <c r="E920" s="2" t="s">
        <v>2517</v>
      </c>
      <c r="F920" s="3">
        <v>145595</v>
      </c>
      <c r="G920" s="3">
        <v>10086</v>
      </c>
      <c r="H920" s="3">
        <v>289</v>
      </c>
      <c r="I920" s="4">
        <v>11230.84</v>
      </c>
      <c r="J920" s="4">
        <v>51346.75</v>
      </c>
      <c r="K920" s="3">
        <v>206</v>
      </c>
      <c r="L920" s="2" t="s">
        <v>2536</v>
      </c>
      <c r="M920" s="2" t="s">
        <v>2524</v>
      </c>
    </row>
    <row r="921" spans="1:13" x14ac:dyDescent="0.3">
      <c r="A921" s="1">
        <v>45831</v>
      </c>
      <c r="B921" s="2" t="s">
        <v>2615</v>
      </c>
      <c r="C921" s="2" t="s">
        <v>2527</v>
      </c>
      <c r="D921" s="2" t="s">
        <v>2516</v>
      </c>
      <c r="E921" s="2" t="s">
        <v>2529</v>
      </c>
      <c r="F921" s="3">
        <v>43054</v>
      </c>
      <c r="G921" s="3">
        <v>3746</v>
      </c>
      <c r="H921" s="3">
        <v>329</v>
      </c>
      <c r="I921" s="4">
        <v>1758.72</v>
      </c>
      <c r="J921" s="4">
        <v>34222.61</v>
      </c>
      <c r="K921" s="3">
        <v>241</v>
      </c>
      <c r="L921" s="2" t="s">
        <v>2518</v>
      </c>
      <c r="M921" s="2" t="s">
        <v>2519</v>
      </c>
    </row>
    <row r="922" spans="1:13" x14ac:dyDescent="0.3">
      <c r="A922" s="1">
        <v>46019</v>
      </c>
      <c r="B922" s="2" t="s">
        <v>2633</v>
      </c>
      <c r="C922" s="2" t="s">
        <v>2515</v>
      </c>
      <c r="D922" s="2" t="s">
        <v>2528</v>
      </c>
      <c r="E922" s="2" t="s">
        <v>2517</v>
      </c>
      <c r="F922" s="3">
        <v>86400</v>
      </c>
      <c r="G922" s="3">
        <v>5532</v>
      </c>
      <c r="H922" s="3">
        <v>49</v>
      </c>
      <c r="I922" s="4">
        <v>7536.52</v>
      </c>
      <c r="J922" s="4">
        <v>875.85</v>
      </c>
      <c r="K922" s="3">
        <v>38</v>
      </c>
      <c r="L922" s="2" t="s">
        <v>2536</v>
      </c>
      <c r="M922" s="2" t="s">
        <v>2524</v>
      </c>
    </row>
    <row r="923" spans="1:13" x14ac:dyDescent="0.3">
      <c r="A923" s="1">
        <v>45859</v>
      </c>
      <c r="B923" s="2" t="s">
        <v>2632</v>
      </c>
      <c r="C923" s="2" t="s">
        <v>2533</v>
      </c>
      <c r="D923" s="2" t="s">
        <v>2525</v>
      </c>
      <c r="E923" s="2" t="s">
        <v>2517</v>
      </c>
      <c r="F923" s="3">
        <v>28562</v>
      </c>
      <c r="G923" s="3">
        <v>288</v>
      </c>
      <c r="H923" s="3">
        <v>38</v>
      </c>
      <c r="I923" s="4">
        <v>92.28</v>
      </c>
      <c r="J923" s="4">
        <v>7097.44</v>
      </c>
      <c r="K923" s="3">
        <v>29</v>
      </c>
      <c r="L923" s="2" t="s">
        <v>2536</v>
      </c>
      <c r="M923" s="2" t="s">
        <v>2524</v>
      </c>
    </row>
    <row r="924" spans="1:13" x14ac:dyDescent="0.3">
      <c r="A924" s="1">
        <v>45915</v>
      </c>
      <c r="B924" s="2" t="s">
        <v>2635</v>
      </c>
      <c r="C924" s="2" t="s">
        <v>2515</v>
      </c>
      <c r="D924" s="2" t="s">
        <v>2516</v>
      </c>
      <c r="E924" s="2" t="s">
        <v>2517</v>
      </c>
      <c r="F924" s="3">
        <v>27834</v>
      </c>
      <c r="G924" s="3">
        <v>124</v>
      </c>
      <c r="H924" s="3">
        <v>3</v>
      </c>
      <c r="I924" s="4">
        <v>68.680000000000007</v>
      </c>
      <c r="J924" s="4">
        <v>329.74</v>
      </c>
      <c r="K924" s="3">
        <v>2</v>
      </c>
      <c r="L924" s="2" t="s">
        <v>2518</v>
      </c>
      <c r="M924" s="2" t="s">
        <v>2524</v>
      </c>
    </row>
    <row r="925" spans="1:13" x14ac:dyDescent="0.3">
      <c r="A925" s="1">
        <v>45990</v>
      </c>
      <c r="B925" s="2" t="s">
        <v>2616</v>
      </c>
      <c r="C925" s="2" t="s">
        <v>2515</v>
      </c>
      <c r="D925" s="2" t="s">
        <v>2531</v>
      </c>
      <c r="E925" s="2" t="s">
        <v>2517</v>
      </c>
      <c r="F925" s="3">
        <v>126225</v>
      </c>
      <c r="G925" s="3">
        <v>2091</v>
      </c>
      <c r="H925" s="3">
        <v>78</v>
      </c>
      <c r="I925" s="4">
        <v>309.26</v>
      </c>
      <c r="J925" s="4">
        <v>15427.43</v>
      </c>
      <c r="K925" s="3">
        <v>44</v>
      </c>
      <c r="L925" s="2" t="s">
        <v>2539</v>
      </c>
      <c r="M925" s="2" t="s">
        <v>2526</v>
      </c>
    </row>
    <row r="926" spans="1:13" x14ac:dyDescent="0.3">
      <c r="A926" s="1">
        <v>45675</v>
      </c>
      <c r="B926" s="2" t="s">
        <v>2622</v>
      </c>
      <c r="C926" s="2" t="s">
        <v>2515</v>
      </c>
      <c r="D926" s="2" t="s">
        <v>2528</v>
      </c>
      <c r="E926" s="2" t="s">
        <v>2517</v>
      </c>
      <c r="F926" s="3">
        <v>43543</v>
      </c>
      <c r="G926" s="3">
        <v>407</v>
      </c>
      <c r="H926" s="3">
        <v>11</v>
      </c>
      <c r="I926" s="4">
        <v>209.21</v>
      </c>
      <c r="J926" s="4">
        <v>1788.62</v>
      </c>
      <c r="K926" s="3">
        <v>7</v>
      </c>
      <c r="L926" s="2" t="s">
        <v>2536</v>
      </c>
      <c r="M926" s="2" t="s">
        <v>2519</v>
      </c>
    </row>
    <row r="927" spans="1:13" x14ac:dyDescent="0.3">
      <c r="A927" s="1">
        <v>45731</v>
      </c>
      <c r="B927" s="2" t="s">
        <v>2640</v>
      </c>
      <c r="C927" s="2" t="s">
        <v>2527</v>
      </c>
      <c r="D927" s="2" t="s">
        <v>2531</v>
      </c>
      <c r="E927" s="2" t="s">
        <v>2517</v>
      </c>
      <c r="F927" s="3">
        <v>87149</v>
      </c>
      <c r="G927" s="3">
        <v>3476</v>
      </c>
      <c r="H927" s="3">
        <v>87</v>
      </c>
      <c r="I927" s="4">
        <v>664.47</v>
      </c>
      <c r="J927" s="4">
        <v>18720.68</v>
      </c>
      <c r="K927" s="3">
        <v>49</v>
      </c>
      <c r="L927" s="2" t="s">
        <v>2539</v>
      </c>
      <c r="M927" s="2" t="s">
        <v>2524</v>
      </c>
    </row>
    <row r="928" spans="1:13" x14ac:dyDescent="0.3">
      <c r="A928" s="1">
        <v>45790</v>
      </c>
      <c r="B928" s="2" t="s">
        <v>2621</v>
      </c>
      <c r="C928" s="2" t="s">
        <v>2543</v>
      </c>
      <c r="D928" s="2" t="s">
        <v>2531</v>
      </c>
      <c r="E928" s="2" t="s">
        <v>2529</v>
      </c>
      <c r="F928" s="3">
        <v>150274</v>
      </c>
      <c r="G928" s="3">
        <v>5376</v>
      </c>
      <c r="H928" s="3">
        <v>284</v>
      </c>
      <c r="I928" s="4">
        <v>8397.02</v>
      </c>
      <c r="J928" s="4">
        <v>9422.52</v>
      </c>
      <c r="K928" s="3">
        <v>237</v>
      </c>
      <c r="L928" s="2" t="s">
        <v>2523</v>
      </c>
      <c r="M928" s="2" t="s">
        <v>2546</v>
      </c>
    </row>
    <row r="929" spans="1:13" x14ac:dyDescent="0.3">
      <c r="A929" s="1">
        <v>46008</v>
      </c>
      <c r="B929" s="2" t="s">
        <v>2631</v>
      </c>
      <c r="C929" s="2" t="s">
        <v>2521</v>
      </c>
      <c r="D929" s="2" t="s">
        <v>2531</v>
      </c>
      <c r="E929" s="2" t="s">
        <v>2517</v>
      </c>
      <c r="F929" s="3">
        <v>70942</v>
      </c>
      <c r="G929" s="3">
        <v>5234</v>
      </c>
      <c r="H929" s="3">
        <v>164</v>
      </c>
      <c r="I929" s="4">
        <v>5681.36</v>
      </c>
      <c r="J929" s="4">
        <v>29659.279999999999</v>
      </c>
      <c r="K929" s="3">
        <v>117</v>
      </c>
      <c r="L929" s="2" t="s">
        <v>2536</v>
      </c>
      <c r="M929" s="2" t="s">
        <v>2537</v>
      </c>
    </row>
    <row r="930" spans="1:13" x14ac:dyDescent="0.3">
      <c r="A930" s="1">
        <v>45721</v>
      </c>
      <c r="B930" s="2" t="s">
        <v>2640</v>
      </c>
      <c r="C930" s="2" t="s">
        <v>2533</v>
      </c>
      <c r="D930" s="2" t="s">
        <v>2522</v>
      </c>
      <c r="E930" s="2" t="s">
        <v>2529</v>
      </c>
      <c r="F930" s="3">
        <v>178176</v>
      </c>
      <c r="G930" s="3">
        <v>8003</v>
      </c>
      <c r="H930" s="3">
        <v>267</v>
      </c>
      <c r="I930" s="4">
        <v>14030.13</v>
      </c>
      <c r="J930" s="4">
        <v>8134.46</v>
      </c>
      <c r="K930" s="3">
        <v>188</v>
      </c>
      <c r="L930" s="2" t="s">
        <v>2536</v>
      </c>
      <c r="M930" s="2" t="s">
        <v>2546</v>
      </c>
    </row>
    <row r="931" spans="1:13" x14ac:dyDescent="0.3">
      <c r="A931" s="1">
        <v>45870</v>
      </c>
      <c r="B931" s="2" t="s">
        <v>2632</v>
      </c>
      <c r="C931" s="2" t="s">
        <v>2533</v>
      </c>
      <c r="D931" s="2" t="s">
        <v>2516</v>
      </c>
      <c r="E931" s="2" t="s">
        <v>2517</v>
      </c>
      <c r="F931" s="3">
        <v>77656</v>
      </c>
      <c r="G931" s="3">
        <v>4164</v>
      </c>
      <c r="H931" s="3">
        <v>568</v>
      </c>
      <c r="I931" s="4">
        <v>539.6</v>
      </c>
      <c r="J931" s="4">
        <v>19345.48</v>
      </c>
      <c r="K931" s="3">
        <v>364</v>
      </c>
      <c r="L931" s="2" t="s">
        <v>2523</v>
      </c>
      <c r="M931" s="2" t="s">
        <v>2526</v>
      </c>
    </row>
    <row r="932" spans="1:13" x14ac:dyDescent="0.3">
      <c r="A932" s="1">
        <v>45686</v>
      </c>
      <c r="B932" s="2" t="s">
        <v>2616</v>
      </c>
      <c r="C932" s="2" t="s">
        <v>2533</v>
      </c>
      <c r="D932" s="2" t="s">
        <v>2525</v>
      </c>
      <c r="E932" s="2" t="s">
        <v>2534</v>
      </c>
      <c r="F932" s="3">
        <v>75147</v>
      </c>
      <c r="G932" s="3">
        <v>2390</v>
      </c>
      <c r="H932" s="3">
        <v>163</v>
      </c>
      <c r="I932" s="4">
        <v>1813.95</v>
      </c>
      <c r="J932" s="4">
        <v>25154.79</v>
      </c>
      <c r="K932" s="3">
        <v>88</v>
      </c>
      <c r="L932" s="2" t="s">
        <v>2539</v>
      </c>
      <c r="M932" s="2" t="s">
        <v>2519</v>
      </c>
    </row>
    <row r="933" spans="1:13" x14ac:dyDescent="0.3">
      <c r="A933" s="1">
        <v>45799</v>
      </c>
      <c r="B933" s="2" t="s">
        <v>2626</v>
      </c>
      <c r="C933" s="2" t="s">
        <v>2521</v>
      </c>
      <c r="D933" s="2" t="s">
        <v>2516</v>
      </c>
      <c r="E933" s="2" t="s">
        <v>2517</v>
      </c>
      <c r="F933" s="3">
        <v>138906</v>
      </c>
      <c r="G933" s="3">
        <v>11944</v>
      </c>
      <c r="H933" s="3">
        <v>1399</v>
      </c>
      <c r="I933" s="4">
        <v>2275.11</v>
      </c>
      <c r="J933" s="4">
        <v>255622.71</v>
      </c>
      <c r="K933" s="3">
        <v>961</v>
      </c>
      <c r="L933" s="2" t="s">
        <v>2536</v>
      </c>
      <c r="M933" s="2" t="s">
        <v>2524</v>
      </c>
    </row>
    <row r="934" spans="1:13" x14ac:dyDescent="0.3">
      <c r="A934" s="1">
        <v>45796</v>
      </c>
      <c r="B934" s="2" t="s">
        <v>2629</v>
      </c>
      <c r="C934" s="2" t="s">
        <v>2541</v>
      </c>
      <c r="D934" s="2" t="s">
        <v>2528</v>
      </c>
      <c r="E934" s="2" t="s">
        <v>2534</v>
      </c>
      <c r="F934" s="3">
        <v>27552</v>
      </c>
      <c r="G934" s="3">
        <v>1563</v>
      </c>
      <c r="H934" s="3">
        <v>90</v>
      </c>
      <c r="I934" s="4">
        <v>2811.63</v>
      </c>
      <c r="J934" s="4">
        <v>4791.62</v>
      </c>
      <c r="K934" s="3">
        <v>54</v>
      </c>
      <c r="L934" s="2" t="s">
        <v>2536</v>
      </c>
      <c r="M934" s="2" t="s">
        <v>2524</v>
      </c>
    </row>
    <row r="935" spans="1:13" x14ac:dyDescent="0.3">
      <c r="A935" s="1">
        <v>45866</v>
      </c>
      <c r="B935" s="2" t="s">
        <v>2637</v>
      </c>
      <c r="C935" s="2" t="s">
        <v>2527</v>
      </c>
      <c r="D935" s="2" t="s">
        <v>2516</v>
      </c>
      <c r="E935" s="2" t="s">
        <v>2529</v>
      </c>
      <c r="F935" s="3">
        <v>61333</v>
      </c>
      <c r="G935" s="3">
        <v>2373</v>
      </c>
      <c r="H935" s="3">
        <v>162</v>
      </c>
      <c r="I935" s="4">
        <v>3720.1</v>
      </c>
      <c r="J935" s="4">
        <v>14095.28</v>
      </c>
      <c r="K935" s="3">
        <v>73</v>
      </c>
      <c r="L935" s="2" t="s">
        <v>2518</v>
      </c>
      <c r="M935" s="2" t="s">
        <v>2526</v>
      </c>
    </row>
    <row r="936" spans="1:13" x14ac:dyDescent="0.3">
      <c r="A936" s="1">
        <v>45716</v>
      </c>
      <c r="B936" s="2" t="s">
        <v>2616</v>
      </c>
      <c r="C936" s="2" t="s">
        <v>2533</v>
      </c>
      <c r="D936" s="2" t="s">
        <v>2528</v>
      </c>
      <c r="E936" s="2" t="s">
        <v>2529</v>
      </c>
      <c r="F936" s="3">
        <v>117292</v>
      </c>
      <c r="G936" s="3">
        <v>3980</v>
      </c>
      <c r="H936" s="3">
        <v>140</v>
      </c>
      <c r="I936" s="4">
        <v>4881.1499999999996</v>
      </c>
      <c r="J936" s="4">
        <v>3084.06</v>
      </c>
      <c r="K936" s="3">
        <v>81</v>
      </c>
      <c r="L936" s="2" t="s">
        <v>2536</v>
      </c>
      <c r="M936" s="2" t="s">
        <v>2537</v>
      </c>
    </row>
    <row r="937" spans="1:13" x14ac:dyDescent="0.3">
      <c r="A937" s="1">
        <v>45968</v>
      </c>
      <c r="B937" s="2" t="s">
        <v>2626</v>
      </c>
      <c r="C937" s="2" t="s">
        <v>2521</v>
      </c>
      <c r="D937" s="2" t="s">
        <v>2528</v>
      </c>
      <c r="E937" s="2" t="s">
        <v>2529</v>
      </c>
      <c r="F937" s="3">
        <v>7017</v>
      </c>
      <c r="G937" s="3">
        <v>630</v>
      </c>
      <c r="H937" s="3">
        <v>58</v>
      </c>
      <c r="I937" s="4">
        <v>1147.25</v>
      </c>
      <c r="J937" s="4">
        <v>10975.82</v>
      </c>
      <c r="K937" s="3">
        <v>39</v>
      </c>
      <c r="L937" s="2" t="s">
        <v>2539</v>
      </c>
      <c r="M937" s="2" t="s">
        <v>2546</v>
      </c>
    </row>
    <row r="938" spans="1:13" x14ac:dyDescent="0.3">
      <c r="A938" s="1">
        <v>45855</v>
      </c>
      <c r="B938" s="2" t="s">
        <v>2626</v>
      </c>
      <c r="C938" s="2" t="s">
        <v>2645</v>
      </c>
      <c r="D938" s="2" t="s">
        <v>2528</v>
      </c>
      <c r="E938" s="2" t="s">
        <v>2517</v>
      </c>
      <c r="F938" s="3">
        <v>22879</v>
      </c>
      <c r="G938" s="3">
        <v>753</v>
      </c>
      <c r="H938" s="3">
        <v>31</v>
      </c>
      <c r="I938" s="4">
        <v>700.49</v>
      </c>
      <c r="J938" s="4">
        <v>2212.31</v>
      </c>
      <c r="K938" s="3">
        <v>14</v>
      </c>
      <c r="L938" s="2" t="s">
        <v>2523</v>
      </c>
      <c r="M938" s="2" t="s">
        <v>2526</v>
      </c>
    </row>
    <row r="939" spans="1:13" x14ac:dyDescent="0.3">
      <c r="A939" s="1">
        <v>45980</v>
      </c>
      <c r="B939" s="2" t="s">
        <v>2637</v>
      </c>
      <c r="C939" s="2" t="s">
        <v>2527</v>
      </c>
      <c r="D939" s="2" t="s">
        <v>2528</v>
      </c>
      <c r="E939" s="2" t="s">
        <v>2529</v>
      </c>
      <c r="F939" s="3">
        <v>114981</v>
      </c>
      <c r="G939" s="3">
        <v>5986</v>
      </c>
      <c r="H939" s="3">
        <v>324</v>
      </c>
      <c r="I939" s="4">
        <v>698.84</v>
      </c>
      <c r="J939" s="4">
        <v>22195.9</v>
      </c>
      <c r="K939" s="3">
        <v>212</v>
      </c>
      <c r="L939" s="2" t="s">
        <v>2539</v>
      </c>
      <c r="M939" s="2" t="s">
        <v>2524</v>
      </c>
    </row>
    <row r="940" spans="1:13" x14ac:dyDescent="0.3">
      <c r="A940" s="1">
        <v>45682</v>
      </c>
      <c r="B940" s="2" t="s">
        <v>2629</v>
      </c>
      <c r="C940" s="2" t="s">
        <v>2541</v>
      </c>
      <c r="D940" s="2" t="s">
        <v>2528</v>
      </c>
      <c r="E940" s="2" t="s">
        <v>2517</v>
      </c>
      <c r="F940" s="3">
        <v>153369</v>
      </c>
      <c r="G940" s="3">
        <v>4205</v>
      </c>
      <c r="H940" s="3">
        <v>533</v>
      </c>
      <c r="I940" s="4">
        <v>8684.3700000000008</v>
      </c>
      <c r="J940" s="4">
        <v>68269.070000000007</v>
      </c>
      <c r="K940" s="3">
        <v>420</v>
      </c>
      <c r="L940" s="2" t="s">
        <v>2518</v>
      </c>
      <c r="M940" s="2" t="s">
        <v>2546</v>
      </c>
    </row>
    <row r="941" spans="1:13" x14ac:dyDescent="0.3">
      <c r="A941" s="1">
        <v>45759</v>
      </c>
      <c r="B941" s="2" t="s">
        <v>2644</v>
      </c>
      <c r="C941" s="2" t="s">
        <v>2527</v>
      </c>
      <c r="D941" s="2" t="s">
        <v>2525</v>
      </c>
      <c r="E941" s="2" t="s">
        <v>2529</v>
      </c>
      <c r="F941" s="3">
        <v>42978</v>
      </c>
      <c r="G941" s="3">
        <v>1265</v>
      </c>
      <c r="H941" s="3">
        <v>122</v>
      </c>
      <c r="I941" s="4">
        <v>891.33</v>
      </c>
      <c r="J941" s="4">
        <v>11583.09</v>
      </c>
      <c r="K941" s="3">
        <v>102</v>
      </c>
      <c r="L941" s="2" t="s">
        <v>2523</v>
      </c>
      <c r="M941" s="2" t="s">
        <v>2524</v>
      </c>
    </row>
    <row r="942" spans="1:13" x14ac:dyDescent="0.3">
      <c r="A942" s="1">
        <v>45674</v>
      </c>
      <c r="B942" s="2" t="s">
        <v>2642</v>
      </c>
      <c r="C942" s="2" t="s">
        <v>2521</v>
      </c>
      <c r="D942" s="2" t="s">
        <v>2525</v>
      </c>
      <c r="E942" s="2" t="s">
        <v>2517</v>
      </c>
      <c r="F942" s="3">
        <v>113235</v>
      </c>
      <c r="G942" s="3">
        <v>10181</v>
      </c>
      <c r="H942" s="3">
        <v>1348</v>
      </c>
      <c r="I942" s="4">
        <v>10894.13</v>
      </c>
      <c r="J942" s="4">
        <v>109441.22</v>
      </c>
      <c r="K942" s="3">
        <v>1073</v>
      </c>
      <c r="L942" s="2" t="s">
        <v>2539</v>
      </c>
      <c r="M942" s="2" t="s">
        <v>2526</v>
      </c>
    </row>
    <row r="943" spans="1:13" x14ac:dyDescent="0.3">
      <c r="A943" s="1">
        <v>45768</v>
      </c>
      <c r="B943" s="2" t="s">
        <v>2621</v>
      </c>
      <c r="C943" s="2" t="s">
        <v>2541</v>
      </c>
      <c r="D943" s="2" t="s">
        <v>2522</v>
      </c>
      <c r="E943" s="2" t="s">
        <v>2529</v>
      </c>
      <c r="F943" s="3">
        <v>149933</v>
      </c>
      <c r="G943" s="3">
        <v>6105</v>
      </c>
      <c r="H943" s="3">
        <v>335</v>
      </c>
      <c r="I943" s="4">
        <v>7198.49</v>
      </c>
      <c r="J943" s="4">
        <v>9974.27</v>
      </c>
      <c r="K943" s="3">
        <v>249</v>
      </c>
      <c r="L943" s="2" t="s">
        <v>2518</v>
      </c>
      <c r="M943" s="2" t="s">
        <v>2546</v>
      </c>
    </row>
    <row r="944" spans="1:13" x14ac:dyDescent="0.3">
      <c r="A944" s="1">
        <v>45802</v>
      </c>
      <c r="B944" s="2" t="s">
        <v>2643</v>
      </c>
      <c r="C944" s="2" t="s">
        <v>2527</v>
      </c>
      <c r="D944" s="2" t="s">
        <v>2516</v>
      </c>
      <c r="E944" s="2" t="s">
        <v>2529</v>
      </c>
      <c r="F944" s="3">
        <v>141585</v>
      </c>
      <c r="G944" s="3">
        <v>8738</v>
      </c>
      <c r="H944" s="3">
        <v>301</v>
      </c>
      <c r="I944" s="4">
        <v>2263.98</v>
      </c>
      <c r="J944" s="4">
        <v>28737.24</v>
      </c>
      <c r="K944" s="3">
        <v>190</v>
      </c>
      <c r="L944" s="2" t="s">
        <v>2536</v>
      </c>
      <c r="M944" s="2" t="s">
        <v>2526</v>
      </c>
    </row>
    <row r="945" spans="1:13" x14ac:dyDescent="0.3">
      <c r="A945" s="1">
        <v>45660</v>
      </c>
      <c r="B945" s="2" t="s">
        <v>2640</v>
      </c>
      <c r="C945" s="2" t="s">
        <v>2541</v>
      </c>
      <c r="D945" s="2" t="s">
        <v>2528</v>
      </c>
      <c r="E945" s="2" t="s">
        <v>2534</v>
      </c>
      <c r="F945" s="3">
        <v>125414</v>
      </c>
      <c r="G945" s="3">
        <v>5316</v>
      </c>
      <c r="H945" s="3">
        <v>367</v>
      </c>
      <c r="I945" s="4">
        <v>9936.66</v>
      </c>
      <c r="J945" s="4">
        <v>59884.19</v>
      </c>
      <c r="K945" s="3">
        <v>227</v>
      </c>
      <c r="L945" s="2" t="s">
        <v>2523</v>
      </c>
      <c r="M945" s="2" t="s">
        <v>2546</v>
      </c>
    </row>
    <row r="946" spans="1:13" x14ac:dyDescent="0.3">
      <c r="A946" s="1">
        <v>45961</v>
      </c>
      <c r="B946" s="2" t="s">
        <v>2624</v>
      </c>
      <c r="C946" s="2" t="s">
        <v>2533</v>
      </c>
      <c r="D946" s="2" t="s">
        <v>2528</v>
      </c>
      <c r="E946" s="2" t="s">
        <v>2529</v>
      </c>
      <c r="F946" s="3">
        <v>158564</v>
      </c>
      <c r="G946" s="3">
        <v>12147</v>
      </c>
      <c r="H946" s="3">
        <v>1678</v>
      </c>
      <c r="I946" s="4">
        <v>24917.15</v>
      </c>
      <c r="J946" s="4">
        <v>96038.14</v>
      </c>
      <c r="K946" s="3">
        <v>1344</v>
      </c>
      <c r="L946" s="2" t="s">
        <v>2523</v>
      </c>
      <c r="M946" s="2" t="s">
        <v>2524</v>
      </c>
    </row>
    <row r="947" spans="1:13" x14ac:dyDescent="0.3">
      <c r="A947" s="1">
        <v>45797</v>
      </c>
      <c r="B947" s="2" t="s">
        <v>2627</v>
      </c>
      <c r="C947" s="2" t="s">
        <v>2515</v>
      </c>
      <c r="D947" s="2" t="s">
        <v>2531</v>
      </c>
      <c r="E947" s="2" t="s">
        <v>2529</v>
      </c>
      <c r="F947" s="3">
        <v>25667</v>
      </c>
      <c r="G947" s="3">
        <v>26332</v>
      </c>
      <c r="H947" s="3">
        <v>79</v>
      </c>
      <c r="I947" s="4">
        <v>1625.98</v>
      </c>
      <c r="J947" s="4">
        <v>15788.62</v>
      </c>
      <c r="K947" s="3">
        <v>61</v>
      </c>
      <c r="L947" s="2" t="s">
        <v>2523</v>
      </c>
      <c r="M947" s="2" t="s">
        <v>2537</v>
      </c>
    </row>
    <row r="948" spans="1:13" x14ac:dyDescent="0.3">
      <c r="A948" s="1">
        <v>45685</v>
      </c>
      <c r="B948" s="2" t="s">
        <v>2643</v>
      </c>
      <c r="C948" s="2" t="s">
        <v>2527</v>
      </c>
      <c r="D948" s="2" t="s">
        <v>2528</v>
      </c>
      <c r="E948" s="2" t="s">
        <v>2529</v>
      </c>
      <c r="F948" s="3">
        <v>67722</v>
      </c>
      <c r="G948" s="3">
        <v>3921</v>
      </c>
      <c r="H948" s="3">
        <v>38</v>
      </c>
      <c r="I948" s="4">
        <v>7115.12</v>
      </c>
      <c r="J948" s="4">
        <v>4910.17</v>
      </c>
      <c r="K948" s="3">
        <v>30</v>
      </c>
      <c r="L948" s="2" t="s">
        <v>2536</v>
      </c>
      <c r="M948" s="2" t="s">
        <v>2537</v>
      </c>
    </row>
    <row r="949" spans="1:13" x14ac:dyDescent="0.3">
      <c r="A949" s="1">
        <v>45777</v>
      </c>
      <c r="B949" s="2" t="s">
        <v>2642</v>
      </c>
      <c r="C949" s="2" t="s">
        <v>2515</v>
      </c>
      <c r="D949" s="2" t="s">
        <v>2516</v>
      </c>
      <c r="E949" s="2" t="s">
        <v>2529</v>
      </c>
      <c r="F949" s="3">
        <v>173242</v>
      </c>
      <c r="G949" s="3">
        <v>9662</v>
      </c>
      <c r="H949" s="3">
        <v>509</v>
      </c>
      <c r="I949" s="4">
        <v>10139.700000000001</v>
      </c>
      <c r="J949" s="4">
        <v>111269.03</v>
      </c>
      <c r="K949" s="3">
        <v>354</v>
      </c>
      <c r="L949" s="2" t="s">
        <v>2523</v>
      </c>
      <c r="M949" s="2" t="s">
        <v>2537</v>
      </c>
    </row>
    <row r="950" spans="1:13" x14ac:dyDescent="0.3">
      <c r="A950" s="1">
        <v>45936</v>
      </c>
      <c r="B950" s="2" t="s">
        <v>2627</v>
      </c>
      <c r="C950" s="2" t="s">
        <v>2533</v>
      </c>
      <c r="D950" s="2" t="s">
        <v>2522</v>
      </c>
      <c r="E950" s="2" t="s">
        <v>2529</v>
      </c>
      <c r="F950" s="3">
        <v>175185</v>
      </c>
      <c r="G950" s="3">
        <v>10397</v>
      </c>
      <c r="H950" s="3">
        <v>184</v>
      </c>
      <c r="I950" s="4">
        <v>13503.21</v>
      </c>
      <c r="J950" s="4">
        <v>24319.54</v>
      </c>
      <c r="K950" s="3">
        <v>93</v>
      </c>
      <c r="L950" s="2" t="s">
        <v>2518</v>
      </c>
      <c r="M950" s="2" t="s">
        <v>2524</v>
      </c>
    </row>
    <row r="951" spans="1:13" x14ac:dyDescent="0.3">
      <c r="A951" s="1">
        <v>45777</v>
      </c>
      <c r="B951" s="2" t="s">
        <v>2616</v>
      </c>
      <c r="C951" s="2" t="s">
        <v>2521</v>
      </c>
      <c r="D951" s="2" t="s">
        <v>2528</v>
      </c>
      <c r="E951" s="2" t="s">
        <v>2529</v>
      </c>
      <c r="F951" s="3">
        <v>66646</v>
      </c>
      <c r="G951" s="3">
        <v>5081</v>
      </c>
      <c r="H951" s="3">
        <v>658</v>
      </c>
      <c r="I951" s="4">
        <v>2266.14</v>
      </c>
      <c r="J951" s="4">
        <v>143817.25</v>
      </c>
      <c r="K951" s="3">
        <v>348</v>
      </c>
      <c r="L951" s="2" t="s">
        <v>2518</v>
      </c>
      <c r="M951" s="2" t="s">
        <v>2524</v>
      </c>
    </row>
    <row r="952" spans="1:13" x14ac:dyDescent="0.3">
      <c r="A952" s="1">
        <v>45723</v>
      </c>
      <c r="B952" s="2" t="s">
        <v>2627</v>
      </c>
      <c r="C952" s="2" t="s">
        <v>2521</v>
      </c>
      <c r="D952" s="2" t="s">
        <v>2528</v>
      </c>
      <c r="E952" s="2" t="s">
        <v>2517</v>
      </c>
      <c r="F952" s="3">
        <v>139339</v>
      </c>
      <c r="G952" s="3">
        <v>592</v>
      </c>
      <c r="H952" s="3">
        <v>78</v>
      </c>
      <c r="I952" s="4">
        <v>1077.8399999999999</v>
      </c>
      <c r="J952" s="4">
        <v>5217.87</v>
      </c>
      <c r="K952" s="3">
        <v>55</v>
      </c>
      <c r="L952" s="2" t="s">
        <v>2539</v>
      </c>
      <c r="M952" s="2" t="s">
        <v>2524</v>
      </c>
    </row>
    <row r="953" spans="1:13" x14ac:dyDescent="0.3">
      <c r="A953" s="1">
        <v>45724</v>
      </c>
      <c r="B953" s="2" t="s">
        <v>2638</v>
      </c>
      <c r="C953" s="2" t="s">
        <v>2543</v>
      </c>
      <c r="D953" s="2" t="s">
        <v>2522</v>
      </c>
      <c r="E953" s="2" t="s">
        <v>2517</v>
      </c>
      <c r="F953" s="3">
        <v>95755</v>
      </c>
      <c r="G953" s="3">
        <v>5999</v>
      </c>
      <c r="H953" s="3">
        <v>696</v>
      </c>
      <c r="I953" s="4">
        <v>9288.7800000000007</v>
      </c>
      <c r="J953" s="4">
        <v>71878.91</v>
      </c>
      <c r="K953" s="3">
        <v>318</v>
      </c>
      <c r="L953" s="2" t="s">
        <v>2539</v>
      </c>
      <c r="M953" s="2" t="s">
        <v>2526</v>
      </c>
    </row>
    <row r="954" spans="1:13" x14ac:dyDescent="0.3">
      <c r="A954" s="1">
        <v>45966</v>
      </c>
      <c r="B954" s="2" t="s">
        <v>2621</v>
      </c>
      <c r="C954" s="2" t="s">
        <v>2527</v>
      </c>
      <c r="D954" s="2" t="s">
        <v>2516</v>
      </c>
      <c r="E954" s="2" t="s">
        <v>2529</v>
      </c>
      <c r="F954" s="3">
        <v>165468</v>
      </c>
      <c r="G954" s="3">
        <v>4552</v>
      </c>
      <c r="H954" s="3">
        <v>568</v>
      </c>
      <c r="I954" s="4">
        <v>6701.5</v>
      </c>
      <c r="J954" s="4">
        <v>114457.35</v>
      </c>
      <c r="K954" s="3">
        <v>362</v>
      </c>
      <c r="L954" s="2" t="s">
        <v>2518</v>
      </c>
      <c r="M954" s="2" t="s">
        <v>2526</v>
      </c>
    </row>
    <row r="955" spans="1:13" x14ac:dyDescent="0.3">
      <c r="A955" s="1">
        <v>45844</v>
      </c>
      <c r="B955" s="2" t="s">
        <v>2637</v>
      </c>
      <c r="C955" s="2" t="s">
        <v>2515</v>
      </c>
      <c r="D955" s="2" t="s">
        <v>2528</v>
      </c>
      <c r="E955" s="2" t="s">
        <v>2517</v>
      </c>
      <c r="F955" s="3">
        <v>150758</v>
      </c>
      <c r="G955" s="3">
        <v>4211</v>
      </c>
      <c r="H955" s="3">
        <v>4231</v>
      </c>
      <c r="I955" s="4">
        <v>5305.71</v>
      </c>
      <c r="J955" s="4">
        <v>50159.19</v>
      </c>
      <c r="K955" s="3">
        <v>274</v>
      </c>
      <c r="L955" s="2" t="s">
        <v>2536</v>
      </c>
      <c r="M955" s="2" t="s">
        <v>2537</v>
      </c>
    </row>
    <row r="956" spans="1:13" x14ac:dyDescent="0.3">
      <c r="A956" s="1">
        <v>45744</v>
      </c>
      <c r="B956" s="2" t="s">
        <v>2631</v>
      </c>
      <c r="C956" s="2" t="s">
        <v>2543</v>
      </c>
      <c r="D956" s="2" t="s">
        <v>2522</v>
      </c>
      <c r="E956" s="2" t="s">
        <v>2529</v>
      </c>
      <c r="F956" s="3">
        <v>3951</v>
      </c>
      <c r="G956" s="3">
        <v>260</v>
      </c>
      <c r="H956" s="3">
        <v>24</v>
      </c>
      <c r="I956" s="4">
        <v>151.44999999999999</v>
      </c>
      <c r="J956" s="4">
        <v>4153.43</v>
      </c>
      <c r="K956" s="3">
        <v>18</v>
      </c>
      <c r="L956" s="2" t="s">
        <v>2523</v>
      </c>
      <c r="M956" s="2" t="s">
        <v>2526</v>
      </c>
    </row>
    <row r="957" spans="1:13" x14ac:dyDescent="0.3">
      <c r="A957" s="1">
        <v>45861</v>
      </c>
      <c r="B957" s="2" t="s">
        <v>2635</v>
      </c>
      <c r="C957" s="2" t="s">
        <v>2541</v>
      </c>
      <c r="D957" s="2" t="s">
        <v>2528</v>
      </c>
      <c r="E957" s="2" t="s">
        <v>2517</v>
      </c>
      <c r="F957" s="3">
        <v>107742</v>
      </c>
      <c r="G957" s="3">
        <v>6360</v>
      </c>
      <c r="H957" s="3">
        <v>705</v>
      </c>
      <c r="I957" s="4">
        <v>11310.42</v>
      </c>
      <c r="J957" s="4">
        <v>93089.67</v>
      </c>
      <c r="K957" s="3">
        <v>620</v>
      </c>
      <c r="L957" s="2" t="s">
        <v>2539</v>
      </c>
      <c r="M957" s="2" t="s">
        <v>2546</v>
      </c>
    </row>
    <row r="958" spans="1:13" x14ac:dyDescent="0.3">
      <c r="A958" s="1">
        <v>46015</v>
      </c>
      <c r="B958" s="2" t="s">
        <v>2640</v>
      </c>
      <c r="C958" s="2" t="s">
        <v>2541</v>
      </c>
      <c r="D958" s="2" t="s">
        <v>2528</v>
      </c>
      <c r="E958" s="2" t="s">
        <v>2529</v>
      </c>
      <c r="F958" s="3">
        <v>132835</v>
      </c>
      <c r="G958" s="3">
        <v>1233</v>
      </c>
      <c r="H958" s="3">
        <v>82</v>
      </c>
      <c r="I958" s="4">
        <v>245.2</v>
      </c>
      <c r="J958" s="4">
        <v>16361.65</v>
      </c>
      <c r="K958" s="3">
        <v>43</v>
      </c>
      <c r="L958" s="2" t="s">
        <v>2539</v>
      </c>
      <c r="M958" s="2" t="s">
        <v>2519</v>
      </c>
    </row>
    <row r="959" spans="1:13" x14ac:dyDescent="0.3">
      <c r="A959" s="1">
        <v>45820</v>
      </c>
      <c r="B959" s="2" t="s">
        <v>2635</v>
      </c>
      <c r="C959" s="2" t="s">
        <v>2515</v>
      </c>
      <c r="D959" s="2" t="s">
        <v>2516</v>
      </c>
      <c r="E959" s="2" t="s">
        <v>2517</v>
      </c>
      <c r="F959" s="3">
        <v>150871</v>
      </c>
      <c r="G959" s="3">
        <v>7101</v>
      </c>
      <c r="H959" s="3">
        <v>791</v>
      </c>
      <c r="I959" s="4">
        <v>2403.79</v>
      </c>
      <c r="J959" s="4">
        <v>104718.28</v>
      </c>
      <c r="K959" s="3">
        <v>424</v>
      </c>
      <c r="L959" s="2" t="s">
        <v>2536</v>
      </c>
      <c r="M959" s="2" t="s">
        <v>2519</v>
      </c>
    </row>
    <row r="960" spans="1:13" x14ac:dyDescent="0.3">
      <c r="A960" s="1">
        <v>46001</v>
      </c>
      <c r="B960" s="2" t="s">
        <v>2635</v>
      </c>
      <c r="C960" s="2" t="s">
        <v>2521</v>
      </c>
      <c r="D960" s="2" t="s">
        <v>2528</v>
      </c>
      <c r="E960" s="2" t="s">
        <v>2517</v>
      </c>
      <c r="F960" s="3">
        <v>2564</v>
      </c>
      <c r="G960" s="3">
        <v>66</v>
      </c>
      <c r="H960" s="3">
        <v>4</v>
      </c>
      <c r="I960" s="4">
        <v>88.3</v>
      </c>
      <c r="J960" s="4">
        <v>193.69</v>
      </c>
      <c r="K960" s="3">
        <v>2</v>
      </c>
      <c r="L960" s="2" t="s">
        <v>2536</v>
      </c>
      <c r="M960" s="2" t="s">
        <v>2526</v>
      </c>
    </row>
    <row r="961" spans="1:13" x14ac:dyDescent="0.3">
      <c r="A961" s="1">
        <v>45796</v>
      </c>
      <c r="B961" s="2" t="s">
        <v>2632</v>
      </c>
      <c r="C961" s="2" t="s">
        <v>2521</v>
      </c>
      <c r="D961" s="2" t="s">
        <v>2528</v>
      </c>
      <c r="E961" s="2" t="s">
        <v>2529</v>
      </c>
      <c r="F961" s="3">
        <v>79569</v>
      </c>
      <c r="G961" s="3">
        <v>1264</v>
      </c>
      <c r="H961" s="3">
        <v>10</v>
      </c>
      <c r="I961" s="4">
        <v>1490.3</v>
      </c>
      <c r="J961" s="4">
        <v>1901.6</v>
      </c>
      <c r="K961" s="3">
        <v>5</v>
      </c>
      <c r="L961" s="2" t="s">
        <v>2539</v>
      </c>
      <c r="M961" s="2" t="s">
        <v>2537</v>
      </c>
    </row>
    <row r="962" spans="1:13" x14ac:dyDescent="0.3">
      <c r="A962" s="1">
        <v>45840</v>
      </c>
      <c r="B962" s="2" t="s">
        <v>2621</v>
      </c>
      <c r="C962" s="2" t="s">
        <v>2541</v>
      </c>
      <c r="D962" s="2" t="s">
        <v>2516</v>
      </c>
      <c r="E962" s="2" t="s">
        <v>2517</v>
      </c>
      <c r="F962" s="3">
        <v>104766</v>
      </c>
      <c r="G962" s="3">
        <v>633</v>
      </c>
      <c r="H962" s="3">
        <v>18</v>
      </c>
      <c r="I962" s="4">
        <v>1035.1099999999999</v>
      </c>
      <c r="J962" s="4">
        <v>2385.5</v>
      </c>
      <c r="K962" s="3">
        <v>15</v>
      </c>
      <c r="L962" s="2" t="s">
        <v>2539</v>
      </c>
      <c r="M962" s="2" t="s">
        <v>2537</v>
      </c>
    </row>
    <row r="963" spans="1:13" x14ac:dyDescent="0.3">
      <c r="A963" s="1">
        <v>45744</v>
      </c>
      <c r="B963" s="2" t="s">
        <v>2626</v>
      </c>
      <c r="C963" s="2" t="s">
        <v>2543</v>
      </c>
      <c r="D963" s="2" t="s">
        <v>2525</v>
      </c>
      <c r="E963" s="2" t="s">
        <v>2517</v>
      </c>
      <c r="F963" s="3">
        <v>66823</v>
      </c>
      <c r="G963" s="3">
        <v>582</v>
      </c>
      <c r="H963" s="3">
        <v>68</v>
      </c>
      <c r="I963" s="4">
        <v>1021.65</v>
      </c>
      <c r="J963" s="4">
        <v>1059.55</v>
      </c>
      <c r="K963" s="3">
        <v>48</v>
      </c>
      <c r="L963" s="2" t="s">
        <v>2523</v>
      </c>
      <c r="M963" s="2" t="s">
        <v>2526</v>
      </c>
    </row>
    <row r="964" spans="1:13" x14ac:dyDescent="0.3">
      <c r="A964" s="1">
        <v>45856</v>
      </c>
      <c r="B964" s="2" t="s">
        <v>2644</v>
      </c>
      <c r="C964" s="2" t="s">
        <v>2527</v>
      </c>
      <c r="D964" s="2" t="s">
        <v>2531</v>
      </c>
      <c r="E964" s="2" t="s">
        <v>2517</v>
      </c>
      <c r="F964" s="3">
        <v>128897</v>
      </c>
      <c r="G964" s="3">
        <v>8402</v>
      </c>
      <c r="H964" s="3">
        <v>326</v>
      </c>
      <c r="I964" s="4">
        <v>2532.1799999999998</v>
      </c>
      <c r="J964" s="4">
        <v>33859.339999999997</v>
      </c>
      <c r="K964" s="3">
        <v>236</v>
      </c>
      <c r="L964" s="2" t="s">
        <v>2518</v>
      </c>
      <c r="M964" s="2" t="s">
        <v>2524</v>
      </c>
    </row>
    <row r="965" spans="1:13" x14ac:dyDescent="0.3">
      <c r="A965" s="1">
        <v>45982</v>
      </c>
      <c r="B965" s="2" t="s">
        <v>2627</v>
      </c>
      <c r="C965" s="2" t="s">
        <v>2521</v>
      </c>
      <c r="D965" s="2" t="s">
        <v>2528</v>
      </c>
      <c r="E965" s="2" t="s">
        <v>2529</v>
      </c>
      <c r="F965" s="3">
        <v>15348</v>
      </c>
      <c r="G965" s="3">
        <v>330</v>
      </c>
      <c r="H965" s="3">
        <v>20</v>
      </c>
      <c r="I965" s="4">
        <v>270.88</v>
      </c>
      <c r="J965" s="4">
        <v>2997.12</v>
      </c>
      <c r="K965" s="3">
        <v>11</v>
      </c>
      <c r="L965" s="2" t="s">
        <v>2518</v>
      </c>
      <c r="M965" s="2" t="s">
        <v>2526</v>
      </c>
    </row>
    <row r="966" spans="1:13" x14ac:dyDescent="0.3">
      <c r="A966" s="1">
        <v>45756</v>
      </c>
      <c r="B966" s="2" t="s">
        <v>2634</v>
      </c>
      <c r="C966" s="2" t="s">
        <v>2541</v>
      </c>
      <c r="D966" s="2" t="s">
        <v>2528</v>
      </c>
      <c r="E966" s="2" t="s">
        <v>2529</v>
      </c>
      <c r="F966" s="3">
        <v>160691</v>
      </c>
      <c r="G966" s="3">
        <v>13134</v>
      </c>
      <c r="H966" s="3">
        <v>1464</v>
      </c>
      <c r="I966" s="4">
        <v>26381.86</v>
      </c>
      <c r="J966" s="4">
        <v>272818.65999999997</v>
      </c>
      <c r="K966" s="3">
        <v>1027</v>
      </c>
      <c r="L966" s="2" t="s">
        <v>2518</v>
      </c>
      <c r="M966" s="2" t="s">
        <v>2524</v>
      </c>
    </row>
    <row r="967" spans="1:13" x14ac:dyDescent="0.3">
      <c r="A967" s="1">
        <v>45892</v>
      </c>
      <c r="B967" s="2" t="s">
        <v>2616</v>
      </c>
      <c r="C967" s="2" t="s">
        <v>2533</v>
      </c>
      <c r="D967" s="2" t="s">
        <v>2525</v>
      </c>
      <c r="E967" s="2" t="s">
        <v>2529</v>
      </c>
      <c r="F967" s="3">
        <v>83680</v>
      </c>
      <c r="G967" s="3">
        <v>5220</v>
      </c>
      <c r="H967" s="3">
        <v>498</v>
      </c>
      <c r="I967" s="4">
        <v>4579.9799999999996</v>
      </c>
      <c r="J967" s="4">
        <v>107752.71</v>
      </c>
      <c r="K967" s="3">
        <v>241</v>
      </c>
      <c r="L967" s="2" t="s">
        <v>2523</v>
      </c>
      <c r="M967" s="2" t="s">
        <v>2546</v>
      </c>
    </row>
    <row r="968" spans="1:13" x14ac:dyDescent="0.3">
      <c r="A968" s="1">
        <v>45758</v>
      </c>
      <c r="B968" s="2" t="s">
        <v>2625</v>
      </c>
      <c r="C968" s="2" t="s">
        <v>2527</v>
      </c>
      <c r="D968" s="2" t="s">
        <v>2516</v>
      </c>
      <c r="E968" s="2" t="s">
        <v>2534</v>
      </c>
      <c r="F968" s="3">
        <v>178605</v>
      </c>
      <c r="G968" s="3">
        <v>12653</v>
      </c>
      <c r="H968" s="3">
        <v>783</v>
      </c>
      <c r="I968" s="4">
        <v>3726.37</v>
      </c>
      <c r="J968" s="4">
        <v>48503.65</v>
      </c>
      <c r="K968" s="3">
        <v>484</v>
      </c>
      <c r="L968" s="2" t="s">
        <v>2518</v>
      </c>
      <c r="M968" s="2" t="s">
        <v>2524</v>
      </c>
    </row>
    <row r="969" spans="1:13" x14ac:dyDescent="0.3">
      <c r="A969" s="1">
        <v>46016</v>
      </c>
      <c r="B969" s="2" t="s">
        <v>2616</v>
      </c>
      <c r="C969" s="2" t="s">
        <v>2527</v>
      </c>
      <c r="D969" s="2" t="s">
        <v>2531</v>
      </c>
      <c r="E969" s="2" t="s">
        <v>2517</v>
      </c>
      <c r="F969" s="3">
        <v>123430</v>
      </c>
      <c r="G969" s="3">
        <v>11014</v>
      </c>
      <c r="H969" s="3">
        <v>1442</v>
      </c>
      <c r="I969" s="4">
        <v>21349.39</v>
      </c>
      <c r="J969" s="4">
        <v>94430.74</v>
      </c>
      <c r="K969" s="3">
        <v>864</v>
      </c>
      <c r="L969" s="2" t="s">
        <v>2536</v>
      </c>
      <c r="M969" s="2" t="s">
        <v>2537</v>
      </c>
    </row>
    <row r="970" spans="1:13" x14ac:dyDescent="0.3">
      <c r="A970" s="1">
        <v>45969</v>
      </c>
      <c r="B970" s="2" t="s">
        <v>2637</v>
      </c>
      <c r="C970" s="2" t="s">
        <v>2515</v>
      </c>
      <c r="D970" s="2" t="s">
        <v>2525</v>
      </c>
      <c r="E970" s="2" t="s">
        <v>2529</v>
      </c>
      <c r="F970" s="3">
        <v>87769</v>
      </c>
      <c r="G970" s="3">
        <v>6894</v>
      </c>
      <c r="H970" s="3">
        <v>765</v>
      </c>
      <c r="I970" s="4">
        <v>2989.98</v>
      </c>
      <c r="J970" s="4">
        <v>158117.46</v>
      </c>
      <c r="K970" s="3">
        <v>627</v>
      </c>
      <c r="L970" s="2" t="s">
        <v>2518</v>
      </c>
      <c r="M970" s="2" t="s">
        <v>2546</v>
      </c>
    </row>
    <row r="971" spans="1:13" x14ac:dyDescent="0.3">
      <c r="A971" s="1">
        <v>45978</v>
      </c>
      <c r="B971" s="2" t="s">
        <v>2616</v>
      </c>
      <c r="C971" s="2" t="s">
        <v>2515</v>
      </c>
      <c r="D971" s="2" t="s">
        <v>2528</v>
      </c>
      <c r="E971" s="2" t="s">
        <v>2517</v>
      </c>
      <c r="F971" s="3">
        <v>116741</v>
      </c>
      <c r="G971" s="3">
        <v>7116</v>
      </c>
      <c r="H971" s="3">
        <v>429</v>
      </c>
      <c r="I971" s="4">
        <v>3398.98</v>
      </c>
      <c r="J971" s="4">
        <v>47069.04</v>
      </c>
      <c r="K971" s="3">
        <v>333</v>
      </c>
      <c r="L971" s="2" t="s">
        <v>2539</v>
      </c>
      <c r="M971" s="2" t="s">
        <v>2524</v>
      </c>
    </row>
    <row r="972" spans="1:13" x14ac:dyDescent="0.3">
      <c r="A972" s="1">
        <v>45821</v>
      </c>
      <c r="B972" s="2" t="s">
        <v>2630</v>
      </c>
      <c r="C972" s="2" t="s">
        <v>2515</v>
      </c>
      <c r="D972" s="2" t="s">
        <v>2531</v>
      </c>
      <c r="E972" s="2" t="s">
        <v>2517</v>
      </c>
      <c r="F972" s="3">
        <v>75891</v>
      </c>
      <c r="G972" s="3">
        <v>4887</v>
      </c>
      <c r="H972" s="3">
        <v>625</v>
      </c>
      <c r="I972" s="4">
        <v>4117.8599999999997</v>
      </c>
      <c r="J972" s="4">
        <v>109906.16</v>
      </c>
      <c r="K972" s="3">
        <v>477</v>
      </c>
      <c r="L972" s="2" t="s">
        <v>2523</v>
      </c>
      <c r="M972" s="2" t="s">
        <v>2526</v>
      </c>
    </row>
    <row r="973" spans="1:13" x14ac:dyDescent="0.3">
      <c r="A973" s="1">
        <v>45841</v>
      </c>
      <c r="B973" s="2" t="s">
        <v>2640</v>
      </c>
      <c r="C973" s="2" t="s">
        <v>2543</v>
      </c>
      <c r="D973" s="2" t="s">
        <v>2528</v>
      </c>
      <c r="E973" s="2" t="s">
        <v>2529</v>
      </c>
      <c r="F973" s="3">
        <v>136270</v>
      </c>
      <c r="G973" s="3">
        <v>670</v>
      </c>
      <c r="H973" s="3">
        <v>39</v>
      </c>
      <c r="I973" s="4">
        <v>786.45</v>
      </c>
      <c r="J973" s="4">
        <v>6409.71</v>
      </c>
      <c r="K973" s="3">
        <v>30</v>
      </c>
      <c r="L973" s="2" t="s">
        <v>2539</v>
      </c>
      <c r="M973" s="2" t="s">
        <v>2519</v>
      </c>
    </row>
    <row r="974" spans="1:13" x14ac:dyDescent="0.3">
      <c r="A974" s="1">
        <v>45692</v>
      </c>
      <c r="B974" s="2" t="s">
        <v>2622</v>
      </c>
      <c r="C974" s="2" t="s">
        <v>2527</v>
      </c>
      <c r="D974" s="2" t="s">
        <v>2522</v>
      </c>
      <c r="E974" s="2" t="s">
        <v>2517</v>
      </c>
      <c r="F974" s="3">
        <v>26309</v>
      </c>
      <c r="G974" s="3">
        <v>1703</v>
      </c>
      <c r="H974" s="3">
        <v>47</v>
      </c>
      <c r="I974" s="4">
        <v>1152.47</v>
      </c>
      <c r="J974" s="4">
        <v>4195.67</v>
      </c>
      <c r="K974" s="3">
        <v>31</v>
      </c>
      <c r="L974" s="2" t="s">
        <v>2536</v>
      </c>
      <c r="M974" s="2" t="s">
        <v>2524</v>
      </c>
    </row>
    <row r="975" spans="1:13" x14ac:dyDescent="0.3">
      <c r="A975" s="1">
        <v>45739</v>
      </c>
      <c r="B975" s="2" t="s">
        <v>2623</v>
      </c>
      <c r="C975" s="2" t="s">
        <v>2527</v>
      </c>
      <c r="D975" s="2" t="s">
        <v>2516</v>
      </c>
      <c r="E975" s="2" t="s">
        <v>2517</v>
      </c>
      <c r="F975" s="3">
        <v>104636</v>
      </c>
      <c r="G975" s="3">
        <v>5983</v>
      </c>
      <c r="H975" s="3">
        <v>172</v>
      </c>
      <c r="I975" s="4">
        <v>7422.32</v>
      </c>
      <c r="J975" s="4">
        <v>6415.62</v>
      </c>
      <c r="K975" s="3">
        <v>122</v>
      </c>
      <c r="L975" s="2" t="s">
        <v>2518</v>
      </c>
      <c r="M975" s="2" t="s">
        <v>2526</v>
      </c>
    </row>
    <row r="976" spans="1:13" x14ac:dyDescent="0.3">
      <c r="A976" s="1">
        <v>45829</v>
      </c>
      <c r="B976" s="2" t="s">
        <v>2630</v>
      </c>
      <c r="C976" s="2" t="s">
        <v>2533</v>
      </c>
      <c r="D976" s="2" t="s">
        <v>2522</v>
      </c>
      <c r="E976" s="2" t="s">
        <v>2517</v>
      </c>
      <c r="F976" s="3">
        <v>81817</v>
      </c>
      <c r="G976" s="3">
        <v>1192</v>
      </c>
      <c r="H976" s="3">
        <v>104</v>
      </c>
      <c r="I976" s="4">
        <v>2213.25</v>
      </c>
      <c r="J976" s="4">
        <v>6526.38</v>
      </c>
      <c r="K976" s="3">
        <v>66</v>
      </c>
      <c r="L976" s="2" t="s">
        <v>2539</v>
      </c>
      <c r="M976" s="2" t="s">
        <v>2524</v>
      </c>
    </row>
    <row r="977" spans="1:13" x14ac:dyDescent="0.3">
      <c r="A977" s="1">
        <v>45658</v>
      </c>
      <c r="B977" s="2" t="s">
        <v>2628</v>
      </c>
      <c r="C977" s="2" t="s">
        <v>2541</v>
      </c>
      <c r="D977" s="2" t="s">
        <v>2528</v>
      </c>
      <c r="E977" s="2" t="s">
        <v>2517</v>
      </c>
      <c r="F977" s="3">
        <v>110409</v>
      </c>
      <c r="G977" s="3">
        <v>9365</v>
      </c>
      <c r="H977" s="3">
        <v>559</v>
      </c>
      <c r="I977" s="4">
        <v>18551.97</v>
      </c>
      <c r="J977" s="4">
        <v>110464.95</v>
      </c>
      <c r="K977" s="3">
        <v>254</v>
      </c>
      <c r="L977" s="2" t="s">
        <v>2523</v>
      </c>
      <c r="M977" s="2" t="s">
        <v>2537</v>
      </c>
    </row>
    <row r="978" spans="1:13" x14ac:dyDescent="0.3">
      <c r="A978" s="1">
        <v>45928</v>
      </c>
      <c r="B978" s="2" t="s">
        <v>2631</v>
      </c>
      <c r="C978" s="2" t="s">
        <v>2543</v>
      </c>
      <c r="D978" s="2" t="s">
        <v>2531</v>
      </c>
      <c r="E978" s="2" t="s">
        <v>2517</v>
      </c>
      <c r="F978" s="3">
        <v>85211</v>
      </c>
      <c r="G978" s="3">
        <v>1105</v>
      </c>
      <c r="H978" s="3">
        <v>39</v>
      </c>
      <c r="I978" s="4">
        <v>2200.96</v>
      </c>
      <c r="J978" s="4">
        <v>4903.47</v>
      </c>
      <c r="K978" s="3">
        <v>22</v>
      </c>
      <c r="L978" s="2" t="s">
        <v>2523</v>
      </c>
      <c r="M978" s="2" t="s">
        <v>2519</v>
      </c>
    </row>
    <row r="979" spans="1:13" x14ac:dyDescent="0.3">
      <c r="A979" s="1">
        <v>45834</v>
      </c>
      <c r="B979" s="2" t="s">
        <v>2630</v>
      </c>
      <c r="C979" s="2" t="s">
        <v>2521</v>
      </c>
      <c r="D979" s="2" t="s">
        <v>2528</v>
      </c>
      <c r="E979" s="2" t="s">
        <v>2529</v>
      </c>
      <c r="F979" s="3">
        <v>57555</v>
      </c>
      <c r="G979" s="3">
        <v>954</v>
      </c>
      <c r="H979" s="3">
        <v>126</v>
      </c>
      <c r="I979" s="4">
        <v>844.02</v>
      </c>
      <c r="J979" s="4">
        <v>2411.37</v>
      </c>
      <c r="K979" s="3">
        <v>69</v>
      </c>
      <c r="L979" s="2" t="s">
        <v>2518</v>
      </c>
      <c r="M979" s="2" t="s">
        <v>2524</v>
      </c>
    </row>
    <row r="980" spans="1:13" x14ac:dyDescent="0.3">
      <c r="A980" s="1">
        <v>45870</v>
      </c>
      <c r="B980" s="2" t="s">
        <v>2624</v>
      </c>
      <c r="C980" s="2" t="s">
        <v>2541</v>
      </c>
      <c r="D980" s="2" t="s">
        <v>2528</v>
      </c>
      <c r="E980" s="2" t="s">
        <v>2529</v>
      </c>
      <c r="F980" s="3">
        <v>168745</v>
      </c>
      <c r="G980" s="3">
        <v>8736</v>
      </c>
      <c r="H980" s="3">
        <v>450</v>
      </c>
      <c r="I980" s="4">
        <v>2774.46</v>
      </c>
      <c r="J980" s="4">
        <v>48249.9</v>
      </c>
      <c r="K980" s="3">
        <v>278</v>
      </c>
      <c r="L980" s="2" t="s">
        <v>2523</v>
      </c>
      <c r="M980" s="2" t="s">
        <v>2524</v>
      </c>
    </row>
    <row r="981" spans="1:13" x14ac:dyDescent="0.3">
      <c r="A981" s="1">
        <v>45892</v>
      </c>
      <c r="B981" s="2" t="s">
        <v>2628</v>
      </c>
      <c r="C981" s="2" t="s">
        <v>2543</v>
      </c>
      <c r="D981" s="2" t="s">
        <v>2516</v>
      </c>
      <c r="E981" s="2" t="s">
        <v>2517</v>
      </c>
      <c r="F981" s="3">
        <v>23363</v>
      </c>
      <c r="G981" s="3">
        <v>559</v>
      </c>
      <c r="H981" s="3">
        <v>3</v>
      </c>
      <c r="I981" s="4">
        <v>232.93</v>
      </c>
      <c r="J981" s="4">
        <v>571.92999999999995</v>
      </c>
      <c r="K981" s="3">
        <v>2</v>
      </c>
      <c r="L981" s="2" t="s">
        <v>2523</v>
      </c>
      <c r="M981" s="2" t="s">
        <v>2526</v>
      </c>
    </row>
    <row r="982" spans="1:13" x14ac:dyDescent="0.3">
      <c r="A982" s="1">
        <v>45720</v>
      </c>
      <c r="B982" s="2" t="s">
        <v>2626</v>
      </c>
      <c r="C982" s="2" t="s">
        <v>2541</v>
      </c>
      <c r="D982" s="2" t="s">
        <v>2528</v>
      </c>
      <c r="E982" s="2" t="s">
        <v>2529</v>
      </c>
      <c r="F982" s="3">
        <v>79688</v>
      </c>
      <c r="G982" s="3">
        <v>1162</v>
      </c>
      <c r="H982" s="3">
        <v>69</v>
      </c>
      <c r="I982" s="4">
        <v>164.67</v>
      </c>
      <c r="J982" s="4">
        <v>4512.41</v>
      </c>
      <c r="K982" s="3">
        <v>42</v>
      </c>
      <c r="L982" s="2" t="s">
        <v>2523</v>
      </c>
      <c r="M982" s="2" t="s">
        <v>2519</v>
      </c>
    </row>
    <row r="983" spans="1:13" x14ac:dyDescent="0.3">
      <c r="A983" s="1">
        <v>45768</v>
      </c>
      <c r="B983" s="2" t="s">
        <v>2618</v>
      </c>
      <c r="C983" s="2" t="s">
        <v>2543</v>
      </c>
      <c r="D983" s="2" t="s">
        <v>2528</v>
      </c>
      <c r="E983" s="2" t="s">
        <v>2534</v>
      </c>
      <c r="F983" s="3">
        <v>47716</v>
      </c>
      <c r="G983" s="3">
        <v>2054</v>
      </c>
      <c r="H983" s="3">
        <v>220</v>
      </c>
      <c r="I983" s="4">
        <v>2473.4499999999998</v>
      </c>
      <c r="J983" s="4">
        <v>29414</v>
      </c>
      <c r="K983" s="3">
        <v>163</v>
      </c>
      <c r="L983" s="2" t="s">
        <v>2523</v>
      </c>
      <c r="M983" s="2" t="s">
        <v>2524</v>
      </c>
    </row>
    <row r="984" spans="1:13" x14ac:dyDescent="0.3">
      <c r="A984" s="1">
        <v>45741</v>
      </c>
      <c r="B984" s="2" t="s">
        <v>2621</v>
      </c>
      <c r="C984" s="2" t="s">
        <v>2645</v>
      </c>
      <c r="D984" s="2" t="s">
        <v>2516</v>
      </c>
      <c r="E984" s="2" t="s">
        <v>2529</v>
      </c>
      <c r="F984" s="3">
        <v>115691</v>
      </c>
      <c r="G984" s="3">
        <v>4297</v>
      </c>
      <c r="H984" s="3">
        <v>466</v>
      </c>
      <c r="I984" s="4">
        <v>3908.17</v>
      </c>
      <c r="J984" s="4">
        <v>91499.65</v>
      </c>
      <c r="K984" s="3">
        <v>323</v>
      </c>
      <c r="L984" s="2" t="s">
        <v>2536</v>
      </c>
      <c r="M984" s="2" t="s">
        <v>2537</v>
      </c>
    </row>
    <row r="985" spans="1:13" x14ac:dyDescent="0.3">
      <c r="A985" s="1">
        <v>45859</v>
      </c>
      <c r="B985" s="2" t="s">
        <v>2632</v>
      </c>
      <c r="C985" s="2" t="s">
        <v>2645</v>
      </c>
      <c r="D985" s="2" t="s">
        <v>2522</v>
      </c>
      <c r="E985" s="2" t="s">
        <v>2517</v>
      </c>
      <c r="F985" s="3">
        <v>59275</v>
      </c>
      <c r="G985" s="3">
        <v>1012</v>
      </c>
      <c r="H985" s="3">
        <v>41</v>
      </c>
      <c r="I985" s="4">
        <v>197.08</v>
      </c>
      <c r="J985" s="4">
        <v>5609.18</v>
      </c>
      <c r="K985" s="3">
        <v>30</v>
      </c>
      <c r="L985" s="2" t="s">
        <v>2518</v>
      </c>
      <c r="M985" s="2" t="s">
        <v>2526</v>
      </c>
    </row>
    <row r="986" spans="1:13" x14ac:dyDescent="0.3">
      <c r="A986" s="1">
        <v>45797</v>
      </c>
      <c r="B986" s="2" t="s">
        <v>2642</v>
      </c>
      <c r="C986" s="2" t="s">
        <v>2541</v>
      </c>
      <c r="D986" s="2" t="s">
        <v>2528</v>
      </c>
      <c r="E986" s="2" t="s">
        <v>2517</v>
      </c>
      <c r="F986" s="3">
        <v>40440</v>
      </c>
      <c r="G986" s="3">
        <v>2315</v>
      </c>
      <c r="H986" s="3">
        <v>181</v>
      </c>
      <c r="I986" s="4">
        <v>3457.49</v>
      </c>
      <c r="J986" s="4">
        <v>11670.72</v>
      </c>
      <c r="K986" s="3">
        <v>120</v>
      </c>
      <c r="L986" s="2" t="s">
        <v>2536</v>
      </c>
      <c r="M986" s="2" t="s">
        <v>2526</v>
      </c>
    </row>
    <row r="987" spans="1:13" x14ac:dyDescent="0.3">
      <c r="A987" s="1">
        <v>45801</v>
      </c>
      <c r="B987" s="2" t="s">
        <v>2636</v>
      </c>
      <c r="C987" s="2" t="s">
        <v>2543</v>
      </c>
      <c r="D987" s="2" t="s">
        <v>2525</v>
      </c>
      <c r="E987" s="2" t="s">
        <v>2529</v>
      </c>
      <c r="F987" s="3">
        <v>137348</v>
      </c>
      <c r="G987" s="3">
        <v>10190</v>
      </c>
      <c r="H987" s="3">
        <v>700</v>
      </c>
      <c r="I987" s="4">
        <v>15445.47</v>
      </c>
      <c r="J987" s="4">
        <v>56834.55</v>
      </c>
      <c r="K987" s="3">
        <v>595</v>
      </c>
      <c r="L987" s="2" t="s">
        <v>2536</v>
      </c>
      <c r="M987" s="2" t="s">
        <v>2524</v>
      </c>
    </row>
    <row r="988" spans="1:13" x14ac:dyDescent="0.3">
      <c r="A988" s="1">
        <v>45970</v>
      </c>
      <c r="B988" s="2" t="s">
        <v>2632</v>
      </c>
      <c r="C988" s="2" t="s">
        <v>2527</v>
      </c>
      <c r="D988" s="2" t="s">
        <v>2531</v>
      </c>
      <c r="E988" s="2" t="s">
        <v>2534</v>
      </c>
      <c r="F988" s="3">
        <v>93484</v>
      </c>
      <c r="G988" s="3">
        <v>7730</v>
      </c>
      <c r="H988" s="3">
        <v>796</v>
      </c>
      <c r="I988" s="4">
        <v>8103.71</v>
      </c>
      <c r="J988" s="4">
        <v>44460.06</v>
      </c>
      <c r="K988" s="3">
        <v>602</v>
      </c>
      <c r="L988" s="2" t="s">
        <v>2536</v>
      </c>
      <c r="M988" s="2" t="s">
        <v>2537</v>
      </c>
    </row>
    <row r="989" spans="1:13" x14ac:dyDescent="0.3">
      <c r="A989" s="1">
        <v>45704</v>
      </c>
      <c r="B989" s="2" t="s">
        <v>2632</v>
      </c>
      <c r="C989" s="2" t="s">
        <v>2541</v>
      </c>
      <c r="D989" s="2" t="s">
        <v>2516</v>
      </c>
      <c r="E989" s="2" t="s">
        <v>2529</v>
      </c>
      <c r="F989" s="3">
        <v>146627</v>
      </c>
      <c r="G989" s="3">
        <v>4232</v>
      </c>
      <c r="H989" s="3">
        <v>390</v>
      </c>
      <c r="I989" s="4">
        <v>964.12</v>
      </c>
      <c r="J989" s="4">
        <v>68528.31</v>
      </c>
      <c r="K989" s="3">
        <v>266</v>
      </c>
      <c r="L989" s="2" t="s">
        <v>2539</v>
      </c>
      <c r="M989" s="2" t="s">
        <v>2519</v>
      </c>
    </row>
    <row r="990" spans="1:13" x14ac:dyDescent="0.3">
      <c r="A990" s="1">
        <v>45909</v>
      </c>
      <c r="B990" s="2" t="s">
        <v>2630</v>
      </c>
      <c r="C990" s="2" t="s">
        <v>2543</v>
      </c>
      <c r="D990" s="2" t="s">
        <v>2522</v>
      </c>
      <c r="E990" s="2" t="s">
        <v>2529</v>
      </c>
      <c r="F990" s="3">
        <v>21568</v>
      </c>
      <c r="G990" s="3">
        <v>447</v>
      </c>
      <c r="H990" s="3">
        <v>4</v>
      </c>
      <c r="I990" s="4">
        <v>228.5</v>
      </c>
      <c r="J990" s="4">
        <v>415.24</v>
      </c>
      <c r="K990" s="3">
        <v>2</v>
      </c>
      <c r="L990" s="2" t="s">
        <v>2523</v>
      </c>
      <c r="M990" s="2" t="s">
        <v>2519</v>
      </c>
    </row>
    <row r="991" spans="1:13" x14ac:dyDescent="0.3">
      <c r="A991" s="1">
        <v>45967</v>
      </c>
      <c r="B991" s="2" t="s">
        <v>2639</v>
      </c>
      <c r="C991" s="2" t="s">
        <v>2533</v>
      </c>
      <c r="D991" s="2" t="s">
        <v>2531</v>
      </c>
      <c r="E991" s="2" t="s">
        <v>2529</v>
      </c>
      <c r="F991" s="3">
        <v>88614</v>
      </c>
      <c r="G991" s="3">
        <v>2787</v>
      </c>
      <c r="H991" s="3">
        <v>216</v>
      </c>
      <c r="I991" s="4">
        <v>5386.79</v>
      </c>
      <c r="J991" s="4">
        <v>7164.93</v>
      </c>
      <c r="K991" s="3">
        <v>117</v>
      </c>
      <c r="L991" s="2" t="s">
        <v>2518</v>
      </c>
      <c r="M991" s="2" t="s">
        <v>2524</v>
      </c>
    </row>
    <row r="992" spans="1:13" x14ac:dyDescent="0.3">
      <c r="A992" s="1">
        <v>45939</v>
      </c>
      <c r="B992" s="2" t="s">
        <v>2616</v>
      </c>
      <c r="C992" s="2" t="s">
        <v>2541</v>
      </c>
      <c r="D992" s="2" t="s">
        <v>2528</v>
      </c>
      <c r="E992" s="2" t="s">
        <v>2529</v>
      </c>
      <c r="F992" s="3">
        <v>137155</v>
      </c>
      <c r="G992" s="3">
        <v>9053</v>
      </c>
      <c r="H992" s="3">
        <v>486</v>
      </c>
      <c r="I992" s="4">
        <v>14717.34</v>
      </c>
      <c r="J992" s="4">
        <v>92117.79</v>
      </c>
      <c r="K992" s="3">
        <v>236</v>
      </c>
      <c r="L992" s="2" t="s">
        <v>2523</v>
      </c>
      <c r="M992" s="2" t="s">
        <v>2546</v>
      </c>
    </row>
    <row r="993" spans="1:13" x14ac:dyDescent="0.3">
      <c r="A993" s="1">
        <v>45738</v>
      </c>
      <c r="B993" s="2" t="s">
        <v>2620</v>
      </c>
      <c r="C993" s="2" t="s">
        <v>2533</v>
      </c>
      <c r="D993" s="2" t="s">
        <v>2528</v>
      </c>
      <c r="E993" s="2" t="s">
        <v>2517</v>
      </c>
      <c r="F993" s="3">
        <v>77768</v>
      </c>
      <c r="G993" s="3">
        <v>3477</v>
      </c>
      <c r="H993" s="3">
        <v>241</v>
      </c>
      <c r="I993" s="4">
        <v>2650.64</v>
      </c>
      <c r="J993" s="4">
        <v>26385.71</v>
      </c>
      <c r="K993" s="3">
        <v>216</v>
      </c>
      <c r="L993" s="2" t="s">
        <v>2518</v>
      </c>
      <c r="M993" s="2" t="s">
        <v>2537</v>
      </c>
    </row>
    <row r="994" spans="1:13" x14ac:dyDescent="0.3">
      <c r="A994" s="1">
        <v>45927</v>
      </c>
      <c r="B994" s="2" t="s">
        <v>2642</v>
      </c>
      <c r="C994" s="2" t="s">
        <v>2533</v>
      </c>
      <c r="D994" s="2" t="s">
        <v>2522</v>
      </c>
      <c r="E994" s="2" t="s">
        <v>2529</v>
      </c>
      <c r="F994" s="3">
        <v>41555</v>
      </c>
      <c r="G994" s="3">
        <v>3734</v>
      </c>
      <c r="H994" s="3">
        <v>406</v>
      </c>
      <c r="I994" s="4">
        <v>5396.3</v>
      </c>
      <c r="J994" s="4">
        <v>24339.39</v>
      </c>
      <c r="K994" s="3">
        <v>340</v>
      </c>
      <c r="L994" s="2" t="s">
        <v>2539</v>
      </c>
      <c r="M994" s="2" t="s">
        <v>2519</v>
      </c>
    </row>
    <row r="995" spans="1:13" x14ac:dyDescent="0.3">
      <c r="A995" s="1">
        <v>45972</v>
      </c>
      <c r="B995" s="2" t="s">
        <v>2639</v>
      </c>
      <c r="C995" s="2" t="s">
        <v>2515</v>
      </c>
      <c r="D995" s="2" t="s">
        <v>2528</v>
      </c>
      <c r="E995" s="2" t="s">
        <v>2529</v>
      </c>
      <c r="F995" s="3">
        <v>158040</v>
      </c>
      <c r="G995" s="3">
        <v>5300</v>
      </c>
      <c r="H995" s="3">
        <v>643</v>
      </c>
      <c r="I995" s="4">
        <v>3699.69</v>
      </c>
      <c r="J995" s="4">
        <v>52503.24</v>
      </c>
      <c r="K995" s="3">
        <v>415</v>
      </c>
      <c r="L995" s="2" t="s">
        <v>2518</v>
      </c>
      <c r="M995" s="2" t="s">
        <v>2537</v>
      </c>
    </row>
    <row r="996" spans="1:13" x14ac:dyDescent="0.3">
      <c r="A996" s="1">
        <v>46013</v>
      </c>
      <c r="B996" s="2" t="s">
        <v>2632</v>
      </c>
      <c r="C996" s="2" t="s">
        <v>2533</v>
      </c>
      <c r="D996" s="2" t="s">
        <v>2525</v>
      </c>
      <c r="E996" s="2" t="s">
        <v>2529</v>
      </c>
      <c r="F996" s="3">
        <v>67067</v>
      </c>
      <c r="G996" s="3">
        <v>4075</v>
      </c>
      <c r="H996" s="3">
        <v>469</v>
      </c>
      <c r="I996" s="4">
        <v>3644.6</v>
      </c>
      <c r="J996" s="4">
        <v>29998.53</v>
      </c>
      <c r="K996" s="3">
        <v>246</v>
      </c>
      <c r="L996" s="2" t="s">
        <v>2536</v>
      </c>
      <c r="M996" s="2" t="s">
        <v>2546</v>
      </c>
    </row>
    <row r="997" spans="1:13" x14ac:dyDescent="0.3">
      <c r="A997" s="1">
        <v>45961</v>
      </c>
      <c r="B997" s="2" t="s">
        <v>2634</v>
      </c>
      <c r="C997" s="2" t="s">
        <v>2515</v>
      </c>
      <c r="D997" s="2" t="s">
        <v>2528</v>
      </c>
      <c r="E997" s="2" t="s">
        <v>2529</v>
      </c>
      <c r="F997" s="3">
        <v>24120</v>
      </c>
      <c r="G997" s="3">
        <v>2104</v>
      </c>
      <c r="H997" s="3">
        <v>284</v>
      </c>
      <c r="I997" s="4">
        <v>2152.62</v>
      </c>
      <c r="J997" s="4">
        <v>53347.32</v>
      </c>
      <c r="K997" s="3">
        <v>192</v>
      </c>
      <c r="L997" s="2" t="s">
        <v>2518</v>
      </c>
      <c r="M997" s="2" t="s">
        <v>2546</v>
      </c>
    </row>
    <row r="998" spans="1:13" x14ac:dyDescent="0.3">
      <c r="A998" s="1">
        <v>45905</v>
      </c>
      <c r="B998" s="2" t="s">
        <v>2623</v>
      </c>
      <c r="C998" s="2" t="s">
        <v>2521</v>
      </c>
      <c r="D998" s="2" t="s">
        <v>2528</v>
      </c>
      <c r="E998" s="2" t="s">
        <v>2517</v>
      </c>
      <c r="F998" s="3">
        <v>50790</v>
      </c>
      <c r="G998" s="3">
        <v>1730</v>
      </c>
      <c r="H998" s="3">
        <v>63</v>
      </c>
      <c r="I998" s="4">
        <v>3511.97</v>
      </c>
      <c r="J998" s="4">
        <v>7150.79</v>
      </c>
      <c r="K998" s="3">
        <v>29</v>
      </c>
      <c r="L998" s="2" t="s">
        <v>2518</v>
      </c>
      <c r="M998" s="2" t="s">
        <v>2519</v>
      </c>
    </row>
    <row r="999" spans="1:13" x14ac:dyDescent="0.3">
      <c r="A999" s="1">
        <v>45873</v>
      </c>
      <c r="B999" s="2" t="s">
        <v>2630</v>
      </c>
      <c r="C999" s="2" t="s">
        <v>2543</v>
      </c>
      <c r="D999" s="2" t="s">
        <v>2531</v>
      </c>
      <c r="E999" s="2" t="s">
        <v>2529</v>
      </c>
      <c r="F999" s="3">
        <v>84018</v>
      </c>
      <c r="G999" s="3">
        <v>1899</v>
      </c>
      <c r="H999" s="3">
        <v>225</v>
      </c>
      <c r="I999" s="4">
        <v>1804.78</v>
      </c>
      <c r="J999" s="4">
        <v>6499.81</v>
      </c>
      <c r="K999" s="3">
        <v>189</v>
      </c>
      <c r="L999" s="2" t="s">
        <v>2518</v>
      </c>
      <c r="M999" s="2" t="s">
        <v>2519</v>
      </c>
    </row>
    <row r="1000" spans="1:13" x14ac:dyDescent="0.3">
      <c r="A1000" s="1">
        <v>45823</v>
      </c>
      <c r="B1000" s="2" t="s">
        <v>2628</v>
      </c>
      <c r="C1000" s="2" t="s">
        <v>2521</v>
      </c>
      <c r="D1000" s="2" t="s">
        <v>2525</v>
      </c>
      <c r="E1000" s="2" t="s">
        <v>2529</v>
      </c>
      <c r="F1000" s="3">
        <v>49479</v>
      </c>
      <c r="G1000" s="3">
        <v>4264</v>
      </c>
      <c r="H1000" s="3">
        <v>34</v>
      </c>
      <c r="I1000" s="4">
        <v>8570.36</v>
      </c>
      <c r="J1000" s="4">
        <v>665.5</v>
      </c>
      <c r="K1000" s="3">
        <v>26</v>
      </c>
      <c r="L1000" s="2" t="s">
        <v>2518</v>
      </c>
      <c r="M1000" s="2" t="s">
        <v>2526</v>
      </c>
    </row>
    <row r="1001" spans="1:13" x14ac:dyDescent="0.3">
      <c r="A1001" s="1">
        <v>45704</v>
      </c>
      <c r="B1001" s="2" t="s">
        <v>2615</v>
      </c>
      <c r="C1001" s="2" t="s">
        <v>2521</v>
      </c>
      <c r="D1001" s="2" t="s">
        <v>2531</v>
      </c>
      <c r="E1001" s="2" t="s">
        <v>2529</v>
      </c>
      <c r="F1001" s="3">
        <v>135898</v>
      </c>
      <c r="G1001" s="3">
        <v>11029</v>
      </c>
      <c r="H1001" s="3">
        <v>341</v>
      </c>
      <c r="I1001" s="4">
        <v>10182.02</v>
      </c>
      <c r="J1001" s="4">
        <v>57607.519999999997</v>
      </c>
      <c r="K1001" s="3">
        <v>252</v>
      </c>
      <c r="L1001" s="2" t="s">
        <v>2536</v>
      </c>
      <c r="M1001" s="2" t="s">
        <v>2546</v>
      </c>
    </row>
    <row r="1002" spans="1:13" x14ac:dyDescent="0.3">
      <c r="A1002" s="1">
        <v>45734</v>
      </c>
      <c r="B1002" s="2" t="s">
        <v>2632</v>
      </c>
      <c r="C1002" s="2" t="s">
        <v>2521</v>
      </c>
      <c r="D1002" s="2" t="s">
        <v>2516</v>
      </c>
      <c r="E1002" s="2" t="s">
        <v>2517</v>
      </c>
      <c r="F1002" s="3">
        <v>53396</v>
      </c>
      <c r="G1002" s="3">
        <v>2714</v>
      </c>
      <c r="H1002" s="3">
        <v>91</v>
      </c>
      <c r="I1002" s="4">
        <v>2052.33</v>
      </c>
      <c r="J1002" s="4">
        <v>7483.75</v>
      </c>
      <c r="K1002" s="3">
        <v>59</v>
      </c>
      <c r="L1002" s="2" t="s">
        <v>2518</v>
      </c>
      <c r="M1002" s="2" t="s">
        <v>2526</v>
      </c>
    </row>
    <row r="1003" spans="1:13" x14ac:dyDescent="0.3">
      <c r="A1003" s="1">
        <v>45973</v>
      </c>
      <c r="B1003" s="2" t="s">
        <v>2615</v>
      </c>
      <c r="C1003" s="2" t="s">
        <v>2527</v>
      </c>
      <c r="D1003" s="2" t="s">
        <v>2528</v>
      </c>
      <c r="E1003" s="2" t="s">
        <v>2517</v>
      </c>
      <c r="F1003" s="3">
        <v>64063</v>
      </c>
      <c r="G1003" s="3">
        <v>65037</v>
      </c>
      <c r="H1003" s="3">
        <v>92</v>
      </c>
      <c r="I1003" s="4">
        <v>5526.32</v>
      </c>
      <c r="J1003" s="4">
        <v>11954.8</v>
      </c>
      <c r="K1003" s="3">
        <v>60</v>
      </c>
      <c r="L1003" s="2" t="s">
        <v>2536</v>
      </c>
      <c r="M1003" s="2" t="s">
        <v>2537</v>
      </c>
    </row>
    <row r="1004" spans="1:13" x14ac:dyDescent="0.3">
      <c r="A1004" s="1">
        <v>45838</v>
      </c>
      <c r="B1004" s="2" t="s">
        <v>2615</v>
      </c>
      <c r="C1004" s="2" t="s">
        <v>2541</v>
      </c>
      <c r="D1004" s="2" t="s">
        <v>2528</v>
      </c>
      <c r="E1004" s="2" t="s">
        <v>2529</v>
      </c>
      <c r="F1004" s="3">
        <v>10447</v>
      </c>
      <c r="G1004" s="3">
        <v>663</v>
      </c>
      <c r="H1004" s="3">
        <v>23</v>
      </c>
      <c r="I1004" s="4">
        <v>995.72</v>
      </c>
      <c r="J1004" s="4">
        <v>3015.39</v>
      </c>
      <c r="K1004" s="3">
        <v>17</v>
      </c>
      <c r="L1004" s="2" t="s">
        <v>2536</v>
      </c>
      <c r="M1004" s="2" t="s">
        <v>2524</v>
      </c>
    </row>
    <row r="1005" spans="1:13" x14ac:dyDescent="0.3">
      <c r="A1005" s="1">
        <v>45915</v>
      </c>
      <c r="B1005" s="2" t="s">
        <v>2620</v>
      </c>
      <c r="C1005" s="2" t="s">
        <v>2533</v>
      </c>
      <c r="D1005" s="2" t="s">
        <v>2522</v>
      </c>
      <c r="E1005" s="2" t="s">
        <v>2517</v>
      </c>
      <c r="F1005" s="3">
        <v>72023</v>
      </c>
      <c r="G1005" s="3">
        <v>5074</v>
      </c>
      <c r="H1005" s="3">
        <v>170</v>
      </c>
      <c r="I1005" s="4">
        <v>1589.75</v>
      </c>
      <c r="J1005" s="4">
        <v>12513.31</v>
      </c>
      <c r="K1005" s="3">
        <v>103</v>
      </c>
      <c r="L1005" s="2" t="s">
        <v>2523</v>
      </c>
      <c r="M1005" s="2" t="s">
        <v>2526</v>
      </c>
    </row>
    <row r="1006" spans="1:13" x14ac:dyDescent="0.3">
      <c r="A1006" s="1">
        <v>45934</v>
      </c>
      <c r="B1006" s="2" t="s">
        <v>2620</v>
      </c>
      <c r="C1006" s="2" t="s">
        <v>2527</v>
      </c>
      <c r="D1006" s="2" t="s">
        <v>2531</v>
      </c>
      <c r="E1006" s="2" t="s">
        <v>2517</v>
      </c>
      <c r="F1006" s="3">
        <v>44007</v>
      </c>
      <c r="G1006" s="3">
        <v>1585</v>
      </c>
      <c r="H1006" s="3">
        <v>146</v>
      </c>
      <c r="I1006" s="4">
        <v>2086.08</v>
      </c>
      <c r="J1006" s="4">
        <v>30913.98</v>
      </c>
      <c r="K1006" s="3">
        <v>76</v>
      </c>
      <c r="L1006" s="2" t="s">
        <v>2539</v>
      </c>
      <c r="M1006" s="2" t="s">
        <v>2546</v>
      </c>
    </row>
    <row r="1007" spans="1:13" x14ac:dyDescent="0.3">
      <c r="A1007" s="1">
        <v>45970</v>
      </c>
      <c r="B1007" s="2" t="s">
        <v>2642</v>
      </c>
      <c r="C1007" s="2" t="s">
        <v>2541</v>
      </c>
      <c r="D1007" s="2" t="s">
        <v>2525</v>
      </c>
      <c r="E1007" s="2" t="s">
        <v>2534</v>
      </c>
      <c r="F1007" s="3">
        <v>59084</v>
      </c>
      <c r="G1007" s="3">
        <v>761</v>
      </c>
      <c r="H1007" s="3">
        <v>86</v>
      </c>
      <c r="I1007" s="4">
        <v>443.84</v>
      </c>
      <c r="J1007" s="4">
        <v>7295.11</v>
      </c>
      <c r="K1007" s="3">
        <v>58</v>
      </c>
      <c r="L1007" s="2" t="s">
        <v>2539</v>
      </c>
      <c r="M1007" s="2" t="s">
        <v>2537</v>
      </c>
    </row>
    <row r="1008" spans="1:13" x14ac:dyDescent="0.3">
      <c r="A1008" s="1">
        <v>45945</v>
      </c>
      <c r="B1008" s="2" t="s">
        <v>2644</v>
      </c>
      <c r="C1008" s="2" t="s">
        <v>2543</v>
      </c>
      <c r="D1008" s="2" t="s">
        <v>2528</v>
      </c>
      <c r="E1008" s="2" t="s">
        <v>2517</v>
      </c>
      <c r="F1008" s="3">
        <v>100871</v>
      </c>
      <c r="G1008" s="3">
        <v>3780</v>
      </c>
      <c r="H1008" s="3">
        <v>114</v>
      </c>
      <c r="I1008" s="4">
        <v>3300.77</v>
      </c>
      <c r="J1008" s="4">
        <v>24063.17</v>
      </c>
      <c r="K1008" s="3">
        <v>96</v>
      </c>
      <c r="L1008" s="2" t="s">
        <v>2523</v>
      </c>
      <c r="M1008" s="2" t="s">
        <v>2526</v>
      </c>
    </row>
    <row r="1009" spans="1:13" x14ac:dyDescent="0.3">
      <c r="A1009" s="1">
        <v>45874</v>
      </c>
      <c r="B1009" s="2" t="s">
        <v>2620</v>
      </c>
      <c r="C1009" s="2" t="s">
        <v>2533</v>
      </c>
      <c r="D1009" s="2" t="s">
        <v>2522</v>
      </c>
      <c r="E1009" s="2" t="s">
        <v>2517</v>
      </c>
      <c r="F1009" s="3">
        <v>111376</v>
      </c>
      <c r="G1009" s="3">
        <v>2750</v>
      </c>
      <c r="H1009" s="3">
        <v>119</v>
      </c>
      <c r="I1009" s="4">
        <v>5315.88</v>
      </c>
      <c r="J1009" s="4">
        <v>5031.13</v>
      </c>
      <c r="K1009" s="3">
        <v>80</v>
      </c>
      <c r="L1009" s="2" t="s">
        <v>2523</v>
      </c>
      <c r="M1009" s="2" t="s">
        <v>2546</v>
      </c>
    </row>
    <row r="1010" spans="1:13" x14ac:dyDescent="0.3">
      <c r="A1010" s="1">
        <v>45804</v>
      </c>
      <c r="B1010" s="2" t="s">
        <v>2642</v>
      </c>
      <c r="C1010" s="2" t="s">
        <v>2527</v>
      </c>
      <c r="D1010" s="2" t="s">
        <v>2528</v>
      </c>
      <c r="E1010" s="2" t="s">
        <v>2534</v>
      </c>
      <c r="F1010" s="3">
        <v>5456</v>
      </c>
      <c r="G1010" s="3">
        <v>150</v>
      </c>
      <c r="H1010" s="3">
        <v>9</v>
      </c>
      <c r="I1010" s="4">
        <v>16.22</v>
      </c>
      <c r="J1010" s="4">
        <v>622.11</v>
      </c>
      <c r="K1010" s="3">
        <v>4</v>
      </c>
      <c r="L1010" s="2" t="s">
        <v>2536</v>
      </c>
      <c r="M1010" s="2" t="s">
        <v>2524</v>
      </c>
    </row>
    <row r="1011" spans="1:13" x14ac:dyDescent="0.3">
      <c r="A1011" s="1">
        <v>45898</v>
      </c>
      <c r="B1011" s="2" t="s">
        <v>2635</v>
      </c>
      <c r="C1011" s="2" t="s">
        <v>2541</v>
      </c>
      <c r="D1011" s="2" t="s">
        <v>2528</v>
      </c>
      <c r="E1011" s="2" t="s">
        <v>2529</v>
      </c>
      <c r="F1011" s="3">
        <v>33954</v>
      </c>
      <c r="G1011" s="3">
        <v>238</v>
      </c>
      <c r="H1011" s="3">
        <v>19</v>
      </c>
      <c r="I1011" s="4">
        <v>324.16000000000003</v>
      </c>
      <c r="J1011" s="4">
        <v>572.46</v>
      </c>
      <c r="K1011" s="3">
        <v>11</v>
      </c>
      <c r="L1011" s="2" t="s">
        <v>2523</v>
      </c>
      <c r="M1011" s="2" t="s">
        <v>2519</v>
      </c>
    </row>
    <row r="1012" spans="1:13" x14ac:dyDescent="0.3">
      <c r="A1012" s="1">
        <v>45914</v>
      </c>
      <c r="B1012" s="2" t="s">
        <v>2619</v>
      </c>
      <c r="C1012" s="2" t="s">
        <v>2533</v>
      </c>
      <c r="D1012" s="2" t="s">
        <v>2528</v>
      </c>
      <c r="E1012" s="2" t="s">
        <v>2529</v>
      </c>
      <c r="F1012" s="3">
        <v>101921</v>
      </c>
      <c r="G1012" s="3">
        <v>5523</v>
      </c>
      <c r="H1012" s="3">
        <v>729</v>
      </c>
      <c r="I1012" s="4">
        <v>5460.95</v>
      </c>
      <c r="J1012" s="4">
        <v>95264.39</v>
      </c>
      <c r="K1012" s="3">
        <v>600</v>
      </c>
      <c r="L1012" s="2" t="s">
        <v>2518</v>
      </c>
      <c r="M1012" s="2" t="s">
        <v>2537</v>
      </c>
    </row>
    <row r="1013" spans="1:13" x14ac:dyDescent="0.3">
      <c r="A1013" s="1">
        <v>45919</v>
      </c>
      <c r="B1013" s="2" t="s">
        <v>2636</v>
      </c>
      <c r="C1013" s="2" t="s">
        <v>2543</v>
      </c>
      <c r="D1013" s="2" t="s">
        <v>2525</v>
      </c>
      <c r="E1013" s="2" t="s">
        <v>2517</v>
      </c>
      <c r="F1013" s="3">
        <v>107165</v>
      </c>
      <c r="G1013" s="3">
        <v>6279</v>
      </c>
      <c r="H1013" s="3">
        <v>96</v>
      </c>
      <c r="I1013" s="4">
        <v>11935.31</v>
      </c>
      <c r="J1013" s="4">
        <v>6865.66</v>
      </c>
      <c r="K1013" s="3">
        <v>49</v>
      </c>
      <c r="L1013" s="2" t="s">
        <v>2539</v>
      </c>
      <c r="M1013" s="2" t="s">
        <v>2524</v>
      </c>
    </row>
    <row r="1014" spans="1:13" x14ac:dyDescent="0.3">
      <c r="A1014" s="1">
        <v>45737</v>
      </c>
      <c r="B1014" s="2" t="s">
        <v>2627</v>
      </c>
      <c r="C1014" s="2" t="s">
        <v>2521</v>
      </c>
      <c r="D1014" s="2" t="s">
        <v>2528</v>
      </c>
      <c r="E1014" s="2" t="s">
        <v>2529</v>
      </c>
      <c r="F1014" s="3">
        <v>155213</v>
      </c>
      <c r="G1014" s="3">
        <v>835</v>
      </c>
      <c r="H1014" s="3">
        <v>29</v>
      </c>
      <c r="I1014" s="4">
        <v>1531.41</v>
      </c>
      <c r="J1014" s="4">
        <v>5761.45</v>
      </c>
      <c r="K1014" s="3">
        <v>13</v>
      </c>
      <c r="L1014" s="2" t="s">
        <v>2523</v>
      </c>
      <c r="M1014" s="2" t="s">
        <v>2537</v>
      </c>
    </row>
    <row r="1015" spans="1:13" x14ac:dyDescent="0.3">
      <c r="A1015" s="1">
        <v>45889</v>
      </c>
      <c r="B1015" s="2" t="s">
        <v>2620</v>
      </c>
      <c r="C1015" s="2" t="s">
        <v>2543</v>
      </c>
      <c r="D1015" s="2" t="s">
        <v>2525</v>
      </c>
      <c r="E1015" s="2" t="s">
        <v>2517</v>
      </c>
      <c r="F1015" s="3">
        <v>59595</v>
      </c>
      <c r="G1015" s="3">
        <v>2773</v>
      </c>
      <c r="H1015" s="3">
        <v>37</v>
      </c>
      <c r="I1015" s="4">
        <v>2321</v>
      </c>
      <c r="J1015" s="4">
        <v>7160.45</v>
      </c>
      <c r="K1015" s="3">
        <v>19</v>
      </c>
      <c r="L1015" s="2" t="s">
        <v>2518</v>
      </c>
      <c r="M1015" s="2" t="s">
        <v>2537</v>
      </c>
    </row>
    <row r="1016" spans="1:13" x14ac:dyDescent="0.3">
      <c r="A1016" s="1">
        <v>45729</v>
      </c>
      <c r="B1016" s="2" t="s">
        <v>2625</v>
      </c>
      <c r="C1016" s="2" t="s">
        <v>2541</v>
      </c>
      <c r="D1016" s="2" t="s">
        <v>2528</v>
      </c>
      <c r="E1016" s="2" t="s">
        <v>2517</v>
      </c>
      <c r="F1016" s="3">
        <v>21538</v>
      </c>
      <c r="G1016" s="3">
        <v>840</v>
      </c>
      <c r="H1016" s="3">
        <v>26</v>
      </c>
      <c r="I1016" s="4">
        <v>1026</v>
      </c>
      <c r="J1016" s="4">
        <v>4557.84</v>
      </c>
      <c r="K1016" s="3">
        <v>12</v>
      </c>
      <c r="L1016" s="2" t="s">
        <v>2518</v>
      </c>
      <c r="M1016" s="2" t="s">
        <v>2546</v>
      </c>
    </row>
    <row r="1017" spans="1:13" x14ac:dyDescent="0.3">
      <c r="A1017" s="1">
        <v>45839</v>
      </c>
      <c r="B1017" s="2" t="s">
        <v>2620</v>
      </c>
      <c r="C1017" s="2" t="s">
        <v>2533</v>
      </c>
      <c r="D1017" s="2" t="s">
        <v>2525</v>
      </c>
      <c r="E1017" s="2" t="s">
        <v>2517</v>
      </c>
      <c r="F1017" s="3">
        <v>158720</v>
      </c>
      <c r="G1017" s="3">
        <v>6006</v>
      </c>
      <c r="H1017" s="3">
        <v>322</v>
      </c>
      <c r="I1017" s="4">
        <v>5511.04</v>
      </c>
      <c r="J1017" s="4">
        <v>63861.56</v>
      </c>
      <c r="K1017" s="3">
        <v>238</v>
      </c>
      <c r="L1017" s="2" t="s">
        <v>2523</v>
      </c>
      <c r="M1017" s="2" t="s">
        <v>2524</v>
      </c>
    </row>
    <row r="1018" spans="1:13" x14ac:dyDescent="0.3">
      <c r="A1018" s="1">
        <v>45688</v>
      </c>
      <c r="B1018" s="2" t="s">
        <v>2621</v>
      </c>
      <c r="C1018" s="2" t="s">
        <v>2541</v>
      </c>
      <c r="D1018" s="2" t="s">
        <v>2525</v>
      </c>
      <c r="E1018" s="2" t="s">
        <v>2517</v>
      </c>
      <c r="F1018" s="3">
        <v>81630</v>
      </c>
      <c r="G1018" s="3">
        <v>5513</v>
      </c>
      <c r="H1018" s="3">
        <v>380</v>
      </c>
      <c r="I1018" s="4">
        <v>4046.19</v>
      </c>
      <c r="J1018" s="4">
        <v>68048.12</v>
      </c>
      <c r="K1018" s="3">
        <v>328</v>
      </c>
      <c r="L1018" s="2" t="s">
        <v>2523</v>
      </c>
      <c r="M1018" s="2" t="s">
        <v>2519</v>
      </c>
    </row>
    <row r="1019" spans="1:13" x14ac:dyDescent="0.3">
      <c r="A1019" s="1">
        <v>45861</v>
      </c>
      <c r="B1019" s="2" t="s">
        <v>2616</v>
      </c>
      <c r="C1019" s="2" t="s">
        <v>2521</v>
      </c>
      <c r="D1019" s="2" t="s">
        <v>2528</v>
      </c>
      <c r="E1019" s="2" t="s">
        <v>2517</v>
      </c>
      <c r="F1019" s="3">
        <v>57908</v>
      </c>
      <c r="G1019" s="3">
        <v>1711</v>
      </c>
      <c r="H1019" s="3">
        <v>95</v>
      </c>
      <c r="I1019" s="4">
        <v>962.21</v>
      </c>
      <c r="J1019" s="4">
        <v>19085.830000000002</v>
      </c>
      <c r="K1019" s="3">
        <v>45</v>
      </c>
      <c r="L1019" s="2" t="s">
        <v>2539</v>
      </c>
      <c r="M1019" s="2" t="s">
        <v>2524</v>
      </c>
    </row>
    <row r="1020" spans="1:13" x14ac:dyDescent="0.3">
      <c r="A1020" s="1">
        <v>45992</v>
      </c>
      <c r="B1020" s="2" t="s">
        <v>2622</v>
      </c>
      <c r="C1020" s="2" t="s">
        <v>2527</v>
      </c>
      <c r="D1020" s="2" t="s">
        <v>2516</v>
      </c>
      <c r="E1020" s="2" t="s">
        <v>2529</v>
      </c>
      <c r="F1020" s="3">
        <v>9303</v>
      </c>
      <c r="G1020" s="3">
        <v>516</v>
      </c>
      <c r="H1020" s="3">
        <v>32</v>
      </c>
      <c r="I1020" s="4">
        <v>359.81</v>
      </c>
      <c r="J1020" s="4">
        <v>4431.95</v>
      </c>
      <c r="K1020" s="3">
        <v>28</v>
      </c>
      <c r="L1020" s="2" t="s">
        <v>2523</v>
      </c>
      <c r="M1020" s="2" t="s">
        <v>2524</v>
      </c>
    </row>
    <row r="1021" spans="1:13" x14ac:dyDescent="0.3">
      <c r="A1021" s="1">
        <v>45758</v>
      </c>
      <c r="B1021" s="2" t="s">
        <v>2624</v>
      </c>
      <c r="C1021" s="2" t="s">
        <v>2541</v>
      </c>
      <c r="D1021" s="2" t="s">
        <v>2522</v>
      </c>
      <c r="E1021" s="2" t="s">
        <v>2517</v>
      </c>
      <c r="F1021" s="3">
        <v>175964</v>
      </c>
      <c r="G1021" s="3">
        <v>15152</v>
      </c>
      <c r="H1021" s="3">
        <v>162</v>
      </c>
      <c r="I1021" s="4">
        <v>5445.96</v>
      </c>
      <c r="J1021" s="4">
        <v>14353.45</v>
      </c>
      <c r="K1021" s="3">
        <v>114</v>
      </c>
      <c r="L1021" s="2" t="s">
        <v>2539</v>
      </c>
      <c r="M1021" s="2" t="s">
        <v>2524</v>
      </c>
    </row>
    <row r="1022" spans="1:13" x14ac:dyDescent="0.3">
      <c r="A1022" s="1">
        <v>46003</v>
      </c>
      <c r="B1022" s="2" t="s">
        <v>2617</v>
      </c>
      <c r="C1022" s="2" t="s">
        <v>2541</v>
      </c>
      <c r="D1022" s="2" t="s">
        <v>2528</v>
      </c>
      <c r="E1022" s="2" t="s">
        <v>2517</v>
      </c>
      <c r="F1022" s="3">
        <v>38061</v>
      </c>
      <c r="G1022" s="3">
        <v>2140</v>
      </c>
      <c r="H1022" s="3">
        <v>38</v>
      </c>
      <c r="I1022" s="4">
        <v>1551.97</v>
      </c>
      <c r="J1022" s="4">
        <v>2846.51</v>
      </c>
      <c r="K1022" s="3">
        <v>25</v>
      </c>
      <c r="L1022" s="2" t="s">
        <v>2518</v>
      </c>
      <c r="M1022" s="2" t="s">
        <v>2519</v>
      </c>
    </row>
    <row r="1023" spans="1:13" x14ac:dyDescent="0.3">
      <c r="A1023" s="1">
        <v>45940</v>
      </c>
      <c r="B1023" s="2" t="s">
        <v>2632</v>
      </c>
      <c r="C1023" s="2" t="s">
        <v>2521</v>
      </c>
      <c r="D1023" s="2" t="s">
        <v>2528</v>
      </c>
      <c r="E1023" s="2" t="s">
        <v>2517</v>
      </c>
      <c r="F1023" s="3">
        <v>120062</v>
      </c>
      <c r="G1023" s="3">
        <v>6021</v>
      </c>
      <c r="H1023" s="3">
        <v>339</v>
      </c>
      <c r="I1023" s="4">
        <v>2374.61</v>
      </c>
      <c r="J1023" s="4">
        <v>23962</v>
      </c>
      <c r="K1023" s="3">
        <v>285</v>
      </c>
      <c r="L1023" s="2" t="s">
        <v>2536</v>
      </c>
      <c r="M1023" s="2" t="s">
        <v>2519</v>
      </c>
    </row>
    <row r="1024" spans="1:13" x14ac:dyDescent="0.3">
      <c r="A1024" s="1">
        <v>45742</v>
      </c>
      <c r="B1024" s="2" t="s">
        <v>2632</v>
      </c>
      <c r="C1024" s="2" t="s">
        <v>2541</v>
      </c>
      <c r="D1024" s="2" t="s">
        <v>2528</v>
      </c>
      <c r="E1024" s="2" t="s">
        <v>2534</v>
      </c>
      <c r="F1024" s="3">
        <v>6031</v>
      </c>
      <c r="G1024" s="3">
        <v>70</v>
      </c>
      <c r="H1024" s="3">
        <v>7</v>
      </c>
      <c r="I1024" s="4">
        <v>35.159999999999997</v>
      </c>
      <c r="J1024" s="4">
        <v>1414.16</v>
      </c>
      <c r="K1024" s="3">
        <v>5</v>
      </c>
      <c r="L1024" s="2" t="s">
        <v>2536</v>
      </c>
      <c r="M1024" s="2" t="s">
        <v>2546</v>
      </c>
    </row>
    <row r="1025" spans="1:13" x14ac:dyDescent="0.3">
      <c r="A1025" s="1">
        <v>45945</v>
      </c>
      <c r="B1025" s="2" t="s">
        <v>2635</v>
      </c>
      <c r="C1025" s="2" t="s">
        <v>2543</v>
      </c>
      <c r="D1025" s="2" t="s">
        <v>2522</v>
      </c>
      <c r="E1025" s="2" t="s">
        <v>2517</v>
      </c>
      <c r="F1025" s="3">
        <v>26682</v>
      </c>
      <c r="G1025" s="3">
        <v>1175</v>
      </c>
      <c r="H1025" s="3">
        <v>164</v>
      </c>
      <c r="I1025" s="4">
        <v>2044.65</v>
      </c>
      <c r="J1025" s="4">
        <v>6246.89</v>
      </c>
      <c r="K1025" s="3">
        <v>74</v>
      </c>
      <c r="L1025" s="2" t="s">
        <v>2518</v>
      </c>
      <c r="M1025" s="2" t="s">
        <v>2519</v>
      </c>
    </row>
    <row r="1026" spans="1:13" x14ac:dyDescent="0.3">
      <c r="A1026" s="1">
        <v>46015</v>
      </c>
      <c r="B1026" s="2" t="s">
        <v>2640</v>
      </c>
      <c r="C1026" s="2" t="s">
        <v>2543</v>
      </c>
      <c r="D1026" s="2" t="s">
        <v>2525</v>
      </c>
      <c r="E1026" s="2" t="s">
        <v>2517</v>
      </c>
      <c r="F1026" s="3">
        <v>54337</v>
      </c>
      <c r="G1026" s="3">
        <v>1083</v>
      </c>
      <c r="H1026" s="3">
        <v>8</v>
      </c>
      <c r="I1026" s="4">
        <v>1985.77</v>
      </c>
      <c r="J1026" s="4">
        <v>1744.14</v>
      </c>
      <c r="K1026" s="3">
        <v>4</v>
      </c>
      <c r="L1026" s="2" t="s">
        <v>2536</v>
      </c>
      <c r="M1026" s="2" t="s">
        <v>2537</v>
      </c>
    </row>
    <row r="1027" spans="1:13" x14ac:dyDescent="0.3">
      <c r="A1027" s="1">
        <v>45684</v>
      </c>
      <c r="B1027" s="2" t="s">
        <v>2631</v>
      </c>
      <c r="C1027" s="2" t="s">
        <v>2515</v>
      </c>
      <c r="D1027" s="2" t="s">
        <v>2516</v>
      </c>
      <c r="E1027" s="2" t="s">
        <v>2529</v>
      </c>
      <c r="F1027" s="3">
        <v>13176</v>
      </c>
      <c r="G1027" s="3">
        <v>555</v>
      </c>
      <c r="H1027" s="3">
        <v>5</v>
      </c>
      <c r="I1027" s="4">
        <v>549.78</v>
      </c>
      <c r="J1027" s="4">
        <v>631.83000000000004</v>
      </c>
      <c r="K1027" s="3">
        <v>3</v>
      </c>
      <c r="L1027" s="2" t="s">
        <v>2536</v>
      </c>
      <c r="M1027" s="2" t="s">
        <v>2546</v>
      </c>
    </row>
    <row r="1028" spans="1:13" x14ac:dyDescent="0.3">
      <c r="A1028" s="1">
        <v>45668</v>
      </c>
      <c r="B1028" s="2" t="s">
        <v>2627</v>
      </c>
      <c r="C1028" s="2" t="s">
        <v>2515</v>
      </c>
      <c r="D1028" s="2" t="s">
        <v>2528</v>
      </c>
      <c r="E1028" s="2" t="s">
        <v>2517</v>
      </c>
      <c r="F1028" s="3">
        <v>12534</v>
      </c>
      <c r="G1028" s="3">
        <v>184</v>
      </c>
      <c r="H1028" s="3">
        <v>2</v>
      </c>
      <c r="I1028" s="4">
        <v>301.64</v>
      </c>
      <c r="J1028" s="4">
        <v>247.54</v>
      </c>
      <c r="K1028" s="3">
        <v>1</v>
      </c>
      <c r="L1028" s="2" t="s">
        <v>2539</v>
      </c>
      <c r="M1028" s="2" t="s">
        <v>2546</v>
      </c>
    </row>
    <row r="1029" spans="1:13" x14ac:dyDescent="0.3">
      <c r="A1029" s="1">
        <v>46017</v>
      </c>
      <c r="B1029" s="2" t="s">
        <v>2623</v>
      </c>
      <c r="C1029" s="2" t="s">
        <v>2527</v>
      </c>
      <c r="D1029" s="2" t="s">
        <v>2516</v>
      </c>
      <c r="E1029" s="2" t="s">
        <v>2517</v>
      </c>
      <c r="F1029" s="3">
        <v>58798</v>
      </c>
      <c r="G1029" s="3">
        <v>3542</v>
      </c>
      <c r="H1029" s="3">
        <v>395</v>
      </c>
      <c r="I1029" s="4">
        <v>3713.96</v>
      </c>
      <c r="J1029" s="4">
        <v>13858.82</v>
      </c>
      <c r="K1029" s="3">
        <v>285</v>
      </c>
      <c r="L1029" s="2" t="s">
        <v>2523</v>
      </c>
      <c r="M1029" s="2" t="s">
        <v>2519</v>
      </c>
    </row>
    <row r="1030" spans="1:13" x14ac:dyDescent="0.3">
      <c r="A1030" s="1">
        <v>45980</v>
      </c>
      <c r="B1030" s="2" t="s">
        <v>2617</v>
      </c>
      <c r="C1030" s="2" t="s">
        <v>2521</v>
      </c>
      <c r="D1030" s="2" t="s">
        <v>2528</v>
      </c>
      <c r="E1030" s="2" t="s">
        <v>2529</v>
      </c>
      <c r="F1030" s="3">
        <v>151157</v>
      </c>
      <c r="G1030" s="3">
        <v>8550</v>
      </c>
      <c r="H1030" s="3">
        <v>532</v>
      </c>
      <c r="I1030" s="4">
        <v>15989.44</v>
      </c>
      <c r="J1030" s="4">
        <v>75598.52</v>
      </c>
      <c r="K1030" s="3">
        <v>363</v>
      </c>
      <c r="L1030" s="2" t="s">
        <v>2523</v>
      </c>
      <c r="M1030" s="2" t="s">
        <v>2524</v>
      </c>
    </row>
    <row r="1031" spans="1:13" x14ac:dyDescent="0.3">
      <c r="A1031" s="1">
        <v>45833</v>
      </c>
      <c r="B1031" s="2" t="s">
        <v>2635</v>
      </c>
      <c r="C1031" s="2" t="s">
        <v>2515</v>
      </c>
      <c r="D1031" s="2" t="s">
        <v>2528</v>
      </c>
      <c r="E1031" s="2" t="s">
        <v>2517</v>
      </c>
      <c r="F1031" s="3">
        <v>66303</v>
      </c>
      <c r="G1031" s="3">
        <v>1148</v>
      </c>
      <c r="H1031" s="3">
        <v>37</v>
      </c>
      <c r="I1031" s="4">
        <v>1277.9000000000001</v>
      </c>
      <c r="J1031" s="4">
        <v>1031.99</v>
      </c>
      <c r="K1031" s="3">
        <v>18</v>
      </c>
      <c r="L1031" s="2" t="s">
        <v>2523</v>
      </c>
      <c r="M1031" s="2" t="s">
        <v>2524</v>
      </c>
    </row>
    <row r="1032" spans="1:13" x14ac:dyDescent="0.3">
      <c r="A1032" s="1">
        <v>45681</v>
      </c>
      <c r="B1032" s="2" t="s">
        <v>2626</v>
      </c>
      <c r="C1032" s="2" t="s">
        <v>2541</v>
      </c>
      <c r="D1032" s="2" t="s">
        <v>2528</v>
      </c>
      <c r="E1032" s="2" t="s">
        <v>2534</v>
      </c>
      <c r="F1032" s="3">
        <v>140709</v>
      </c>
      <c r="G1032" s="3">
        <v>7129</v>
      </c>
      <c r="H1032" s="3">
        <v>182</v>
      </c>
      <c r="I1032" s="4">
        <v>2386.96</v>
      </c>
      <c r="J1032" s="4">
        <v>21092.59</v>
      </c>
      <c r="K1032" s="3">
        <v>150</v>
      </c>
      <c r="L1032" s="2" t="s">
        <v>2518</v>
      </c>
      <c r="M1032" s="2" t="s">
        <v>2519</v>
      </c>
    </row>
    <row r="1033" spans="1:13" x14ac:dyDescent="0.3">
      <c r="A1033" s="1">
        <v>45954</v>
      </c>
      <c r="B1033" s="2" t="s">
        <v>2617</v>
      </c>
      <c r="C1033" s="2" t="s">
        <v>2543</v>
      </c>
      <c r="D1033" s="2" t="s">
        <v>2528</v>
      </c>
      <c r="E1033" s="2" t="s">
        <v>2534</v>
      </c>
      <c r="F1033" s="3">
        <v>88162</v>
      </c>
      <c r="G1033" s="3">
        <v>5652</v>
      </c>
      <c r="H1033" s="3">
        <v>335</v>
      </c>
      <c r="I1033" s="4">
        <v>8104.04</v>
      </c>
      <c r="J1033" s="4">
        <v>15790.43</v>
      </c>
      <c r="K1033" s="3">
        <v>208</v>
      </c>
      <c r="L1033" s="2" t="s">
        <v>2518</v>
      </c>
      <c r="M1033" s="2" t="s">
        <v>2519</v>
      </c>
    </row>
    <row r="1034" spans="1:13" x14ac:dyDescent="0.3">
      <c r="A1034" s="1">
        <v>45791</v>
      </c>
      <c r="B1034" s="2" t="s">
        <v>2643</v>
      </c>
      <c r="C1034" s="2" t="s">
        <v>2527</v>
      </c>
      <c r="D1034" s="2" t="s">
        <v>2528</v>
      </c>
      <c r="E1034" s="2" t="s">
        <v>2529</v>
      </c>
      <c r="F1034" s="3">
        <v>30292</v>
      </c>
      <c r="G1034" s="3">
        <v>2272</v>
      </c>
      <c r="H1034" s="3">
        <v>96</v>
      </c>
      <c r="I1034" s="4">
        <v>3811.78</v>
      </c>
      <c r="J1034" s="4">
        <v>3314.2</v>
      </c>
      <c r="K1034" s="3">
        <v>70</v>
      </c>
      <c r="L1034" s="2" t="s">
        <v>2523</v>
      </c>
      <c r="M1034" s="2" t="s">
        <v>2546</v>
      </c>
    </row>
    <row r="1035" spans="1:13" x14ac:dyDescent="0.3">
      <c r="A1035" s="1">
        <v>46014</v>
      </c>
      <c r="B1035" s="2" t="s">
        <v>2617</v>
      </c>
      <c r="C1035" s="2" t="s">
        <v>2543</v>
      </c>
      <c r="D1035" s="2" t="s">
        <v>2516</v>
      </c>
      <c r="E1035" s="2" t="s">
        <v>2517</v>
      </c>
      <c r="F1035" s="3">
        <v>64096</v>
      </c>
      <c r="G1035" s="3">
        <v>998</v>
      </c>
      <c r="H1035" s="3">
        <v>98</v>
      </c>
      <c r="I1035" s="4">
        <v>1261.94</v>
      </c>
      <c r="J1035" s="4">
        <v>10285.290000000001</v>
      </c>
      <c r="K1035" s="3">
        <v>71</v>
      </c>
      <c r="L1035" s="2" t="s">
        <v>2523</v>
      </c>
      <c r="M1035" s="2" t="s">
        <v>2524</v>
      </c>
    </row>
    <row r="1036" spans="1:13" x14ac:dyDescent="0.3">
      <c r="A1036" s="1">
        <v>46001</v>
      </c>
      <c r="B1036" s="2" t="s">
        <v>2621</v>
      </c>
      <c r="C1036" s="2" t="s">
        <v>2515</v>
      </c>
      <c r="D1036" s="2" t="s">
        <v>2516</v>
      </c>
      <c r="E1036" s="2" t="s">
        <v>2529</v>
      </c>
      <c r="F1036" s="3">
        <v>46248</v>
      </c>
      <c r="G1036" s="3">
        <v>2689</v>
      </c>
      <c r="H1036" s="3">
        <v>211</v>
      </c>
      <c r="I1036" s="4">
        <v>2592.69</v>
      </c>
      <c r="J1036" s="4">
        <v>27366.49</v>
      </c>
      <c r="K1036" s="3">
        <v>166</v>
      </c>
      <c r="L1036" s="2" t="s">
        <v>2536</v>
      </c>
      <c r="M1036" s="2" t="s">
        <v>2546</v>
      </c>
    </row>
    <row r="1037" spans="1:13" x14ac:dyDescent="0.3">
      <c r="A1037" s="1">
        <v>45681</v>
      </c>
      <c r="B1037" s="2" t="s">
        <v>2637</v>
      </c>
      <c r="C1037" s="2" t="s">
        <v>2527</v>
      </c>
      <c r="D1037" s="2" t="s">
        <v>2528</v>
      </c>
      <c r="E1037" s="2" t="s">
        <v>2529</v>
      </c>
      <c r="F1037" s="3">
        <v>10708</v>
      </c>
      <c r="G1037" s="3">
        <v>45</v>
      </c>
      <c r="H1037" s="3">
        <v>1</v>
      </c>
      <c r="I1037" s="4">
        <v>34.369999999999997</v>
      </c>
      <c r="J1037" s="4">
        <v>16.84</v>
      </c>
      <c r="K1037" s="3">
        <v>0</v>
      </c>
      <c r="L1037" s="2" t="s">
        <v>2536</v>
      </c>
      <c r="M1037" s="2" t="s">
        <v>2526</v>
      </c>
    </row>
    <row r="1038" spans="1:13" x14ac:dyDescent="0.3">
      <c r="A1038" s="1">
        <v>45665</v>
      </c>
      <c r="B1038" s="2" t="s">
        <v>2620</v>
      </c>
      <c r="C1038" s="2" t="s">
        <v>2521</v>
      </c>
      <c r="D1038" s="2" t="s">
        <v>2528</v>
      </c>
      <c r="E1038" s="2" t="s">
        <v>2517</v>
      </c>
      <c r="F1038" s="3">
        <v>144570</v>
      </c>
      <c r="G1038" s="3">
        <v>12150</v>
      </c>
      <c r="H1038" s="3">
        <v>1039</v>
      </c>
      <c r="I1038" s="4">
        <v>20749.13</v>
      </c>
      <c r="J1038" s="4">
        <v>164072.95999999999</v>
      </c>
      <c r="K1038" s="3">
        <v>853</v>
      </c>
      <c r="L1038" s="2" t="s">
        <v>2523</v>
      </c>
      <c r="M1038" s="2" t="s">
        <v>2526</v>
      </c>
    </row>
    <row r="1039" spans="1:13" x14ac:dyDescent="0.3">
      <c r="A1039" s="1">
        <v>45870</v>
      </c>
      <c r="B1039" s="2" t="s">
        <v>2637</v>
      </c>
      <c r="C1039" s="2" t="s">
        <v>2533</v>
      </c>
      <c r="D1039" s="2" t="s">
        <v>2516</v>
      </c>
      <c r="E1039" s="2" t="s">
        <v>2529</v>
      </c>
      <c r="F1039" s="3">
        <v>160712</v>
      </c>
      <c r="G1039" s="3">
        <v>1782</v>
      </c>
      <c r="H1039" s="3">
        <v>115</v>
      </c>
      <c r="I1039" s="4">
        <v>1709.02</v>
      </c>
      <c r="J1039" s="4">
        <v>22142.66</v>
      </c>
      <c r="K1039" s="3">
        <v>91</v>
      </c>
      <c r="L1039" s="2" t="s">
        <v>2518</v>
      </c>
      <c r="M1039" s="2" t="s">
        <v>2524</v>
      </c>
    </row>
    <row r="1040" spans="1:13" x14ac:dyDescent="0.3">
      <c r="A1040" s="1">
        <v>45886</v>
      </c>
      <c r="B1040" s="2" t="s">
        <v>2640</v>
      </c>
      <c r="C1040" s="2" t="s">
        <v>2533</v>
      </c>
      <c r="D1040" s="2" t="s">
        <v>2528</v>
      </c>
      <c r="E1040" s="2" t="s">
        <v>2529</v>
      </c>
      <c r="F1040" s="3">
        <v>62910</v>
      </c>
      <c r="G1040" s="3">
        <v>4106</v>
      </c>
      <c r="H1040" s="3">
        <v>378</v>
      </c>
      <c r="I1040" s="4">
        <v>4598.8</v>
      </c>
      <c r="J1040" s="4">
        <v>78128.38</v>
      </c>
      <c r="K1040" s="3">
        <v>250</v>
      </c>
      <c r="L1040" s="2" t="s">
        <v>2523</v>
      </c>
      <c r="M1040" s="2" t="s">
        <v>2524</v>
      </c>
    </row>
    <row r="1041" spans="1:13" x14ac:dyDescent="0.3">
      <c r="A1041" s="1">
        <v>45866</v>
      </c>
      <c r="B1041" s="2" t="s">
        <v>2622</v>
      </c>
      <c r="C1041" s="2" t="s">
        <v>2543</v>
      </c>
      <c r="D1041" s="2" t="s">
        <v>2528</v>
      </c>
      <c r="E1041" s="2" t="s">
        <v>2529</v>
      </c>
      <c r="F1041" s="3">
        <v>42096</v>
      </c>
      <c r="G1041" s="3">
        <v>3647</v>
      </c>
      <c r="H1041" s="3">
        <v>78</v>
      </c>
      <c r="I1041" s="4">
        <v>5955.06</v>
      </c>
      <c r="J1041" s="4">
        <v>8670.44</v>
      </c>
      <c r="K1041" s="3">
        <v>62</v>
      </c>
      <c r="L1041" s="2" t="s">
        <v>2518</v>
      </c>
      <c r="M1041" s="2" t="s">
        <v>2526</v>
      </c>
    </row>
    <row r="1042" spans="1:13" x14ac:dyDescent="0.3">
      <c r="A1042" s="1">
        <v>45978</v>
      </c>
      <c r="B1042" s="2" t="s">
        <v>2629</v>
      </c>
      <c r="C1042" s="2" t="s">
        <v>2541</v>
      </c>
      <c r="D1042" s="2" t="s">
        <v>2522</v>
      </c>
      <c r="E1042" s="2" t="s">
        <v>2534</v>
      </c>
      <c r="F1042" s="3">
        <v>49353</v>
      </c>
      <c r="G1042" s="3">
        <v>475</v>
      </c>
      <c r="H1042" s="3">
        <v>14</v>
      </c>
      <c r="I1042" s="4">
        <v>276.64999999999998</v>
      </c>
      <c r="J1042" s="4">
        <v>2505.61</v>
      </c>
      <c r="K1042" s="3">
        <v>7</v>
      </c>
      <c r="L1042" s="2" t="s">
        <v>2536</v>
      </c>
      <c r="M1042" s="2" t="s">
        <v>2526</v>
      </c>
    </row>
    <row r="1043" spans="1:13" x14ac:dyDescent="0.3">
      <c r="A1043" s="1">
        <v>45905</v>
      </c>
      <c r="B1043" s="2" t="s">
        <v>2621</v>
      </c>
      <c r="C1043" s="2" t="s">
        <v>2521</v>
      </c>
      <c r="D1043" s="2" t="s">
        <v>2528</v>
      </c>
      <c r="E1043" s="2" t="s">
        <v>2529</v>
      </c>
      <c r="F1043" s="3">
        <v>134045</v>
      </c>
      <c r="G1043" s="3">
        <v>10884</v>
      </c>
      <c r="H1043" s="3">
        <v>836</v>
      </c>
      <c r="I1043" s="4">
        <v>20466.03</v>
      </c>
      <c r="J1043" s="4">
        <v>48704.19</v>
      </c>
      <c r="K1043" s="3">
        <v>635</v>
      </c>
      <c r="L1043" s="2" t="s">
        <v>2518</v>
      </c>
      <c r="M1043" s="2" t="s">
        <v>2519</v>
      </c>
    </row>
    <row r="1044" spans="1:13" x14ac:dyDescent="0.3">
      <c r="A1044" s="1">
        <v>45967</v>
      </c>
      <c r="B1044" s="2" t="s">
        <v>2634</v>
      </c>
      <c r="C1044" s="2" t="s">
        <v>2533</v>
      </c>
      <c r="D1044" s="2" t="s">
        <v>2528</v>
      </c>
      <c r="E1044" s="2" t="s">
        <v>2534</v>
      </c>
      <c r="F1044" s="3">
        <v>135125</v>
      </c>
      <c r="G1044" s="3">
        <v>8640</v>
      </c>
      <c r="H1044" s="3">
        <v>554</v>
      </c>
      <c r="I1044" s="4">
        <v>14429.25</v>
      </c>
      <c r="J1044" s="4">
        <v>48903.64</v>
      </c>
      <c r="K1044" s="3">
        <v>258</v>
      </c>
      <c r="L1044" s="2" t="s">
        <v>2539</v>
      </c>
      <c r="M1044" s="2" t="s">
        <v>2526</v>
      </c>
    </row>
    <row r="1045" spans="1:13" x14ac:dyDescent="0.3">
      <c r="A1045" s="1">
        <v>46004</v>
      </c>
      <c r="B1045" s="2" t="s">
        <v>2619</v>
      </c>
      <c r="C1045" s="2" t="s">
        <v>2541</v>
      </c>
      <c r="D1045" s="2" t="s">
        <v>2528</v>
      </c>
      <c r="E1045" s="2" t="s">
        <v>2529</v>
      </c>
      <c r="F1045" s="3">
        <v>109440</v>
      </c>
      <c r="G1045" s="3">
        <v>783</v>
      </c>
      <c r="H1045" s="3">
        <v>73</v>
      </c>
      <c r="I1045" s="4">
        <v>1438.35</v>
      </c>
      <c r="J1045" s="4">
        <v>8688.39</v>
      </c>
      <c r="K1045" s="3">
        <v>39</v>
      </c>
      <c r="L1045" s="2" t="s">
        <v>2536</v>
      </c>
      <c r="M1045" s="2" t="s">
        <v>2524</v>
      </c>
    </row>
    <row r="1046" spans="1:13" x14ac:dyDescent="0.3">
      <c r="A1046" s="1">
        <v>45705</v>
      </c>
      <c r="B1046" s="2" t="s">
        <v>2636</v>
      </c>
      <c r="C1046" s="2" t="s">
        <v>2543</v>
      </c>
      <c r="D1046" s="2" t="s">
        <v>2528</v>
      </c>
      <c r="E1046" s="2" t="s">
        <v>2529</v>
      </c>
      <c r="F1046" s="3">
        <v>27274</v>
      </c>
      <c r="G1046" s="3">
        <v>831</v>
      </c>
      <c r="H1046" s="3">
        <v>66</v>
      </c>
      <c r="I1046" s="4">
        <v>1614.63</v>
      </c>
      <c r="J1046" s="4">
        <v>5071.88</v>
      </c>
      <c r="K1046" s="3">
        <v>33</v>
      </c>
      <c r="L1046" s="2" t="s">
        <v>2518</v>
      </c>
      <c r="M1046" s="2" t="s">
        <v>2526</v>
      </c>
    </row>
    <row r="1047" spans="1:13" x14ac:dyDescent="0.3">
      <c r="A1047" s="1">
        <v>45939</v>
      </c>
      <c r="B1047" s="2" t="s">
        <v>2636</v>
      </c>
      <c r="C1047" s="2" t="s">
        <v>2533</v>
      </c>
      <c r="D1047" s="2" t="s">
        <v>2525</v>
      </c>
      <c r="E1047" s="2" t="s">
        <v>2534</v>
      </c>
      <c r="F1047" s="3">
        <v>104628</v>
      </c>
      <c r="G1047" s="3">
        <v>3857</v>
      </c>
      <c r="H1047" s="3">
        <v>35</v>
      </c>
      <c r="I1047" s="4">
        <v>3005.29</v>
      </c>
      <c r="J1047" s="4">
        <v>6410.53</v>
      </c>
      <c r="K1047" s="3">
        <v>24</v>
      </c>
      <c r="L1047" s="2" t="s">
        <v>2539</v>
      </c>
      <c r="M1047" s="2" t="s">
        <v>2524</v>
      </c>
    </row>
    <row r="1048" spans="1:13" x14ac:dyDescent="0.3">
      <c r="A1048" s="1">
        <v>45833</v>
      </c>
      <c r="B1048" s="2" t="s">
        <v>2623</v>
      </c>
      <c r="C1048" s="2" t="s">
        <v>2533</v>
      </c>
      <c r="D1048" s="2" t="s">
        <v>2525</v>
      </c>
      <c r="E1048" s="2" t="s">
        <v>2529</v>
      </c>
      <c r="F1048" s="3">
        <v>136847</v>
      </c>
      <c r="G1048" s="3">
        <v>11153</v>
      </c>
      <c r="H1048" s="3">
        <v>941</v>
      </c>
      <c r="I1048" s="4">
        <v>17823.189999999999</v>
      </c>
      <c r="J1048" s="4">
        <v>169319.93</v>
      </c>
      <c r="K1048" s="3">
        <v>701</v>
      </c>
      <c r="L1048" s="2" t="s">
        <v>2518</v>
      </c>
      <c r="M1048" s="2" t="s">
        <v>2526</v>
      </c>
    </row>
    <row r="1049" spans="1:13" x14ac:dyDescent="0.3">
      <c r="A1049" s="1">
        <v>46007</v>
      </c>
      <c r="B1049" s="2" t="s">
        <v>2632</v>
      </c>
      <c r="C1049" s="2" t="s">
        <v>2541</v>
      </c>
      <c r="D1049" s="2" t="s">
        <v>2522</v>
      </c>
      <c r="E1049" s="2" t="s">
        <v>2517</v>
      </c>
      <c r="F1049" s="3">
        <v>63159</v>
      </c>
      <c r="G1049" s="3">
        <v>4633</v>
      </c>
      <c r="H1049" s="3">
        <v>602</v>
      </c>
      <c r="I1049" s="4">
        <v>7360.46</v>
      </c>
      <c r="J1049" s="4">
        <v>90967.67</v>
      </c>
      <c r="K1049" s="3">
        <v>534</v>
      </c>
      <c r="L1049" s="2" t="s">
        <v>2539</v>
      </c>
      <c r="M1049" s="2" t="s">
        <v>2519</v>
      </c>
    </row>
    <row r="1050" spans="1:13" x14ac:dyDescent="0.3">
      <c r="A1050" s="1">
        <v>45963</v>
      </c>
      <c r="B1050" s="2" t="s">
        <v>2627</v>
      </c>
      <c r="C1050" s="2" t="s">
        <v>2527</v>
      </c>
      <c r="D1050" s="2" t="s">
        <v>2528</v>
      </c>
      <c r="E1050" s="2" t="s">
        <v>2517</v>
      </c>
      <c r="F1050" s="3">
        <v>161425</v>
      </c>
      <c r="G1050" s="3">
        <v>6911</v>
      </c>
      <c r="H1050" s="3">
        <v>83</v>
      </c>
      <c r="I1050" s="4">
        <v>3341.48</v>
      </c>
      <c r="J1050" s="4">
        <v>18156.060000000001</v>
      </c>
      <c r="K1050" s="3">
        <v>49</v>
      </c>
      <c r="L1050" s="2" t="s">
        <v>2539</v>
      </c>
      <c r="M1050" s="2" t="s">
        <v>2526</v>
      </c>
    </row>
    <row r="1051" spans="1:13" x14ac:dyDescent="0.3">
      <c r="A1051" s="1">
        <v>45948</v>
      </c>
      <c r="B1051" s="2" t="s">
        <v>2638</v>
      </c>
      <c r="C1051" s="2" t="s">
        <v>2515</v>
      </c>
      <c r="D1051" s="2" t="s">
        <v>2528</v>
      </c>
      <c r="E1051" s="2" t="s">
        <v>2517</v>
      </c>
      <c r="F1051" s="3">
        <v>7883</v>
      </c>
      <c r="G1051" s="3">
        <v>479</v>
      </c>
      <c r="H1051" s="3">
        <v>65</v>
      </c>
      <c r="I1051" s="4">
        <v>701.18</v>
      </c>
      <c r="J1051" s="4">
        <v>11032.03</v>
      </c>
      <c r="K1051" s="3">
        <v>57</v>
      </c>
      <c r="L1051" s="2" t="s">
        <v>2536</v>
      </c>
      <c r="M1051" s="2" t="s">
        <v>2526</v>
      </c>
    </row>
    <row r="1052" spans="1:13" x14ac:dyDescent="0.3">
      <c r="A1052" s="1">
        <v>45675</v>
      </c>
      <c r="B1052" s="2" t="s">
        <v>2620</v>
      </c>
      <c r="C1052" s="2" t="s">
        <v>2533</v>
      </c>
      <c r="D1052" s="2" t="s">
        <v>2516</v>
      </c>
      <c r="E1052" s="2" t="s">
        <v>2529</v>
      </c>
      <c r="F1052" s="3">
        <v>168985</v>
      </c>
      <c r="G1052" s="3">
        <v>10515</v>
      </c>
      <c r="H1052" s="3">
        <v>778</v>
      </c>
      <c r="I1052" s="4">
        <v>12412.09</v>
      </c>
      <c r="J1052" s="4">
        <v>85237.28</v>
      </c>
      <c r="K1052" s="3">
        <v>511</v>
      </c>
      <c r="L1052" s="2" t="s">
        <v>2523</v>
      </c>
      <c r="M1052" s="2" t="s">
        <v>2526</v>
      </c>
    </row>
    <row r="1053" spans="1:13" x14ac:dyDescent="0.3">
      <c r="A1053" s="1">
        <v>45697</v>
      </c>
      <c r="B1053" s="2" t="s">
        <v>2642</v>
      </c>
      <c r="C1053" s="2" t="s">
        <v>2543</v>
      </c>
      <c r="D1053" s="2" t="s">
        <v>2528</v>
      </c>
      <c r="E1053" s="2" t="s">
        <v>2529</v>
      </c>
      <c r="F1053" s="3">
        <v>12074</v>
      </c>
      <c r="G1053" s="3">
        <v>1071</v>
      </c>
      <c r="H1053" s="3">
        <v>146</v>
      </c>
      <c r="I1053" s="4">
        <v>1617.16</v>
      </c>
      <c r="J1053" s="4">
        <v>8383.6299999999992</v>
      </c>
      <c r="K1053" s="3">
        <v>101</v>
      </c>
      <c r="L1053" s="2" t="s">
        <v>2523</v>
      </c>
      <c r="M1053" s="2" t="s">
        <v>2526</v>
      </c>
    </row>
    <row r="1054" spans="1:13" x14ac:dyDescent="0.3">
      <c r="A1054" s="1">
        <v>45784</v>
      </c>
      <c r="B1054" s="2" t="s">
        <v>2637</v>
      </c>
      <c r="C1054" s="2" t="s">
        <v>2533</v>
      </c>
      <c r="D1054" s="2" t="s">
        <v>2516</v>
      </c>
      <c r="E1054" s="2" t="s">
        <v>2534</v>
      </c>
      <c r="F1054" s="3">
        <v>99525</v>
      </c>
      <c r="G1054" s="3">
        <v>8517</v>
      </c>
      <c r="H1054" s="3">
        <v>824</v>
      </c>
      <c r="I1054" s="4">
        <v>3855.04</v>
      </c>
      <c r="J1054" s="4">
        <v>177573.71</v>
      </c>
      <c r="K1054" s="3">
        <v>648</v>
      </c>
      <c r="L1054" s="2" t="s">
        <v>2523</v>
      </c>
      <c r="M1054" s="2" t="s">
        <v>2537</v>
      </c>
    </row>
    <row r="1055" spans="1:13" x14ac:dyDescent="0.3">
      <c r="A1055" s="1">
        <v>46012</v>
      </c>
      <c r="B1055" s="2" t="s">
        <v>2640</v>
      </c>
      <c r="C1055" s="2" t="s">
        <v>2533</v>
      </c>
      <c r="D1055" s="2" t="s">
        <v>2528</v>
      </c>
      <c r="E1055" s="2" t="s">
        <v>2517</v>
      </c>
      <c r="F1055" s="3">
        <v>69381</v>
      </c>
      <c r="G1055" s="3">
        <v>4401</v>
      </c>
      <c r="H1055" s="3">
        <v>78</v>
      </c>
      <c r="I1055" s="4">
        <v>2851.17</v>
      </c>
      <c r="J1055" s="4">
        <v>12998.06</v>
      </c>
      <c r="K1055" s="3">
        <v>66</v>
      </c>
      <c r="L1055" s="2" t="s">
        <v>2539</v>
      </c>
      <c r="M1055" s="2" t="s">
        <v>2526</v>
      </c>
    </row>
    <row r="1056" spans="1:13" x14ac:dyDescent="0.3">
      <c r="A1056" s="1">
        <v>45690</v>
      </c>
      <c r="B1056" s="2" t="s">
        <v>2626</v>
      </c>
      <c r="C1056" s="2" t="s">
        <v>2541</v>
      </c>
      <c r="D1056" s="2" t="s">
        <v>2531</v>
      </c>
      <c r="E1056" s="2" t="s">
        <v>2529</v>
      </c>
      <c r="F1056" s="3">
        <v>23326</v>
      </c>
      <c r="G1056" s="3">
        <v>1858</v>
      </c>
      <c r="H1056" s="3">
        <v>117</v>
      </c>
      <c r="I1056" s="4">
        <v>3642.46</v>
      </c>
      <c r="J1056" s="4">
        <v>8802.01</v>
      </c>
      <c r="K1056" s="3">
        <v>88</v>
      </c>
      <c r="L1056" s="2" t="s">
        <v>2539</v>
      </c>
      <c r="M1056" s="2" t="s">
        <v>2524</v>
      </c>
    </row>
    <row r="1057" spans="1:13" x14ac:dyDescent="0.3">
      <c r="A1057" s="1">
        <v>45852</v>
      </c>
      <c r="B1057" s="2" t="s">
        <v>2626</v>
      </c>
      <c r="C1057" s="2" t="s">
        <v>2543</v>
      </c>
      <c r="D1057" s="2" t="s">
        <v>2528</v>
      </c>
      <c r="E1057" s="2" t="s">
        <v>2529</v>
      </c>
      <c r="F1057" s="3">
        <v>9969</v>
      </c>
      <c r="G1057" s="3">
        <v>363</v>
      </c>
      <c r="H1057" s="3">
        <v>21</v>
      </c>
      <c r="I1057" s="4">
        <v>172.4</v>
      </c>
      <c r="J1057" s="4">
        <v>1554.11</v>
      </c>
      <c r="K1057" s="3">
        <v>10</v>
      </c>
      <c r="L1057" s="2" t="s">
        <v>2523</v>
      </c>
      <c r="M1057" s="2" t="s">
        <v>2546</v>
      </c>
    </row>
    <row r="1058" spans="1:13" x14ac:dyDescent="0.3">
      <c r="A1058" s="1">
        <v>46017</v>
      </c>
      <c r="B1058" s="2" t="s">
        <v>2641</v>
      </c>
      <c r="C1058" s="2" t="s">
        <v>2533</v>
      </c>
      <c r="D1058" s="2" t="s">
        <v>2528</v>
      </c>
      <c r="E1058" s="2" t="s">
        <v>2517</v>
      </c>
      <c r="F1058" s="3">
        <v>124208</v>
      </c>
      <c r="G1058" s="3">
        <v>4203</v>
      </c>
      <c r="H1058" s="3">
        <v>194</v>
      </c>
      <c r="I1058" s="4">
        <v>2093.17</v>
      </c>
      <c r="J1058" s="4">
        <v>5084.1000000000004</v>
      </c>
      <c r="K1058" s="3">
        <v>156</v>
      </c>
      <c r="L1058" s="2" t="s">
        <v>2518</v>
      </c>
      <c r="M1058" s="2" t="s">
        <v>2524</v>
      </c>
    </row>
    <row r="1059" spans="1:13" x14ac:dyDescent="0.3">
      <c r="A1059" s="1">
        <v>45843</v>
      </c>
      <c r="B1059" s="2" t="s">
        <v>2637</v>
      </c>
      <c r="C1059" s="2" t="s">
        <v>2521</v>
      </c>
      <c r="D1059" s="2" t="s">
        <v>2525</v>
      </c>
      <c r="E1059" s="2" t="s">
        <v>2517</v>
      </c>
      <c r="F1059" s="3">
        <v>121896</v>
      </c>
      <c r="G1059" s="3">
        <v>7110</v>
      </c>
      <c r="H1059" s="3">
        <v>880</v>
      </c>
      <c r="I1059" s="4">
        <v>5445.71</v>
      </c>
      <c r="J1059" s="4">
        <v>148674.01</v>
      </c>
      <c r="K1059" s="3">
        <v>408</v>
      </c>
      <c r="L1059" s="2" t="s">
        <v>2536</v>
      </c>
      <c r="M1059" s="2" t="s">
        <v>2524</v>
      </c>
    </row>
    <row r="1060" spans="1:13" x14ac:dyDescent="0.3">
      <c r="A1060" s="1">
        <v>45850</v>
      </c>
      <c r="B1060" s="2" t="s">
        <v>2643</v>
      </c>
      <c r="C1060" s="2" t="s">
        <v>2521</v>
      </c>
      <c r="D1060" s="2" t="s">
        <v>2528</v>
      </c>
      <c r="E1060" s="2" t="s">
        <v>2517</v>
      </c>
      <c r="F1060" s="3">
        <v>72303</v>
      </c>
      <c r="G1060" s="3">
        <v>4165</v>
      </c>
      <c r="H1060" s="3">
        <v>268</v>
      </c>
      <c r="I1060" s="4">
        <v>5536.73</v>
      </c>
      <c r="J1060" s="4">
        <v>23073.54</v>
      </c>
      <c r="K1060" s="3">
        <v>211</v>
      </c>
      <c r="L1060" s="2" t="s">
        <v>2536</v>
      </c>
      <c r="M1060" s="2" t="s">
        <v>2519</v>
      </c>
    </row>
    <row r="1061" spans="1:13" x14ac:dyDescent="0.3">
      <c r="A1061" s="1">
        <v>45938</v>
      </c>
      <c r="B1061" s="2" t="s">
        <v>2630</v>
      </c>
      <c r="C1061" s="2" t="s">
        <v>2533</v>
      </c>
      <c r="D1061" s="2" t="s">
        <v>2522</v>
      </c>
      <c r="E1061" s="2" t="s">
        <v>2517</v>
      </c>
      <c r="F1061" s="3">
        <v>124225</v>
      </c>
      <c r="G1061" s="3">
        <v>2420</v>
      </c>
      <c r="H1061" s="3">
        <v>336</v>
      </c>
      <c r="I1061" s="4">
        <v>4242.41</v>
      </c>
      <c r="J1061" s="4">
        <v>63473.66</v>
      </c>
      <c r="K1061" s="3">
        <v>230</v>
      </c>
      <c r="L1061" s="2" t="s">
        <v>2518</v>
      </c>
      <c r="M1061" s="2" t="s">
        <v>2524</v>
      </c>
    </row>
    <row r="1062" spans="1:13" x14ac:dyDescent="0.3">
      <c r="A1062" s="1">
        <v>45926</v>
      </c>
      <c r="B1062" s="2" t="s">
        <v>2628</v>
      </c>
      <c r="C1062" s="2" t="s">
        <v>2527</v>
      </c>
      <c r="D1062" s="2" t="s">
        <v>2528</v>
      </c>
      <c r="E1062" s="2" t="s">
        <v>2529</v>
      </c>
      <c r="F1062" s="3">
        <v>60641</v>
      </c>
      <c r="G1062" s="3">
        <v>3681</v>
      </c>
      <c r="H1062" s="3">
        <v>511</v>
      </c>
      <c r="I1062" s="4">
        <v>5436.83</v>
      </c>
      <c r="J1062" s="4">
        <v>52077.760000000002</v>
      </c>
      <c r="K1062" s="3">
        <v>293</v>
      </c>
      <c r="L1062" s="2" t="s">
        <v>2536</v>
      </c>
      <c r="M1062" s="2" t="s">
        <v>2526</v>
      </c>
    </row>
    <row r="1063" spans="1:13" x14ac:dyDescent="0.3">
      <c r="A1063" s="1">
        <v>45758</v>
      </c>
      <c r="B1063" s="2" t="s">
        <v>2633</v>
      </c>
      <c r="C1063" s="2" t="s">
        <v>2543</v>
      </c>
      <c r="D1063" s="2" t="s">
        <v>2522</v>
      </c>
      <c r="E1063" s="2" t="s">
        <v>2529</v>
      </c>
      <c r="F1063" s="3">
        <v>144686</v>
      </c>
      <c r="G1063" s="3">
        <v>12540</v>
      </c>
      <c r="H1063" s="3">
        <v>935</v>
      </c>
      <c r="I1063" s="4">
        <v>11842.52</v>
      </c>
      <c r="J1063" s="4">
        <v>39892.870000000003</v>
      </c>
      <c r="K1063" s="3">
        <v>717</v>
      </c>
      <c r="L1063" s="2" t="s">
        <v>2536</v>
      </c>
      <c r="M1063" s="2" t="s">
        <v>2546</v>
      </c>
    </row>
    <row r="1064" spans="1:13" x14ac:dyDescent="0.3">
      <c r="A1064" s="1">
        <v>45896</v>
      </c>
      <c r="B1064" s="2" t="s">
        <v>2636</v>
      </c>
      <c r="C1064" s="2" t="s">
        <v>2521</v>
      </c>
      <c r="D1064" s="2" t="s">
        <v>2531</v>
      </c>
      <c r="E1064" s="2" t="s">
        <v>2517</v>
      </c>
      <c r="F1064" s="3">
        <v>95829</v>
      </c>
      <c r="G1064" s="3">
        <v>943</v>
      </c>
      <c r="H1064" s="3">
        <v>69</v>
      </c>
      <c r="I1064" s="4">
        <v>1119.92</v>
      </c>
      <c r="J1064" s="4">
        <v>8834.7800000000007</v>
      </c>
      <c r="K1064" s="3">
        <v>42</v>
      </c>
      <c r="L1064" s="2" t="s">
        <v>2539</v>
      </c>
      <c r="M1064" s="2" t="s">
        <v>2524</v>
      </c>
    </row>
    <row r="1065" spans="1:13" x14ac:dyDescent="0.3">
      <c r="A1065" s="1">
        <v>45729</v>
      </c>
      <c r="B1065" s="2" t="s">
        <v>2642</v>
      </c>
      <c r="C1065" s="2" t="s">
        <v>2515</v>
      </c>
      <c r="D1065" s="2" t="s">
        <v>2525</v>
      </c>
      <c r="E1065" s="2" t="s">
        <v>2517</v>
      </c>
      <c r="F1065" s="3">
        <v>97169</v>
      </c>
      <c r="G1065" s="3">
        <v>958</v>
      </c>
      <c r="H1065" s="3">
        <v>92</v>
      </c>
      <c r="I1065" s="4">
        <v>406.13</v>
      </c>
      <c r="J1065" s="4">
        <v>11926.35</v>
      </c>
      <c r="K1065" s="3">
        <v>46</v>
      </c>
      <c r="L1065" s="2" t="s">
        <v>2539</v>
      </c>
      <c r="M1065" s="2" t="s">
        <v>2519</v>
      </c>
    </row>
    <row r="1066" spans="1:13" x14ac:dyDescent="0.3">
      <c r="A1066" s="1">
        <v>45739</v>
      </c>
      <c r="B1066" s="2" t="s">
        <v>2619</v>
      </c>
      <c r="C1066" s="2" t="s">
        <v>2533</v>
      </c>
      <c r="D1066" s="2" t="s">
        <v>2525</v>
      </c>
      <c r="E1066" s="2" t="s">
        <v>2517</v>
      </c>
      <c r="F1066" s="3">
        <v>5485</v>
      </c>
      <c r="G1066" s="3">
        <v>216</v>
      </c>
      <c r="H1066" s="3">
        <v>19</v>
      </c>
      <c r="I1066" s="4">
        <v>157.79</v>
      </c>
      <c r="J1066" s="4">
        <v>1726.93</v>
      </c>
      <c r="K1066" s="3">
        <v>9</v>
      </c>
      <c r="L1066" s="2" t="s">
        <v>2539</v>
      </c>
      <c r="M1066" s="2" t="s">
        <v>2537</v>
      </c>
    </row>
    <row r="1067" spans="1:13" x14ac:dyDescent="0.3">
      <c r="A1067" s="1">
        <v>45802</v>
      </c>
      <c r="B1067" s="2" t="s">
        <v>2642</v>
      </c>
      <c r="C1067" s="2" t="s">
        <v>2533</v>
      </c>
      <c r="D1067" s="2" t="s">
        <v>2531</v>
      </c>
      <c r="E1067" s="2" t="s">
        <v>2517</v>
      </c>
      <c r="F1067" s="3">
        <v>114156</v>
      </c>
      <c r="G1067" s="3">
        <v>2762</v>
      </c>
      <c r="H1067" s="3">
        <v>141</v>
      </c>
      <c r="I1067" s="4">
        <v>3471.55</v>
      </c>
      <c r="J1067" s="4">
        <v>23260.31</v>
      </c>
      <c r="K1067" s="3">
        <v>106</v>
      </c>
      <c r="L1067" s="2" t="s">
        <v>2539</v>
      </c>
      <c r="M1067" s="2" t="s">
        <v>2537</v>
      </c>
    </row>
    <row r="1068" spans="1:13" x14ac:dyDescent="0.3">
      <c r="A1068" s="1">
        <v>45820</v>
      </c>
      <c r="B1068" s="2" t="s">
        <v>2636</v>
      </c>
      <c r="C1068" s="2" t="s">
        <v>2521</v>
      </c>
      <c r="D1068" s="2" t="s">
        <v>2528</v>
      </c>
      <c r="E1068" s="2" t="s">
        <v>2529</v>
      </c>
      <c r="F1068" s="3">
        <v>142601</v>
      </c>
      <c r="G1068" s="3">
        <v>12780</v>
      </c>
      <c r="H1068" s="3">
        <v>590</v>
      </c>
      <c r="I1068" s="4">
        <v>13766.92</v>
      </c>
      <c r="J1068" s="4">
        <v>104812.85</v>
      </c>
      <c r="K1068" s="3">
        <v>493</v>
      </c>
      <c r="L1068" s="2" t="s">
        <v>2518</v>
      </c>
      <c r="M1068" s="2" t="s">
        <v>2546</v>
      </c>
    </row>
    <row r="1069" spans="1:13" x14ac:dyDescent="0.3">
      <c r="A1069" s="1">
        <v>45961</v>
      </c>
      <c r="B1069" s="2" t="s">
        <v>2620</v>
      </c>
      <c r="C1069" s="2" t="s">
        <v>2533</v>
      </c>
      <c r="D1069" s="2" t="s">
        <v>2525</v>
      </c>
      <c r="E1069" s="2" t="s">
        <v>2529</v>
      </c>
      <c r="F1069" s="3">
        <v>17021</v>
      </c>
      <c r="G1069" s="3">
        <v>638</v>
      </c>
      <c r="H1069" s="3">
        <v>66</v>
      </c>
      <c r="I1069" s="4">
        <v>619.58000000000004</v>
      </c>
      <c r="J1069" s="4">
        <v>10698.09</v>
      </c>
      <c r="K1069" s="3">
        <v>35</v>
      </c>
      <c r="L1069" s="2" t="s">
        <v>2523</v>
      </c>
      <c r="M1069" s="2" t="s">
        <v>2526</v>
      </c>
    </row>
    <row r="1070" spans="1:13" x14ac:dyDescent="0.3">
      <c r="A1070" s="1">
        <v>45658</v>
      </c>
      <c r="B1070" s="2" t="s">
        <v>2638</v>
      </c>
      <c r="C1070" s="2" t="s">
        <v>2527</v>
      </c>
      <c r="D1070" s="2" t="s">
        <v>2528</v>
      </c>
      <c r="E1070" s="2" t="s">
        <v>2534</v>
      </c>
      <c r="F1070" s="3">
        <v>41287</v>
      </c>
      <c r="G1070" s="3">
        <v>2407</v>
      </c>
      <c r="H1070" s="3">
        <v>190</v>
      </c>
      <c r="I1070" s="4">
        <v>4851.4399999999996</v>
      </c>
      <c r="J1070" s="4">
        <v>21327.06</v>
      </c>
      <c r="K1070" s="3">
        <v>147</v>
      </c>
      <c r="L1070" s="2" t="s">
        <v>2518</v>
      </c>
      <c r="M1070" s="2" t="s">
        <v>2537</v>
      </c>
    </row>
    <row r="1071" spans="1:13" x14ac:dyDescent="0.3">
      <c r="A1071" s="1">
        <v>45926</v>
      </c>
      <c r="B1071" s="2" t="s">
        <v>2632</v>
      </c>
      <c r="C1071" s="2" t="s">
        <v>2521</v>
      </c>
      <c r="D1071" s="2" t="s">
        <v>2528</v>
      </c>
      <c r="E1071" s="2" t="s">
        <v>2529</v>
      </c>
      <c r="F1071" s="3">
        <v>51078</v>
      </c>
      <c r="G1071" s="3">
        <v>2397</v>
      </c>
      <c r="H1071" s="3">
        <v>160</v>
      </c>
      <c r="I1071" s="4">
        <v>3264.04</v>
      </c>
      <c r="J1071" s="4">
        <v>27109.7</v>
      </c>
      <c r="K1071" s="3">
        <v>130</v>
      </c>
      <c r="L1071" s="2" t="s">
        <v>2539</v>
      </c>
      <c r="M1071" s="2" t="s">
        <v>2537</v>
      </c>
    </row>
    <row r="1072" spans="1:13" x14ac:dyDescent="0.3">
      <c r="A1072" s="1">
        <v>45952</v>
      </c>
      <c r="B1072" s="2" t="s">
        <v>2640</v>
      </c>
      <c r="C1072" s="2" t="s">
        <v>2515</v>
      </c>
      <c r="D1072" s="2" t="s">
        <v>2525</v>
      </c>
      <c r="E1072" s="2" t="s">
        <v>2517</v>
      </c>
      <c r="F1072" s="3">
        <v>167623</v>
      </c>
      <c r="G1072" s="3">
        <v>14312</v>
      </c>
      <c r="H1072" s="3">
        <v>1404</v>
      </c>
      <c r="I1072" s="4">
        <v>13255.99</v>
      </c>
      <c r="J1072" s="4">
        <v>32852.46</v>
      </c>
      <c r="K1072" s="3">
        <v>1130</v>
      </c>
      <c r="L1072" s="2" t="s">
        <v>2536</v>
      </c>
      <c r="M1072" s="2" t="s">
        <v>2524</v>
      </c>
    </row>
    <row r="1073" spans="1:13" x14ac:dyDescent="0.3">
      <c r="A1073" s="1">
        <v>45750</v>
      </c>
      <c r="B1073" s="2" t="s">
        <v>2641</v>
      </c>
      <c r="C1073" s="2" t="s">
        <v>2515</v>
      </c>
      <c r="D1073" s="2" t="s">
        <v>2528</v>
      </c>
      <c r="E1073" s="2" t="s">
        <v>2517</v>
      </c>
      <c r="F1073" s="3">
        <v>70603</v>
      </c>
      <c r="G1073" s="3">
        <v>6342</v>
      </c>
      <c r="H1073" s="3">
        <v>825</v>
      </c>
      <c r="I1073" s="4">
        <v>868.44</v>
      </c>
      <c r="J1073" s="4">
        <v>176068.4</v>
      </c>
      <c r="K1073" s="3">
        <v>439</v>
      </c>
      <c r="L1073" s="2" t="s">
        <v>2539</v>
      </c>
      <c r="M1073" s="2" t="s">
        <v>2526</v>
      </c>
    </row>
    <row r="1074" spans="1:13" x14ac:dyDescent="0.3">
      <c r="A1074" s="1">
        <v>45903</v>
      </c>
      <c r="B1074" s="2" t="s">
        <v>2616</v>
      </c>
      <c r="C1074" s="2" t="s">
        <v>2541</v>
      </c>
      <c r="D1074" s="2" t="s">
        <v>2522</v>
      </c>
      <c r="E1074" s="2" t="s">
        <v>2517</v>
      </c>
      <c r="F1074" s="3">
        <v>133096</v>
      </c>
      <c r="G1074" s="3">
        <v>10617</v>
      </c>
      <c r="H1074" s="3">
        <v>1139</v>
      </c>
      <c r="I1074" s="4">
        <v>20580.93</v>
      </c>
      <c r="J1074" s="4">
        <v>76496.22</v>
      </c>
      <c r="K1074" s="3">
        <v>731</v>
      </c>
      <c r="L1074" s="2" t="s">
        <v>2518</v>
      </c>
      <c r="M1074" s="2" t="s">
        <v>2546</v>
      </c>
    </row>
    <row r="1075" spans="1:13" x14ac:dyDescent="0.3">
      <c r="A1075" s="1">
        <v>45871</v>
      </c>
      <c r="B1075" s="2" t="s">
        <v>2638</v>
      </c>
      <c r="C1075" s="2" t="s">
        <v>2521</v>
      </c>
      <c r="D1075" s="2" t="s">
        <v>2531</v>
      </c>
      <c r="E1075" s="2" t="s">
        <v>2529</v>
      </c>
      <c r="F1075" s="3">
        <v>98564</v>
      </c>
      <c r="G1075" s="3">
        <v>7334</v>
      </c>
      <c r="H1075" s="3">
        <v>494</v>
      </c>
      <c r="I1075" s="4">
        <v>14958.13</v>
      </c>
      <c r="J1075" s="4">
        <v>52240.41</v>
      </c>
      <c r="K1075" s="3">
        <v>283</v>
      </c>
      <c r="L1075" s="2" t="s">
        <v>2539</v>
      </c>
      <c r="M1075" s="2" t="s">
        <v>2524</v>
      </c>
    </row>
    <row r="1076" spans="1:13" x14ac:dyDescent="0.3">
      <c r="A1076" s="1">
        <v>45781</v>
      </c>
      <c r="B1076" s="2" t="s">
        <v>2640</v>
      </c>
      <c r="C1076" s="2" t="s">
        <v>2533</v>
      </c>
      <c r="D1076" s="2" t="s">
        <v>2528</v>
      </c>
      <c r="E1076" s="2" t="s">
        <v>2529</v>
      </c>
      <c r="F1076" s="3">
        <v>78349</v>
      </c>
      <c r="G1076" s="3">
        <v>6006</v>
      </c>
      <c r="H1076" s="3">
        <v>801</v>
      </c>
      <c r="I1076" s="4">
        <v>1219.1099999999999</v>
      </c>
      <c r="J1076" s="4">
        <v>131056.92</v>
      </c>
      <c r="K1076" s="3">
        <v>547</v>
      </c>
      <c r="L1076" s="2" t="s">
        <v>2536</v>
      </c>
      <c r="M1076" s="2" t="s">
        <v>2537</v>
      </c>
    </row>
    <row r="1077" spans="1:13" x14ac:dyDescent="0.3">
      <c r="A1077" s="1">
        <v>45772</v>
      </c>
      <c r="B1077" s="2" t="s">
        <v>2632</v>
      </c>
      <c r="C1077" s="2" t="s">
        <v>2527</v>
      </c>
      <c r="D1077" s="2" t="s">
        <v>2528</v>
      </c>
      <c r="E1077" s="2" t="s">
        <v>2529</v>
      </c>
      <c r="F1077" s="3">
        <v>86935</v>
      </c>
      <c r="G1077" s="3">
        <v>798</v>
      </c>
      <c r="H1077" s="3">
        <v>52</v>
      </c>
      <c r="I1077" s="4">
        <v>572.33000000000004</v>
      </c>
      <c r="J1077" s="4">
        <v>5109.24</v>
      </c>
      <c r="K1077" s="3">
        <v>28</v>
      </c>
      <c r="L1077" s="2" t="s">
        <v>2518</v>
      </c>
      <c r="M1077" s="2" t="s">
        <v>2524</v>
      </c>
    </row>
    <row r="1078" spans="1:13" x14ac:dyDescent="0.3">
      <c r="A1078" s="1">
        <v>45899</v>
      </c>
      <c r="B1078" s="2" t="s">
        <v>2626</v>
      </c>
      <c r="C1078" s="2" t="s">
        <v>2541</v>
      </c>
      <c r="D1078" s="2" t="s">
        <v>2531</v>
      </c>
      <c r="E1078" s="2" t="s">
        <v>2529</v>
      </c>
      <c r="F1078" s="3">
        <v>94800</v>
      </c>
      <c r="G1078" s="3">
        <v>5840</v>
      </c>
      <c r="H1078" s="3">
        <v>747</v>
      </c>
      <c r="I1078" s="4">
        <v>8439.92</v>
      </c>
      <c r="J1078" s="4">
        <v>89848.06</v>
      </c>
      <c r="K1078" s="3">
        <v>606</v>
      </c>
      <c r="L1078" s="2" t="s">
        <v>2518</v>
      </c>
      <c r="M1078" s="2" t="s">
        <v>2537</v>
      </c>
    </row>
    <row r="1079" spans="1:13" x14ac:dyDescent="0.3">
      <c r="A1079" s="1">
        <v>45801</v>
      </c>
      <c r="B1079" s="2" t="s">
        <v>2619</v>
      </c>
      <c r="C1079" s="2" t="s">
        <v>2521</v>
      </c>
      <c r="D1079" s="2" t="s">
        <v>2522</v>
      </c>
      <c r="E1079" s="2" t="s">
        <v>2517</v>
      </c>
      <c r="F1079" s="3">
        <v>17014</v>
      </c>
      <c r="G1079" s="3">
        <v>229</v>
      </c>
      <c r="H1079" s="3">
        <v>26</v>
      </c>
      <c r="I1079" s="4">
        <v>83.48</v>
      </c>
      <c r="J1079" s="4">
        <v>3639.85</v>
      </c>
      <c r="K1079" s="3">
        <v>20</v>
      </c>
      <c r="L1079" s="2" t="s">
        <v>2536</v>
      </c>
      <c r="M1079" s="2" t="s">
        <v>2519</v>
      </c>
    </row>
    <row r="1080" spans="1:13" x14ac:dyDescent="0.3">
      <c r="A1080" s="1">
        <v>46007</v>
      </c>
      <c r="B1080" s="2" t="s">
        <v>2625</v>
      </c>
      <c r="C1080" s="2" t="s">
        <v>2527</v>
      </c>
      <c r="D1080" s="2" t="s">
        <v>2525</v>
      </c>
      <c r="E1080" s="2" t="s">
        <v>2529</v>
      </c>
      <c r="F1080" s="3">
        <v>124073</v>
      </c>
      <c r="G1080" s="3">
        <v>8384</v>
      </c>
      <c r="H1080" s="3">
        <v>522</v>
      </c>
      <c r="I1080" s="4">
        <v>9807.1200000000008</v>
      </c>
      <c r="J1080" s="4">
        <v>44087.18</v>
      </c>
      <c r="K1080" s="3">
        <v>437</v>
      </c>
      <c r="L1080" s="2" t="s">
        <v>2523</v>
      </c>
      <c r="M1080" s="2" t="s">
        <v>2537</v>
      </c>
    </row>
    <row r="1081" spans="1:13" x14ac:dyDescent="0.3">
      <c r="A1081" s="1">
        <v>45791</v>
      </c>
      <c r="B1081" s="2" t="s">
        <v>2617</v>
      </c>
      <c r="C1081" s="2" t="s">
        <v>2541</v>
      </c>
      <c r="D1081" s="2" t="s">
        <v>2522</v>
      </c>
      <c r="E1081" s="2" t="s">
        <v>2529</v>
      </c>
      <c r="F1081" s="3">
        <v>20323</v>
      </c>
      <c r="G1081" s="3">
        <v>1234</v>
      </c>
      <c r="H1081" s="3">
        <v>147</v>
      </c>
      <c r="I1081" s="4">
        <v>1120.03</v>
      </c>
      <c r="J1081" s="4">
        <v>20864.39</v>
      </c>
      <c r="K1081" s="3">
        <v>121</v>
      </c>
      <c r="L1081" s="2" t="s">
        <v>2536</v>
      </c>
      <c r="M1081" s="2" t="s">
        <v>2537</v>
      </c>
    </row>
    <row r="1082" spans="1:13" x14ac:dyDescent="0.3">
      <c r="A1082" s="1">
        <v>45735</v>
      </c>
      <c r="B1082" s="2" t="s">
        <v>2633</v>
      </c>
      <c r="C1082" s="2" t="s">
        <v>2521</v>
      </c>
      <c r="D1082" s="2" t="s">
        <v>2528</v>
      </c>
      <c r="E1082" s="2" t="s">
        <v>2529</v>
      </c>
      <c r="F1082" s="3">
        <v>168419</v>
      </c>
      <c r="G1082" s="3">
        <v>11813</v>
      </c>
      <c r="H1082" s="3">
        <v>227</v>
      </c>
      <c r="I1082" s="4">
        <v>22459.919999999998</v>
      </c>
      <c r="J1082" s="4">
        <v>27768.49</v>
      </c>
      <c r="K1082" s="3">
        <v>141</v>
      </c>
      <c r="L1082" s="2" t="s">
        <v>2518</v>
      </c>
      <c r="M1082" s="2" t="s">
        <v>2519</v>
      </c>
    </row>
    <row r="1083" spans="1:13" x14ac:dyDescent="0.3">
      <c r="A1083" s="1">
        <v>45677</v>
      </c>
      <c r="B1083" s="2" t="s">
        <v>2633</v>
      </c>
      <c r="C1083" s="2" t="s">
        <v>2527</v>
      </c>
      <c r="D1083" s="2" t="s">
        <v>2528</v>
      </c>
      <c r="E1083" s="2" t="s">
        <v>2517</v>
      </c>
      <c r="F1083" s="3">
        <v>172364</v>
      </c>
      <c r="G1083" s="3">
        <v>7896</v>
      </c>
      <c r="H1083" s="3">
        <v>745</v>
      </c>
      <c r="I1083" s="4">
        <v>3865.44</v>
      </c>
      <c r="J1083" s="4">
        <v>152652.1</v>
      </c>
      <c r="K1083" s="3">
        <v>474</v>
      </c>
      <c r="L1083" s="2" t="s">
        <v>2518</v>
      </c>
      <c r="M1083" s="2" t="s">
        <v>2537</v>
      </c>
    </row>
    <row r="1084" spans="1:13" x14ac:dyDescent="0.3">
      <c r="A1084" s="1">
        <v>45708</v>
      </c>
      <c r="B1084" s="2" t="s">
        <v>2628</v>
      </c>
      <c r="C1084" s="2" t="s">
        <v>2527</v>
      </c>
      <c r="D1084" s="2" t="s">
        <v>2528</v>
      </c>
      <c r="E1084" s="2" t="s">
        <v>2529</v>
      </c>
      <c r="F1084" s="3">
        <v>19329</v>
      </c>
      <c r="G1084" s="3">
        <v>1171</v>
      </c>
      <c r="H1084" s="3">
        <v>82</v>
      </c>
      <c r="I1084" s="4">
        <v>2019.65</v>
      </c>
      <c r="J1084" s="4">
        <v>9064.18</v>
      </c>
      <c r="K1084" s="3">
        <v>37</v>
      </c>
      <c r="L1084" s="2" t="s">
        <v>2536</v>
      </c>
      <c r="M1084" s="2" t="s">
        <v>2519</v>
      </c>
    </row>
    <row r="1085" spans="1:13" x14ac:dyDescent="0.3">
      <c r="A1085" s="1">
        <v>46006</v>
      </c>
      <c r="B1085" s="2" t="s">
        <v>2621</v>
      </c>
      <c r="C1085" s="2" t="s">
        <v>2543</v>
      </c>
      <c r="D1085" s="2" t="s">
        <v>2516</v>
      </c>
      <c r="E1085" s="2" t="s">
        <v>2529</v>
      </c>
      <c r="F1085" s="3">
        <v>163068</v>
      </c>
      <c r="G1085" s="3">
        <v>4623</v>
      </c>
      <c r="H1085" s="3">
        <v>595</v>
      </c>
      <c r="I1085" s="4">
        <v>6407.64</v>
      </c>
      <c r="J1085" s="4">
        <v>38969.129999999997</v>
      </c>
      <c r="K1085" s="3">
        <v>376</v>
      </c>
      <c r="L1085" s="2" t="s">
        <v>2539</v>
      </c>
      <c r="M1085" s="2" t="s">
        <v>2546</v>
      </c>
    </row>
    <row r="1086" spans="1:13" x14ac:dyDescent="0.3">
      <c r="A1086" s="1">
        <v>45735</v>
      </c>
      <c r="B1086" s="2" t="s">
        <v>2643</v>
      </c>
      <c r="C1086" s="2" t="s">
        <v>2521</v>
      </c>
      <c r="D1086" s="2" t="s">
        <v>2516</v>
      </c>
      <c r="E1086" s="2" t="s">
        <v>2534</v>
      </c>
      <c r="F1086" s="3">
        <v>16454</v>
      </c>
      <c r="G1086" s="3">
        <v>409</v>
      </c>
      <c r="H1086" s="3">
        <v>30</v>
      </c>
      <c r="I1086" s="4">
        <v>177.86</v>
      </c>
      <c r="J1086" s="4">
        <v>2319.94</v>
      </c>
      <c r="K1086" s="3">
        <v>16</v>
      </c>
      <c r="L1086" s="2" t="s">
        <v>2536</v>
      </c>
      <c r="M1086" s="2" t="s">
        <v>2524</v>
      </c>
    </row>
    <row r="1087" spans="1:13" x14ac:dyDescent="0.3">
      <c r="A1087" s="1">
        <v>46008</v>
      </c>
      <c r="B1087" s="2" t="s">
        <v>2634</v>
      </c>
      <c r="C1087" s="2" t="s">
        <v>2533</v>
      </c>
      <c r="D1087" s="2" t="s">
        <v>2528</v>
      </c>
      <c r="E1087" s="2" t="s">
        <v>2529</v>
      </c>
      <c r="F1087" s="3">
        <v>179844</v>
      </c>
      <c r="G1087" s="3">
        <v>8689</v>
      </c>
      <c r="H1087" s="3">
        <v>979</v>
      </c>
      <c r="I1087" s="4">
        <v>10451.719999999999</v>
      </c>
      <c r="J1087" s="4">
        <v>27464.99</v>
      </c>
      <c r="K1087" s="3">
        <v>652</v>
      </c>
      <c r="L1087" s="2" t="s">
        <v>2523</v>
      </c>
      <c r="M1087" s="2" t="s">
        <v>2526</v>
      </c>
    </row>
    <row r="1088" spans="1:13" x14ac:dyDescent="0.3">
      <c r="A1088" s="1">
        <v>46002</v>
      </c>
      <c r="B1088" s="2" t="s">
        <v>2644</v>
      </c>
      <c r="C1088" s="2" t="s">
        <v>2527</v>
      </c>
      <c r="D1088" s="2" t="s">
        <v>2525</v>
      </c>
      <c r="E1088" s="2" t="s">
        <v>2517</v>
      </c>
      <c r="F1088" s="3">
        <v>152204</v>
      </c>
      <c r="G1088" s="3">
        <v>5362</v>
      </c>
      <c r="H1088" s="3">
        <v>158</v>
      </c>
      <c r="I1088" s="4">
        <v>6820.84</v>
      </c>
      <c r="J1088" s="4">
        <v>14317.49</v>
      </c>
      <c r="K1088" s="3">
        <v>106</v>
      </c>
      <c r="L1088" s="2" t="s">
        <v>2523</v>
      </c>
      <c r="M1088" s="2" t="s">
        <v>2546</v>
      </c>
    </row>
    <row r="1089" spans="1:13" x14ac:dyDescent="0.3">
      <c r="A1089" s="1">
        <v>45938</v>
      </c>
      <c r="B1089" s="2" t="s">
        <v>2639</v>
      </c>
      <c r="C1089" s="2" t="s">
        <v>2541</v>
      </c>
      <c r="D1089" s="2" t="s">
        <v>2525</v>
      </c>
      <c r="E1089" s="2" t="s">
        <v>2534</v>
      </c>
      <c r="F1089" s="3">
        <v>51205</v>
      </c>
      <c r="G1089" s="3">
        <v>673</v>
      </c>
      <c r="H1089" s="3">
        <v>47</v>
      </c>
      <c r="I1089" s="4">
        <v>1200.73</v>
      </c>
      <c r="J1089" s="4">
        <v>9597.81</v>
      </c>
      <c r="K1089" s="3">
        <v>41</v>
      </c>
      <c r="L1089" s="2" t="s">
        <v>2523</v>
      </c>
      <c r="M1089" s="2" t="s">
        <v>2524</v>
      </c>
    </row>
    <row r="1090" spans="1:13" x14ac:dyDescent="0.3">
      <c r="A1090" s="1">
        <v>45700</v>
      </c>
      <c r="B1090" s="2" t="s">
        <v>2617</v>
      </c>
      <c r="C1090" s="2" t="s">
        <v>2533</v>
      </c>
      <c r="D1090" s="2" t="s">
        <v>2528</v>
      </c>
      <c r="E1090" s="2" t="s">
        <v>2529</v>
      </c>
      <c r="F1090" s="3">
        <v>134420</v>
      </c>
      <c r="G1090" s="3">
        <v>10832</v>
      </c>
      <c r="H1090" s="3">
        <v>1451</v>
      </c>
      <c r="I1090" s="4">
        <v>13208.77</v>
      </c>
      <c r="J1090" s="4">
        <v>124506.66</v>
      </c>
      <c r="K1090" s="3">
        <v>1138</v>
      </c>
      <c r="L1090" s="2" t="s">
        <v>2518</v>
      </c>
      <c r="M1090" s="2" t="s">
        <v>2524</v>
      </c>
    </row>
    <row r="1091" spans="1:13" x14ac:dyDescent="0.3">
      <c r="A1091" s="1">
        <v>45744</v>
      </c>
      <c r="B1091" s="2" t="s">
        <v>2629</v>
      </c>
      <c r="C1091" s="2" t="s">
        <v>2515</v>
      </c>
      <c r="D1091" s="2" t="s">
        <v>2528</v>
      </c>
      <c r="E1091" s="2" t="s">
        <v>2529</v>
      </c>
      <c r="F1091" s="3">
        <v>66543</v>
      </c>
      <c r="G1091" s="3">
        <v>2075</v>
      </c>
      <c r="H1091" s="3">
        <v>38</v>
      </c>
      <c r="I1091" s="4">
        <v>2775.31</v>
      </c>
      <c r="J1091" s="4">
        <v>7919.9</v>
      </c>
      <c r="K1091" s="3">
        <v>28</v>
      </c>
      <c r="L1091" s="2" t="s">
        <v>2536</v>
      </c>
      <c r="M1091" s="2" t="s">
        <v>2519</v>
      </c>
    </row>
    <row r="1092" spans="1:13" x14ac:dyDescent="0.3">
      <c r="A1092" s="1">
        <v>45862</v>
      </c>
      <c r="B1092" s="2" t="s">
        <v>2638</v>
      </c>
      <c r="C1092" s="2" t="s">
        <v>2515</v>
      </c>
      <c r="D1092" s="2" t="s">
        <v>2525</v>
      </c>
      <c r="E1092" s="2" t="s">
        <v>2529</v>
      </c>
      <c r="F1092" s="3">
        <v>73536</v>
      </c>
      <c r="G1092" s="3">
        <v>5231</v>
      </c>
      <c r="H1092" s="3">
        <v>395</v>
      </c>
      <c r="I1092" s="4">
        <v>9855.4599999999991</v>
      </c>
      <c r="J1092" s="4">
        <v>74326.789999999994</v>
      </c>
      <c r="K1092" s="3">
        <v>254</v>
      </c>
      <c r="L1092" s="2" t="s">
        <v>2523</v>
      </c>
      <c r="M1092" s="2" t="s">
        <v>2546</v>
      </c>
    </row>
    <row r="1093" spans="1:13" x14ac:dyDescent="0.3">
      <c r="A1093" s="1">
        <v>45798</v>
      </c>
      <c r="B1093" s="2" t="s">
        <v>2632</v>
      </c>
      <c r="C1093" s="2" t="s">
        <v>2543</v>
      </c>
      <c r="D1093" s="2" t="s">
        <v>2525</v>
      </c>
      <c r="E1093" s="2" t="s">
        <v>2529</v>
      </c>
      <c r="F1093" s="3">
        <v>93873</v>
      </c>
      <c r="G1093" s="3">
        <v>6249</v>
      </c>
      <c r="H1093" s="3">
        <v>691</v>
      </c>
      <c r="I1093" s="4">
        <v>2364.0700000000002</v>
      </c>
      <c r="J1093" s="4">
        <v>57502.02</v>
      </c>
      <c r="K1093" s="3">
        <v>507</v>
      </c>
      <c r="L1093" s="2" t="s">
        <v>2518</v>
      </c>
      <c r="M1093" s="2" t="s">
        <v>2524</v>
      </c>
    </row>
    <row r="1094" spans="1:13" x14ac:dyDescent="0.3">
      <c r="A1094" s="1">
        <v>45836</v>
      </c>
      <c r="B1094" s="2" t="s">
        <v>2640</v>
      </c>
      <c r="C1094" s="2" t="s">
        <v>2533</v>
      </c>
      <c r="D1094" s="2" t="s">
        <v>2528</v>
      </c>
      <c r="E1094" s="2" t="s">
        <v>2529</v>
      </c>
      <c r="F1094" s="3">
        <v>173129</v>
      </c>
      <c r="G1094" s="3">
        <v>8028</v>
      </c>
      <c r="H1094" s="3">
        <v>1015</v>
      </c>
      <c r="I1094" s="4">
        <v>990.11</v>
      </c>
      <c r="J1094" s="4">
        <v>196743.7</v>
      </c>
      <c r="K1094" s="3">
        <v>893</v>
      </c>
      <c r="L1094" s="2" t="s">
        <v>2536</v>
      </c>
      <c r="M1094" s="2" t="s">
        <v>2537</v>
      </c>
    </row>
    <row r="1095" spans="1:13" x14ac:dyDescent="0.3">
      <c r="A1095" s="1">
        <v>45781</v>
      </c>
      <c r="B1095" s="2" t="s">
        <v>2637</v>
      </c>
      <c r="C1095" s="2" t="s">
        <v>2541</v>
      </c>
      <c r="D1095" s="2" t="s">
        <v>2528</v>
      </c>
      <c r="E1095" s="2" t="s">
        <v>2517</v>
      </c>
      <c r="F1095" s="3">
        <v>131267</v>
      </c>
      <c r="G1095" s="3">
        <v>1387</v>
      </c>
      <c r="H1095" s="3">
        <v>163</v>
      </c>
      <c r="I1095" s="4">
        <v>946.67</v>
      </c>
      <c r="J1095" s="4">
        <v>18259.77</v>
      </c>
      <c r="K1095" s="3">
        <v>75</v>
      </c>
      <c r="L1095" s="2" t="s">
        <v>2518</v>
      </c>
      <c r="M1095" s="2" t="s">
        <v>2537</v>
      </c>
    </row>
    <row r="1096" spans="1:13" x14ac:dyDescent="0.3">
      <c r="A1096" s="1">
        <v>45738</v>
      </c>
      <c r="B1096" s="2" t="s">
        <v>2627</v>
      </c>
      <c r="C1096" s="2" t="s">
        <v>2533</v>
      </c>
      <c r="D1096" s="2" t="s">
        <v>2528</v>
      </c>
      <c r="E1096" s="2" t="s">
        <v>2529</v>
      </c>
      <c r="F1096" s="3">
        <v>18996</v>
      </c>
      <c r="G1096" s="3">
        <v>552</v>
      </c>
      <c r="H1096" s="3">
        <v>76</v>
      </c>
      <c r="I1096" s="4">
        <v>1025.57</v>
      </c>
      <c r="J1096" s="4">
        <v>16139.37</v>
      </c>
      <c r="K1096" s="3">
        <v>50</v>
      </c>
      <c r="L1096" s="2" t="s">
        <v>2539</v>
      </c>
      <c r="M1096" s="2" t="s">
        <v>2519</v>
      </c>
    </row>
    <row r="1097" spans="1:13" x14ac:dyDescent="0.3">
      <c r="A1097" s="1">
        <v>45701</v>
      </c>
      <c r="B1097" s="2" t="s">
        <v>2636</v>
      </c>
      <c r="C1097" s="2" t="s">
        <v>2543</v>
      </c>
      <c r="D1097" s="2" t="s">
        <v>2645</v>
      </c>
      <c r="E1097" s="2" t="s">
        <v>2529</v>
      </c>
      <c r="F1097" s="3">
        <v>22382</v>
      </c>
      <c r="G1097" s="3">
        <v>551</v>
      </c>
      <c r="H1097" s="3">
        <v>66</v>
      </c>
      <c r="I1097" s="4">
        <v>152.49</v>
      </c>
      <c r="J1097" s="4">
        <v>8581.93</v>
      </c>
      <c r="K1097" s="3">
        <v>48</v>
      </c>
      <c r="L1097" s="2" t="s">
        <v>2523</v>
      </c>
      <c r="M1097" s="2" t="s">
        <v>2519</v>
      </c>
    </row>
    <row r="1098" spans="1:13" x14ac:dyDescent="0.3">
      <c r="A1098" s="1">
        <v>45761</v>
      </c>
      <c r="B1098" s="2" t="s">
        <v>2634</v>
      </c>
      <c r="C1098" s="2" t="s">
        <v>2527</v>
      </c>
      <c r="D1098" s="2" t="s">
        <v>2528</v>
      </c>
      <c r="E1098" s="2" t="s">
        <v>2529</v>
      </c>
      <c r="F1098" s="3">
        <v>99665</v>
      </c>
      <c r="G1098" s="3">
        <v>7730</v>
      </c>
      <c r="H1098" s="3">
        <v>988</v>
      </c>
      <c r="I1098" s="4">
        <v>8693.48</v>
      </c>
      <c r="J1098" s="4">
        <v>120059.43</v>
      </c>
      <c r="K1098" s="3">
        <v>797</v>
      </c>
      <c r="L1098" s="2" t="s">
        <v>2523</v>
      </c>
      <c r="M1098" s="2" t="s">
        <v>2537</v>
      </c>
    </row>
    <row r="1099" spans="1:13" x14ac:dyDescent="0.3">
      <c r="A1099" s="1">
        <v>45962</v>
      </c>
      <c r="B1099" s="2" t="s">
        <v>2641</v>
      </c>
      <c r="C1099" s="2" t="s">
        <v>2521</v>
      </c>
      <c r="D1099" s="2" t="s">
        <v>2525</v>
      </c>
      <c r="E1099" s="2" t="s">
        <v>2529</v>
      </c>
      <c r="F1099" s="3">
        <v>13986</v>
      </c>
      <c r="G1099" s="3">
        <v>377</v>
      </c>
      <c r="H1099" s="3">
        <v>42</v>
      </c>
      <c r="I1099" s="4">
        <v>463.74</v>
      </c>
      <c r="J1099" s="4">
        <v>9132.08</v>
      </c>
      <c r="K1099" s="3">
        <v>30</v>
      </c>
      <c r="L1099" s="2" t="s">
        <v>2539</v>
      </c>
      <c r="M1099" s="2" t="s">
        <v>2537</v>
      </c>
    </row>
    <row r="1100" spans="1:13" x14ac:dyDescent="0.3">
      <c r="A1100" s="1">
        <v>46011</v>
      </c>
      <c r="B1100" s="2" t="s">
        <v>2629</v>
      </c>
      <c r="C1100" s="2" t="s">
        <v>2543</v>
      </c>
      <c r="D1100" s="2" t="s">
        <v>2525</v>
      </c>
      <c r="E1100" s="2" t="s">
        <v>2529</v>
      </c>
      <c r="F1100" s="3">
        <v>162853</v>
      </c>
      <c r="G1100" s="3">
        <v>3389</v>
      </c>
      <c r="H1100" s="3">
        <v>358</v>
      </c>
      <c r="I1100" s="4">
        <v>1434.85</v>
      </c>
      <c r="J1100" s="4">
        <v>50286.080000000002</v>
      </c>
      <c r="K1100" s="3">
        <v>237</v>
      </c>
      <c r="L1100" s="2" t="s">
        <v>2518</v>
      </c>
      <c r="M1100" s="2" t="s">
        <v>2537</v>
      </c>
    </row>
    <row r="1101" spans="1:13" x14ac:dyDescent="0.3">
      <c r="A1101" s="1">
        <v>45818</v>
      </c>
      <c r="B1101" s="2" t="s">
        <v>2640</v>
      </c>
      <c r="C1101" s="2" t="s">
        <v>2541</v>
      </c>
      <c r="D1101" s="2" t="s">
        <v>2525</v>
      </c>
      <c r="E1101" s="2" t="s">
        <v>2529</v>
      </c>
      <c r="F1101" s="3">
        <v>91560</v>
      </c>
      <c r="G1101" s="3">
        <v>5364</v>
      </c>
      <c r="H1101" s="3">
        <v>201</v>
      </c>
      <c r="I1101" s="4">
        <v>8949.08</v>
      </c>
      <c r="J1101" s="4">
        <v>12606.8</v>
      </c>
      <c r="K1101" s="3">
        <v>93</v>
      </c>
      <c r="L1101" s="2" t="s">
        <v>2518</v>
      </c>
      <c r="M1101" s="2" t="s">
        <v>2519</v>
      </c>
    </row>
    <row r="1102" spans="1:13" x14ac:dyDescent="0.3">
      <c r="A1102" s="1">
        <v>46001</v>
      </c>
      <c r="B1102" s="2" t="s">
        <v>2629</v>
      </c>
      <c r="C1102" s="2" t="s">
        <v>2527</v>
      </c>
      <c r="D1102" s="2" t="s">
        <v>2522</v>
      </c>
      <c r="E1102" s="2" t="s">
        <v>2529</v>
      </c>
      <c r="F1102" s="3">
        <v>139901</v>
      </c>
      <c r="G1102" s="3">
        <v>5114</v>
      </c>
      <c r="H1102" s="3">
        <v>70</v>
      </c>
      <c r="I1102" s="4">
        <v>5775.04</v>
      </c>
      <c r="J1102" s="4">
        <v>13004.54</v>
      </c>
      <c r="K1102" s="3">
        <v>40</v>
      </c>
      <c r="L1102" s="2" t="s">
        <v>2523</v>
      </c>
      <c r="M1102" s="2" t="s">
        <v>2524</v>
      </c>
    </row>
    <row r="1103" spans="1:13" x14ac:dyDescent="0.3">
      <c r="A1103" s="1">
        <v>45933</v>
      </c>
      <c r="B1103" s="2" t="s">
        <v>2640</v>
      </c>
      <c r="C1103" s="2" t="s">
        <v>2527</v>
      </c>
      <c r="D1103" s="2" t="s">
        <v>2528</v>
      </c>
      <c r="E1103" s="2" t="s">
        <v>2517</v>
      </c>
      <c r="F1103" s="3">
        <v>23453</v>
      </c>
      <c r="G1103" s="3">
        <v>768</v>
      </c>
      <c r="H1103" s="3">
        <v>25</v>
      </c>
      <c r="I1103" s="4">
        <v>750.47</v>
      </c>
      <c r="J1103" s="4">
        <v>4247.25</v>
      </c>
      <c r="K1103" s="3">
        <v>17</v>
      </c>
      <c r="L1103" s="2" t="s">
        <v>2539</v>
      </c>
      <c r="M1103" s="2" t="s">
        <v>2537</v>
      </c>
    </row>
    <row r="1104" spans="1:13" x14ac:dyDescent="0.3">
      <c r="A1104" s="1">
        <v>45838</v>
      </c>
      <c r="B1104" s="2" t="s">
        <v>2626</v>
      </c>
      <c r="C1104" s="2" t="s">
        <v>2515</v>
      </c>
      <c r="D1104" s="2" t="s">
        <v>2531</v>
      </c>
      <c r="E1104" s="2" t="s">
        <v>2529</v>
      </c>
      <c r="F1104" s="3">
        <v>39029</v>
      </c>
      <c r="G1104" s="3">
        <v>462</v>
      </c>
      <c r="H1104" s="3">
        <v>16</v>
      </c>
      <c r="I1104" s="4">
        <v>411.52</v>
      </c>
      <c r="J1104" s="4">
        <v>2854.52</v>
      </c>
      <c r="K1104" s="3">
        <v>9</v>
      </c>
      <c r="L1104" s="2" t="s">
        <v>2518</v>
      </c>
      <c r="M1104" s="2" t="s">
        <v>2546</v>
      </c>
    </row>
    <row r="1105" spans="1:13" x14ac:dyDescent="0.3">
      <c r="A1105" s="1">
        <v>45678</v>
      </c>
      <c r="B1105" s="2" t="s">
        <v>2627</v>
      </c>
      <c r="C1105" s="2" t="s">
        <v>2521</v>
      </c>
      <c r="D1105" s="2" t="s">
        <v>2528</v>
      </c>
      <c r="E1105" s="2" t="s">
        <v>2529</v>
      </c>
      <c r="F1105" s="3">
        <v>4001</v>
      </c>
      <c r="G1105" s="3">
        <v>61</v>
      </c>
      <c r="H1105" s="3">
        <v>1</v>
      </c>
      <c r="I1105" s="4">
        <v>85.15</v>
      </c>
      <c r="J1105" s="4">
        <v>165.55</v>
      </c>
      <c r="K1105" s="3">
        <v>0</v>
      </c>
      <c r="L1105" s="2" t="s">
        <v>2536</v>
      </c>
      <c r="M1105" s="2" t="s">
        <v>2519</v>
      </c>
    </row>
    <row r="1106" spans="1:13" x14ac:dyDescent="0.3">
      <c r="A1106" s="1">
        <v>45959</v>
      </c>
      <c r="B1106" s="2" t="s">
        <v>2619</v>
      </c>
      <c r="C1106" s="2" t="s">
        <v>2527</v>
      </c>
      <c r="D1106" s="2" t="s">
        <v>2531</v>
      </c>
      <c r="E1106" s="2" t="s">
        <v>2517</v>
      </c>
      <c r="F1106" s="3">
        <v>53807</v>
      </c>
      <c r="G1106" s="3">
        <v>1510</v>
      </c>
      <c r="H1106" s="3">
        <v>112</v>
      </c>
      <c r="I1106" s="4">
        <v>599.79999999999995</v>
      </c>
      <c r="J1106" s="4">
        <v>12534.38</v>
      </c>
      <c r="K1106" s="3">
        <v>76</v>
      </c>
      <c r="L1106" s="2" t="s">
        <v>2518</v>
      </c>
      <c r="M1106" s="2" t="s">
        <v>2526</v>
      </c>
    </row>
    <row r="1107" spans="1:13" x14ac:dyDescent="0.3">
      <c r="A1107" s="1">
        <v>45895</v>
      </c>
      <c r="B1107" s="2" t="s">
        <v>2632</v>
      </c>
      <c r="C1107" s="2" t="s">
        <v>2527</v>
      </c>
      <c r="D1107" s="2" t="s">
        <v>2525</v>
      </c>
      <c r="E1107" s="2" t="s">
        <v>2529</v>
      </c>
      <c r="F1107" s="3">
        <v>173827</v>
      </c>
      <c r="G1107" s="3">
        <v>15467</v>
      </c>
      <c r="H1107" s="3">
        <v>1090</v>
      </c>
      <c r="I1107" s="4">
        <v>31379.62</v>
      </c>
      <c r="J1107" s="4">
        <v>85507.33</v>
      </c>
      <c r="K1107" s="3">
        <v>954</v>
      </c>
      <c r="L1107" s="2" t="s">
        <v>2523</v>
      </c>
      <c r="M1107" s="2" t="s">
        <v>2546</v>
      </c>
    </row>
    <row r="1108" spans="1:13" x14ac:dyDescent="0.3">
      <c r="A1108" s="1">
        <v>45769</v>
      </c>
      <c r="B1108" s="2" t="s">
        <v>2644</v>
      </c>
      <c r="C1108" s="2" t="s">
        <v>2543</v>
      </c>
      <c r="D1108" s="2" t="s">
        <v>2531</v>
      </c>
      <c r="E1108" s="2" t="s">
        <v>2517</v>
      </c>
      <c r="F1108" s="3">
        <v>153892</v>
      </c>
      <c r="G1108" s="3">
        <v>4351</v>
      </c>
      <c r="H1108" s="3">
        <v>592</v>
      </c>
      <c r="I1108" s="4">
        <v>2324.62</v>
      </c>
      <c r="J1108" s="4">
        <v>112479.99</v>
      </c>
      <c r="K1108" s="3">
        <v>342</v>
      </c>
      <c r="L1108" s="2" t="s">
        <v>2539</v>
      </c>
      <c r="M1108" s="2" t="s">
        <v>2519</v>
      </c>
    </row>
    <row r="1109" spans="1:13" x14ac:dyDescent="0.3">
      <c r="A1109" s="1">
        <v>45697</v>
      </c>
      <c r="B1109" s="2" t="s">
        <v>2621</v>
      </c>
      <c r="C1109" s="2" t="s">
        <v>2515</v>
      </c>
      <c r="D1109" s="2" t="s">
        <v>2528</v>
      </c>
      <c r="E1109" s="2" t="s">
        <v>2529</v>
      </c>
      <c r="F1109" s="3">
        <v>120267</v>
      </c>
      <c r="G1109" s="3">
        <v>5706</v>
      </c>
      <c r="H1109" s="3">
        <v>39</v>
      </c>
      <c r="I1109" s="4">
        <v>4394.7</v>
      </c>
      <c r="J1109" s="4">
        <v>6467.84</v>
      </c>
      <c r="K1109" s="3">
        <v>30</v>
      </c>
      <c r="L1109" s="2" t="s">
        <v>2518</v>
      </c>
      <c r="M1109" s="2" t="s">
        <v>2519</v>
      </c>
    </row>
    <row r="1110" spans="1:13" x14ac:dyDescent="0.3">
      <c r="A1110" s="1">
        <v>45669</v>
      </c>
      <c r="B1110" s="2" t="s">
        <v>2628</v>
      </c>
      <c r="C1110" s="2" t="s">
        <v>2541</v>
      </c>
      <c r="D1110" s="2" t="s">
        <v>2528</v>
      </c>
      <c r="E1110" s="2" t="s">
        <v>2517</v>
      </c>
      <c r="F1110" s="3">
        <v>165467</v>
      </c>
      <c r="G1110" s="3">
        <v>12688</v>
      </c>
      <c r="H1110" s="3">
        <v>614</v>
      </c>
      <c r="I1110" s="4">
        <v>1724.43</v>
      </c>
      <c r="J1110" s="4">
        <v>86264.88</v>
      </c>
      <c r="K1110" s="3">
        <v>399</v>
      </c>
      <c r="L1110" s="2" t="s">
        <v>2536</v>
      </c>
      <c r="M1110" s="2" t="s">
        <v>2537</v>
      </c>
    </row>
    <row r="1111" spans="1:13" x14ac:dyDescent="0.3">
      <c r="A1111" s="1">
        <v>45690</v>
      </c>
      <c r="B1111" s="2" t="s">
        <v>2628</v>
      </c>
      <c r="C1111" s="2" t="s">
        <v>2541</v>
      </c>
      <c r="D1111" s="2" t="s">
        <v>2525</v>
      </c>
      <c r="E1111" s="2" t="s">
        <v>2517</v>
      </c>
      <c r="F1111" s="3">
        <v>37891</v>
      </c>
      <c r="G1111" s="3">
        <v>2758</v>
      </c>
      <c r="H1111" s="3">
        <v>181</v>
      </c>
      <c r="I1111" s="4">
        <v>5207.95</v>
      </c>
      <c r="J1111" s="4">
        <v>5831.83</v>
      </c>
      <c r="K1111" s="3">
        <v>157</v>
      </c>
      <c r="L1111" s="2" t="s">
        <v>2536</v>
      </c>
      <c r="M1111" s="2" t="s">
        <v>2537</v>
      </c>
    </row>
    <row r="1112" spans="1:13" x14ac:dyDescent="0.3">
      <c r="A1112" s="1">
        <v>45896</v>
      </c>
      <c r="B1112" s="2" t="s">
        <v>2633</v>
      </c>
      <c r="C1112" s="2" t="s">
        <v>2527</v>
      </c>
      <c r="D1112" s="2" t="s">
        <v>2516</v>
      </c>
      <c r="E1112" s="2" t="s">
        <v>2517</v>
      </c>
      <c r="F1112" s="3">
        <v>24161</v>
      </c>
      <c r="G1112" s="3">
        <v>262</v>
      </c>
      <c r="H1112" s="3">
        <v>18</v>
      </c>
      <c r="I1112" s="4">
        <v>37.49</v>
      </c>
      <c r="J1112" s="4">
        <v>2225.7600000000002</v>
      </c>
      <c r="K1112" s="3">
        <v>10</v>
      </c>
      <c r="L1112" s="2" t="s">
        <v>2518</v>
      </c>
      <c r="M1112" s="2" t="s">
        <v>2537</v>
      </c>
    </row>
    <row r="1113" spans="1:13" x14ac:dyDescent="0.3">
      <c r="A1113" s="1">
        <v>45725</v>
      </c>
      <c r="B1113" s="2" t="s">
        <v>2635</v>
      </c>
      <c r="C1113" s="2" t="s">
        <v>2543</v>
      </c>
      <c r="D1113" s="2" t="s">
        <v>2528</v>
      </c>
      <c r="E1113" s="2" t="s">
        <v>2529</v>
      </c>
      <c r="F1113" s="3">
        <v>40760</v>
      </c>
      <c r="G1113" s="3">
        <v>2082</v>
      </c>
      <c r="H1113" s="3">
        <v>161</v>
      </c>
      <c r="I1113" s="4">
        <v>1279.8800000000001</v>
      </c>
      <c r="J1113" s="4">
        <v>16700.439999999999</v>
      </c>
      <c r="K1113" s="3">
        <v>113</v>
      </c>
      <c r="L1113" s="2" t="s">
        <v>2536</v>
      </c>
      <c r="M1113" s="2" t="s">
        <v>2519</v>
      </c>
    </row>
    <row r="1114" spans="1:13" x14ac:dyDescent="0.3">
      <c r="A1114" s="1">
        <v>45801</v>
      </c>
      <c r="B1114" s="2" t="s">
        <v>2644</v>
      </c>
      <c r="C1114" s="2" t="s">
        <v>2543</v>
      </c>
      <c r="D1114" s="2" t="s">
        <v>2528</v>
      </c>
      <c r="E1114" s="2" t="s">
        <v>2529</v>
      </c>
      <c r="F1114" s="3">
        <v>92634</v>
      </c>
      <c r="G1114" s="3">
        <v>511</v>
      </c>
      <c r="H1114" s="3">
        <v>27</v>
      </c>
      <c r="I1114" s="4">
        <v>631.42999999999995</v>
      </c>
      <c r="J1114" s="4">
        <v>3473.7</v>
      </c>
      <c r="K1114" s="3">
        <v>19</v>
      </c>
      <c r="L1114" s="2" t="s">
        <v>2523</v>
      </c>
      <c r="M1114" s="2" t="s">
        <v>2537</v>
      </c>
    </row>
    <row r="1115" spans="1:13" x14ac:dyDescent="0.3">
      <c r="A1115" s="1">
        <v>45890</v>
      </c>
      <c r="B1115" s="2" t="s">
        <v>2618</v>
      </c>
      <c r="C1115" s="2" t="s">
        <v>2543</v>
      </c>
      <c r="D1115" s="2" t="s">
        <v>2528</v>
      </c>
      <c r="E1115" s="2" t="s">
        <v>2517</v>
      </c>
      <c r="F1115" s="3">
        <v>140978</v>
      </c>
      <c r="G1115" s="3">
        <v>783</v>
      </c>
      <c r="H1115" s="3">
        <v>6</v>
      </c>
      <c r="I1115" s="4">
        <v>1039.4000000000001</v>
      </c>
      <c r="J1115" s="4">
        <v>903.5</v>
      </c>
      <c r="K1115" s="3">
        <v>3</v>
      </c>
      <c r="L1115" s="2" t="s">
        <v>2536</v>
      </c>
      <c r="M1115" s="2" t="s">
        <v>2524</v>
      </c>
    </row>
    <row r="1116" spans="1:13" x14ac:dyDescent="0.3">
      <c r="A1116" s="1">
        <v>45672</v>
      </c>
      <c r="B1116" s="2" t="s">
        <v>2638</v>
      </c>
      <c r="C1116" s="2" t="s">
        <v>2541</v>
      </c>
      <c r="D1116" s="2" t="s">
        <v>2525</v>
      </c>
      <c r="E1116" s="2" t="s">
        <v>2529</v>
      </c>
      <c r="F1116" s="3">
        <v>21672</v>
      </c>
      <c r="G1116" s="3">
        <v>842</v>
      </c>
      <c r="H1116" s="3">
        <v>102</v>
      </c>
      <c r="I1116" s="4">
        <v>1127.49</v>
      </c>
      <c r="J1116" s="4">
        <v>3576.72</v>
      </c>
      <c r="K1116" s="3">
        <v>73</v>
      </c>
      <c r="L1116" s="2" t="s">
        <v>2523</v>
      </c>
      <c r="M1116" s="2" t="s">
        <v>2546</v>
      </c>
    </row>
    <row r="1117" spans="1:13" x14ac:dyDescent="0.3">
      <c r="A1117" s="1">
        <v>45753</v>
      </c>
      <c r="B1117" s="2" t="s">
        <v>2624</v>
      </c>
      <c r="C1117" s="2" t="s">
        <v>2533</v>
      </c>
      <c r="D1117" s="2" t="s">
        <v>2528</v>
      </c>
      <c r="E1117" s="2" t="s">
        <v>2517</v>
      </c>
      <c r="F1117" s="3">
        <v>149238</v>
      </c>
      <c r="G1117" s="3">
        <v>3909</v>
      </c>
      <c r="H1117" s="3">
        <v>479</v>
      </c>
      <c r="I1117" s="4">
        <v>5288.3</v>
      </c>
      <c r="J1117" s="4">
        <v>13907.99</v>
      </c>
      <c r="K1117" s="3">
        <v>269</v>
      </c>
      <c r="L1117" s="2" t="s">
        <v>2539</v>
      </c>
      <c r="M1117" s="2" t="s">
        <v>2524</v>
      </c>
    </row>
    <row r="1118" spans="1:13" x14ac:dyDescent="0.3">
      <c r="A1118" s="1">
        <v>45933</v>
      </c>
      <c r="B1118" s="2" t="s">
        <v>2639</v>
      </c>
      <c r="C1118" s="2" t="s">
        <v>2541</v>
      </c>
      <c r="D1118" s="2" t="s">
        <v>2525</v>
      </c>
      <c r="E1118" s="2" t="s">
        <v>2529</v>
      </c>
      <c r="F1118" s="3">
        <v>7179</v>
      </c>
      <c r="G1118" s="3">
        <v>345</v>
      </c>
      <c r="H1118" s="3">
        <v>28</v>
      </c>
      <c r="I1118" s="4">
        <v>57.28</v>
      </c>
      <c r="J1118" s="4">
        <v>3805.99</v>
      </c>
      <c r="K1118" s="3">
        <v>23</v>
      </c>
      <c r="L1118" s="2" t="s">
        <v>2523</v>
      </c>
      <c r="M1118" s="2" t="s">
        <v>2526</v>
      </c>
    </row>
    <row r="1119" spans="1:13" x14ac:dyDescent="0.3">
      <c r="A1119" s="1">
        <v>45928</v>
      </c>
      <c r="B1119" s="2" t="s">
        <v>2642</v>
      </c>
      <c r="C1119" s="2" t="s">
        <v>2543</v>
      </c>
      <c r="D1119" s="2" t="s">
        <v>2528</v>
      </c>
      <c r="E1119" s="2" t="s">
        <v>2517</v>
      </c>
      <c r="F1119" s="3">
        <v>145285</v>
      </c>
      <c r="G1119" s="3">
        <v>9434</v>
      </c>
      <c r="H1119" s="3">
        <v>268</v>
      </c>
      <c r="I1119" s="4">
        <v>5133.46</v>
      </c>
      <c r="J1119" s="4">
        <v>18332.810000000001</v>
      </c>
      <c r="K1119" s="3">
        <v>129</v>
      </c>
      <c r="L1119" s="2" t="s">
        <v>2523</v>
      </c>
      <c r="M1119" s="2" t="s">
        <v>2524</v>
      </c>
    </row>
    <row r="1120" spans="1:13" x14ac:dyDescent="0.3">
      <c r="A1120" s="1">
        <v>45693</v>
      </c>
      <c r="B1120" s="2" t="s">
        <v>2641</v>
      </c>
      <c r="C1120" s="2" t="s">
        <v>2527</v>
      </c>
      <c r="D1120" s="2" t="s">
        <v>2528</v>
      </c>
      <c r="E1120" s="2" t="s">
        <v>2517</v>
      </c>
      <c r="F1120" s="3">
        <v>107252</v>
      </c>
      <c r="G1120" s="3">
        <v>2414</v>
      </c>
      <c r="H1120" s="3">
        <v>272</v>
      </c>
      <c r="I1120" s="4">
        <v>3505.07</v>
      </c>
      <c r="J1120" s="4">
        <v>35706</v>
      </c>
      <c r="K1120" s="3">
        <v>192</v>
      </c>
      <c r="L1120" s="2" t="s">
        <v>2518</v>
      </c>
      <c r="M1120" s="2" t="s">
        <v>2524</v>
      </c>
    </row>
    <row r="1121" spans="1:13" x14ac:dyDescent="0.3">
      <c r="A1121" s="1">
        <v>45875</v>
      </c>
      <c r="B1121" s="2" t="s">
        <v>2632</v>
      </c>
      <c r="C1121" s="2" t="s">
        <v>2533</v>
      </c>
      <c r="D1121" s="2" t="s">
        <v>2528</v>
      </c>
      <c r="E1121" s="2" t="s">
        <v>2517</v>
      </c>
      <c r="F1121" s="3">
        <v>58840</v>
      </c>
      <c r="G1121" s="3">
        <v>485</v>
      </c>
      <c r="H1121" s="3">
        <v>13</v>
      </c>
      <c r="I1121" s="4">
        <v>425.56</v>
      </c>
      <c r="J1121" s="4">
        <v>1537.81</v>
      </c>
      <c r="K1121" s="3">
        <v>7</v>
      </c>
      <c r="L1121" s="2" t="s">
        <v>2523</v>
      </c>
      <c r="M1121" s="2" t="s">
        <v>2526</v>
      </c>
    </row>
    <row r="1122" spans="1:13" x14ac:dyDescent="0.3">
      <c r="A1122" s="1">
        <v>45941</v>
      </c>
      <c r="B1122" s="2" t="s">
        <v>2640</v>
      </c>
      <c r="C1122" s="2" t="s">
        <v>2527</v>
      </c>
      <c r="D1122" s="2" t="s">
        <v>2522</v>
      </c>
      <c r="E1122" s="2" t="s">
        <v>2534</v>
      </c>
      <c r="F1122" s="3">
        <v>118665</v>
      </c>
      <c r="G1122" s="3">
        <v>3137</v>
      </c>
      <c r="H1122" s="3">
        <v>260</v>
      </c>
      <c r="I1122" s="4">
        <v>1348.47</v>
      </c>
      <c r="J1122" s="4">
        <v>26446.23</v>
      </c>
      <c r="K1122" s="3">
        <v>186</v>
      </c>
      <c r="L1122" s="2" t="s">
        <v>2539</v>
      </c>
      <c r="M1122" s="2" t="s">
        <v>2526</v>
      </c>
    </row>
    <row r="1123" spans="1:13" x14ac:dyDescent="0.3">
      <c r="A1123" s="1">
        <v>45828</v>
      </c>
      <c r="B1123" s="2" t="s">
        <v>2634</v>
      </c>
      <c r="C1123" s="2" t="s">
        <v>2515</v>
      </c>
      <c r="D1123" s="2" t="s">
        <v>2528</v>
      </c>
      <c r="E1123" s="2" t="s">
        <v>2517</v>
      </c>
      <c r="F1123" s="3">
        <v>4363</v>
      </c>
      <c r="G1123" s="3">
        <v>84</v>
      </c>
      <c r="H1123" s="3">
        <v>1</v>
      </c>
      <c r="I1123" s="4">
        <v>79.75</v>
      </c>
      <c r="J1123" s="4">
        <v>71.88</v>
      </c>
      <c r="K1123" s="3">
        <v>0</v>
      </c>
      <c r="L1123" s="2" t="s">
        <v>2518</v>
      </c>
      <c r="M1123" s="2" t="s">
        <v>2537</v>
      </c>
    </row>
    <row r="1124" spans="1:13" x14ac:dyDescent="0.3">
      <c r="A1124" s="1">
        <v>45740</v>
      </c>
      <c r="B1124" s="2" t="s">
        <v>2618</v>
      </c>
      <c r="C1124" s="2" t="s">
        <v>2533</v>
      </c>
      <c r="D1124" s="2" t="s">
        <v>2528</v>
      </c>
      <c r="E1124" s="2" t="s">
        <v>2529</v>
      </c>
      <c r="F1124" s="3">
        <v>3454</v>
      </c>
      <c r="G1124" s="3">
        <v>92</v>
      </c>
      <c r="H1124" s="3">
        <v>4</v>
      </c>
      <c r="I1124" s="4">
        <v>162.02000000000001</v>
      </c>
      <c r="J1124" s="4">
        <v>431.58</v>
      </c>
      <c r="K1124" s="3">
        <v>2</v>
      </c>
      <c r="L1124" s="2" t="s">
        <v>2523</v>
      </c>
      <c r="M1124" s="2" t="s">
        <v>2519</v>
      </c>
    </row>
    <row r="1125" spans="1:13" x14ac:dyDescent="0.3">
      <c r="A1125" s="1">
        <v>45748</v>
      </c>
      <c r="B1125" s="2" t="s">
        <v>2620</v>
      </c>
      <c r="C1125" s="2" t="s">
        <v>2527</v>
      </c>
      <c r="D1125" s="2" t="s">
        <v>2531</v>
      </c>
      <c r="E1125" s="2" t="s">
        <v>2517</v>
      </c>
      <c r="F1125" s="3">
        <v>12402</v>
      </c>
      <c r="G1125" s="3">
        <v>919</v>
      </c>
      <c r="H1125" s="3">
        <v>106</v>
      </c>
      <c r="I1125" s="4">
        <v>301.26</v>
      </c>
      <c r="J1125" s="4">
        <v>15680.68</v>
      </c>
      <c r="K1125" s="3">
        <v>55</v>
      </c>
      <c r="L1125" s="2" t="s">
        <v>2518</v>
      </c>
      <c r="M1125" s="2" t="s">
        <v>2526</v>
      </c>
    </row>
    <row r="1126" spans="1:13" x14ac:dyDescent="0.3">
      <c r="A1126" s="1">
        <v>45919</v>
      </c>
      <c r="B1126" s="2" t="s">
        <v>2638</v>
      </c>
      <c r="C1126" s="2" t="s">
        <v>2515</v>
      </c>
      <c r="D1126" s="2" t="s">
        <v>2528</v>
      </c>
      <c r="E1126" s="2" t="s">
        <v>2517</v>
      </c>
      <c r="F1126" s="3">
        <v>72807</v>
      </c>
      <c r="G1126" s="3">
        <v>5574</v>
      </c>
      <c r="H1126" s="3">
        <v>118</v>
      </c>
      <c r="I1126" s="4">
        <v>6156.75</v>
      </c>
      <c r="J1126" s="4">
        <v>21779.55</v>
      </c>
      <c r="K1126" s="3">
        <v>93</v>
      </c>
      <c r="L1126" s="2" t="s">
        <v>2539</v>
      </c>
      <c r="M1126" s="2" t="s">
        <v>2537</v>
      </c>
    </row>
    <row r="1127" spans="1:13" x14ac:dyDescent="0.3">
      <c r="A1127" s="1">
        <v>45784</v>
      </c>
      <c r="B1127" s="2" t="s">
        <v>2629</v>
      </c>
      <c r="C1127" s="2" t="s">
        <v>2543</v>
      </c>
      <c r="D1127" s="2" t="s">
        <v>2528</v>
      </c>
      <c r="E1127" s="2" t="s">
        <v>2517</v>
      </c>
      <c r="F1127" s="3">
        <v>151759</v>
      </c>
      <c r="G1127" s="3">
        <v>3242</v>
      </c>
      <c r="H1127" s="3">
        <v>45</v>
      </c>
      <c r="I1127" s="4">
        <v>3986.26</v>
      </c>
      <c r="J1127" s="4">
        <v>6754.16</v>
      </c>
      <c r="K1127" s="3">
        <v>21</v>
      </c>
      <c r="L1127" s="2" t="s">
        <v>2523</v>
      </c>
      <c r="M1127" s="2" t="s">
        <v>2524</v>
      </c>
    </row>
    <row r="1128" spans="1:13" x14ac:dyDescent="0.3">
      <c r="A1128" s="1">
        <v>45764</v>
      </c>
      <c r="B1128" s="2" t="s">
        <v>2615</v>
      </c>
      <c r="C1128" s="2" t="s">
        <v>2541</v>
      </c>
      <c r="D1128" s="2" t="s">
        <v>2525</v>
      </c>
      <c r="E1128" s="2" t="s">
        <v>2517</v>
      </c>
      <c r="F1128" s="3">
        <v>4855</v>
      </c>
      <c r="G1128" s="3">
        <v>95</v>
      </c>
      <c r="H1128" s="3">
        <v>7</v>
      </c>
      <c r="I1128" s="4">
        <v>121.78</v>
      </c>
      <c r="J1128" s="4">
        <v>1283.22</v>
      </c>
      <c r="K1128" s="3">
        <v>4</v>
      </c>
      <c r="L1128" s="2" t="s">
        <v>2539</v>
      </c>
      <c r="M1128" s="2" t="s">
        <v>2546</v>
      </c>
    </row>
    <row r="1129" spans="1:13" x14ac:dyDescent="0.3">
      <c r="A1129" s="1">
        <v>45717</v>
      </c>
      <c r="B1129" s="2" t="s">
        <v>2632</v>
      </c>
      <c r="C1129" s="2" t="s">
        <v>2543</v>
      </c>
      <c r="D1129" s="2" t="s">
        <v>2525</v>
      </c>
      <c r="E1129" s="2" t="s">
        <v>2517</v>
      </c>
      <c r="F1129" s="3">
        <v>50699</v>
      </c>
      <c r="G1129" s="3">
        <v>1473</v>
      </c>
      <c r="H1129" s="3">
        <v>50</v>
      </c>
      <c r="I1129" s="4">
        <v>3083.9</v>
      </c>
      <c r="J1129" s="4">
        <v>2983.83</v>
      </c>
      <c r="K1129" s="3">
        <v>40</v>
      </c>
      <c r="L1129" s="2" t="s">
        <v>2536</v>
      </c>
      <c r="M1129" s="2" t="s">
        <v>2537</v>
      </c>
    </row>
    <row r="1130" spans="1:13" x14ac:dyDescent="0.3">
      <c r="A1130" s="1">
        <v>45883</v>
      </c>
      <c r="B1130" s="2" t="s">
        <v>2632</v>
      </c>
      <c r="C1130" s="2" t="s">
        <v>2533</v>
      </c>
      <c r="D1130" s="2" t="s">
        <v>2528</v>
      </c>
      <c r="E1130" s="2" t="s">
        <v>2534</v>
      </c>
      <c r="F1130" s="3">
        <v>121666</v>
      </c>
      <c r="G1130" s="3">
        <v>3931</v>
      </c>
      <c r="H1130" s="3">
        <v>302</v>
      </c>
      <c r="I1130" s="4">
        <v>6983.02</v>
      </c>
      <c r="J1130" s="4">
        <v>9569.41</v>
      </c>
      <c r="K1130" s="3">
        <v>147</v>
      </c>
      <c r="L1130" s="2" t="s">
        <v>2518</v>
      </c>
      <c r="M1130" s="2" t="s">
        <v>2526</v>
      </c>
    </row>
    <row r="1131" spans="1:13" x14ac:dyDescent="0.3">
      <c r="A1131" s="1">
        <v>45811</v>
      </c>
      <c r="B1131" s="2" t="s">
        <v>2631</v>
      </c>
      <c r="C1131" s="2" t="s">
        <v>2527</v>
      </c>
      <c r="D1131" s="2" t="s">
        <v>2528</v>
      </c>
      <c r="E1131" s="2" t="s">
        <v>2529</v>
      </c>
      <c r="F1131" s="3">
        <v>139061</v>
      </c>
      <c r="G1131" s="3">
        <v>8846</v>
      </c>
      <c r="H1131" s="3">
        <v>952</v>
      </c>
      <c r="I1131" s="4">
        <v>2056.54</v>
      </c>
      <c r="J1131" s="4">
        <v>120820.71</v>
      </c>
      <c r="K1131" s="3">
        <v>653</v>
      </c>
      <c r="L1131" s="2" t="s">
        <v>2539</v>
      </c>
      <c r="M1131" s="2" t="s">
        <v>2546</v>
      </c>
    </row>
    <row r="1132" spans="1:13" x14ac:dyDescent="0.3">
      <c r="A1132" s="1">
        <v>45944</v>
      </c>
      <c r="B1132" s="2" t="s">
        <v>2620</v>
      </c>
      <c r="C1132" s="2" t="s">
        <v>2515</v>
      </c>
      <c r="D1132" s="2" t="s">
        <v>2528</v>
      </c>
      <c r="E1132" s="2" t="s">
        <v>2529</v>
      </c>
      <c r="F1132" s="3">
        <v>37754</v>
      </c>
      <c r="G1132" s="3">
        <v>629</v>
      </c>
      <c r="H1132" s="3">
        <v>5</v>
      </c>
      <c r="I1132" s="4">
        <v>233.22</v>
      </c>
      <c r="J1132" s="4">
        <v>734.19</v>
      </c>
      <c r="K1132" s="3">
        <v>4</v>
      </c>
      <c r="L1132" s="2" t="s">
        <v>2523</v>
      </c>
      <c r="M1132" s="2" t="s">
        <v>2546</v>
      </c>
    </row>
    <row r="1133" spans="1:13" x14ac:dyDescent="0.3">
      <c r="A1133" s="1">
        <v>45844</v>
      </c>
      <c r="B1133" s="2" t="s">
        <v>2625</v>
      </c>
      <c r="C1133" s="2" t="s">
        <v>2533</v>
      </c>
      <c r="D1133" s="2" t="s">
        <v>2522</v>
      </c>
      <c r="E1133" s="2" t="s">
        <v>2529</v>
      </c>
      <c r="F1133" s="3">
        <v>55877</v>
      </c>
      <c r="G1133" s="3">
        <v>4902</v>
      </c>
      <c r="H1133" s="3">
        <v>466</v>
      </c>
      <c r="I1133" s="4">
        <v>3259.6</v>
      </c>
      <c r="J1133" s="4">
        <v>36907.08</v>
      </c>
      <c r="K1133" s="3">
        <v>243</v>
      </c>
      <c r="L1133" s="2" t="s">
        <v>2539</v>
      </c>
      <c r="M1133" s="2" t="s">
        <v>2524</v>
      </c>
    </row>
    <row r="1134" spans="1:13" x14ac:dyDescent="0.3">
      <c r="A1134" s="1">
        <v>45720</v>
      </c>
      <c r="B1134" s="2" t="s">
        <v>2629</v>
      </c>
      <c r="C1134" s="2" t="s">
        <v>2515</v>
      </c>
      <c r="D1134" s="2" t="s">
        <v>2528</v>
      </c>
      <c r="E1134" s="2" t="s">
        <v>2529</v>
      </c>
      <c r="F1134" s="3">
        <v>90163</v>
      </c>
      <c r="G1134" s="3">
        <v>4268</v>
      </c>
      <c r="H1134" s="3">
        <v>443</v>
      </c>
      <c r="I1134" s="4">
        <v>7429.3</v>
      </c>
      <c r="J1134" s="4">
        <v>31552.81</v>
      </c>
      <c r="K1134" s="3">
        <v>231</v>
      </c>
      <c r="L1134" s="2" t="s">
        <v>2539</v>
      </c>
      <c r="M1134" s="2" t="s">
        <v>2526</v>
      </c>
    </row>
    <row r="1135" spans="1:13" x14ac:dyDescent="0.3">
      <c r="A1135" s="1">
        <v>45929</v>
      </c>
      <c r="B1135" s="2" t="s">
        <v>2639</v>
      </c>
      <c r="C1135" s="2" t="s">
        <v>2533</v>
      </c>
      <c r="D1135" s="2" t="s">
        <v>2531</v>
      </c>
      <c r="E1135" s="2" t="s">
        <v>2529</v>
      </c>
      <c r="F1135" s="3">
        <v>8746</v>
      </c>
      <c r="G1135" s="3">
        <v>581</v>
      </c>
      <c r="H1135" s="3">
        <v>9</v>
      </c>
      <c r="I1135" s="4">
        <v>777.55</v>
      </c>
      <c r="J1135" s="4">
        <v>1248.27</v>
      </c>
      <c r="K1135" s="3">
        <v>4</v>
      </c>
      <c r="L1135" s="2" t="s">
        <v>2518</v>
      </c>
      <c r="M1135" s="2" t="s">
        <v>2526</v>
      </c>
    </row>
    <row r="1136" spans="1:13" x14ac:dyDescent="0.3">
      <c r="A1136" s="1">
        <v>45720</v>
      </c>
      <c r="B1136" s="2" t="s">
        <v>2641</v>
      </c>
      <c r="C1136" s="2" t="s">
        <v>2521</v>
      </c>
      <c r="D1136" s="2" t="s">
        <v>2528</v>
      </c>
      <c r="E1136" s="2" t="s">
        <v>2517</v>
      </c>
      <c r="F1136" s="3">
        <v>33293</v>
      </c>
      <c r="G1136" s="3">
        <v>553</v>
      </c>
      <c r="H1136" s="3">
        <v>74</v>
      </c>
      <c r="I1136" s="4">
        <v>465.04</v>
      </c>
      <c r="J1136" s="4">
        <v>11335.61</v>
      </c>
      <c r="K1136" s="3">
        <v>43</v>
      </c>
      <c r="L1136" s="2" t="s">
        <v>2518</v>
      </c>
      <c r="M1136" s="2" t="s">
        <v>2519</v>
      </c>
    </row>
    <row r="1137" spans="1:13" x14ac:dyDescent="0.3">
      <c r="A1137" s="1">
        <v>45983</v>
      </c>
      <c r="B1137" s="2" t="s">
        <v>2643</v>
      </c>
      <c r="C1137" s="2" t="s">
        <v>2527</v>
      </c>
      <c r="D1137" s="2" t="s">
        <v>2528</v>
      </c>
      <c r="E1137" s="2" t="s">
        <v>2517</v>
      </c>
      <c r="F1137" s="3">
        <v>88575</v>
      </c>
      <c r="G1137" s="3">
        <v>3863</v>
      </c>
      <c r="H1137" s="3">
        <v>144</v>
      </c>
      <c r="I1137" s="4">
        <v>5128.53</v>
      </c>
      <c r="J1137" s="4">
        <v>14704.61</v>
      </c>
      <c r="K1137" s="3">
        <v>84</v>
      </c>
      <c r="L1137" s="2" t="s">
        <v>2539</v>
      </c>
      <c r="M1137" s="2" t="s">
        <v>2524</v>
      </c>
    </row>
    <row r="1138" spans="1:13" x14ac:dyDescent="0.3">
      <c r="A1138" s="1">
        <v>45680</v>
      </c>
      <c r="B1138" s="2" t="s">
        <v>2641</v>
      </c>
      <c r="C1138" s="2" t="s">
        <v>2541</v>
      </c>
      <c r="D1138" s="2" t="s">
        <v>2528</v>
      </c>
      <c r="E1138" s="2" t="s">
        <v>2517</v>
      </c>
      <c r="F1138" s="3">
        <v>67641</v>
      </c>
      <c r="G1138" s="3">
        <v>5862</v>
      </c>
      <c r="H1138" s="3">
        <v>41</v>
      </c>
      <c r="I1138" s="4">
        <v>1462.11</v>
      </c>
      <c r="J1138" s="4">
        <v>8431.9500000000007</v>
      </c>
      <c r="K1138" s="3">
        <v>27</v>
      </c>
      <c r="L1138" s="2" t="s">
        <v>2539</v>
      </c>
      <c r="M1138" s="2" t="s">
        <v>2526</v>
      </c>
    </row>
    <row r="1139" spans="1:13" x14ac:dyDescent="0.3">
      <c r="A1139" s="1">
        <v>45763</v>
      </c>
      <c r="B1139" s="2" t="s">
        <v>2626</v>
      </c>
      <c r="C1139" s="2" t="s">
        <v>2527</v>
      </c>
      <c r="D1139" s="2" t="s">
        <v>2528</v>
      </c>
      <c r="E1139" s="2" t="s">
        <v>2517</v>
      </c>
      <c r="F1139" s="3">
        <v>172623</v>
      </c>
      <c r="G1139" s="3">
        <v>10575</v>
      </c>
      <c r="H1139" s="3">
        <v>759</v>
      </c>
      <c r="I1139" s="4">
        <v>7207.13</v>
      </c>
      <c r="J1139" s="4">
        <v>117323.77</v>
      </c>
      <c r="K1139" s="3">
        <v>468</v>
      </c>
      <c r="L1139" s="2" t="s">
        <v>2539</v>
      </c>
      <c r="M1139" s="2" t="s">
        <v>2526</v>
      </c>
    </row>
    <row r="1140" spans="1:13" x14ac:dyDescent="0.3">
      <c r="A1140" s="1">
        <v>45874</v>
      </c>
      <c r="B1140" s="2" t="s">
        <v>2618</v>
      </c>
      <c r="C1140" s="2" t="s">
        <v>2533</v>
      </c>
      <c r="D1140" s="2" t="s">
        <v>2525</v>
      </c>
      <c r="E1140" s="2" t="s">
        <v>2529</v>
      </c>
      <c r="F1140" s="3">
        <v>18518</v>
      </c>
      <c r="G1140" s="3">
        <v>1160</v>
      </c>
      <c r="H1140" s="3">
        <v>158</v>
      </c>
      <c r="I1140" s="4">
        <v>689.01</v>
      </c>
      <c r="J1140" s="4">
        <v>3396.64</v>
      </c>
      <c r="K1140" s="3">
        <v>101</v>
      </c>
      <c r="L1140" s="2" t="s">
        <v>2523</v>
      </c>
      <c r="M1140" s="2" t="s">
        <v>2546</v>
      </c>
    </row>
    <row r="1141" spans="1:13" x14ac:dyDescent="0.3">
      <c r="A1141" s="1">
        <v>45888</v>
      </c>
      <c r="B1141" s="2" t="s">
        <v>2631</v>
      </c>
      <c r="C1141" s="2" t="s">
        <v>2543</v>
      </c>
      <c r="D1141" s="2" t="s">
        <v>2528</v>
      </c>
      <c r="E1141" s="2" t="s">
        <v>2529</v>
      </c>
      <c r="F1141" s="3">
        <v>130067</v>
      </c>
      <c r="G1141" s="3">
        <v>10650</v>
      </c>
      <c r="H1141" s="3">
        <v>1025</v>
      </c>
      <c r="I1141" s="4">
        <v>4595.96</v>
      </c>
      <c r="J1141" s="4">
        <v>137379.29999999999</v>
      </c>
      <c r="K1141" s="3">
        <v>680</v>
      </c>
      <c r="L1141" s="2" t="s">
        <v>2539</v>
      </c>
      <c r="M1141" s="2" t="s">
        <v>2519</v>
      </c>
    </row>
    <row r="1142" spans="1:13" x14ac:dyDescent="0.3">
      <c r="A1142" s="1">
        <v>45672</v>
      </c>
      <c r="B1142" s="2" t="s">
        <v>2640</v>
      </c>
      <c r="C1142" s="2" t="s">
        <v>2543</v>
      </c>
      <c r="D1142" s="2" t="s">
        <v>2528</v>
      </c>
      <c r="E1142" s="2" t="s">
        <v>2534</v>
      </c>
      <c r="F1142" s="3">
        <v>177703</v>
      </c>
      <c r="G1142" s="3">
        <v>14067</v>
      </c>
      <c r="H1142" s="3">
        <v>1465</v>
      </c>
      <c r="I1142" s="4">
        <v>13486.04</v>
      </c>
      <c r="J1142" s="4">
        <v>126597.44</v>
      </c>
      <c r="K1142" s="3">
        <v>1181</v>
      </c>
      <c r="L1142" s="2" t="s">
        <v>2523</v>
      </c>
      <c r="M1142" s="2" t="s">
        <v>2519</v>
      </c>
    </row>
    <row r="1143" spans="1:13" x14ac:dyDescent="0.3">
      <c r="A1143" s="1">
        <v>45788</v>
      </c>
      <c r="B1143" s="2" t="s">
        <v>2637</v>
      </c>
      <c r="C1143" s="2" t="s">
        <v>2515</v>
      </c>
      <c r="D1143" s="2" t="s">
        <v>2516</v>
      </c>
      <c r="E1143" s="2" t="s">
        <v>2529</v>
      </c>
      <c r="F1143" s="3">
        <v>68139</v>
      </c>
      <c r="G1143" s="3">
        <v>2369</v>
      </c>
      <c r="H1143" s="3">
        <v>258</v>
      </c>
      <c r="I1143" s="4">
        <v>4436.49</v>
      </c>
      <c r="J1143" s="4">
        <v>49978.66</v>
      </c>
      <c r="K1143" s="3">
        <v>219</v>
      </c>
      <c r="L1143" s="2" t="s">
        <v>2518</v>
      </c>
      <c r="M1143" s="2" t="s">
        <v>2546</v>
      </c>
    </row>
    <row r="1144" spans="1:13" x14ac:dyDescent="0.3">
      <c r="A1144" s="1">
        <v>45947</v>
      </c>
      <c r="B1144" s="2" t="s">
        <v>2641</v>
      </c>
      <c r="C1144" s="2" t="s">
        <v>2541</v>
      </c>
      <c r="D1144" s="2" t="s">
        <v>2531</v>
      </c>
      <c r="E1144" s="2" t="s">
        <v>2529</v>
      </c>
      <c r="F1144" s="3">
        <v>164017</v>
      </c>
      <c r="G1144" s="3">
        <v>4996</v>
      </c>
      <c r="H1144" s="3">
        <v>170</v>
      </c>
      <c r="I1144" s="4">
        <v>6449.46</v>
      </c>
      <c r="J1144" s="4">
        <v>16638.349999999999</v>
      </c>
      <c r="K1144" s="3">
        <v>78</v>
      </c>
      <c r="L1144" s="2" t="s">
        <v>2539</v>
      </c>
      <c r="M1144" s="2" t="s">
        <v>2524</v>
      </c>
    </row>
    <row r="1145" spans="1:13" x14ac:dyDescent="0.3">
      <c r="A1145" s="1">
        <v>45822</v>
      </c>
      <c r="B1145" s="2" t="s">
        <v>2626</v>
      </c>
      <c r="C1145" s="2" t="s">
        <v>2533</v>
      </c>
      <c r="D1145" s="2" t="s">
        <v>2528</v>
      </c>
      <c r="E1145" s="2" t="s">
        <v>2517</v>
      </c>
      <c r="F1145" s="3">
        <v>124594</v>
      </c>
      <c r="G1145" s="3">
        <v>4746</v>
      </c>
      <c r="H1145" s="3">
        <v>299</v>
      </c>
      <c r="I1145" s="4">
        <v>5268.96</v>
      </c>
      <c r="J1145" s="4">
        <v>54344.959999999999</v>
      </c>
      <c r="K1145" s="3">
        <v>205</v>
      </c>
      <c r="L1145" s="2" t="s">
        <v>2523</v>
      </c>
      <c r="M1145" s="2" t="s">
        <v>2524</v>
      </c>
    </row>
    <row r="1146" spans="1:13" x14ac:dyDescent="0.3">
      <c r="A1146" s="1">
        <v>45678</v>
      </c>
      <c r="B1146" s="2" t="s">
        <v>2615</v>
      </c>
      <c r="C1146" s="2" t="s">
        <v>2521</v>
      </c>
      <c r="D1146" s="2" t="s">
        <v>2525</v>
      </c>
      <c r="E1146" s="2" t="s">
        <v>2517</v>
      </c>
      <c r="F1146" s="3">
        <v>156965</v>
      </c>
      <c r="G1146" s="3">
        <v>5806</v>
      </c>
      <c r="H1146" s="3">
        <v>73</v>
      </c>
      <c r="I1146" s="4">
        <v>3091.91</v>
      </c>
      <c r="J1146" s="4">
        <v>6415.7</v>
      </c>
      <c r="K1146" s="3">
        <v>33</v>
      </c>
      <c r="L1146" s="2" t="s">
        <v>2536</v>
      </c>
      <c r="M1146" s="2" t="s">
        <v>2519</v>
      </c>
    </row>
    <row r="1147" spans="1:13" x14ac:dyDescent="0.3">
      <c r="A1147" s="1">
        <v>45934</v>
      </c>
      <c r="B1147" s="2" t="s">
        <v>2620</v>
      </c>
      <c r="C1147" s="2" t="s">
        <v>2521</v>
      </c>
      <c r="D1147" s="2" t="s">
        <v>2531</v>
      </c>
      <c r="E1147" s="2" t="s">
        <v>2517</v>
      </c>
      <c r="F1147" s="3">
        <v>166082</v>
      </c>
      <c r="G1147" s="3">
        <v>14573</v>
      </c>
      <c r="H1147" s="3">
        <v>1163</v>
      </c>
      <c r="I1147" s="4">
        <v>25999.78</v>
      </c>
      <c r="J1147" s="4">
        <v>132734.29</v>
      </c>
      <c r="K1147" s="3">
        <v>846</v>
      </c>
      <c r="L1147" s="2" t="s">
        <v>2518</v>
      </c>
      <c r="M1147" s="2" t="s">
        <v>2537</v>
      </c>
    </row>
    <row r="1148" spans="1:13" x14ac:dyDescent="0.3">
      <c r="A1148" s="1">
        <v>45931</v>
      </c>
      <c r="B1148" s="2" t="s">
        <v>2632</v>
      </c>
      <c r="C1148" s="2" t="s">
        <v>2543</v>
      </c>
      <c r="D1148" s="2" t="s">
        <v>2528</v>
      </c>
      <c r="E1148" s="2" t="s">
        <v>2517</v>
      </c>
      <c r="F1148" s="3">
        <v>140686</v>
      </c>
      <c r="G1148" s="3">
        <v>9087</v>
      </c>
      <c r="H1148" s="3">
        <v>875</v>
      </c>
      <c r="I1148" s="4">
        <v>3201.94</v>
      </c>
      <c r="J1148" s="4">
        <v>92960.03</v>
      </c>
      <c r="K1148" s="3">
        <v>628</v>
      </c>
      <c r="L1148" s="2" t="s">
        <v>2518</v>
      </c>
      <c r="M1148" s="2" t="s">
        <v>2546</v>
      </c>
    </row>
    <row r="1149" spans="1:13" x14ac:dyDescent="0.3">
      <c r="A1149" s="1">
        <v>45865</v>
      </c>
      <c r="B1149" s="2" t="s">
        <v>2635</v>
      </c>
      <c r="C1149" s="2" t="s">
        <v>2527</v>
      </c>
      <c r="D1149" s="2" t="s">
        <v>2528</v>
      </c>
      <c r="E1149" s="2" t="s">
        <v>2517</v>
      </c>
      <c r="F1149" s="3">
        <v>39458</v>
      </c>
      <c r="G1149" s="3">
        <v>656</v>
      </c>
      <c r="H1149" s="3">
        <v>84</v>
      </c>
      <c r="I1149" s="4">
        <v>91.49</v>
      </c>
      <c r="J1149" s="4">
        <v>3652.61</v>
      </c>
      <c r="K1149" s="3">
        <v>50</v>
      </c>
      <c r="L1149" s="2" t="s">
        <v>2518</v>
      </c>
      <c r="M1149" s="2" t="s">
        <v>2524</v>
      </c>
    </row>
    <row r="1150" spans="1:13" x14ac:dyDescent="0.3">
      <c r="A1150" s="1">
        <v>45954</v>
      </c>
      <c r="B1150" s="2" t="s">
        <v>2634</v>
      </c>
      <c r="C1150" s="2" t="s">
        <v>2541</v>
      </c>
      <c r="D1150" s="2" t="s">
        <v>2531</v>
      </c>
      <c r="E1150" s="2" t="s">
        <v>2529</v>
      </c>
      <c r="F1150" s="3">
        <v>94072</v>
      </c>
      <c r="G1150" s="3">
        <v>8240</v>
      </c>
      <c r="H1150" s="3">
        <v>501</v>
      </c>
      <c r="I1150" s="4">
        <v>6995.63</v>
      </c>
      <c r="J1150" s="4">
        <v>63029.34</v>
      </c>
      <c r="K1150" s="3">
        <v>449</v>
      </c>
      <c r="L1150" s="2" t="s">
        <v>2518</v>
      </c>
      <c r="M1150" s="2" t="s">
        <v>2546</v>
      </c>
    </row>
    <row r="1151" spans="1:13" x14ac:dyDescent="0.3">
      <c r="A1151" s="1">
        <v>45666</v>
      </c>
      <c r="B1151" s="2" t="s">
        <v>2615</v>
      </c>
      <c r="C1151" s="2" t="s">
        <v>2533</v>
      </c>
      <c r="D1151" s="2" t="s">
        <v>2528</v>
      </c>
      <c r="E1151" s="2" t="s">
        <v>2517</v>
      </c>
      <c r="F1151" s="3">
        <v>29356</v>
      </c>
      <c r="G1151" s="3">
        <v>2424</v>
      </c>
      <c r="H1151" s="3">
        <v>259</v>
      </c>
      <c r="I1151" s="4">
        <v>4720.26</v>
      </c>
      <c r="J1151" s="4">
        <v>35486.42</v>
      </c>
      <c r="K1151" s="3">
        <v>177</v>
      </c>
      <c r="L1151" s="2" t="s">
        <v>2539</v>
      </c>
      <c r="M1151" s="2" t="s">
        <v>2526</v>
      </c>
    </row>
    <row r="1152" spans="1:13" x14ac:dyDescent="0.3">
      <c r="A1152" s="1">
        <v>45812</v>
      </c>
      <c r="B1152" s="2" t="s">
        <v>2634</v>
      </c>
      <c r="C1152" s="2" t="s">
        <v>2515</v>
      </c>
      <c r="D1152" s="2" t="s">
        <v>2528</v>
      </c>
      <c r="E1152" s="2" t="s">
        <v>2517</v>
      </c>
      <c r="F1152" s="3">
        <v>107522</v>
      </c>
      <c r="G1152" s="3">
        <v>1399</v>
      </c>
      <c r="H1152" s="3">
        <v>66</v>
      </c>
      <c r="I1152" s="4">
        <v>1584.04</v>
      </c>
      <c r="J1152" s="4">
        <v>1659.05</v>
      </c>
      <c r="K1152" s="3">
        <v>44</v>
      </c>
      <c r="L1152" s="2" t="s">
        <v>2536</v>
      </c>
      <c r="M1152" s="2" t="s">
        <v>2546</v>
      </c>
    </row>
    <row r="1153" spans="1:13" x14ac:dyDescent="0.3">
      <c r="A1153" s="1">
        <v>45896</v>
      </c>
      <c r="B1153" s="2" t="s">
        <v>2617</v>
      </c>
      <c r="C1153" s="2" t="s">
        <v>2515</v>
      </c>
      <c r="D1153" s="2" t="s">
        <v>2531</v>
      </c>
      <c r="E1153" s="2" t="s">
        <v>2534</v>
      </c>
      <c r="F1153" s="3">
        <v>1648</v>
      </c>
      <c r="G1153" s="3">
        <v>60</v>
      </c>
      <c r="H1153" s="3">
        <v>4</v>
      </c>
      <c r="I1153" s="4">
        <v>81.400000000000006</v>
      </c>
      <c r="J1153" s="4">
        <v>442.76</v>
      </c>
      <c r="K1153" s="3">
        <v>2</v>
      </c>
      <c r="L1153" s="2" t="s">
        <v>2518</v>
      </c>
      <c r="M1153" s="2" t="s">
        <v>2524</v>
      </c>
    </row>
    <row r="1154" spans="1:13" x14ac:dyDescent="0.3">
      <c r="A1154" s="1">
        <v>45692</v>
      </c>
      <c r="B1154" s="2" t="s">
        <v>2627</v>
      </c>
      <c r="C1154" s="2" t="s">
        <v>2527</v>
      </c>
      <c r="D1154" s="2" t="s">
        <v>2531</v>
      </c>
      <c r="E1154" s="2" t="s">
        <v>2517</v>
      </c>
      <c r="F1154" s="3">
        <v>22762</v>
      </c>
      <c r="G1154" s="3">
        <v>1042</v>
      </c>
      <c r="H1154" s="3">
        <v>103</v>
      </c>
      <c r="I1154" s="4">
        <v>160.85</v>
      </c>
      <c r="J1154" s="4">
        <v>13839.38</v>
      </c>
      <c r="K1154" s="3">
        <v>73</v>
      </c>
      <c r="L1154" s="2" t="s">
        <v>2536</v>
      </c>
      <c r="M1154" s="2" t="s">
        <v>2526</v>
      </c>
    </row>
    <row r="1155" spans="1:13" x14ac:dyDescent="0.3">
      <c r="A1155" s="1">
        <v>45899</v>
      </c>
      <c r="B1155" s="2" t="s">
        <v>2619</v>
      </c>
      <c r="C1155" s="2" t="s">
        <v>2541</v>
      </c>
      <c r="D1155" s="2" t="s">
        <v>2525</v>
      </c>
      <c r="E1155" s="2" t="s">
        <v>2517</v>
      </c>
      <c r="F1155" s="3">
        <v>27522</v>
      </c>
      <c r="G1155" s="3">
        <v>1823</v>
      </c>
      <c r="H1155" s="3">
        <v>23</v>
      </c>
      <c r="I1155" s="4">
        <v>1850.65</v>
      </c>
      <c r="J1155" s="4">
        <v>4066.14</v>
      </c>
      <c r="K1155" s="3">
        <v>12</v>
      </c>
      <c r="L1155" s="2" t="s">
        <v>2518</v>
      </c>
      <c r="M1155" s="2" t="s">
        <v>2519</v>
      </c>
    </row>
    <row r="1156" spans="1:13" x14ac:dyDescent="0.3">
      <c r="A1156" s="1">
        <v>45883</v>
      </c>
      <c r="B1156" s="2" t="s">
        <v>2632</v>
      </c>
      <c r="C1156" s="2" t="s">
        <v>2543</v>
      </c>
      <c r="D1156" s="2" t="s">
        <v>2516</v>
      </c>
      <c r="E1156" s="2" t="s">
        <v>2517</v>
      </c>
      <c r="F1156" s="3">
        <v>60647</v>
      </c>
      <c r="G1156" s="3">
        <v>1677</v>
      </c>
      <c r="H1156" s="3">
        <v>133</v>
      </c>
      <c r="I1156" s="4">
        <v>796.35</v>
      </c>
      <c r="J1156" s="4">
        <v>24591.9</v>
      </c>
      <c r="K1156" s="3">
        <v>66</v>
      </c>
      <c r="L1156" s="2" t="s">
        <v>2518</v>
      </c>
      <c r="M1156" s="2" t="s">
        <v>2524</v>
      </c>
    </row>
    <row r="1157" spans="1:13" x14ac:dyDescent="0.3">
      <c r="A1157" s="1">
        <v>45802</v>
      </c>
      <c r="B1157" s="2" t="s">
        <v>2618</v>
      </c>
      <c r="C1157" s="2" t="s">
        <v>2521</v>
      </c>
      <c r="D1157" s="2" t="s">
        <v>2528</v>
      </c>
      <c r="E1157" s="2" t="s">
        <v>2534</v>
      </c>
      <c r="F1157" s="3">
        <v>157640</v>
      </c>
      <c r="G1157" s="3">
        <v>8880</v>
      </c>
      <c r="H1157" s="3">
        <v>1156</v>
      </c>
      <c r="I1157" s="4">
        <v>8972.9699999999993</v>
      </c>
      <c r="J1157" s="4">
        <v>218433</v>
      </c>
      <c r="K1157" s="3">
        <v>997</v>
      </c>
      <c r="L1157" s="2" t="s">
        <v>2536</v>
      </c>
      <c r="M1157" s="2" t="s">
        <v>2546</v>
      </c>
    </row>
    <row r="1158" spans="1:13" x14ac:dyDescent="0.3">
      <c r="A1158" s="1">
        <v>45816</v>
      </c>
      <c r="B1158" s="2" t="s">
        <v>2643</v>
      </c>
      <c r="C1158" s="2" t="s">
        <v>2527</v>
      </c>
      <c r="D1158" s="2" t="s">
        <v>2528</v>
      </c>
      <c r="E1158" s="2" t="s">
        <v>2517</v>
      </c>
      <c r="F1158" s="3">
        <v>106770</v>
      </c>
      <c r="G1158" s="3">
        <v>6364</v>
      </c>
      <c r="H1158" s="3">
        <v>596</v>
      </c>
      <c r="I1158" s="4">
        <v>4939.3599999999997</v>
      </c>
      <c r="J1158" s="4">
        <v>81568.100000000006</v>
      </c>
      <c r="K1158" s="3">
        <v>444</v>
      </c>
      <c r="L1158" s="2" t="s">
        <v>2518</v>
      </c>
      <c r="M1158" s="2" t="s">
        <v>2537</v>
      </c>
    </row>
    <row r="1159" spans="1:13" x14ac:dyDescent="0.3">
      <c r="A1159" s="1">
        <v>45660</v>
      </c>
      <c r="B1159" s="2" t="s">
        <v>2630</v>
      </c>
      <c r="C1159" s="2" t="s">
        <v>2533</v>
      </c>
      <c r="D1159" s="2" t="s">
        <v>2525</v>
      </c>
      <c r="E1159" s="2" t="s">
        <v>2529</v>
      </c>
      <c r="F1159" s="3">
        <v>98572</v>
      </c>
      <c r="G1159" s="3">
        <v>1369</v>
      </c>
      <c r="H1159" s="3">
        <v>23</v>
      </c>
      <c r="I1159" s="4">
        <v>1314.29</v>
      </c>
      <c r="J1159" s="4">
        <v>3325.16</v>
      </c>
      <c r="K1159" s="3">
        <v>16</v>
      </c>
      <c r="L1159" s="2" t="s">
        <v>2518</v>
      </c>
      <c r="M1159" s="2" t="s">
        <v>2546</v>
      </c>
    </row>
    <row r="1160" spans="1:13" x14ac:dyDescent="0.3">
      <c r="A1160" s="1">
        <v>45789</v>
      </c>
      <c r="B1160" s="2" t="s">
        <v>2627</v>
      </c>
      <c r="C1160" s="2" t="s">
        <v>2515</v>
      </c>
      <c r="D1160" s="2" t="s">
        <v>2531</v>
      </c>
      <c r="E1160" s="2" t="s">
        <v>2517</v>
      </c>
      <c r="F1160" s="3">
        <v>68029</v>
      </c>
      <c r="G1160" s="3">
        <v>4233</v>
      </c>
      <c r="H1160" s="3">
        <v>497</v>
      </c>
      <c r="I1160" s="4">
        <v>4017.98</v>
      </c>
      <c r="J1160" s="4">
        <v>39941.26</v>
      </c>
      <c r="K1160" s="3">
        <v>324</v>
      </c>
      <c r="L1160" s="2" t="s">
        <v>2523</v>
      </c>
      <c r="M1160" s="2" t="s">
        <v>2546</v>
      </c>
    </row>
    <row r="1161" spans="1:13" x14ac:dyDescent="0.3">
      <c r="A1161" s="1">
        <v>45899</v>
      </c>
      <c r="B1161" s="2" t="s">
        <v>2622</v>
      </c>
      <c r="C1161" s="2" t="s">
        <v>2541</v>
      </c>
      <c r="D1161" s="2" t="s">
        <v>2525</v>
      </c>
      <c r="E1161" s="2" t="s">
        <v>2517</v>
      </c>
      <c r="F1161" s="3">
        <v>118994</v>
      </c>
      <c r="G1161" s="3">
        <v>850</v>
      </c>
      <c r="H1161" s="3">
        <v>76</v>
      </c>
      <c r="I1161" s="4">
        <v>556.84</v>
      </c>
      <c r="J1161" s="4">
        <v>11715.58</v>
      </c>
      <c r="K1161" s="3">
        <v>56</v>
      </c>
      <c r="L1161" s="2" t="s">
        <v>2536</v>
      </c>
      <c r="M1161" s="2" t="s">
        <v>2524</v>
      </c>
    </row>
    <row r="1162" spans="1:13" x14ac:dyDescent="0.3">
      <c r="A1162" s="1">
        <v>45856</v>
      </c>
      <c r="B1162" s="2" t="s">
        <v>2624</v>
      </c>
      <c r="C1162" s="2" t="s">
        <v>2515</v>
      </c>
      <c r="D1162" s="2" t="s">
        <v>2528</v>
      </c>
      <c r="E1162" s="2" t="s">
        <v>2529</v>
      </c>
      <c r="F1162" s="3">
        <v>80926</v>
      </c>
      <c r="G1162" s="3">
        <v>5003</v>
      </c>
      <c r="H1162" s="3">
        <v>106</v>
      </c>
      <c r="I1162" s="4">
        <v>9907.75</v>
      </c>
      <c r="J1162" s="4">
        <v>22196.35</v>
      </c>
      <c r="K1162" s="3">
        <v>82</v>
      </c>
      <c r="L1162" s="2" t="s">
        <v>2539</v>
      </c>
      <c r="M1162" s="2" t="s">
        <v>2526</v>
      </c>
    </row>
    <row r="1163" spans="1:13" x14ac:dyDescent="0.3">
      <c r="A1163" s="1">
        <v>45888</v>
      </c>
      <c r="B1163" s="2" t="s">
        <v>2622</v>
      </c>
      <c r="C1163" s="2" t="s">
        <v>2541</v>
      </c>
      <c r="D1163" s="2" t="s">
        <v>2531</v>
      </c>
      <c r="E1163" s="2" t="s">
        <v>2517</v>
      </c>
      <c r="F1163" s="3">
        <v>132767</v>
      </c>
      <c r="G1163" s="3">
        <v>8237</v>
      </c>
      <c r="H1163" s="3">
        <v>660</v>
      </c>
      <c r="I1163" s="4">
        <v>6670.74</v>
      </c>
      <c r="J1163" s="4">
        <v>14103.52</v>
      </c>
      <c r="K1163" s="3">
        <v>532</v>
      </c>
      <c r="L1163" s="2" t="s">
        <v>2536</v>
      </c>
      <c r="M1163" s="2" t="s">
        <v>2526</v>
      </c>
    </row>
    <row r="1164" spans="1:13" x14ac:dyDescent="0.3">
      <c r="A1164" s="1">
        <v>45901</v>
      </c>
      <c r="B1164" s="2" t="s">
        <v>2637</v>
      </c>
      <c r="C1164" s="2" t="s">
        <v>2527</v>
      </c>
      <c r="D1164" s="2" t="s">
        <v>2516</v>
      </c>
      <c r="E1164" s="2" t="s">
        <v>2529</v>
      </c>
      <c r="F1164" s="3">
        <v>18632</v>
      </c>
      <c r="G1164" s="3">
        <v>566</v>
      </c>
      <c r="H1164" s="3">
        <v>25</v>
      </c>
      <c r="I1164" s="4">
        <v>1037.67</v>
      </c>
      <c r="J1164" s="4">
        <v>5288.09</v>
      </c>
      <c r="K1164" s="3">
        <v>11</v>
      </c>
      <c r="L1164" s="2" t="s">
        <v>2536</v>
      </c>
      <c r="M1164" s="2" t="s">
        <v>2546</v>
      </c>
    </row>
    <row r="1165" spans="1:13" x14ac:dyDescent="0.3">
      <c r="A1165" s="1">
        <v>45705</v>
      </c>
      <c r="B1165" s="2" t="s">
        <v>2636</v>
      </c>
      <c r="C1165" s="2" t="s">
        <v>2521</v>
      </c>
      <c r="D1165" s="2" t="s">
        <v>2522</v>
      </c>
      <c r="E1165" s="2" t="s">
        <v>2529</v>
      </c>
      <c r="F1165" s="3">
        <v>103207</v>
      </c>
      <c r="G1165" s="3">
        <v>4973</v>
      </c>
      <c r="H1165" s="3">
        <v>435</v>
      </c>
      <c r="I1165" s="4">
        <v>8940.83</v>
      </c>
      <c r="J1165" s="4">
        <v>28887.26</v>
      </c>
      <c r="K1165" s="3">
        <v>290</v>
      </c>
      <c r="L1165" s="2" t="s">
        <v>2536</v>
      </c>
      <c r="M1165" s="2" t="s">
        <v>2526</v>
      </c>
    </row>
    <row r="1166" spans="1:13" x14ac:dyDescent="0.3">
      <c r="A1166" s="1">
        <v>45924</v>
      </c>
      <c r="B1166" s="2" t="s">
        <v>2629</v>
      </c>
      <c r="C1166" s="2" t="s">
        <v>2533</v>
      </c>
      <c r="D1166" s="2" t="s">
        <v>2528</v>
      </c>
      <c r="E1166" s="2" t="s">
        <v>2517</v>
      </c>
      <c r="F1166" s="3">
        <v>104825</v>
      </c>
      <c r="G1166" s="3">
        <v>7224</v>
      </c>
      <c r="H1166" s="3">
        <v>390</v>
      </c>
      <c r="I1166" s="4">
        <v>11911.22</v>
      </c>
      <c r="J1166" s="4">
        <v>33359.67</v>
      </c>
      <c r="K1166" s="3">
        <v>332</v>
      </c>
      <c r="L1166" s="2" t="s">
        <v>2518</v>
      </c>
      <c r="M1166" s="2" t="s">
        <v>2519</v>
      </c>
    </row>
    <row r="1167" spans="1:13" x14ac:dyDescent="0.3">
      <c r="A1167" s="1">
        <v>45712</v>
      </c>
      <c r="B1167" s="2" t="s">
        <v>2622</v>
      </c>
      <c r="C1167" s="2" t="s">
        <v>2521</v>
      </c>
      <c r="D1167" s="2" t="s">
        <v>2528</v>
      </c>
      <c r="E1167" s="2" t="s">
        <v>2517</v>
      </c>
      <c r="F1167" s="3">
        <v>86641</v>
      </c>
      <c r="G1167" s="3">
        <v>7611</v>
      </c>
      <c r="H1167" s="3">
        <v>497</v>
      </c>
      <c r="I1167" s="4">
        <v>2241.98</v>
      </c>
      <c r="J1167" s="4">
        <v>73378.429999999993</v>
      </c>
      <c r="K1167" s="3">
        <v>368</v>
      </c>
      <c r="L1167" s="2" t="s">
        <v>2539</v>
      </c>
      <c r="M1167" s="2" t="s">
        <v>2524</v>
      </c>
    </row>
    <row r="1168" spans="1:13" x14ac:dyDescent="0.3">
      <c r="A1168" s="1">
        <v>45788</v>
      </c>
      <c r="B1168" s="2" t="s">
        <v>2633</v>
      </c>
      <c r="C1168" s="2" t="s">
        <v>2533</v>
      </c>
      <c r="D1168" s="2" t="s">
        <v>2522</v>
      </c>
      <c r="E1168" s="2" t="s">
        <v>2517</v>
      </c>
      <c r="F1168" s="3">
        <v>100000</v>
      </c>
      <c r="G1168" s="3">
        <v>4421</v>
      </c>
      <c r="H1168" s="3">
        <v>473</v>
      </c>
      <c r="I1168" s="4">
        <v>5556.08</v>
      </c>
      <c r="J1168" s="4">
        <v>26106.41</v>
      </c>
      <c r="K1168" s="3">
        <v>353</v>
      </c>
      <c r="L1168" s="2" t="s">
        <v>2536</v>
      </c>
      <c r="M1168" s="2" t="s">
        <v>2526</v>
      </c>
    </row>
    <row r="1169" spans="1:13" x14ac:dyDescent="0.3">
      <c r="A1169" s="1">
        <v>45831</v>
      </c>
      <c r="B1169" s="2" t="s">
        <v>2622</v>
      </c>
      <c r="C1169" s="2" t="s">
        <v>2521</v>
      </c>
      <c r="D1169" s="2" t="s">
        <v>2528</v>
      </c>
      <c r="E1169" s="2" t="s">
        <v>2529</v>
      </c>
      <c r="F1169" s="3">
        <v>98320</v>
      </c>
      <c r="G1169" s="3">
        <v>3901</v>
      </c>
      <c r="H1169" s="3">
        <v>103</v>
      </c>
      <c r="I1169" s="4">
        <v>5049.18</v>
      </c>
      <c r="J1169" s="4">
        <v>3932.46</v>
      </c>
      <c r="K1169" s="3">
        <v>82</v>
      </c>
      <c r="L1169" s="2" t="s">
        <v>2518</v>
      </c>
      <c r="M1169" s="2" t="s">
        <v>2519</v>
      </c>
    </row>
    <row r="1170" spans="1:13" x14ac:dyDescent="0.3">
      <c r="A1170" s="1">
        <v>45843</v>
      </c>
      <c r="B1170" s="2" t="s">
        <v>2638</v>
      </c>
      <c r="C1170" s="2" t="s">
        <v>2541</v>
      </c>
      <c r="D1170" s="2" t="s">
        <v>2645</v>
      </c>
      <c r="E1170" s="2" t="s">
        <v>2529</v>
      </c>
      <c r="F1170" s="3">
        <v>29691</v>
      </c>
      <c r="G1170" s="3">
        <v>697</v>
      </c>
      <c r="H1170" s="3">
        <v>14</v>
      </c>
      <c r="I1170" s="4">
        <v>942.94</v>
      </c>
      <c r="J1170" s="4">
        <v>1909.56</v>
      </c>
      <c r="K1170" s="3">
        <v>7</v>
      </c>
      <c r="L1170" s="2" t="s">
        <v>2536</v>
      </c>
      <c r="M1170" s="2" t="s">
        <v>2526</v>
      </c>
    </row>
    <row r="1171" spans="1:13" x14ac:dyDescent="0.3">
      <c r="A1171" s="1">
        <v>45710</v>
      </c>
      <c r="B1171" s="2" t="s">
        <v>2643</v>
      </c>
      <c r="C1171" s="2" t="s">
        <v>2527</v>
      </c>
      <c r="D1171" s="2" t="s">
        <v>2528</v>
      </c>
      <c r="E1171" s="2" t="s">
        <v>2517</v>
      </c>
      <c r="F1171" s="3">
        <v>137395</v>
      </c>
      <c r="G1171" s="3">
        <v>5256</v>
      </c>
      <c r="H1171" s="3">
        <v>55</v>
      </c>
      <c r="I1171" s="4">
        <v>5591.55</v>
      </c>
      <c r="J1171" s="4">
        <v>2820.81</v>
      </c>
      <c r="K1171" s="3">
        <v>36</v>
      </c>
      <c r="L1171" s="2" t="s">
        <v>2523</v>
      </c>
      <c r="M1171" s="2" t="s">
        <v>2526</v>
      </c>
    </row>
    <row r="1172" spans="1:13" x14ac:dyDescent="0.3">
      <c r="A1172" s="1">
        <v>45955</v>
      </c>
      <c r="B1172" s="2" t="s">
        <v>2615</v>
      </c>
      <c r="C1172" s="2" t="s">
        <v>2533</v>
      </c>
      <c r="D1172" s="2" t="s">
        <v>2528</v>
      </c>
      <c r="E1172" s="2" t="s">
        <v>2534</v>
      </c>
      <c r="F1172" s="3">
        <v>93028</v>
      </c>
      <c r="G1172" s="3">
        <v>2974</v>
      </c>
      <c r="H1172" s="3">
        <v>272</v>
      </c>
      <c r="I1172" s="4">
        <v>3578.64</v>
      </c>
      <c r="J1172" s="4">
        <v>26107.439999999999</v>
      </c>
      <c r="K1172" s="3">
        <v>235</v>
      </c>
      <c r="L1172" s="2" t="s">
        <v>2518</v>
      </c>
      <c r="M1172" s="2" t="s">
        <v>2546</v>
      </c>
    </row>
    <row r="1173" spans="1:13" x14ac:dyDescent="0.3">
      <c r="A1173" s="1">
        <v>45828</v>
      </c>
      <c r="B1173" s="2" t="s">
        <v>2631</v>
      </c>
      <c r="C1173" s="2" t="s">
        <v>2541</v>
      </c>
      <c r="D1173" s="2" t="s">
        <v>2525</v>
      </c>
      <c r="E1173" s="2" t="s">
        <v>2529</v>
      </c>
      <c r="F1173" s="3">
        <v>88025</v>
      </c>
      <c r="G1173" s="3">
        <v>1193</v>
      </c>
      <c r="H1173" s="3">
        <v>142</v>
      </c>
      <c r="I1173" s="4">
        <v>1419.25</v>
      </c>
      <c r="J1173" s="4">
        <v>4393</v>
      </c>
      <c r="K1173" s="3">
        <v>113</v>
      </c>
      <c r="L1173" s="2" t="s">
        <v>2518</v>
      </c>
      <c r="M1173" s="2" t="s">
        <v>2519</v>
      </c>
    </row>
    <row r="1174" spans="1:13" x14ac:dyDescent="0.3">
      <c r="A1174" s="1">
        <v>45694</v>
      </c>
      <c r="B1174" s="2" t="s">
        <v>2623</v>
      </c>
      <c r="C1174" s="2" t="s">
        <v>2541</v>
      </c>
      <c r="D1174" s="2" t="s">
        <v>2528</v>
      </c>
      <c r="E1174" s="2" t="s">
        <v>2529</v>
      </c>
      <c r="F1174" s="3">
        <v>3993</v>
      </c>
      <c r="G1174" s="3">
        <v>40</v>
      </c>
      <c r="H1174" s="3">
        <v>1</v>
      </c>
      <c r="I1174" s="4">
        <v>33.9</v>
      </c>
      <c r="J1174" s="4">
        <v>71.09</v>
      </c>
      <c r="K1174" s="3">
        <v>0</v>
      </c>
      <c r="L1174" s="2" t="s">
        <v>2523</v>
      </c>
      <c r="M1174" s="2" t="s">
        <v>2526</v>
      </c>
    </row>
    <row r="1175" spans="1:13" x14ac:dyDescent="0.3">
      <c r="A1175" s="1">
        <v>45739</v>
      </c>
      <c r="B1175" s="2" t="s">
        <v>2627</v>
      </c>
      <c r="C1175" s="2" t="s">
        <v>2533</v>
      </c>
      <c r="D1175" s="2" t="s">
        <v>2516</v>
      </c>
      <c r="E1175" s="2" t="s">
        <v>2529</v>
      </c>
      <c r="F1175" s="3">
        <v>53435</v>
      </c>
      <c r="G1175" s="3">
        <v>2306</v>
      </c>
      <c r="H1175" s="3">
        <v>95</v>
      </c>
      <c r="I1175" s="4">
        <v>1511.2</v>
      </c>
      <c r="J1175" s="4">
        <v>3878.02</v>
      </c>
      <c r="K1175" s="3">
        <v>57</v>
      </c>
      <c r="L1175" s="2" t="s">
        <v>2536</v>
      </c>
      <c r="M1175" s="2" t="s">
        <v>2524</v>
      </c>
    </row>
    <row r="1176" spans="1:13" x14ac:dyDescent="0.3">
      <c r="A1176" s="1">
        <v>45767</v>
      </c>
      <c r="B1176" s="2" t="s">
        <v>2634</v>
      </c>
      <c r="C1176" s="2" t="s">
        <v>2521</v>
      </c>
      <c r="D1176" s="2" t="s">
        <v>2528</v>
      </c>
      <c r="E1176" s="2" t="s">
        <v>2517</v>
      </c>
      <c r="F1176" s="3">
        <v>103681</v>
      </c>
      <c r="G1176" s="3">
        <v>6792</v>
      </c>
      <c r="H1176" s="3">
        <v>593</v>
      </c>
      <c r="I1176" s="4">
        <v>8818.6200000000008</v>
      </c>
      <c r="J1176" s="4">
        <v>117559.63</v>
      </c>
      <c r="K1176" s="3">
        <v>335</v>
      </c>
      <c r="L1176" s="2" t="s">
        <v>2523</v>
      </c>
      <c r="M1176" s="2" t="s">
        <v>2524</v>
      </c>
    </row>
    <row r="1177" spans="1:13" x14ac:dyDescent="0.3">
      <c r="A1177" s="1">
        <v>46009</v>
      </c>
      <c r="B1177" s="2" t="s">
        <v>2619</v>
      </c>
      <c r="C1177" s="2" t="s">
        <v>2527</v>
      </c>
      <c r="D1177" s="2" t="s">
        <v>2528</v>
      </c>
      <c r="E1177" s="2" t="s">
        <v>2529</v>
      </c>
      <c r="F1177" s="3">
        <v>137133</v>
      </c>
      <c r="G1177" s="3">
        <v>4780</v>
      </c>
      <c r="H1177" s="3">
        <v>584</v>
      </c>
      <c r="I1177" s="4">
        <v>1174.95</v>
      </c>
      <c r="J1177" s="4">
        <v>14588.16</v>
      </c>
      <c r="K1177" s="3">
        <v>391</v>
      </c>
      <c r="L1177" s="2" t="s">
        <v>2523</v>
      </c>
      <c r="M1177" s="2" t="s">
        <v>2519</v>
      </c>
    </row>
    <row r="1178" spans="1:13" x14ac:dyDescent="0.3">
      <c r="A1178" s="1">
        <v>45942</v>
      </c>
      <c r="B1178" s="2" t="s">
        <v>2617</v>
      </c>
      <c r="C1178" s="2" t="s">
        <v>2515</v>
      </c>
      <c r="D1178" s="2" t="s">
        <v>2531</v>
      </c>
      <c r="E1178" s="2" t="s">
        <v>2517</v>
      </c>
      <c r="F1178" s="3">
        <v>44533</v>
      </c>
      <c r="G1178" s="3">
        <v>787</v>
      </c>
      <c r="H1178" s="3">
        <v>92</v>
      </c>
      <c r="I1178" s="4">
        <v>1422.3</v>
      </c>
      <c r="J1178" s="4">
        <v>3210.39</v>
      </c>
      <c r="K1178" s="3">
        <v>72</v>
      </c>
      <c r="L1178" s="2" t="s">
        <v>2536</v>
      </c>
      <c r="M1178" s="2" t="s">
        <v>2526</v>
      </c>
    </row>
    <row r="1179" spans="1:13" x14ac:dyDescent="0.3">
      <c r="A1179" s="1">
        <v>45979</v>
      </c>
      <c r="B1179" s="2" t="s">
        <v>2624</v>
      </c>
      <c r="C1179" s="2" t="s">
        <v>2515</v>
      </c>
      <c r="D1179" s="2" t="s">
        <v>2528</v>
      </c>
      <c r="E1179" s="2" t="s">
        <v>2517</v>
      </c>
      <c r="F1179" s="3">
        <v>65245</v>
      </c>
      <c r="G1179" s="3">
        <v>5501</v>
      </c>
      <c r="H1179" s="3">
        <v>626</v>
      </c>
      <c r="I1179" s="4">
        <v>11056.8</v>
      </c>
      <c r="J1179" s="4">
        <v>68534.559999999998</v>
      </c>
      <c r="K1179" s="3">
        <v>342</v>
      </c>
      <c r="L1179" s="2" t="s">
        <v>2518</v>
      </c>
      <c r="M1179" s="2" t="s">
        <v>2524</v>
      </c>
    </row>
    <row r="1180" spans="1:13" x14ac:dyDescent="0.3">
      <c r="A1180" s="1">
        <v>45738</v>
      </c>
      <c r="B1180" s="2" t="s">
        <v>2625</v>
      </c>
      <c r="C1180" s="2" t="s">
        <v>2527</v>
      </c>
      <c r="D1180" s="2" t="s">
        <v>2516</v>
      </c>
      <c r="E1180" s="2" t="s">
        <v>2517</v>
      </c>
      <c r="F1180" s="3">
        <v>150020</v>
      </c>
      <c r="G1180" s="3">
        <v>1137</v>
      </c>
      <c r="H1180" s="3">
        <v>122</v>
      </c>
      <c r="I1180" s="4">
        <v>1424.16</v>
      </c>
      <c r="J1180" s="4">
        <v>7450.9</v>
      </c>
      <c r="K1180" s="3">
        <v>100</v>
      </c>
      <c r="L1180" s="2" t="s">
        <v>2539</v>
      </c>
      <c r="M1180" s="2" t="s">
        <v>2524</v>
      </c>
    </row>
    <row r="1181" spans="1:13" x14ac:dyDescent="0.3">
      <c r="A1181" s="1">
        <v>45980</v>
      </c>
      <c r="B1181" s="2" t="s">
        <v>2635</v>
      </c>
      <c r="C1181" s="2" t="s">
        <v>2521</v>
      </c>
      <c r="D1181" s="2" t="s">
        <v>2531</v>
      </c>
      <c r="E1181" s="2" t="s">
        <v>2517</v>
      </c>
      <c r="F1181" s="3">
        <v>56282</v>
      </c>
      <c r="G1181" s="3">
        <v>4190</v>
      </c>
      <c r="H1181" s="3">
        <v>552</v>
      </c>
      <c r="I1181" s="4">
        <v>5681.97</v>
      </c>
      <c r="J1181" s="4">
        <v>25182.82</v>
      </c>
      <c r="K1181" s="3">
        <v>347</v>
      </c>
      <c r="L1181" s="2" t="s">
        <v>2518</v>
      </c>
      <c r="M1181" s="2" t="s">
        <v>2519</v>
      </c>
    </row>
    <row r="1182" spans="1:13" x14ac:dyDescent="0.3">
      <c r="A1182" s="1">
        <v>45971</v>
      </c>
      <c r="B1182" s="2" t="s">
        <v>2643</v>
      </c>
      <c r="C1182" s="2" t="s">
        <v>2543</v>
      </c>
      <c r="D1182" s="2" t="s">
        <v>2525</v>
      </c>
      <c r="E1182" s="2" t="s">
        <v>2529</v>
      </c>
      <c r="F1182" s="3">
        <v>16226</v>
      </c>
      <c r="G1182" s="3">
        <v>383</v>
      </c>
      <c r="H1182" s="3">
        <v>41</v>
      </c>
      <c r="I1182" s="4">
        <v>464.21</v>
      </c>
      <c r="J1182" s="4">
        <v>2722.42</v>
      </c>
      <c r="K1182" s="3">
        <v>29</v>
      </c>
      <c r="L1182" s="2" t="s">
        <v>2518</v>
      </c>
      <c r="M1182" s="2" t="s">
        <v>2546</v>
      </c>
    </row>
    <row r="1183" spans="1:13" x14ac:dyDescent="0.3">
      <c r="A1183" s="1">
        <v>46005</v>
      </c>
      <c r="B1183" s="2" t="s">
        <v>2617</v>
      </c>
      <c r="C1183" s="2" t="s">
        <v>2541</v>
      </c>
      <c r="D1183" s="2" t="s">
        <v>2528</v>
      </c>
      <c r="E1183" s="2" t="s">
        <v>2517</v>
      </c>
      <c r="F1183" s="3">
        <v>144983</v>
      </c>
      <c r="G1183" s="3">
        <v>7917</v>
      </c>
      <c r="H1183" s="3">
        <v>1062</v>
      </c>
      <c r="I1183" s="4">
        <v>12398.31</v>
      </c>
      <c r="J1183" s="4">
        <v>203986.06</v>
      </c>
      <c r="K1183" s="3">
        <v>713</v>
      </c>
      <c r="L1183" s="2" t="s">
        <v>2523</v>
      </c>
      <c r="M1183" s="2" t="s">
        <v>2537</v>
      </c>
    </row>
    <row r="1184" spans="1:13" x14ac:dyDescent="0.3">
      <c r="A1184" s="1">
        <v>45771</v>
      </c>
      <c r="B1184" s="2" t="s">
        <v>2620</v>
      </c>
      <c r="C1184" s="2" t="s">
        <v>2515</v>
      </c>
      <c r="D1184" s="2" t="s">
        <v>2645</v>
      </c>
      <c r="E1184" s="2" t="s">
        <v>2517</v>
      </c>
      <c r="F1184" s="3">
        <v>29813</v>
      </c>
      <c r="G1184" s="3">
        <v>2481</v>
      </c>
      <c r="H1184" s="3">
        <v>152</v>
      </c>
      <c r="I1184" s="4">
        <v>4984.74</v>
      </c>
      <c r="J1184" s="4">
        <v>28894.43</v>
      </c>
      <c r="K1184" s="3">
        <v>69</v>
      </c>
      <c r="L1184" s="2" t="s">
        <v>2518</v>
      </c>
      <c r="M1184" s="2" t="s">
        <v>2524</v>
      </c>
    </row>
    <row r="1185" spans="1:13" x14ac:dyDescent="0.3">
      <c r="A1185" s="1">
        <v>45774</v>
      </c>
      <c r="B1185" s="2" t="s">
        <v>2624</v>
      </c>
      <c r="C1185" s="2" t="s">
        <v>2527</v>
      </c>
      <c r="D1185" s="2" t="s">
        <v>2528</v>
      </c>
      <c r="E1185" s="2" t="s">
        <v>2534</v>
      </c>
      <c r="F1185" s="3">
        <v>12716</v>
      </c>
      <c r="G1185" s="3">
        <v>880</v>
      </c>
      <c r="H1185" s="3">
        <v>75</v>
      </c>
      <c r="I1185" s="4">
        <v>484.18</v>
      </c>
      <c r="J1185" s="4">
        <v>1656.77</v>
      </c>
      <c r="K1185" s="3">
        <v>39</v>
      </c>
      <c r="L1185" s="2" t="s">
        <v>2539</v>
      </c>
      <c r="M1185" s="2" t="s">
        <v>2537</v>
      </c>
    </row>
    <row r="1186" spans="1:13" x14ac:dyDescent="0.3">
      <c r="A1186" s="1">
        <v>45769</v>
      </c>
      <c r="B1186" s="2" t="s">
        <v>2616</v>
      </c>
      <c r="C1186" s="2" t="s">
        <v>2527</v>
      </c>
      <c r="D1186" s="2" t="s">
        <v>2522</v>
      </c>
      <c r="E1186" s="2" t="s">
        <v>2534</v>
      </c>
      <c r="F1186" s="3">
        <v>48244</v>
      </c>
      <c r="G1186" s="3">
        <v>359</v>
      </c>
      <c r="H1186" s="3">
        <v>35</v>
      </c>
      <c r="I1186" s="4">
        <v>84.21</v>
      </c>
      <c r="J1186" s="4">
        <v>3302.56</v>
      </c>
      <c r="K1186" s="3">
        <v>27</v>
      </c>
      <c r="L1186" s="2" t="s">
        <v>2539</v>
      </c>
      <c r="M1186" s="2" t="s">
        <v>2524</v>
      </c>
    </row>
    <row r="1187" spans="1:13" x14ac:dyDescent="0.3">
      <c r="A1187" s="1">
        <v>45902</v>
      </c>
      <c r="B1187" s="2" t="s">
        <v>2630</v>
      </c>
      <c r="C1187" s="2" t="s">
        <v>2521</v>
      </c>
      <c r="D1187" s="2" t="s">
        <v>2528</v>
      </c>
      <c r="E1187" s="2" t="s">
        <v>2529</v>
      </c>
      <c r="F1187" s="3">
        <v>138924</v>
      </c>
      <c r="G1187" s="3">
        <v>3284</v>
      </c>
      <c r="H1187" s="3">
        <v>318</v>
      </c>
      <c r="I1187" s="4">
        <v>1529.57</v>
      </c>
      <c r="J1187" s="4">
        <v>62508.99</v>
      </c>
      <c r="K1187" s="3">
        <v>247</v>
      </c>
      <c r="L1187" s="2" t="s">
        <v>2523</v>
      </c>
      <c r="M1187" s="2" t="s">
        <v>2537</v>
      </c>
    </row>
    <row r="1188" spans="1:13" x14ac:dyDescent="0.3">
      <c r="A1188" s="1">
        <v>45703</v>
      </c>
      <c r="B1188" s="2" t="s">
        <v>2619</v>
      </c>
      <c r="C1188" s="2" t="s">
        <v>2515</v>
      </c>
      <c r="D1188" s="2" t="s">
        <v>2516</v>
      </c>
      <c r="E1188" s="2" t="s">
        <v>2517</v>
      </c>
      <c r="F1188" s="3">
        <v>50105</v>
      </c>
      <c r="G1188" s="3">
        <v>1587</v>
      </c>
      <c r="H1188" s="3">
        <v>18</v>
      </c>
      <c r="I1188" s="4">
        <v>1904.24</v>
      </c>
      <c r="J1188" s="4">
        <v>359.68</v>
      </c>
      <c r="K1188" s="3">
        <v>10</v>
      </c>
      <c r="L1188" s="2" t="s">
        <v>2536</v>
      </c>
      <c r="M1188" s="2" t="s">
        <v>2524</v>
      </c>
    </row>
    <row r="1189" spans="1:13" x14ac:dyDescent="0.3">
      <c r="A1189" s="1">
        <v>45825</v>
      </c>
      <c r="B1189" s="2" t="s">
        <v>2634</v>
      </c>
      <c r="C1189" s="2" t="s">
        <v>2543</v>
      </c>
      <c r="D1189" s="2" t="s">
        <v>2516</v>
      </c>
      <c r="E1189" s="2" t="s">
        <v>2517</v>
      </c>
      <c r="F1189" s="3">
        <v>130793</v>
      </c>
      <c r="G1189" s="3">
        <v>2611</v>
      </c>
      <c r="H1189" s="3">
        <v>192</v>
      </c>
      <c r="I1189" s="4">
        <v>1907.04</v>
      </c>
      <c r="J1189" s="4">
        <v>27356.32</v>
      </c>
      <c r="K1189" s="3">
        <v>116</v>
      </c>
      <c r="L1189" s="2" t="s">
        <v>2523</v>
      </c>
      <c r="M1189" s="2" t="s">
        <v>2524</v>
      </c>
    </row>
    <row r="1190" spans="1:13" x14ac:dyDescent="0.3">
      <c r="A1190" s="1">
        <v>45758</v>
      </c>
      <c r="B1190" s="2" t="s">
        <v>2643</v>
      </c>
      <c r="C1190" s="2" t="s">
        <v>2527</v>
      </c>
      <c r="D1190" s="2" t="s">
        <v>2528</v>
      </c>
      <c r="E1190" s="2" t="s">
        <v>2529</v>
      </c>
      <c r="F1190" s="3">
        <v>116439</v>
      </c>
      <c r="G1190" s="3">
        <v>2377</v>
      </c>
      <c r="H1190" s="3">
        <v>247</v>
      </c>
      <c r="I1190" s="4">
        <v>3456.41</v>
      </c>
      <c r="J1190" s="4">
        <v>29509.75</v>
      </c>
      <c r="K1190" s="3">
        <v>173</v>
      </c>
      <c r="L1190" s="2" t="s">
        <v>2523</v>
      </c>
      <c r="M1190" s="2" t="s">
        <v>2546</v>
      </c>
    </row>
    <row r="1191" spans="1:13" x14ac:dyDescent="0.3">
      <c r="A1191" s="1">
        <v>45935</v>
      </c>
      <c r="B1191" s="2" t="s">
        <v>2635</v>
      </c>
      <c r="C1191" s="2" t="s">
        <v>2521</v>
      </c>
      <c r="D1191" s="2" t="s">
        <v>2528</v>
      </c>
      <c r="E1191" s="2" t="s">
        <v>2529</v>
      </c>
      <c r="F1191" s="3">
        <v>60737</v>
      </c>
      <c r="G1191" s="3">
        <v>3294</v>
      </c>
      <c r="H1191" s="3">
        <v>284</v>
      </c>
      <c r="I1191" s="4">
        <v>3087.95</v>
      </c>
      <c r="J1191" s="4">
        <v>21257.72</v>
      </c>
      <c r="K1191" s="3">
        <v>195</v>
      </c>
      <c r="L1191" s="2" t="s">
        <v>2518</v>
      </c>
      <c r="M1191" s="2" t="s">
        <v>2537</v>
      </c>
    </row>
    <row r="1192" spans="1:13" x14ac:dyDescent="0.3">
      <c r="A1192" s="1">
        <v>45944</v>
      </c>
      <c r="B1192" s="2" t="s">
        <v>2631</v>
      </c>
      <c r="C1192" s="2" t="s">
        <v>2527</v>
      </c>
      <c r="D1192" s="2" t="s">
        <v>2522</v>
      </c>
      <c r="E1192" s="2" t="s">
        <v>2517</v>
      </c>
      <c r="F1192" s="3">
        <v>43828</v>
      </c>
      <c r="G1192" s="3">
        <v>499</v>
      </c>
      <c r="H1192" s="3">
        <v>51</v>
      </c>
      <c r="I1192" s="4">
        <v>737.74</v>
      </c>
      <c r="J1192" s="4">
        <v>7852.37</v>
      </c>
      <c r="K1192" s="3">
        <v>41</v>
      </c>
      <c r="L1192" s="2" t="s">
        <v>2536</v>
      </c>
      <c r="M1192" s="2" t="s">
        <v>2524</v>
      </c>
    </row>
    <row r="1193" spans="1:13" x14ac:dyDescent="0.3">
      <c r="A1193" s="1">
        <v>45754</v>
      </c>
      <c r="B1193" s="2" t="s">
        <v>2618</v>
      </c>
      <c r="C1193" s="2" t="s">
        <v>2533</v>
      </c>
      <c r="D1193" s="2" t="s">
        <v>2528</v>
      </c>
      <c r="E1193" s="2" t="s">
        <v>2517</v>
      </c>
      <c r="F1193" s="3">
        <v>3144</v>
      </c>
      <c r="G1193" s="3">
        <v>77</v>
      </c>
      <c r="H1193" s="3">
        <v>0</v>
      </c>
      <c r="I1193" s="4">
        <v>135.29</v>
      </c>
      <c r="J1193" s="4">
        <v>0</v>
      </c>
      <c r="K1193" s="3">
        <v>0</v>
      </c>
      <c r="L1193" s="2" t="s">
        <v>2518</v>
      </c>
      <c r="M1193" s="2" t="s">
        <v>2537</v>
      </c>
    </row>
    <row r="1194" spans="1:13" x14ac:dyDescent="0.3">
      <c r="A1194" s="1">
        <v>45937</v>
      </c>
      <c r="B1194" s="2" t="s">
        <v>2621</v>
      </c>
      <c r="C1194" s="2" t="s">
        <v>2521</v>
      </c>
      <c r="D1194" s="2" t="s">
        <v>2528</v>
      </c>
      <c r="E1194" s="2" t="s">
        <v>2529</v>
      </c>
      <c r="F1194" s="3">
        <v>109721</v>
      </c>
      <c r="G1194" s="3">
        <v>3385</v>
      </c>
      <c r="H1194" s="3">
        <v>233</v>
      </c>
      <c r="I1194" s="4">
        <v>2316.64</v>
      </c>
      <c r="J1194" s="4">
        <v>38486.129999999997</v>
      </c>
      <c r="K1194" s="3">
        <v>151</v>
      </c>
      <c r="L1194" s="2" t="s">
        <v>2518</v>
      </c>
      <c r="M1194" s="2" t="s">
        <v>2526</v>
      </c>
    </row>
    <row r="1195" spans="1:13" x14ac:dyDescent="0.3">
      <c r="A1195" s="1">
        <v>46005</v>
      </c>
      <c r="B1195" s="2" t="s">
        <v>2621</v>
      </c>
      <c r="C1195" s="2" t="s">
        <v>2533</v>
      </c>
      <c r="D1195" s="2" t="s">
        <v>2516</v>
      </c>
      <c r="E1195" s="2" t="s">
        <v>2517</v>
      </c>
      <c r="F1195" s="3">
        <v>89894</v>
      </c>
      <c r="G1195" s="3">
        <v>6632</v>
      </c>
      <c r="H1195" s="3">
        <v>765</v>
      </c>
      <c r="I1195" s="4">
        <v>1540.4</v>
      </c>
      <c r="J1195" s="4">
        <v>68429.86</v>
      </c>
      <c r="K1195" s="3">
        <v>379</v>
      </c>
      <c r="L1195" s="2" t="s">
        <v>2536</v>
      </c>
      <c r="M1195" s="2" t="s">
        <v>2537</v>
      </c>
    </row>
    <row r="1196" spans="1:13" x14ac:dyDescent="0.3">
      <c r="A1196" s="1">
        <v>45988</v>
      </c>
      <c r="B1196" s="2" t="s">
        <v>2617</v>
      </c>
      <c r="C1196" s="2" t="s">
        <v>2533</v>
      </c>
      <c r="D1196" s="2" t="s">
        <v>2516</v>
      </c>
      <c r="E1196" s="2" t="s">
        <v>2517</v>
      </c>
      <c r="F1196" s="3">
        <v>48189</v>
      </c>
      <c r="G1196" s="3">
        <v>1634</v>
      </c>
      <c r="H1196" s="3">
        <v>79</v>
      </c>
      <c r="I1196" s="4">
        <v>1261.92</v>
      </c>
      <c r="J1196" s="4">
        <v>4345.9399999999996</v>
      </c>
      <c r="K1196" s="3">
        <v>61</v>
      </c>
      <c r="L1196" s="2" t="s">
        <v>2536</v>
      </c>
      <c r="M1196" s="2" t="s">
        <v>2519</v>
      </c>
    </row>
    <row r="1197" spans="1:13" x14ac:dyDescent="0.3">
      <c r="A1197" s="1">
        <v>45871</v>
      </c>
      <c r="B1197" s="2" t="s">
        <v>2629</v>
      </c>
      <c r="C1197" s="2" t="s">
        <v>2527</v>
      </c>
      <c r="D1197" s="2" t="s">
        <v>2528</v>
      </c>
      <c r="E1197" s="2" t="s">
        <v>2517</v>
      </c>
      <c r="F1197" s="3">
        <v>51244</v>
      </c>
      <c r="G1197" s="3">
        <v>1628</v>
      </c>
      <c r="H1197" s="3">
        <v>64</v>
      </c>
      <c r="I1197" s="4">
        <v>1545.42</v>
      </c>
      <c r="J1197" s="4">
        <v>11725.95</v>
      </c>
      <c r="K1197" s="3">
        <v>43</v>
      </c>
      <c r="L1197" s="2" t="s">
        <v>2518</v>
      </c>
      <c r="M1197" s="2" t="s">
        <v>2524</v>
      </c>
    </row>
    <row r="1198" spans="1:13" x14ac:dyDescent="0.3">
      <c r="A1198" s="1">
        <v>45913</v>
      </c>
      <c r="B1198" s="2" t="s">
        <v>2622</v>
      </c>
      <c r="C1198" s="2" t="s">
        <v>2527</v>
      </c>
      <c r="D1198" s="2" t="s">
        <v>2516</v>
      </c>
      <c r="E1198" s="2" t="s">
        <v>2529</v>
      </c>
      <c r="F1198" s="3">
        <v>152330</v>
      </c>
      <c r="G1198" s="3">
        <v>7552</v>
      </c>
      <c r="H1198" s="3">
        <v>839</v>
      </c>
      <c r="I1198" s="4">
        <v>7868.29</v>
      </c>
      <c r="J1198" s="4">
        <v>131502.68</v>
      </c>
      <c r="K1198" s="3">
        <v>705</v>
      </c>
      <c r="L1198" s="2" t="s">
        <v>2539</v>
      </c>
      <c r="M1198" s="2" t="s">
        <v>2526</v>
      </c>
    </row>
    <row r="1199" spans="1:13" x14ac:dyDescent="0.3">
      <c r="A1199" s="1">
        <v>45717</v>
      </c>
      <c r="B1199" s="2" t="s">
        <v>2617</v>
      </c>
      <c r="C1199" s="2" t="s">
        <v>2533</v>
      </c>
      <c r="D1199" s="2" t="s">
        <v>2528</v>
      </c>
      <c r="E1199" s="2" t="s">
        <v>2529</v>
      </c>
      <c r="F1199" s="3">
        <v>58805</v>
      </c>
      <c r="G1199" s="3">
        <v>1384</v>
      </c>
      <c r="H1199" s="3">
        <v>171</v>
      </c>
      <c r="I1199" s="4">
        <v>1210.6199999999999</v>
      </c>
      <c r="J1199" s="4">
        <v>8101.63</v>
      </c>
      <c r="K1199" s="3">
        <v>131</v>
      </c>
      <c r="L1199" s="2" t="s">
        <v>2523</v>
      </c>
      <c r="M1199" s="2" t="s">
        <v>2537</v>
      </c>
    </row>
    <row r="1200" spans="1:13" x14ac:dyDescent="0.3">
      <c r="A1200" s="1">
        <v>45758</v>
      </c>
      <c r="B1200" s="2" t="s">
        <v>2640</v>
      </c>
      <c r="C1200" s="2" t="s">
        <v>2533</v>
      </c>
      <c r="D1200" s="2" t="s">
        <v>2528</v>
      </c>
      <c r="E1200" s="2" t="s">
        <v>2529</v>
      </c>
      <c r="F1200" s="3">
        <v>165179</v>
      </c>
      <c r="G1200" s="3">
        <v>9890</v>
      </c>
      <c r="H1200" s="3">
        <v>682</v>
      </c>
      <c r="I1200" s="4">
        <v>16078.17</v>
      </c>
      <c r="J1200" s="4">
        <v>107528.63</v>
      </c>
      <c r="K1200" s="3">
        <v>565</v>
      </c>
      <c r="L1200" s="2" t="s">
        <v>2518</v>
      </c>
      <c r="M1200" s="2" t="s">
        <v>2546</v>
      </c>
    </row>
    <row r="1201" spans="1:13" x14ac:dyDescent="0.3">
      <c r="A1201" s="1">
        <v>46016</v>
      </c>
      <c r="B1201" s="2" t="s">
        <v>2643</v>
      </c>
      <c r="C1201" s="2" t="s">
        <v>2527</v>
      </c>
      <c r="D1201" s="2" t="s">
        <v>2528</v>
      </c>
      <c r="E1201" s="2" t="s">
        <v>2517</v>
      </c>
      <c r="F1201" s="3">
        <v>70351</v>
      </c>
      <c r="G1201" s="3">
        <v>2858</v>
      </c>
      <c r="H1201" s="3">
        <v>51</v>
      </c>
      <c r="I1201" s="4">
        <v>1127.9000000000001</v>
      </c>
      <c r="J1201" s="4">
        <v>3070.75</v>
      </c>
      <c r="K1201" s="3">
        <v>36</v>
      </c>
      <c r="L1201" s="2" t="s">
        <v>2536</v>
      </c>
      <c r="M1201" s="2" t="s">
        <v>2519</v>
      </c>
    </row>
    <row r="1202" spans="1:13" x14ac:dyDescent="0.3">
      <c r="A1202" s="1">
        <v>45709</v>
      </c>
      <c r="B1202" s="2" t="s">
        <v>2633</v>
      </c>
      <c r="C1202" s="2" t="s">
        <v>2521</v>
      </c>
      <c r="D1202" s="2" t="s">
        <v>2528</v>
      </c>
      <c r="E1202" s="2" t="s">
        <v>2529</v>
      </c>
      <c r="F1202" s="3">
        <v>109061</v>
      </c>
      <c r="G1202" s="3">
        <v>9496</v>
      </c>
      <c r="H1202" s="3">
        <v>188</v>
      </c>
      <c r="I1202" s="4">
        <v>5056.24</v>
      </c>
      <c r="J1202" s="4">
        <v>3275.14</v>
      </c>
      <c r="K1202" s="3">
        <v>125</v>
      </c>
      <c r="L1202" s="2" t="s">
        <v>2523</v>
      </c>
      <c r="M1202" s="2" t="s">
        <v>2519</v>
      </c>
    </row>
    <row r="1203" spans="1:13" x14ac:dyDescent="0.3">
      <c r="A1203" s="1">
        <v>45764</v>
      </c>
      <c r="B1203" s="2" t="s">
        <v>2630</v>
      </c>
      <c r="C1203" s="2" t="s">
        <v>2521</v>
      </c>
      <c r="D1203" s="2" t="s">
        <v>2516</v>
      </c>
      <c r="E1203" s="2" t="s">
        <v>2517</v>
      </c>
      <c r="F1203" s="3">
        <v>101902</v>
      </c>
      <c r="G1203" s="3">
        <v>5410</v>
      </c>
      <c r="H1203" s="3">
        <v>153</v>
      </c>
      <c r="I1203" s="4">
        <v>4598.78</v>
      </c>
      <c r="J1203" s="4">
        <v>16603.8</v>
      </c>
      <c r="K1203" s="3">
        <v>112</v>
      </c>
      <c r="L1203" s="2" t="s">
        <v>2539</v>
      </c>
      <c r="M1203" s="2" t="s">
        <v>2546</v>
      </c>
    </row>
    <row r="1204" spans="1:13" x14ac:dyDescent="0.3">
      <c r="A1204" s="1">
        <v>45757</v>
      </c>
      <c r="B1204" s="2" t="s">
        <v>2643</v>
      </c>
      <c r="C1204" s="2" t="s">
        <v>2543</v>
      </c>
      <c r="D1204" s="2" t="s">
        <v>2528</v>
      </c>
      <c r="E1204" s="2" t="s">
        <v>2517</v>
      </c>
      <c r="F1204" s="3">
        <v>77670</v>
      </c>
      <c r="G1204" s="3">
        <v>3197</v>
      </c>
      <c r="H1204" s="3">
        <v>235</v>
      </c>
      <c r="I1204" s="4">
        <v>1261.1199999999999</v>
      </c>
      <c r="J1204" s="4">
        <v>39932.94</v>
      </c>
      <c r="K1204" s="3">
        <v>139</v>
      </c>
      <c r="L1204" s="2" t="s">
        <v>2536</v>
      </c>
      <c r="M1204" s="2" t="s">
        <v>2519</v>
      </c>
    </row>
    <row r="1205" spans="1:13" x14ac:dyDescent="0.3">
      <c r="A1205" s="1">
        <v>45768</v>
      </c>
      <c r="B1205" s="2" t="s">
        <v>2626</v>
      </c>
      <c r="C1205" s="2" t="s">
        <v>2543</v>
      </c>
      <c r="D1205" s="2" t="s">
        <v>2531</v>
      </c>
      <c r="E1205" s="2" t="s">
        <v>2534</v>
      </c>
      <c r="F1205" s="3">
        <v>97948</v>
      </c>
      <c r="G1205" s="3">
        <v>1018</v>
      </c>
      <c r="H1205" s="3">
        <v>56</v>
      </c>
      <c r="I1205" s="4">
        <v>1845.37</v>
      </c>
      <c r="J1205" s="4">
        <v>2897.75</v>
      </c>
      <c r="K1205" s="3">
        <v>45</v>
      </c>
      <c r="L1205" s="2" t="s">
        <v>2518</v>
      </c>
      <c r="M1205" s="2" t="s">
        <v>2537</v>
      </c>
    </row>
    <row r="1206" spans="1:13" x14ac:dyDescent="0.3">
      <c r="A1206" s="1">
        <v>45718</v>
      </c>
      <c r="B1206" s="2" t="s">
        <v>2619</v>
      </c>
      <c r="C1206" s="2" t="s">
        <v>2527</v>
      </c>
      <c r="D1206" s="2" t="s">
        <v>2516</v>
      </c>
      <c r="E1206" s="2" t="s">
        <v>2529</v>
      </c>
      <c r="F1206" s="3">
        <v>148984</v>
      </c>
      <c r="G1206" s="3">
        <v>1135</v>
      </c>
      <c r="H1206" s="3">
        <v>105</v>
      </c>
      <c r="I1206" s="4">
        <v>1515.94</v>
      </c>
      <c r="J1206" s="4">
        <v>8810.09</v>
      </c>
      <c r="K1206" s="3">
        <v>74</v>
      </c>
      <c r="L1206" s="2" t="s">
        <v>2536</v>
      </c>
      <c r="M1206" s="2" t="s">
        <v>2519</v>
      </c>
    </row>
    <row r="1207" spans="1:13" x14ac:dyDescent="0.3">
      <c r="A1207" s="1">
        <v>45917</v>
      </c>
      <c r="B1207" s="2" t="s">
        <v>2639</v>
      </c>
      <c r="C1207" s="2" t="s">
        <v>2521</v>
      </c>
      <c r="D1207" s="2" t="s">
        <v>2528</v>
      </c>
      <c r="E1207" s="2" t="s">
        <v>2529</v>
      </c>
      <c r="F1207" s="3">
        <v>46190</v>
      </c>
      <c r="G1207" s="3">
        <v>401</v>
      </c>
      <c r="H1207" s="3">
        <v>6</v>
      </c>
      <c r="I1207" s="4">
        <v>582.38</v>
      </c>
      <c r="J1207" s="4">
        <v>1292.69</v>
      </c>
      <c r="K1207" s="3">
        <v>3</v>
      </c>
      <c r="L1207" s="2" t="s">
        <v>2518</v>
      </c>
      <c r="M1207" s="2" t="s">
        <v>2546</v>
      </c>
    </row>
    <row r="1208" spans="1:13" x14ac:dyDescent="0.3">
      <c r="A1208" s="1">
        <v>45851</v>
      </c>
      <c r="B1208" s="2" t="s">
        <v>2626</v>
      </c>
      <c r="C1208" s="2" t="s">
        <v>2521</v>
      </c>
      <c r="D1208" s="2" t="s">
        <v>2531</v>
      </c>
      <c r="E1208" s="2" t="s">
        <v>2529</v>
      </c>
      <c r="F1208" s="3">
        <v>170777</v>
      </c>
      <c r="G1208" s="3">
        <v>4518</v>
      </c>
      <c r="H1208" s="3">
        <v>341</v>
      </c>
      <c r="I1208" s="4">
        <v>9094.4599999999991</v>
      </c>
      <c r="J1208" s="4">
        <v>38128.980000000003</v>
      </c>
      <c r="K1208" s="3">
        <v>214</v>
      </c>
      <c r="L1208" s="2" t="s">
        <v>2539</v>
      </c>
      <c r="M1208" s="2" t="s">
        <v>2524</v>
      </c>
    </row>
    <row r="1209" spans="1:13" x14ac:dyDescent="0.3">
      <c r="A1209" s="1">
        <v>45971</v>
      </c>
      <c r="B1209" s="2" t="s">
        <v>2631</v>
      </c>
      <c r="C1209" s="2" t="s">
        <v>2533</v>
      </c>
      <c r="D1209" s="2" t="s">
        <v>2522</v>
      </c>
      <c r="E1209" s="2" t="s">
        <v>2529</v>
      </c>
      <c r="F1209" s="3">
        <v>6232</v>
      </c>
      <c r="G1209" s="3">
        <v>422</v>
      </c>
      <c r="H1209" s="3">
        <v>12</v>
      </c>
      <c r="I1209" s="4">
        <v>408.58</v>
      </c>
      <c r="J1209" s="4">
        <v>1356.25</v>
      </c>
      <c r="K1209" s="3">
        <v>9</v>
      </c>
      <c r="L1209" s="2" t="s">
        <v>2518</v>
      </c>
      <c r="M1209" s="2" t="s">
        <v>2546</v>
      </c>
    </row>
    <row r="1210" spans="1:13" x14ac:dyDescent="0.3">
      <c r="A1210" s="1">
        <v>45732</v>
      </c>
      <c r="B1210" s="2" t="s">
        <v>2633</v>
      </c>
      <c r="C1210" s="2" t="s">
        <v>2541</v>
      </c>
      <c r="D1210" s="2" t="s">
        <v>2528</v>
      </c>
      <c r="E1210" s="2" t="s">
        <v>2517</v>
      </c>
      <c r="F1210" s="3">
        <v>160233</v>
      </c>
      <c r="G1210" s="3">
        <v>9433</v>
      </c>
      <c r="H1210" s="3">
        <v>323</v>
      </c>
      <c r="I1210" s="4">
        <v>7076.21</v>
      </c>
      <c r="J1210" s="4">
        <v>66985.679999999993</v>
      </c>
      <c r="K1210" s="3">
        <v>273</v>
      </c>
      <c r="L1210" s="2" t="s">
        <v>2539</v>
      </c>
      <c r="M1210" s="2" t="s">
        <v>2519</v>
      </c>
    </row>
    <row r="1211" spans="1:13" x14ac:dyDescent="0.3">
      <c r="A1211" s="1">
        <v>45816</v>
      </c>
      <c r="B1211" s="2" t="s">
        <v>2641</v>
      </c>
      <c r="C1211" s="2" t="s">
        <v>2521</v>
      </c>
      <c r="D1211" s="2" t="s">
        <v>2516</v>
      </c>
      <c r="E1211" s="2" t="s">
        <v>2517</v>
      </c>
      <c r="F1211" s="3">
        <v>12946</v>
      </c>
      <c r="G1211" s="3">
        <v>268</v>
      </c>
      <c r="H1211" s="3">
        <v>27</v>
      </c>
      <c r="I1211" s="4">
        <v>180.24</v>
      </c>
      <c r="J1211" s="4">
        <v>3075.64</v>
      </c>
      <c r="K1211" s="3">
        <v>22</v>
      </c>
      <c r="L1211" s="2" t="s">
        <v>2536</v>
      </c>
      <c r="M1211" s="2" t="s">
        <v>2519</v>
      </c>
    </row>
    <row r="1212" spans="1:13" x14ac:dyDescent="0.3">
      <c r="A1212" s="1">
        <v>45841</v>
      </c>
      <c r="B1212" s="2" t="s">
        <v>2638</v>
      </c>
      <c r="C1212" s="2" t="s">
        <v>2515</v>
      </c>
      <c r="D1212" s="2" t="s">
        <v>2528</v>
      </c>
      <c r="E1212" s="2" t="s">
        <v>2517</v>
      </c>
      <c r="F1212" s="3">
        <v>153327</v>
      </c>
      <c r="G1212" s="3">
        <v>8364</v>
      </c>
      <c r="H1212" s="3">
        <v>1020</v>
      </c>
      <c r="I1212" s="4">
        <v>5428.53</v>
      </c>
      <c r="J1212" s="4">
        <v>121328.6</v>
      </c>
      <c r="K1212" s="3">
        <v>693</v>
      </c>
      <c r="L1212" s="2" t="s">
        <v>2523</v>
      </c>
      <c r="M1212" s="2" t="s">
        <v>2537</v>
      </c>
    </row>
    <row r="1213" spans="1:13" x14ac:dyDescent="0.3">
      <c r="A1213" s="1">
        <v>45886</v>
      </c>
      <c r="B1213" s="2" t="s">
        <v>2624</v>
      </c>
      <c r="C1213" s="2" t="s">
        <v>2515</v>
      </c>
      <c r="D1213" s="2" t="s">
        <v>2528</v>
      </c>
      <c r="E1213" s="2" t="s">
        <v>2534</v>
      </c>
      <c r="F1213" s="3">
        <v>90293</v>
      </c>
      <c r="G1213" s="3">
        <v>4786</v>
      </c>
      <c r="H1213" s="3">
        <v>135</v>
      </c>
      <c r="I1213" s="4">
        <v>9306.6200000000008</v>
      </c>
      <c r="J1213" s="4">
        <v>22431.64</v>
      </c>
      <c r="K1213" s="3">
        <v>115</v>
      </c>
      <c r="L1213" s="2" t="s">
        <v>2523</v>
      </c>
      <c r="M1213" s="2" t="s">
        <v>2537</v>
      </c>
    </row>
    <row r="1214" spans="1:13" x14ac:dyDescent="0.3">
      <c r="A1214" s="1">
        <v>45794</v>
      </c>
      <c r="B1214" s="2" t="s">
        <v>2636</v>
      </c>
      <c r="C1214" s="2" t="s">
        <v>2541</v>
      </c>
      <c r="D1214" s="2" t="s">
        <v>2528</v>
      </c>
      <c r="E1214" s="2" t="s">
        <v>2529</v>
      </c>
      <c r="F1214" s="3">
        <v>39108</v>
      </c>
      <c r="G1214" s="3">
        <v>390</v>
      </c>
      <c r="H1214" s="3">
        <v>50</v>
      </c>
      <c r="I1214" s="4">
        <v>237.92</v>
      </c>
      <c r="J1214" s="4">
        <v>4798.3</v>
      </c>
      <c r="K1214" s="3">
        <v>30</v>
      </c>
      <c r="L1214" s="2" t="s">
        <v>2518</v>
      </c>
      <c r="M1214" s="2" t="s">
        <v>2524</v>
      </c>
    </row>
    <row r="1215" spans="1:13" x14ac:dyDescent="0.3">
      <c r="A1215" s="1">
        <v>45883</v>
      </c>
      <c r="B1215" s="2" t="s">
        <v>2620</v>
      </c>
      <c r="C1215" s="2" t="s">
        <v>2543</v>
      </c>
      <c r="D1215" s="2" t="s">
        <v>2516</v>
      </c>
      <c r="E1215" s="2" t="s">
        <v>2529</v>
      </c>
      <c r="F1215" s="3">
        <v>51148</v>
      </c>
      <c r="G1215" s="3">
        <v>3224</v>
      </c>
      <c r="H1215" s="3">
        <v>263</v>
      </c>
      <c r="I1215" s="4">
        <v>6414.06</v>
      </c>
      <c r="J1215" s="4">
        <v>24716.03</v>
      </c>
      <c r="K1215" s="3">
        <v>191</v>
      </c>
      <c r="L1215" s="2" t="s">
        <v>2536</v>
      </c>
      <c r="M1215" s="2" t="s">
        <v>2526</v>
      </c>
    </row>
    <row r="1216" spans="1:13" x14ac:dyDescent="0.3">
      <c r="A1216" s="1">
        <v>45835</v>
      </c>
      <c r="B1216" s="2" t="s">
        <v>2621</v>
      </c>
      <c r="C1216" s="2" t="s">
        <v>2533</v>
      </c>
      <c r="D1216" s="2" t="s">
        <v>2528</v>
      </c>
      <c r="E1216" s="2" t="s">
        <v>2529</v>
      </c>
      <c r="F1216" s="3">
        <v>19058</v>
      </c>
      <c r="G1216" s="3">
        <v>613</v>
      </c>
      <c r="H1216" s="3">
        <v>4</v>
      </c>
      <c r="I1216" s="4">
        <v>291.97000000000003</v>
      </c>
      <c r="J1216" s="4">
        <v>705.19</v>
      </c>
      <c r="K1216" s="3">
        <v>2</v>
      </c>
      <c r="L1216" s="2" t="s">
        <v>2539</v>
      </c>
      <c r="M1216" s="2" t="s">
        <v>2546</v>
      </c>
    </row>
    <row r="1217" spans="1:13" x14ac:dyDescent="0.3">
      <c r="A1217" s="1">
        <v>45927</v>
      </c>
      <c r="B1217" s="2" t="s">
        <v>2622</v>
      </c>
      <c r="C1217" s="2" t="s">
        <v>2527</v>
      </c>
      <c r="D1217" s="2" t="s">
        <v>2525</v>
      </c>
      <c r="E1217" s="2" t="s">
        <v>2534</v>
      </c>
      <c r="F1217" s="3">
        <v>12708</v>
      </c>
      <c r="G1217" s="3">
        <v>757</v>
      </c>
      <c r="H1217" s="3">
        <v>12</v>
      </c>
      <c r="I1217" s="4">
        <v>329.14</v>
      </c>
      <c r="J1217" s="4">
        <v>1913.44</v>
      </c>
      <c r="K1217" s="3">
        <v>9</v>
      </c>
      <c r="L1217" s="2" t="s">
        <v>2536</v>
      </c>
      <c r="M1217" s="2" t="s">
        <v>2537</v>
      </c>
    </row>
    <row r="1218" spans="1:13" x14ac:dyDescent="0.3">
      <c r="A1218" s="1">
        <v>45958</v>
      </c>
      <c r="B1218" s="2" t="s">
        <v>2632</v>
      </c>
      <c r="C1218" s="2" t="s">
        <v>2515</v>
      </c>
      <c r="D1218" s="2" t="s">
        <v>2516</v>
      </c>
      <c r="E1218" s="2" t="s">
        <v>2517</v>
      </c>
      <c r="F1218" s="3">
        <v>155927</v>
      </c>
      <c r="G1218" s="3">
        <v>13267</v>
      </c>
      <c r="H1218" s="3">
        <v>789</v>
      </c>
      <c r="I1218" s="4">
        <v>11858.97</v>
      </c>
      <c r="J1218" s="4">
        <v>18689.599999999999</v>
      </c>
      <c r="K1218" s="3">
        <v>551</v>
      </c>
      <c r="L1218" s="2" t="s">
        <v>2518</v>
      </c>
      <c r="M1218" s="2" t="s">
        <v>2537</v>
      </c>
    </row>
    <row r="1219" spans="1:13" x14ac:dyDescent="0.3">
      <c r="A1219" s="1">
        <v>45661</v>
      </c>
      <c r="B1219" s="2" t="s">
        <v>2636</v>
      </c>
      <c r="C1219" s="2" t="s">
        <v>2527</v>
      </c>
      <c r="D1219" s="2" t="s">
        <v>2516</v>
      </c>
      <c r="E1219" s="2" t="s">
        <v>2529</v>
      </c>
      <c r="F1219" s="3">
        <v>37910</v>
      </c>
      <c r="G1219" s="3">
        <v>1003</v>
      </c>
      <c r="H1219" s="3">
        <v>138</v>
      </c>
      <c r="I1219" s="4">
        <v>1350.23</v>
      </c>
      <c r="J1219" s="4">
        <v>11158.68</v>
      </c>
      <c r="K1219" s="3">
        <v>86</v>
      </c>
      <c r="L1219" s="2" t="s">
        <v>2523</v>
      </c>
      <c r="M1219" s="2" t="s">
        <v>2526</v>
      </c>
    </row>
    <row r="1220" spans="1:13" x14ac:dyDescent="0.3">
      <c r="A1220" s="1">
        <v>45815</v>
      </c>
      <c r="B1220" s="2" t="s">
        <v>2633</v>
      </c>
      <c r="C1220" s="2" t="s">
        <v>2533</v>
      </c>
      <c r="D1220" s="2" t="s">
        <v>2516</v>
      </c>
      <c r="E1220" s="2" t="s">
        <v>2517</v>
      </c>
      <c r="F1220" s="3">
        <v>179825</v>
      </c>
      <c r="G1220" s="3">
        <v>14838</v>
      </c>
      <c r="H1220" s="3">
        <v>600</v>
      </c>
      <c r="I1220" s="4">
        <v>17852.560000000001</v>
      </c>
      <c r="J1220" s="4">
        <v>17469.78</v>
      </c>
      <c r="K1220" s="3">
        <v>426</v>
      </c>
      <c r="L1220" s="2" t="s">
        <v>2536</v>
      </c>
      <c r="M1220" s="2" t="s">
        <v>2537</v>
      </c>
    </row>
    <row r="1221" spans="1:13" x14ac:dyDescent="0.3">
      <c r="A1221" s="1">
        <v>45943</v>
      </c>
      <c r="B1221" s="2" t="s">
        <v>2640</v>
      </c>
      <c r="C1221" s="2" t="s">
        <v>2541</v>
      </c>
      <c r="D1221" s="2" t="s">
        <v>2528</v>
      </c>
      <c r="E1221" s="2" t="s">
        <v>2534</v>
      </c>
      <c r="F1221" s="3">
        <v>45683</v>
      </c>
      <c r="G1221" s="3">
        <v>2194</v>
      </c>
      <c r="H1221" s="3">
        <v>111</v>
      </c>
      <c r="I1221" s="4">
        <v>1579.47</v>
      </c>
      <c r="J1221" s="4">
        <v>13768.47</v>
      </c>
      <c r="K1221" s="3">
        <v>84</v>
      </c>
      <c r="L1221" s="2" t="s">
        <v>2523</v>
      </c>
      <c r="M1221" s="2" t="s">
        <v>2546</v>
      </c>
    </row>
    <row r="1222" spans="1:13" x14ac:dyDescent="0.3">
      <c r="A1222" s="1">
        <v>46021</v>
      </c>
      <c r="B1222" s="2" t="s">
        <v>2618</v>
      </c>
      <c r="C1222" s="2" t="s">
        <v>2521</v>
      </c>
      <c r="D1222" s="2" t="s">
        <v>2528</v>
      </c>
      <c r="E1222" s="2" t="s">
        <v>2529</v>
      </c>
      <c r="F1222" s="3">
        <v>140397</v>
      </c>
      <c r="G1222" s="3">
        <v>12118</v>
      </c>
      <c r="H1222" s="3">
        <v>1530</v>
      </c>
      <c r="I1222" s="4">
        <v>14131.17</v>
      </c>
      <c r="J1222" s="4">
        <v>209873.6</v>
      </c>
      <c r="K1222" s="3">
        <v>1275</v>
      </c>
      <c r="L1222" s="2" t="s">
        <v>2536</v>
      </c>
      <c r="M1222" s="2" t="s">
        <v>2524</v>
      </c>
    </row>
    <row r="1223" spans="1:13" x14ac:dyDescent="0.3">
      <c r="A1223" s="1">
        <v>45658</v>
      </c>
      <c r="B1223" s="2" t="s">
        <v>2639</v>
      </c>
      <c r="C1223" s="2" t="s">
        <v>2541</v>
      </c>
      <c r="D1223" s="2" t="s">
        <v>2528</v>
      </c>
      <c r="E1223" s="2" t="s">
        <v>2529</v>
      </c>
      <c r="F1223" s="3">
        <v>86210</v>
      </c>
      <c r="G1223" s="3">
        <v>6305</v>
      </c>
      <c r="H1223" s="3">
        <v>382</v>
      </c>
      <c r="I1223" s="4">
        <v>5967.11</v>
      </c>
      <c r="J1223" s="4">
        <v>38115.39</v>
      </c>
      <c r="K1223" s="3">
        <v>307</v>
      </c>
      <c r="L1223" s="2" t="s">
        <v>2536</v>
      </c>
      <c r="M1223" s="2" t="s">
        <v>2519</v>
      </c>
    </row>
    <row r="1224" spans="1:13" x14ac:dyDescent="0.3">
      <c r="A1224" s="1">
        <v>45940</v>
      </c>
      <c r="B1224" s="2" t="s">
        <v>2623</v>
      </c>
      <c r="C1224" s="2" t="s">
        <v>2541</v>
      </c>
      <c r="D1224" s="2" t="s">
        <v>2525</v>
      </c>
      <c r="E1224" s="2" t="s">
        <v>2529</v>
      </c>
      <c r="F1224" s="3">
        <v>73312</v>
      </c>
      <c r="G1224" s="3">
        <v>5571</v>
      </c>
      <c r="H1224" s="3">
        <v>333</v>
      </c>
      <c r="I1224" s="4">
        <v>3964.5</v>
      </c>
      <c r="J1224" s="4">
        <v>57216.34</v>
      </c>
      <c r="K1224" s="3">
        <v>217</v>
      </c>
      <c r="L1224" s="2" t="s">
        <v>2539</v>
      </c>
      <c r="M1224" s="2" t="s">
        <v>2537</v>
      </c>
    </row>
    <row r="1225" spans="1:13" x14ac:dyDescent="0.3">
      <c r="A1225" s="1">
        <v>45926</v>
      </c>
      <c r="B1225" s="2" t="s">
        <v>2632</v>
      </c>
      <c r="C1225" s="2" t="s">
        <v>2543</v>
      </c>
      <c r="D1225" s="2" t="s">
        <v>2516</v>
      </c>
      <c r="E1225" s="2" t="s">
        <v>2517</v>
      </c>
      <c r="F1225" s="3">
        <v>59498</v>
      </c>
      <c r="G1225" s="3">
        <v>2660</v>
      </c>
      <c r="H1225" s="3">
        <v>320</v>
      </c>
      <c r="I1225" s="4">
        <v>4543.1400000000003</v>
      </c>
      <c r="J1225" s="4">
        <v>30915.71</v>
      </c>
      <c r="K1225" s="3">
        <v>248</v>
      </c>
      <c r="L1225" s="2" t="s">
        <v>2536</v>
      </c>
      <c r="M1225" s="2" t="s">
        <v>2524</v>
      </c>
    </row>
    <row r="1226" spans="1:13" x14ac:dyDescent="0.3">
      <c r="A1226" s="1">
        <v>45801</v>
      </c>
      <c r="B1226" s="2" t="s">
        <v>2641</v>
      </c>
      <c r="C1226" s="2" t="s">
        <v>2521</v>
      </c>
      <c r="D1226" s="2" t="s">
        <v>2525</v>
      </c>
      <c r="E1226" s="2" t="s">
        <v>2517</v>
      </c>
      <c r="F1226" s="3">
        <v>164120</v>
      </c>
      <c r="G1226" s="3">
        <v>6823</v>
      </c>
      <c r="H1226" s="3">
        <v>814</v>
      </c>
      <c r="I1226" s="4">
        <v>2517.8000000000002</v>
      </c>
      <c r="J1226" s="4">
        <v>108637.63</v>
      </c>
      <c r="K1226" s="3">
        <v>405</v>
      </c>
      <c r="L1226" s="2" t="s">
        <v>2523</v>
      </c>
      <c r="M1226" s="2" t="s">
        <v>2524</v>
      </c>
    </row>
    <row r="1227" spans="1:13" x14ac:dyDescent="0.3">
      <c r="A1227" s="1">
        <v>45679</v>
      </c>
      <c r="B1227" s="2" t="s">
        <v>2624</v>
      </c>
      <c r="C1227" s="2" t="s">
        <v>2515</v>
      </c>
      <c r="D1227" s="2" t="s">
        <v>2516</v>
      </c>
      <c r="E1227" s="2" t="s">
        <v>2517</v>
      </c>
      <c r="F1227" s="3">
        <v>142128</v>
      </c>
      <c r="G1227" s="3">
        <v>10568</v>
      </c>
      <c r="H1227" s="3">
        <v>1021</v>
      </c>
      <c r="I1227" s="4">
        <v>18019.88</v>
      </c>
      <c r="J1227" s="4">
        <v>38713.51</v>
      </c>
      <c r="K1227" s="3">
        <v>724</v>
      </c>
      <c r="L1227" s="2" t="s">
        <v>2523</v>
      </c>
      <c r="M1227" s="2" t="s">
        <v>2519</v>
      </c>
    </row>
    <row r="1228" spans="1:13" x14ac:dyDescent="0.3">
      <c r="A1228" s="1">
        <v>46007</v>
      </c>
      <c r="B1228" s="2" t="s">
        <v>2631</v>
      </c>
      <c r="C1228" s="2" t="s">
        <v>2543</v>
      </c>
      <c r="D1228" s="2" t="s">
        <v>2531</v>
      </c>
      <c r="E1228" s="2" t="s">
        <v>2517</v>
      </c>
      <c r="F1228" s="3">
        <v>109966</v>
      </c>
      <c r="G1228" s="3">
        <v>3138</v>
      </c>
      <c r="H1228" s="3">
        <v>27</v>
      </c>
      <c r="I1228" s="4">
        <v>479.66</v>
      </c>
      <c r="J1228" s="4">
        <v>2545.06</v>
      </c>
      <c r="K1228" s="3">
        <v>13</v>
      </c>
      <c r="L1228" s="2" t="s">
        <v>2536</v>
      </c>
      <c r="M1228" s="2" t="s">
        <v>2537</v>
      </c>
    </row>
    <row r="1229" spans="1:13" x14ac:dyDescent="0.3">
      <c r="A1229" s="1">
        <v>45984</v>
      </c>
      <c r="B1229" s="2" t="s">
        <v>2618</v>
      </c>
      <c r="C1229" s="2" t="s">
        <v>2541</v>
      </c>
      <c r="D1229" s="2" t="s">
        <v>2528</v>
      </c>
      <c r="E1229" s="2" t="s">
        <v>2529</v>
      </c>
      <c r="F1229" s="3">
        <v>76750</v>
      </c>
      <c r="G1229" s="3">
        <v>1281</v>
      </c>
      <c r="H1229" s="3">
        <v>74</v>
      </c>
      <c r="I1229" s="4">
        <v>686.19</v>
      </c>
      <c r="J1229" s="4">
        <v>15437.98</v>
      </c>
      <c r="K1229" s="3">
        <v>47</v>
      </c>
      <c r="L1229" s="2" t="s">
        <v>2523</v>
      </c>
      <c r="M1229" s="2" t="s">
        <v>2526</v>
      </c>
    </row>
    <row r="1230" spans="1:13" x14ac:dyDescent="0.3">
      <c r="A1230" s="1">
        <v>46020</v>
      </c>
      <c r="B1230" s="2" t="s">
        <v>2619</v>
      </c>
      <c r="C1230" s="2" t="s">
        <v>2533</v>
      </c>
      <c r="D1230" s="2" t="s">
        <v>2528</v>
      </c>
      <c r="E1230" s="2" t="s">
        <v>2517</v>
      </c>
      <c r="F1230" s="3">
        <v>70389</v>
      </c>
      <c r="G1230" s="3">
        <v>5733</v>
      </c>
      <c r="H1230" s="3">
        <v>93</v>
      </c>
      <c r="I1230" s="4">
        <v>6849.53</v>
      </c>
      <c r="J1230" s="4">
        <v>7654.1</v>
      </c>
      <c r="K1230" s="3">
        <v>54</v>
      </c>
      <c r="L1230" s="2" t="s">
        <v>2536</v>
      </c>
      <c r="M1230" s="2" t="s">
        <v>2524</v>
      </c>
    </row>
    <row r="1231" spans="1:13" x14ac:dyDescent="0.3">
      <c r="A1231" s="1">
        <v>45671</v>
      </c>
      <c r="B1231" s="2" t="s">
        <v>2619</v>
      </c>
      <c r="C1231" s="2" t="s">
        <v>2543</v>
      </c>
      <c r="D1231" s="2" t="s">
        <v>2525</v>
      </c>
      <c r="E1231" s="2" t="s">
        <v>2517</v>
      </c>
      <c r="F1231" s="3">
        <v>109765</v>
      </c>
      <c r="G1231" s="3">
        <v>7029</v>
      </c>
      <c r="H1231" s="3">
        <v>813</v>
      </c>
      <c r="I1231" s="4">
        <v>13419.36</v>
      </c>
      <c r="J1231" s="4">
        <v>148226.91</v>
      </c>
      <c r="K1231" s="3">
        <v>513</v>
      </c>
      <c r="L1231" s="2" t="s">
        <v>2523</v>
      </c>
      <c r="M1231" s="2" t="s">
        <v>2546</v>
      </c>
    </row>
    <row r="1232" spans="1:13" x14ac:dyDescent="0.3">
      <c r="A1232" s="1">
        <v>45771</v>
      </c>
      <c r="B1232" s="2" t="s">
        <v>2641</v>
      </c>
      <c r="C1232" s="2" t="s">
        <v>2521</v>
      </c>
      <c r="D1232" s="2" t="s">
        <v>2531</v>
      </c>
      <c r="E1232" s="2" t="s">
        <v>2517</v>
      </c>
      <c r="F1232" s="3">
        <v>37477</v>
      </c>
      <c r="G1232" s="3">
        <v>405</v>
      </c>
      <c r="H1232" s="3">
        <v>6</v>
      </c>
      <c r="I1232" s="4">
        <v>624.71</v>
      </c>
      <c r="J1232" s="4">
        <v>885.51</v>
      </c>
      <c r="K1232" s="3">
        <v>3</v>
      </c>
      <c r="L1232" s="2" t="s">
        <v>2523</v>
      </c>
      <c r="M1232" s="2" t="s">
        <v>2546</v>
      </c>
    </row>
    <row r="1233" spans="1:13" x14ac:dyDescent="0.3">
      <c r="A1233" s="1">
        <v>45998</v>
      </c>
      <c r="B1233" s="2" t="s">
        <v>2619</v>
      </c>
      <c r="C1233" s="2" t="s">
        <v>2515</v>
      </c>
      <c r="D1233" s="2" t="s">
        <v>2528</v>
      </c>
      <c r="E1233" s="2" t="s">
        <v>2517</v>
      </c>
      <c r="F1233" s="3">
        <v>116562</v>
      </c>
      <c r="G1233" s="3">
        <v>621</v>
      </c>
      <c r="H1233" s="3">
        <v>45</v>
      </c>
      <c r="I1233" s="4">
        <v>69.91</v>
      </c>
      <c r="J1233" s="4">
        <v>7351.7</v>
      </c>
      <c r="K1233" s="3">
        <v>20</v>
      </c>
      <c r="L1233" s="2" t="s">
        <v>2539</v>
      </c>
      <c r="M1233" s="2" t="s">
        <v>2546</v>
      </c>
    </row>
    <row r="1234" spans="1:13" x14ac:dyDescent="0.3">
      <c r="A1234" s="1">
        <v>45935</v>
      </c>
      <c r="B1234" s="2" t="s">
        <v>2625</v>
      </c>
      <c r="C1234" s="2" t="s">
        <v>2515</v>
      </c>
      <c r="D1234" s="2" t="s">
        <v>2522</v>
      </c>
      <c r="E1234" s="2" t="s">
        <v>2517</v>
      </c>
      <c r="F1234" s="3">
        <v>138666</v>
      </c>
      <c r="G1234" s="3">
        <v>1973</v>
      </c>
      <c r="H1234" s="3">
        <v>248</v>
      </c>
      <c r="I1234" s="4">
        <v>4095.1</v>
      </c>
      <c r="J1234" s="4">
        <v>34064.93</v>
      </c>
      <c r="K1234" s="3">
        <v>155</v>
      </c>
      <c r="L1234" s="2" t="s">
        <v>2539</v>
      </c>
      <c r="M1234" s="2" t="s">
        <v>2524</v>
      </c>
    </row>
    <row r="1235" spans="1:13" x14ac:dyDescent="0.3">
      <c r="A1235" s="1">
        <v>45869</v>
      </c>
      <c r="B1235" s="2" t="s">
        <v>2642</v>
      </c>
      <c r="C1235" s="2" t="s">
        <v>2515</v>
      </c>
      <c r="D1235" s="2" t="s">
        <v>2516</v>
      </c>
      <c r="E1235" s="2" t="s">
        <v>2529</v>
      </c>
      <c r="F1235" s="3">
        <v>62801</v>
      </c>
      <c r="G1235" s="3">
        <v>349</v>
      </c>
      <c r="H1235" s="3">
        <v>44</v>
      </c>
      <c r="I1235" s="4">
        <v>162.9</v>
      </c>
      <c r="J1235" s="4">
        <v>8526.7800000000007</v>
      </c>
      <c r="K1235" s="3">
        <v>31</v>
      </c>
      <c r="L1235" s="2" t="s">
        <v>2536</v>
      </c>
      <c r="M1235" s="2" t="s">
        <v>2524</v>
      </c>
    </row>
    <row r="1236" spans="1:13" x14ac:dyDescent="0.3">
      <c r="A1236" s="1">
        <v>45774</v>
      </c>
      <c r="B1236" s="2" t="s">
        <v>2621</v>
      </c>
      <c r="C1236" s="2" t="s">
        <v>2645</v>
      </c>
      <c r="D1236" s="2" t="s">
        <v>2522</v>
      </c>
      <c r="E1236" s="2" t="s">
        <v>2517</v>
      </c>
      <c r="F1236" s="3">
        <v>47752</v>
      </c>
      <c r="G1236" s="3">
        <v>1936</v>
      </c>
      <c r="H1236" s="3">
        <v>264</v>
      </c>
      <c r="I1236" s="4">
        <v>1087.76</v>
      </c>
      <c r="J1236" s="4">
        <v>31600.35</v>
      </c>
      <c r="K1236" s="3">
        <v>237</v>
      </c>
      <c r="L1236" s="2" t="s">
        <v>2518</v>
      </c>
      <c r="M1236" s="2" t="s">
        <v>2519</v>
      </c>
    </row>
    <row r="1237" spans="1:13" x14ac:dyDescent="0.3">
      <c r="A1237" s="1">
        <v>45675</v>
      </c>
      <c r="B1237" s="2" t="s">
        <v>2643</v>
      </c>
      <c r="C1237" s="2" t="s">
        <v>2543</v>
      </c>
      <c r="D1237" s="2" t="s">
        <v>2528</v>
      </c>
      <c r="E1237" s="2" t="s">
        <v>2529</v>
      </c>
      <c r="F1237" s="3">
        <v>57300</v>
      </c>
      <c r="G1237" s="3">
        <v>1466</v>
      </c>
      <c r="H1237" s="3">
        <v>71</v>
      </c>
      <c r="I1237" s="4">
        <v>1091.8</v>
      </c>
      <c r="J1237" s="4">
        <v>6749.69</v>
      </c>
      <c r="K1237" s="3">
        <v>55</v>
      </c>
      <c r="L1237" s="2" t="s">
        <v>2518</v>
      </c>
      <c r="M1237" s="2" t="s">
        <v>2526</v>
      </c>
    </row>
    <row r="1238" spans="1:13" x14ac:dyDescent="0.3">
      <c r="A1238" s="1">
        <v>45839</v>
      </c>
      <c r="B1238" s="2" t="s">
        <v>2634</v>
      </c>
      <c r="C1238" s="2" t="s">
        <v>2515</v>
      </c>
      <c r="D1238" s="2" t="s">
        <v>2528</v>
      </c>
      <c r="E1238" s="2" t="s">
        <v>2529</v>
      </c>
      <c r="F1238" s="3">
        <v>143790</v>
      </c>
      <c r="G1238" s="3">
        <v>8223</v>
      </c>
      <c r="H1238" s="3">
        <v>819</v>
      </c>
      <c r="I1238" s="4">
        <v>11984.24</v>
      </c>
      <c r="J1238" s="4">
        <v>40187.07</v>
      </c>
      <c r="K1238" s="3">
        <v>646</v>
      </c>
      <c r="L1238" s="2" t="s">
        <v>2536</v>
      </c>
      <c r="M1238" s="2" t="s">
        <v>2537</v>
      </c>
    </row>
    <row r="1239" spans="1:13" x14ac:dyDescent="0.3">
      <c r="A1239" s="1">
        <v>45798</v>
      </c>
      <c r="B1239" s="2" t="s">
        <v>2622</v>
      </c>
      <c r="C1239" s="2" t="s">
        <v>2533</v>
      </c>
      <c r="D1239" s="2" t="s">
        <v>2531</v>
      </c>
      <c r="E1239" s="2" t="s">
        <v>2517</v>
      </c>
      <c r="F1239" s="3">
        <v>113661</v>
      </c>
      <c r="G1239" s="3">
        <v>6897</v>
      </c>
      <c r="H1239" s="3">
        <v>401</v>
      </c>
      <c r="I1239" s="4">
        <v>5828.71</v>
      </c>
      <c r="J1239" s="4">
        <v>30387.32</v>
      </c>
      <c r="K1239" s="3">
        <v>260</v>
      </c>
      <c r="L1239" s="2" t="s">
        <v>2536</v>
      </c>
      <c r="M1239" s="2" t="s">
        <v>2526</v>
      </c>
    </row>
    <row r="1240" spans="1:13" x14ac:dyDescent="0.3">
      <c r="A1240" s="1">
        <v>45724</v>
      </c>
      <c r="B1240" s="2" t="s">
        <v>2618</v>
      </c>
      <c r="C1240" s="2" t="s">
        <v>2541</v>
      </c>
      <c r="D1240" s="2" t="s">
        <v>2525</v>
      </c>
      <c r="E1240" s="2" t="s">
        <v>2529</v>
      </c>
      <c r="F1240" s="3">
        <v>135731</v>
      </c>
      <c r="G1240" s="3">
        <v>3895</v>
      </c>
      <c r="H1240" s="3">
        <v>344</v>
      </c>
      <c r="I1240" s="4">
        <v>4658.2299999999996</v>
      </c>
      <c r="J1240" s="4">
        <v>16750.2</v>
      </c>
      <c r="K1240" s="3">
        <v>175</v>
      </c>
      <c r="L1240" s="2" t="s">
        <v>2518</v>
      </c>
      <c r="M1240" s="2" t="s">
        <v>2546</v>
      </c>
    </row>
    <row r="1241" spans="1:13" x14ac:dyDescent="0.3">
      <c r="A1241" s="1">
        <v>45713</v>
      </c>
      <c r="B1241" s="2" t="s">
        <v>2640</v>
      </c>
      <c r="C1241" s="2" t="s">
        <v>2521</v>
      </c>
      <c r="D1241" s="2" t="s">
        <v>2516</v>
      </c>
      <c r="E1241" s="2" t="s">
        <v>2529</v>
      </c>
      <c r="F1241" s="3">
        <v>143003</v>
      </c>
      <c r="G1241" s="3">
        <v>2900</v>
      </c>
      <c r="H1241" s="3">
        <v>86</v>
      </c>
      <c r="I1241" s="4">
        <v>968.8</v>
      </c>
      <c r="J1241" s="4">
        <v>8100</v>
      </c>
      <c r="K1241" s="3">
        <v>60</v>
      </c>
      <c r="L1241" s="2" t="s">
        <v>2518</v>
      </c>
      <c r="M1241" s="2" t="s">
        <v>2537</v>
      </c>
    </row>
    <row r="1242" spans="1:13" x14ac:dyDescent="0.3">
      <c r="A1242" s="1">
        <v>45782</v>
      </c>
      <c r="B1242" s="2" t="s">
        <v>2620</v>
      </c>
      <c r="C1242" s="2" t="s">
        <v>2543</v>
      </c>
      <c r="D1242" s="2" t="s">
        <v>2525</v>
      </c>
      <c r="E1242" s="2" t="s">
        <v>2517</v>
      </c>
      <c r="F1242" s="3">
        <v>23984</v>
      </c>
      <c r="G1242" s="3">
        <v>217</v>
      </c>
      <c r="H1242" s="3">
        <v>21</v>
      </c>
      <c r="I1242" s="4">
        <v>449.75</v>
      </c>
      <c r="J1242" s="4">
        <v>3256.86</v>
      </c>
      <c r="K1242" s="3">
        <v>16</v>
      </c>
      <c r="L1242" s="2" t="s">
        <v>2536</v>
      </c>
      <c r="M1242" s="2" t="s">
        <v>2526</v>
      </c>
    </row>
    <row r="1243" spans="1:13" x14ac:dyDescent="0.3">
      <c r="A1243" s="1">
        <v>45935</v>
      </c>
      <c r="B1243" s="2" t="s">
        <v>2616</v>
      </c>
      <c r="C1243" s="2" t="s">
        <v>2543</v>
      </c>
      <c r="D1243" s="2" t="s">
        <v>2528</v>
      </c>
      <c r="E1243" s="2" t="s">
        <v>2517</v>
      </c>
      <c r="F1243" s="3">
        <v>80289</v>
      </c>
      <c r="G1243" s="3">
        <v>5767</v>
      </c>
      <c r="H1243" s="3">
        <v>43</v>
      </c>
      <c r="I1243" s="4">
        <v>11205.21</v>
      </c>
      <c r="J1243" s="4">
        <v>4062.18</v>
      </c>
      <c r="K1243" s="3">
        <v>32</v>
      </c>
      <c r="L1243" s="2" t="s">
        <v>2536</v>
      </c>
      <c r="M1243" s="2" t="s">
        <v>2537</v>
      </c>
    </row>
    <row r="1244" spans="1:13" x14ac:dyDescent="0.3">
      <c r="A1244" s="1">
        <v>45992</v>
      </c>
      <c r="B1244" s="2" t="s">
        <v>2644</v>
      </c>
      <c r="C1244" s="2" t="s">
        <v>2515</v>
      </c>
      <c r="D1244" s="2" t="s">
        <v>2525</v>
      </c>
      <c r="E1244" s="2" t="s">
        <v>2517</v>
      </c>
      <c r="F1244" s="3">
        <v>25525</v>
      </c>
      <c r="G1244" s="3">
        <v>1952</v>
      </c>
      <c r="H1244" s="3">
        <v>272</v>
      </c>
      <c r="I1244" s="4">
        <v>3800.76</v>
      </c>
      <c r="J1244" s="4">
        <v>42615.06</v>
      </c>
      <c r="K1244" s="3">
        <v>127</v>
      </c>
      <c r="L1244" s="2" t="s">
        <v>2523</v>
      </c>
      <c r="M1244" s="2" t="s">
        <v>2526</v>
      </c>
    </row>
    <row r="1245" spans="1:13" x14ac:dyDescent="0.3">
      <c r="A1245" s="1">
        <v>46002</v>
      </c>
      <c r="B1245" s="2" t="s">
        <v>2639</v>
      </c>
      <c r="C1245" s="2" t="s">
        <v>2521</v>
      </c>
      <c r="D1245" s="2" t="s">
        <v>2525</v>
      </c>
      <c r="E1245" s="2" t="s">
        <v>2517</v>
      </c>
      <c r="F1245" s="3">
        <v>162914</v>
      </c>
      <c r="G1245" s="3">
        <v>11368</v>
      </c>
      <c r="H1245" s="3">
        <v>363</v>
      </c>
      <c r="I1245" s="4">
        <v>2530.7800000000002</v>
      </c>
      <c r="J1245" s="4">
        <v>23289.55</v>
      </c>
      <c r="K1245" s="3">
        <v>289</v>
      </c>
      <c r="L1245" s="2" t="s">
        <v>2523</v>
      </c>
      <c r="M1245" s="2" t="s">
        <v>2526</v>
      </c>
    </row>
    <row r="1246" spans="1:13" x14ac:dyDescent="0.3">
      <c r="A1246" s="1">
        <v>45958</v>
      </c>
      <c r="B1246" s="2" t="s">
        <v>2630</v>
      </c>
      <c r="C1246" s="2" t="s">
        <v>2533</v>
      </c>
      <c r="D1246" s="2" t="s">
        <v>2528</v>
      </c>
      <c r="E1246" s="2" t="s">
        <v>2529</v>
      </c>
      <c r="F1246" s="3">
        <v>69332</v>
      </c>
      <c r="G1246" s="3">
        <v>4558</v>
      </c>
      <c r="H1246" s="3">
        <v>76</v>
      </c>
      <c r="I1246" s="4">
        <v>6345.7</v>
      </c>
      <c r="J1246" s="4">
        <v>9773.16</v>
      </c>
      <c r="K1246" s="3">
        <v>61</v>
      </c>
      <c r="L1246" s="2" t="s">
        <v>2518</v>
      </c>
      <c r="M1246" s="2" t="s">
        <v>2519</v>
      </c>
    </row>
    <row r="1247" spans="1:13" x14ac:dyDescent="0.3">
      <c r="A1247" s="1">
        <v>45859</v>
      </c>
      <c r="B1247" s="2" t="s">
        <v>2621</v>
      </c>
      <c r="C1247" s="2" t="s">
        <v>2533</v>
      </c>
      <c r="D1247" s="2" t="s">
        <v>2528</v>
      </c>
      <c r="E1247" s="2" t="s">
        <v>2529</v>
      </c>
      <c r="F1247" s="3">
        <v>57137</v>
      </c>
      <c r="G1247" s="3">
        <v>2229</v>
      </c>
      <c r="H1247" s="3">
        <v>284</v>
      </c>
      <c r="I1247" s="4">
        <v>1124.78</v>
      </c>
      <c r="J1247" s="4">
        <v>39241.07</v>
      </c>
      <c r="K1247" s="3">
        <v>168</v>
      </c>
      <c r="L1247" s="2" t="s">
        <v>2523</v>
      </c>
      <c r="M1247" s="2" t="s">
        <v>2524</v>
      </c>
    </row>
    <row r="1248" spans="1:13" x14ac:dyDescent="0.3">
      <c r="A1248" s="1">
        <v>46007</v>
      </c>
      <c r="B1248" s="2" t="s">
        <v>2623</v>
      </c>
      <c r="C1248" s="2" t="s">
        <v>2527</v>
      </c>
      <c r="D1248" s="2" t="s">
        <v>2525</v>
      </c>
      <c r="E1248" s="2" t="s">
        <v>2517</v>
      </c>
      <c r="F1248" s="3">
        <v>178438</v>
      </c>
      <c r="G1248" s="3">
        <v>14567</v>
      </c>
      <c r="H1248" s="3">
        <v>1255</v>
      </c>
      <c r="I1248" s="4">
        <v>7878.24</v>
      </c>
      <c r="J1248" s="4">
        <v>124885.36</v>
      </c>
      <c r="K1248" s="3">
        <v>955</v>
      </c>
      <c r="L1248" s="2" t="s">
        <v>2536</v>
      </c>
      <c r="M1248" s="2" t="s">
        <v>2524</v>
      </c>
    </row>
    <row r="1249" spans="1:13" x14ac:dyDescent="0.3">
      <c r="A1249" s="1">
        <v>45769</v>
      </c>
      <c r="B1249" s="2" t="s">
        <v>2641</v>
      </c>
      <c r="C1249" s="2" t="s">
        <v>2521</v>
      </c>
      <c r="D1249" s="2" t="s">
        <v>2522</v>
      </c>
      <c r="E1249" s="2" t="s">
        <v>2517</v>
      </c>
      <c r="F1249" s="3">
        <v>166207</v>
      </c>
      <c r="G1249" s="3">
        <v>2223</v>
      </c>
      <c r="H1249" s="3">
        <v>186</v>
      </c>
      <c r="I1249" s="4">
        <v>1244.1300000000001</v>
      </c>
      <c r="J1249" s="4">
        <v>10414.39</v>
      </c>
      <c r="K1249" s="3">
        <v>136</v>
      </c>
      <c r="L1249" s="2" t="s">
        <v>2523</v>
      </c>
      <c r="M1249" s="2" t="s">
        <v>2526</v>
      </c>
    </row>
    <row r="1250" spans="1:13" x14ac:dyDescent="0.3">
      <c r="A1250" s="1">
        <v>45975</v>
      </c>
      <c r="B1250" s="2" t="s">
        <v>2630</v>
      </c>
      <c r="C1250" s="2" t="s">
        <v>2515</v>
      </c>
      <c r="D1250" s="2" t="s">
        <v>2531</v>
      </c>
      <c r="E1250" s="2" t="s">
        <v>2529</v>
      </c>
      <c r="F1250" s="3">
        <v>146762</v>
      </c>
      <c r="G1250" s="3">
        <v>1614</v>
      </c>
      <c r="H1250" s="3">
        <v>132</v>
      </c>
      <c r="I1250" s="4">
        <v>2670.53</v>
      </c>
      <c r="J1250" s="4">
        <v>24522.73</v>
      </c>
      <c r="K1250" s="3">
        <v>107</v>
      </c>
      <c r="L1250" s="2" t="s">
        <v>2518</v>
      </c>
      <c r="M1250" s="2" t="s">
        <v>2524</v>
      </c>
    </row>
    <row r="1251" spans="1:13" x14ac:dyDescent="0.3">
      <c r="A1251" s="1">
        <v>45845</v>
      </c>
      <c r="B1251" s="2" t="s">
        <v>2632</v>
      </c>
      <c r="C1251" s="2" t="s">
        <v>2541</v>
      </c>
      <c r="D1251" s="2" t="s">
        <v>2528</v>
      </c>
      <c r="E1251" s="2" t="s">
        <v>2529</v>
      </c>
      <c r="F1251" s="3">
        <v>55933</v>
      </c>
      <c r="G1251" s="3">
        <v>2235</v>
      </c>
      <c r="H1251" s="3">
        <v>302</v>
      </c>
      <c r="I1251" s="4">
        <v>4579.2700000000004</v>
      </c>
      <c r="J1251" s="4">
        <v>46845.24</v>
      </c>
      <c r="K1251" s="3">
        <v>243</v>
      </c>
      <c r="L1251" s="2" t="s">
        <v>2536</v>
      </c>
      <c r="M1251" s="2" t="s">
        <v>2546</v>
      </c>
    </row>
    <row r="1252" spans="1:13" x14ac:dyDescent="0.3">
      <c r="A1252" s="1">
        <v>45999</v>
      </c>
      <c r="B1252" s="2" t="s">
        <v>2629</v>
      </c>
      <c r="C1252" s="2" t="s">
        <v>2541</v>
      </c>
      <c r="D1252" s="2" t="s">
        <v>2525</v>
      </c>
      <c r="E1252" s="2" t="s">
        <v>2529</v>
      </c>
      <c r="F1252" s="3">
        <v>37212</v>
      </c>
      <c r="G1252" s="3">
        <v>1278</v>
      </c>
      <c r="H1252" s="3">
        <v>56</v>
      </c>
      <c r="I1252" s="4">
        <v>389.28</v>
      </c>
      <c r="J1252" s="4">
        <v>8833.59</v>
      </c>
      <c r="K1252" s="3">
        <v>37</v>
      </c>
      <c r="L1252" s="2" t="s">
        <v>2523</v>
      </c>
      <c r="M1252" s="2" t="s">
        <v>2519</v>
      </c>
    </row>
    <row r="1253" spans="1:13" x14ac:dyDescent="0.3">
      <c r="A1253" s="1">
        <v>45942</v>
      </c>
      <c r="B1253" s="2" t="s">
        <v>2621</v>
      </c>
      <c r="C1253" s="2" t="s">
        <v>2521</v>
      </c>
      <c r="D1253" s="2" t="s">
        <v>2531</v>
      </c>
      <c r="E1253" s="2" t="s">
        <v>2529</v>
      </c>
      <c r="F1253" s="3">
        <v>90185</v>
      </c>
      <c r="G1253" s="3">
        <v>6892</v>
      </c>
      <c r="H1253" s="3">
        <v>576</v>
      </c>
      <c r="I1253" s="4">
        <v>12331.64</v>
      </c>
      <c r="J1253" s="4">
        <v>51773.97</v>
      </c>
      <c r="K1253" s="3">
        <v>344</v>
      </c>
      <c r="L1253" s="2" t="s">
        <v>2523</v>
      </c>
      <c r="M1253" s="2" t="s">
        <v>2546</v>
      </c>
    </row>
    <row r="1254" spans="1:13" x14ac:dyDescent="0.3">
      <c r="A1254" s="1">
        <v>45991</v>
      </c>
      <c r="B1254" s="2" t="s">
        <v>2634</v>
      </c>
      <c r="C1254" s="2" t="s">
        <v>2533</v>
      </c>
      <c r="D1254" s="2" t="s">
        <v>2522</v>
      </c>
      <c r="E1254" s="2" t="s">
        <v>2529</v>
      </c>
      <c r="F1254" s="3">
        <v>117714</v>
      </c>
      <c r="G1254" s="3">
        <v>1488</v>
      </c>
      <c r="H1254" s="3">
        <v>207</v>
      </c>
      <c r="I1254" s="4">
        <v>869.51</v>
      </c>
      <c r="J1254" s="4">
        <v>18199.39</v>
      </c>
      <c r="K1254" s="3">
        <v>179</v>
      </c>
      <c r="L1254" s="2" t="s">
        <v>2518</v>
      </c>
      <c r="M1254" s="2" t="s">
        <v>2546</v>
      </c>
    </row>
    <row r="1255" spans="1:13" x14ac:dyDescent="0.3">
      <c r="A1255" s="1">
        <v>45862</v>
      </c>
      <c r="B1255" s="2" t="s">
        <v>2618</v>
      </c>
      <c r="C1255" s="2" t="s">
        <v>2527</v>
      </c>
      <c r="D1255" s="2" t="s">
        <v>2522</v>
      </c>
      <c r="E1255" s="2" t="s">
        <v>2529</v>
      </c>
      <c r="F1255" s="3">
        <v>143149</v>
      </c>
      <c r="G1255" s="3">
        <v>4780</v>
      </c>
      <c r="H1255" s="3">
        <v>227</v>
      </c>
      <c r="I1255" s="4">
        <v>5284.77</v>
      </c>
      <c r="J1255" s="4">
        <v>44097.48</v>
      </c>
      <c r="K1255" s="3">
        <v>118</v>
      </c>
      <c r="L1255" s="2" t="s">
        <v>2536</v>
      </c>
      <c r="M1255" s="2" t="s">
        <v>2537</v>
      </c>
    </row>
    <row r="1256" spans="1:13" x14ac:dyDescent="0.3">
      <c r="A1256" s="1">
        <v>45991</v>
      </c>
      <c r="B1256" s="2" t="s">
        <v>2616</v>
      </c>
      <c r="C1256" s="2" t="s">
        <v>2515</v>
      </c>
      <c r="D1256" s="2" t="s">
        <v>2531</v>
      </c>
      <c r="E1256" s="2" t="s">
        <v>2534</v>
      </c>
      <c r="F1256" s="3">
        <v>89565</v>
      </c>
      <c r="G1256" s="3">
        <v>7513</v>
      </c>
      <c r="H1256" s="3">
        <v>43</v>
      </c>
      <c r="I1256" s="4">
        <v>3499.8</v>
      </c>
      <c r="J1256" s="4">
        <v>1033.31</v>
      </c>
      <c r="K1256" s="3">
        <v>37</v>
      </c>
      <c r="L1256" s="2" t="s">
        <v>2536</v>
      </c>
      <c r="M1256" s="2" t="s">
        <v>2537</v>
      </c>
    </row>
    <row r="1257" spans="1:13" x14ac:dyDescent="0.3">
      <c r="A1257" s="1">
        <v>45672</v>
      </c>
      <c r="B1257" s="2" t="s">
        <v>2619</v>
      </c>
      <c r="C1257" s="2" t="s">
        <v>2541</v>
      </c>
      <c r="D1257" s="2" t="s">
        <v>2516</v>
      </c>
      <c r="E1257" s="2" t="s">
        <v>2529</v>
      </c>
      <c r="F1257" s="3">
        <v>95412</v>
      </c>
      <c r="G1257" s="3">
        <v>6296</v>
      </c>
      <c r="H1257" s="3">
        <v>513</v>
      </c>
      <c r="I1257" s="4">
        <v>9302.81</v>
      </c>
      <c r="J1257" s="4">
        <v>73987.03</v>
      </c>
      <c r="K1257" s="3">
        <v>271</v>
      </c>
      <c r="L1257" s="2" t="s">
        <v>2536</v>
      </c>
      <c r="M1257" s="2" t="s">
        <v>2537</v>
      </c>
    </row>
    <row r="1258" spans="1:13" x14ac:dyDescent="0.3">
      <c r="A1258" s="1">
        <v>45805</v>
      </c>
      <c r="B1258" s="2" t="s">
        <v>2622</v>
      </c>
      <c r="C1258" s="2" t="s">
        <v>2515</v>
      </c>
      <c r="D1258" s="2" t="s">
        <v>2645</v>
      </c>
      <c r="E1258" s="2" t="s">
        <v>2517</v>
      </c>
      <c r="F1258" s="3">
        <v>43342</v>
      </c>
      <c r="G1258" s="3">
        <v>2365</v>
      </c>
      <c r="H1258" s="3">
        <v>270</v>
      </c>
      <c r="I1258" s="4">
        <v>3269.21</v>
      </c>
      <c r="J1258" s="4">
        <v>37673.25</v>
      </c>
      <c r="K1258" s="3">
        <v>205</v>
      </c>
      <c r="L1258" s="2" t="s">
        <v>2539</v>
      </c>
      <c r="M1258" s="2" t="s">
        <v>2524</v>
      </c>
    </row>
    <row r="1259" spans="1:13" x14ac:dyDescent="0.3">
      <c r="A1259" s="1">
        <v>45783</v>
      </c>
      <c r="B1259" s="2" t="s">
        <v>2626</v>
      </c>
      <c r="C1259" s="2" t="s">
        <v>2515</v>
      </c>
      <c r="D1259" s="2" t="s">
        <v>2528</v>
      </c>
      <c r="E1259" s="2" t="s">
        <v>2529</v>
      </c>
      <c r="F1259" s="3">
        <v>26679</v>
      </c>
      <c r="G1259" s="3">
        <v>178</v>
      </c>
      <c r="H1259" s="3">
        <v>9</v>
      </c>
      <c r="I1259" s="4">
        <v>311.75</v>
      </c>
      <c r="J1259" s="4">
        <v>426.39</v>
      </c>
      <c r="K1259" s="3">
        <v>5</v>
      </c>
      <c r="L1259" s="2" t="s">
        <v>2539</v>
      </c>
      <c r="M1259" s="2" t="s">
        <v>2526</v>
      </c>
    </row>
    <row r="1260" spans="1:13" x14ac:dyDescent="0.3">
      <c r="A1260" s="1">
        <v>45833</v>
      </c>
      <c r="B1260" s="2" t="s">
        <v>2626</v>
      </c>
      <c r="C1260" s="2" t="s">
        <v>2521</v>
      </c>
      <c r="D1260" s="2" t="s">
        <v>2528</v>
      </c>
      <c r="E1260" s="2" t="s">
        <v>2517</v>
      </c>
      <c r="F1260" s="3">
        <v>116177</v>
      </c>
      <c r="G1260" s="3">
        <v>2522</v>
      </c>
      <c r="H1260" s="3">
        <v>295</v>
      </c>
      <c r="I1260" s="4">
        <v>4670.24</v>
      </c>
      <c r="J1260" s="4">
        <v>41820.199999999997</v>
      </c>
      <c r="K1260" s="3">
        <v>162</v>
      </c>
      <c r="L1260" s="2" t="s">
        <v>2518</v>
      </c>
      <c r="M1260" s="2" t="s">
        <v>2546</v>
      </c>
    </row>
    <row r="1261" spans="1:13" x14ac:dyDescent="0.3">
      <c r="A1261" s="1">
        <v>45809</v>
      </c>
      <c r="B1261" s="2" t="s">
        <v>2616</v>
      </c>
      <c r="C1261" s="2" t="s">
        <v>2527</v>
      </c>
      <c r="D1261" s="2" t="s">
        <v>2516</v>
      </c>
      <c r="E1261" s="2" t="s">
        <v>2517</v>
      </c>
      <c r="F1261" s="3">
        <v>168668</v>
      </c>
      <c r="G1261" s="3">
        <v>11018</v>
      </c>
      <c r="H1261" s="3">
        <v>1144</v>
      </c>
      <c r="I1261" s="4">
        <v>6803.68</v>
      </c>
      <c r="J1261" s="4">
        <v>146828.16</v>
      </c>
      <c r="K1261" s="3">
        <v>605</v>
      </c>
      <c r="L1261" s="2" t="s">
        <v>2536</v>
      </c>
      <c r="M1261" s="2" t="s">
        <v>2524</v>
      </c>
    </row>
    <row r="1262" spans="1:13" x14ac:dyDescent="0.3">
      <c r="A1262" s="1">
        <v>45954</v>
      </c>
      <c r="B1262" s="2" t="s">
        <v>2623</v>
      </c>
      <c r="C1262" s="2" t="s">
        <v>2543</v>
      </c>
      <c r="D1262" s="2" t="s">
        <v>2522</v>
      </c>
      <c r="E1262" s="2" t="s">
        <v>2529</v>
      </c>
      <c r="F1262" s="3">
        <v>162159</v>
      </c>
      <c r="G1262" s="3">
        <v>5588</v>
      </c>
      <c r="H1262" s="3">
        <v>139</v>
      </c>
      <c r="I1262" s="4">
        <v>8148.76</v>
      </c>
      <c r="J1262" s="4">
        <v>17106.45</v>
      </c>
      <c r="K1262" s="3">
        <v>83</v>
      </c>
      <c r="L1262" s="2" t="s">
        <v>2523</v>
      </c>
      <c r="M1262" s="2" t="s">
        <v>2546</v>
      </c>
    </row>
    <row r="1263" spans="1:13" x14ac:dyDescent="0.3">
      <c r="A1263" s="1">
        <v>45886</v>
      </c>
      <c r="B1263" s="2" t="s">
        <v>2639</v>
      </c>
      <c r="C1263" s="2" t="s">
        <v>2533</v>
      </c>
      <c r="D1263" s="2" t="s">
        <v>2522</v>
      </c>
      <c r="E1263" s="2" t="s">
        <v>2517</v>
      </c>
      <c r="F1263" s="3">
        <v>89788</v>
      </c>
      <c r="G1263" s="3">
        <v>2757</v>
      </c>
      <c r="H1263" s="3">
        <v>229</v>
      </c>
      <c r="I1263" s="4">
        <v>1157.5999999999999</v>
      </c>
      <c r="J1263" s="4">
        <v>22914.2</v>
      </c>
      <c r="K1263" s="3">
        <v>202</v>
      </c>
      <c r="L1263" s="2" t="s">
        <v>2523</v>
      </c>
      <c r="M1263" s="2" t="s">
        <v>2519</v>
      </c>
    </row>
    <row r="1264" spans="1:13" x14ac:dyDescent="0.3">
      <c r="A1264" s="1">
        <v>45732</v>
      </c>
      <c r="B1264" s="2" t="s">
        <v>2632</v>
      </c>
      <c r="C1264" s="2" t="s">
        <v>2533</v>
      </c>
      <c r="D1264" s="2" t="s">
        <v>2516</v>
      </c>
      <c r="E1264" s="2" t="s">
        <v>2517</v>
      </c>
      <c r="F1264" s="3">
        <v>95984</v>
      </c>
      <c r="G1264" s="3">
        <v>1137</v>
      </c>
      <c r="H1264" s="3">
        <v>113</v>
      </c>
      <c r="I1264" s="4">
        <v>761.41</v>
      </c>
      <c r="J1264" s="4">
        <v>5484.78</v>
      </c>
      <c r="K1264" s="3">
        <v>95</v>
      </c>
      <c r="L1264" s="2" t="s">
        <v>2539</v>
      </c>
      <c r="M1264" s="2" t="s">
        <v>2537</v>
      </c>
    </row>
    <row r="1265" spans="1:13" x14ac:dyDescent="0.3">
      <c r="A1265" s="1">
        <v>45726</v>
      </c>
      <c r="B1265" s="2" t="s">
        <v>2621</v>
      </c>
      <c r="C1265" s="2" t="s">
        <v>2541</v>
      </c>
      <c r="D1265" s="2" t="s">
        <v>2516</v>
      </c>
      <c r="E1265" s="2" t="s">
        <v>2517</v>
      </c>
      <c r="F1265" s="3">
        <v>86571</v>
      </c>
      <c r="G1265" s="3">
        <v>2063</v>
      </c>
      <c r="H1265" s="3">
        <v>247</v>
      </c>
      <c r="I1265" s="4">
        <v>1379.35</v>
      </c>
      <c r="J1265" s="4">
        <v>31659.45</v>
      </c>
      <c r="K1265" s="3">
        <v>215</v>
      </c>
      <c r="L1265" s="2" t="s">
        <v>2518</v>
      </c>
      <c r="M1265" s="2" t="s">
        <v>2537</v>
      </c>
    </row>
    <row r="1266" spans="1:13" x14ac:dyDescent="0.3">
      <c r="A1266" s="1">
        <v>45687</v>
      </c>
      <c r="B1266" s="2" t="s">
        <v>2638</v>
      </c>
      <c r="C1266" s="2" t="s">
        <v>2541</v>
      </c>
      <c r="D1266" s="2" t="s">
        <v>2528</v>
      </c>
      <c r="E1266" s="2" t="s">
        <v>2534</v>
      </c>
      <c r="F1266" s="3">
        <v>49187</v>
      </c>
      <c r="G1266" s="3">
        <v>3064</v>
      </c>
      <c r="H1266" s="3">
        <v>138</v>
      </c>
      <c r="I1266" s="4">
        <v>1515.08</v>
      </c>
      <c r="J1266" s="4">
        <v>15808.3</v>
      </c>
      <c r="K1266" s="3">
        <v>74</v>
      </c>
      <c r="L1266" s="2" t="s">
        <v>2523</v>
      </c>
      <c r="M1266" s="2" t="s">
        <v>2546</v>
      </c>
    </row>
    <row r="1267" spans="1:13" x14ac:dyDescent="0.3">
      <c r="A1267" s="1">
        <v>45697</v>
      </c>
      <c r="B1267" s="2" t="s">
        <v>2629</v>
      </c>
      <c r="C1267" s="2" t="s">
        <v>2521</v>
      </c>
      <c r="D1267" s="2" t="s">
        <v>2528</v>
      </c>
      <c r="E1267" s="2" t="s">
        <v>2517</v>
      </c>
      <c r="F1267" s="3">
        <v>127219</v>
      </c>
      <c r="G1267" s="3">
        <v>3424</v>
      </c>
      <c r="H1267" s="3">
        <v>129</v>
      </c>
      <c r="I1267" s="4">
        <v>5226.33</v>
      </c>
      <c r="J1267" s="4">
        <v>26534.76</v>
      </c>
      <c r="K1267" s="3">
        <v>101</v>
      </c>
      <c r="L1267" s="2" t="s">
        <v>2518</v>
      </c>
      <c r="M1267" s="2" t="s">
        <v>2524</v>
      </c>
    </row>
    <row r="1268" spans="1:13" x14ac:dyDescent="0.3">
      <c r="A1268" s="1">
        <v>45720</v>
      </c>
      <c r="B1268" s="2" t="s">
        <v>2637</v>
      </c>
      <c r="C1268" s="2" t="s">
        <v>2521</v>
      </c>
      <c r="D1268" s="2" t="s">
        <v>2531</v>
      </c>
      <c r="E1268" s="2" t="s">
        <v>2529</v>
      </c>
      <c r="F1268" s="3">
        <v>120016</v>
      </c>
      <c r="G1268" s="3">
        <v>708</v>
      </c>
      <c r="H1268" s="3">
        <v>12</v>
      </c>
      <c r="I1268" s="4">
        <v>556.61</v>
      </c>
      <c r="J1268" s="4">
        <v>2274.87</v>
      </c>
      <c r="K1268" s="3">
        <v>8</v>
      </c>
      <c r="L1268" s="2" t="s">
        <v>2518</v>
      </c>
      <c r="M1268" s="2" t="s">
        <v>2546</v>
      </c>
    </row>
    <row r="1269" spans="1:13" x14ac:dyDescent="0.3">
      <c r="A1269" s="1">
        <v>45938</v>
      </c>
      <c r="B1269" s="2" t="s">
        <v>2621</v>
      </c>
      <c r="C1269" s="2" t="s">
        <v>2533</v>
      </c>
      <c r="D1269" s="2" t="s">
        <v>2525</v>
      </c>
      <c r="E1269" s="2" t="s">
        <v>2529</v>
      </c>
      <c r="F1269" s="3">
        <v>155418</v>
      </c>
      <c r="G1269" s="3">
        <v>2491</v>
      </c>
      <c r="H1269" s="3">
        <v>218</v>
      </c>
      <c r="I1269" s="4">
        <v>2322.06</v>
      </c>
      <c r="J1269" s="4">
        <v>12510.67</v>
      </c>
      <c r="K1269" s="3">
        <v>154</v>
      </c>
      <c r="L1269" s="2" t="s">
        <v>2536</v>
      </c>
      <c r="M1269" s="2" t="s">
        <v>2537</v>
      </c>
    </row>
    <row r="1270" spans="1:13" x14ac:dyDescent="0.3">
      <c r="A1270" s="1">
        <v>45680</v>
      </c>
      <c r="B1270" s="2" t="s">
        <v>2626</v>
      </c>
      <c r="C1270" s="2" t="s">
        <v>2533</v>
      </c>
      <c r="D1270" s="2" t="s">
        <v>2528</v>
      </c>
      <c r="E1270" s="2" t="s">
        <v>2529</v>
      </c>
      <c r="F1270" s="3">
        <v>62741</v>
      </c>
      <c r="G1270" s="3">
        <v>354</v>
      </c>
      <c r="H1270" s="3">
        <v>27</v>
      </c>
      <c r="I1270" s="4">
        <v>382.83</v>
      </c>
      <c r="J1270" s="4">
        <v>5473.73</v>
      </c>
      <c r="K1270" s="3">
        <v>21</v>
      </c>
      <c r="L1270" s="2" t="s">
        <v>2539</v>
      </c>
      <c r="M1270" s="2" t="s">
        <v>2526</v>
      </c>
    </row>
    <row r="1271" spans="1:13" x14ac:dyDescent="0.3">
      <c r="A1271" s="1">
        <v>45698</v>
      </c>
      <c r="B1271" s="2" t="s">
        <v>2615</v>
      </c>
      <c r="C1271" s="2" t="s">
        <v>2515</v>
      </c>
      <c r="D1271" s="2" t="s">
        <v>2525</v>
      </c>
      <c r="E1271" s="2" t="s">
        <v>2529</v>
      </c>
      <c r="F1271" s="3">
        <v>114767</v>
      </c>
      <c r="G1271" s="3">
        <v>4059</v>
      </c>
      <c r="H1271" s="3">
        <v>36</v>
      </c>
      <c r="I1271" s="4">
        <v>5186.1000000000004</v>
      </c>
      <c r="J1271" s="4">
        <v>6674.22</v>
      </c>
      <c r="K1271" s="3">
        <v>16</v>
      </c>
      <c r="L1271" s="2" t="s">
        <v>2536</v>
      </c>
      <c r="M1271" s="2" t="s">
        <v>2537</v>
      </c>
    </row>
    <row r="1272" spans="1:13" x14ac:dyDescent="0.3">
      <c r="A1272" s="1">
        <v>45943</v>
      </c>
      <c r="B1272" s="2" t="s">
        <v>2637</v>
      </c>
      <c r="C1272" s="2" t="s">
        <v>2515</v>
      </c>
      <c r="D1272" s="2" t="s">
        <v>2525</v>
      </c>
      <c r="E1272" s="2" t="s">
        <v>2529</v>
      </c>
      <c r="F1272" s="3">
        <v>46522</v>
      </c>
      <c r="G1272" s="3">
        <v>3268</v>
      </c>
      <c r="H1272" s="3">
        <v>152</v>
      </c>
      <c r="I1272" s="4">
        <v>2733.63</v>
      </c>
      <c r="J1272" s="4">
        <v>20584.240000000002</v>
      </c>
      <c r="K1272" s="3">
        <v>123</v>
      </c>
      <c r="L1272" s="2" t="s">
        <v>2539</v>
      </c>
      <c r="M1272" s="2" t="s">
        <v>2526</v>
      </c>
    </row>
    <row r="1273" spans="1:13" x14ac:dyDescent="0.3">
      <c r="A1273" s="1">
        <v>45698</v>
      </c>
      <c r="B1273" s="2" t="s">
        <v>2629</v>
      </c>
      <c r="C1273" s="2" t="s">
        <v>2533</v>
      </c>
      <c r="D1273" s="2" t="s">
        <v>2645</v>
      </c>
      <c r="E1273" s="2" t="s">
        <v>2517</v>
      </c>
      <c r="F1273" s="3">
        <v>90182</v>
      </c>
      <c r="G1273" s="3">
        <v>6723</v>
      </c>
      <c r="H1273" s="3">
        <v>525</v>
      </c>
      <c r="I1273" s="4">
        <v>12012.57</v>
      </c>
      <c r="J1273" s="4">
        <v>104939.41</v>
      </c>
      <c r="K1273" s="3">
        <v>357</v>
      </c>
      <c r="L1273" s="2" t="s">
        <v>2539</v>
      </c>
      <c r="M1273" s="2" t="s">
        <v>2524</v>
      </c>
    </row>
    <row r="1274" spans="1:13" x14ac:dyDescent="0.3">
      <c r="A1274" s="1">
        <v>45789</v>
      </c>
      <c r="B1274" s="2" t="s">
        <v>2634</v>
      </c>
      <c r="C1274" s="2" t="s">
        <v>2515</v>
      </c>
      <c r="D1274" s="2" t="s">
        <v>2528</v>
      </c>
      <c r="E1274" s="2" t="s">
        <v>2517</v>
      </c>
      <c r="F1274" s="3">
        <v>78724</v>
      </c>
      <c r="G1274" s="3">
        <v>6219</v>
      </c>
      <c r="H1274" s="3">
        <v>847</v>
      </c>
      <c r="I1274" s="4">
        <v>1816.4</v>
      </c>
      <c r="J1274" s="4">
        <v>173348.56</v>
      </c>
      <c r="K1274" s="3">
        <v>670</v>
      </c>
      <c r="L1274" s="2" t="s">
        <v>2518</v>
      </c>
      <c r="M1274" s="2" t="s">
        <v>2519</v>
      </c>
    </row>
    <row r="1275" spans="1:13" x14ac:dyDescent="0.3">
      <c r="A1275" s="1">
        <v>45668</v>
      </c>
      <c r="B1275" s="2" t="s">
        <v>2642</v>
      </c>
      <c r="C1275" s="2" t="s">
        <v>2521</v>
      </c>
      <c r="D1275" s="2" t="s">
        <v>2528</v>
      </c>
      <c r="E1275" s="2" t="s">
        <v>2529</v>
      </c>
      <c r="F1275" s="3">
        <v>84247</v>
      </c>
      <c r="G1275" s="3">
        <v>5908</v>
      </c>
      <c r="H1275" s="3">
        <v>351</v>
      </c>
      <c r="I1275" s="4">
        <v>7686.04</v>
      </c>
      <c r="J1275" s="4">
        <v>12703.92</v>
      </c>
      <c r="K1275" s="3">
        <v>292</v>
      </c>
      <c r="L1275" s="2" t="s">
        <v>2539</v>
      </c>
      <c r="M1275" s="2" t="s">
        <v>2519</v>
      </c>
    </row>
    <row r="1276" spans="1:13" x14ac:dyDescent="0.3">
      <c r="A1276" s="1">
        <v>45948</v>
      </c>
      <c r="B1276" s="2" t="s">
        <v>2622</v>
      </c>
      <c r="C1276" s="2" t="s">
        <v>2527</v>
      </c>
      <c r="D1276" s="2" t="s">
        <v>2531</v>
      </c>
      <c r="E1276" s="2" t="s">
        <v>2529</v>
      </c>
      <c r="F1276" s="3">
        <v>103510</v>
      </c>
      <c r="G1276" s="3">
        <v>7103</v>
      </c>
      <c r="H1276" s="3">
        <v>628</v>
      </c>
      <c r="I1276" s="4">
        <v>12062.88</v>
      </c>
      <c r="J1276" s="4">
        <v>118018.57</v>
      </c>
      <c r="K1276" s="3">
        <v>307</v>
      </c>
      <c r="L1276" s="2" t="s">
        <v>2518</v>
      </c>
      <c r="M1276" s="2" t="s">
        <v>2524</v>
      </c>
    </row>
    <row r="1277" spans="1:13" x14ac:dyDescent="0.3">
      <c r="A1277" s="1">
        <v>45992</v>
      </c>
      <c r="B1277" s="2" t="s">
        <v>2616</v>
      </c>
      <c r="C1277" s="2" t="s">
        <v>2515</v>
      </c>
      <c r="D1277" s="2" t="s">
        <v>2528</v>
      </c>
      <c r="E1277" s="2" t="s">
        <v>2529</v>
      </c>
      <c r="F1277" s="3">
        <v>170230</v>
      </c>
      <c r="G1277" s="3">
        <v>10698</v>
      </c>
      <c r="H1277" s="3">
        <v>95</v>
      </c>
      <c r="I1277" s="4">
        <v>2647.86</v>
      </c>
      <c r="J1277" s="4">
        <v>18471.66</v>
      </c>
      <c r="K1277" s="3">
        <v>64</v>
      </c>
      <c r="L1277" s="2" t="s">
        <v>2536</v>
      </c>
      <c r="M1277" s="2" t="s">
        <v>2519</v>
      </c>
    </row>
    <row r="1278" spans="1:13" x14ac:dyDescent="0.3">
      <c r="A1278" s="1">
        <v>45805</v>
      </c>
      <c r="B1278" s="2" t="s">
        <v>2624</v>
      </c>
      <c r="C1278" s="2" t="s">
        <v>2527</v>
      </c>
      <c r="D1278" s="2" t="s">
        <v>2522</v>
      </c>
      <c r="E1278" s="2" t="s">
        <v>2517</v>
      </c>
      <c r="F1278" s="3">
        <v>134095</v>
      </c>
      <c r="G1278" s="3">
        <v>10672</v>
      </c>
      <c r="H1278" s="3">
        <v>1120</v>
      </c>
      <c r="I1278" s="4">
        <v>16559.05</v>
      </c>
      <c r="J1278" s="4">
        <v>151623.4</v>
      </c>
      <c r="K1278" s="3">
        <v>916</v>
      </c>
      <c r="L1278" s="2" t="s">
        <v>2518</v>
      </c>
      <c r="M1278" s="2" t="s">
        <v>2519</v>
      </c>
    </row>
    <row r="1279" spans="1:13" x14ac:dyDescent="0.3">
      <c r="A1279" s="1">
        <v>45929</v>
      </c>
      <c r="B1279" s="2" t="s">
        <v>2625</v>
      </c>
      <c r="C1279" s="2" t="s">
        <v>2533</v>
      </c>
      <c r="D1279" s="2" t="s">
        <v>2645</v>
      </c>
      <c r="E1279" s="2" t="s">
        <v>2529</v>
      </c>
      <c r="F1279" s="3">
        <v>138122</v>
      </c>
      <c r="G1279" s="3">
        <v>9846</v>
      </c>
      <c r="H1279" s="3">
        <v>657</v>
      </c>
      <c r="I1279" s="4">
        <v>20352.79</v>
      </c>
      <c r="J1279" s="4">
        <v>73294.759999999995</v>
      </c>
      <c r="K1279" s="3">
        <v>301</v>
      </c>
      <c r="L1279" s="2" t="s">
        <v>2523</v>
      </c>
      <c r="M1279" s="2" t="s">
        <v>2519</v>
      </c>
    </row>
    <row r="1280" spans="1:13" x14ac:dyDescent="0.3">
      <c r="A1280" s="1">
        <v>45790</v>
      </c>
      <c r="B1280" s="2" t="s">
        <v>2621</v>
      </c>
      <c r="C1280" s="2" t="s">
        <v>2515</v>
      </c>
      <c r="D1280" s="2" t="s">
        <v>2528</v>
      </c>
      <c r="E1280" s="2" t="s">
        <v>2529</v>
      </c>
      <c r="F1280" s="3">
        <v>23293</v>
      </c>
      <c r="G1280" s="3">
        <v>262</v>
      </c>
      <c r="H1280" s="3">
        <v>23</v>
      </c>
      <c r="I1280" s="4">
        <v>195.1</v>
      </c>
      <c r="J1280" s="4">
        <v>4500.66</v>
      </c>
      <c r="K1280" s="3">
        <v>14</v>
      </c>
      <c r="L1280" s="2" t="s">
        <v>2536</v>
      </c>
      <c r="M1280" s="2" t="s">
        <v>2526</v>
      </c>
    </row>
    <row r="1281" spans="1:13" x14ac:dyDescent="0.3">
      <c r="A1281" s="1">
        <v>45856</v>
      </c>
      <c r="B1281" s="2" t="s">
        <v>2632</v>
      </c>
      <c r="C1281" s="2" t="s">
        <v>2521</v>
      </c>
      <c r="D1281" s="2" t="s">
        <v>2528</v>
      </c>
      <c r="E1281" s="2" t="s">
        <v>2517</v>
      </c>
      <c r="F1281" s="3">
        <v>38237</v>
      </c>
      <c r="G1281" s="3">
        <v>1052</v>
      </c>
      <c r="H1281" s="3">
        <v>140</v>
      </c>
      <c r="I1281" s="4">
        <v>1992.89</v>
      </c>
      <c r="J1281" s="4">
        <v>4146.05</v>
      </c>
      <c r="K1281" s="3">
        <v>113</v>
      </c>
      <c r="L1281" s="2" t="s">
        <v>2536</v>
      </c>
      <c r="M1281" s="2" t="s">
        <v>2526</v>
      </c>
    </row>
    <row r="1282" spans="1:13" x14ac:dyDescent="0.3">
      <c r="A1282" s="1">
        <v>45973</v>
      </c>
      <c r="B1282" s="2" t="s">
        <v>2632</v>
      </c>
      <c r="C1282" s="2" t="s">
        <v>2541</v>
      </c>
      <c r="D1282" s="2" t="s">
        <v>2528</v>
      </c>
      <c r="E1282" s="2" t="s">
        <v>2517</v>
      </c>
      <c r="F1282" s="3">
        <v>128158</v>
      </c>
      <c r="G1282" s="3">
        <v>7202</v>
      </c>
      <c r="H1282" s="3">
        <v>271</v>
      </c>
      <c r="I1282" s="4">
        <v>4596.46</v>
      </c>
      <c r="J1282" s="4">
        <v>48387.87</v>
      </c>
      <c r="K1282" s="3">
        <v>154</v>
      </c>
      <c r="L1282" s="2" t="s">
        <v>2539</v>
      </c>
      <c r="M1282" s="2" t="s">
        <v>2546</v>
      </c>
    </row>
    <row r="1283" spans="1:13" x14ac:dyDescent="0.3">
      <c r="A1283" s="1">
        <v>46004</v>
      </c>
      <c r="B1283" s="2" t="s">
        <v>2638</v>
      </c>
      <c r="C1283" s="2" t="s">
        <v>2533</v>
      </c>
      <c r="D1283" s="2" t="s">
        <v>2528</v>
      </c>
      <c r="E1283" s="2" t="s">
        <v>2534</v>
      </c>
      <c r="F1283" s="3">
        <v>16855</v>
      </c>
      <c r="G1283" s="3">
        <v>170</v>
      </c>
      <c r="H1283" s="3">
        <v>9</v>
      </c>
      <c r="I1283" s="4">
        <v>176.75</v>
      </c>
      <c r="J1283" s="4">
        <v>1676.99</v>
      </c>
      <c r="K1283" s="3">
        <v>7</v>
      </c>
      <c r="L1283" s="2" t="s">
        <v>2523</v>
      </c>
      <c r="M1283" s="2" t="s">
        <v>2526</v>
      </c>
    </row>
    <row r="1284" spans="1:13" x14ac:dyDescent="0.3">
      <c r="A1284" s="1">
        <v>45746</v>
      </c>
      <c r="B1284" s="2" t="s">
        <v>2616</v>
      </c>
      <c r="C1284" s="2" t="s">
        <v>2515</v>
      </c>
      <c r="D1284" s="2" t="s">
        <v>2522</v>
      </c>
      <c r="E1284" s="2" t="s">
        <v>2529</v>
      </c>
      <c r="F1284" s="3">
        <v>90343</v>
      </c>
      <c r="G1284" s="3">
        <v>3206</v>
      </c>
      <c r="H1284" s="3">
        <v>425</v>
      </c>
      <c r="I1284" s="4">
        <v>2181.39</v>
      </c>
      <c r="J1284" s="4">
        <v>38125.99</v>
      </c>
      <c r="K1284" s="3">
        <v>285</v>
      </c>
      <c r="L1284" s="2" t="s">
        <v>2518</v>
      </c>
      <c r="M1284" s="2" t="s">
        <v>2546</v>
      </c>
    </row>
    <row r="1285" spans="1:13" x14ac:dyDescent="0.3">
      <c r="A1285" s="1">
        <v>45753</v>
      </c>
      <c r="B1285" s="2" t="s">
        <v>2616</v>
      </c>
      <c r="C1285" s="2" t="s">
        <v>2541</v>
      </c>
      <c r="D1285" s="2" t="s">
        <v>2531</v>
      </c>
      <c r="E1285" s="2" t="s">
        <v>2517</v>
      </c>
      <c r="F1285" s="3">
        <v>34909</v>
      </c>
      <c r="G1285" s="3">
        <v>268</v>
      </c>
      <c r="H1285" s="3">
        <v>9</v>
      </c>
      <c r="I1285" s="4">
        <v>315.08999999999997</v>
      </c>
      <c r="J1285" s="4">
        <v>1952.15</v>
      </c>
      <c r="K1285" s="3">
        <v>5</v>
      </c>
      <c r="L1285" s="2" t="s">
        <v>2518</v>
      </c>
      <c r="M1285" s="2" t="s">
        <v>2546</v>
      </c>
    </row>
    <row r="1286" spans="1:13" x14ac:dyDescent="0.3">
      <c r="A1286" s="1">
        <v>45739</v>
      </c>
      <c r="B1286" s="2" t="s">
        <v>2633</v>
      </c>
      <c r="C1286" s="2" t="s">
        <v>2515</v>
      </c>
      <c r="D1286" s="2" t="s">
        <v>2528</v>
      </c>
      <c r="E1286" s="2" t="s">
        <v>2529</v>
      </c>
      <c r="F1286" s="3">
        <v>103546</v>
      </c>
      <c r="G1286" s="3">
        <v>977</v>
      </c>
      <c r="H1286" s="3">
        <v>99</v>
      </c>
      <c r="I1286" s="4">
        <v>1972.26</v>
      </c>
      <c r="J1286" s="4">
        <v>6546.39</v>
      </c>
      <c r="K1286" s="3">
        <v>86</v>
      </c>
      <c r="L1286" s="2" t="s">
        <v>2523</v>
      </c>
      <c r="M1286" s="2" t="s">
        <v>2519</v>
      </c>
    </row>
    <row r="1287" spans="1:13" x14ac:dyDescent="0.3">
      <c r="A1287" s="1">
        <v>45674</v>
      </c>
      <c r="B1287" s="2" t="s">
        <v>2634</v>
      </c>
      <c r="C1287" s="2" t="s">
        <v>2515</v>
      </c>
      <c r="D1287" s="2" t="s">
        <v>2525</v>
      </c>
      <c r="E1287" s="2" t="s">
        <v>2529</v>
      </c>
      <c r="F1287" s="3">
        <v>68617</v>
      </c>
      <c r="G1287" s="3">
        <v>1122</v>
      </c>
      <c r="H1287" s="3">
        <v>97</v>
      </c>
      <c r="I1287" s="4">
        <v>889.33</v>
      </c>
      <c r="J1287" s="4">
        <v>4954.7700000000004</v>
      </c>
      <c r="K1287" s="3">
        <v>54</v>
      </c>
      <c r="L1287" s="2" t="s">
        <v>2539</v>
      </c>
      <c r="M1287" s="2" t="s">
        <v>2519</v>
      </c>
    </row>
    <row r="1288" spans="1:13" x14ac:dyDescent="0.3">
      <c r="A1288" s="1">
        <v>45762</v>
      </c>
      <c r="B1288" s="2" t="s">
        <v>2621</v>
      </c>
      <c r="C1288" s="2" t="s">
        <v>2515</v>
      </c>
      <c r="D1288" s="2" t="s">
        <v>2528</v>
      </c>
      <c r="E1288" s="2" t="s">
        <v>2529</v>
      </c>
      <c r="F1288" s="3">
        <v>147868</v>
      </c>
      <c r="G1288" s="3">
        <v>9431</v>
      </c>
      <c r="H1288" s="3">
        <v>1298</v>
      </c>
      <c r="I1288" s="4">
        <v>17000.349999999999</v>
      </c>
      <c r="J1288" s="4">
        <v>45052.76</v>
      </c>
      <c r="K1288" s="3">
        <v>792</v>
      </c>
      <c r="L1288" s="2" t="s">
        <v>2539</v>
      </c>
      <c r="M1288" s="2" t="s">
        <v>2537</v>
      </c>
    </row>
    <row r="1289" spans="1:13" x14ac:dyDescent="0.3">
      <c r="A1289" s="1">
        <v>45666</v>
      </c>
      <c r="B1289" s="2" t="s">
        <v>2628</v>
      </c>
      <c r="C1289" s="2" t="s">
        <v>2533</v>
      </c>
      <c r="D1289" s="2" t="s">
        <v>2522</v>
      </c>
      <c r="E1289" s="2" t="s">
        <v>2517</v>
      </c>
      <c r="F1289" s="3">
        <v>103983</v>
      </c>
      <c r="G1289" s="3">
        <v>8707</v>
      </c>
      <c r="H1289" s="3">
        <v>713</v>
      </c>
      <c r="I1289" s="4">
        <v>8536.56</v>
      </c>
      <c r="J1289" s="4">
        <v>150770.19</v>
      </c>
      <c r="K1289" s="3">
        <v>532</v>
      </c>
      <c r="L1289" s="2" t="s">
        <v>2523</v>
      </c>
      <c r="M1289" s="2" t="s">
        <v>2519</v>
      </c>
    </row>
    <row r="1290" spans="1:13" x14ac:dyDescent="0.3">
      <c r="A1290" s="1">
        <v>45971</v>
      </c>
      <c r="B1290" s="2" t="s">
        <v>2622</v>
      </c>
      <c r="C1290" s="2" t="s">
        <v>2533</v>
      </c>
      <c r="D1290" s="2" t="s">
        <v>2528</v>
      </c>
      <c r="E1290" s="2" t="s">
        <v>2529</v>
      </c>
      <c r="F1290" s="3">
        <v>138489</v>
      </c>
      <c r="G1290" s="3">
        <v>9738</v>
      </c>
      <c r="H1290" s="3">
        <v>720</v>
      </c>
      <c r="I1290" s="4">
        <v>9876.2999999999993</v>
      </c>
      <c r="J1290" s="4">
        <v>121819.86</v>
      </c>
      <c r="K1290" s="3">
        <v>507</v>
      </c>
      <c r="L1290" s="2" t="s">
        <v>2518</v>
      </c>
      <c r="M1290" s="2" t="s">
        <v>2546</v>
      </c>
    </row>
    <row r="1291" spans="1:13" x14ac:dyDescent="0.3">
      <c r="A1291" s="1">
        <v>45757</v>
      </c>
      <c r="B1291" s="2" t="s">
        <v>2634</v>
      </c>
      <c r="C1291" s="2" t="s">
        <v>2543</v>
      </c>
      <c r="D1291" s="2" t="s">
        <v>2528</v>
      </c>
      <c r="E1291" s="2" t="s">
        <v>2517</v>
      </c>
      <c r="F1291" s="3">
        <v>137951</v>
      </c>
      <c r="G1291" s="3">
        <v>6093</v>
      </c>
      <c r="H1291" s="3">
        <v>823</v>
      </c>
      <c r="I1291" s="4">
        <v>11964.11</v>
      </c>
      <c r="J1291" s="4">
        <v>56842.239999999998</v>
      </c>
      <c r="K1291" s="3">
        <v>423</v>
      </c>
      <c r="L1291" s="2" t="s">
        <v>2518</v>
      </c>
      <c r="M1291" s="2" t="s">
        <v>2546</v>
      </c>
    </row>
    <row r="1292" spans="1:13" x14ac:dyDescent="0.3">
      <c r="A1292" s="1">
        <v>45778</v>
      </c>
      <c r="B1292" s="2" t="s">
        <v>2641</v>
      </c>
      <c r="C1292" s="2" t="s">
        <v>2515</v>
      </c>
      <c r="D1292" s="2" t="s">
        <v>2525</v>
      </c>
      <c r="E1292" s="2" t="s">
        <v>2517</v>
      </c>
      <c r="F1292" s="3">
        <v>159462</v>
      </c>
      <c r="G1292" s="3">
        <v>3564</v>
      </c>
      <c r="H1292" s="3">
        <v>29</v>
      </c>
      <c r="I1292" s="4">
        <v>1257.1099999999999</v>
      </c>
      <c r="J1292" s="4">
        <v>945.72</v>
      </c>
      <c r="K1292" s="3">
        <v>22</v>
      </c>
      <c r="L1292" s="2" t="s">
        <v>2539</v>
      </c>
      <c r="M1292" s="2" t="s">
        <v>2537</v>
      </c>
    </row>
    <row r="1293" spans="1:13" x14ac:dyDescent="0.3">
      <c r="A1293" s="1">
        <v>46022</v>
      </c>
      <c r="B1293" s="2" t="s">
        <v>2639</v>
      </c>
      <c r="C1293" s="2" t="s">
        <v>2541</v>
      </c>
      <c r="D1293" s="2" t="s">
        <v>2528</v>
      </c>
      <c r="E1293" s="2" t="s">
        <v>2529</v>
      </c>
      <c r="F1293" s="3">
        <v>158017</v>
      </c>
      <c r="G1293" s="3">
        <v>9352</v>
      </c>
      <c r="H1293" s="3">
        <v>73</v>
      </c>
      <c r="I1293" s="4">
        <v>17338.740000000002</v>
      </c>
      <c r="J1293" s="4">
        <v>15116.08</v>
      </c>
      <c r="K1293" s="3">
        <v>34</v>
      </c>
      <c r="L1293" s="2" t="s">
        <v>2536</v>
      </c>
      <c r="M1293" s="2" t="s">
        <v>2524</v>
      </c>
    </row>
    <row r="1294" spans="1:13" x14ac:dyDescent="0.3">
      <c r="A1294" s="1">
        <v>45991</v>
      </c>
      <c r="B1294" s="2" t="s">
        <v>2615</v>
      </c>
      <c r="C1294" s="2" t="s">
        <v>2543</v>
      </c>
      <c r="D1294" s="2" t="s">
        <v>2528</v>
      </c>
      <c r="E1294" s="2" t="s">
        <v>2534</v>
      </c>
      <c r="F1294" s="3">
        <v>31969</v>
      </c>
      <c r="G1294" s="3">
        <v>606</v>
      </c>
      <c r="H1294" s="3">
        <v>35</v>
      </c>
      <c r="I1294" s="4">
        <v>745.62</v>
      </c>
      <c r="J1294" s="4">
        <v>3954.22</v>
      </c>
      <c r="K1294" s="3">
        <v>19</v>
      </c>
      <c r="L1294" s="2" t="s">
        <v>2523</v>
      </c>
      <c r="M1294" s="2" t="s">
        <v>2519</v>
      </c>
    </row>
    <row r="1295" spans="1:13" x14ac:dyDescent="0.3">
      <c r="A1295" s="1">
        <v>45983</v>
      </c>
      <c r="B1295" s="2" t="s">
        <v>2637</v>
      </c>
      <c r="C1295" s="2" t="s">
        <v>2521</v>
      </c>
      <c r="D1295" s="2" t="s">
        <v>2516</v>
      </c>
      <c r="E1295" s="2" t="s">
        <v>2534</v>
      </c>
      <c r="F1295" s="3">
        <v>108811</v>
      </c>
      <c r="G1295" s="3">
        <v>3297</v>
      </c>
      <c r="H1295" s="3">
        <v>133</v>
      </c>
      <c r="I1295" s="4">
        <v>5385.86</v>
      </c>
      <c r="J1295" s="4">
        <v>3993.13</v>
      </c>
      <c r="K1295" s="3">
        <v>109</v>
      </c>
      <c r="L1295" s="2" t="s">
        <v>2536</v>
      </c>
      <c r="M1295" s="2" t="s">
        <v>2519</v>
      </c>
    </row>
    <row r="1296" spans="1:13" x14ac:dyDescent="0.3">
      <c r="A1296" s="1">
        <v>45863</v>
      </c>
      <c r="B1296" s="2" t="s">
        <v>2629</v>
      </c>
      <c r="C1296" s="2" t="s">
        <v>2541</v>
      </c>
      <c r="D1296" s="2" t="s">
        <v>2525</v>
      </c>
      <c r="E1296" s="2" t="s">
        <v>2517</v>
      </c>
      <c r="F1296" s="3">
        <v>174982</v>
      </c>
      <c r="G1296" s="3">
        <v>5102</v>
      </c>
      <c r="H1296" s="3">
        <v>27</v>
      </c>
      <c r="I1296" s="4">
        <v>7234.6</v>
      </c>
      <c r="J1296" s="4">
        <v>2276.87</v>
      </c>
      <c r="K1296" s="3">
        <v>14</v>
      </c>
      <c r="L1296" s="2" t="s">
        <v>2523</v>
      </c>
      <c r="M1296" s="2" t="s">
        <v>2546</v>
      </c>
    </row>
    <row r="1297" spans="1:13" x14ac:dyDescent="0.3">
      <c r="A1297" s="1">
        <v>45936</v>
      </c>
      <c r="B1297" s="2" t="s">
        <v>2631</v>
      </c>
      <c r="C1297" s="2" t="s">
        <v>2533</v>
      </c>
      <c r="D1297" s="2" t="s">
        <v>2525</v>
      </c>
      <c r="E1297" s="2" t="s">
        <v>2517</v>
      </c>
      <c r="F1297" s="3">
        <v>85980</v>
      </c>
      <c r="G1297" s="3">
        <v>6196</v>
      </c>
      <c r="H1297" s="3">
        <v>529</v>
      </c>
      <c r="I1297" s="4">
        <v>6870.76</v>
      </c>
      <c r="J1297" s="4">
        <v>21937.59</v>
      </c>
      <c r="K1297" s="3">
        <v>394</v>
      </c>
      <c r="L1297" s="2" t="s">
        <v>2523</v>
      </c>
      <c r="M1297" s="2" t="s">
        <v>2526</v>
      </c>
    </row>
    <row r="1298" spans="1:13" x14ac:dyDescent="0.3">
      <c r="A1298" s="1">
        <v>45666</v>
      </c>
      <c r="B1298" s="2" t="s">
        <v>2623</v>
      </c>
      <c r="C1298" s="2" t="s">
        <v>2543</v>
      </c>
      <c r="D1298" s="2" t="s">
        <v>2528</v>
      </c>
      <c r="E1298" s="2" t="s">
        <v>2529</v>
      </c>
      <c r="F1298" s="3">
        <v>131260</v>
      </c>
      <c r="G1298" s="3">
        <v>7604</v>
      </c>
      <c r="H1298" s="3">
        <v>247</v>
      </c>
      <c r="I1298" s="4">
        <v>15793.87</v>
      </c>
      <c r="J1298" s="4">
        <v>39228.879999999997</v>
      </c>
      <c r="K1298" s="3">
        <v>141</v>
      </c>
      <c r="L1298" s="2" t="s">
        <v>2523</v>
      </c>
      <c r="M1298" s="2" t="s">
        <v>2546</v>
      </c>
    </row>
    <row r="1299" spans="1:13" x14ac:dyDescent="0.3">
      <c r="A1299" s="1">
        <v>45665</v>
      </c>
      <c r="B1299" s="2" t="s">
        <v>2626</v>
      </c>
      <c r="C1299" s="2" t="s">
        <v>2541</v>
      </c>
      <c r="D1299" s="2" t="s">
        <v>2516</v>
      </c>
      <c r="E1299" s="2" t="s">
        <v>2529</v>
      </c>
      <c r="F1299" s="3">
        <v>146805</v>
      </c>
      <c r="G1299" s="3">
        <v>3775</v>
      </c>
      <c r="H1299" s="3">
        <v>356</v>
      </c>
      <c r="I1299" s="4">
        <v>1379.74</v>
      </c>
      <c r="J1299" s="4">
        <v>57735.37</v>
      </c>
      <c r="K1299" s="3">
        <v>184</v>
      </c>
      <c r="L1299" s="2" t="s">
        <v>2539</v>
      </c>
      <c r="M1299" s="2" t="s">
        <v>2519</v>
      </c>
    </row>
    <row r="1300" spans="1:13" x14ac:dyDescent="0.3">
      <c r="A1300" s="1">
        <v>45998</v>
      </c>
      <c r="B1300" s="2" t="s">
        <v>2625</v>
      </c>
      <c r="C1300" s="2" t="s">
        <v>2543</v>
      </c>
      <c r="D1300" s="2" t="s">
        <v>2531</v>
      </c>
      <c r="E1300" s="2" t="s">
        <v>2529</v>
      </c>
      <c r="F1300" s="3">
        <v>26291</v>
      </c>
      <c r="G1300" s="3">
        <v>1134</v>
      </c>
      <c r="H1300" s="3">
        <v>110</v>
      </c>
      <c r="I1300" s="4">
        <v>351.97</v>
      </c>
      <c r="J1300" s="4">
        <v>20155.89</v>
      </c>
      <c r="K1300" s="3">
        <v>56</v>
      </c>
      <c r="L1300" s="2" t="s">
        <v>2539</v>
      </c>
      <c r="M1300" s="2" t="s">
        <v>2524</v>
      </c>
    </row>
    <row r="1301" spans="1:13" x14ac:dyDescent="0.3">
      <c r="A1301" s="1">
        <v>45953</v>
      </c>
      <c r="B1301" s="2" t="s">
        <v>2632</v>
      </c>
      <c r="C1301" s="2" t="s">
        <v>2541</v>
      </c>
      <c r="D1301" s="2" t="s">
        <v>2528</v>
      </c>
      <c r="E1301" s="2" t="s">
        <v>2517</v>
      </c>
      <c r="F1301" s="3">
        <v>35678</v>
      </c>
      <c r="G1301" s="3">
        <v>1657</v>
      </c>
      <c r="H1301" s="3">
        <v>220</v>
      </c>
      <c r="I1301" s="4">
        <v>2495.14</v>
      </c>
      <c r="J1301" s="4">
        <v>24232.99</v>
      </c>
      <c r="K1301" s="3">
        <v>126</v>
      </c>
      <c r="L1301" s="2" t="s">
        <v>2536</v>
      </c>
      <c r="M1301" s="2" t="s">
        <v>2546</v>
      </c>
    </row>
    <row r="1302" spans="1:13" x14ac:dyDescent="0.3">
      <c r="A1302" s="1">
        <v>45964</v>
      </c>
      <c r="B1302" s="2" t="s">
        <v>2628</v>
      </c>
      <c r="C1302" s="2" t="s">
        <v>2533</v>
      </c>
      <c r="D1302" s="2" t="s">
        <v>2528</v>
      </c>
      <c r="E1302" s="2" t="s">
        <v>2529</v>
      </c>
      <c r="F1302" s="3">
        <v>135977</v>
      </c>
      <c r="G1302" s="3">
        <v>6918</v>
      </c>
      <c r="H1302" s="3">
        <v>483</v>
      </c>
      <c r="I1302" s="4">
        <v>8393.9699999999993</v>
      </c>
      <c r="J1302" s="4">
        <v>33461.629999999997</v>
      </c>
      <c r="K1302" s="3">
        <v>360</v>
      </c>
      <c r="L1302" s="2" t="s">
        <v>2518</v>
      </c>
      <c r="M1302" s="2" t="s">
        <v>2524</v>
      </c>
    </row>
    <row r="1303" spans="1:13" x14ac:dyDescent="0.3">
      <c r="A1303" s="1">
        <v>45690</v>
      </c>
      <c r="B1303" s="2" t="s">
        <v>2616</v>
      </c>
      <c r="C1303" s="2" t="s">
        <v>2541</v>
      </c>
      <c r="D1303" s="2" t="s">
        <v>2528</v>
      </c>
      <c r="E1303" s="2" t="s">
        <v>2517</v>
      </c>
      <c r="F1303" s="3">
        <v>26955</v>
      </c>
      <c r="G1303" s="3">
        <v>945</v>
      </c>
      <c r="H1303" s="3">
        <v>122</v>
      </c>
      <c r="I1303" s="4">
        <v>1383.05</v>
      </c>
      <c r="J1303" s="4">
        <v>18597.46</v>
      </c>
      <c r="K1303" s="3">
        <v>105</v>
      </c>
      <c r="L1303" s="2" t="s">
        <v>2523</v>
      </c>
      <c r="M1303" s="2" t="s">
        <v>2524</v>
      </c>
    </row>
    <row r="1304" spans="1:13" x14ac:dyDescent="0.3">
      <c r="A1304" s="1">
        <v>45812</v>
      </c>
      <c r="B1304" s="2" t="s">
        <v>2637</v>
      </c>
      <c r="C1304" s="2" t="s">
        <v>2543</v>
      </c>
      <c r="D1304" s="2" t="s">
        <v>2528</v>
      </c>
      <c r="E1304" s="2" t="s">
        <v>2517</v>
      </c>
      <c r="F1304" s="3">
        <v>165607</v>
      </c>
      <c r="G1304" s="3">
        <v>2819</v>
      </c>
      <c r="H1304" s="3">
        <v>113</v>
      </c>
      <c r="I1304" s="4">
        <v>2051.6999999999998</v>
      </c>
      <c r="J1304" s="4">
        <v>6591.24</v>
      </c>
      <c r="K1304" s="3">
        <v>87</v>
      </c>
      <c r="L1304" s="2" t="s">
        <v>2536</v>
      </c>
      <c r="M1304" s="2" t="s">
        <v>2524</v>
      </c>
    </row>
    <row r="1305" spans="1:13" x14ac:dyDescent="0.3">
      <c r="A1305" s="1">
        <v>45794</v>
      </c>
      <c r="B1305" s="2" t="s">
        <v>2624</v>
      </c>
      <c r="C1305" s="2" t="s">
        <v>2515</v>
      </c>
      <c r="D1305" s="2" t="s">
        <v>2528</v>
      </c>
      <c r="E1305" s="2" t="s">
        <v>2534</v>
      </c>
      <c r="F1305" s="3">
        <v>37170</v>
      </c>
      <c r="G1305" s="3">
        <v>1498</v>
      </c>
      <c r="H1305" s="3">
        <v>105</v>
      </c>
      <c r="I1305" s="4">
        <v>1865.23</v>
      </c>
      <c r="J1305" s="4">
        <v>17967.7</v>
      </c>
      <c r="K1305" s="3">
        <v>58</v>
      </c>
      <c r="L1305" s="2" t="s">
        <v>2518</v>
      </c>
      <c r="M1305" s="2" t="s">
        <v>2537</v>
      </c>
    </row>
    <row r="1306" spans="1:13" x14ac:dyDescent="0.3">
      <c r="A1306" s="1">
        <v>45954</v>
      </c>
      <c r="B1306" s="2" t="s">
        <v>2626</v>
      </c>
      <c r="C1306" s="2" t="s">
        <v>2533</v>
      </c>
      <c r="D1306" s="2" t="s">
        <v>2528</v>
      </c>
      <c r="E1306" s="2" t="s">
        <v>2517</v>
      </c>
      <c r="F1306" s="3">
        <v>69035</v>
      </c>
      <c r="G1306" s="3">
        <v>5031</v>
      </c>
      <c r="H1306" s="3">
        <v>181</v>
      </c>
      <c r="I1306" s="4">
        <v>6326.89</v>
      </c>
      <c r="J1306" s="4">
        <v>32771.72</v>
      </c>
      <c r="K1306" s="3">
        <v>161</v>
      </c>
      <c r="L1306" s="2" t="s">
        <v>2523</v>
      </c>
      <c r="M1306" s="2" t="s">
        <v>2519</v>
      </c>
    </row>
    <row r="1307" spans="1:13" x14ac:dyDescent="0.3">
      <c r="A1307" s="1">
        <v>45872</v>
      </c>
      <c r="B1307" s="2" t="s">
        <v>2616</v>
      </c>
      <c r="C1307" s="2" t="s">
        <v>2527</v>
      </c>
      <c r="D1307" s="2" t="s">
        <v>2528</v>
      </c>
      <c r="E1307" s="2" t="s">
        <v>2529</v>
      </c>
      <c r="F1307" s="3">
        <v>168325</v>
      </c>
      <c r="G1307" s="3">
        <v>11484</v>
      </c>
      <c r="H1307" s="3">
        <v>603</v>
      </c>
      <c r="I1307" s="4">
        <v>12467.22</v>
      </c>
      <c r="J1307" s="4">
        <v>13973.87</v>
      </c>
      <c r="K1307" s="3">
        <v>434</v>
      </c>
      <c r="L1307" s="2" t="s">
        <v>2523</v>
      </c>
      <c r="M1307" s="2" t="s">
        <v>2519</v>
      </c>
    </row>
    <row r="1308" spans="1:13" x14ac:dyDescent="0.3">
      <c r="A1308" s="1">
        <v>45989</v>
      </c>
      <c r="B1308" s="2" t="s">
        <v>2644</v>
      </c>
      <c r="C1308" s="2" t="s">
        <v>2543</v>
      </c>
      <c r="D1308" s="2" t="s">
        <v>2528</v>
      </c>
      <c r="E1308" s="2" t="s">
        <v>2529</v>
      </c>
      <c r="F1308" s="3">
        <v>10883</v>
      </c>
      <c r="G1308" s="3">
        <v>222</v>
      </c>
      <c r="H1308" s="3">
        <v>20</v>
      </c>
      <c r="I1308" s="4">
        <v>261.37</v>
      </c>
      <c r="J1308" s="4">
        <v>2042.82</v>
      </c>
      <c r="K1308" s="3">
        <v>14</v>
      </c>
      <c r="L1308" s="2" t="s">
        <v>2523</v>
      </c>
      <c r="M1308" s="2" t="s">
        <v>2537</v>
      </c>
    </row>
    <row r="1309" spans="1:13" x14ac:dyDescent="0.3">
      <c r="A1309" s="1">
        <v>46013</v>
      </c>
      <c r="B1309" s="2" t="s">
        <v>2624</v>
      </c>
      <c r="C1309" s="2" t="s">
        <v>2521</v>
      </c>
      <c r="D1309" s="2" t="s">
        <v>2528</v>
      </c>
      <c r="E1309" s="2" t="s">
        <v>2517</v>
      </c>
      <c r="F1309" s="3">
        <v>87923</v>
      </c>
      <c r="G1309" s="3">
        <v>7811</v>
      </c>
      <c r="H1309" s="3">
        <v>465</v>
      </c>
      <c r="I1309" s="4">
        <v>4694.37</v>
      </c>
      <c r="J1309" s="4">
        <v>32975.769999999997</v>
      </c>
      <c r="K1309" s="3">
        <v>291</v>
      </c>
      <c r="L1309" s="2" t="s">
        <v>2523</v>
      </c>
      <c r="M1309" s="2" t="s">
        <v>2524</v>
      </c>
    </row>
    <row r="1310" spans="1:13" x14ac:dyDescent="0.3">
      <c r="A1310" s="1">
        <v>45675</v>
      </c>
      <c r="B1310" s="2" t="s">
        <v>2620</v>
      </c>
      <c r="C1310" s="2" t="s">
        <v>2543</v>
      </c>
      <c r="D1310" s="2" t="s">
        <v>2525</v>
      </c>
      <c r="E1310" s="2" t="s">
        <v>2517</v>
      </c>
      <c r="F1310" s="3">
        <v>1730</v>
      </c>
      <c r="G1310" s="3">
        <v>133</v>
      </c>
      <c r="H1310" s="3">
        <v>7</v>
      </c>
      <c r="I1310" s="4">
        <v>198.12</v>
      </c>
      <c r="J1310" s="4">
        <v>118.68</v>
      </c>
      <c r="K1310" s="3">
        <v>5</v>
      </c>
      <c r="L1310" s="2" t="s">
        <v>2523</v>
      </c>
      <c r="M1310" s="2" t="s">
        <v>2546</v>
      </c>
    </row>
    <row r="1311" spans="1:13" x14ac:dyDescent="0.3">
      <c r="A1311" s="1">
        <v>45765</v>
      </c>
      <c r="B1311" s="2" t="s">
        <v>2628</v>
      </c>
      <c r="C1311" s="2" t="s">
        <v>2543</v>
      </c>
      <c r="D1311" s="2" t="s">
        <v>2516</v>
      </c>
      <c r="E1311" s="2" t="s">
        <v>2529</v>
      </c>
      <c r="F1311" s="3">
        <v>105584</v>
      </c>
      <c r="G1311" s="3">
        <v>2035</v>
      </c>
      <c r="H1311" s="3">
        <v>37</v>
      </c>
      <c r="I1311" s="4">
        <v>3720.36</v>
      </c>
      <c r="J1311" s="4">
        <v>5032.7299999999996</v>
      </c>
      <c r="K1311" s="3">
        <v>19</v>
      </c>
      <c r="L1311" s="2" t="s">
        <v>2523</v>
      </c>
      <c r="M1311" s="2" t="s">
        <v>2537</v>
      </c>
    </row>
    <row r="1312" spans="1:13" x14ac:dyDescent="0.3">
      <c r="A1312" s="1">
        <v>45933</v>
      </c>
      <c r="B1312" s="2" t="s">
        <v>2637</v>
      </c>
      <c r="C1312" s="2" t="s">
        <v>2521</v>
      </c>
      <c r="D1312" s="2" t="s">
        <v>2525</v>
      </c>
      <c r="E1312" s="2" t="s">
        <v>2517</v>
      </c>
      <c r="F1312" s="3">
        <v>60690</v>
      </c>
      <c r="G1312" s="3">
        <v>2237</v>
      </c>
      <c r="H1312" s="3">
        <v>256</v>
      </c>
      <c r="I1312" s="4">
        <v>2978.87</v>
      </c>
      <c r="J1312" s="4">
        <v>9714.4</v>
      </c>
      <c r="K1312" s="3">
        <v>129</v>
      </c>
      <c r="L1312" s="2" t="s">
        <v>2523</v>
      </c>
      <c r="M1312" s="2" t="s">
        <v>2519</v>
      </c>
    </row>
    <row r="1313" spans="1:13" x14ac:dyDescent="0.3">
      <c r="A1313" s="1">
        <v>45754</v>
      </c>
      <c r="B1313" s="2" t="s">
        <v>2632</v>
      </c>
      <c r="C1313" s="2" t="s">
        <v>2541</v>
      </c>
      <c r="D1313" s="2" t="s">
        <v>2528</v>
      </c>
      <c r="E1313" s="2" t="s">
        <v>2529</v>
      </c>
      <c r="F1313" s="3">
        <v>175136</v>
      </c>
      <c r="G1313" s="3">
        <v>4361</v>
      </c>
      <c r="H1313" s="3">
        <v>402</v>
      </c>
      <c r="I1313" s="4">
        <v>7310.75</v>
      </c>
      <c r="J1313" s="4">
        <v>18613.18</v>
      </c>
      <c r="K1313" s="3">
        <v>199</v>
      </c>
      <c r="L1313" s="2" t="s">
        <v>2518</v>
      </c>
      <c r="M1313" s="2" t="s">
        <v>2537</v>
      </c>
    </row>
    <row r="1314" spans="1:13" x14ac:dyDescent="0.3">
      <c r="A1314" s="1">
        <v>45709</v>
      </c>
      <c r="B1314" s="2" t="s">
        <v>2617</v>
      </c>
      <c r="C1314" s="2" t="s">
        <v>2533</v>
      </c>
      <c r="D1314" s="2" t="s">
        <v>2516</v>
      </c>
      <c r="E1314" s="2" t="s">
        <v>2534</v>
      </c>
      <c r="F1314" s="3">
        <v>72634</v>
      </c>
      <c r="G1314" s="3">
        <v>2875</v>
      </c>
      <c r="H1314" s="3">
        <v>400</v>
      </c>
      <c r="I1314" s="4">
        <v>3867.32</v>
      </c>
      <c r="J1314" s="4">
        <v>61763.35</v>
      </c>
      <c r="K1314" s="3">
        <v>359</v>
      </c>
      <c r="L1314" s="2" t="s">
        <v>2523</v>
      </c>
      <c r="M1314" s="2" t="s">
        <v>2526</v>
      </c>
    </row>
    <row r="1315" spans="1:13" x14ac:dyDescent="0.3">
      <c r="A1315" s="1">
        <v>45817</v>
      </c>
      <c r="B1315" s="2" t="s">
        <v>2633</v>
      </c>
      <c r="C1315" s="2" t="s">
        <v>2541</v>
      </c>
      <c r="D1315" s="2" t="s">
        <v>2528</v>
      </c>
      <c r="E1315" s="2" t="s">
        <v>2517</v>
      </c>
      <c r="F1315" s="3">
        <v>173765</v>
      </c>
      <c r="G1315" s="3">
        <v>3097</v>
      </c>
      <c r="H1315" s="3">
        <v>75</v>
      </c>
      <c r="I1315" s="4">
        <v>1191.79</v>
      </c>
      <c r="J1315" s="4">
        <v>9241.5400000000009</v>
      </c>
      <c r="K1315" s="3">
        <v>37</v>
      </c>
      <c r="L1315" s="2" t="s">
        <v>2523</v>
      </c>
      <c r="M1315" s="2" t="s">
        <v>2546</v>
      </c>
    </row>
    <row r="1316" spans="1:13" x14ac:dyDescent="0.3">
      <c r="A1316" s="1">
        <v>45995</v>
      </c>
      <c r="B1316" s="2" t="s">
        <v>2640</v>
      </c>
      <c r="C1316" s="2" t="s">
        <v>2515</v>
      </c>
      <c r="D1316" s="2" t="s">
        <v>2528</v>
      </c>
      <c r="E1316" s="2" t="s">
        <v>2517</v>
      </c>
      <c r="F1316" s="3">
        <v>88725</v>
      </c>
      <c r="G1316" s="3">
        <v>3231</v>
      </c>
      <c r="H1316" s="3">
        <v>389</v>
      </c>
      <c r="I1316" s="4">
        <v>4450.29</v>
      </c>
      <c r="J1316" s="4">
        <v>11851.28</v>
      </c>
      <c r="K1316" s="3">
        <v>325</v>
      </c>
      <c r="L1316" s="2" t="s">
        <v>2518</v>
      </c>
      <c r="M1316" s="2" t="s">
        <v>2546</v>
      </c>
    </row>
    <row r="1317" spans="1:13" x14ac:dyDescent="0.3">
      <c r="A1317" s="1">
        <v>45803</v>
      </c>
      <c r="B1317" s="2" t="s">
        <v>2643</v>
      </c>
      <c r="C1317" s="2" t="s">
        <v>2541</v>
      </c>
      <c r="D1317" s="2" t="s">
        <v>2528</v>
      </c>
      <c r="E1317" s="2" t="s">
        <v>2534</v>
      </c>
      <c r="F1317" s="3">
        <v>79966</v>
      </c>
      <c r="G1317" s="3">
        <v>4883</v>
      </c>
      <c r="H1317" s="3">
        <v>306</v>
      </c>
      <c r="I1317" s="4">
        <v>3623.82</v>
      </c>
      <c r="J1317" s="4">
        <v>18074.73</v>
      </c>
      <c r="K1317" s="3">
        <v>170</v>
      </c>
      <c r="L1317" s="2" t="s">
        <v>2539</v>
      </c>
      <c r="M1317" s="2" t="s">
        <v>2526</v>
      </c>
    </row>
    <row r="1318" spans="1:13" x14ac:dyDescent="0.3">
      <c r="A1318" s="1">
        <v>45780</v>
      </c>
      <c r="B1318" s="2" t="s">
        <v>2618</v>
      </c>
      <c r="C1318" s="2" t="s">
        <v>2541</v>
      </c>
      <c r="D1318" s="2" t="s">
        <v>2528</v>
      </c>
      <c r="E1318" s="2" t="s">
        <v>2517</v>
      </c>
      <c r="F1318" s="3">
        <v>174554</v>
      </c>
      <c r="G1318" s="3">
        <v>4349</v>
      </c>
      <c r="H1318" s="3">
        <v>4398</v>
      </c>
      <c r="I1318" s="4">
        <v>4329.24</v>
      </c>
      <c r="J1318" s="4">
        <v>22886.9</v>
      </c>
      <c r="K1318" s="3">
        <v>525</v>
      </c>
      <c r="L1318" s="2" t="s">
        <v>2523</v>
      </c>
      <c r="M1318" s="2" t="s">
        <v>2519</v>
      </c>
    </row>
    <row r="1319" spans="1:13" x14ac:dyDescent="0.3">
      <c r="A1319" s="1">
        <v>45660</v>
      </c>
      <c r="B1319" s="2" t="s">
        <v>2631</v>
      </c>
      <c r="C1319" s="2" t="s">
        <v>2533</v>
      </c>
      <c r="D1319" s="2" t="s">
        <v>2522</v>
      </c>
      <c r="E1319" s="2" t="s">
        <v>2534</v>
      </c>
      <c r="F1319" s="3">
        <v>161812</v>
      </c>
      <c r="G1319" s="3">
        <v>6760</v>
      </c>
      <c r="H1319" s="3">
        <v>625</v>
      </c>
      <c r="I1319" s="4">
        <v>4639.9799999999996</v>
      </c>
      <c r="J1319" s="4">
        <v>134146.43</v>
      </c>
      <c r="K1319" s="3">
        <v>459</v>
      </c>
      <c r="L1319" s="2" t="s">
        <v>2536</v>
      </c>
      <c r="M1319" s="2" t="s">
        <v>2519</v>
      </c>
    </row>
    <row r="1320" spans="1:13" x14ac:dyDescent="0.3">
      <c r="A1320" s="1">
        <v>45972</v>
      </c>
      <c r="B1320" s="2" t="s">
        <v>2635</v>
      </c>
      <c r="C1320" s="2" t="s">
        <v>2541</v>
      </c>
      <c r="D1320" s="2" t="s">
        <v>2516</v>
      </c>
      <c r="E1320" s="2" t="s">
        <v>2529</v>
      </c>
      <c r="F1320" s="3">
        <v>8295</v>
      </c>
      <c r="G1320" s="3">
        <v>50</v>
      </c>
      <c r="H1320" s="3">
        <v>3</v>
      </c>
      <c r="I1320" s="4">
        <v>60.92</v>
      </c>
      <c r="J1320" s="4">
        <v>653.85</v>
      </c>
      <c r="K1320" s="3">
        <v>2</v>
      </c>
      <c r="L1320" s="2" t="s">
        <v>2536</v>
      </c>
      <c r="M1320" s="2" t="s">
        <v>2519</v>
      </c>
    </row>
    <row r="1321" spans="1:13" x14ac:dyDescent="0.3">
      <c r="A1321" s="1">
        <v>45942</v>
      </c>
      <c r="B1321" s="2" t="s">
        <v>2644</v>
      </c>
      <c r="C1321" s="2" t="s">
        <v>2527</v>
      </c>
      <c r="D1321" s="2" t="s">
        <v>2528</v>
      </c>
      <c r="E1321" s="2" t="s">
        <v>2517</v>
      </c>
      <c r="F1321" s="3">
        <v>101954</v>
      </c>
      <c r="G1321" s="3">
        <v>4634</v>
      </c>
      <c r="H1321" s="3">
        <v>201</v>
      </c>
      <c r="I1321" s="4">
        <v>7108.91</v>
      </c>
      <c r="J1321" s="4">
        <v>34025.82</v>
      </c>
      <c r="K1321" s="3">
        <v>99</v>
      </c>
      <c r="L1321" s="2" t="s">
        <v>2539</v>
      </c>
      <c r="M1321" s="2" t="s">
        <v>2524</v>
      </c>
    </row>
    <row r="1322" spans="1:13" x14ac:dyDescent="0.3">
      <c r="A1322" s="1">
        <v>45817</v>
      </c>
      <c r="B1322" s="2" t="s">
        <v>2621</v>
      </c>
      <c r="C1322" s="2" t="s">
        <v>2515</v>
      </c>
      <c r="D1322" s="2" t="s">
        <v>2531</v>
      </c>
      <c r="E1322" s="2" t="s">
        <v>2529</v>
      </c>
      <c r="F1322" s="3">
        <v>103784</v>
      </c>
      <c r="G1322" s="3">
        <v>810</v>
      </c>
      <c r="H1322" s="3">
        <v>110</v>
      </c>
      <c r="I1322" s="4">
        <v>1618.36</v>
      </c>
      <c r="J1322" s="4">
        <v>7423.06</v>
      </c>
      <c r="K1322" s="3">
        <v>77</v>
      </c>
      <c r="L1322" s="2" t="s">
        <v>2523</v>
      </c>
      <c r="M1322" s="2" t="s">
        <v>2546</v>
      </c>
    </row>
    <row r="1323" spans="1:13" x14ac:dyDescent="0.3">
      <c r="A1323" s="1">
        <v>45780</v>
      </c>
      <c r="B1323" s="2" t="s">
        <v>2632</v>
      </c>
      <c r="C1323" s="2" t="s">
        <v>2533</v>
      </c>
      <c r="D1323" s="2" t="s">
        <v>2531</v>
      </c>
      <c r="E1323" s="2" t="s">
        <v>2529</v>
      </c>
      <c r="F1323" s="3">
        <v>17455</v>
      </c>
      <c r="G1323" s="3">
        <v>760</v>
      </c>
      <c r="H1323" s="3">
        <v>19</v>
      </c>
      <c r="I1323" s="4">
        <v>978.22</v>
      </c>
      <c r="J1323" s="4">
        <v>2444.3000000000002</v>
      </c>
      <c r="K1323" s="3">
        <v>15</v>
      </c>
      <c r="L1323" s="2" t="s">
        <v>2523</v>
      </c>
      <c r="M1323" s="2" t="s">
        <v>2537</v>
      </c>
    </row>
    <row r="1324" spans="1:13" x14ac:dyDescent="0.3">
      <c r="A1324" s="1">
        <v>45826</v>
      </c>
      <c r="B1324" s="2" t="s">
        <v>2620</v>
      </c>
      <c r="C1324" s="2" t="s">
        <v>2543</v>
      </c>
      <c r="D1324" s="2" t="s">
        <v>2531</v>
      </c>
      <c r="E1324" s="2" t="s">
        <v>2529</v>
      </c>
      <c r="F1324" s="3">
        <v>160474</v>
      </c>
      <c r="G1324" s="3">
        <v>13911</v>
      </c>
      <c r="H1324" s="3">
        <v>580</v>
      </c>
      <c r="I1324" s="4">
        <v>7292.51</v>
      </c>
      <c r="J1324" s="4">
        <v>122110.79</v>
      </c>
      <c r="K1324" s="3">
        <v>289</v>
      </c>
      <c r="L1324" s="2" t="s">
        <v>2536</v>
      </c>
      <c r="M1324" s="2" t="s">
        <v>2537</v>
      </c>
    </row>
    <row r="1325" spans="1:13" x14ac:dyDescent="0.3">
      <c r="A1325" s="1">
        <v>45767</v>
      </c>
      <c r="B1325" s="2" t="s">
        <v>2619</v>
      </c>
      <c r="C1325" s="2" t="s">
        <v>2521</v>
      </c>
      <c r="D1325" s="2" t="s">
        <v>2528</v>
      </c>
      <c r="E1325" s="2" t="s">
        <v>2529</v>
      </c>
      <c r="F1325" s="3">
        <v>44965</v>
      </c>
      <c r="G1325" s="3">
        <v>3162</v>
      </c>
      <c r="H1325" s="3">
        <v>116</v>
      </c>
      <c r="I1325" s="4">
        <v>3476.19</v>
      </c>
      <c r="J1325" s="4">
        <v>3519.3</v>
      </c>
      <c r="K1325" s="3">
        <v>95</v>
      </c>
      <c r="L1325" s="2" t="s">
        <v>2523</v>
      </c>
      <c r="M1325" s="2" t="s">
        <v>2526</v>
      </c>
    </row>
    <row r="1326" spans="1:13" x14ac:dyDescent="0.3">
      <c r="A1326" s="1">
        <v>45740</v>
      </c>
      <c r="B1326" s="2" t="s">
        <v>2644</v>
      </c>
      <c r="C1326" s="2" t="s">
        <v>2521</v>
      </c>
      <c r="D1326" s="2" t="s">
        <v>2522</v>
      </c>
      <c r="E1326" s="2" t="s">
        <v>2517</v>
      </c>
      <c r="F1326" s="3">
        <v>62735</v>
      </c>
      <c r="G1326" s="3">
        <v>5457</v>
      </c>
      <c r="H1326" s="3">
        <v>580</v>
      </c>
      <c r="I1326" s="4">
        <v>5012.1099999999997</v>
      </c>
      <c r="J1326" s="4">
        <v>41920.5</v>
      </c>
      <c r="K1326" s="3">
        <v>507</v>
      </c>
      <c r="L1326" s="2" t="s">
        <v>2518</v>
      </c>
      <c r="M1326" s="2" t="s">
        <v>2524</v>
      </c>
    </row>
    <row r="1327" spans="1:13" x14ac:dyDescent="0.3">
      <c r="A1327" s="1">
        <v>45722</v>
      </c>
      <c r="B1327" s="2" t="s">
        <v>2618</v>
      </c>
      <c r="C1327" s="2" t="s">
        <v>2521</v>
      </c>
      <c r="D1327" s="2" t="s">
        <v>2528</v>
      </c>
      <c r="E1327" s="2" t="s">
        <v>2517</v>
      </c>
      <c r="F1327" s="3">
        <v>144295</v>
      </c>
      <c r="G1327" s="3">
        <v>10429</v>
      </c>
      <c r="H1327" s="3">
        <v>689</v>
      </c>
      <c r="I1327" s="4">
        <v>19990.29</v>
      </c>
      <c r="J1327" s="4">
        <v>147345.35999999999</v>
      </c>
      <c r="K1327" s="3">
        <v>547</v>
      </c>
      <c r="L1327" s="2" t="s">
        <v>2523</v>
      </c>
      <c r="M1327" s="2" t="s">
        <v>2519</v>
      </c>
    </row>
    <row r="1328" spans="1:13" x14ac:dyDescent="0.3">
      <c r="A1328" s="1">
        <v>45902</v>
      </c>
      <c r="B1328" s="2" t="s">
        <v>2630</v>
      </c>
      <c r="C1328" s="2" t="s">
        <v>2521</v>
      </c>
      <c r="D1328" s="2" t="s">
        <v>2528</v>
      </c>
      <c r="E1328" s="2" t="s">
        <v>2529</v>
      </c>
      <c r="F1328" s="3">
        <v>104663</v>
      </c>
      <c r="G1328" s="3">
        <v>3852</v>
      </c>
      <c r="H1328" s="3">
        <v>482</v>
      </c>
      <c r="I1328" s="4">
        <v>7692.25</v>
      </c>
      <c r="J1328" s="4">
        <v>74343.850000000006</v>
      </c>
      <c r="K1328" s="3">
        <v>302</v>
      </c>
      <c r="L1328" s="2" t="s">
        <v>2539</v>
      </c>
      <c r="M1328" s="2" t="s">
        <v>2524</v>
      </c>
    </row>
    <row r="1329" spans="1:13" x14ac:dyDescent="0.3">
      <c r="A1329" s="1">
        <v>46020</v>
      </c>
      <c r="B1329" s="2" t="s">
        <v>2644</v>
      </c>
      <c r="C1329" s="2" t="s">
        <v>2533</v>
      </c>
      <c r="D1329" s="2" t="s">
        <v>2528</v>
      </c>
      <c r="E1329" s="2" t="s">
        <v>2534</v>
      </c>
      <c r="F1329" s="3">
        <v>123604</v>
      </c>
      <c r="G1329" s="3">
        <v>4616</v>
      </c>
      <c r="H1329" s="3">
        <v>86</v>
      </c>
      <c r="I1329" s="4">
        <v>7976.94</v>
      </c>
      <c r="J1329" s="4">
        <v>15889.32</v>
      </c>
      <c r="K1329" s="3">
        <v>54</v>
      </c>
      <c r="L1329" s="2" t="s">
        <v>2539</v>
      </c>
      <c r="M1329" s="2" t="s">
        <v>2526</v>
      </c>
    </row>
    <row r="1330" spans="1:13" x14ac:dyDescent="0.3">
      <c r="A1330" s="1">
        <v>45681</v>
      </c>
      <c r="B1330" s="2" t="s">
        <v>2642</v>
      </c>
      <c r="C1330" s="2" t="s">
        <v>2543</v>
      </c>
      <c r="D1330" s="2" t="s">
        <v>2525</v>
      </c>
      <c r="E1330" s="2" t="s">
        <v>2529</v>
      </c>
      <c r="F1330" s="3">
        <v>63216</v>
      </c>
      <c r="G1330" s="3">
        <v>5180</v>
      </c>
      <c r="H1330" s="3">
        <v>138</v>
      </c>
      <c r="I1330" s="4">
        <v>1605.14</v>
      </c>
      <c r="J1330" s="4">
        <v>24336.84</v>
      </c>
      <c r="K1330" s="3">
        <v>97</v>
      </c>
      <c r="L1330" s="2" t="s">
        <v>2518</v>
      </c>
      <c r="M1330" s="2" t="s">
        <v>2524</v>
      </c>
    </row>
    <row r="1331" spans="1:13" x14ac:dyDescent="0.3">
      <c r="A1331" s="1">
        <v>45906</v>
      </c>
      <c r="B1331" s="2" t="s">
        <v>2630</v>
      </c>
      <c r="C1331" s="2" t="s">
        <v>2515</v>
      </c>
      <c r="D1331" s="2" t="s">
        <v>2528</v>
      </c>
      <c r="E1331" s="2" t="s">
        <v>2529</v>
      </c>
      <c r="F1331" s="3">
        <v>132567</v>
      </c>
      <c r="G1331" s="3">
        <v>826</v>
      </c>
      <c r="H1331" s="3">
        <v>36</v>
      </c>
      <c r="I1331" s="4">
        <v>362.75</v>
      </c>
      <c r="J1331" s="4">
        <v>6631.67</v>
      </c>
      <c r="K1331" s="3">
        <v>25</v>
      </c>
      <c r="L1331" s="2" t="s">
        <v>2539</v>
      </c>
      <c r="M1331" s="2" t="s">
        <v>2519</v>
      </c>
    </row>
    <row r="1332" spans="1:13" x14ac:dyDescent="0.3">
      <c r="A1332" s="1">
        <v>45862</v>
      </c>
      <c r="B1332" s="2" t="s">
        <v>2616</v>
      </c>
      <c r="C1332" s="2" t="s">
        <v>2533</v>
      </c>
      <c r="D1332" s="2" t="s">
        <v>2531</v>
      </c>
      <c r="E1332" s="2" t="s">
        <v>2529</v>
      </c>
      <c r="F1332" s="3">
        <v>172048</v>
      </c>
      <c r="G1332" s="3">
        <v>12622</v>
      </c>
      <c r="H1332" s="3">
        <v>446</v>
      </c>
      <c r="I1332" s="4">
        <v>7670.17</v>
      </c>
      <c r="J1332" s="4">
        <v>82355.149999999994</v>
      </c>
      <c r="K1332" s="3">
        <v>224</v>
      </c>
      <c r="L1332" s="2" t="s">
        <v>2518</v>
      </c>
      <c r="M1332" s="2" t="s">
        <v>2546</v>
      </c>
    </row>
    <row r="1333" spans="1:13" x14ac:dyDescent="0.3">
      <c r="A1333" s="1">
        <v>45950</v>
      </c>
      <c r="B1333" s="2" t="s">
        <v>2632</v>
      </c>
      <c r="C1333" s="2" t="s">
        <v>2541</v>
      </c>
      <c r="D1333" s="2" t="s">
        <v>2528</v>
      </c>
      <c r="E1333" s="2" t="s">
        <v>2517</v>
      </c>
      <c r="F1333" s="3">
        <v>109858</v>
      </c>
      <c r="G1333" s="3">
        <v>4555</v>
      </c>
      <c r="H1333" s="3">
        <v>103</v>
      </c>
      <c r="I1333" s="4">
        <v>6968.21</v>
      </c>
      <c r="J1333" s="4">
        <v>11668.79</v>
      </c>
      <c r="K1333" s="3">
        <v>61</v>
      </c>
      <c r="L1333" s="2" t="s">
        <v>2539</v>
      </c>
      <c r="M1333" s="2" t="s">
        <v>2546</v>
      </c>
    </row>
    <row r="1334" spans="1:13" x14ac:dyDescent="0.3">
      <c r="A1334" s="1">
        <v>45732</v>
      </c>
      <c r="B1334" s="2" t="s">
        <v>2622</v>
      </c>
      <c r="C1334" s="2" t="s">
        <v>2527</v>
      </c>
      <c r="D1334" s="2" t="s">
        <v>2516</v>
      </c>
      <c r="E1334" s="2" t="s">
        <v>2529</v>
      </c>
      <c r="F1334" s="3">
        <v>141071</v>
      </c>
      <c r="G1334" s="3">
        <v>685</v>
      </c>
      <c r="H1334" s="3">
        <v>47</v>
      </c>
      <c r="I1334" s="4">
        <v>542.76</v>
      </c>
      <c r="J1334" s="4">
        <v>3499.37</v>
      </c>
      <c r="K1334" s="3">
        <v>31</v>
      </c>
      <c r="L1334" s="2" t="s">
        <v>2518</v>
      </c>
      <c r="M1334" s="2" t="s">
        <v>2546</v>
      </c>
    </row>
    <row r="1335" spans="1:13" x14ac:dyDescent="0.3">
      <c r="A1335" s="1">
        <v>46017</v>
      </c>
      <c r="B1335" s="2" t="s">
        <v>2637</v>
      </c>
      <c r="C1335" s="2" t="s">
        <v>2515</v>
      </c>
      <c r="D1335" s="2" t="s">
        <v>2516</v>
      </c>
      <c r="E1335" s="2" t="s">
        <v>2517</v>
      </c>
      <c r="F1335" s="3">
        <v>164565</v>
      </c>
      <c r="G1335" s="3">
        <v>7866</v>
      </c>
      <c r="H1335" s="3">
        <v>358</v>
      </c>
      <c r="I1335" s="4">
        <v>10028.65</v>
      </c>
      <c r="J1335" s="4">
        <v>69429.11</v>
      </c>
      <c r="K1335" s="3">
        <v>214</v>
      </c>
      <c r="L1335" s="2" t="s">
        <v>2536</v>
      </c>
      <c r="M1335" s="2" t="s">
        <v>2524</v>
      </c>
    </row>
    <row r="1336" spans="1:13" x14ac:dyDescent="0.3">
      <c r="A1336" s="1">
        <v>45914</v>
      </c>
      <c r="B1336" s="2" t="s">
        <v>2618</v>
      </c>
      <c r="C1336" s="2" t="s">
        <v>2521</v>
      </c>
      <c r="D1336" s="2" t="s">
        <v>2525</v>
      </c>
      <c r="E1336" s="2" t="s">
        <v>2517</v>
      </c>
      <c r="F1336" s="3">
        <v>87155</v>
      </c>
      <c r="G1336" s="3">
        <v>4244</v>
      </c>
      <c r="H1336" s="3">
        <v>297</v>
      </c>
      <c r="I1336" s="4">
        <v>3582.3</v>
      </c>
      <c r="J1336" s="4">
        <v>33208.43</v>
      </c>
      <c r="K1336" s="3">
        <v>218</v>
      </c>
      <c r="L1336" s="2" t="s">
        <v>2536</v>
      </c>
      <c r="M1336" s="2" t="s">
        <v>2537</v>
      </c>
    </row>
    <row r="1337" spans="1:13" x14ac:dyDescent="0.3">
      <c r="A1337" s="1">
        <v>45845</v>
      </c>
      <c r="B1337" s="2" t="s">
        <v>2615</v>
      </c>
      <c r="C1337" s="2" t="s">
        <v>2543</v>
      </c>
      <c r="D1337" s="2" t="s">
        <v>2525</v>
      </c>
      <c r="E1337" s="2" t="s">
        <v>2529</v>
      </c>
      <c r="F1337" s="3">
        <v>57341</v>
      </c>
      <c r="G1337" s="3">
        <v>3351</v>
      </c>
      <c r="H1337" s="3">
        <v>19</v>
      </c>
      <c r="I1337" s="4">
        <v>4106.53</v>
      </c>
      <c r="J1337" s="4">
        <v>3053.74</v>
      </c>
      <c r="K1337" s="3">
        <v>15</v>
      </c>
      <c r="L1337" s="2" t="s">
        <v>2523</v>
      </c>
      <c r="M1337" s="2" t="s">
        <v>2546</v>
      </c>
    </row>
    <row r="1338" spans="1:13" x14ac:dyDescent="0.3">
      <c r="A1338" s="1">
        <v>45809</v>
      </c>
      <c r="B1338" s="2" t="s">
        <v>2643</v>
      </c>
      <c r="C1338" s="2" t="s">
        <v>2533</v>
      </c>
      <c r="D1338" s="2" t="s">
        <v>2525</v>
      </c>
      <c r="E1338" s="2" t="s">
        <v>2517</v>
      </c>
      <c r="F1338" s="3">
        <v>105464</v>
      </c>
      <c r="G1338" s="3">
        <v>105822</v>
      </c>
      <c r="H1338" s="3">
        <v>378</v>
      </c>
      <c r="I1338" s="4">
        <v>1877.42</v>
      </c>
      <c r="J1338" s="4">
        <v>74821.45</v>
      </c>
      <c r="K1338" s="3">
        <v>299</v>
      </c>
      <c r="L1338" s="2" t="s">
        <v>2539</v>
      </c>
      <c r="M1338" s="2" t="s">
        <v>2537</v>
      </c>
    </row>
    <row r="1339" spans="1:13" x14ac:dyDescent="0.3">
      <c r="A1339" s="1">
        <v>45857</v>
      </c>
      <c r="B1339" s="2" t="s">
        <v>2638</v>
      </c>
      <c r="C1339" s="2" t="s">
        <v>2541</v>
      </c>
      <c r="D1339" s="2" t="s">
        <v>2531</v>
      </c>
      <c r="E1339" s="2" t="s">
        <v>2517</v>
      </c>
      <c r="F1339" s="3">
        <v>57451</v>
      </c>
      <c r="G1339" s="3">
        <v>2814</v>
      </c>
      <c r="H1339" s="3">
        <v>167</v>
      </c>
      <c r="I1339" s="4">
        <v>4567.8</v>
      </c>
      <c r="J1339" s="4">
        <v>9772.56</v>
      </c>
      <c r="K1339" s="3">
        <v>132</v>
      </c>
      <c r="L1339" s="2" t="s">
        <v>2536</v>
      </c>
      <c r="M1339" s="2" t="s">
        <v>2519</v>
      </c>
    </row>
    <row r="1340" spans="1:13" x14ac:dyDescent="0.3">
      <c r="A1340" s="1">
        <v>45870</v>
      </c>
      <c r="B1340" s="2" t="s">
        <v>2623</v>
      </c>
      <c r="C1340" s="2" t="s">
        <v>2515</v>
      </c>
      <c r="D1340" s="2" t="s">
        <v>2516</v>
      </c>
      <c r="E1340" s="2" t="s">
        <v>2529</v>
      </c>
      <c r="F1340" s="3">
        <v>52333</v>
      </c>
      <c r="G1340" s="3">
        <v>4355</v>
      </c>
      <c r="H1340" s="3">
        <v>322</v>
      </c>
      <c r="I1340" s="4">
        <v>1058.74</v>
      </c>
      <c r="J1340" s="4">
        <v>40387.75</v>
      </c>
      <c r="K1340" s="3">
        <v>273</v>
      </c>
      <c r="L1340" s="2" t="s">
        <v>2518</v>
      </c>
      <c r="M1340" s="2" t="s">
        <v>2537</v>
      </c>
    </row>
    <row r="1341" spans="1:13" x14ac:dyDescent="0.3">
      <c r="A1341" s="1">
        <v>45997</v>
      </c>
      <c r="B1341" s="2" t="s">
        <v>2615</v>
      </c>
      <c r="C1341" s="2" t="s">
        <v>2515</v>
      </c>
      <c r="D1341" s="2" t="s">
        <v>2528</v>
      </c>
      <c r="E1341" s="2" t="s">
        <v>2517</v>
      </c>
      <c r="F1341" s="3">
        <v>33376</v>
      </c>
      <c r="G1341" s="3">
        <v>2244</v>
      </c>
      <c r="H1341" s="3">
        <v>239</v>
      </c>
      <c r="I1341" s="4">
        <v>2193.23</v>
      </c>
      <c r="J1341" s="4">
        <v>20193.93</v>
      </c>
      <c r="K1341" s="3">
        <v>194</v>
      </c>
      <c r="L1341" s="2" t="s">
        <v>2539</v>
      </c>
      <c r="M1341" s="2" t="s">
        <v>2546</v>
      </c>
    </row>
    <row r="1342" spans="1:13" x14ac:dyDescent="0.3">
      <c r="A1342" s="1">
        <v>45855</v>
      </c>
      <c r="B1342" s="2" t="s">
        <v>2630</v>
      </c>
      <c r="C1342" s="2" t="s">
        <v>2527</v>
      </c>
      <c r="D1342" s="2" t="s">
        <v>2516</v>
      </c>
      <c r="E1342" s="2" t="s">
        <v>2517</v>
      </c>
      <c r="F1342" s="3">
        <v>150401</v>
      </c>
      <c r="G1342" s="3">
        <v>1049</v>
      </c>
      <c r="H1342" s="3">
        <v>58</v>
      </c>
      <c r="I1342" s="4">
        <v>223.74</v>
      </c>
      <c r="J1342" s="4">
        <v>11625.8</v>
      </c>
      <c r="K1342" s="3">
        <v>33</v>
      </c>
      <c r="L1342" s="2" t="s">
        <v>2518</v>
      </c>
      <c r="M1342" s="2" t="s">
        <v>2546</v>
      </c>
    </row>
    <row r="1343" spans="1:13" x14ac:dyDescent="0.3">
      <c r="A1343" s="1">
        <v>45686</v>
      </c>
      <c r="B1343" s="2" t="s">
        <v>2628</v>
      </c>
      <c r="C1343" s="2" t="s">
        <v>2527</v>
      </c>
      <c r="D1343" s="2" t="s">
        <v>2525</v>
      </c>
      <c r="E1343" s="2" t="s">
        <v>2517</v>
      </c>
      <c r="F1343" s="3">
        <v>167137</v>
      </c>
      <c r="G1343" s="3">
        <v>13537</v>
      </c>
      <c r="H1343" s="3">
        <v>1281</v>
      </c>
      <c r="I1343" s="4">
        <v>15796.99</v>
      </c>
      <c r="J1343" s="4">
        <v>57997.36</v>
      </c>
      <c r="K1343" s="3">
        <v>896</v>
      </c>
      <c r="L1343" s="2" t="s">
        <v>2536</v>
      </c>
      <c r="M1343" s="2" t="s">
        <v>2519</v>
      </c>
    </row>
    <row r="1344" spans="1:13" x14ac:dyDescent="0.3">
      <c r="A1344" s="1">
        <v>45908</v>
      </c>
      <c r="B1344" s="2" t="s">
        <v>2636</v>
      </c>
      <c r="C1344" s="2" t="s">
        <v>2543</v>
      </c>
      <c r="D1344" s="2" t="s">
        <v>2525</v>
      </c>
      <c r="E1344" s="2" t="s">
        <v>2517</v>
      </c>
      <c r="F1344" s="3">
        <v>168137</v>
      </c>
      <c r="G1344" s="3">
        <v>13438</v>
      </c>
      <c r="H1344" s="3">
        <v>682</v>
      </c>
      <c r="I1344" s="4">
        <v>15331.58</v>
      </c>
      <c r="J1344" s="4">
        <v>77399.08</v>
      </c>
      <c r="K1344" s="3">
        <v>596</v>
      </c>
      <c r="L1344" s="2" t="s">
        <v>2536</v>
      </c>
      <c r="M1344" s="2" t="s">
        <v>2519</v>
      </c>
    </row>
    <row r="1345" spans="1:13" x14ac:dyDescent="0.3">
      <c r="A1345" s="1">
        <v>45874</v>
      </c>
      <c r="B1345" s="2" t="s">
        <v>2635</v>
      </c>
      <c r="C1345" s="2" t="s">
        <v>2533</v>
      </c>
      <c r="D1345" s="2" t="s">
        <v>2522</v>
      </c>
      <c r="E1345" s="2" t="s">
        <v>2534</v>
      </c>
      <c r="F1345" s="3">
        <v>32703</v>
      </c>
      <c r="G1345" s="3">
        <v>1953</v>
      </c>
      <c r="H1345" s="3">
        <v>160</v>
      </c>
      <c r="I1345" s="4">
        <v>3285.02</v>
      </c>
      <c r="J1345" s="4">
        <v>3579.6</v>
      </c>
      <c r="K1345" s="3">
        <v>102</v>
      </c>
      <c r="L1345" s="2" t="s">
        <v>2539</v>
      </c>
      <c r="M1345" s="2" t="s">
        <v>2526</v>
      </c>
    </row>
    <row r="1346" spans="1:13" x14ac:dyDescent="0.3">
      <c r="A1346" s="1">
        <v>46017</v>
      </c>
      <c r="B1346" s="2" t="s">
        <v>2636</v>
      </c>
      <c r="C1346" s="2" t="s">
        <v>2541</v>
      </c>
      <c r="D1346" s="2" t="s">
        <v>2531</v>
      </c>
      <c r="E1346" s="2" t="s">
        <v>2517</v>
      </c>
      <c r="F1346" s="3">
        <v>49015</v>
      </c>
      <c r="G1346" s="3">
        <v>4409</v>
      </c>
      <c r="H1346" s="3">
        <v>392</v>
      </c>
      <c r="I1346" s="4">
        <v>1202.1600000000001</v>
      </c>
      <c r="J1346" s="4">
        <v>15116.88</v>
      </c>
      <c r="K1346" s="3">
        <v>178</v>
      </c>
      <c r="L1346" s="2" t="s">
        <v>2539</v>
      </c>
      <c r="M1346" s="2" t="s">
        <v>2546</v>
      </c>
    </row>
    <row r="1347" spans="1:13" x14ac:dyDescent="0.3">
      <c r="A1347" s="1">
        <v>45716</v>
      </c>
      <c r="B1347" s="2" t="s">
        <v>2634</v>
      </c>
      <c r="C1347" s="2" t="s">
        <v>2543</v>
      </c>
      <c r="D1347" s="2" t="s">
        <v>2528</v>
      </c>
      <c r="E1347" s="2" t="s">
        <v>2517</v>
      </c>
      <c r="F1347" s="3">
        <v>21520</v>
      </c>
      <c r="G1347" s="3">
        <v>1699</v>
      </c>
      <c r="H1347" s="3">
        <v>187</v>
      </c>
      <c r="I1347" s="4">
        <v>2157.48</v>
      </c>
      <c r="J1347" s="4">
        <v>32714.11</v>
      </c>
      <c r="K1347" s="3">
        <v>148</v>
      </c>
      <c r="L1347" s="2" t="s">
        <v>2539</v>
      </c>
      <c r="M1347" s="2" t="s">
        <v>2524</v>
      </c>
    </row>
    <row r="1348" spans="1:13" x14ac:dyDescent="0.3">
      <c r="A1348" s="1">
        <v>45717</v>
      </c>
      <c r="B1348" s="2" t="s">
        <v>2641</v>
      </c>
      <c r="C1348" s="2" t="s">
        <v>2543</v>
      </c>
      <c r="D1348" s="2" t="s">
        <v>2516</v>
      </c>
      <c r="E1348" s="2" t="s">
        <v>2517</v>
      </c>
      <c r="F1348" s="3">
        <v>67163</v>
      </c>
      <c r="G1348" s="3">
        <v>5572</v>
      </c>
      <c r="H1348" s="3">
        <v>658</v>
      </c>
      <c r="I1348" s="4">
        <v>6390.58</v>
      </c>
      <c r="J1348" s="4">
        <v>72534.09</v>
      </c>
      <c r="K1348" s="3">
        <v>529</v>
      </c>
      <c r="L1348" s="2" t="s">
        <v>2536</v>
      </c>
      <c r="M1348" s="2" t="s">
        <v>2537</v>
      </c>
    </row>
    <row r="1349" spans="1:13" x14ac:dyDescent="0.3">
      <c r="A1349" s="1">
        <v>45811</v>
      </c>
      <c r="B1349" s="2" t="s">
        <v>2639</v>
      </c>
      <c r="C1349" s="2" t="s">
        <v>2515</v>
      </c>
      <c r="D1349" s="2" t="s">
        <v>2525</v>
      </c>
      <c r="E1349" s="2" t="s">
        <v>2529</v>
      </c>
      <c r="F1349" s="3">
        <v>175538</v>
      </c>
      <c r="G1349" s="3">
        <v>6234</v>
      </c>
      <c r="H1349" s="3">
        <v>374</v>
      </c>
      <c r="I1349" s="4">
        <v>12125.44</v>
      </c>
      <c r="J1349" s="4">
        <v>15140.83</v>
      </c>
      <c r="K1349" s="3">
        <v>269</v>
      </c>
      <c r="L1349" s="2" t="s">
        <v>2539</v>
      </c>
      <c r="M1349" s="2" t="s">
        <v>2526</v>
      </c>
    </row>
    <row r="1350" spans="1:13" x14ac:dyDescent="0.3">
      <c r="A1350" s="1">
        <v>45877</v>
      </c>
      <c r="B1350" s="2" t="s">
        <v>2643</v>
      </c>
      <c r="C1350" s="2" t="s">
        <v>2515</v>
      </c>
      <c r="D1350" s="2" t="s">
        <v>2525</v>
      </c>
      <c r="E1350" s="2" t="s">
        <v>2529</v>
      </c>
      <c r="F1350" s="3">
        <v>12581</v>
      </c>
      <c r="G1350" s="3">
        <v>248</v>
      </c>
      <c r="H1350" s="3">
        <v>3</v>
      </c>
      <c r="I1350" s="4">
        <v>344.53</v>
      </c>
      <c r="J1350" s="4">
        <v>512.78</v>
      </c>
      <c r="K1350" s="3">
        <v>2</v>
      </c>
      <c r="L1350" s="2" t="s">
        <v>2523</v>
      </c>
      <c r="M1350" s="2" t="s">
        <v>2524</v>
      </c>
    </row>
    <row r="1351" spans="1:13" x14ac:dyDescent="0.3">
      <c r="A1351" s="1">
        <v>45986</v>
      </c>
      <c r="B1351" s="2" t="s">
        <v>2619</v>
      </c>
      <c r="C1351" s="2" t="s">
        <v>2541</v>
      </c>
      <c r="D1351" s="2" t="s">
        <v>2528</v>
      </c>
      <c r="E1351" s="2" t="s">
        <v>2517</v>
      </c>
      <c r="F1351" s="3">
        <v>127330</v>
      </c>
      <c r="G1351" s="3">
        <v>9608</v>
      </c>
      <c r="H1351" s="3">
        <v>1307</v>
      </c>
      <c r="I1351" s="4">
        <v>3866.57</v>
      </c>
      <c r="J1351" s="4">
        <v>117468.13</v>
      </c>
      <c r="K1351" s="3">
        <v>672</v>
      </c>
      <c r="L1351" s="2" t="s">
        <v>2518</v>
      </c>
      <c r="M1351" s="2" t="s">
        <v>2546</v>
      </c>
    </row>
    <row r="1352" spans="1:13" x14ac:dyDescent="0.3">
      <c r="A1352" s="1">
        <v>45694</v>
      </c>
      <c r="B1352" s="2" t="s">
        <v>2641</v>
      </c>
      <c r="C1352" s="2" t="s">
        <v>2515</v>
      </c>
      <c r="D1352" s="2" t="s">
        <v>2528</v>
      </c>
      <c r="E1352" s="2" t="s">
        <v>2529</v>
      </c>
      <c r="F1352" s="3">
        <v>50484</v>
      </c>
      <c r="G1352" s="3">
        <v>2739</v>
      </c>
      <c r="H1352" s="3">
        <v>168</v>
      </c>
      <c r="I1352" s="4">
        <v>893.63</v>
      </c>
      <c r="J1352" s="4">
        <v>15349.97</v>
      </c>
      <c r="K1352" s="3">
        <v>85</v>
      </c>
      <c r="L1352" s="2" t="s">
        <v>2518</v>
      </c>
      <c r="M1352" s="2" t="s">
        <v>2524</v>
      </c>
    </row>
    <row r="1353" spans="1:13" x14ac:dyDescent="0.3">
      <c r="A1353" s="1">
        <v>45938</v>
      </c>
      <c r="B1353" s="2" t="s">
        <v>2627</v>
      </c>
      <c r="C1353" s="2" t="s">
        <v>2533</v>
      </c>
      <c r="D1353" s="2" t="s">
        <v>2525</v>
      </c>
      <c r="E1353" s="2" t="s">
        <v>2517</v>
      </c>
      <c r="F1353" s="3">
        <v>122042</v>
      </c>
      <c r="G1353" s="3">
        <v>1700</v>
      </c>
      <c r="H1353" s="3">
        <v>55</v>
      </c>
      <c r="I1353" s="4">
        <v>953.51</v>
      </c>
      <c r="J1353" s="4">
        <v>2839.69</v>
      </c>
      <c r="K1353" s="3">
        <v>43</v>
      </c>
      <c r="L1353" s="2" t="s">
        <v>2523</v>
      </c>
      <c r="M1353" s="2" t="s">
        <v>2546</v>
      </c>
    </row>
    <row r="1354" spans="1:13" x14ac:dyDescent="0.3">
      <c r="A1354" s="1">
        <v>45879</v>
      </c>
      <c r="B1354" s="2" t="s">
        <v>2621</v>
      </c>
      <c r="C1354" s="2" t="s">
        <v>2543</v>
      </c>
      <c r="D1354" s="2" t="s">
        <v>2516</v>
      </c>
      <c r="E1354" s="2" t="s">
        <v>2517</v>
      </c>
      <c r="F1354" s="3">
        <v>41714</v>
      </c>
      <c r="G1354" s="3">
        <v>2447</v>
      </c>
      <c r="H1354" s="3">
        <v>192</v>
      </c>
      <c r="I1354" s="4">
        <v>2109.44</v>
      </c>
      <c r="J1354" s="4">
        <v>34702.43</v>
      </c>
      <c r="K1354" s="3">
        <v>127</v>
      </c>
      <c r="L1354" s="2" t="s">
        <v>2536</v>
      </c>
      <c r="M1354" s="2" t="s">
        <v>2526</v>
      </c>
    </row>
    <row r="1355" spans="1:13" x14ac:dyDescent="0.3">
      <c r="A1355" s="1">
        <v>45812</v>
      </c>
      <c r="B1355" s="2" t="s">
        <v>2628</v>
      </c>
      <c r="C1355" s="2" t="s">
        <v>2543</v>
      </c>
      <c r="D1355" s="2" t="s">
        <v>2522</v>
      </c>
      <c r="E1355" s="2" t="s">
        <v>2529</v>
      </c>
      <c r="F1355" s="3">
        <v>37969</v>
      </c>
      <c r="G1355" s="3">
        <v>499</v>
      </c>
      <c r="H1355" s="3">
        <v>44</v>
      </c>
      <c r="I1355" s="4">
        <v>311.64999999999998</v>
      </c>
      <c r="J1355" s="4">
        <v>5166.9399999999996</v>
      </c>
      <c r="K1355" s="3">
        <v>32</v>
      </c>
      <c r="L1355" s="2" t="s">
        <v>2536</v>
      </c>
      <c r="M1355" s="2" t="s">
        <v>2546</v>
      </c>
    </row>
    <row r="1356" spans="1:13" x14ac:dyDescent="0.3">
      <c r="A1356" s="1">
        <v>45944</v>
      </c>
      <c r="B1356" s="2" t="s">
        <v>2623</v>
      </c>
      <c r="C1356" s="2" t="s">
        <v>2543</v>
      </c>
      <c r="D1356" s="2" t="s">
        <v>2525</v>
      </c>
      <c r="E1356" s="2" t="s">
        <v>2529</v>
      </c>
      <c r="F1356" s="3">
        <v>43647</v>
      </c>
      <c r="G1356" s="3">
        <v>1660</v>
      </c>
      <c r="H1356" s="3">
        <v>221</v>
      </c>
      <c r="I1356" s="4">
        <v>546.53</v>
      </c>
      <c r="J1356" s="4">
        <v>22738.5</v>
      </c>
      <c r="K1356" s="3">
        <v>172</v>
      </c>
      <c r="L1356" s="2" t="s">
        <v>2539</v>
      </c>
      <c r="M1356" s="2" t="s">
        <v>2519</v>
      </c>
    </row>
    <row r="1357" spans="1:13" x14ac:dyDescent="0.3">
      <c r="A1357" s="1">
        <v>46007</v>
      </c>
      <c r="B1357" s="2" t="s">
        <v>2618</v>
      </c>
      <c r="C1357" s="2" t="s">
        <v>2527</v>
      </c>
      <c r="D1357" s="2" t="s">
        <v>2528</v>
      </c>
      <c r="E1357" s="2" t="s">
        <v>2517</v>
      </c>
      <c r="F1357" s="3">
        <v>60005</v>
      </c>
      <c r="G1357" s="3">
        <v>3694</v>
      </c>
      <c r="H1357" s="3">
        <v>27</v>
      </c>
      <c r="I1357" s="4">
        <v>937.12</v>
      </c>
      <c r="J1357" s="4">
        <v>5669.27</v>
      </c>
      <c r="K1357" s="3">
        <v>19</v>
      </c>
      <c r="L1357" s="2" t="s">
        <v>2536</v>
      </c>
      <c r="M1357" s="2" t="s">
        <v>2537</v>
      </c>
    </row>
    <row r="1358" spans="1:13" x14ac:dyDescent="0.3">
      <c r="A1358" s="1">
        <v>45771</v>
      </c>
      <c r="B1358" s="2" t="s">
        <v>2628</v>
      </c>
      <c r="C1358" s="2" t="s">
        <v>2543</v>
      </c>
      <c r="D1358" s="2" t="s">
        <v>2522</v>
      </c>
      <c r="E1358" s="2" t="s">
        <v>2517</v>
      </c>
      <c r="F1358" s="3">
        <v>25943</v>
      </c>
      <c r="G1358" s="3">
        <v>357</v>
      </c>
      <c r="H1358" s="3">
        <v>42</v>
      </c>
      <c r="I1358" s="4">
        <v>747.3</v>
      </c>
      <c r="J1358" s="4">
        <v>3798.21</v>
      </c>
      <c r="K1358" s="3">
        <v>30</v>
      </c>
      <c r="L1358" s="2" t="s">
        <v>2518</v>
      </c>
      <c r="M1358" s="2" t="s">
        <v>2524</v>
      </c>
    </row>
    <row r="1359" spans="1:13" x14ac:dyDescent="0.3">
      <c r="A1359" s="1">
        <v>45988</v>
      </c>
      <c r="B1359" s="2" t="s">
        <v>2619</v>
      </c>
      <c r="C1359" s="2" t="s">
        <v>2541</v>
      </c>
      <c r="D1359" s="2" t="s">
        <v>2516</v>
      </c>
      <c r="E1359" s="2" t="s">
        <v>2517</v>
      </c>
      <c r="F1359" s="3">
        <v>131623</v>
      </c>
      <c r="G1359" s="3">
        <v>1844</v>
      </c>
      <c r="H1359" s="3">
        <v>60</v>
      </c>
      <c r="I1359" s="4">
        <v>903.93</v>
      </c>
      <c r="J1359" s="4">
        <v>9082.85</v>
      </c>
      <c r="K1359" s="3">
        <v>28</v>
      </c>
      <c r="L1359" s="2" t="s">
        <v>2536</v>
      </c>
      <c r="M1359" s="2" t="s">
        <v>2526</v>
      </c>
    </row>
    <row r="1360" spans="1:13" x14ac:dyDescent="0.3">
      <c r="A1360" s="1">
        <v>45991</v>
      </c>
      <c r="B1360" s="2" t="s">
        <v>2624</v>
      </c>
      <c r="C1360" s="2" t="s">
        <v>2527</v>
      </c>
      <c r="D1360" s="2" t="s">
        <v>2531</v>
      </c>
      <c r="E1360" s="2" t="s">
        <v>2529</v>
      </c>
      <c r="F1360" s="3">
        <v>109040</v>
      </c>
      <c r="G1360" s="3">
        <v>4274</v>
      </c>
      <c r="H1360" s="3">
        <v>405</v>
      </c>
      <c r="I1360" s="4">
        <v>1544.42</v>
      </c>
      <c r="J1360" s="4">
        <v>55818.91</v>
      </c>
      <c r="K1360" s="3">
        <v>234</v>
      </c>
      <c r="L1360" s="2" t="s">
        <v>2536</v>
      </c>
      <c r="M1360" s="2" t="s">
        <v>2524</v>
      </c>
    </row>
    <row r="1361" spans="1:13" x14ac:dyDescent="0.3">
      <c r="A1361" s="1">
        <v>45874</v>
      </c>
      <c r="B1361" s="2" t="s">
        <v>2629</v>
      </c>
      <c r="C1361" s="2" t="s">
        <v>2521</v>
      </c>
      <c r="D1361" s="2" t="s">
        <v>2522</v>
      </c>
      <c r="E1361" s="2" t="s">
        <v>2517</v>
      </c>
      <c r="F1361" s="3">
        <v>81695</v>
      </c>
      <c r="G1361" s="3">
        <v>5685</v>
      </c>
      <c r="H1361" s="3">
        <v>535</v>
      </c>
      <c r="I1361" s="4">
        <v>1128</v>
      </c>
      <c r="J1361" s="4">
        <v>91321.15</v>
      </c>
      <c r="K1361" s="3">
        <v>468</v>
      </c>
      <c r="L1361" s="2" t="s">
        <v>2518</v>
      </c>
      <c r="M1361" s="2" t="s">
        <v>2526</v>
      </c>
    </row>
    <row r="1362" spans="1:13" x14ac:dyDescent="0.3">
      <c r="A1362" s="1">
        <v>45939</v>
      </c>
      <c r="B1362" s="2" t="s">
        <v>2630</v>
      </c>
      <c r="C1362" s="2" t="s">
        <v>2527</v>
      </c>
      <c r="D1362" s="2" t="s">
        <v>2522</v>
      </c>
      <c r="E1362" s="2" t="s">
        <v>2517</v>
      </c>
      <c r="F1362" s="3">
        <v>22381</v>
      </c>
      <c r="G1362" s="3">
        <v>497</v>
      </c>
      <c r="H1362" s="3">
        <v>8</v>
      </c>
      <c r="I1362" s="4">
        <v>962.52</v>
      </c>
      <c r="J1362" s="4">
        <v>154.76</v>
      </c>
      <c r="K1362" s="3">
        <v>3</v>
      </c>
      <c r="L1362" s="2" t="s">
        <v>2523</v>
      </c>
      <c r="M1362" s="2" t="s">
        <v>2526</v>
      </c>
    </row>
    <row r="1363" spans="1:13" x14ac:dyDescent="0.3">
      <c r="A1363" s="1">
        <v>45701</v>
      </c>
      <c r="B1363" s="2" t="s">
        <v>2622</v>
      </c>
      <c r="C1363" s="2" t="s">
        <v>2533</v>
      </c>
      <c r="D1363" s="2" t="s">
        <v>2522</v>
      </c>
      <c r="E1363" s="2" t="s">
        <v>2517</v>
      </c>
      <c r="F1363" s="3">
        <v>26073</v>
      </c>
      <c r="G1363" s="3">
        <v>2063</v>
      </c>
      <c r="H1363" s="3">
        <v>147</v>
      </c>
      <c r="I1363" s="4">
        <v>902.39</v>
      </c>
      <c r="J1363" s="4">
        <v>14102.13</v>
      </c>
      <c r="K1363" s="3">
        <v>112</v>
      </c>
      <c r="L1363" s="2" t="s">
        <v>2523</v>
      </c>
      <c r="M1363" s="2" t="s">
        <v>2537</v>
      </c>
    </row>
    <row r="1364" spans="1:13" x14ac:dyDescent="0.3">
      <c r="A1364" s="1">
        <v>45803</v>
      </c>
      <c r="B1364" s="2" t="s">
        <v>2624</v>
      </c>
      <c r="C1364" s="2" t="s">
        <v>2515</v>
      </c>
      <c r="D1364" s="2" t="s">
        <v>2528</v>
      </c>
      <c r="E1364" s="2" t="s">
        <v>2529</v>
      </c>
      <c r="F1364" s="3">
        <v>117657</v>
      </c>
      <c r="G1364" s="3">
        <v>8142</v>
      </c>
      <c r="H1364" s="3">
        <v>795</v>
      </c>
      <c r="I1364" s="4">
        <v>15246.53</v>
      </c>
      <c r="J1364" s="4">
        <v>161847.74</v>
      </c>
      <c r="K1364" s="3">
        <v>569</v>
      </c>
      <c r="L1364" s="2" t="s">
        <v>2523</v>
      </c>
      <c r="M1364" s="2" t="s">
        <v>2546</v>
      </c>
    </row>
    <row r="1365" spans="1:13" x14ac:dyDescent="0.3">
      <c r="A1365" s="1">
        <v>46011</v>
      </c>
      <c r="B1365" s="2" t="s">
        <v>2642</v>
      </c>
      <c r="C1365" s="2" t="s">
        <v>2543</v>
      </c>
      <c r="D1365" s="2" t="s">
        <v>2522</v>
      </c>
      <c r="E1365" s="2" t="s">
        <v>2517</v>
      </c>
      <c r="F1365" s="3">
        <v>19155</v>
      </c>
      <c r="G1365" s="3">
        <v>1553</v>
      </c>
      <c r="H1365" s="3">
        <v>42</v>
      </c>
      <c r="I1365" s="4">
        <v>2419.85</v>
      </c>
      <c r="J1365" s="4">
        <v>1988.98</v>
      </c>
      <c r="K1365" s="3">
        <v>31</v>
      </c>
      <c r="L1365" s="2" t="s">
        <v>2539</v>
      </c>
      <c r="M1365" s="2" t="s">
        <v>2524</v>
      </c>
    </row>
    <row r="1366" spans="1:13" x14ac:dyDescent="0.3">
      <c r="A1366" s="1">
        <v>45863</v>
      </c>
      <c r="B1366" s="2" t="s">
        <v>2635</v>
      </c>
      <c r="C1366" s="2" t="s">
        <v>2533</v>
      </c>
      <c r="D1366" s="2" t="s">
        <v>2522</v>
      </c>
      <c r="E1366" s="2" t="s">
        <v>2529</v>
      </c>
      <c r="F1366" s="3">
        <v>159728</v>
      </c>
      <c r="G1366" s="3">
        <v>13641</v>
      </c>
      <c r="H1366" s="3">
        <v>450</v>
      </c>
      <c r="I1366" s="4">
        <v>20262.900000000001</v>
      </c>
      <c r="J1366" s="4">
        <v>84589.48</v>
      </c>
      <c r="K1366" s="3">
        <v>258</v>
      </c>
      <c r="L1366" s="2" t="s">
        <v>2518</v>
      </c>
      <c r="M1366" s="2" t="s">
        <v>2519</v>
      </c>
    </row>
    <row r="1367" spans="1:13" x14ac:dyDescent="0.3">
      <c r="A1367" s="1">
        <v>46011</v>
      </c>
      <c r="B1367" s="2" t="s">
        <v>2633</v>
      </c>
      <c r="C1367" s="2" t="s">
        <v>2541</v>
      </c>
      <c r="D1367" s="2" t="s">
        <v>2528</v>
      </c>
      <c r="E1367" s="2" t="s">
        <v>2529</v>
      </c>
      <c r="F1367" s="3">
        <v>38721</v>
      </c>
      <c r="G1367" s="3">
        <v>202</v>
      </c>
      <c r="H1367" s="3">
        <v>7</v>
      </c>
      <c r="I1367" s="4">
        <v>180.96</v>
      </c>
      <c r="J1367" s="4">
        <v>937.59</v>
      </c>
      <c r="K1367" s="3">
        <v>6</v>
      </c>
      <c r="L1367" s="2" t="s">
        <v>2523</v>
      </c>
      <c r="M1367" s="2" t="s">
        <v>2537</v>
      </c>
    </row>
    <row r="1368" spans="1:13" x14ac:dyDescent="0.3">
      <c r="A1368" s="1">
        <v>45931</v>
      </c>
      <c r="B1368" s="2" t="s">
        <v>2629</v>
      </c>
      <c r="C1368" s="2" t="s">
        <v>2515</v>
      </c>
      <c r="D1368" s="2" t="s">
        <v>2516</v>
      </c>
      <c r="E1368" s="2" t="s">
        <v>2517</v>
      </c>
      <c r="F1368" s="3">
        <v>69623</v>
      </c>
      <c r="G1368" s="3">
        <v>3588</v>
      </c>
      <c r="H1368" s="3">
        <v>406</v>
      </c>
      <c r="I1368" s="4">
        <v>1979.26</v>
      </c>
      <c r="J1368" s="4">
        <v>10504.81</v>
      </c>
      <c r="K1368" s="3">
        <v>342</v>
      </c>
      <c r="L1368" s="2" t="s">
        <v>2539</v>
      </c>
      <c r="M1368" s="2" t="s">
        <v>2537</v>
      </c>
    </row>
    <row r="1369" spans="1:13" x14ac:dyDescent="0.3">
      <c r="A1369" s="1">
        <v>46004</v>
      </c>
      <c r="B1369" s="2" t="s">
        <v>2635</v>
      </c>
      <c r="C1369" s="2" t="s">
        <v>2527</v>
      </c>
      <c r="D1369" s="2" t="s">
        <v>2525</v>
      </c>
      <c r="E1369" s="2" t="s">
        <v>2529</v>
      </c>
      <c r="F1369" s="3">
        <v>108087</v>
      </c>
      <c r="G1369" s="3">
        <v>9588</v>
      </c>
      <c r="H1369" s="3">
        <v>553</v>
      </c>
      <c r="I1369" s="4">
        <v>18917.71</v>
      </c>
      <c r="J1369" s="4">
        <v>115610.31</v>
      </c>
      <c r="K1369" s="3">
        <v>321</v>
      </c>
      <c r="L1369" s="2" t="s">
        <v>2523</v>
      </c>
      <c r="M1369" s="2" t="s">
        <v>2526</v>
      </c>
    </row>
    <row r="1370" spans="1:13" x14ac:dyDescent="0.3">
      <c r="A1370" s="1">
        <v>45940</v>
      </c>
      <c r="B1370" s="2" t="s">
        <v>2635</v>
      </c>
      <c r="C1370" s="2" t="s">
        <v>2541</v>
      </c>
      <c r="D1370" s="2" t="s">
        <v>2531</v>
      </c>
      <c r="E1370" s="2" t="s">
        <v>2529</v>
      </c>
      <c r="F1370" s="3">
        <v>101507</v>
      </c>
      <c r="G1370" s="3">
        <v>4375</v>
      </c>
      <c r="H1370" s="3">
        <v>467</v>
      </c>
      <c r="I1370" s="4">
        <v>2931.49</v>
      </c>
      <c r="J1370" s="4">
        <v>37273.49</v>
      </c>
      <c r="K1370" s="3">
        <v>416</v>
      </c>
      <c r="L1370" s="2" t="s">
        <v>2523</v>
      </c>
      <c r="M1370" s="2" t="s">
        <v>2524</v>
      </c>
    </row>
    <row r="1371" spans="1:13" x14ac:dyDescent="0.3">
      <c r="A1371" s="1">
        <v>45817</v>
      </c>
      <c r="B1371" s="2" t="s">
        <v>2634</v>
      </c>
      <c r="C1371" s="2" t="s">
        <v>2521</v>
      </c>
      <c r="D1371" s="2" t="s">
        <v>2528</v>
      </c>
      <c r="E1371" s="2" t="s">
        <v>2529</v>
      </c>
      <c r="F1371" s="3">
        <v>137784</v>
      </c>
      <c r="G1371" s="3">
        <v>1909</v>
      </c>
      <c r="H1371" s="3">
        <v>21</v>
      </c>
      <c r="I1371" s="4">
        <v>2987.78</v>
      </c>
      <c r="J1371" s="4">
        <v>4568.1400000000003</v>
      </c>
      <c r="K1371" s="3">
        <v>11</v>
      </c>
      <c r="L1371" s="2" t="s">
        <v>2523</v>
      </c>
      <c r="M1371" s="2" t="s">
        <v>2526</v>
      </c>
    </row>
    <row r="1372" spans="1:13" x14ac:dyDescent="0.3">
      <c r="A1372" s="1">
        <v>45778</v>
      </c>
      <c r="B1372" s="2" t="s">
        <v>2618</v>
      </c>
      <c r="C1372" s="2" t="s">
        <v>2533</v>
      </c>
      <c r="D1372" s="2" t="s">
        <v>2528</v>
      </c>
      <c r="E1372" s="2" t="s">
        <v>2517</v>
      </c>
      <c r="F1372" s="3">
        <v>122753</v>
      </c>
      <c r="G1372" s="3">
        <v>9771</v>
      </c>
      <c r="H1372" s="3">
        <v>692</v>
      </c>
      <c r="I1372" s="4">
        <v>14537.3</v>
      </c>
      <c r="J1372" s="4">
        <v>131196.4</v>
      </c>
      <c r="K1372" s="3">
        <v>429</v>
      </c>
      <c r="L1372" s="2" t="s">
        <v>2523</v>
      </c>
      <c r="M1372" s="2" t="s">
        <v>2537</v>
      </c>
    </row>
    <row r="1373" spans="1:13" x14ac:dyDescent="0.3">
      <c r="A1373" s="1">
        <v>45818</v>
      </c>
      <c r="B1373" s="2" t="s">
        <v>2641</v>
      </c>
      <c r="C1373" s="2" t="s">
        <v>2541</v>
      </c>
      <c r="D1373" s="2" t="s">
        <v>2528</v>
      </c>
      <c r="E1373" s="2" t="s">
        <v>2534</v>
      </c>
      <c r="F1373" s="3">
        <v>137750</v>
      </c>
      <c r="G1373" s="3">
        <v>9704</v>
      </c>
      <c r="H1373" s="3">
        <v>167</v>
      </c>
      <c r="I1373" s="4">
        <v>12793.63</v>
      </c>
      <c r="J1373" s="4">
        <v>32224.46</v>
      </c>
      <c r="K1373" s="3">
        <v>94</v>
      </c>
      <c r="L1373" s="2" t="s">
        <v>2539</v>
      </c>
      <c r="M1373" s="2" t="s">
        <v>2526</v>
      </c>
    </row>
    <row r="1374" spans="1:13" x14ac:dyDescent="0.3">
      <c r="A1374" s="1">
        <v>45784</v>
      </c>
      <c r="B1374" s="2" t="s">
        <v>2643</v>
      </c>
      <c r="C1374" s="2" t="s">
        <v>2541</v>
      </c>
      <c r="D1374" s="2" t="s">
        <v>2531</v>
      </c>
      <c r="E1374" s="2" t="s">
        <v>2529</v>
      </c>
      <c r="F1374" s="3">
        <v>31845</v>
      </c>
      <c r="G1374" s="3">
        <v>2333</v>
      </c>
      <c r="H1374" s="3">
        <v>63</v>
      </c>
      <c r="I1374" s="4">
        <v>704.27</v>
      </c>
      <c r="J1374" s="4">
        <v>2239.48</v>
      </c>
      <c r="K1374" s="3">
        <v>43</v>
      </c>
      <c r="L1374" s="2" t="s">
        <v>2518</v>
      </c>
      <c r="M1374" s="2" t="s">
        <v>2524</v>
      </c>
    </row>
    <row r="1375" spans="1:13" x14ac:dyDescent="0.3">
      <c r="A1375" s="1">
        <v>45865</v>
      </c>
      <c r="B1375" s="2" t="s">
        <v>2634</v>
      </c>
      <c r="C1375" s="2" t="s">
        <v>2533</v>
      </c>
      <c r="D1375" s="2" t="s">
        <v>2516</v>
      </c>
      <c r="E1375" s="2" t="s">
        <v>2517</v>
      </c>
      <c r="F1375" s="3">
        <v>90775</v>
      </c>
      <c r="G1375" s="3">
        <v>1355</v>
      </c>
      <c r="H1375" s="3">
        <v>40</v>
      </c>
      <c r="I1375" s="4">
        <v>2626.64</v>
      </c>
      <c r="J1375" s="4">
        <v>1207.93</v>
      </c>
      <c r="K1375" s="3">
        <v>21</v>
      </c>
      <c r="L1375" s="2" t="s">
        <v>2536</v>
      </c>
      <c r="M1375" s="2" t="s">
        <v>2526</v>
      </c>
    </row>
    <row r="1376" spans="1:13" x14ac:dyDescent="0.3">
      <c r="A1376" s="1">
        <v>45789</v>
      </c>
      <c r="B1376" s="2" t="s">
        <v>2628</v>
      </c>
      <c r="C1376" s="2" t="s">
        <v>2515</v>
      </c>
      <c r="D1376" s="2" t="s">
        <v>2528</v>
      </c>
      <c r="E1376" s="2" t="s">
        <v>2517</v>
      </c>
      <c r="F1376" s="3">
        <v>90241</v>
      </c>
      <c r="G1376" s="3">
        <v>5367</v>
      </c>
      <c r="H1376" s="3">
        <v>697</v>
      </c>
      <c r="I1376" s="4">
        <v>11216.52</v>
      </c>
      <c r="J1376" s="4">
        <v>53170.720000000001</v>
      </c>
      <c r="K1376" s="3">
        <v>616</v>
      </c>
      <c r="L1376" s="2" t="s">
        <v>2518</v>
      </c>
      <c r="M1376" s="2" t="s">
        <v>2526</v>
      </c>
    </row>
    <row r="1377" spans="1:13" x14ac:dyDescent="0.3">
      <c r="A1377" s="1">
        <v>45697</v>
      </c>
      <c r="B1377" s="2" t="s">
        <v>2624</v>
      </c>
      <c r="C1377" s="2" t="s">
        <v>2515</v>
      </c>
      <c r="D1377" s="2" t="s">
        <v>2531</v>
      </c>
      <c r="E1377" s="2" t="s">
        <v>2517</v>
      </c>
      <c r="F1377" s="3">
        <v>20365</v>
      </c>
      <c r="G1377" s="3">
        <v>1124</v>
      </c>
      <c r="H1377" s="3">
        <v>96</v>
      </c>
      <c r="I1377" s="4">
        <v>256.45999999999998</v>
      </c>
      <c r="J1377" s="4">
        <v>9825.4699999999993</v>
      </c>
      <c r="K1377" s="3">
        <v>50</v>
      </c>
      <c r="L1377" s="2" t="s">
        <v>2539</v>
      </c>
      <c r="M1377" s="2" t="s">
        <v>2537</v>
      </c>
    </row>
    <row r="1378" spans="1:13" x14ac:dyDescent="0.3">
      <c r="A1378" s="1">
        <v>45677</v>
      </c>
      <c r="B1378" s="2" t="s">
        <v>2630</v>
      </c>
      <c r="C1378" s="2" t="s">
        <v>2521</v>
      </c>
      <c r="D1378" s="2" t="s">
        <v>2516</v>
      </c>
      <c r="E1378" s="2" t="s">
        <v>2517</v>
      </c>
      <c r="F1378" s="3">
        <v>121456</v>
      </c>
      <c r="G1378" s="3">
        <v>2581</v>
      </c>
      <c r="H1378" s="3">
        <v>197</v>
      </c>
      <c r="I1378" s="4">
        <v>4160.5200000000004</v>
      </c>
      <c r="J1378" s="4">
        <v>43205.440000000002</v>
      </c>
      <c r="K1378" s="3">
        <v>166</v>
      </c>
      <c r="L1378" s="2" t="s">
        <v>2539</v>
      </c>
      <c r="M1378" s="2" t="s">
        <v>2519</v>
      </c>
    </row>
    <row r="1379" spans="1:13" x14ac:dyDescent="0.3">
      <c r="A1379" s="1">
        <v>45771</v>
      </c>
      <c r="B1379" s="2" t="s">
        <v>2637</v>
      </c>
      <c r="C1379" s="2" t="s">
        <v>2541</v>
      </c>
      <c r="D1379" s="2" t="s">
        <v>2528</v>
      </c>
      <c r="E1379" s="2" t="s">
        <v>2529</v>
      </c>
      <c r="F1379" s="3">
        <v>98915</v>
      </c>
      <c r="G1379" s="3">
        <v>3255</v>
      </c>
      <c r="H1379" s="3">
        <v>185</v>
      </c>
      <c r="I1379" s="4">
        <v>1878.5</v>
      </c>
      <c r="J1379" s="4">
        <v>38992.94</v>
      </c>
      <c r="K1379" s="3">
        <v>155</v>
      </c>
      <c r="L1379" s="2" t="s">
        <v>2536</v>
      </c>
      <c r="M1379" s="2" t="s">
        <v>2546</v>
      </c>
    </row>
    <row r="1380" spans="1:13" x14ac:dyDescent="0.3">
      <c r="A1380" s="1">
        <v>45857</v>
      </c>
      <c r="B1380" s="2" t="s">
        <v>2617</v>
      </c>
      <c r="C1380" s="2" t="s">
        <v>2543</v>
      </c>
      <c r="D1380" s="2" t="s">
        <v>2516</v>
      </c>
      <c r="E1380" s="2" t="s">
        <v>2529</v>
      </c>
      <c r="F1380" s="3">
        <v>167922</v>
      </c>
      <c r="G1380" s="3">
        <v>10840</v>
      </c>
      <c r="H1380" s="3">
        <v>1053</v>
      </c>
      <c r="I1380" s="4">
        <v>10855.87</v>
      </c>
      <c r="J1380" s="4">
        <v>156224.57</v>
      </c>
      <c r="K1380" s="3">
        <v>528</v>
      </c>
      <c r="L1380" s="2" t="s">
        <v>2539</v>
      </c>
      <c r="M1380" s="2" t="s">
        <v>2546</v>
      </c>
    </row>
    <row r="1381" spans="1:13" x14ac:dyDescent="0.3">
      <c r="A1381" s="1">
        <v>45714</v>
      </c>
      <c r="B1381" s="2" t="s">
        <v>2615</v>
      </c>
      <c r="C1381" s="2" t="s">
        <v>2541</v>
      </c>
      <c r="D1381" s="2" t="s">
        <v>2528</v>
      </c>
      <c r="E1381" s="2" t="s">
        <v>2529</v>
      </c>
      <c r="F1381" s="3">
        <v>147670</v>
      </c>
      <c r="G1381" s="3">
        <v>11109</v>
      </c>
      <c r="H1381" s="3">
        <v>293</v>
      </c>
      <c r="I1381" s="4">
        <v>12040.77</v>
      </c>
      <c r="J1381" s="4">
        <v>5299.35</v>
      </c>
      <c r="K1381" s="3">
        <v>151</v>
      </c>
      <c r="L1381" s="2" t="s">
        <v>2518</v>
      </c>
      <c r="M1381" s="2" t="s">
        <v>2524</v>
      </c>
    </row>
    <row r="1382" spans="1:13" x14ac:dyDescent="0.3">
      <c r="A1382" s="1">
        <v>45752</v>
      </c>
      <c r="B1382" s="2" t="s">
        <v>2642</v>
      </c>
      <c r="C1382" s="2" t="s">
        <v>2515</v>
      </c>
      <c r="D1382" s="2" t="s">
        <v>2528</v>
      </c>
      <c r="E1382" s="2" t="s">
        <v>2517</v>
      </c>
      <c r="F1382" s="3">
        <v>70321</v>
      </c>
      <c r="G1382" s="3">
        <v>4372</v>
      </c>
      <c r="H1382" s="3">
        <v>359</v>
      </c>
      <c r="I1382" s="4">
        <v>467.89</v>
      </c>
      <c r="J1382" s="4">
        <v>66108.600000000006</v>
      </c>
      <c r="K1382" s="3">
        <v>180</v>
      </c>
      <c r="L1382" s="2" t="s">
        <v>2539</v>
      </c>
      <c r="M1382" s="2" t="s">
        <v>2519</v>
      </c>
    </row>
    <row r="1383" spans="1:13" x14ac:dyDescent="0.3">
      <c r="A1383" s="1">
        <v>45695</v>
      </c>
      <c r="B1383" s="2" t="s">
        <v>2634</v>
      </c>
      <c r="C1383" s="2" t="s">
        <v>2515</v>
      </c>
      <c r="D1383" s="2" t="s">
        <v>2525</v>
      </c>
      <c r="E1383" s="2" t="s">
        <v>2517</v>
      </c>
      <c r="F1383" s="3">
        <v>113620</v>
      </c>
      <c r="G1383" s="3">
        <v>4875</v>
      </c>
      <c r="H1383" s="3">
        <v>268</v>
      </c>
      <c r="I1383" s="4">
        <v>6289.02</v>
      </c>
      <c r="J1383" s="4">
        <v>12077.01</v>
      </c>
      <c r="K1383" s="3">
        <v>189</v>
      </c>
      <c r="L1383" s="2" t="s">
        <v>2536</v>
      </c>
      <c r="M1383" s="2" t="s">
        <v>2526</v>
      </c>
    </row>
    <row r="1384" spans="1:13" x14ac:dyDescent="0.3">
      <c r="A1384" s="1">
        <v>45875</v>
      </c>
      <c r="B1384" s="2" t="s">
        <v>2624</v>
      </c>
      <c r="C1384" s="2" t="s">
        <v>2533</v>
      </c>
      <c r="D1384" s="2" t="s">
        <v>2528</v>
      </c>
      <c r="E1384" s="2" t="s">
        <v>2529</v>
      </c>
      <c r="F1384" s="3">
        <v>29752</v>
      </c>
      <c r="G1384" s="3">
        <v>1450</v>
      </c>
      <c r="H1384" s="3">
        <v>45</v>
      </c>
      <c r="I1384" s="4">
        <v>384.26</v>
      </c>
      <c r="J1384" s="4">
        <v>9049.51</v>
      </c>
      <c r="K1384" s="3">
        <v>31</v>
      </c>
      <c r="L1384" s="2" t="s">
        <v>2523</v>
      </c>
      <c r="M1384" s="2" t="s">
        <v>2546</v>
      </c>
    </row>
    <row r="1385" spans="1:13" x14ac:dyDescent="0.3">
      <c r="A1385" s="1">
        <v>45904</v>
      </c>
      <c r="B1385" s="2" t="s">
        <v>2625</v>
      </c>
      <c r="C1385" s="2" t="s">
        <v>2543</v>
      </c>
      <c r="D1385" s="2" t="s">
        <v>2528</v>
      </c>
      <c r="E1385" s="2" t="s">
        <v>2517</v>
      </c>
      <c r="F1385" s="3">
        <v>8125</v>
      </c>
      <c r="G1385" s="3">
        <v>352</v>
      </c>
      <c r="H1385" s="3">
        <v>27</v>
      </c>
      <c r="I1385" s="4">
        <v>639.34</v>
      </c>
      <c r="J1385" s="4">
        <v>906.81</v>
      </c>
      <c r="K1385" s="3">
        <v>24</v>
      </c>
      <c r="L1385" s="2" t="s">
        <v>2523</v>
      </c>
      <c r="M1385" s="2" t="s">
        <v>2537</v>
      </c>
    </row>
    <row r="1386" spans="1:13" x14ac:dyDescent="0.3">
      <c r="A1386" s="1">
        <v>45812</v>
      </c>
      <c r="B1386" s="2" t="s">
        <v>2631</v>
      </c>
      <c r="C1386" s="2" t="s">
        <v>2521</v>
      </c>
      <c r="D1386" s="2" t="s">
        <v>2528</v>
      </c>
      <c r="E1386" s="2" t="s">
        <v>2529</v>
      </c>
      <c r="F1386" s="3">
        <v>88571</v>
      </c>
      <c r="G1386" s="3">
        <v>4924</v>
      </c>
      <c r="H1386" s="3">
        <v>543</v>
      </c>
      <c r="I1386" s="4">
        <v>1933.38</v>
      </c>
      <c r="J1386" s="4">
        <v>58873.8</v>
      </c>
      <c r="K1386" s="3">
        <v>440</v>
      </c>
      <c r="L1386" s="2" t="s">
        <v>2536</v>
      </c>
      <c r="M1386" s="2" t="s">
        <v>2537</v>
      </c>
    </row>
    <row r="1387" spans="1:13" x14ac:dyDescent="0.3">
      <c r="A1387" s="1">
        <v>45740</v>
      </c>
      <c r="B1387" s="2" t="s">
        <v>2633</v>
      </c>
      <c r="C1387" s="2" t="s">
        <v>2543</v>
      </c>
      <c r="D1387" s="2" t="s">
        <v>2528</v>
      </c>
      <c r="E1387" s="2" t="s">
        <v>2534</v>
      </c>
      <c r="F1387" s="3">
        <v>8105</v>
      </c>
      <c r="G1387" s="3">
        <v>123</v>
      </c>
      <c r="H1387" s="3">
        <v>14</v>
      </c>
      <c r="I1387" s="4">
        <v>111.25</v>
      </c>
      <c r="J1387" s="4">
        <v>1557.09</v>
      </c>
      <c r="K1387" s="3">
        <v>11</v>
      </c>
      <c r="L1387" s="2" t="s">
        <v>2536</v>
      </c>
      <c r="M1387" s="2" t="s">
        <v>2519</v>
      </c>
    </row>
    <row r="1388" spans="1:13" x14ac:dyDescent="0.3">
      <c r="A1388" s="1">
        <v>45683</v>
      </c>
      <c r="B1388" s="2" t="s">
        <v>2624</v>
      </c>
      <c r="C1388" s="2" t="s">
        <v>2541</v>
      </c>
      <c r="D1388" s="2" t="s">
        <v>2531</v>
      </c>
      <c r="E1388" s="2" t="s">
        <v>2529</v>
      </c>
      <c r="F1388" s="3">
        <v>153799</v>
      </c>
      <c r="G1388" s="3">
        <v>13478</v>
      </c>
      <c r="H1388" s="3">
        <v>1011</v>
      </c>
      <c r="I1388" s="4">
        <v>7598.32</v>
      </c>
      <c r="J1388" s="4">
        <v>137373.91</v>
      </c>
      <c r="K1388" s="3">
        <v>808</v>
      </c>
      <c r="L1388" s="2" t="s">
        <v>2539</v>
      </c>
      <c r="M1388" s="2" t="s">
        <v>2537</v>
      </c>
    </row>
    <row r="1389" spans="1:13" x14ac:dyDescent="0.3">
      <c r="A1389" s="1">
        <v>45673</v>
      </c>
      <c r="B1389" s="2" t="s">
        <v>2630</v>
      </c>
      <c r="C1389" s="2" t="s">
        <v>2543</v>
      </c>
      <c r="D1389" s="2" t="s">
        <v>2528</v>
      </c>
      <c r="E1389" s="2" t="s">
        <v>2529</v>
      </c>
      <c r="F1389" s="3">
        <v>157079</v>
      </c>
      <c r="G1389" s="3">
        <v>5127</v>
      </c>
      <c r="H1389" s="3">
        <v>531</v>
      </c>
      <c r="I1389" s="4">
        <v>8414</v>
      </c>
      <c r="J1389" s="4">
        <v>34222.47</v>
      </c>
      <c r="K1389" s="3">
        <v>321</v>
      </c>
      <c r="L1389" s="2" t="s">
        <v>2518</v>
      </c>
      <c r="M1389" s="2" t="s">
        <v>2537</v>
      </c>
    </row>
    <row r="1390" spans="1:13" x14ac:dyDescent="0.3">
      <c r="A1390" s="1">
        <v>45899</v>
      </c>
      <c r="B1390" s="2" t="s">
        <v>2631</v>
      </c>
      <c r="C1390" s="2" t="s">
        <v>2515</v>
      </c>
      <c r="D1390" s="2" t="s">
        <v>2516</v>
      </c>
      <c r="E1390" s="2" t="s">
        <v>2529</v>
      </c>
      <c r="F1390" s="3">
        <v>12603</v>
      </c>
      <c r="G1390" s="3">
        <v>316</v>
      </c>
      <c r="H1390" s="3">
        <v>10</v>
      </c>
      <c r="I1390" s="4">
        <v>589.63</v>
      </c>
      <c r="J1390" s="4">
        <v>2172.6999999999998</v>
      </c>
      <c r="K1390" s="3">
        <v>6</v>
      </c>
      <c r="L1390" s="2" t="s">
        <v>2523</v>
      </c>
      <c r="M1390" s="2" t="s">
        <v>2537</v>
      </c>
    </row>
    <row r="1391" spans="1:13" x14ac:dyDescent="0.3">
      <c r="A1391" s="1">
        <v>45990</v>
      </c>
      <c r="B1391" s="2" t="s">
        <v>2618</v>
      </c>
      <c r="C1391" s="2" t="s">
        <v>2533</v>
      </c>
      <c r="D1391" s="2" t="s">
        <v>2522</v>
      </c>
      <c r="E1391" s="2" t="s">
        <v>2517</v>
      </c>
      <c r="F1391" s="3">
        <v>30947</v>
      </c>
      <c r="G1391" s="3">
        <v>1116</v>
      </c>
      <c r="H1391" s="3">
        <v>47</v>
      </c>
      <c r="I1391" s="4">
        <v>2018.09</v>
      </c>
      <c r="J1391" s="4">
        <v>7571.93</v>
      </c>
      <c r="K1391" s="3">
        <v>40</v>
      </c>
      <c r="L1391" s="2" t="s">
        <v>2539</v>
      </c>
      <c r="M1391" s="2" t="s">
        <v>2526</v>
      </c>
    </row>
    <row r="1392" spans="1:13" x14ac:dyDescent="0.3">
      <c r="A1392" s="1">
        <v>45765</v>
      </c>
      <c r="B1392" s="2" t="s">
        <v>2639</v>
      </c>
      <c r="C1392" s="2" t="s">
        <v>2541</v>
      </c>
      <c r="D1392" s="2" t="s">
        <v>2516</v>
      </c>
      <c r="E1392" s="2" t="s">
        <v>2517</v>
      </c>
      <c r="F1392" s="3">
        <v>131188</v>
      </c>
      <c r="G1392" s="3">
        <v>6918</v>
      </c>
      <c r="H1392" s="3">
        <v>750</v>
      </c>
      <c r="I1392" s="4">
        <v>13825.98</v>
      </c>
      <c r="J1392" s="4">
        <v>56164.53</v>
      </c>
      <c r="K1392" s="3">
        <v>345</v>
      </c>
      <c r="L1392" s="2" t="s">
        <v>2539</v>
      </c>
      <c r="M1392" s="2" t="s">
        <v>2519</v>
      </c>
    </row>
    <row r="1393" spans="1:13" x14ac:dyDescent="0.3">
      <c r="A1393" s="1">
        <v>45814</v>
      </c>
      <c r="B1393" s="2" t="s">
        <v>2633</v>
      </c>
      <c r="C1393" s="2" t="s">
        <v>2521</v>
      </c>
      <c r="D1393" s="2" t="s">
        <v>2528</v>
      </c>
      <c r="E1393" s="2" t="s">
        <v>2529</v>
      </c>
      <c r="F1393" s="3">
        <v>50273</v>
      </c>
      <c r="G1393" s="3">
        <v>655</v>
      </c>
      <c r="H1393" s="3">
        <v>79</v>
      </c>
      <c r="I1393" s="4">
        <v>1309.6099999999999</v>
      </c>
      <c r="J1393" s="4">
        <v>5382.81</v>
      </c>
      <c r="K1393" s="3">
        <v>68</v>
      </c>
      <c r="L1393" s="2" t="s">
        <v>2536</v>
      </c>
      <c r="M1393" s="2" t="s">
        <v>2524</v>
      </c>
    </row>
    <row r="1394" spans="1:13" x14ac:dyDescent="0.3">
      <c r="A1394" s="1">
        <v>45788</v>
      </c>
      <c r="B1394" s="2" t="s">
        <v>2618</v>
      </c>
      <c r="C1394" s="2" t="s">
        <v>2533</v>
      </c>
      <c r="D1394" s="2" t="s">
        <v>2528</v>
      </c>
      <c r="E1394" s="2" t="s">
        <v>2517</v>
      </c>
      <c r="F1394" s="3">
        <v>154262</v>
      </c>
      <c r="G1394" s="3">
        <v>2825</v>
      </c>
      <c r="H1394" s="3">
        <v>390</v>
      </c>
      <c r="I1394" s="4">
        <v>2855.96</v>
      </c>
      <c r="J1394" s="4">
        <v>7112.68</v>
      </c>
      <c r="K1394" s="3">
        <v>188</v>
      </c>
      <c r="L1394" s="2" t="s">
        <v>2539</v>
      </c>
      <c r="M1394" s="2" t="s">
        <v>2526</v>
      </c>
    </row>
    <row r="1395" spans="1:13" x14ac:dyDescent="0.3">
      <c r="A1395" s="1">
        <v>45873</v>
      </c>
      <c r="B1395" s="2" t="s">
        <v>2643</v>
      </c>
      <c r="C1395" s="2" t="s">
        <v>2543</v>
      </c>
      <c r="D1395" s="2" t="s">
        <v>2531</v>
      </c>
      <c r="E1395" s="2" t="s">
        <v>2529</v>
      </c>
      <c r="F1395" s="3">
        <v>79781</v>
      </c>
      <c r="G1395" s="3">
        <v>4728</v>
      </c>
      <c r="H1395" s="3">
        <v>374</v>
      </c>
      <c r="I1395" s="4">
        <v>7506.15</v>
      </c>
      <c r="J1395" s="4">
        <v>81617.710000000006</v>
      </c>
      <c r="K1395" s="3">
        <v>268</v>
      </c>
      <c r="L1395" s="2" t="s">
        <v>2523</v>
      </c>
      <c r="M1395" s="2" t="s">
        <v>2524</v>
      </c>
    </row>
    <row r="1396" spans="1:13" x14ac:dyDescent="0.3">
      <c r="A1396" s="1">
        <v>45874</v>
      </c>
      <c r="B1396" s="2" t="s">
        <v>2629</v>
      </c>
      <c r="C1396" s="2" t="s">
        <v>2533</v>
      </c>
      <c r="D1396" s="2" t="s">
        <v>2528</v>
      </c>
      <c r="E1396" s="2" t="s">
        <v>2529</v>
      </c>
      <c r="F1396" s="3">
        <v>32930</v>
      </c>
      <c r="G1396" s="3">
        <v>961</v>
      </c>
      <c r="H1396" s="3">
        <v>67</v>
      </c>
      <c r="I1396" s="4">
        <v>1202.95</v>
      </c>
      <c r="J1396" s="4">
        <v>5692.84</v>
      </c>
      <c r="K1396" s="3">
        <v>44</v>
      </c>
      <c r="L1396" s="2" t="s">
        <v>2518</v>
      </c>
      <c r="M1396" s="2" t="s">
        <v>2524</v>
      </c>
    </row>
    <row r="1397" spans="1:13" x14ac:dyDescent="0.3">
      <c r="A1397" s="1">
        <v>45790</v>
      </c>
      <c r="B1397" s="2" t="s">
        <v>2623</v>
      </c>
      <c r="C1397" s="2" t="s">
        <v>2521</v>
      </c>
      <c r="D1397" s="2" t="s">
        <v>2531</v>
      </c>
      <c r="E1397" s="2" t="s">
        <v>2517</v>
      </c>
      <c r="F1397" s="3">
        <v>15642</v>
      </c>
      <c r="G1397" s="3">
        <v>1146</v>
      </c>
      <c r="H1397" s="3">
        <v>108</v>
      </c>
      <c r="I1397" s="4">
        <v>521.38</v>
      </c>
      <c r="J1397" s="4">
        <v>12405.33</v>
      </c>
      <c r="K1397" s="3">
        <v>59</v>
      </c>
      <c r="L1397" s="2" t="s">
        <v>2536</v>
      </c>
      <c r="M1397" s="2" t="s">
        <v>2524</v>
      </c>
    </row>
    <row r="1398" spans="1:13" x14ac:dyDescent="0.3">
      <c r="A1398" s="1">
        <v>45676</v>
      </c>
      <c r="B1398" s="2" t="s">
        <v>2616</v>
      </c>
      <c r="C1398" s="2" t="s">
        <v>2541</v>
      </c>
      <c r="D1398" s="2" t="s">
        <v>2525</v>
      </c>
      <c r="E1398" s="2" t="s">
        <v>2529</v>
      </c>
      <c r="F1398" s="3">
        <v>164543</v>
      </c>
      <c r="G1398" s="3">
        <v>1783</v>
      </c>
      <c r="H1398" s="3">
        <v>48</v>
      </c>
      <c r="I1398" s="4">
        <v>335.24</v>
      </c>
      <c r="J1398" s="4">
        <v>4381.3599999999997</v>
      </c>
      <c r="K1398" s="3">
        <v>36</v>
      </c>
      <c r="L1398" s="2" t="s">
        <v>2539</v>
      </c>
      <c r="M1398" s="2" t="s">
        <v>2524</v>
      </c>
    </row>
    <row r="1399" spans="1:13" x14ac:dyDescent="0.3">
      <c r="A1399" s="1">
        <v>45882</v>
      </c>
      <c r="B1399" s="2" t="s">
        <v>2629</v>
      </c>
      <c r="C1399" s="2" t="s">
        <v>2521</v>
      </c>
      <c r="D1399" s="2" t="s">
        <v>2522</v>
      </c>
      <c r="E1399" s="2" t="s">
        <v>2529</v>
      </c>
      <c r="F1399" s="3">
        <v>150527</v>
      </c>
      <c r="G1399" s="3">
        <v>6648</v>
      </c>
      <c r="H1399" s="3">
        <v>882</v>
      </c>
      <c r="I1399" s="4">
        <v>1778.87</v>
      </c>
      <c r="J1399" s="4">
        <v>132901.84</v>
      </c>
      <c r="K1399" s="3">
        <v>660</v>
      </c>
      <c r="L1399" s="2" t="s">
        <v>2536</v>
      </c>
      <c r="M1399" s="2" t="s">
        <v>2546</v>
      </c>
    </row>
    <row r="1400" spans="1:13" x14ac:dyDescent="0.3">
      <c r="A1400" s="1">
        <v>46006</v>
      </c>
      <c r="B1400" s="2" t="s">
        <v>2620</v>
      </c>
      <c r="C1400" s="2" t="s">
        <v>2541</v>
      </c>
      <c r="D1400" s="2" t="s">
        <v>2528</v>
      </c>
      <c r="E1400" s="2" t="s">
        <v>2517</v>
      </c>
      <c r="F1400" s="3">
        <v>102652</v>
      </c>
      <c r="G1400" s="3">
        <v>6331</v>
      </c>
      <c r="H1400" s="3">
        <v>741</v>
      </c>
      <c r="I1400" s="4">
        <v>7654.88</v>
      </c>
      <c r="J1400" s="4">
        <v>12865.93</v>
      </c>
      <c r="K1400" s="3">
        <v>396</v>
      </c>
      <c r="L1400" s="2" t="s">
        <v>2536</v>
      </c>
      <c r="M1400" s="2" t="s">
        <v>2519</v>
      </c>
    </row>
    <row r="1401" spans="1:13" x14ac:dyDescent="0.3">
      <c r="A1401" s="1">
        <v>45909</v>
      </c>
      <c r="B1401" s="2" t="s">
        <v>2636</v>
      </c>
      <c r="C1401" s="2" t="s">
        <v>2533</v>
      </c>
      <c r="D1401" s="2" t="s">
        <v>2528</v>
      </c>
      <c r="E1401" s="2" t="s">
        <v>2529</v>
      </c>
      <c r="F1401" s="3">
        <v>142149</v>
      </c>
      <c r="G1401" s="3">
        <v>5151</v>
      </c>
      <c r="H1401" s="3">
        <v>209</v>
      </c>
      <c r="I1401" s="4">
        <v>10034.25</v>
      </c>
      <c r="J1401" s="4">
        <v>3188.46</v>
      </c>
      <c r="K1401" s="3">
        <v>120</v>
      </c>
      <c r="L1401" s="2" t="s">
        <v>2518</v>
      </c>
      <c r="M1401" s="2" t="s">
        <v>2524</v>
      </c>
    </row>
    <row r="1402" spans="1:13" x14ac:dyDescent="0.3">
      <c r="A1402" s="1">
        <v>46011</v>
      </c>
      <c r="B1402" s="2" t="s">
        <v>2625</v>
      </c>
      <c r="C1402" s="2" t="s">
        <v>2515</v>
      </c>
      <c r="D1402" s="2" t="s">
        <v>2528</v>
      </c>
      <c r="E1402" s="2" t="s">
        <v>2517</v>
      </c>
      <c r="F1402" s="3">
        <v>52292</v>
      </c>
      <c r="G1402" s="3">
        <v>3312</v>
      </c>
      <c r="H1402" s="3">
        <v>360</v>
      </c>
      <c r="I1402" s="4">
        <v>3057.14</v>
      </c>
      <c r="J1402" s="4">
        <v>69437.990000000005</v>
      </c>
      <c r="K1402" s="3">
        <v>238</v>
      </c>
      <c r="L1402" s="2" t="s">
        <v>2523</v>
      </c>
      <c r="M1402" s="2" t="s">
        <v>2519</v>
      </c>
    </row>
    <row r="1403" spans="1:13" x14ac:dyDescent="0.3">
      <c r="A1403" s="1">
        <v>46013</v>
      </c>
      <c r="B1403" s="2" t="s">
        <v>2642</v>
      </c>
      <c r="C1403" s="2" t="s">
        <v>2515</v>
      </c>
      <c r="D1403" s="2" t="s">
        <v>2528</v>
      </c>
      <c r="E1403" s="2" t="s">
        <v>2529</v>
      </c>
      <c r="F1403" s="3">
        <v>123525</v>
      </c>
      <c r="G1403" s="3">
        <v>4416</v>
      </c>
      <c r="H1403" s="3">
        <v>443</v>
      </c>
      <c r="I1403" s="4">
        <v>9002.16</v>
      </c>
      <c r="J1403" s="4">
        <v>7346.83</v>
      </c>
      <c r="K1403" s="3">
        <v>271</v>
      </c>
      <c r="L1403" s="2" t="s">
        <v>2536</v>
      </c>
      <c r="M1403" s="2" t="s">
        <v>2519</v>
      </c>
    </row>
    <row r="1404" spans="1:13" x14ac:dyDescent="0.3">
      <c r="A1404" s="1">
        <v>45677</v>
      </c>
      <c r="B1404" s="2" t="s">
        <v>2638</v>
      </c>
      <c r="C1404" s="2" t="s">
        <v>2521</v>
      </c>
      <c r="D1404" s="2" t="s">
        <v>2531</v>
      </c>
      <c r="E1404" s="2" t="s">
        <v>2529</v>
      </c>
      <c r="F1404" s="3">
        <v>6385</v>
      </c>
      <c r="G1404" s="3">
        <v>378</v>
      </c>
      <c r="H1404" s="3">
        <v>51</v>
      </c>
      <c r="I1404" s="4">
        <v>554.84</v>
      </c>
      <c r="J1404" s="4">
        <v>2938.27</v>
      </c>
      <c r="K1404" s="3">
        <v>24</v>
      </c>
      <c r="L1404" s="2" t="s">
        <v>2539</v>
      </c>
      <c r="M1404" s="2" t="s">
        <v>2526</v>
      </c>
    </row>
    <row r="1405" spans="1:13" x14ac:dyDescent="0.3">
      <c r="A1405" s="1">
        <v>45742</v>
      </c>
      <c r="B1405" s="2" t="s">
        <v>2637</v>
      </c>
      <c r="C1405" s="2" t="s">
        <v>2527</v>
      </c>
      <c r="D1405" s="2" t="s">
        <v>2528</v>
      </c>
      <c r="E1405" s="2" t="s">
        <v>2529</v>
      </c>
      <c r="F1405" s="3">
        <v>130044</v>
      </c>
      <c r="G1405" s="3">
        <v>7319</v>
      </c>
      <c r="H1405" s="3">
        <v>386</v>
      </c>
      <c r="I1405" s="4">
        <v>13151.05</v>
      </c>
      <c r="J1405" s="4">
        <v>68396.33</v>
      </c>
      <c r="K1405" s="3">
        <v>304</v>
      </c>
      <c r="L1405" s="2" t="s">
        <v>2536</v>
      </c>
      <c r="M1405" s="2" t="s">
        <v>2546</v>
      </c>
    </row>
    <row r="1406" spans="1:13" x14ac:dyDescent="0.3">
      <c r="A1406" s="1">
        <v>45733</v>
      </c>
      <c r="B1406" s="2" t="s">
        <v>2633</v>
      </c>
      <c r="C1406" s="2" t="s">
        <v>2515</v>
      </c>
      <c r="D1406" s="2" t="s">
        <v>2516</v>
      </c>
      <c r="E1406" s="2" t="s">
        <v>2534</v>
      </c>
      <c r="F1406" s="3">
        <v>88209</v>
      </c>
      <c r="G1406" s="3">
        <v>398</v>
      </c>
      <c r="H1406" s="3">
        <v>49</v>
      </c>
      <c r="I1406" s="4">
        <v>539.1</v>
      </c>
      <c r="J1406" s="4">
        <v>8477.5300000000007</v>
      </c>
      <c r="K1406" s="3">
        <v>29</v>
      </c>
      <c r="L1406" s="2" t="s">
        <v>2523</v>
      </c>
      <c r="M1406" s="2" t="s">
        <v>2524</v>
      </c>
    </row>
    <row r="1407" spans="1:13" x14ac:dyDescent="0.3">
      <c r="A1407" s="1">
        <v>45932</v>
      </c>
      <c r="B1407" s="2" t="s">
        <v>2626</v>
      </c>
      <c r="C1407" s="2" t="s">
        <v>2527</v>
      </c>
      <c r="D1407" s="2" t="s">
        <v>2528</v>
      </c>
      <c r="E1407" s="2" t="s">
        <v>2534</v>
      </c>
      <c r="F1407" s="3">
        <v>155618</v>
      </c>
      <c r="G1407" s="3">
        <v>11634</v>
      </c>
      <c r="H1407" s="3">
        <v>1171</v>
      </c>
      <c r="I1407" s="4">
        <v>16483.939999999999</v>
      </c>
      <c r="J1407" s="4">
        <v>142358.87</v>
      </c>
      <c r="K1407" s="3">
        <v>668</v>
      </c>
      <c r="L1407" s="2" t="s">
        <v>2536</v>
      </c>
      <c r="M1407" s="2" t="s">
        <v>2546</v>
      </c>
    </row>
    <row r="1408" spans="1:13" x14ac:dyDescent="0.3">
      <c r="A1408" s="1">
        <v>45874</v>
      </c>
      <c r="B1408" s="2" t="s">
        <v>2630</v>
      </c>
      <c r="C1408" s="2" t="s">
        <v>2521</v>
      </c>
      <c r="D1408" s="2" t="s">
        <v>2525</v>
      </c>
      <c r="E1408" s="2" t="s">
        <v>2517</v>
      </c>
      <c r="F1408" s="3">
        <v>130763</v>
      </c>
      <c r="G1408" s="3">
        <v>890</v>
      </c>
      <c r="H1408" s="3">
        <v>25</v>
      </c>
      <c r="I1408" s="4">
        <v>694.99</v>
      </c>
      <c r="J1408" s="4">
        <v>745.93</v>
      </c>
      <c r="K1408" s="3">
        <v>14</v>
      </c>
      <c r="L1408" s="2" t="s">
        <v>2536</v>
      </c>
      <c r="M1408" s="2" t="s">
        <v>2524</v>
      </c>
    </row>
    <row r="1409" spans="1:13" x14ac:dyDescent="0.3">
      <c r="A1409" s="1">
        <v>45714</v>
      </c>
      <c r="B1409" s="2" t="s">
        <v>2617</v>
      </c>
      <c r="C1409" s="2" t="s">
        <v>2533</v>
      </c>
      <c r="D1409" s="2" t="s">
        <v>2516</v>
      </c>
      <c r="E1409" s="2" t="s">
        <v>2529</v>
      </c>
      <c r="F1409" s="3">
        <v>77734</v>
      </c>
      <c r="G1409" s="3">
        <v>4952</v>
      </c>
      <c r="H1409" s="3">
        <v>31</v>
      </c>
      <c r="I1409" s="4">
        <v>6671.24</v>
      </c>
      <c r="J1409" s="4">
        <v>2890.66</v>
      </c>
      <c r="K1409" s="3">
        <v>19</v>
      </c>
      <c r="L1409" s="2" t="s">
        <v>2536</v>
      </c>
      <c r="M1409" s="2" t="s">
        <v>2524</v>
      </c>
    </row>
    <row r="1410" spans="1:13" x14ac:dyDescent="0.3">
      <c r="A1410" s="1">
        <v>45870</v>
      </c>
      <c r="B1410" s="2" t="s">
        <v>2616</v>
      </c>
      <c r="C1410" s="2" t="s">
        <v>2541</v>
      </c>
      <c r="D1410" s="2" t="s">
        <v>2525</v>
      </c>
      <c r="E1410" s="2" t="s">
        <v>2529</v>
      </c>
      <c r="F1410" s="3">
        <v>147578</v>
      </c>
      <c r="G1410" s="3">
        <v>10590</v>
      </c>
      <c r="H1410" s="3">
        <v>573</v>
      </c>
      <c r="I1410" s="4">
        <v>12512.4</v>
      </c>
      <c r="J1410" s="4">
        <v>83779.899999999994</v>
      </c>
      <c r="K1410" s="3">
        <v>411</v>
      </c>
      <c r="L1410" s="2" t="s">
        <v>2539</v>
      </c>
      <c r="M1410" s="2" t="s">
        <v>2519</v>
      </c>
    </row>
    <row r="1411" spans="1:13" x14ac:dyDescent="0.3">
      <c r="A1411" s="1">
        <v>45668</v>
      </c>
      <c r="B1411" s="2" t="s">
        <v>2644</v>
      </c>
      <c r="C1411" s="2" t="s">
        <v>2533</v>
      </c>
      <c r="D1411" s="2" t="s">
        <v>2528</v>
      </c>
      <c r="E1411" s="2" t="s">
        <v>2517</v>
      </c>
      <c r="F1411" s="3">
        <v>156532</v>
      </c>
      <c r="G1411" s="3">
        <v>1322</v>
      </c>
      <c r="H1411" s="3">
        <v>161</v>
      </c>
      <c r="I1411" s="4">
        <v>2354.91</v>
      </c>
      <c r="J1411" s="4">
        <v>23218.41</v>
      </c>
      <c r="K1411" s="3">
        <v>122</v>
      </c>
      <c r="L1411" s="2" t="s">
        <v>2518</v>
      </c>
      <c r="M1411" s="2" t="s">
        <v>2537</v>
      </c>
    </row>
    <row r="1412" spans="1:13" x14ac:dyDescent="0.3">
      <c r="A1412" s="1">
        <v>45672</v>
      </c>
      <c r="B1412" s="2" t="s">
        <v>2642</v>
      </c>
      <c r="C1412" s="2" t="s">
        <v>2527</v>
      </c>
      <c r="D1412" s="2" t="s">
        <v>2528</v>
      </c>
      <c r="E1412" s="2" t="s">
        <v>2529</v>
      </c>
      <c r="F1412" s="3">
        <v>103037</v>
      </c>
      <c r="G1412" s="3">
        <v>5721</v>
      </c>
      <c r="H1412" s="3">
        <v>686</v>
      </c>
      <c r="I1412" s="4">
        <v>10224.799999999999</v>
      </c>
      <c r="J1412" s="4">
        <v>31502.94</v>
      </c>
      <c r="K1412" s="3">
        <v>428</v>
      </c>
      <c r="L1412" s="2" t="s">
        <v>2518</v>
      </c>
      <c r="M1412" s="2" t="s">
        <v>2526</v>
      </c>
    </row>
    <row r="1413" spans="1:13" x14ac:dyDescent="0.3">
      <c r="A1413" s="1">
        <v>45991</v>
      </c>
      <c r="B1413" s="2" t="s">
        <v>2640</v>
      </c>
      <c r="C1413" s="2" t="s">
        <v>2527</v>
      </c>
      <c r="D1413" s="2" t="s">
        <v>2531</v>
      </c>
      <c r="E1413" s="2" t="s">
        <v>2517</v>
      </c>
      <c r="F1413" s="3">
        <v>120105</v>
      </c>
      <c r="G1413" s="3">
        <v>10302</v>
      </c>
      <c r="H1413" s="3">
        <v>299</v>
      </c>
      <c r="I1413" s="4">
        <v>1537.67</v>
      </c>
      <c r="J1413" s="4">
        <v>23534.49</v>
      </c>
      <c r="K1413" s="3">
        <v>228</v>
      </c>
      <c r="L1413" s="2" t="s">
        <v>2539</v>
      </c>
      <c r="M1413" s="2" t="s">
        <v>2546</v>
      </c>
    </row>
    <row r="1414" spans="1:13" x14ac:dyDescent="0.3">
      <c r="A1414" s="1">
        <v>45898</v>
      </c>
      <c r="B1414" s="2" t="s">
        <v>2637</v>
      </c>
      <c r="C1414" s="2" t="s">
        <v>2521</v>
      </c>
      <c r="D1414" s="2" t="s">
        <v>2528</v>
      </c>
      <c r="E1414" s="2" t="s">
        <v>2529</v>
      </c>
      <c r="F1414" s="3">
        <v>36498</v>
      </c>
      <c r="G1414" s="3">
        <v>2356</v>
      </c>
      <c r="H1414" s="3">
        <v>299</v>
      </c>
      <c r="I1414" s="4">
        <v>486.73</v>
      </c>
      <c r="J1414" s="4">
        <v>40535.910000000003</v>
      </c>
      <c r="K1414" s="3">
        <v>231</v>
      </c>
      <c r="L1414" s="2" t="s">
        <v>2523</v>
      </c>
      <c r="M1414" s="2" t="s">
        <v>2526</v>
      </c>
    </row>
    <row r="1415" spans="1:13" x14ac:dyDescent="0.3">
      <c r="A1415" s="1">
        <v>45845</v>
      </c>
      <c r="B1415" s="2" t="s">
        <v>2641</v>
      </c>
      <c r="C1415" s="2" t="s">
        <v>2543</v>
      </c>
      <c r="D1415" s="2" t="s">
        <v>2645</v>
      </c>
      <c r="E1415" s="2" t="s">
        <v>2529</v>
      </c>
      <c r="F1415" s="3">
        <v>169826</v>
      </c>
      <c r="G1415" s="3">
        <v>12317</v>
      </c>
      <c r="H1415" s="3">
        <v>344</v>
      </c>
      <c r="I1415" s="4">
        <v>16000.14</v>
      </c>
      <c r="J1415" s="4">
        <v>22173.88</v>
      </c>
      <c r="K1415" s="3">
        <v>226</v>
      </c>
      <c r="L1415" s="2" t="s">
        <v>2518</v>
      </c>
      <c r="M1415" s="2" t="s">
        <v>2524</v>
      </c>
    </row>
    <row r="1416" spans="1:13" x14ac:dyDescent="0.3">
      <c r="A1416" s="1">
        <v>45723</v>
      </c>
      <c r="B1416" s="2" t="s">
        <v>2640</v>
      </c>
      <c r="C1416" s="2" t="s">
        <v>2541</v>
      </c>
      <c r="D1416" s="2" t="s">
        <v>2531</v>
      </c>
      <c r="E1416" s="2" t="s">
        <v>2517</v>
      </c>
      <c r="F1416" s="3">
        <v>31003</v>
      </c>
      <c r="G1416" s="3">
        <v>553</v>
      </c>
      <c r="H1416" s="3">
        <v>35</v>
      </c>
      <c r="I1416" s="4">
        <v>680.31</v>
      </c>
      <c r="J1416" s="4">
        <v>2094.81</v>
      </c>
      <c r="K1416" s="3">
        <v>22</v>
      </c>
      <c r="L1416" s="2" t="s">
        <v>2539</v>
      </c>
      <c r="M1416" s="2" t="s">
        <v>2546</v>
      </c>
    </row>
    <row r="1417" spans="1:13" x14ac:dyDescent="0.3">
      <c r="A1417" s="1">
        <v>45901</v>
      </c>
      <c r="B1417" s="2" t="s">
        <v>2627</v>
      </c>
      <c r="C1417" s="2" t="s">
        <v>2527</v>
      </c>
      <c r="D1417" s="2" t="s">
        <v>2528</v>
      </c>
      <c r="E1417" s="2" t="s">
        <v>2529</v>
      </c>
      <c r="F1417" s="3">
        <v>14291</v>
      </c>
      <c r="G1417" s="3">
        <v>1198</v>
      </c>
      <c r="H1417" s="3">
        <v>152</v>
      </c>
      <c r="I1417" s="4">
        <v>2139.21</v>
      </c>
      <c r="J1417" s="4">
        <v>19147.919999999998</v>
      </c>
      <c r="K1417" s="3">
        <v>96</v>
      </c>
      <c r="L1417" s="2" t="s">
        <v>2518</v>
      </c>
      <c r="M1417" s="2" t="s">
        <v>2526</v>
      </c>
    </row>
    <row r="1418" spans="1:13" x14ac:dyDescent="0.3">
      <c r="A1418" s="1">
        <v>45703</v>
      </c>
      <c r="B1418" s="2" t="s">
        <v>2637</v>
      </c>
      <c r="C1418" s="2" t="s">
        <v>2515</v>
      </c>
      <c r="D1418" s="2" t="s">
        <v>2531</v>
      </c>
      <c r="E1418" s="2" t="s">
        <v>2517</v>
      </c>
      <c r="F1418" s="3">
        <v>71668</v>
      </c>
      <c r="G1418" s="3">
        <v>5069</v>
      </c>
      <c r="H1418" s="3">
        <v>594</v>
      </c>
      <c r="I1418" s="4">
        <v>7828.79</v>
      </c>
      <c r="J1418" s="4">
        <v>54460.88</v>
      </c>
      <c r="K1418" s="3">
        <v>309</v>
      </c>
      <c r="L1418" s="2" t="s">
        <v>2518</v>
      </c>
      <c r="M1418" s="2" t="s">
        <v>2526</v>
      </c>
    </row>
    <row r="1419" spans="1:13" x14ac:dyDescent="0.3">
      <c r="A1419" s="1">
        <v>45853</v>
      </c>
      <c r="B1419" s="2" t="s">
        <v>2627</v>
      </c>
      <c r="C1419" s="2" t="s">
        <v>2521</v>
      </c>
      <c r="D1419" s="2" t="s">
        <v>2531</v>
      </c>
      <c r="E1419" s="2" t="s">
        <v>2529</v>
      </c>
      <c r="F1419" s="3">
        <v>47262</v>
      </c>
      <c r="G1419" s="3">
        <v>399</v>
      </c>
      <c r="H1419" s="3">
        <v>43</v>
      </c>
      <c r="I1419" s="4">
        <v>123.13</v>
      </c>
      <c r="J1419" s="4">
        <v>3262.63</v>
      </c>
      <c r="K1419" s="3">
        <v>30</v>
      </c>
      <c r="L1419" s="2" t="s">
        <v>2518</v>
      </c>
      <c r="M1419" s="2" t="s">
        <v>2546</v>
      </c>
    </row>
    <row r="1420" spans="1:13" x14ac:dyDescent="0.3">
      <c r="A1420" s="1">
        <v>45908</v>
      </c>
      <c r="B1420" s="2" t="s">
        <v>2641</v>
      </c>
      <c r="C1420" s="2" t="s">
        <v>2515</v>
      </c>
      <c r="D1420" s="2" t="s">
        <v>2531</v>
      </c>
      <c r="E1420" s="2" t="s">
        <v>2517</v>
      </c>
      <c r="F1420" s="3">
        <v>103575</v>
      </c>
      <c r="G1420" s="3">
        <v>1136</v>
      </c>
      <c r="H1420" s="3">
        <v>82</v>
      </c>
      <c r="I1420" s="4">
        <v>2365.1999999999998</v>
      </c>
      <c r="J1420" s="4">
        <v>4606.62</v>
      </c>
      <c r="K1420" s="3">
        <v>45</v>
      </c>
      <c r="L1420" s="2" t="s">
        <v>2539</v>
      </c>
      <c r="M1420" s="2" t="s">
        <v>2524</v>
      </c>
    </row>
    <row r="1421" spans="1:13" x14ac:dyDescent="0.3">
      <c r="A1421" s="1">
        <v>45871</v>
      </c>
      <c r="B1421" s="2" t="s">
        <v>2623</v>
      </c>
      <c r="C1421" s="2" t="s">
        <v>2521</v>
      </c>
      <c r="D1421" s="2" t="s">
        <v>2531</v>
      </c>
      <c r="E1421" s="2" t="s">
        <v>2529</v>
      </c>
      <c r="F1421" s="3">
        <v>141767</v>
      </c>
      <c r="G1421" s="3">
        <v>6496</v>
      </c>
      <c r="H1421" s="3">
        <v>657</v>
      </c>
      <c r="I1421" s="4">
        <v>1147.97</v>
      </c>
      <c r="J1421" s="4">
        <v>21812.31</v>
      </c>
      <c r="K1421" s="3">
        <v>573</v>
      </c>
      <c r="L1421" s="2" t="s">
        <v>2523</v>
      </c>
      <c r="M1421" s="2" t="s">
        <v>2537</v>
      </c>
    </row>
    <row r="1422" spans="1:13" x14ac:dyDescent="0.3">
      <c r="A1422" s="1">
        <v>45775</v>
      </c>
      <c r="B1422" s="2" t="s">
        <v>2636</v>
      </c>
      <c r="C1422" s="2" t="s">
        <v>2541</v>
      </c>
      <c r="D1422" s="2" t="s">
        <v>2522</v>
      </c>
      <c r="E1422" s="2" t="s">
        <v>2517</v>
      </c>
      <c r="F1422" s="3">
        <v>78313</v>
      </c>
      <c r="G1422" s="3">
        <v>1331</v>
      </c>
      <c r="H1422" s="3">
        <v>93</v>
      </c>
      <c r="I1422" s="4">
        <v>1476.85</v>
      </c>
      <c r="J1422" s="4">
        <v>11856.12</v>
      </c>
      <c r="K1422" s="3">
        <v>79</v>
      </c>
      <c r="L1422" s="2" t="s">
        <v>2518</v>
      </c>
      <c r="M1422" s="2" t="s">
        <v>2519</v>
      </c>
    </row>
    <row r="1423" spans="1:13" x14ac:dyDescent="0.3">
      <c r="A1423" s="1">
        <v>45695</v>
      </c>
      <c r="B1423" s="2" t="s">
        <v>2641</v>
      </c>
      <c r="C1423" s="2" t="s">
        <v>2521</v>
      </c>
      <c r="D1423" s="2" t="s">
        <v>2528</v>
      </c>
      <c r="E1423" s="2" t="s">
        <v>2529</v>
      </c>
      <c r="F1423" s="3">
        <v>97509</v>
      </c>
      <c r="G1423" s="3">
        <v>1056</v>
      </c>
      <c r="H1423" s="3">
        <v>109</v>
      </c>
      <c r="I1423" s="4">
        <v>197.82</v>
      </c>
      <c r="J1423" s="4">
        <v>6537.22</v>
      </c>
      <c r="K1423" s="3">
        <v>55</v>
      </c>
      <c r="L1423" s="2" t="s">
        <v>2518</v>
      </c>
      <c r="M1423" s="2" t="s">
        <v>2537</v>
      </c>
    </row>
    <row r="1424" spans="1:13" x14ac:dyDescent="0.3">
      <c r="A1424" s="1">
        <v>45770</v>
      </c>
      <c r="B1424" s="2" t="s">
        <v>2618</v>
      </c>
      <c r="C1424" s="2" t="s">
        <v>2521</v>
      </c>
      <c r="D1424" s="2" t="s">
        <v>2522</v>
      </c>
      <c r="E1424" s="2" t="s">
        <v>2534</v>
      </c>
      <c r="F1424" s="3">
        <v>43260</v>
      </c>
      <c r="G1424" s="3">
        <v>1015</v>
      </c>
      <c r="H1424" s="3">
        <v>110</v>
      </c>
      <c r="I1424" s="4">
        <v>1803.86</v>
      </c>
      <c r="J1424" s="4">
        <v>7877.76</v>
      </c>
      <c r="K1424" s="3">
        <v>91</v>
      </c>
      <c r="L1424" s="2" t="s">
        <v>2539</v>
      </c>
      <c r="M1424" s="2" t="s">
        <v>2526</v>
      </c>
    </row>
    <row r="1425" spans="1:13" x14ac:dyDescent="0.3">
      <c r="A1425" s="1">
        <v>45889</v>
      </c>
      <c r="B1425" s="2" t="s">
        <v>2617</v>
      </c>
      <c r="C1425" s="2" t="s">
        <v>2515</v>
      </c>
      <c r="D1425" s="2" t="s">
        <v>2528</v>
      </c>
      <c r="E1425" s="2" t="s">
        <v>2517</v>
      </c>
      <c r="F1425" s="3">
        <v>105343</v>
      </c>
      <c r="G1425" s="3">
        <v>3588</v>
      </c>
      <c r="H1425" s="3">
        <v>250</v>
      </c>
      <c r="I1425" s="4">
        <v>2248.35</v>
      </c>
      <c r="J1425" s="4">
        <v>10991.46</v>
      </c>
      <c r="K1425" s="3">
        <v>167</v>
      </c>
      <c r="L1425" s="2" t="s">
        <v>2523</v>
      </c>
      <c r="M1425" s="2" t="s">
        <v>2537</v>
      </c>
    </row>
    <row r="1426" spans="1:13" x14ac:dyDescent="0.3">
      <c r="A1426" s="1">
        <v>46002</v>
      </c>
      <c r="B1426" s="2" t="s">
        <v>2630</v>
      </c>
      <c r="C1426" s="2" t="s">
        <v>2543</v>
      </c>
      <c r="D1426" s="2" t="s">
        <v>2528</v>
      </c>
      <c r="E1426" s="2" t="s">
        <v>2517</v>
      </c>
      <c r="F1426" s="3">
        <v>59936</v>
      </c>
      <c r="G1426" s="3">
        <v>878</v>
      </c>
      <c r="H1426" s="3">
        <v>5</v>
      </c>
      <c r="I1426" s="4">
        <v>871.58</v>
      </c>
      <c r="J1426" s="4">
        <v>346.49</v>
      </c>
      <c r="K1426" s="3">
        <v>3</v>
      </c>
      <c r="L1426" s="2" t="s">
        <v>2518</v>
      </c>
      <c r="M1426" s="2" t="s">
        <v>2526</v>
      </c>
    </row>
    <row r="1427" spans="1:13" x14ac:dyDescent="0.3">
      <c r="A1427" s="1">
        <v>45744</v>
      </c>
      <c r="B1427" s="2" t="s">
        <v>2643</v>
      </c>
      <c r="C1427" s="2" t="s">
        <v>2533</v>
      </c>
      <c r="D1427" s="2" t="s">
        <v>2528</v>
      </c>
      <c r="E1427" s="2" t="s">
        <v>2529</v>
      </c>
      <c r="F1427" s="3">
        <v>14341</v>
      </c>
      <c r="G1427" s="3">
        <v>242</v>
      </c>
      <c r="H1427" s="3">
        <v>32</v>
      </c>
      <c r="I1427" s="4">
        <v>224.46</v>
      </c>
      <c r="J1427" s="4">
        <v>3504.1</v>
      </c>
      <c r="K1427" s="3">
        <v>15</v>
      </c>
      <c r="L1427" s="2" t="s">
        <v>2518</v>
      </c>
      <c r="M1427" s="2" t="s">
        <v>2519</v>
      </c>
    </row>
    <row r="1428" spans="1:13" x14ac:dyDescent="0.3">
      <c r="A1428" s="1">
        <v>45868</v>
      </c>
      <c r="B1428" s="2" t="s">
        <v>2616</v>
      </c>
      <c r="C1428" s="2" t="s">
        <v>2541</v>
      </c>
      <c r="D1428" s="2" t="s">
        <v>2528</v>
      </c>
      <c r="E1428" s="2" t="s">
        <v>2517</v>
      </c>
      <c r="F1428" s="3">
        <v>95745</v>
      </c>
      <c r="G1428" s="3">
        <v>5589</v>
      </c>
      <c r="H1428" s="3">
        <v>779</v>
      </c>
      <c r="I1428" s="4">
        <v>10587.37</v>
      </c>
      <c r="J1428" s="4">
        <v>65434.22</v>
      </c>
      <c r="K1428" s="3">
        <v>623</v>
      </c>
      <c r="L1428" s="2" t="s">
        <v>2518</v>
      </c>
      <c r="M1428" s="2" t="s">
        <v>2524</v>
      </c>
    </row>
    <row r="1429" spans="1:13" x14ac:dyDescent="0.3">
      <c r="A1429" s="1">
        <v>45834</v>
      </c>
      <c r="B1429" s="2" t="s">
        <v>2635</v>
      </c>
      <c r="C1429" s="2" t="s">
        <v>2543</v>
      </c>
      <c r="D1429" s="2" t="s">
        <v>2528</v>
      </c>
      <c r="E1429" s="2" t="s">
        <v>2517</v>
      </c>
      <c r="F1429" s="3">
        <v>100907</v>
      </c>
      <c r="G1429" s="3">
        <v>6795</v>
      </c>
      <c r="H1429" s="3">
        <v>406</v>
      </c>
      <c r="I1429" s="4">
        <v>7949.67</v>
      </c>
      <c r="J1429" s="4">
        <v>58762.21</v>
      </c>
      <c r="K1429" s="3">
        <v>201</v>
      </c>
      <c r="L1429" s="2" t="s">
        <v>2518</v>
      </c>
      <c r="M1429" s="2" t="s">
        <v>2524</v>
      </c>
    </row>
    <row r="1430" spans="1:13" x14ac:dyDescent="0.3">
      <c r="A1430" s="1">
        <v>45754</v>
      </c>
      <c r="B1430" s="2" t="s">
        <v>2619</v>
      </c>
      <c r="C1430" s="2" t="s">
        <v>2527</v>
      </c>
      <c r="D1430" s="2" t="s">
        <v>2525</v>
      </c>
      <c r="E1430" s="2" t="s">
        <v>2517</v>
      </c>
      <c r="F1430" s="3">
        <v>61294</v>
      </c>
      <c r="G1430" s="3">
        <v>3468</v>
      </c>
      <c r="H1430" s="3">
        <v>317</v>
      </c>
      <c r="I1430" s="4">
        <v>1246.53</v>
      </c>
      <c r="J1430" s="4">
        <v>12563.6</v>
      </c>
      <c r="K1430" s="3">
        <v>234</v>
      </c>
      <c r="L1430" s="2" t="s">
        <v>2536</v>
      </c>
      <c r="M1430" s="2" t="s">
        <v>2524</v>
      </c>
    </row>
    <row r="1431" spans="1:13" x14ac:dyDescent="0.3">
      <c r="A1431" s="1">
        <v>45898</v>
      </c>
      <c r="B1431" s="2" t="s">
        <v>2617</v>
      </c>
      <c r="C1431" s="2" t="s">
        <v>2533</v>
      </c>
      <c r="D1431" s="2" t="s">
        <v>2528</v>
      </c>
      <c r="E1431" s="2" t="s">
        <v>2529</v>
      </c>
      <c r="F1431" s="3">
        <v>137519</v>
      </c>
      <c r="G1431" s="3">
        <v>2555</v>
      </c>
      <c r="H1431" s="3">
        <v>240</v>
      </c>
      <c r="I1431" s="4">
        <v>1327.45</v>
      </c>
      <c r="J1431" s="4">
        <v>33367.160000000003</v>
      </c>
      <c r="K1431" s="3">
        <v>115</v>
      </c>
      <c r="L1431" s="2" t="s">
        <v>2523</v>
      </c>
      <c r="M1431" s="2" t="s">
        <v>2526</v>
      </c>
    </row>
    <row r="1432" spans="1:13" x14ac:dyDescent="0.3">
      <c r="A1432" s="1">
        <v>45719</v>
      </c>
      <c r="B1432" s="2" t="s">
        <v>2626</v>
      </c>
      <c r="C1432" s="2" t="s">
        <v>2533</v>
      </c>
      <c r="D1432" s="2" t="s">
        <v>2525</v>
      </c>
      <c r="E1432" s="2" t="s">
        <v>2517</v>
      </c>
      <c r="F1432" s="3">
        <v>89898</v>
      </c>
      <c r="G1432" s="3">
        <v>4328</v>
      </c>
      <c r="H1432" s="3">
        <v>477</v>
      </c>
      <c r="I1432" s="4">
        <v>4689.42</v>
      </c>
      <c r="J1432" s="4">
        <v>25295.24</v>
      </c>
      <c r="K1432" s="3">
        <v>242</v>
      </c>
      <c r="L1432" s="2" t="s">
        <v>2523</v>
      </c>
      <c r="M1432" s="2" t="s">
        <v>2524</v>
      </c>
    </row>
    <row r="1433" spans="1:13" x14ac:dyDescent="0.3">
      <c r="A1433" s="1">
        <v>45717</v>
      </c>
      <c r="B1433" s="2" t="s">
        <v>2626</v>
      </c>
      <c r="C1433" s="2" t="s">
        <v>2533</v>
      </c>
      <c r="D1433" s="2" t="s">
        <v>2525</v>
      </c>
      <c r="E1433" s="2" t="s">
        <v>2517</v>
      </c>
      <c r="F1433" s="3">
        <v>32732</v>
      </c>
      <c r="G1433" s="3">
        <v>2044</v>
      </c>
      <c r="H1433" s="3">
        <v>225</v>
      </c>
      <c r="I1433" s="4">
        <v>1603.67</v>
      </c>
      <c r="J1433" s="4">
        <v>33187.96</v>
      </c>
      <c r="K1433" s="3">
        <v>112</v>
      </c>
      <c r="L1433" s="2" t="s">
        <v>2536</v>
      </c>
      <c r="M1433" s="2" t="s">
        <v>2526</v>
      </c>
    </row>
    <row r="1434" spans="1:13" x14ac:dyDescent="0.3">
      <c r="A1434" s="1">
        <v>45799</v>
      </c>
      <c r="B1434" s="2" t="s">
        <v>2623</v>
      </c>
      <c r="C1434" s="2" t="s">
        <v>2543</v>
      </c>
      <c r="D1434" s="2" t="s">
        <v>2525</v>
      </c>
      <c r="E1434" s="2" t="s">
        <v>2534</v>
      </c>
      <c r="F1434" s="3">
        <v>115864</v>
      </c>
      <c r="G1434" s="3">
        <v>4552</v>
      </c>
      <c r="H1434" s="3">
        <v>279</v>
      </c>
      <c r="I1434" s="4">
        <v>4546.0600000000004</v>
      </c>
      <c r="J1434" s="4">
        <v>19995.349999999999</v>
      </c>
      <c r="K1434" s="3">
        <v>199</v>
      </c>
      <c r="L1434" s="2" t="s">
        <v>2518</v>
      </c>
      <c r="M1434" s="2" t="s">
        <v>2519</v>
      </c>
    </row>
    <row r="1435" spans="1:13" x14ac:dyDescent="0.3">
      <c r="A1435" s="1">
        <v>45926</v>
      </c>
      <c r="B1435" s="2" t="s">
        <v>2615</v>
      </c>
      <c r="C1435" s="2" t="s">
        <v>2527</v>
      </c>
      <c r="D1435" s="2" t="s">
        <v>2531</v>
      </c>
      <c r="E1435" s="2" t="s">
        <v>2517</v>
      </c>
      <c r="F1435" s="3">
        <v>65814</v>
      </c>
      <c r="G1435" s="3">
        <v>3778</v>
      </c>
      <c r="H1435" s="3">
        <v>521</v>
      </c>
      <c r="I1435" s="4">
        <v>2008.57</v>
      </c>
      <c r="J1435" s="4">
        <v>21391.54</v>
      </c>
      <c r="K1435" s="3">
        <v>310</v>
      </c>
      <c r="L1435" s="2" t="s">
        <v>2523</v>
      </c>
      <c r="M1435" s="2" t="s">
        <v>2546</v>
      </c>
    </row>
    <row r="1436" spans="1:13" x14ac:dyDescent="0.3">
      <c r="A1436" s="1">
        <v>46008</v>
      </c>
      <c r="B1436" s="2" t="s">
        <v>2627</v>
      </c>
      <c r="C1436" s="2" t="s">
        <v>2527</v>
      </c>
      <c r="D1436" s="2" t="s">
        <v>2528</v>
      </c>
      <c r="E1436" s="2" t="s">
        <v>2529</v>
      </c>
      <c r="F1436" s="3">
        <v>177117</v>
      </c>
      <c r="G1436" s="3">
        <v>10686</v>
      </c>
      <c r="H1436" s="3">
        <v>912</v>
      </c>
      <c r="I1436" s="4">
        <v>18761.16</v>
      </c>
      <c r="J1436" s="4">
        <v>76201.42</v>
      </c>
      <c r="K1436" s="3">
        <v>531</v>
      </c>
      <c r="L1436" s="2" t="s">
        <v>2518</v>
      </c>
      <c r="M1436" s="2" t="s">
        <v>2537</v>
      </c>
    </row>
    <row r="1437" spans="1:13" x14ac:dyDescent="0.3">
      <c r="A1437" s="1">
        <v>45948</v>
      </c>
      <c r="B1437" s="2" t="s">
        <v>2639</v>
      </c>
      <c r="C1437" s="2" t="s">
        <v>2543</v>
      </c>
      <c r="D1437" s="2" t="s">
        <v>2528</v>
      </c>
      <c r="E1437" s="2" t="s">
        <v>2529</v>
      </c>
      <c r="F1437" s="3">
        <v>30956</v>
      </c>
      <c r="G1437" s="3">
        <v>1616</v>
      </c>
      <c r="H1437" s="3">
        <v>112</v>
      </c>
      <c r="I1437" s="4">
        <v>1529.88</v>
      </c>
      <c r="J1437" s="4">
        <v>18220.28</v>
      </c>
      <c r="K1437" s="3">
        <v>71</v>
      </c>
      <c r="L1437" s="2" t="s">
        <v>2523</v>
      </c>
      <c r="M1437" s="2" t="s">
        <v>2519</v>
      </c>
    </row>
    <row r="1438" spans="1:13" x14ac:dyDescent="0.3">
      <c r="A1438" s="1">
        <v>45719</v>
      </c>
      <c r="B1438" s="2" t="s">
        <v>2627</v>
      </c>
      <c r="C1438" s="2" t="s">
        <v>2533</v>
      </c>
      <c r="D1438" s="2" t="s">
        <v>2525</v>
      </c>
      <c r="E1438" s="2" t="s">
        <v>2517</v>
      </c>
      <c r="F1438" s="3">
        <v>46440</v>
      </c>
      <c r="G1438" s="3">
        <v>257</v>
      </c>
      <c r="H1438" s="3">
        <v>270</v>
      </c>
      <c r="I1438" s="4">
        <v>209.65</v>
      </c>
      <c r="J1438" s="4">
        <v>1610.07</v>
      </c>
      <c r="K1438" s="3">
        <v>14</v>
      </c>
      <c r="L1438" s="2" t="s">
        <v>2518</v>
      </c>
      <c r="M1438" s="2" t="s">
        <v>2546</v>
      </c>
    </row>
    <row r="1439" spans="1:13" x14ac:dyDescent="0.3">
      <c r="A1439" s="1">
        <v>46019</v>
      </c>
      <c r="B1439" s="2" t="s">
        <v>2622</v>
      </c>
      <c r="C1439" s="2" t="s">
        <v>2543</v>
      </c>
      <c r="D1439" s="2" t="s">
        <v>2525</v>
      </c>
      <c r="E1439" s="2" t="s">
        <v>2529</v>
      </c>
      <c r="F1439" s="3">
        <v>65148</v>
      </c>
      <c r="G1439" s="3">
        <v>5478</v>
      </c>
      <c r="H1439" s="3">
        <v>697</v>
      </c>
      <c r="I1439" s="4">
        <v>1304.8399999999999</v>
      </c>
      <c r="J1439" s="4">
        <v>59311</v>
      </c>
      <c r="K1439" s="3">
        <v>598</v>
      </c>
      <c r="L1439" s="2" t="s">
        <v>2518</v>
      </c>
      <c r="M1439" s="2" t="s">
        <v>2524</v>
      </c>
    </row>
    <row r="1440" spans="1:13" x14ac:dyDescent="0.3">
      <c r="A1440" s="1">
        <v>45832</v>
      </c>
      <c r="B1440" s="2" t="s">
        <v>2627</v>
      </c>
      <c r="C1440" s="2" t="s">
        <v>2527</v>
      </c>
      <c r="D1440" s="2" t="s">
        <v>2516</v>
      </c>
      <c r="E1440" s="2" t="s">
        <v>2517</v>
      </c>
      <c r="F1440" s="3">
        <v>123366</v>
      </c>
      <c r="G1440" s="3">
        <v>3519</v>
      </c>
      <c r="H1440" s="3">
        <v>124</v>
      </c>
      <c r="I1440" s="4">
        <v>2945.05</v>
      </c>
      <c r="J1440" s="4">
        <v>23793.19</v>
      </c>
      <c r="K1440" s="3">
        <v>55</v>
      </c>
      <c r="L1440" s="2" t="s">
        <v>2536</v>
      </c>
      <c r="M1440" s="2" t="s">
        <v>2546</v>
      </c>
    </row>
    <row r="1441" spans="1:13" x14ac:dyDescent="0.3">
      <c r="A1441" s="1">
        <v>45672</v>
      </c>
      <c r="B1441" s="2" t="s">
        <v>2625</v>
      </c>
      <c r="C1441" s="2" t="s">
        <v>2533</v>
      </c>
      <c r="D1441" s="2" t="s">
        <v>2528</v>
      </c>
      <c r="E1441" s="2" t="s">
        <v>2529</v>
      </c>
      <c r="F1441" s="3">
        <v>104439</v>
      </c>
      <c r="G1441" s="3">
        <v>8477</v>
      </c>
      <c r="H1441" s="3">
        <v>689</v>
      </c>
      <c r="I1441" s="4">
        <v>13753.4</v>
      </c>
      <c r="J1441" s="4">
        <v>33004.33</v>
      </c>
      <c r="K1441" s="3">
        <v>491</v>
      </c>
      <c r="L1441" s="2" t="s">
        <v>2523</v>
      </c>
      <c r="M1441" s="2" t="s">
        <v>2537</v>
      </c>
    </row>
    <row r="1442" spans="1:13" x14ac:dyDescent="0.3">
      <c r="A1442" s="1">
        <v>45917</v>
      </c>
      <c r="B1442" s="2" t="s">
        <v>2633</v>
      </c>
      <c r="C1442" s="2" t="s">
        <v>2533</v>
      </c>
      <c r="D1442" s="2" t="s">
        <v>2528</v>
      </c>
      <c r="E1442" s="2" t="s">
        <v>2529</v>
      </c>
      <c r="F1442" s="3">
        <v>44892</v>
      </c>
      <c r="G1442" s="3">
        <v>2443</v>
      </c>
      <c r="H1442" s="3">
        <v>301</v>
      </c>
      <c r="I1442" s="4">
        <v>813.09</v>
      </c>
      <c r="J1442" s="4">
        <v>19562.759999999998</v>
      </c>
      <c r="K1442" s="3">
        <v>254</v>
      </c>
      <c r="L1442" s="2" t="s">
        <v>2539</v>
      </c>
      <c r="M1442" s="2" t="s">
        <v>2526</v>
      </c>
    </row>
    <row r="1443" spans="1:13" x14ac:dyDescent="0.3">
      <c r="A1443" s="1">
        <v>45958</v>
      </c>
      <c r="B1443" s="2" t="s">
        <v>2618</v>
      </c>
      <c r="C1443" s="2" t="s">
        <v>2533</v>
      </c>
      <c r="D1443" s="2" t="s">
        <v>2531</v>
      </c>
      <c r="E1443" s="2" t="s">
        <v>2529</v>
      </c>
      <c r="F1443" s="3">
        <v>177937</v>
      </c>
      <c r="G1443" s="3">
        <v>3230</v>
      </c>
      <c r="H1443" s="3">
        <v>356</v>
      </c>
      <c r="I1443" s="4">
        <v>1618.3</v>
      </c>
      <c r="J1443" s="4">
        <v>34214.57</v>
      </c>
      <c r="K1443" s="3">
        <v>255</v>
      </c>
      <c r="L1443" s="2" t="s">
        <v>2518</v>
      </c>
      <c r="M1443" s="2" t="s">
        <v>2537</v>
      </c>
    </row>
    <row r="1444" spans="1:13" x14ac:dyDescent="0.3">
      <c r="A1444" s="1">
        <v>45957</v>
      </c>
      <c r="B1444" s="2" t="s">
        <v>2644</v>
      </c>
      <c r="C1444" s="2" t="s">
        <v>2533</v>
      </c>
      <c r="D1444" s="2" t="s">
        <v>2528</v>
      </c>
      <c r="E1444" s="2" t="s">
        <v>2517</v>
      </c>
      <c r="F1444" s="3">
        <v>142148</v>
      </c>
      <c r="G1444" s="3">
        <v>2833</v>
      </c>
      <c r="H1444" s="3">
        <v>338</v>
      </c>
      <c r="I1444" s="4">
        <v>2789.32</v>
      </c>
      <c r="J1444" s="4">
        <v>61252.53</v>
      </c>
      <c r="K1444" s="3">
        <v>206</v>
      </c>
      <c r="L1444" s="2" t="s">
        <v>2518</v>
      </c>
      <c r="M1444" s="2" t="s">
        <v>2546</v>
      </c>
    </row>
    <row r="1445" spans="1:13" x14ac:dyDescent="0.3">
      <c r="A1445" s="1">
        <v>45956</v>
      </c>
      <c r="B1445" s="2" t="s">
        <v>2627</v>
      </c>
      <c r="C1445" s="2" t="s">
        <v>2541</v>
      </c>
      <c r="D1445" s="2" t="s">
        <v>2516</v>
      </c>
      <c r="E1445" s="2" t="s">
        <v>2517</v>
      </c>
      <c r="F1445" s="3">
        <v>121475</v>
      </c>
      <c r="G1445" s="3">
        <v>1959</v>
      </c>
      <c r="H1445" s="3">
        <v>73</v>
      </c>
      <c r="I1445" s="4">
        <v>3983.78</v>
      </c>
      <c r="J1445" s="4">
        <v>14765.1</v>
      </c>
      <c r="K1445" s="3">
        <v>48</v>
      </c>
      <c r="L1445" s="2" t="s">
        <v>2523</v>
      </c>
      <c r="M1445" s="2" t="s">
        <v>2537</v>
      </c>
    </row>
    <row r="1446" spans="1:13" x14ac:dyDescent="0.3">
      <c r="A1446" s="1">
        <v>46019</v>
      </c>
      <c r="B1446" s="2" t="s">
        <v>2623</v>
      </c>
      <c r="C1446" s="2" t="s">
        <v>2533</v>
      </c>
      <c r="D1446" s="2" t="s">
        <v>2528</v>
      </c>
      <c r="E1446" s="2" t="s">
        <v>2529</v>
      </c>
      <c r="F1446" s="3">
        <v>91902</v>
      </c>
      <c r="G1446" s="3">
        <v>5068</v>
      </c>
      <c r="H1446" s="3">
        <v>154</v>
      </c>
      <c r="I1446" s="4">
        <v>4909.76</v>
      </c>
      <c r="J1446" s="4">
        <v>4848.04</v>
      </c>
      <c r="K1446" s="3">
        <v>109</v>
      </c>
      <c r="L1446" s="2" t="s">
        <v>2539</v>
      </c>
      <c r="M1446" s="2" t="s">
        <v>2546</v>
      </c>
    </row>
    <row r="1447" spans="1:13" x14ac:dyDescent="0.3">
      <c r="A1447" s="1">
        <v>45734</v>
      </c>
      <c r="B1447" s="2" t="s">
        <v>2630</v>
      </c>
      <c r="C1447" s="2" t="s">
        <v>2527</v>
      </c>
      <c r="D1447" s="2" t="s">
        <v>2516</v>
      </c>
      <c r="E1447" s="2" t="s">
        <v>2517</v>
      </c>
      <c r="F1447" s="3">
        <v>12214</v>
      </c>
      <c r="G1447" s="3">
        <v>515</v>
      </c>
      <c r="H1447" s="3">
        <v>62</v>
      </c>
      <c r="I1447" s="4">
        <v>611.52</v>
      </c>
      <c r="J1447" s="4">
        <v>11637.69</v>
      </c>
      <c r="K1447" s="3">
        <v>49</v>
      </c>
      <c r="L1447" s="2" t="s">
        <v>2539</v>
      </c>
      <c r="M1447" s="2" t="s">
        <v>2524</v>
      </c>
    </row>
    <row r="1448" spans="1:13" x14ac:dyDescent="0.3">
      <c r="A1448" s="1">
        <v>45927</v>
      </c>
      <c r="B1448" s="2" t="s">
        <v>2641</v>
      </c>
      <c r="C1448" s="2" t="s">
        <v>2533</v>
      </c>
      <c r="D1448" s="2" t="s">
        <v>2525</v>
      </c>
      <c r="E1448" s="2" t="s">
        <v>2517</v>
      </c>
      <c r="F1448" s="3">
        <v>121233</v>
      </c>
      <c r="G1448" s="3">
        <v>3134</v>
      </c>
      <c r="H1448" s="3">
        <v>289</v>
      </c>
      <c r="I1448" s="4">
        <v>1018.03</v>
      </c>
      <c r="J1448" s="4">
        <v>24867.32</v>
      </c>
      <c r="K1448" s="3">
        <v>190</v>
      </c>
      <c r="L1448" s="2" t="s">
        <v>2539</v>
      </c>
      <c r="M1448" s="2" t="s">
        <v>2537</v>
      </c>
    </row>
    <row r="1449" spans="1:13" x14ac:dyDescent="0.3">
      <c r="A1449" s="1">
        <v>46021</v>
      </c>
      <c r="B1449" s="2" t="s">
        <v>2628</v>
      </c>
      <c r="C1449" s="2" t="s">
        <v>2541</v>
      </c>
      <c r="D1449" s="2" t="s">
        <v>2525</v>
      </c>
      <c r="E1449" s="2" t="s">
        <v>2529</v>
      </c>
      <c r="F1449" s="3">
        <v>49658</v>
      </c>
      <c r="G1449" s="3">
        <v>1904</v>
      </c>
      <c r="H1449" s="3">
        <v>70</v>
      </c>
      <c r="I1449" s="4">
        <v>3995.77</v>
      </c>
      <c r="J1449" s="4">
        <v>11925.35</v>
      </c>
      <c r="K1449" s="3">
        <v>62</v>
      </c>
      <c r="L1449" s="2" t="s">
        <v>2523</v>
      </c>
      <c r="M1449" s="2" t="s">
        <v>2546</v>
      </c>
    </row>
    <row r="1450" spans="1:13" x14ac:dyDescent="0.3">
      <c r="A1450" s="1">
        <v>45731</v>
      </c>
      <c r="B1450" s="2" t="s">
        <v>2629</v>
      </c>
      <c r="C1450" s="2" t="s">
        <v>2541</v>
      </c>
      <c r="D1450" s="2" t="s">
        <v>2525</v>
      </c>
      <c r="E1450" s="2" t="s">
        <v>2529</v>
      </c>
      <c r="F1450" s="3">
        <v>113579</v>
      </c>
      <c r="G1450" s="3">
        <v>4972</v>
      </c>
      <c r="H1450" s="3">
        <v>613</v>
      </c>
      <c r="I1450" s="4">
        <v>5914.33</v>
      </c>
      <c r="J1450" s="4">
        <v>47603.82</v>
      </c>
      <c r="K1450" s="3">
        <v>355</v>
      </c>
      <c r="L1450" s="2" t="s">
        <v>2523</v>
      </c>
      <c r="M1450" s="2" t="s">
        <v>2537</v>
      </c>
    </row>
    <row r="1451" spans="1:13" x14ac:dyDescent="0.3">
      <c r="A1451" s="1">
        <v>45694</v>
      </c>
      <c r="B1451" s="2" t="s">
        <v>2625</v>
      </c>
      <c r="C1451" s="2" t="s">
        <v>2533</v>
      </c>
      <c r="D1451" s="2" t="s">
        <v>2528</v>
      </c>
      <c r="E1451" s="2" t="s">
        <v>2529</v>
      </c>
      <c r="F1451" s="3">
        <v>32411</v>
      </c>
      <c r="G1451" s="3">
        <v>2739</v>
      </c>
      <c r="H1451" s="3">
        <v>319</v>
      </c>
      <c r="I1451" s="4">
        <v>1985.78</v>
      </c>
      <c r="J1451" s="4">
        <v>33572.839999999997</v>
      </c>
      <c r="K1451" s="3">
        <v>159</v>
      </c>
      <c r="L1451" s="2" t="s">
        <v>2539</v>
      </c>
      <c r="M1451" s="2" t="s">
        <v>2526</v>
      </c>
    </row>
    <row r="1452" spans="1:13" x14ac:dyDescent="0.3">
      <c r="A1452" s="1">
        <v>45883</v>
      </c>
      <c r="B1452" s="2" t="s">
        <v>2631</v>
      </c>
      <c r="C1452" s="2" t="s">
        <v>2527</v>
      </c>
      <c r="D1452" s="2" t="s">
        <v>2525</v>
      </c>
      <c r="E1452" s="2" t="s">
        <v>2529</v>
      </c>
      <c r="F1452" s="3">
        <v>132260</v>
      </c>
      <c r="G1452" s="3">
        <v>5197</v>
      </c>
      <c r="H1452" s="3">
        <v>318</v>
      </c>
      <c r="I1452" s="4">
        <v>2568.9899999999998</v>
      </c>
      <c r="J1452" s="4">
        <v>10505.95</v>
      </c>
      <c r="K1452" s="3">
        <v>196</v>
      </c>
      <c r="L1452" s="2" t="s">
        <v>2539</v>
      </c>
      <c r="M1452" s="2" t="s">
        <v>2537</v>
      </c>
    </row>
    <row r="1453" spans="1:13" x14ac:dyDescent="0.3">
      <c r="A1453" s="1">
        <v>45739</v>
      </c>
      <c r="B1453" s="2" t="s">
        <v>2641</v>
      </c>
      <c r="C1453" s="2" t="s">
        <v>2515</v>
      </c>
      <c r="D1453" s="2" t="s">
        <v>2516</v>
      </c>
      <c r="E1453" s="2" t="s">
        <v>2529</v>
      </c>
      <c r="F1453" s="3">
        <v>162511</v>
      </c>
      <c r="G1453" s="3">
        <v>4762</v>
      </c>
      <c r="H1453" s="3">
        <v>357</v>
      </c>
      <c r="I1453" s="4">
        <v>9509.9</v>
      </c>
      <c r="J1453" s="4">
        <v>76410.14</v>
      </c>
      <c r="K1453" s="3">
        <v>194</v>
      </c>
      <c r="L1453" s="2" t="s">
        <v>2523</v>
      </c>
      <c r="M1453" s="2" t="s">
        <v>2526</v>
      </c>
    </row>
    <row r="1454" spans="1:13" x14ac:dyDescent="0.3">
      <c r="A1454" s="1">
        <v>45999</v>
      </c>
      <c r="B1454" s="2" t="s">
        <v>2616</v>
      </c>
      <c r="C1454" s="2" t="s">
        <v>2527</v>
      </c>
      <c r="D1454" s="2" t="s">
        <v>2531</v>
      </c>
      <c r="E1454" s="2" t="s">
        <v>2517</v>
      </c>
      <c r="F1454" s="3">
        <v>121663</v>
      </c>
      <c r="G1454" s="3">
        <v>2711</v>
      </c>
      <c r="H1454" s="3">
        <v>154</v>
      </c>
      <c r="I1454" s="4">
        <v>4025.94</v>
      </c>
      <c r="J1454" s="4">
        <v>32322.080000000002</v>
      </c>
      <c r="K1454" s="3">
        <v>128</v>
      </c>
      <c r="L1454" s="2" t="s">
        <v>2536</v>
      </c>
      <c r="M1454" s="2" t="s">
        <v>2519</v>
      </c>
    </row>
    <row r="1455" spans="1:13" x14ac:dyDescent="0.3">
      <c r="A1455" s="1">
        <v>45770</v>
      </c>
      <c r="B1455" s="2" t="s">
        <v>2629</v>
      </c>
      <c r="C1455" s="2" t="s">
        <v>2543</v>
      </c>
      <c r="D1455" s="2" t="s">
        <v>2525</v>
      </c>
      <c r="E1455" s="2" t="s">
        <v>2529</v>
      </c>
      <c r="F1455" s="3">
        <v>129675</v>
      </c>
      <c r="G1455" s="3">
        <v>9097</v>
      </c>
      <c r="H1455" s="3">
        <v>481</v>
      </c>
      <c r="I1455" s="4">
        <v>7556.3</v>
      </c>
      <c r="J1455" s="4">
        <v>89908.26</v>
      </c>
      <c r="K1455" s="3">
        <v>375</v>
      </c>
      <c r="L1455" s="2" t="s">
        <v>2523</v>
      </c>
      <c r="M1455" s="2" t="s">
        <v>2519</v>
      </c>
    </row>
    <row r="1456" spans="1:13" x14ac:dyDescent="0.3">
      <c r="A1456" s="1">
        <v>46013</v>
      </c>
      <c r="B1456" s="2" t="s">
        <v>2615</v>
      </c>
      <c r="C1456" s="2" t="s">
        <v>2521</v>
      </c>
      <c r="D1456" s="2" t="s">
        <v>2516</v>
      </c>
      <c r="E1456" s="2" t="s">
        <v>2529</v>
      </c>
      <c r="F1456" s="3">
        <v>172498</v>
      </c>
      <c r="G1456" s="3">
        <v>6969</v>
      </c>
      <c r="H1456" s="3">
        <v>635</v>
      </c>
      <c r="I1456" s="4">
        <v>14570.57</v>
      </c>
      <c r="J1456" s="4">
        <v>86623.86</v>
      </c>
      <c r="K1456" s="3">
        <v>518</v>
      </c>
      <c r="L1456" s="2" t="s">
        <v>2518</v>
      </c>
      <c r="M1456" s="2" t="s">
        <v>2546</v>
      </c>
    </row>
    <row r="1457" spans="1:13" x14ac:dyDescent="0.3">
      <c r="A1457" s="1">
        <v>45802</v>
      </c>
      <c r="B1457" s="2" t="s">
        <v>2621</v>
      </c>
      <c r="C1457" s="2" t="s">
        <v>2543</v>
      </c>
      <c r="D1457" s="2" t="s">
        <v>2522</v>
      </c>
      <c r="E1457" s="2" t="s">
        <v>2517</v>
      </c>
      <c r="F1457" s="3">
        <v>77926</v>
      </c>
      <c r="G1457" s="3">
        <v>4121</v>
      </c>
      <c r="H1457" s="3">
        <v>275</v>
      </c>
      <c r="I1457" s="4">
        <v>3793.32</v>
      </c>
      <c r="J1457" s="4">
        <v>44396.71</v>
      </c>
      <c r="K1457" s="3">
        <v>222</v>
      </c>
      <c r="L1457" s="2" t="s">
        <v>2523</v>
      </c>
      <c r="M1457" s="2" t="s">
        <v>2519</v>
      </c>
    </row>
    <row r="1458" spans="1:13" x14ac:dyDescent="0.3">
      <c r="A1458" s="1">
        <v>45998</v>
      </c>
      <c r="B1458" s="2" t="s">
        <v>2634</v>
      </c>
      <c r="C1458" s="2" t="s">
        <v>2521</v>
      </c>
      <c r="D1458" s="2" t="s">
        <v>2528</v>
      </c>
      <c r="E1458" s="2" t="s">
        <v>2529</v>
      </c>
      <c r="F1458" s="3">
        <v>140104</v>
      </c>
      <c r="G1458" s="3">
        <v>12034</v>
      </c>
      <c r="H1458" s="3">
        <v>1380</v>
      </c>
      <c r="I1458" s="4">
        <v>3485.22</v>
      </c>
      <c r="J1458" s="4">
        <v>194633.15</v>
      </c>
      <c r="K1458" s="3">
        <v>762</v>
      </c>
      <c r="L1458" s="2" t="s">
        <v>2518</v>
      </c>
      <c r="M1458" s="2" t="s">
        <v>2537</v>
      </c>
    </row>
    <row r="1459" spans="1:13" x14ac:dyDescent="0.3">
      <c r="A1459" s="1">
        <v>45827</v>
      </c>
      <c r="B1459" s="2" t="s">
        <v>2621</v>
      </c>
      <c r="C1459" s="2" t="s">
        <v>2515</v>
      </c>
      <c r="D1459" s="2" t="s">
        <v>2531</v>
      </c>
      <c r="E1459" s="2" t="s">
        <v>2529</v>
      </c>
      <c r="F1459" s="3">
        <v>80074</v>
      </c>
      <c r="G1459" s="3">
        <v>1419</v>
      </c>
      <c r="H1459" s="3">
        <v>69</v>
      </c>
      <c r="I1459" s="4">
        <v>1135.52</v>
      </c>
      <c r="J1459" s="4">
        <v>9606.93</v>
      </c>
      <c r="K1459" s="3">
        <v>36</v>
      </c>
      <c r="L1459" s="2" t="s">
        <v>2523</v>
      </c>
      <c r="M1459" s="2" t="s">
        <v>2537</v>
      </c>
    </row>
    <row r="1460" spans="1:13" x14ac:dyDescent="0.3">
      <c r="A1460" s="1">
        <v>45901</v>
      </c>
      <c r="B1460" s="2" t="s">
        <v>2639</v>
      </c>
      <c r="C1460" s="2" t="s">
        <v>2527</v>
      </c>
      <c r="D1460" s="2" t="s">
        <v>2528</v>
      </c>
      <c r="E1460" s="2" t="s">
        <v>2529</v>
      </c>
      <c r="F1460" s="3">
        <v>164149</v>
      </c>
      <c r="G1460" s="3">
        <v>1435</v>
      </c>
      <c r="H1460" s="3">
        <v>84</v>
      </c>
      <c r="I1460" s="4">
        <v>2385.5</v>
      </c>
      <c r="J1460" s="4">
        <v>16617.77</v>
      </c>
      <c r="K1460" s="3">
        <v>49</v>
      </c>
      <c r="L1460" s="2" t="s">
        <v>2536</v>
      </c>
      <c r="M1460" s="2" t="s">
        <v>2526</v>
      </c>
    </row>
    <row r="1461" spans="1:13" x14ac:dyDescent="0.3">
      <c r="A1461" s="1">
        <v>45854</v>
      </c>
      <c r="B1461" s="2" t="s">
        <v>2644</v>
      </c>
      <c r="C1461" s="2" t="s">
        <v>2541</v>
      </c>
      <c r="D1461" s="2" t="s">
        <v>2528</v>
      </c>
      <c r="E1461" s="2" t="s">
        <v>2529</v>
      </c>
      <c r="F1461" s="3">
        <v>52142</v>
      </c>
      <c r="G1461" s="3">
        <v>2674</v>
      </c>
      <c r="H1461" s="3">
        <v>91</v>
      </c>
      <c r="I1461" s="4">
        <v>3473.56</v>
      </c>
      <c r="J1461" s="4">
        <v>4686.01</v>
      </c>
      <c r="K1461" s="3">
        <v>67</v>
      </c>
      <c r="L1461" s="2" t="s">
        <v>2523</v>
      </c>
      <c r="M1461" s="2" t="s">
        <v>2546</v>
      </c>
    </row>
    <row r="1462" spans="1:13" x14ac:dyDescent="0.3">
      <c r="A1462" s="1">
        <v>45683</v>
      </c>
      <c r="B1462" s="2" t="s">
        <v>2616</v>
      </c>
      <c r="C1462" s="2" t="s">
        <v>2541</v>
      </c>
      <c r="D1462" s="2" t="s">
        <v>2525</v>
      </c>
      <c r="E1462" s="2" t="s">
        <v>2517</v>
      </c>
      <c r="F1462" s="3">
        <v>68689</v>
      </c>
      <c r="G1462" s="3">
        <v>5617</v>
      </c>
      <c r="H1462" s="3">
        <v>542</v>
      </c>
      <c r="I1462" s="4">
        <v>9192.32</v>
      </c>
      <c r="J1462" s="4">
        <v>48814.239999999998</v>
      </c>
      <c r="K1462" s="3">
        <v>483</v>
      </c>
      <c r="L1462" s="2" t="s">
        <v>2539</v>
      </c>
      <c r="M1462" s="2" t="s">
        <v>2546</v>
      </c>
    </row>
    <row r="1463" spans="1:13" x14ac:dyDescent="0.3">
      <c r="A1463" s="1">
        <v>45746</v>
      </c>
      <c r="B1463" s="2" t="s">
        <v>2627</v>
      </c>
      <c r="C1463" s="2" t="s">
        <v>2543</v>
      </c>
      <c r="D1463" s="2" t="s">
        <v>2522</v>
      </c>
      <c r="E1463" s="2" t="s">
        <v>2534</v>
      </c>
      <c r="F1463" s="3">
        <v>4187</v>
      </c>
      <c r="G1463" s="3">
        <v>172</v>
      </c>
      <c r="H1463" s="3">
        <v>10</v>
      </c>
      <c r="I1463" s="4">
        <v>111.79</v>
      </c>
      <c r="J1463" s="4">
        <v>545.27</v>
      </c>
      <c r="K1463" s="3">
        <v>5</v>
      </c>
      <c r="L1463" s="2" t="s">
        <v>2523</v>
      </c>
      <c r="M1463" s="2" t="s">
        <v>2526</v>
      </c>
    </row>
    <row r="1464" spans="1:13" x14ac:dyDescent="0.3">
      <c r="A1464" s="1">
        <v>46005</v>
      </c>
      <c r="B1464" s="2" t="s">
        <v>2618</v>
      </c>
      <c r="C1464" s="2" t="s">
        <v>2527</v>
      </c>
      <c r="D1464" s="2" t="s">
        <v>2516</v>
      </c>
      <c r="E1464" s="2" t="s">
        <v>2517</v>
      </c>
      <c r="F1464" s="3">
        <v>115538</v>
      </c>
      <c r="G1464" s="3">
        <v>7868</v>
      </c>
      <c r="H1464" s="3">
        <v>401</v>
      </c>
      <c r="I1464" s="4">
        <v>10789.71</v>
      </c>
      <c r="J1464" s="4">
        <v>17948.68</v>
      </c>
      <c r="K1464" s="3">
        <v>234</v>
      </c>
      <c r="L1464" s="2" t="s">
        <v>2539</v>
      </c>
      <c r="M1464" s="2" t="s">
        <v>2546</v>
      </c>
    </row>
    <row r="1465" spans="1:13" x14ac:dyDescent="0.3">
      <c r="A1465" s="1">
        <v>45668</v>
      </c>
      <c r="B1465" s="2" t="s">
        <v>2628</v>
      </c>
      <c r="C1465" s="2" t="s">
        <v>2533</v>
      </c>
      <c r="D1465" s="2" t="s">
        <v>2528</v>
      </c>
      <c r="E1465" s="2" t="s">
        <v>2529</v>
      </c>
      <c r="F1465" s="3">
        <v>67479</v>
      </c>
      <c r="G1465" s="3">
        <v>1847</v>
      </c>
      <c r="H1465" s="3">
        <v>151</v>
      </c>
      <c r="I1465" s="4">
        <v>1818.24</v>
      </c>
      <c r="J1465" s="4">
        <v>7795.88</v>
      </c>
      <c r="K1465" s="3">
        <v>91</v>
      </c>
      <c r="L1465" s="2" t="s">
        <v>2518</v>
      </c>
      <c r="M1465" s="2" t="s">
        <v>2546</v>
      </c>
    </row>
    <row r="1466" spans="1:13" x14ac:dyDescent="0.3">
      <c r="A1466" s="1">
        <v>45975</v>
      </c>
      <c r="B1466" s="2" t="s">
        <v>2617</v>
      </c>
      <c r="C1466" s="2" t="s">
        <v>2543</v>
      </c>
      <c r="D1466" s="2" t="s">
        <v>2525</v>
      </c>
      <c r="E1466" s="2" t="s">
        <v>2517</v>
      </c>
      <c r="F1466" s="3">
        <v>47396</v>
      </c>
      <c r="G1466" s="3">
        <v>1954</v>
      </c>
      <c r="H1466" s="3">
        <v>199</v>
      </c>
      <c r="I1466" s="4">
        <v>2025.71</v>
      </c>
      <c r="J1466" s="4">
        <v>23777.75</v>
      </c>
      <c r="K1466" s="3">
        <v>147</v>
      </c>
      <c r="L1466" s="2" t="s">
        <v>2539</v>
      </c>
      <c r="M1466" s="2" t="s">
        <v>2524</v>
      </c>
    </row>
    <row r="1467" spans="1:13" x14ac:dyDescent="0.3">
      <c r="A1467" s="1">
        <v>45965</v>
      </c>
      <c r="B1467" s="2" t="s">
        <v>2640</v>
      </c>
      <c r="C1467" s="2" t="s">
        <v>2541</v>
      </c>
      <c r="D1467" s="2" t="s">
        <v>2522</v>
      </c>
      <c r="E1467" s="2" t="s">
        <v>2517</v>
      </c>
      <c r="F1467" s="3">
        <v>104829</v>
      </c>
      <c r="G1467" s="3">
        <v>2094</v>
      </c>
      <c r="H1467" s="3">
        <v>256</v>
      </c>
      <c r="I1467" s="4">
        <v>1131.48</v>
      </c>
      <c r="J1467" s="4">
        <v>37276.69</v>
      </c>
      <c r="K1467" s="3">
        <v>188</v>
      </c>
      <c r="L1467" s="2" t="s">
        <v>2523</v>
      </c>
      <c r="M1467" s="2" t="s">
        <v>2519</v>
      </c>
    </row>
    <row r="1468" spans="1:13" x14ac:dyDescent="0.3">
      <c r="A1468" s="1">
        <v>45928</v>
      </c>
      <c r="B1468" s="2" t="s">
        <v>2617</v>
      </c>
      <c r="C1468" s="2" t="s">
        <v>2533</v>
      </c>
      <c r="D1468" s="2" t="s">
        <v>2528</v>
      </c>
      <c r="E1468" s="2" t="s">
        <v>2529</v>
      </c>
      <c r="F1468" s="3">
        <v>168175</v>
      </c>
      <c r="G1468" s="3">
        <v>8443</v>
      </c>
      <c r="H1468" s="3">
        <v>736</v>
      </c>
      <c r="I1468" s="4">
        <v>16195.15</v>
      </c>
      <c r="J1468" s="4">
        <v>44539.13</v>
      </c>
      <c r="K1468" s="3">
        <v>425</v>
      </c>
      <c r="L1468" s="2" t="s">
        <v>2536</v>
      </c>
      <c r="M1468" s="2" t="s">
        <v>2537</v>
      </c>
    </row>
    <row r="1469" spans="1:13" x14ac:dyDescent="0.3">
      <c r="A1469" s="1">
        <v>45997</v>
      </c>
      <c r="B1469" s="2" t="s">
        <v>2637</v>
      </c>
      <c r="C1469" s="2" t="s">
        <v>2515</v>
      </c>
      <c r="D1469" s="2" t="s">
        <v>2525</v>
      </c>
      <c r="E1469" s="2" t="s">
        <v>2529</v>
      </c>
      <c r="F1469" s="3">
        <v>95465</v>
      </c>
      <c r="G1469" s="3">
        <v>2894</v>
      </c>
      <c r="H1469" s="3">
        <v>191</v>
      </c>
      <c r="I1469" s="4">
        <v>5175.6099999999997</v>
      </c>
      <c r="J1469" s="4">
        <v>23261</v>
      </c>
      <c r="K1469" s="3">
        <v>121</v>
      </c>
      <c r="L1469" s="2" t="s">
        <v>2518</v>
      </c>
      <c r="M1469" s="2" t="s">
        <v>2519</v>
      </c>
    </row>
    <row r="1470" spans="1:13" x14ac:dyDescent="0.3">
      <c r="A1470" s="1">
        <v>45889</v>
      </c>
      <c r="B1470" s="2" t="s">
        <v>2630</v>
      </c>
      <c r="C1470" s="2" t="s">
        <v>2521</v>
      </c>
      <c r="D1470" s="2" t="s">
        <v>2528</v>
      </c>
      <c r="E1470" s="2" t="s">
        <v>2517</v>
      </c>
      <c r="F1470" s="3">
        <v>145636</v>
      </c>
      <c r="G1470" s="3">
        <v>1712</v>
      </c>
      <c r="H1470" s="3">
        <v>72</v>
      </c>
      <c r="I1470" s="4">
        <v>1111.6600000000001</v>
      </c>
      <c r="J1470" s="4">
        <v>4309.42</v>
      </c>
      <c r="K1470" s="3">
        <v>57</v>
      </c>
      <c r="L1470" s="2" t="s">
        <v>2518</v>
      </c>
      <c r="M1470" s="2" t="s">
        <v>2524</v>
      </c>
    </row>
    <row r="1471" spans="1:13" x14ac:dyDescent="0.3">
      <c r="A1471" s="1">
        <v>45941</v>
      </c>
      <c r="B1471" s="2" t="s">
        <v>2615</v>
      </c>
      <c r="C1471" s="2" t="s">
        <v>2541</v>
      </c>
      <c r="D1471" s="2" t="s">
        <v>2531</v>
      </c>
      <c r="E1471" s="2" t="s">
        <v>2529</v>
      </c>
      <c r="F1471" s="3">
        <v>148076</v>
      </c>
      <c r="G1471" s="3">
        <v>12039</v>
      </c>
      <c r="H1471" s="3">
        <v>363</v>
      </c>
      <c r="I1471" s="4">
        <v>11346.86</v>
      </c>
      <c r="J1471" s="4">
        <v>13567.09</v>
      </c>
      <c r="K1471" s="3">
        <v>287</v>
      </c>
      <c r="L1471" s="2" t="s">
        <v>2539</v>
      </c>
      <c r="M1471" s="2" t="s">
        <v>2524</v>
      </c>
    </row>
    <row r="1472" spans="1:13" x14ac:dyDescent="0.3">
      <c r="A1472" s="1">
        <v>45818</v>
      </c>
      <c r="B1472" s="2" t="s">
        <v>2637</v>
      </c>
      <c r="C1472" s="2" t="s">
        <v>2521</v>
      </c>
      <c r="D1472" s="2" t="s">
        <v>2531</v>
      </c>
      <c r="E1472" s="2" t="s">
        <v>2529</v>
      </c>
      <c r="F1472" s="3">
        <v>71097</v>
      </c>
      <c r="G1472" s="3">
        <v>2060</v>
      </c>
      <c r="H1472" s="3">
        <v>233</v>
      </c>
      <c r="I1472" s="4">
        <v>1399.39</v>
      </c>
      <c r="J1472" s="4">
        <v>50583.79</v>
      </c>
      <c r="K1472" s="3">
        <v>191</v>
      </c>
      <c r="L1472" s="2" t="s">
        <v>2536</v>
      </c>
      <c r="M1472" s="2" t="s">
        <v>2524</v>
      </c>
    </row>
    <row r="1473" spans="1:13" x14ac:dyDescent="0.3">
      <c r="A1473" s="1">
        <v>45937</v>
      </c>
      <c r="B1473" s="2" t="s">
        <v>2638</v>
      </c>
      <c r="C1473" s="2" t="s">
        <v>2515</v>
      </c>
      <c r="D1473" s="2" t="s">
        <v>2522</v>
      </c>
      <c r="E1473" s="2" t="s">
        <v>2517</v>
      </c>
      <c r="F1473" s="3">
        <v>46108</v>
      </c>
      <c r="G1473" s="3">
        <v>453</v>
      </c>
      <c r="H1473" s="3">
        <v>49</v>
      </c>
      <c r="I1473" s="4">
        <v>384.76</v>
      </c>
      <c r="J1473" s="4">
        <v>10165.56</v>
      </c>
      <c r="K1473" s="3">
        <v>38</v>
      </c>
      <c r="L1473" s="2" t="s">
        <v>2536</v>
      </c>
      <c r="M1473" s="2" t="s">
        <v>2519</v>
      </c>
    </row>
    <row r="1474" spans="1:13" x14ac:dyDescent="0.3">
      <c r="A1474" s="1">
        <v>45874</v>
      </c>
      <c r="B1474" s="2" t="s">
        <v>2631</v>
      </c>
      <c r="C1474" s="2" t="s">
        <v>2543</v>
      </c>
      <c r="D1474" s="2" t="s">
        <v>2528</v>
      </c>
      <c r="E1474" s="2" t="s">
        <v>2529</v>
      </c>
      <c r="F1474" s="3">
        <v>78759</v>
      </c>
      <c r="G1474" s="3">
        <v>3641</v>
      </c>
      <c r="H1474" s="3">
        <v>360</v>
      </c>
      <c r="I1474" s="4">
        <v>988.59</v>
      </c>
      <c r="J1474" s="4">
        <v>30605.48</v>
      </c>
      <c r="K1474" s="3">
        <v>215</v>
      </c>
      <c r="L1474" s="2" t="s">
        <v>2536</v>
      </c>
      <c r="M1474" s="2" t="s">
        <v>2526</v>
      </c>
    </row>
    <row r="1475" spans="1:13" x14ac:dyDescent="0.3">
      <c r="A1475" s="1">
        <v>45881</v>
      </c>
      <c r="B1475" s="2" t="s">
        <v>2620</v>
      </c>
      <c r="C1475" s="2" t="s">
        <v>2543</v>
      </c>
      <c r="D1475" s="2" t="s">
        <v>2531</v>
      </c>
      <c r="E1475" s="2" t="s">
        <v>2517</v>
      </c>
      <c r="F1475" s="3">
        <v>38667</v>
      </c>
      <c r="G1475" s="3">
        <v>1438</v>
      </c>
      <c r="H1475" s="3">
        <v>183</v>
      </c>
      <c r="I1475" s="4">
        <v>2653.82</v>
      </c>
      <c r="J1475" s="4">
        <v>26139.439999999999</v>
      </c>
      <c r="K1475" s="3">
        <v>146</v>
      </c>
      <c r="L1475" s="2" t="s">
        <v>2523</v>
      </c>
      <c r="M1475" s="2" t="s">
        <v>2519</v>
      </c>
    </row>
    <row r="1476" spans="1:13" x14ac:dyDescent="0.3">
      <c r="A1476" s="1">
        <v>45753</v>
      </c>
      <c r="B1476" s="2" t="s">
        <v>2619</v>
      </c>
      <c r="C1476" s="2" t="s">
        <v>2541</v>
      </c>
      <c r="D1476" s="2" t="s">
        <v>2516</v>
      </c>
      <c r="E1476" s="2" t="s">
        <v>2529</v>
      </c>
      <c r="F1476" s="3">
        <v>4736</v>
      </c>
      <c r="G1476" s="3">
        <v>89</v>
      </c>
      <c r="H1476" s="3">
        <v>2</v>
      </c>
      <c r="I1476" s="4">
        <v>65.27</v>
      </c>
      <c r="J1476" s="4">
        <v>312.08999999999997</v>
      </c>
      <c r="K1476" s="3">
        <v>1</v>
      </c>
      <c r="L1476" s="2" t="s">
        <v>2539</v>
      </c>
      <c r="M1476" s="2" t="s">
        <v>2537</v>
      </c>
    </row>
    <row r="1477" spans="1:13" x14ac:dyDescent="0.3">
      <c r="A1477" s="1">
        <v>45969</v>
      </c>
      <c r="B1477" s="2" t="s">
        <v>2622</v>
      </c>
      <c r="C1477" s="2" t="s">
        <v>2521</v>
      </c>
      <c r="D1477" s="2" t="s">
        <v>2528</v>
      </c>
      <c r="E1477" s="2" t="s">
        <v>2529</v>
      </c>
      <c r="F1477" s="3">
        <v>133873</v>
      </c>
      <c r="G1477" s="3">
        <v>5754</v>
      </c>
      <c r="H1477" s="3">
        <v>227</v>
      </c>
      <c r="I1477" s="4">
        <v>9041.98</v>
      </c>
      <c r="J1477" s="4">
        <v>25729.51</v>
      </c>
      <c r="K1477" s="3">
        <v>187</v>
      </c>
      <c r="L1477" s="2" t="s">
        <v>2523</v>
      </c>
      <c r="M1477" s="2" t="s">
        <v>2524</v>
      </c>
    </row>
    <row r="1478" spans="1:13" x14ac:dyDescent="0.3">
      <c r="A1478" s="1">
        <v>46020</v>
      </c>
      <c r="B1478" s="2" t="s">
        <v>2639</v>
      </c>
      <c r="C1478" s="2" t="s">
        <v>2521</v>
      </c>
      <c r="D1478" s="2" t="s">
        <v>2528</v>
      </c>
      <c r="E1478" s="2" t="s">
        <v>2517</v>
      </c>
      <c r="F1478" s="3">
        <v>84498</v>
      </c>
      <c r="G1478" s="3">
        <v>2915</v>
      </c>
      <c r="H1478" s="3">
        <v>71</v>
      </c>
      <c r="I1478" s="4">
        <v>5566.83</v>
      </c>
      <c r="J1478" s="4">
        <v>5839.43</v>
      </c>
      <c r="K1478" s="3">
        <v>39</v>
      </c>
      <c r="L1478" s="2" t="s">
        <v>2518</v>
      </c>
      <c r="M1478" s="2" t="s">
        <v>2546</v>
      </c>
    </row>
    <row r="1479" spans="1:13" x14ac:dyDescent="0.3">
      <c r="A1479" s="1">
        <v>45699</v>
      </c>
      <c r="B1479" s="2" t="s">
        <v>2621</v>
      </c>
      <c r="C1479" s="2" t="s">
        <v>2543</v>
      </c>
      <c r="D1479" s="2" t="s">
        <v>2528</v>
      </c>
      <c r="E1479" s="2" t="s">
        <v>2529</v>
      </c>
      <c r="F1479" s="3">
        <v>98763</v>
      </c>
      <c r="G1479" s="3">
        <v>1996</v>
      </c>
      <c r="H1479" s="3">
        <v>119</v>
      </c>
      <c r="I1479" s="4">
        <v>415.01</v>
      </c>
      <c r="J1479" s="4">
        <v>24438.47</v>
      </c>
      <c r="K1479" s="3">
        <v>54</v>
      </c>
      <c r="L1479" s="2" t="s">
        <v>2523</v>
      </c>
      <c r="M1479" s="2" t="s">
        <v>2537</v>
      </c>
    </row>
    <row r="1480" spans="1:13" x14ac:dyDescent="0.3">
      <c r="A1480" s="1">
        <v>45885</v>
      </c>
      <c r="B1480" s="2" t="s">
        <v>2637</v>
      </c>
      <c r="C1480" s="2" t="s">
        <v>2521</v>
      </c>
      <c r="D1480" s="2" t="s">
        <v>2528</v>
      </c>
      <c r="E1480" s="2" t="s">
        <v>2529</v>
      </c>
      <c r="F1480" s="3">
        <v>172006</v>
      </c>
      <c r="G1480" s="3">
        <v>7724</v>
      </c>
      <c r="H1480" s="3">
        <v>972</v>
      </c>
      <c r="I1480" s="4">
        <v>9945.25</v>
      </c>
      <c r="J1480" s="4">
        <v>158576.32000000001</v>
      </c>
      <c r="K1480" s="3">
        <v>629</v>
      </c>
      <c r="L1480" s="2" t="s">
        <v>2523</v>
      </c>
      <c r="M1480" s="2" t="s">
        <v>2537</v>
      </c>
    </row>
    <row r="1481" spans="1:13" x14ac:dyDescent="0.3">
      <c r="A1481" s="1">
        <v>45952</v>
      </c>
      <c r="B1481" s="2" t="s">
        <v>2628</v>
      </c>
      <c r="C1481" s="2" t="s">
        <v>2541</v>
      </c>
      <c r="D1481" s="2" t="s">
        <v>2525</v>
      </c>
      <c r="E1481" s="2" t="s">
        <v>2529</v>
      </c>
      <c r="F1481" s="3">
        <v>91874</v>
      </c>
      <c r="G1481" s="3">
        <v>6704</v>
      </c>
      <c r="H1481" s="3">
        <v>118</v>
      </c>
      <c r="I1481" s="4">
        <v>1700.48</v>
      </c>
      <c r="J1481" s="4">
        <v>15971.23</v>
      </c>
      <c r="K1481" s="3">
        <v>104</v>
      </c>
      <c r="L1481" s="2" t="s">
        <v>2539</v>
      </c>
      <c r="M1481" s="2" t="s">
        <v>2524</v>
      </c>
    </row>
    <row r="1482" spans="1:13" x14ac:dyDescent="0.3">
      <c r="A1482" s="1">
        <v>45689</v>
      </c>
      <c r="B1482" s="2" t="s">
        <v>2641</v>
      </c>
      <c r="C1482" s="2" t="s">
        <v>2521</v>
      </c>
      <c r="D1482" s="2" t="s">
        <v>2516</v>
      </c>
      <c r="E1482" s="2" t="s">
        <v>2529</v>
      </c>
      <c r="F1482" s="3">
        <v>45273</v>
      </c>
      <c r="G1482" s="3">
        <v>3937</v>
      </c>
      <c r="H1482" s="3">
        <v>350</v>
      </c>
      <c r="I1482" s="4">
        <v>1985.81</v>
      </c>
      <c r="J1482" s="4">
        <v>44887.839999999997</v>
      </c>
      <c r="K1482" s="3">
        <v>263</v>
      </c>
      <c r="L1482" s="2" t="s">
        <v>2539</v>
      </c>
      <c r="M1482" s="2" t="s">
        <v>2537</v>
      </c>
    </row>
    <row r="1483" spans="1:13" x14ac:dyDescent="0.3">
      <c r="A1483" s="1">
        <v>45698</v>
      </c>
      <c r="B1483" s="2" t="s">
        <v>2636</v>
      </c>
      <c r="C1483" s="2" t="s">
        <v>2527</v>
      </c>
      <c r="D1483" s="2" t="s">
        <v>2528</v>
      </c>
      <c r="E1483" s="2" t="s">
        <v>2517</v>
      </c>
      <c r="F1483" s="3">
        <v>158231</v>
      </c>
      <c r="G1483" s="3">
        <v>1738</v>
      </c>
      <c r="H1483" s="3">
        <v>26</v>
      </c>
      <c r="I1483" s="4">
        <v>2529.31</v>
      </c>
      <c r="J1483" s="4">
        <v>5349.07</v>
      </c>
      <c r="K1483" s="3">
        <v>12</v>
      </c>
      <c r="L1483" s="2" t="s">
        <v>2539</v>
      </c>
      <c r="M1483" s="2" t="s">
        <v>2546</v>
      </c>
    </row>
    <row r="1484" spans="1:13" x14ac:dyDescent="0.3">
      <c r="A1484" s="1">
        <v>45943</v>
      </c>
      <c r="B1484" s="2" t="s">
        <v>2617</v>
      </c>
      <c r="C1484" s="2" t="s">
        <v>2543</v>
      </c>
      <c r="D1484" s="2" t="s">
        <v>2525</v>
      </c>
      <c r="E1484" s="2" t="s">
        <v>2529</v>
      </c>
      <c r="F1484" s="3">
        <v>145476</v>
      </c>
      <c r="G1484" s="3">
        <v>7420</v>
      </c>
      <c r="H1484" s="3">
        <v>101</v>
      </c>
      <c r="I1484" s="4">
        <v>5015.18</v>
      </c>
      <c r="J1484" s="4">
        <v>7222.67</v>
      </c>
      <c r="K1484" s="3">
        <v>58</v>
      </c>
      <c r="L1484" s="2" t="s">
        <v>2539</v>
      </c>
      <c r="M1484" s="2" t="s">
        <v>2546</v>
      </c>
    </row>
    <row r="1485" spans="1:13" x14ac:dyDescent="0.3">
      <c r="A1485" s="1">
        <v>45659</v>
      </c>
      <c r="B1485" s="2" t="s">
        <v>2633</v>
      </c>
      <c r="C1485" s="2" t="s">
        <v>2521</v>
      </c>
      <c r="D1485" s="2" t="s">
        <v>2531</v>
      </c>
      <c r="E1485" s="2" t="s">
        <v>2534</v>
      </c>
      <c r="F1485" s="3">
        <v>177271</v>
      </c>
      <c r="G1485" s="3">
        <v>1610</v>
      </c>
      <c r="H1485" s="3">
        <v>113</v>
      </c>
      <c r="I1485" s="4">
        <v>303.5</v>
      </c>
      <c r="J1485" s="4">
        <v>17854.919999999998</v>
      </c>
      <c r="K1485" s="3">
        <v>67</v>
      </c>
      <c r="L1485" s="2" t="s">
        <v>2518</v>
      </c>
      <c r="M1485" s="2" t="s">
        <v>2519</v>
      </c>
    </row>
    <row r="1486" spans="1:13" x14ac:dyDescent="0.3">
      <c r="A1486" s="1">
        <v>45997</v>
      </c>
      <c r="B1486" s="2" t="s">
        <v>2643</v>
      </c>
      <c r="C1486" s="2" t="s">
        <v>2515</v>
      </c>
      <c r="D1486" s="2" t="s">
        <v>2528</v>
      </c>
      <c r="E1486" s="2" t="s">
        <v>2529</v>
      </c>
      <c r="F1486" s="3">
        <v>157010</v>
      </c>
      <c r="G1486" s="3">
        <v>12792</v>
      </c>
      <c r="H1486" s="3">
        <v>1357</v>
      </c>
      <c r="I1486" s="4">
        <v>6607.34</v>
      </c>
      <c r="J1486" s="4">
        <v>60926.28</v>
      </c>
      <c r="K1486" s="3">
        <v>641</v>
      </c>
      <c r="L1486" s="2" t="s">
        <v>2523</v>
      </c>
      <c r="M1486" s="2" t="s">
        <v>2546</v>
      </c>
    </row>
    <row r="1487" spans="1:13" x14ac:dyDescent="0.3">
      <c r="A1487" s="1">
        <v>46002</v>
      </c>
      <c r="B1487" s="2" t="s">
        <v>2620</v>
      </c>
      <c r="C1487" s="2" t="s">
        <v>2521</v>
      </c>
      <c r="D1487" s="2" t="s">
        <v>2531</v>
      </c>
      <c r="E1487" s="2" t="s">
        <v>2517</v>
      </c>
      <c r="F1487" s="3">
        <v>47879</v>
      </c>
      <c r="G1487" s="3">
        <v>523</v>
      </c>
      <c r="H1487" s="3">
        <v>20</v>
      </c>
      <c r="I1487" s="4">
        <v>559.54</v>
      </c>
      <c r="J1487" s="4">
        <v>3437</v>
      </c>
      <c r="K1487" s="3">
        <v>11</v>
      </c>
      <c r="L1487" s="2" t="s">
        <v>2539</v>
      </c>
      <c r="M1487" s="2" t="s">
        <v>2546</v>
      </c>
    </row>
    <row r="1488" spans="1:13" x14ac:dyDescent="0.3">
      <c r="A1488" s="1">
        <v>45765</v>
      </c>
      <c r="B1488" s="2" t="s">
        <v>2640</v>
      </c>
      <c r="C1488" s="2" t="s">
        <v>2527</v>
      </c>
      <c r="D1488" s="2" t="s">
        <v>2516</v>
      </c>
      <c r="E1488" s="2" t="s">
        <v>2529</v>
      </c>
      <c r="F1488" s="3">
        <v>72088</v>
      </c>
      <c r="G1488" s="3">
        <v>1935</v>
      </c>
      <c r="H1488" s="3">
        <v>23</v>
      </c>
      <c r="I1488" s="4">
        <v>3622.5</v>
      </c>
      <c r="J1488" s="4">
        <v>2753.12</v>
      </c>
      <c r="K1488" s="3">
        <v>19</v>
      </c>
      <c r="L1488" s="2" t="s">
        <v>2536</v>
      </c>
      <c r="M1488" s="2" t="s">
        <v>2537</v>
      </c>
    </row>
    <row r="1489" spans="1:13" x14ac:dyDescent="0.3">
      <c r="A1489" s="1">
        <v>45698</v>
      </c>
      <c r="B1489" s="2" t="s">
        <v>2630</v>
      </c>
      <c r="C1489" s="2" t="s">
        <v>2521</v>
      </c>
      <c r="D1489" s="2" t="s">
        <v>2531</v>
      </c>
      <c r="E1489" s="2" t="s">
        <v>2517</v>
      </c>
      <c r="F1489" s="3">
        <v>78862</v>
      </c>
      <c r="G1489" s="3">
        <v>6396</v>
      </c>
      <c r="H1489" s="3">
        <v>471</v>
      </c>
      <c r="I1489" s="4">
        <v>8180.75</v>
      </c>
      <c r="J1489" s="4">
        <v>64875.29</v>
      </c>
      <c r="K1489" s="3">
        <v>374</v>
      </c>
      <c r="L1489" s="2" t="s">
        <v>2518</v>
      </c>
      <c r="M1489" s="2" t="s">
        <v>2526</v>
      </c>
    </row>
    <row r="1490" spans="1:13" x14ac:dyDescent="0.3">
      <c r="A1490" s="1">
        <v>45767</v>
      </c>
      <c r="B1490" s="2" t="s">
        <v>2637</v>
      </c>
      <c r="C1490" s="2" t="s">
        <v>2543</v>
      </c>
      <c r="D1490" s="2" t="s">
        <v>2516</v>
      </c>
      <c r="E1490" s="2" t="s">
        <v>2529</v>
      </c>
      <c r="F1490" s="3">
        <v>1807</v>
      </c>
      <c r="G1490" s="3">
        <v>38</v>
      </c>
      <c r="H1490" s="3">
        <v>0</v>
      </c>
      <c r="I1490" s="4">
        <v>36.81</v>
      </c>
      <c r="J1490" s="4">
        <v>0</v>
      </c>
      <c r="K1490" s="3">
        <v>0</v>
      </c>
      <c r="L1490" s="2" t="s">
        <v>2539</v>
      </c>
      <c r="M1490" s="2" t="s">
        <v>2537</v>
      </c>
    </row>
    <row r="1491" spans="1:13" x14ac:dyDescent="0.3">
      <c r="A1491" s="1">
        <v>45854</v>
      </c>
      <c r="B1491" s="2" t="s">
        <v>2618</v>
      </c>
      <c r="C1491" s="2" t="s">
        <v>2541</v>
      </c>
      <c r="D1491" s="2" t="s">
        <v>2528</v>
      </c>
      <c r="E1491" s="2" t="s">
        <v>2529</v>
      </c>
      <c r="F1491" s="3">
        <v>158920</v>
      </c>
      <c r="G1491" s="3">
        <v>2089</v>
      </c>
      <c r="H1491" s="3">
        <v>69</v>
      </c>
      <c r="I1491" s="4">
        <v>1037.3399999999999</v>
      </c>
      <c r="J1491" s="4">
        <v>14341.85</v>
      </c>
      <c r="K1491" s="3">
        <v>56</v>
      </c>
      <c r="L1491" s="2" t="s">
        <v>2518</v>
      </c>
      <c r="M1491" s="2" t="s">
        <v>2524</v>
      </c>
    </row>
    <row r="1492" spans="1:13" x14ac:dyDescent="0.3">
      <c r="A1492" s="1">
        <v>45979</v>
      </c>
      <c r="B1492" s="2" t="s">
        <v>2635</v>
      </c>
      <c r="C1492" s="2" t="s">
        <v>2527</v>
      </c>
      <c r="D1492" s="2" t="s">
        <v>2516</v>
      </c>
      <c r="E1492" s="2" t="s">
        <v>2529</v>
      </c>
      <c r="F1492" s="3">
        <v>136608</v>
      </c>
      <c r="G1492" s="3">
        <v>4923</v>
      </c>
      <c r="H1492" s="3">
        <v>546</v>
      </c>
      <c r="I1492" s="4">
        <v>1368.55</v>
      </c>
      <c r="J1492" s="4">
        <v>85584.75</v>
      </c>
      <c r="K1492" s="3">
        <v>386</v>
      </c>
      <c r="L1492" s="2" t="s">
        <v>2518</v>
      </c>
      <c r="M1492" s="2" t="s">
        <v>2537</v>
      </c>
    </row>
    <row r="1493" spans="1:13" x14ac:dyDescent="0.3">
      <c r="A1493" s="1">
        <v>45827</v>
      </c>
      <c r="B1493" s="2" t="s">
        <v>2620</v>
      </c>
      <c r="C1493" s="2" t="s">
        <v>2527</v>
      </c>
      <c r="D1493" s="2" t="s">
        <v>2525</v>
      </c>
      <c r="E1493" s="2" t="s">
        <v>2529</v>
      </c>
      <c r="F1493" s="3">
        <v>22459</v>
      </c>
      <c r="G1493" s="3">
        <v>1676</v>
      </c>
      <c r="H1493" s="3">
        <v>69</v>
      </c>
      <c r="I1493" s="4">
        <v>374.14</v>
      </c>
      <c r="J1493" s="4">
        <v>4041</v>
      </c>
      <c r="K1493" s="3">
        <v>52</v>
      </c>
      <c r="L1493" s="2" t="s">
        <v>2523</v>
      </c>
      <c r="M1493" s="2" t="s">
        <v>2537</v>
      </c>
    </row>
    <row r="1494" spans="1:13" x14ac:dyDescent="0.3">
      <c r="A1494" s="1">
        <v>46000</v>
      </c>
      <c r="B1494" s="2" t="s">
        <v>2636</v>
      </c>
      <c r="C1494" s="2" t="s">
        <v>2543</v>
      </c>
      <c r="D1494" s="2" t="s">
        <v>2516</v>
      </c>
      <c r="E1494" s="2" t="s">
        <v>2529</v>
      </c>
      <c r="F1494" s="3">
        <v>75462</v>
      </c>
      <c r="G1494" s="3">
        <v>6531</v>
      </c>
      <c r="H1494" s="3">
        <v>246</v>
      </c>
      <c r="I1494" s="4">
        <v>11768.5</v>
      </c>
      <c r="J1494" s="4">
        <v>42199.03</v>
      </c>
      <c r="K1494" s="3">
        <v>146</v>
      </c>
      <c r="L1494" s="2" t="s">
        <v>2518</v>
      </c>
      <c r="M1494" s="2" t="s">
        <v>2519</v>
      </c>
    </row>
    <row r="1495" spans="1:13" x14ac:dyDescent="0.3">
      <c r="A1495" s="1">
        <v>46013</v>
      </c>
      <c r="B1495" s="2" t="s">
        <v>2635</v>
      </c>
      <c r="C1495" s="2" t="s">
        <v>2543</v>
      </c>
      <c r="D1495" s="2" t="s">
        <v>2528</v>
      </c>
      <c r="E1495" s="2" t="s">
        <v>2517</v>
      </c>
      <c r="F1495" s="3">
        <v>152923</v>
      </c>
      <c r="G1495" s="3">
        <v>4709</v>
      </c>
      <c r="H1495" s="3">
        <v>630</v>
      </c>
      <c r="I1495" s="4">
        <v>7324.54</v>
      </c>
      <c r="J1495" s="4">
        <v>83882.91</v>
      </c>
      <c r="K1495" s="3">
        <v>297</v>
      </c>
      <c r="L1495" s="2" t="s">
        <v>2523</v>
      </c>
      <c r="M1495" s="2" t="s">
        <v>2526</v>
      </c>
    </row>
    <row r="1496" spans="1:13" x14ac:dyDescent="0.3">
      <c r="A1496" s="1">
        <v>45846</v>
      </c>
      <c r="B1496" s="2" t="s">
        <v>2642</v>
      </c>
      <c r="C1496" s="2" t="s">
        <v>2521</v>
      </c>
      <c r="D1496" s="2" t="s">
        <v>2516</v>
      </c>
      <c r="E1496" s="2" t="s">
        <v>2517</v>
      </c>
      <c r="F1496" s="3">
        <v>48618</v>
      </c>
      <c r="G1496" s="3">
        <v>3916</v>
      </c>
      <c r="H1496" s="3">
        <v>26</v>
      </c>
      <c r="I1496" s="4">
        <v>6871.39</v>
      </c>
      <c r="J1496" s="4">
        <v>2490.69</v>
      </c>
      <c r="K1496" s="3">
        <v>14</v>
      </c>
      <c r="L1496" s="2" t="s">
        <v>2523</v>
      </c>
      <c r="M1496" s="2" t="s">
        <v>2526</v>
      </c>
    </row>
    <row r="1497" spans="1:13" x14ac:dyDescent="0.3">
      <c r="A1497" s="1">
        <v>45751</v>
      </c>
      <c r="B1497" s="2" t="s">
        <v>2643</v>
      </c>
      <c r="C1497" s="2" t="s">
        <v>2541</v>
      </c>
      <c r="D1497" s="2" t="s">
        <v>2528</v>
      </c>
      <c r="E1497" s="2" t="s">
        <v>2517</v>
      </c>
      <c r="F1497" s="3">
        <v>26210</v>
      </c>
      <c r="G1497" s="3">
        <v>1978</v>
      </c>
      <c r="H1497" s="3">
        <v>167</v>
      </c>
      <c r="I1497" s="4">
        <v>1578</v>
      </c>
      <c r="J1497" s="4">
        <v>9949.9699999999993</v>
      </c>
      <c r="K1497" s="3">
        <v>115</v>
      </c>
      <c r="L1497" s="2" t="s">
        <v>2523</v>
      </c>
      <c r="M1497" s="2" t="s">
        <v>2546</v>
      </c>
    </row>
    <row r="1498" spans="1:13" x14ac:dyDescent="0.3">
      <c r="A1498" s="1">
        <v>45945</v>
      </c>
      <c r="B1498" s="2" t="s">
        <v>2641</v>
      </c>
      <c r="C1498" s="2" t="s">
        <v>2527</v>
      </c>
      <c r="D1498" s="2" t="s">
        <v>2531</v>
      </c>
      <c r="E1498" s="2" t="s">
        <v>2529</v>
      </c>
      <c r="F1498" s="3">
        <v>113803</v>
      </c>
      <c r="G1498" s="3">
        <v>5875</v>
      </c>
      <c r="H1498" s="3">
        <v>797</v>
      </c>
      <c r="I1498" s="4">
        <v>10508.4</v>
      </c>
      <c r="J1498" s="4">
        <v>123064.24</v>
      </c>
      <c r="K1498" s="3">
        <v>609</v>
      </c>
      <c r="L1498" s="2" t="s">
        <v>2523</v>
      </c>
      <c r="M1498" s="2" t="s">
        <v>2524</v>
      </c>
    </row>
    <row r="1499" spans="1:13" x14ac:dyDescent="0.3">
      <c r="A1499" s="1">
        <v>45828</v>
      </c>
      <c r="B1499" s="2" t="s">
        <v>2615</v>
      </c>
      <c r="C1499" s="2" t="s">
        <v>2533</v>
      </c>
      <c r="D1499" s="2" t="s">
        <v>2516</v>
      </c>
      <c r="E1499" s="2" t="s">
        <v>2517</v>
      </c>
      <c r="F1499" s="3">
        <v>161358</v>
      </c>
      <c r="G1499" s="3">
        <v>9911</v>
      </c>
      <c r="H1499" s="3">
        <v>1297</v>
      </c>
      <c r="I1499" s="4">
        <v>11371.4</v>
      </c>
      <c r="J1499" s="4">
        <v>44199.28</v>
      </c>
      <c r="K1499" s="3">
        <v>1054</v>
      </c>
      <c r="L1499" s="2" t="s">
        <v>2539</v>
      </c>
      <c r="M1499" s="2" t="s">
        <v>2519</v>
      </c>
    </row>
    <row r="1500" spans="1:13" x14ac:dyDescent="0.3">
      <c r="A1500" s="1">
        <v>45946</v>
      </c>
      <c r="B1500" s="2" t="s">
        <v>2634</v>
      </c>
      <c r="C1500" s="2" t="s">
        <v>2515</v>
      </c>
      <c r="D1500" s="2" t="s">
        <v>2528</v>
      </c>
      <c r="E1500" s="2" t="s">
        <v>2529</v>
      </c>
      <c r="F1500" s="3">
        <v>153744</v>
      </c>
      <c r="G1500" s="3">
        <v>11044</v>
      </c>
      <c r="H1500" s="3">
        <v>958</v>
      </c>
      <c r="I1500" s="4">
        <v>4148.63</v>
      </c>
      <c r="J1500" s="4">
        <v>32501.49</v>
      </c>
      <c r="K1500" s="3">
        <v>751</v>
      </c>
      <c r="L1500" s="2" t="s">
        <v>2539</v>
      </c>
      <c r="M1500" s="2" t="s">
        <v>2546</v>
      </c>
    </row>
    <row r="1501" spans="1:13" x14ac:dyDescent="0.3">
      <c r="A1501" s="1">
        <v>45798</v>
      </c>
      <c r="B1501" s="2" t="s">
        <v>2620</v>
      </c>
      <c r="C1501" s="2" t="s">
        <v>2515</v>
      </c>
      <c r="D1501" s="2" t="s">
        <v>2528</v>
      </c>
      <c r="E1501" s="2" t="s">
        <v>2517</v>
      </c>
      <c r="F1501" s="3">
        <v>116040</v>
      </c>
      <c r="G1501" s="3">
        <v>9271</v>
      </c>
      <c r="H1501" s="3">
        <v>956</v>
      </c>
      <c r="I1501" s="4">
        <v>11988.86</v>
      </c>
      <c r="J1501" s="4">
        <v>117902.95</v>
      </c>
      <c r="K1501" s="3">
        <v>636</v>
      </c>
      <c r="L1501" s="2" t="s">
        <v>2518</v>
      </c>
      <c r="M1501" s="2" t="s">
        <v>2526</v>
      </c>
    </row>
    <row r="1502" spans="1:13" x14ac:dyDescent="0.3">
      <c r="A1502" s="1">
        <v>45772</v>
      </c>
      <c r="B1502" s="2" t="s">
        <v>2628</v>
      </c>
      <c r="C1502" s="2" t="s">
        <v>2543</v>
      </c>
      <c r="D1502" s="2" t="s">
        <v>2528</v>
      </c>
      <c r="E1502" s="2" t="s">
        <v>2534</v>
      </c>
      <c r="F1502" s="3">
        <v>60203</v>
      </c>
      <c r="G1502" s="3">
        <v>1955</v>
      </c>
      <c r="H1502" s="3">
        <v>238</v>
      </c>
      <c r="I1502" s="4">
        <v>3510.59</v>
      </c>
      <c r="J1502" s="4">
        <v>32237.42</v>
      </c>
      <c r="K1502" s="3">
        <v>151</v>
      </c>
      <c r="L1502" s="2" t="s">
        <v>2523</v>
      </c>
      <c r="M1502" s="2" t="s">
        <v>2526</v>
      </c>
    </row>
    <row r="1503" spans="1:13" x14ac:dyDescent="0.3">
      <c r="A1503" s="1">
        <v>45856</v>
      </c>
      <c r="B1503" s="2" t="s">
        <v>2635</v>
      </c>
      <c r="C1503" s="2" t="s">
        <v>2521</v>
      </c>
      <c r="D1503" s="2" t="s">
        <v>2528</v>
      </c>
      <c r="E1503" s="2" t="s">
        <v>2534</v>
      </c>
      <c r="F1503" s="3">
        <v>32797</v>
      </c>
      <c r="G1503" s="3">
        <v>2493</v>
      </c>
      <c r="H1503" s="3">
        <v>220</v>
      </c>
      <c r="I1503" s="4">
        <v>3726.11</v>
      </c>
      <c r="J1503" s="4">
        <v>45238.48</v>
      </c>
      <c r="K1503" s="3">
        <v>186</v>
      </c>
      <c r="L1503" s="2" t="s">
        <v>2539</v>
      </c>
      <c r="M1503" s="2" t="s">
        <v>2546</v>
      </c>
    </row>
    <row r="1504" spans="1:13" x14ac:dyDescent="0.3">
      <c r="A1504" s="1">
        <v>45871</v>
      </c>
      <c r="B1504" s="2" t="s">
        <v>2627</v>
      </c>
      <c r="C1504" s="2" t="s">
        <v>2543</v>
      </c>
      <c r="D1504" s="2" t="s">
        <v>2516</v>
      </c>
      <c r="E1504" s="2" t="s">
        <v>2529</v>
      </c>
      <c r="F1504" s="3">
        <v>117265</v>
      </c>
      <c r="G1504" s="3">
        <v>5454</v>
      </c>
      <c r="H1504" s="3">
        <v>453</v>
      </c>
      <c r="I1504" s="4">
        <v>9160.43</v>
      </c>
      <c r="J1504" s="4">
        <v>23853.34</v>
      </c>
      <c r="K1504" s="3">
        <v>304</v>
      </c>
      <c r="L1504" s="2" t="s">
        <v>2518</v>
      </c>
      <c r="M1504" s="2" t="s">
        <v>2519</v>
      </c>
    </row>
    <row r="1505" spans="1:13" x14ac:dyDescent="0.3">
      <c r="A1505" s="1">
        <v>45895</v>
      </c>
      <c r="B1505" s="2" t="s">
        <v>2640</v>
      </c>
      <c r="C1505" s="2" t="s">
        <v>2515</v>
      </c>
      <c r="D1505" s="2" t="s">
        <v>2528</v>
      </c>
      <c r="E1505" s="2" t="s">
        <v>2517</v>
      </c>
      <c r="F1505" s="3">
        <v>37609</v>
      </c>
      <c r="G1505" s="3">
        <v>1494</v>
      </c>
      <c r="H1505" s="3">
        <v>119</v>
      </c>
      <c r="I1505" s="4">
        <v>590.79999999999995</v>
      </c>
      <c r="J1505" s="4">
        <v>3939.41</v>
      </c>
      <c r="K1505" s="3">
        <v>95</v>
      </c>
      <c r="L1505" s="2" t="s">
        <v>2539</v>
      </c>
      <c r="M1505" s="2" t="s">
        <v>2537</v>
      </c>
    </row>
    <row r="1506" spans="1:13" x14ac:dyDescent="0.3">
      <c r="A1506" s="1">
        <v>45979</v>
      </c>
      <c r="B1506" s="2" t="s">
        <v>2626</v>
      </c>
      <c r="C1506" s="2" t="s">
        <v>2521</v>
      </c>
      <c r="D1506" s="2" t="s">
        <v>2525</v>
      </c>
      <c r="E1506" s="2" t="s">
        <v>2529</v>
      </c>
      <c r="F1506" s="3">
        <v>59056</v>
      </c>
      <c r="G1506" s="3">
        <v>3130</v>
      </c>
      <c r="H1506" s="3">
        <v>303</v>
      </c>
      <c r="I1506" s="4">
        <v>5041.21</v>
      </c>
      <c r="J1506" s="4">
        <v>60426.22</v>
      </c>
      <c r="K1506" s="3">
        <v>250</v>
      </c>
      <c r="L1506" s="2" t="s">
        <v>2536</v>
      </c>
      <c r="M1506" s="2" t="s">
        <v>2524</v>
      </c>
    </row>
    <row r="1507" spans="1:13" x14ac:dyDescent="0.3">
      <c r="A1507" s="1">
        <v>45792</v>
      </c>
      <c r="B1507" s="2" t="s">
        <v>2638</v>
      </c>
      <c r="C1507" s="2" t="s">
        <v>2543</v>
      </c>
      <c r="D1507" s="2" t="s">
        <v>2516</v>
      </c>
      <c r="E1507" s="2" t="s">
        <v>2529</v>
      </c>
      <c r="F1507" s="3">
        <v>34557</v>
      </c>
      <c r="G1507" s="3">
        <v>975</v>
      </c>
      <c r="H1507" s="3">
        <v>21</v>
      </c>
      <c r="I1507" s="4">
        <v>729.13</v>
      </c>
      <c r="J1507" s="4">
        <v>4314.3900000000003</v>
      </c>
      <c r="K1507" s="3">
        <v>17</v>
      </c>
      <c r="L1507" s="2" t="s">
        <v>2539</v>
      </c>
      <c r="M1507" s="2" t="s">
        <v>2524</v>
      </c>
    </row>
    <row r="1508" spans="1:13" x14ac:dyDescent="0.3">
      <c r="A1508" s="1">
        <v>45987</v>
      </c>
      <c r="B1508" s="2" t="s">
        <v>2637</v>
      </c>
      <c r="C1508" s="2" t="s">
        <v>2527</v>
      </c>
      <c r="D1508" s="2" t="s">
        <v>2525</v>
      </c>
      <c r="E1508" s="2" t="s">
        <v>2529</v>
      </c>
      <c r="F1508" s="3">
        <v>171703</v>
      </c>
      <c r="G1508" s="3">
        <v>2050</v>
      </c>
      <c r="H1508" s="3">
        <v>271</v>
      </c>
      <c r="I1508" s="4">
        <v>1097.48</v>
      </c>
      <c r="J1508" s="4">
        <v>11264.4</v>
      </c>
      <c r="K1508" s="3">
        <v>223</v>
      </c>
      <c r="L1508" s="2" t="s">
        <v>2518</v>
      </c>
      <c r="M1508" s="2" t="s">
        <v>2537</v>
      </c>
    </row>
    <row r="1509" spans="1:13" x14ac:dyDescent="0.3">
      <c r="A1509" s="1">
        <v>46012</v>
      </c>
      <c r="B1509" s="2" t="s">
        <v>2629</v>
      </c>
      <c r="C1509" s="2" t="s">
        <v>2521</v>
      </c>
      <c r="D1509" s="2" t="s">
        <v>2522</v>
      </c>
      <c r="E1509" s="2" t="s">
        <v>2517</v>
      </c>
      <c r="F1509" s="3">
        <v>30764</v>
      </c>
      <c r="G1509" s="3">
        <v>1062</v>
      </c>
      <c r="H1509" s="3">
        <v>110</v>
      </c>
      <c r="I1509" s="4">
        <v>1249.1199999999999</v>
      </c>
      <c r="J1509" s="4">
        <v>10191.85</v>
      </c>
      <c r="K1509" s="3">
        <v>61</v>
      </c>
      <c r="L1509" s="2" t="s">
        <v>2523</v>
      </c>
      <c r="M1509" s="2" t="s">
        <v>2526</v>
      </c>
    </row>
    <row r="1510" spans="1:13" x14ac:dyDescent="0.3">
      <c r="A1510" s="1">
        <v>45827</v>
      </c>
      <c r="B1510" s="2" t="s">
        <v>2644</v>
      </c>
      <c r="C1510" s="2" t="s">
        <v>2541</v>
      </c>
      <c r="D1510" s="2" t="s">
        <v>2528</v>
      </c>
      <c r="E1510" s="2" t="s">
        <v>2529</v>
      </c>
      <c r="F1510" s="3">
        <v>25311</v>
      </c>
      <c r="G1510" s="3">
        <v>422</v>
      </c>
      <c r="H1510" s="3">
        <v>27</v>
      </c>
      <c r="I1510" s="4">
        <v>278.01</v>
      </c>
      <c r="J1510" s="4">
        <v>1050.1199999999999</v>
      </c>
      <c r="K1510" s="3">
        <v>21</v>
      </c>
      <c r="L1510" s="2" t="s">
        <v>2523</v>
      </c>
      <c r="M1510" s="2" t="s">
        <v>2537</v>
      </c>
    </row>
    <row r="1511" spans="1:13" x14ac:dyDescent="0.3">
      <c r="A1511" s="1">
        <v>45724</v>
      </c>
      <c r="B1511" s="2" t="s">
        <v>2644</v>
      </c>
      <c r="C1511" s="2" t="s">
        <v>2515</v>
      </c>
      <c r="D1511" s="2" t="s">
        <v>2516</v>
      </c>
      <c r="E1511" s="2" t="s">
        <v>2517</v>
      </c>
      <c r="F1511" s="3">
        <v>97627</v>
      </c>
      <c r="G1511" s="3">
        <v>5878</v>
      </c>
      <c r="H1511" s="3">
        <v>748</v>
      </c>
      <c r="I1511" s="4">
        <v>777.87</v>
      </c>
      <c r="J1511" s="4">
        <v>151240.46</v>
      </c>
      <c r="K1511" s="3">
        <v>427</v>
      </c>
      <c r="L1511" s="2" t="s">
        <v>2523</v>
      </c>
      <c r="M1511" s="2" t="s">
        <v>2526</v>
      </c>
    </row>
    <row r="1512" spans="1:13" x14ac:dyDescent="0.3">
      <c r="A1512" s="1">
        <v>45674</v>
      </c>
      <c r="B1512" s="2" t="s">
        <v>2635</v>
      </c>
      <c r="C1512" s="2" t="s">
        <v>2533</v>
      </c>
      <c r="D1512" s="2" t="s">
        <v>2528</v>
      </c>
      <c r="E1512" s="2" t="s">
        <v>2517</v>
      </c>
      <c r="F1512" s="3">
        <v>76464</v>
      </c>
      <c r="G1512" s="3">
        <v>5607</v>
      </c>
      <c r="H1512" s="3">
        <v>317</v>
      </c>
      <c r="I1512" s="4">
        <v>7789.48</v>
      </c>
      <c r="J1512" s="4">
        <v>6149.77</v>
      </c>
      <c r="K1512" s="3">
        <v>160</v>
      </c>
      <c r="L1512" s="2" t="s">
        <v>2518</v>
      </c>
      <c r="M1512" s="2" t="s">
        <v>2537</v>
      </c>
    </row>
    <row r="1513" spans="1:13" x14ac:dyDescent="0.3">
      <c r="A1513" s="1">
        <v>45977</v>
      </c>
      <c r="B1513" s="2" t="s">
        <v>2638</v>
      </c>
      <c r="C1513" s="2" t="s">
        <v>2527</v>
      </c>
      <c r="D1513" s="2" t="s">
        <v>2525</v>
      </c>
      <c r="E1513" s="2" t="s">
        <v>2517</v>
      </c>
      <c r="F1513" s="3">
        <v>73846</v>
      </c>
      <c r="G1513" s="3">
        <v>4345</v>
      </c>
      <c r="H1513" s="3">
        <v>460</v>
      </c>
      <c r="I1513" s="4">
        <v>6235.57</v>
      </c>
      <c r="J1513" s="4">
        <v>88640.97</v>
      </c>
      <c r="K1513" s="3">
        <v>289</v>
      </c>
      <c r="L1513" s="2" t="s">
        <v>2539</v>
      </c>
      <c r="M1513" s="2" t="s">
        <v>2537</v>
      </c>
    </row>
    <row r="1514" spans="1:13" x14ac:dyDescent="0.3">
      <c r="A1514" s="1">
        <v>45764</v>
      </c>
      <c r="B1514" s="2" t="s">
        <v>2640</v>
      </c>
      <c r="C1514" s="2" t="s">
        <v>2533</v>
      </c>
      <c r="D1514" s="2" t="s">
        <v>2516</v>
      </c>
      <c r="E1514" s="2" t="s">
        <v>2517</v>
      </c>
      <c r="F1514" s="3">
        <v>154483</v>
      </c>
      <c r="G1514" s="3">
        <v>9189</v>
      </c>
      <c r="H1514" s="3">
        <v>106</v>
      </c>
      <c r="I1514" s="4">
        <v>1923.74</v>
      </c>
      <c r="J1514" s="4">
        <v>15317.67</v>
      </c>
      <c r="K1514" s="3">
        <v>70</v>
      </c>
      <c r="L1514" s="2" t="s">
        <v>2523</v>
      </c>
      <c r="M1514" s="2" t="s">
        <v>2537</v>
      </c>
    </row>
    <row r="1515" spans="1:13" x14ac:dyDescent="0.3">
      <c r="A1515" s="1">
        <v>45998</v>
      </c>
      <c r="B1515" s="2" t="s">
        <v>2617</v>
      </c>
      <c r="C1515" s="2" t="s">
        <v>2543</v>
      </c>
      <c r="D1515" s="2" t="s">
        <v>2531</v>
      </c>
      <c r="E1515" s="2" t="s">
        <v>2529</v>
      </c>
      <c r="F1515" s="3">
        <v>143169</v>
      </c>
      <c r="G1515" s="3">
        <v>4384</v>
      </c>
      <c r="H1515" s="3">
        <v>435</v>
      </c>
      <c r="I1515" s="4">
        <v>4824.95</v>
      </c>
      <c r="J1515" s="4">
        <v>58617.86</v>
      </c>
      <c r="K1515" s="3">
        <v>367</v>
      </c>
      <c r="L1515" s="2" t="s">
        <v>2536</v>
      </c>
      <c r="M1515" s="2" t="s">
        <v>2526</v>
      </c>
    </row>
    <row r="1516" spans="1:13" x14ac:dyDescent="0.3">
      <c r="A1516" s="1">
        <v>45802</v>
      </c>
      <c r="B1516" s="2" t="s">
        <v>2629</v>
      </c>
      <c r="C1516" s="2" t="s">
        <v>2527</v>
      </c>
      <c r="D1516" s="2" t="s">
        <v>2528</v>
      </c>
      <c r="E1516" s="2" t="s">
        <v>2517</v>
      </c>
      <c r="F1516" s="3">
        <v>132279</v>
      </c>
      <c r="G1516" s="3">
        <v>10352</v>
      </c>
      <c r="H1516" s="3">
        <v>931</v>
      </c>
      <c r="I1516" s="4">
        <v>15918.6</v>
      </c>
      <c r="J1516" s="4">
        <v>134045.31</v>
      </c>
      <c r="K1516" s="3">
        <v>660</v>
      </c>
      <c r="L1516" s="2" t="s">
        <v>2523</v>
      </c>
      <c r="M1516" s="2" t="s">
        <v>2537</v>
      </c>
    </row>
    <row r="1517" spans="1:13" x14ac:dyDescent="0.3">
      <c r="A1517" s="1">
        <v>45666</v>
      </c>
      <c r="B1517" s="2" t="s">
        <v>2620</v>
      </c>
      <c r="C1517" s="2" t="s">
        <v>2543</v>
      </c>
      <c r="D1517" s="2" t="s">
        <v>2516</v>
      </c>
      <c r="E1517" s="2" t="s">
        <v>2529</v>
      </c>
      <c r="F1517" s="3">
        <v>5773</v>
      </c>
      <c r="G1517" s="3">
        <v>428</v>
      </c>
      <c r="H1517" s="3">
        <v>43</v>
      </c>
      <c r="I1517" s="4">
        <v>120.06</v>
      </c>
      <c r="J1517" s="4">
        <v>7050.5</v>
      </c>
      <c r="K1517" s="3">
        <v>23</v>
      </c>
      <c r="L1517" s="2" t="s">
        <v>2523</v>
      </c>
      <c r="M1517" s="2" t="s">
        <v>2519</v>
      </c>
    </row>
    <row r="1518" spans="1:13" x14ac:dyDescent="0.3">
      <c r="A1518" s="1">
        <v>45921</v>
      </c>
      <c r="B1518" s="2" t="s">
        <v>2630</v>
      </c>
      <c r="C1518" s="2" t="s">
        <v>2515</v>
      </c>
      <c r="D1518" s="2" t="s">
        <v>2516</v>
      </c>
      <c r="E1518" s="2" t="s">
        <v>2517</v>
      </c>
      <c r="F1518" s="3">
        <v>3959</v>
      </c>
      <c r="G1518" s="3">
        <v>210</v>
      </c>
      <c r="H1518" s="3">
        <v>22</v>
      </c>
      <c r="I1518" s="4">
        <v>179.58</v>
      </c>
      <c r="J1518" s="4">
        <v>371.04</v>
      </c>
      <c r="K1518" s="3">
        <v>13</v>
      </c>
      <c r="L1518" s="2" t="s">
        <v>2539</v>
      </c>
      <c r="M1518" s="2" t="s">
        <v>2546</v>
      </c>
    </row>
    <row r="1519" spans="1:13" x14ac:dyDescent="0.3">
      <c r="A1519" s="1">
        <v>45678</v>
      </c>
      <c r="B1519" s="2" t="s">
        <v>2638</v>
      </c>
      <c r="C1519" s="2" t="s">
        <v>2541</v>
      </c>
      <c r="D1519" s="2" t="s">
        <v>2528</v>
      </c>
      <c r="E1519" s="2" t="s">
        <v>2517</v>
      </c>
      <c r="F1519" s="3">
        <v>35813</v>
      </c>
      <c r="G1519" s="3">
        <v>2804</v>
      </c>
      <c r="H1519" s="3">
        <v>358</v>
      </c>
      <c r="I1519" s="4">
        <v>877.97</v>
      </c>
      <c r="J1519" s="4">
        <v>73336.14</v>
      </c>
      <c r="K1519" s="3">
        <v>255</v>
      </c>
      <c r="L1519" s="2" t="s">
        <v>2523</v>
      </c>
      <c r="M1519" s="2" t="s">
        <v>2519</v>
      </c>
    </row>
    <row r="1520" spans="1:13" x14ac:dyDescent="0.3">
      <c r="A1520" s="1">
        <v>45690</v>
      </c>
      <c r="B1520" s="2" t="s">
        <v>2644</v>
      </c>
      <c r="C1520" s="2" t="s">
        <v>2541</v>
      </c>
      <c r="D1520" s="2" t="s">
        <v>2522</v>
      </c>
      <c r="E1520" s="2" t="s">
        <v>2529</v>
      </c>
      <c r="F1520" s="3">
        <v>87035</v>
      </c>
      <c r="G1520" s="3">
        <v>7449</v>
      </c>
      <c r="H1520" s="3">
        <v>992</v>
      </c>
      <c r="I1520" s="4">
        <v>1271.33</v>
      </c>
      <c r="J1520" s="4">
        <v>119307.94</v>
      </c>
      <c r="K1520" s="3">
        <v>804</v>
      </c>
      <c r="L1520" s="2" t="s">
        <v>2518</v>
      </c>
      <c r="M1520" s="2" t="s">
        <v>2546</v>
      </c>
    </row>
    <row r="1521" spans="1:13" x14ac:dyDescent="0.3">
      <c r="A1521" s="1">
        <v>45759</v>
      </c>
      <c r="B1521" s="2" t="s">
        <v>2630</v>
      </c>
      <c r="C1521" s="2" t="s">
        <v>2543</v>
      </c>
      <c r="D1521" s="2" t="s">
        <v>2528</v>
      </c>
      <c r="E1521" s="2" t="s">
        <v>2517</v>
      </c>
      <c r="F1521" s="3">
        <v>148867</v>
      </c>
      <c r="G1521" s="3">
        <v>10163</v>
      </c>
      <c r="H1521" s="3">
        <v>579</v>
      </c>
      <c r="I1521" s="4">
        <v>18664.95</v>
      </c>
      <c r="J1521" s="4">
        <v>36056.85</v>
      </c>
      <c r="K1521" s="3">
        <v>375</v>
      </c>
      <c r="L1521" s="2" t="s">
        <v>2518</v>
      </c>
      <c r="M1521" s="2" t="s">
        <v>2524</v>
      </c>
    </row>
    <row r="1522" spans="1:13" x14ac:dyDescent="0.3">
      <c r="A1522" s="1">
        <v>45971</v>
      </c>
      <c r="B1522" s="2" t="s">
        <v>2617</v>
      </c>
      <c r="C1522" s="2" t="s">
        <v>2521</v>
      </c>
      <c r="D1522" s="2" t="s">
        <v>2528</v>
      </c>
      <c r="E1522" s="2" t="s">
        <v>2529</v>
      </c>
      <c r="F1522" s="3">
        <v>15921</v>
      </c>
      <c r="G1522" s="3">
        <v>518</v>
      </c>
      <c r="H1522" s="3">
        <v>13</v>
      </c>
      <c r="I1522" s="4">
        <v>573.85</v>
      </c>
      <c r="J1522" s="4">
        <v>384.86</v>
      </c>
      <c r="K1522" s="3">
        <v>10</v>
      </c>
      <c r="L1522" s="2" t="s">
        <v>2536</v>
      </c>
      <c r="M1522" s="2" t="s">
        <v>2519</v>
      </c>
    </row>
    <row r="1523" spans="1:13" x14ac:dyDescent="0.3">
      <c r="A1523" s="1">
        <v>45697</v>
      </c>
      <c r="B1523" s="2" t="s">
        <v>2636</v>
      </c>
      <c r="C1523" s="2" t="s">
        <v>2543</v>
      </c>
      <c r="D1523" s="2" t="s">
        <v>2528</v>
      </c>
      <c r="E1523" s="2" t="s">
        <v>2517</v>
      </c>
      <c r="F1523" s="3">
        <v>66085</v>
      </c>
      <c r="G1523" s="3">
        <v>3463</v>
      </c>
      <c r="H1523" s="3">
        <v>216</v>
      </c>
      <c r="I1523" s="4">
        <v>5661.18</v>
      </c>
      <c r="J1523" s="4">
        <v>4707.47</v>
      </c>
      <c r="K1523" s="3">
        <v>123</v>
      </c>
      <c r="L1523" s="2" t="s">
        <v>2518</v>
      </c>
      <c r="M1523" s="2" t="s">
        <v>2546</v>
      </c>
    </row>
    <row r="1524" spans="1:13" x14ac:dyDescent="0.3">
      <c r="A1524" s="1">
        <v>45747</v>
      </c>
      <c r="B1524" s="2" t="s">
        <v>2617</v>
      </c>
      <c r="C1524" s="2" t="s">
        <v>2515</v>
      </c>
      <c r="D1524" s="2" t="s">
        <v>2528</v>
      </c>
      <c r="E1524" s="2" t="s">
        <v>2529</v>
      </c>
      <c r="F1524" s="3">
        <v>124600</v>
      </c>
      <c r="G1524" s="3">
        <v>5189</v>
      </c>
      <c r="H1524" s="3">
        <v>60</v>
      </c>
      <c r="I1524" s="4">
        <v>8713.31</v>
      </c>
      <c r="J1524" s="4">
        <v>10827.38</v>
      </c>
      <c r="K1524" s="3">
        <v>38</v>
      </c>
      <c r="L1524" s="2" t="s">
        <v>2523</v>
      </c>
      <c r="M1524" s="2" t="s">
        <v>2519</v>
      </c>
    </row>
    <row r="1525" spans="1:13" x14ac:dyDescent="0.3">
      <c r="A1525" s="1">
        <v>45939</v>
      </c>
      <c r="B1525" s="2" t="s">
        <v>2637</v>
      </c>
      <c r="C1525" s="2" t="s">
        <v>2541</v>
      </c>
      <c r="D1525" s="2" t="s">
        <v>2516</v>
      </c>
      <c r="E1525" s="2" t="s">
        <v>2517</v>
      </c>
      <c r="F1525" s="3">
        <v>177580</v>
      </c>
      <c r="G1525" s="3">
        <v>3544</v>
      </c>
      <c r="H1525" s="3">
        <v>135</v>
      </c>
      <c r="I1525" s="4">
        <v>4192.04</v>
      </c>
      <c r="J1525" s="4">
        <v>15346.32</v>
      </c>
      <c r="K1525" s="3">
        <v>67</v>
      </c>
      <c r="L1525" s="2" t="s">
        <v>2523</v>
      </c>
      <c r="M1525" s="2" t="s">
        <v>2546</v>
      </c>
    </row>
    <row r="1526" spans="1:13" x14ac:dyDescent="0.3">
      <c r="A1526" s="1">
        <v>45980</v>
      </c>
      <c r="B1526" s="2" t="s">
        <v>2644</v>
      </c>
      <c r="C1526" s="2" t="s">
        <v>2543</v>
      </c>
      <c r="D1526" s="2" t="s">
        <v>2522</v>
      </c>
      <c r="E1526" s="2" t="s">
        <v>2529</v>
      </c>
      <c r="F1526" s="3">
        <v>162787</v>
      </c>
      <c r="G1526" s="3">
        <v>4642</v>
      </c>
      <c r="H1526" s="3">
        <v>181</v>
      </c>
      <c r="I1526" s="4">
        <v>3446.08</v>
      </c>
      <c r="J1526" s="4">
        <v>12832.43</v>
      </c>
      <c r="K1526" s="3">
        <v>131</v>
      </c>
      <c r="L1526" s="2" t="s">
        <v>2536</v>
      </c>
      <c r="M1526" s="2" t="s">
        <v>2537</v>
      </c>
    </row>
    <row r="1527" spans="1:13" x14ac:dyDescent="0.3">
      <c r="A1527" s="1">
        <v>45667</v>
      </c>
      <c r="B1527" s="2" t="s">
        <v>2618</v>
      </c>
      <c r="C1527" s="2" t="s">
        <v>2515</v>
      </c>
      <c r="D1527" s="2" t="s">
        <v>2516</v>
      </c>
      <c r="E1527" s="2" t="s">
        <v>2529</v>
      </c>
      <c r="F1527" s="3">
        <v>78808</v>
      </c>
      <c r="G1527" s="3">
        <v>2281</v>
      </c>
      <c r="H1527" s="3">
        <v>253</v>
      </c>
      <c r="I1527" s="4">
        <v>746.58</v>
      </c>
      <c r="J1527" s="4">
        <v>21512.11</v>
      </c>
      <c r="K1527" s="3">
        <v>146</v>
      </c>
      <c r="L1527" s="2" t="s">
        <v>2518</v>
      </c>
      <c r="M1527" s="2" t="s">
        <v>2537</v>
      </c>
    </row>
    <row r="1528" spans="1:13" x14ac:dyDescent="0.3">
      <c r="A1528" s="1">
        <v>45788</v>
      </c>
      <c r="B1528" s="2" t="s">
        <v>2638</v>
      </c>
      <c r="C1528" s="2" t="s">
        <v>2533</v>
      </c>
      <c r="D1528" s="2" t="s">
        <v>2531</v>
      </c>
      <c r="E1528" s="2" t="s">
        <v>2517</v>
      </c>
      <c r="F1528" s="3">
        <v>168664</v>
      </c>
      <c r="G1528" s="3">
        <v>13474</v>
      </c>
      <c r="H1528" s="3">
        <v>1668</v>
      </c>
      <c r="I1528" s="4">
        <v>16926.439999999999</v>
      </c>
      <c r="J1528" s="4">
        <v>234966.05</v>
      </c>
      <c r="K1528" s="3">
        <v>1054</v>
      </c>
      <c r="L1528" s="2" t="s">
        <v>2536</v>
      </c>
      <c r="M1528" s="2" t="s">
        <v>2524</v>
      </c>
    </row>
    <row r="1529" spans="1:13" x14ac:dyDescent="0.3">
      <c r="A1529" s="1">
        <v>45751</v>
      </c>
      <c r="B1529" s="2" t="s">
        <v>2619</v>
      </c>
      <c r="C1529" s="2" t="s">
        <v>2527</v>
      </c>
      <c r="D1529" s="2" t="s">
        <v>2528</v>
      </c>
      <c r="E1529" s="2" t="s">
        <v>2517</v>
      </c>
      <c r="F1529" s="3">
        <v>121777</v>
      </c>
      <c r="G1529" s="3">
        <v>3191</v>
      </c>
      <c r="H1529" s="3">
        <v>303</v>
      </c>
      <c r="I1529" s="4">
        <v>5930.38</v>
      </c>
      <c r="J1529" s="4">
        <v>34446.480000000003</v>
      </c>
      <c r="K1529" s="3">
        <v>223</v>
      </c>
      <c r="L1529" s="2" t="s">
        <v>2523</v>
      </c>
      <c r="M1529" s="2" t="s">
        <v>2537</v>
      </c>
    </row>
    <row r="1530" spans="1:13" x14ac:dyDescent="0.3">
      <c r="A1530" s="1">
        <v>45801</v>
      </c>
      <c r="B1530" s="2" t="s">
        <v>2637</v>
      </c>
      <c r="C1530" s="2" t="s">
        <v>2527</v>
      </c>
      <c r="D1530" s="2" t="s">
        <v>2528</v>
      </c>
      <c r="E1530" s="2" t="s">
        <v>2517</v>
      </c>
      <c r="F1530" s="3">
        <v>46429</v>
      </c>
      <c r="G1530" s="3">
        <v>3679</v>
      </c>
      <c r="H1530" s="3">
        <v>323</v>
      </c>
      <c r="I1530" s="4">
        <v>4349.8599999999997</v>
      </c>
      <c r="J1530" s="4">
        <v>11847.41</v>
      </c>
      <c r="K1530" s="3">
        <v>162</v>
      </c>
      <c r="L1530" s="2" t="s">
        <v>2539</v>
      </c>
      <c r="M1530" s="2" t="s">
        <v>2519</v>
      </c>
    </row>
    <row r="1531" spans="1:13" x14ac:dyDescent="0.3">
      <c r="A1531" s="1">
        <v>45679</v>
      </c>
      <c r="B1531" s="2" t="s">
        <v>2643</v>
      </c>
      <c r="C1531" s="2" t="s">
        <v>2521</v>
      </c>
      <c r="D1531" s="2" t="s">
        <v>2528</v>
      </c>
      <c r="E1531" s="2" t="s">
        <v>2517</v>
      </c>
      <c r="F1531" s="3">
        <v>139403</v>
      </c>
      <c r="G1531" s="3">
        <v>1430</v>
      </c>
      <c r="H1531" s="3">
        <v>172</v>
      </c>
      <c r="I1531" s="4">
        <v>1804.26</v>
      </c>
      <c r="J1531" s="4">
        <v>7979.76</v>
      </c>
      <c r="K1531" s="3">
        <v>111</v>
      </c>
      <c r="L1531" s="2" t="s">
        <v>2523</v>
      </c>
      <c r="M1531" s="2" t="s">
        <v>2546</v>
      </c>
    </row>
    <row r="1532" spans="1:13" x14ac:dyDescent="0.3">
      <c r="A1532" s="1">
        <v>45702</v>
      </c>
      <c r="B1532" s="2" t="s">
        <v>2632</v>
      </c>
      <c r="C1532" s="2" t="s">
        <v>2521</v>
      </c>
      <c r="D1532" s="2" t="s">
        <v>2516</v>
      </c>
      <c r="E1532" s="2" t="s">
        <v>2529</v>
      </c>
      <c r="F1532" s="3">
        <v>158003</v>
      </c>
      <c r="G1532" s="3">
        <v>7990</v>
      </c>
      <c r="H1532" s="3">
        <v>643</v>
      </c>
      <c r="I1532" s="4">
        <v>15771.09</v>
      </c>
      <c r="J1532" s="4">
        <v>14383.5</v>
      </c>
      <c r="K1532" s="3">
        <v>405</v>
      </c>
      <c r="L1532" s="2" t="s">
        <v>2536</v>
      </c>
      <c r="M1532" s="2" t="s">
        <v>2537</v>
      </c>
    </row>
    <row r="1533" spans="1:13" x14ac:dyDescent="0.3">
      <c r="A1533" s="1">
        <v>46022</v>
      </c>
      <c r="B1533" s="2" t="s">
        <v>2627</v>
      </c>
      <c r="C1533" s="2" t="s">
        <v>2543</v>
      </c>
      <c r="D1533" s="2" t="s">
        <v>2528</v>
      </c>
      <c r="E1533" s="2" t="s">
        <v>2529</v>
      </c>
      <c r="F1533" s="3">
        <v>85913</v>
      </c>
      <c r="G1533" s="3">
        <v>649</v>
      </c>
      <c r="H1533" s="3">
        <v>31</v>
      </c>
      <c r="I1533" s="4">
        <v>946.95</v>
      </c>
      <c r="J1533" s="4">
        <v>4384.24</v>
      </c>
      <c r="K1533" s="3">
        <v>25</v>
      </c>
      <c r="L1533" s="2" t="s">
        <v>2536</v>
      </c>
      <c r="M1533" s="2" t="s">
        <v>2524</v>
      </c>
    </row>
    <row r="1534" spans="1:13" x14ac:dyDescent="0.3">
      <c r="A1534" s="1">
        <v>46003</v>
      </c>
      <c r="B1534" s="2" t="s">
        <v>2642</v>
      </c>
      <c r="C1534" s="2" t="s">
        <v>2541</v>
      </c>
      <c r="D1534" s="2" t="s">
        <v>2528</v>
      </c>
      <c r="E1534" s="2" t="s">
        <v>2529</v>
      </c>
      <c r="F1534" s="3">
        <v>13719</v>
      </c>
      <c r="G1534" s="3">
        <v>413</v>
      </c>
      <c r="H1534" s="3">
        <v>47</v>
      </c>
      <c r="I1534" s="4">
        <v>88.82</v>
      </c>
      <c r="J1534" s="4">
        <v>5065.41</v>
      </c>
      <c r="K1534" s="3">
        <v>34</v>
      </c>
      <c r="L1534" s="2" t="s">
        <v>2539</v>
      </c>
      <c r="M1534" s="2" t="s">
        <v>2524</v>
      </c>
    </row>
    <row r="1535" spans="1:13" x14ac:dyDescent="0.3">
      <c r="A1535" s="1">
        <v>45687</v>
      </c>
      <c r="B1535" s="2" t="s">
        <v>2642</v>
      </c>
      <c r="C1535" s="2" t="s">
        <v>2521</v>
      </c>
      <c r="D1535" s="2" t="s">
        <v>2528</v>
      </c>
      <c r="E1535" s="2" t="s">
        <v>2534</v>
      </c>
      <c r="F1535" s="3">
        <v>23943</v>
      </c>
      <c r="G1535" s="3">
        <v>1274</v>
      </c>
      <c r="H1535" s="3">
        <v>107</v>
      </c>
      <c r="I1535" s="4">
        <v>2222.29</v>
      </c>
      <c r="J1535" s="4">
        <v>9235.9500000000007</v>
      </c>
      <c r="K1535" s="3">
        <v>66</v>
      </c>
      <c r="L1535" s="2" t="s">
        <v>2536</v>
      </c>
      <c r="M1535" s="2" t="s">
        <v>2526</v>
      </c>
    </row>
    <row r="1536" spans="1:13" x14ac:dyDescent="0.3">
      <c r="A1536" s="1">
        <v>45796</v>
      </c>
      <c r="B1536" s="2" t="s">
        <v>2625</v>
      </c>
      <c r="C1536" s="2" t="s">
        <v>2543</v>
      </c>
      <c r="D1536" s="2" t="s">
        <v>2525</v>
      </c>
      <c r="E1536" s="2" t="s">
        <v>2529</v>
      </c>
      <c r="F1536" s="3">
        <v>69001</v>
      </c>
      <c r="G1536" s="3">
        <v>4027</v>
      </c>
      <c r="H1536" s="3">
        <v>316</v>
      </c>
      <c r="I1536" s="4">
        <v>8249.01</v>
      </c>
      <c r="J1536" s="4">
        <v>30459.07</v>
      </c>
      <c r="K1536" s="3">
        <v>253</v>
      </c>
      <c r="L1536" s="2" t="s">
        <v>2536</v>
      </c>
      <c r="M1536" s="2" t="s">
        <v>2519</v>
      </c>
    </row>
    <row r="1537" spans="1:13" x14ac:dyDescent="0.3">
      <c r="A1537" s="1">
        <v>45752</v>
      </c>
      <c r="B1537" s="2" t="s">
        <v>2629</v>
      </c>
      <c r="C1537" s="2" t="s">
        <v>2543</v>
      </c>
      <c r="D1537" s="2" t="s">
        <v>2531</v>
      </c>
      <c r="E1537" s="2" t="s">
        <v>2529</v>
      </c>
      <c r="F1537" s="3">
        <v>80135</v>
      </c>
      <c r="G1537" s="3">
        <v>6495</v>
      </c>
      <c r="H1537" s="3">
        <v>617</v>
      </c>
      <c r="I1537" s="4">
        <v>1951.46</v>
      </c>
      <c r="J1537" s="4">
        <v>63056.72</v>
      </c>
      <c r="K1537" s="3">
        <v>482</v>
      </c>
      <c r="L1537" s="2" t="s">
        <v>2523</v>
      </c>
      <c r="M1537" s="2" t="s">
        <v>2526</v>
      </c>
    </row>
    <row r="1538" spans="1:13" x14ac:dyDescent="0.3">
      <c r="A1538" s="1">
        <v>45702</v>
      </c>
      <c r="B1538" s="2" t="s">
        <v>2641</v>
      </c>
      <c r="C1538" s="2" t="s">
        <v>2543</v>
      </c>
      <c r="D1538" s="2" t="s">
        <v>2528</v>
      </c>
      <c r="E1538" s="2" t="s">
        <v>2517</v>
      </c>
      <c r="F1538" s="3">
        <v>32523</v>
      </c>
      <c r="G1538" s="3">
        <v>1867</v>
      </c>
      <c r="H1538" s="3">
        <v>109</v>
      </c>
      <c r="I1538" s="4">
        <v>1969.11</v>
      </c>
      <c r="J1538" s="4">
        <v>11350.4</v>
      </c>
      <c r="K1538" s="3">
        <v>76</v>
      </c>
      <c r="L1538" s="2" t="s">
        <v>2536</v>
      </c>
      <c r="M1538" s="2" t="s">
        <v>2526</v>
      </c>
    </row>
    <row r="1539" spans="1:13" x14ac:dyDescent="0.3">
      <c r="A1539" s="1">
        <v>45936</v>
      </c>
      <c r="B1539" s="2" t="s">
        <v>2643</v>
      </c>
      <c r="C1539" s="2" t="s">
        <v>2527</v>
      </c>
      <c r="D1539" s="2" t="s">
        <v>2531</v>
      </c>
      <c r="E1539" s="2" t="s">
        <v>2529</v>
      </c>
      <c r="F1539" s="3">
        <v>36245</v>
      </c>
      <c r="G1539" s="3">
        <v>452</v>
      </c>
      <c r="H1539" s="3">
        <v>12</v>
      </c>
      <c r="I1539" s="4">
        <v>336.79</v>
      </c>
      <c r="J1539" s="4">
        <v>1522.32</v>
      </c>
      <c r="K1539" s="3">
        <v>7</v>
      </c>
      <c r="L1539" s="2" t="s">
        <v>2523</v>
      </c>
      <c r="M1539" s="2" t="s">
        <v>2546</v>
      </c>
    </row>
    <row r="1540" spans="1:13" x14ac:dyDescent="0.3">
      <c r="A1540" s="1">
        <v>45934</v>
      </c>
      <c r="B1540" s="2" t="s">
        <v>2644</v>
      </c>
      <c r="C1540" s="2" t="s">
        <v>2541</v>
      </c>
      <c r="D1540" s="2" t="s">
        <v>2516</v>
      </c>
      <c r="E1540" s="2" t="s">
        <v>2517</v>
      </c>
      <c r="F1540" s="3">
        <v>91166</v>
      </c>
      <c r="G1540" s="3">
        <v>2900</v>
      </c>
      <c r="H1540" s="3">
        <v>325</v>
      </c>
      <c r="I1540" s="4">
        <v>733.59</v>
      </c>
      <c r="J1540" s="4">
        <v>65334.28</v>
      </c>
      <c r="K1540" s="3">
        <v>244</v>
      </c>
      <c r="L1540" s="2" t="s">
        <v>2523</v>
      </c>
      <c r="M1540" s="2" t="s">
        <v>2524</v>
      </c>
    </row>
    <row r="1541" spans="1:13" x14ac:dyDescent="0.3">
      <c r="A1541" s="1">
        <v>45809</v>
      </c>
      <c r="B1541" s="2" t="s">
        <v>2619</v>
      </c>
      <c r="C1541" s="2" t="s">
        <v>2521</v>
      </c>
      <c r="D1541" s="2" t="s">
        <v>2528</v>
      </c>
      <c r="E1541" s="2" t="s">
        <v>2529</v>
      </c>
      <c r="F1541" s="3">
        <v>174485</v>
      </c>
      <c r="G1541" s="3">
        <v>8504</v>
      </c>
      <c r="H1541" s="3">
        <v>1126</v>
      </c>
      <c r="I1541" s="4">
        <v>12769.07</v>
      </c>
      <c r="J1541" s="4">
        <v>104774.34</v>
      </c>
      <c r="K1541" s="3">
        <v>851</v>
      </c>
      <c r="L1541" s="2" t="s">
        <v>2536</v>
      </c>
      <c r="M1541" s="2" t="s">
        <v>2546</v>
      </c>
    </row>
    <row r="1542" spans="1:13" x14ac:dyDescent="0.3">
      <c r="A1542" s="1">
        <v>45896</v>
      </c>
      <c r="B1542" s="2" t="s">
        <v>2626</v>
      </c>
      <c r="C1542" s="2" t="s">
        <v>2533</v>
      </c>
      <c r="D1542" s="2" t="s">
        <v>2528</v>
      </c>
      <c r="E1542" s="2" t="s">
        <v>2529</v>
      </c>
      <c r="F1542" s="3">
        <v>86575</v>
      </c>
      <c r="G1542" s="3">
        <v>3825</v>
      </c>
      <c r="H1542" s="3">
        <v>308</v>
      </c>
      <c r="I1542" s="4">
        <v>5908.47</v>
      </c>
      <c r="J1542" s="4">
        <v>61375.07</v>
      </c>
      <c r="K1542" s="3">
        <v>229</v>
      </c>
      <c r="L1542" s="2" t="s">
        <v>2518</v>
      </c>
      <c r="M1542" s="2" t="s">
        <v>2524</v>
      </c>
    </row>
    <row r="1543" spans="1:13" x14ac:dyDescent="0.3">
      <c r="A1543" s="1">
        <v>46015</v>
      </c>
      <c r="B1543" s="2" t="s">
        <v>2618</v>
      </c>
      <c r="C1543" s="2" t="s">
        <v>2527</v>
      </c>
      <c r="D1543" s="2" t="s">
        <v>2531</v>
      </c>
      <c r="E1543" s="2" t="s">
        <v>2529</v>
      </c>
      <c r="F1543" s="3">
        <v>94123</v>
      </c>
      <c r="G1543" s="3">
        <v>2531</v>
      </c>
      <c r="H1543" s="3">
        <v>125</v>
      </c>
      <c r="I1543" s="4">
        <v>2996.88</v>
      </c>
      <c r="J1543" s="4">
        <v>23461.31</v>
      </c>
      <c r="K1543" s="3">
        <v>78</v>
      </c>
      <c r="L1543" s="2" t="s">
        <v>2523</v>
      </c>
      <c r="M1543" s="2" t="s">
        <v>2519</v>
      </c>
    </row>
    <row r="1544" spans="1:13" x14ac:dyDescent="0.3">
      <c r="A1544" s="1">
        <v>45823</v>
      </c>
      <c r="B1544" s="2" t="s">
        <v>2634</v>
      </c>
      <c r="C1544" s="2" t="s">
        <v>2527</v>
      </c>
      <c r="D1544" s="2" t="s">
        <v>2531</v>
      </c>
      <c r="E1544" s="2" t="s">
        <v>2529</v>
      </c>
      <c r="F1544" s="3">
        <v>41742</v>
      </c>
      <c r="G1544" s="3">
        <v>3075</v>
      </c>
      <c r="H1544" s="3">
        <v>180</v>
      </c>
      <c r="I1544" s="4">
        <v>2383.98</v>
      </c>
      <c r="J1544" s="4">
        <v>16501.62</v>
      </c>
      <c r="K1544" s="3">
        <v>144</v>
      </c>
      <c r="L1544" s="2" t="s">
        <v>2536</v>
      </c>
      <c r="M1544" s="2" t="s">
        <v>2524</v>
      </c>
    </row>
    <row r="1545" spans="1:13" x14ac:dyDescent="0.3">
      <c r="A1545" s="1">
        <v>45809</v>
      </c>
      <c r="B1545" s="2" t="s">
        <v>2635</v>
      </c>
      <c r="C1545" s="2" t="s">
        <v>2527</v>
      </c>
      <c r="D1545" s="2" t="s">
        <v>2528</v>
      </c>
      <c r="E1545" s="2" t="s">
        <v>2529</v>
      </c>
      <c r="F1545" s="3">
        <v>88001</v>
      </c>
      <c r="G1545" s="3">
        <v>3204</v>
      </c>
      <c r="H1545" s="3">
        <v>334</v>
      </c>
      <c r="I1545" s="4">
        <v>2322.64</v>
      </c>
      <c r="J1545" s="4">
        <v>62734.87</v>
      </c>
      <c r="K1545" s="3">
        <v>282</v>
      </c>
      <c r="L1545" s="2" t="s">
        <v>2518</v>
      </c>
      <c r="M1545" s="2" t="s">
        <v>2537</v>
      </c>
    </row>
    <row r="1546" spans="1:13" x14ac:dyDescent="0.3">
      <c r="A1546" s="1">
        <v>46022</v>
      </c>
      <c r="B1546" s="2" t="s">
        <v>2635</v>
      </c>
      <c r="C1546" s="2" t="s">
        <v>2541</v>
      </c>
      <c r="D1546" s="2" t="s">
        <v>2528</v>
      </c>
      <c r="E1546" s="2" t="s">
        <v>2529</v>
      </c>
      <c r="F1546" s="3">
        <v>45858</v>
      </c>
      <c r="G1546" s="3">
        <v>2950</v>
      </c>
      <c r="H1546" s="3">
        <v>391</v>
      </c>
      <c r="I1546" s="4">
        <v>3752.98</v>
      </c>
      <c r="J1546" s="4">
        <v>55230.080000000002</v>
      </c>
      <c r="K1546" s="3">
        <v>241</v>
      </c>
      <c r="L1546" s="2" t="s">
        <v>2523</v>
      </c>
      <c r="M1546" s="2" t="s">
        <v>2546</v>
      </c>
    </row>
    <row r="1547" spans="1:13" x14ac:dyDescent="0.3">
      <c r="A1547" s="1">
        <v>45810</v>
      </c>
      <c r="B1547" s="2" t="s">
        <v>2641</v>
      </c>
      <c r="C1547" s="2" t="s">
        <v>2533</v>
      </c>
      <c r="D1547" s="2" t="s">
        <v>2528</v>
      </c>
      <c r="E1547" s="2" t="s">
        <v>2517</v>
      </c>
      <c r="F1547" s="3">
        <v>11350</v>
      </c>
      <c r="G1547" s="3">
        <v>603</v>
      </c>
      <c r="H1547" s="3">
        <v>10</v>
      </c>
      <c r="I1547" s="4">
        <v>237.73</v>
      </c>
      <c r="J1547" s="4">
        <v>954.66</v>
      </c>
      <c r="K1547" s="3">
        <v>5</v>
      </c>
      <c r="L1547" s="2" t="s">
        <v>2523</v>
      </c>
      <c r="M1547" s="2" t="s">
        <v>2519</v>
      </c>
    </row>
    <row r="1548" spans="1:13" x14ac:dyDescent="0.3">
      <c r="A1548" s="1">
        <v>45867</v>
      </c>
      <c r="B1548" s="2" t="s">
        <v>2618</v>
      </c>
      <c r="C1548" s="2" t="s">
        <v>2521</v>
      </c>
      <c r="D1548" s="2" t="s">
        <v>2528</v>
      </c>
      <c r="E1548" s="2" t="s">
        <v>2517</v>
      </c>
      <c r="F1548" s="3">
        <v>74680</v>
      </c>
      <c r="G1548" s="3">
        <v>3150</v>
      </c>
      <c r="H1548" s="3">
        <v>59</v>
      </c>
      <c r="I1548" s="4">
        <v>565.36</v>
      </c>
      <c r="J1548" s="4">
        <v>2981.63</v>
      </c>
      <c r="K1548" s="3">
        <v>41</v>
      </c>
      <c r="L1548" s="2" t="s">
        <v>2523</v>
      </c>
      <c r="M1548" s="2" t="s">
        <v>2524</v>
      </c>
    </row>
    <row r="1549" spans="1:13" x14ac:dyDescent="0.3">
      <c r="A1549" s="1">
        <v>46020</v>
      </c>
      <c r="B1549" s="2" t="s">
        <v>2620</v>
      </c>
      <c r="C1549" s="2" t="s">
        <v>2533</v>
      </c>
      <c r="D1549" s="2" t="s">
        <v>2528</v>
      </c>
      <c r="E1549" s="2" t="s">
        <v>2529</v>
      </c>
      <c r="F1549" s="3">
        <v>91013</v>
      </c>
      <c r="G1549" s="3">
        <v>3403</v>
      </c>
      <c r="H1549" s="3">
        <v>211</v>
      </c>
      <c r="I1549" s="4">
        <v>2061.77</v>
      </c>
      <c r="J1549" s="4">
        <v>38741.919999999998</v>
      </c>
      <c r="K1549" s="3">
        <v>126</v>
      </c>
      <c r="L1549" s="2" t="s">
        <v>2539</v>
      </c>
      <c r="M1549" s="2" t="s">
        <v>2519</v>
      </c>
    </row>
    <row r="1550" spans="1:13" x14ac:dyDescent="0.3">
      <c r="A1550" s="1">
        <v>45706</v>
      </c>
      <c r="B1550" s="2" t="s">
        <v>2625</v>
      </c>
      <c r="C1550" s="2" t="s">
        <v>2543</v>
      </c>
      <c r="D1550" s="2" t="s">
        <v>2528</v>
      </c>
      <c r="E1550" s="2" t="s">
        <v>2517</v>
      </c>
      <c r="F1550" s="3">
        <v>176740</v>
      </c>
      <c r="G1550" s="3">
        <v>10149</v>
      </c>
      <c r="H1550" s="3">
        <v>1252</v>
      </c>
      <c r="I1550" s="4">
        <v>21305.42</v>
      </c>
      <c r="J1550" s="4">
        <v>122622.73</v>
      </c>
      <c r="K1550" s="3">
        <v>716</v>
      </c>
      <c r="L1550" s="2" t="s">
        <v>2539</v>
      </c>
      <c r="M1550" s="2" t="s">
        <v>2546</v>
      </c>
    </row>
    <row r="1551" spans="1:13" x14ac:dyDescent="0.3">
      <c r="A1551" s="1">
        <v>45906</v>
      </c>
      <c r="B1551" s="2" t="s">
        <v>2623</v>
      </c>
      <c r="C1551" s="2" t="s">
        <v>2533</v>
      </c>
      <c r="D1551" s="2" t="s">
        <v>2525</v>
      </c>
      <c r="E1551" s="2" t="s">
        <v>2517</v>
      </c>
      <c r="F1551" s="3">
        <v>110772</v>
      </c>
      <c r="G1551" s="3">
        <v>1358</v>
      </c>
      <c r="H1551" s="3">
        <v>185</v>
      </c>
      <c r="I1551" s="4">
        <v>2142.0700000000002</v>
      </c>
      <c r="J1551" s="4">
        <v>3234.59</v>
      </c>
      <c r="K1551" s="3">
        <v>102</v>
      </c>
      <c r="L1551" s="2" t="s">
        <v>2536</v>
      </c>
      <c r="M1551" s="2" t="s">
        <v>2546</v>
      </c>
    </row>
    <row r="1552" spans="1:13" x14ac:dyDescent="0.3">
      <c r="A1552" s="1">
        <v>45691</v>
      </c>
      <c r="B1552" s="2" t="s">
        <v>2621</v>
      </c>
      <c r="C1552" s="2" t="s">
        <v>2515</v>
      </c>
      <c r="D1552" s="2" t="s">
        <v>2528</v>
      </c>
      <c r="E1552" s="2" t="s">
        <v>2534</v>
      </c>
      <c r="F1552" s="3">
        <v>13726</v>
      </c>
      <c r="G1552" s="3">
        <v>949</v>
      </c>
      <c r="H1552" s="3">
        <v>52</v>
      </c>
      <c r="I1552" s="4">
        <v>1111.44</v>
      </c>
      <c r="J1552" s="4">
        <v>5434.39</v>
      </c>
      <c r="K1552" s="3">
        <v>41</v>
      </c>
      <c r="L1552" s="2" t="s">
        <v>2518</v>
      </c>
      <c r="M1552" s="2" t="s">
        <v>2519</v>
      </c>
    </row>
    <row r="1553" spans="1:13" x14ac:dyDescent="0.3">
      <c r="A1553" s="1">
        <v>45916</v>
      </c>
      <c r="B1553" s="2" t="s">
        <v>2627</v>
      </c>
      <c r="C1553" s="2" t="s">
        <v>2521</v>
      </c>
      <c r="D1553" s="2" t="s">
        <v>2528</v>
      </c>
      <c r="E1553" s="2" t="s">
        <v>2517</v>
      </c>
      <c r="F1553" s="3">
        <v>157486</v>
      </c>
      <c r="G1553" s="3">
        <v>12942</v>
      </c>
      <c r="H1553" s="3">
        <v>1529</v>
      </c>
      <c r="I1553" s="4">
        <v>10116.94</v>
      </c>
      <c r="J1553" s="4">
        <v>206637.16</v>
      </c>
      <c r="K1553" s="3">
        <v>1091</v>
      </c>
      <c r="L1553" s="2" t="s">
        <v>2539</v>
      </c>
      <c r="M1553" s="2" t="s">
        <v>2526</v>
      </c>
    </row>
    <row r="1554" spans="1:13" x14ac:dyDescent="0.3">
      <c r="A1554" s="1">
        <v>45963</v>
      </c>
      <c r="B1554" s="2" t="s">
        <v>2619</v>
      </c>
      <c r="C1554" s="2" t="s">
        <v>2515</v>
      </c>
      <c r="D1554" s="2" t="s">
        <v>2525</v>
      </c>
      <c r="E1554" s="2" t="s">
        <v>2529</v>
      </c>
      <c r="F1554" s="3">
        <v>38730</v>
      </c>
      <c r="G1554" s="3">
        <v>1561</v>
      </c>
      <c r="H1554" s="3">
        <v>170</v>
      </c>
      <c r="I1554" s="4">
        <v>2202.38</v>
      </c>
      <c r="J1554" s="4">
        <v>26518.39</v>
      </c>
      <c r="K1554" s="3">
        <v>119</v>
      </c>
      <c r="L1554" s="2" t="s">
        <v>2523</v>
      </c>
      <c r="M1554" s="2" t="s">
        <v>2524</v>
      </c>
    </row>
    <row r="1555" spans="1:13" x14ac:dyDescent="0.3">
      <c r="A1555" s="1">
        <v>45710</v>
      </c>
      <c r="B1555" s="2" t="s">
        <v>2644</v>
      </c>
      <c r="C1555" s="2" t="s">
        <v>2541</v>
      </c>
      <c r="D1555" s="2" t="s">
        <v>2528</v>
      </c>
      <c r="E1555" s="2" t="s">
        <v>2529</v>
      </c>
      <c r="F1555" s="3">
        <v>4752</v>
      </c>
      <c r="G1555" s="3">
        <v>164</v>
      </c>
      <c r="H1555" s="3">
        <v>17</v>
      </c>
      <c r="I1555" s="4">
        <v>177.56</v>
      </c>
      <c r="J1555" s="4">
        <v>1617.48</v>
      </c>
      <c r="K1555" s="3">
        <v>11</v>
      </c>
      <c r="L1555" s="2" t="s">
        <v>2523</v>
      </c>
      <c r="M1555" s="2" t="s">
        <v>2524</v>
      </c>
    </row>
    <row r="1556" spans="1:13" x14ac:dyDescent="0.3">
      <c r="A1556" s="1">
        <v>45766</v>
      </c>
      <c r="B1556" s="2" t="s">
        <v>2643</v>
      </c>
      <c r="C1556" s="2" t="s">
        <v>2541</v>
      </c>
      <c r="D1556" s="2" t="s">
        <v>2525</v>
      </c>
      <c r="E1556" s="2" t="s">
        <v>2517</v>
      </c>
      <c r="F1556" s="3">
        <v>1185</v>
      </c>
      <c r="G1556" s="3">
        <v>88</v>
      </c>
      <c r="H1556" s="3">
        <v>10</v>
      </c>
      <c r="I1556" s="4">
        <v>181.64</v>
      </c>
      <c r="J1556" s="4">
        <v>1223.23</v>
      </c>
      <c r="K1556" s="3">
        <v>5</v>
      </c>
      <c r="L1556" s="2" t="s">
        <v>2539</v>
      </c>
      <c r="M1556" s="2" t="s">
        <v>2519</v>
      </c>
    </row>
    <row r="1557" spans="1:13" x14ac:dyDescent="0.3">
      <c r="A1557" s="1">
        <v>45726</v>
      </c>
      <c r="B1557" s="2" t="s">
        <v>2640</v>
      </c>
      <c r="C1557" s="2" t="s">
        <v>2527</v>
      </c>
      <c r="D1557" s="2" t="s">
        <v>2525</v>
      </c>
      <c r="E1557" s="2" t="s">
        <v>2529</v>
      </c>
      <c r="F1557" s="3">
        <v>82624</v>
      </c>
      <c r="G1557" s="3">
        <v>4522</v>
      </c>
      <c r="H1557" s="3">
        <v>212</v>
      </c>
      <c r="I1557" s="4">
        <v>3235.26</v>
      </c>
      <c r="J1557" s="4">
        <v>15902.27</v>
      </c>
      <c r="K1557" s="3">
        <v>115</v>
      </c>
      <c r="L1557" s="2" t="s">
        <v>2536</v>
      </c>
      <c r="M1557" s="2" t="s">
        <v>2519</v>
      </c>
    </row>
    <row r="1558" spans="1:13" x14ac:dyDescent="0.3">
      <c r="A1558" s="1">
        <v>46002</v>
      </c>
      <c r="B1558" s="2" t="s">
        <v>2617</v>
      </c>
      <c r="C1558" s="2" t="s">
        <v>2527</v>
      </c>
      <c r="D1558" s="2" t="s">
        <v>2528</v>
      </c>
      <c r="E1558" s="2" t="s">
        <v>2529</v>
      </c>
      <c r="F1558" s="3">
        <v>129286</v>
      </c>
      <c r="G1558" s="3">
        <v>9189</v>
      </c>
      <c r="H1558" s="3">
        <v>625</v>
      </c>
      <c r="I1558" s="4">
        <v>17817.09</v>
      </c>
      <c r="J1558" s="4">
        <v>46659.23</v>
      </c>
      <c r="K1558" s="3">
        <v>358</v>
      </c>
      <c r="L1558" s="2" t="s">
        <v>2518</v>
      </c>
      <c r="M1558" s="2" t="s">
        <v>2546</v>
      </c>
    </row>
    <row r="1559" spans="1:13" x14ac:dyDescent="0.3">
      <c r="A1559" s="1">
        <v>45917</v>
      </c>
      <c r="B1559" s="2" t="s">
        <v>2626</v>
      </c>
      <c r="C1559" s="2" t="s">
        <v>2521</v>
      </c>
      <c r="D1559" s="2" t="s">
        <v>2522</v>
      </c>
      <c r="E1559" s="2" t="s">
        <v>2529</v>
      </c>
      <c r="F1559" s="3">
        <v>167190</v>
      </c>
      <c r="G1559" s="3">
        <v>2077</v>
      </c>
      <c r="H1559" s="3">
        <v>61</v>
      </c>
      <c r="I1559" s="4">
        <v>3229.3</v>
      </c>
      <c r="J1559" s="4">
        <v>2247.06</v>
      </c>
      <c r="K1559" s="3">
        <v>30</v>
      </c>
      <c r="L1559" s="2" t="s">
        <v>2518</v>
      </c>
      <c r="M1559" s="2" t="s">
        <v>2546</v>
      </c>
    </row>
    <row r="1560" spans="1:13" x14ac:dyDescent="0.3">
      <c r="A1560" s="1">
        <v>45891</v>
      </c>
      <c r="B1560" s="2" t="s">
        <v>2636</v>
      </c>
      <c r="C1560" s="2" t="s">
        <v>2521</v>
      </c>
      <c r="D1560" s="2" t="s">
        <v>2528</v>
      </c>
      <c r="E1560" s="2" t="s">
        <v>2534</v>
      </c>
      <c r="F1560" s="3">
        <v>74186</v>
      </c>
      <c r="G1560" s="3">
        <v>4019</v>
      </c>
      <c r="H1560" s="3">
        <v>48</v>
      </c>
      <c r="I1560" s="4">
        <v>2379.06</v>
      </c>
      <c r="J1560" s="4">
        <v>5100.57</v>
      </c>
      <c r="K1560" s="3">
        <v>29</v>
      </c>
      <c r="L1560" s="2" t="s">
        <v>2518</v>
      </c>
      <c r="M1560" s="2" t="s">
        <v>2519</v>
      </c>
    </row>
    <row r="1561" spans="1:13" x14ac:dyDescent="0.3">
      <c r="A1561" s="1">
        <v>45776</v>
      </c>
      <c r="B1561" s="2" t="s">
        <v>2624</v>
      </c>
      <c r="C1561" s="2" t="s">
        <v>2515</v>
      </c>
      <c r="D1561" s="2" t="s">
        <v>2528</v>
      </c>
      <c r="E1561" s="2" t="s">
        <v>2529</v>
      </c>
      <c r="F1561" s="3">
        <v>49392</v>
      </c>
      <c r="G1561" s="3">
        <v>2731</v>
      </c>
      <c r="H1561" s="3">
        <v>36</v>
      </c>
      <c r="I1561" s="4">
        <v>980.5</v>
      </c>
      <c r="J1561" s="4">
        <v>4555.1000000000004</v>
      </c>
      <c r="K1561" s="3">
        <v>21</v>
      </c>
      <c r="L1561" s="2" t="s">
        <v>2523</v>
      </c>
      <c r="M1561" s="2" t="s">
        <v>2537</v>
      </c>
    </row>
    <row r="1562" spans="1:13" x14ac:dyDescent="0.3">
      <c r="A1562" s="1">
        <v>45846</v>
      </c>
      <c r="B1562" s="2" t="s">
        <v>2630</v>
      </c>
      <c r="C1562" s="2" t="s">
        <v>2533</v>
      </c>
      <c r="D1562" s="2" t="s">
        <v>2528</v>
      </c>
      <c r="E1562" s="2" t="s">
        <v>2517</v>
      </c>
      <c r="F1562" s="3">
        <v>57283</v>
      </c>
      <c r="G1562" s="3">
        <v>4474</v>
      </c>
      <c r="H1562" s="3">
        <v>396</v>
      </c>
      <c r="I1562" s="4">
        <v>6905.08</v>
      </c>
      <c r="J1562" s="4">
        <v>28974.29</v>
      </c>
      <c r="K1562" s="3">
        <v>206</v>
      </c>
      <c r="L1562" s="2" t="s">
        <v>2539</v>
      </c>
      <c r="M1562" s="2" t="s">
        <v>2519</v>
      </c>
    </row>
    <row r="1563" spans="1:13" x14ac:dyDescent="0.3">
      <c r="A1563" s="1">
        <v>46002</v>
      </c>
      <c r="B1563" s="2" t="s">
        <v>2629</v>
      </c>
      <c r="C1563" s="2" t="s">
        <v>2533</v>
      </c>
      <c r="D1563" s="2" t="s">
        <v>2525</v>
      </c>
      <c r="E1563" s="2" t="s">
        <v>2517</v>
      </c>
      <c r="F1563" s="3">
        <v>104330</v>
      </c>
      <c r="G1563" s="3">
        <v>9220</v>
      </c>
      <c r="H1563" s="3">
        <v>979</v>
      </c>
      <c r="I1563" s="4">
        <v>10409.629999999999</v>
      </c>
      <c r="J1563" s="4">
        <v>41594.449999999997</v>
      </c>
      <c r="K1563" s="3">
        <v>472</v>
      </c>
      <c r="L1563" s="2" t="s">
        <v>2539</v>
      </c>
      <c r="M1563" s="2" t="s">
        <v>2546</v>
      </c>
    </row>
    <row r="1564" spans="1:13" x14ac:dyDescent="0.3">
      <c r="A1564" s="1">
        <v>45681</v>
      </c>
      <c r="B1564" s="2" t="s">
        <v>2640</v>
      </c>
      <c r="C1564" s="2" t="s">
        <v>2543</v>
      </c>
      <c r="D1564" s="2" t="s">
        <v>2531</v>
      </c>
      <c r="E1564" s="2" t="s">
        <v>2517</v>
      </c>
      <c r="F1564" s="3">
        <v>84643</v>
      </c>
      <c r="G1564" s="3">
        <v>5051</v>
      </c>
      <c r="H1564" s="3">
        <v>554</v>
      </c>
      <c r="I1564" s="4">
        <v>4726.66</v>
      </c>
      <c r="J1564" s="4">
        <v>110230.7</v>
      </c>
      <c r="K1564" s="3">
        <v>321</v>
      </c>
      <c r="L1564" s="2" t="s">
        <v>2539</v>
      </c>
      <c r="M1564" s="2" t="s">
        <v>2546</v>
      </c>
    </row>
    <row r="1565" spans="1:13" x14ac:dyDescent="0.3">
      <c r="A1565" s="1">
        <v>45952</v>
      </c>
      <c r="B1565" s="2" t="s">
        <v>2634</v>
      </c>
      <c r="C1565" s="2" t="s">
        <v>2527</v>
      </c>
      <c r="D1565" s="2" t="s">
        <v>2522</v>
      </c>
      <c r="E1565" s="2" t="s">
        <v>2529</v>
      </c>
      <c r="F1565" s="3">
        <v>178509</v>
      </c>
      <c r="G1565" s="3">
        <v>1179</v>
      </c>
      <c r="H1565" s="3">
        <v>77</v>
      </c>
      <c r="I1565" s="4">
        <v>1091.9100000000001</v>
      </c>
      <c r="J1565" s="4">
        <v>16699.88</v>
      </c>
      <c r="K1565" s="3">
        <v>37</v>
      </c>
      <c r="L1565" s="2" t="s">
        <v>2523</v>
      </c>
      <c r="M1565" s="2" t="s">
        <v>2526</v>
      </c>
    </row>
    <row r="1566" spans="1:13" x14ac:dyDescent="0.3">
      <c r="A1566" s="1">
        <v>45893</v>
      </c>
      <c r="B1566" s="2" t="s">
        <v>2633</v>
      </c>
      <c r="C1566" s="2" t="s">
        <v>2515</v>
      </c>
      <c r="D1566" s="2" t="s">
        <v>2528</v>
      </c>
      <c r="E1566" s="2" t="s">
        <v>2517</v>
      </c>
      <c r="F1566" s="3">
        <v>123937</v>
      </c>
      <c r="G1566" s="3">
        <v>1556</v>
      </c>
      <c r="H1566" s="3">
        <v>95</v>
      </c>
      <c r="I1566" s="4">
        <v>2520.98</v>
      </c>
      <c r="J1566" s="4">
        <v>6338.43</v>
      </c>
      <c r="K1566" s="3">
        <v>42</v>
      </c>
      <c r="L1566" s="2" t="s">
        <v>2539</v>
      </c>
      <c r="M1566" s="2" t="s">
        <v>2519</v>
      </c>
    </row>
    <row r="1567" spans="1:13" x14ac:dyDescent="0.3">
      <c r="A1567" s="1">
        <v>45997</v>
      </c>
      <c r="B1567" s="2" t="s">
        <v>2633</v>
      </c>
      <c r="C1567" s="2" t="s">
        <v>2515</v>
      </c>
      <c r="D1567" s="2" t="s">
        <v>2528</v>
      </c>
      <c r="E1567" s="2" t="s">
        <v>2517</v>
      </c>
      <c r="F1567" s="3">
        <v>21280</v>
      </c>
      <c r="G1567" s="3">
        <v>879</v>
      </c>
      <c r="H1567" s="3">
        <v>97</v>
      </c>
      <c r="I1567" s="4">
        <v>293.60000000000002</v>
      </c>
      <c r="J1567" s="4">
        <v>9794.2999999999993</v>
      </c>
      <c r="K1567" s="3">
        <v>47</v>
      </c>
      <c r="L1567" s="2" t="s">
        <v>2539</v>
      </c>
      <c r="M1567" s="2" t="s">
        <v>2519</v>
      </c>
    </row>
    <row r="1568" spans="1:13" x14ac:dyDescent="0.3">
      <c r="A1568" s="1">
        <v>45665</v>
      </c>
      <c r="B1568" s="2" t="s">
        <v>2641</v>
      </c>
      <c r="C1568" s="2" t="s">
        <v>2533</v>
      </c>
      <c r="D1568" s="2" t="s">
        <v>2516</v>
      </c>
      <c r="E1568" s="2" t="s">
        <v>2517</v>
      </c>
      <c r="F1568" s="3">
        <v>139243</v>
      </c>
      <c r="G1568" s="3">
        <v>6012</v>
      </c>
      <c r="H1568" s="3">
        <v>566</v>
      </c>
      <c r="I1568" s="4">
        <v>8344.8799999999992</v>
      </c>
      <c r="J1568" s="4">
        <v>31694.12</v>
      </c>
      <c r="K1568" s="3">
        <v>384</v>
      </c>
      <c r="L1568" s="2" t="s">
        <v>2539</v>
      </c>
      <c r="M1568" s="2" t="s">
        <v>2526</v>
      </c>
    </row>
    <row r="1569" spans="1:13" x14ac:dyDescent="0.3">
      <c r="A1569" s="1">
        <v>45911</v>
      </c>
      <c r="B1569" s="2" t="s">
        <v>2625</v>
      </c>
      <c r="C1569" s="2" t="s">
        <v>2543</v>
      </c>
      <c r="D1569" s="2" t="s">
        <v>2525</v>
      </c>
      <c r="E1569" s="2" t="s">
        <v>2517</v>
      </c>
      <c r="F1569" s="3">
        <v>123999</v>
      </c>
      <c r="G1569" s="3">
        <v>9153</v>
      </c>
      <c r="H1569" s="3">
        <v>916</v>
      </c>
      <c r="I1569" s="4">
        <v>1722.21</v>
      </c>
      <c r="J1569" s="4">
        <v>36661.31</v>
      </c>
      <c r="K1569" s="3">
        <v>768</v>
      </c>
      <c r="L1569" s="2" t="s">
        <v>2536</v>
      </c>
      <c r="M1569" s="2" t="s">
        <v>2645</v>
      </c>
    </row>
    <row r="1570" spans="1:13" x14ac:dyDescent="0.3">
      <c r="A1570" s="1">
        <v>45822</v>
      </c>
      <c r="B1570" s="2" t="s">
        <v>2636</v>
      </c>
      <c r="C1570" s="2" t="s">
        <v>2543</v>
      </c>
      <c r="D1570" s="2" t="s">
        <v>2528</v>
      </c>
      <c r="E1570" s="2" t="s">
        <v>2529</v>
      </c>
      <c r="F1570" s="3">
        <v>54298</v>
      </c>
      <c r="G1570" s="3">
        <v>3585</v>
      </c>
      <c r="H1570" s="3">
        <v>474</v>
      </c>
      <c r="I1570" s="4">
        <v>1866.61</v>
      </c>
      <c r="J1570" s="4">
        <v>55675.3</v>
      </c>
      <c r="K1570" s="3">
        <v>365</v>
      </c>
      <c r="L1570" s="2" t="s">
        <v>2523</v>
      </c>
      <c r="M1570" s="2" t="s">
        <v>2546</v>
      </c>
    </row>
    <row r="1571" spans="1:13" x14ac:dyDescent="0.3">
      <c r="A1571" s="1">
        <v>45774</v>
      </c>
      <c r="B1571" s="2" t="s">
        <v>2621</v>
      </c>
      <c r="C1571" s="2" t="s">
        <v>2527</v>
      </c>
      <c r="D1571" s="2" t="s">
        <v>2528</v>
      </c>
      <c r="E1571" s="2" t="s">
        <v>2529</v>
      </c>
      <c r="F1571" s="3">
        <v>14546</v>
      </c>
      <c r="G1571" s="3">
        <v>1006</v>
      </c>
      <c r="H1571" s="3">
        <v>27</v>
      </c>
      <c r="I1571" s="4">
        <v>178.34</v>
      </c>
      <c r="J1571" s="4">
        <v>1291.8699999999999</v>
      </c>
      <c r="K1571" s="3">
        <v>15</v>
      </c>
      <c r="L1571" s="2" t="s">
        <v>2523</v>
      </c>
      <c r="M1571" s="2" t="s">
        <v>2526</v>
      </c>
    </row>
    <row r="1572" spans="1:13" x14ac:dyDescent="0.3">
      <c r="A1572" s="1">
        <v>45837</v>
      </c>
      <c r="B1572" s="2" t="s">
        <v>2635</v>
      </c>
      <c r="C1572" s="2" t="s">
        <v>2541</v>
      </c>
      <c r="D1572" s="2" t="s">
        <v>2531</v>
      </c>
      <c r="E1572" s="2" t="s">
        <v>2517</v>
      </c>
      <c r="F1572" s="3">
        <v>37219</v>
      </c>
      <c r="G1572" s="3">
        <v>1261</v>
      </c>
      <c r="H1572" s="3">
        <v>54</v>
      </c>
      <c r="I1572" s="4">
        <v>2110.19</v>
      </c>
      <c r="J1572" s="4">
        <v>3560.58</v>
      </c>
      <c r="K1572" s="3">
        <v>45</v>
      </c>
      <c r="L1572" s="2" t="s">
        <v>2523</v>
      </c>
      <c r="M1572" s="2" t="s">
        <v>2526</v>
      </c>
    </row>
    <row r="1573" spans="1:13" x14ac:dyDescent="0.3">
      <c r="A1573" s="1">
        <v>45753</v>
      </c>
      <c r="B1573" s="2" t="s">
        <v>2640</v>
      </c>
      <c r="C1573" s="2" t="s">
        <v>2515</v>
      </c>
      <c r="D1573" s="2" t="s">
        <v>2528</v>
      </c>
      <c r="E1573" s="2" t="s">
        <v>2529</v>
      </c>
      <c r="F1573" s="3">
        <v>173819</v>
      </c>
      <c r="G1573" s="3">
        <v>12630</v>
      </c>
      <c r="H1573" s="3">
        <v>1384</v>
      </c>
      <c r="I1573" s="4">
        <v>18048.96</v>
      </c>
      <c r="J1573" s="4">
        <v>116701.43</v>
      </c>
      <c r="K1573" s="3">
        <v>663</v>
      </c>
      <c r="L1573" s="2" t="s">
        <v>2539</v>
      </c>
      <c r="M1573" s="2" t="s">
        <v>2526</v>
      </c>
    </row>
    <row r="1574" spans="1:13" x14ac:dyDescent="0.3">
      <c r="A1574" s="1">
        <v>45976</v>
      </c>
      <c r="B1574" s="2" t="s">
        <v>2637</v>
      </c>
      <c r="C1574" s="2" t="s">
        <v>2533</v>
      </c>
      <c r="D1574" s="2" t="s">
        <v>2522</v>
      </c>
      <c r="E1574" s="2" t="s">
        <v>2517</v>
      </c>
      <c r="F1574" s="3">
        <v>121538</v>
      </c>
      <c r="G1574" s="3">
        <v>2165</v>
      </c>
      <c r="H1574" s="3">
        <v>260</v>
      </c>
      <c r="I1574" s="4">
        <v>3395.25</v>
      </c>
      <c r="J1574" s="4">
        <v>50662.65</v>
      </c>
      <c r="K1574" s="3">
        <v>214</v>
      </c>
      <c r="L1574" s="2" t="s">
        <v>2536</v>
      </c>
      <c r="M1574" s="2" t="s">
        <v>2526</v>
      </c>
    </row>
    <row r="1575" spans="1:13" x14ac:dyDescent="0.3">
      <c r="A1575" s="1">
        <v>45690</v>
      </c>
      <c r="B1575" s="2" t="s">
        <v>2624</v>
      </c>
      <c r="C1575" s="2" t="s">
        <v>2543</v>
      </c>
      <c r="D1575" s="2" t="s">
        <v>2528</v>
      </c>
      <c r="E1575" s="2" t="s">
        <v>2517</v>
      </c>
      <c r="F1575" s="3">
        <v>13188</v>
      </c>
      <c r="G1575" s="3">
        <v>144</v>
      </c>
      <c r="H1575" s="3">
        <v>2</v>
      </c>
      <c r="I1575" s="4">
        <v>150.33000000000001</v>
      </c>
      <c r="J1575" s="4">
        <v>179.64</v>
      </c>
      <c r="K1575" s="3">
        <v>1</v>
      </c>
      <c r="L1575" s="2" t="s">
        <v>2539</v>
      </c>
      <c r="M1575" s="2" t="s">
        <v>2524</v>
      </c>
    </row>
    <row r="1576" spans="1:13" x14ac:dyDescent="0.3">
      <c r="A1576" s="1">
        <v>45913</v>
      </c>
      <c r="B1576" s="2" t="s">
        <v>2644</v>
      </c>
      <c r="C1576" s="2" t="s">
        <v>2521</v>
      </c>
      <c r="D1576" s="2" t="s">
        <v>2645</v>
      </c>
      <c r="E1576" s="2" t="s">
        <v>2529</v>
      </c>
      <c r="F1576" s="3">
        <v>124056</v>
      </c>
      <c r="G1576" s="3">
        <v>5690</v>
      </c>
      <c r="H1576" s="3">
        <v>354</v>
      </c>
      <c r="I1576" s="4">
        <v>4860.13</v>
      </c>
      <c r="J1576" s="4">
        <v>69220.759999999995</v>
      </c>
      <c r="K1576" s="3">
        <v>196</v>
      </c>
      <c r="L1576" s="2" t="s">
        <v>2518</v>
      </c>
      <c r="M1576" s="2" t="s">
        <v>2537</v>
      </c>
    </row>
    <row r="1577" spans="1:13" x14ac:dyDescent="0.3">
      <c r="A1577" s="1">
        <v>46010</v>
      </c>
      <c r="B1577" s="2" t="s">
        <v>2625</v>
      </c>
      <c r="C1577" s="2" t="s">
        <v>2541</v>
      </c>
      <c r="D1577" s="2" t="s">
        <v>2528</v>
      </c>
      <c r="E1577" s="2" t="s">
        <v>2529</v>
      </c>
      <c r="F1577" s="3">
        <v>17448</v>
      </c>
      <c r="G1577" s="3">
        <v>1127</v>
      </c>
      <c r="H1577" s="3">
        <v>91</v>
      </c>
      <c r="I1577" s="4">
        <v>2150.16</v>
      </c>
      <c r="J1577" s="4">
        <v>1420.76</v>
      </c>
      <c r="K1577" s="3">
        <v>74</v>
      </c>
      <c r="L1577" s="2" t="s">
        <v>2539</v>
      </c>
      <c r="M1577" s="2" t="s">
        <v>2519</v>
      </c>
    </row>
    <row r="1578" spans="1:13" x14ac:dyDescent="0.3">
      <c r="A1578" s="1">
        <v>45715</v>
      </c>
      <c r="B1578" s="2" t="s">
        <v>2618</v>
      </c>
      <c r="C1578" s="2" t="s">
        <v>2533</v>
      </c>
      <c r="D1578" s="2" t="s">
        <v>2528</v>
      </c>
      <c r="E1578" s="2" t="s">
        <v>2529</v>
      </c>
      <c r="F1578" s="3">
        <v>160119</v>
      </c>
      <c r="G1578" s="3">
        <v>7944</v>
      </c>
      <c r="H1578" s="3">
        <v>93</v>
      </c>
      <c r="I1578" s="4">
        <v>1382.1</v>
      </c>
      <c r="J1578" s="4">
        <v>3713.46</v>
      </c>
      <c r="K1578" s="3">
        <v>73</v>
      </c>
      <c r="L1578" s="2" t="s">
        <v>2539</v>
      </c>
      <c r="M1578" s="2" t="s">
        <v>2546</v>
      </c>
    </row>
    <row r="1579" spans="1:13" x14ac:dyDescent="0.3">
      <c r="A1579" s="1">
        <v>45877</v>
      </c>
      <c r="B1579" s="2" t="s">
        <v>2628</v>
      </c>
      <c r="C1579" s="2" t="s">
        <v>2515</v>
      </c>
      <c r="D1579" s="2" t="s">
        <v>2528</v>
      </c>
      <c r="E1579" s="2" t="s">
        <v>2529</v>
      </c>
      <c r="F1579" s="3">
        <v>102033</v>
      </c>
      <c r="G1579" s="3">
        <v>3550</v>
      </c>
      <c r="H1579" s="3">
        <v>365</v>
      </c>
      <c r="I1579" s="4">
        <v>4691.45</v>
      </c>
      <c r="J1579" s="4">
        <v>29458.14</v>
      </c>
      <c r="K1579" s="3">
        <v>268</v>
      </c>
      <c r="L1579" s="2" t="s">
        <v>2518</v>
      </c>
      <c r="M1579" s="2" t="s">
        <v>2524</v>
      </c>
    </row>
    <row r="1580" spans="1:13" x14ac:dyDescent="0.3">
      <c r="A1580" s="1">
        <v>46017</v>
      </c>
      <c r="B1580" s="2" t="s">
        <v>2624</v>
      </c>
      <c r="C1580" s="2" t="s">
        <v>2533</v>
      </c>
      <c r="D1580" s="2" t="s">
        <v>2528</v>
      </c>
      <c r="E1580" s="2" t="s">
        <v>2534</v>
      </c>
      <c r="F1580" s="3">
        <v>56132</v>
      </c>
      <c r="G1580" s="3">
        <v>4795</v>
      </c>
      <c r="H1580" s="3">
        <v>657</v>
      </c>
      <c r="I1580" s="4">
        <v>8067.37</v>
      </c>
      <c r="J1580" s="4">
        <v>16643.04</v>
      </c>
      <c r="K1580" s="3">
        <v>490</v>
      </c>
      <c r="L1580" s="2" t="s">
        <v>2539</v>
      </c>
      <c r="M1580" s="2" t="s">
        <v>2524</v>
      </c>
    </row>
    <row r="1581" spans="1:13" x14ac:dyDescent="0.3">
      <c r="A1581" s="1">
        <v>46014</v>
      </c>
      <c r="B1581" s="2" t="s">
        <v>2638</v>
      </c>
      <c r="C1581" s="2" t="s">
        <v>2521</v>
      </c>
      <c r="D1581" s="2" t="s">
        <v>2516</v>
      </c>
      <c r="E1581" s="2" t="s">
        <v>2517</v>
      </c>
      <c r="F1581" s="3">
        <v>90513</v>
      </c>
      <c r="G1581" s="3">
        <v>6985</v>
      </c>
      <c r="H1581" s="3">
        <v>258</v>
      </c>
      <c r="I1581" s="4">
        <v>6921.46</v>
      </c>
      <c r="J1581" s="4">
        <v>14260.11</v>
      </c>
      <c r="K1581" s="3">
        <v>146</v>
      </c>
      <c r="L1581" s="2" t="s">
        <v>2539</v>
      </c>
      <c r="M1581" s="2" t="s">
        <v>2537</v>
      </c>
    </row>
    <row r="1582" spans="1:13" x14ac:dyDescent="0.3">
      <c r="A1582" s="1">
        <v>45795</v>
      </c>
      <c r="B1582" s="2" t="s">
        <v>2616</v>
      </c>
      <c r="C1582" s="2" t="s">
        <v>2541</v>
      </c>
      <c r="D1582" s="2" t="s">
        <v>2522</v>
      </c>
      <c r="E1582" s="2" t="s">
        <v>2529</v>
      </c>
      <c r="F1582" s="3">
        <v>65699</v>
      </c>
      <c r="G1582" s="3">
        <v>1387</v>
      </c>
      <c r="H1582" s="3">
        <v>35</v>
      </c>
      <c r="I1582" s="4">
        <v>2659.35</v>
      </c>
      <c r="J1582" s="4">
        <v>4678.46</v>
      </c>
      <c r="K1582" s="3">
        <v>22</v>
      </c>
      <c r="L1582" s="2" t="s">
        <v>2539</v>
      </c>
      <c r="M1582" s="2" t="s">
        <v>2537</v>
      </c>
    </row>
    <row r="1583" spans="1:13" x14ac:dyDescent="0.3">
      <c r="A1583" s="1">
        <v>45951</v>
      </c>
      <c r="B1583" s="2" t="s">
        <v>2618</v>
      </c>
      <c r="C1583" s="2" t="s">
        <v>2533</v>
      </c>
      <c r="D1583" s="2" t="s">
        <v>2516</v>
      </c>
      <c r="E1583" s="2" t="s">
        <v>2517</v>
      </c>
      <c r="F1583" s="3">
        <v>66844</v>
      </c>
      <c r="G1583" s="3">
        <v>2803</v>
      </c>
      <c r="H1583" s="3">
        <v>166</v>
      </c>
      <c r="I1583" s="4">
        <v>4311.42</v>
      </c>
      <c r="J1583" s="4">
        <v>21428.29</v>
      </c>
      <c r="K1583" s="3">
        <v>129</v>
      </c>
      <c r="L1583" s="2" t="s">
        <v>2536</v>
      </c>
      <c r="M1583" s="2" t="s">
        <v>2546</v>
      </c>
    </row>
    <row r="1584" spans="1:13" x14ac:dyDescent="0.3">
      <c r="A1584" s="1">
        <v>45822</v>
      </c>
      <c r="B1584" s="2" t="s">
        <v>2640</v>
      </c>
      <c r="C1584" s="2" t="s">
        <v>2515</v>
      </c>
      <c r="D1584" s="2" t="s">
        <v>2528</v>
      </c>
      <c r="E1584" s="2" t="s">
        <v>2517</v>
      </c>
      <c r="F1584" s="3">
        <v>125492</v>
      </c>
      <c r="G1584" s="3">
        <v>2416</v>
      </c>
      <c r="H1584" s="3">
        <v>198</v>
      </c>
      <c r="I1584" s="4">
        <v>3077.51</v>
      </c>
      <c r="J1584" s="4">
        <v>3227.08</v>
      </c>
      <c r="K1584" s="3">
        <v>89</v>
      </c>
      <c r="L1584" s="2" t="s">
        <v>2518</v>
      </c>
      <c r="M1584" s="2" t="s">
        <v>2526</v>
      </c>
    </row>
    <row r="1585" spans="1:13" x14ac:dyDescent="0.3">
      <c r="A1585" s="1">
        <v>45764</v>
      </c>
      <c r="B1585" s="2" t="s">
        <v>2637</v>
      </c>
      <c r="C1585" s="2" t="s">
        <v>2543</v>
      </c>
      <c r="D1585" s="2" t="s">
        <v>2528</v>
      </c>
      <c r="E1585" s="2" t="s">
        <v>2529</v>
      </c>
      <c r="F1585" s="3">
        <v>71498</v>
      </c>
      <c r="G1585" s="3">
        <v>5021</v>
      </c>
      <c r="H1585" s="3">
        <v>510</v>
      </c>
      <c r="I1585" s="4">
        <v>9677.1</v>
      </c>
      <c r="J1585" s="4">
        <v>64149.66</v>
      </c>
      <c r="K1585" s="3">
        <v>297</v>
      </c>
      <c r="L1585" s="2" t="s">
        <v>2539</v>
      </c>
      <c r="M1585" s="2" t="s">
        <v>2546</v>
      </c>
    </row>
    <row r="1586" spans="1:13" x14ac:dyDescent="0.3">
      <c r="A1586" s="1">
        <v>45697</v>
      </c>
      <c r="B1586" s="2" t="s">
        <v>2641</v>
      </c>
      <c r="C1586" s="2" t="s">
        <v>2521</v>
      </c>
      <c r="D1586" s="2" t="s">
        <v>2528</v>
      </c>
      <c r="E1586" s="2" t="s">
        <v>2529</v>
      </c>
      <c r="F1586" s="3">
        <v>91373</v>
      </c>
      <c r="G1586" s="3">
        <v>830</v>
      </c>
      <c r="H1586" s="3">
        <v>6</v>
      </c>
      <c r="I1586" s="4">
        <v>1088.79</v>
      </c>
      <c r="J1586" s="4">
        <v>299.73</v>
      </c>
      <c r="K1586" s="3">
        <v>3</v>
      </c>
      <c r="L1586" s="2" t="s">
        <v>2518</v>
      </c>
      <c r="M1586" s="2" t="s">
        <v>2537</v>
      </c>
    </row>
    <row r="1587" spans="1:13" x14ac:dyDescent="0.3">
      <c r="A1587" s="1">
        <v>45876</v>
      </c>
      <c r="B1587" s="2" t="s">
        <v>2639</v>
      </c>
      <c r="C1587" s="2" t="s">
        <v>2521</v>
      </c>
      <c r="D1587" s="2" t="s">
        <v>2525</v>
      </c>
      <c r="E1587" s="2" t="s">
        <v>2517</v>
      </c>
      <c r="F1587" s="3">
        <v>104043</v>
      </c>
      <c r="G1587" s="3">
        <v>3860</v>
      </c>
      <c r="H1587" s="3">
        <v>357</v>
      </c>
      <c r="I1587" s="4">
        <v>5329.12</v>
      </c>
      <c r="J1587" s="4">
        <v>30116.7</v>
      </c>
      <c r="K1587" s="3">
        <v>289</v>
      </c>
      <c r="L1587" s="2" t="s">
        <v>2523</v>
      </c>
      <c r="M1587" s="2" t="s">
        <v>2537</v>
      </c>
    </row>
    <row r="1588" spans="1:13" x14ac:dyDescent="0.3">
      <c r="A1588" s="1">
        <v>45901</v>
      </c>
      <c r="B1588" s="2" t="s">
        <v>2635</v>
      </c>
      <c r="C1588" s="2" t="s">
        <v>2541</v>
      </c>
      <c r="D1588" s="2" t="s">
        <v>2528</v>
      </c>
      <c r="E1588" s="2" t="s">
        <v>2517</v>
      </c>
      <c r="F1588" s="3">
        <v>17017</v>
      </c>
      <c r="G1588" s="3">
        <v>1368</v>
      </c>
      <c r="H1588" s="3">
        <v>175</v>
      </c>
      <c r="I1588" s="4">
        <v>2400.86</v>
      </c>
      <c r="J1588" s="4">
        <v>21806.97</v>
      </c>
      <c r="K1588" s="3">
        <v>139</v>
      </c>
      <c r="L1588" s="2" t="s">
        <v>2536</v>
      </c>
      <c r="M1588" s="2" t="s">
        <v>2524</v>
      </c>
    </row>
    <row r="1589" spans="1:13" x14ac:dyDescent="0.3">
      <c r="A1589" s="1">
        <v>45999</v>
      </c>
      <c r="B1589" s="2" t="s">
        <v>2632</v>
      </c>
      <c r="C1589" s="2" t="s">
        <v>2533</v>
      </c>
      <c r="D1589" s="2" t="s">
        <v>2528</v>
      </c>
      <c r="E1589" s="2" t="s">
        <v>2517</v>
      </c>
      <c r="F1589" s="3">
        <v>22089</v>
      </c>
      <c r="G1589" s="3">
        <v>767</v>
      </c>
      <c r="H1589" s="3">
        <v>39</v>
      </c>
      <c r="I1589" s="4">
        <v>511.54</v>
      </c>
      <c r="J1589" s="4">
        <v>5509.86</v>
      </c>
      <c r="K1589" s="3">
        <v>32</v>
      </c>
      <c r="L1589" s="2" t="s">
        <v>2539</v>
      </c>
      <c r="M1589" s="2" t="s">
        <v>2519</v>
      </c>
    </row>
    <row r="1590" spans="1:13" x14ac:dyDescent="0.3">
      <c r="A1590" s="1">
        <v>45729</v>
      </c>
      <c r="B1590" s="2" t="s">
        <v>2628</v>
      </c>
      <c r="C1590" s="2" t="s">
        <v>2543</v>
      </c>
      <c r="D1590" s="2" t="s">
        <v>2528</v>
      </c>
      <c r="E1590" s="2" t="s">
        <v>2529</v>
      </c>
      <c r="F1590" s="3">
        <v>53503</v>
      </c>
      <c r="G1590" s="3">
        <v>2980</v>
      </c>
      <c r="H1590" s="3">
        <v>356</v>
      </c>
      <c r="I1590" s="4">
        <v>1686.23</v>
      </c>
      <c r="J1590" s="4">
        <v>28910.76</v>
      </c>
      <c r="K1590" s="3">
        <v>260</v>
      </c>
      <c r="L1590" s="2" t="s">
        <v>2518</v>
      </c>
      <c r="M1590" s="2" t="s">
        <v>2526</v>
      </c>
    </row>
    <row r="1591" spans="1:13" x14ac:dyDescent="0.3">
      <c r="A1591" s="1">
        <v>45909</v>
      </c>
      <c r="B1591" s="2" t="s">
        <v>2630</v>
      </c>
      <c r="C1591" s="2" t="s">
        <v>2533</v>
      </c>
      <c r="D1591" s="2" t="s">
        <v>2525</v>
      </c>
      <c r="E1591" s="2" t="s">
        <v>2517</v>
      </c>
      <c r="F1591" s="3">
        <v>73951</v>
      </c>
      <c r="G1591" s="3">
        <v>2624</v>
      </c>
      <c r="H1591" s="3">
        <v>333</v>
      </c>
      <c r="I1591" s="4">
        <v>3254.98</v>
      </c>
      <c r="J1591" s="4">
        <v>23542.28</v>
      </c>
      <c r="K1591" s="3">
        <v>201</v>
      </c>
      <c r="L1591" s="2" t="s">
        <v>2539</v>
      </c>
      <c r="M1591" s="2" t="s">
        <v>2524</v>
      </c>
    </row>
    <row r="1592" spans="1:13" x14ac:dyDescent="0.3">
      <c r="A1592" s="1">
        <v>45793</v>
      </c>
      <c r="B1592" s="2" t="s">
        <v>2615</v>
      </c>
      <c r="C1592" s="2" t="s">
        <v>2521</v>
      </c>
      <c r="D1592" s="2" t="s">
        <v>2522</v>
      </c>
      <c r="E1592" s="2" t="s">
        <v>2517</v>
      </c>
      <c r="F1592" s="3">
        <v>131478</v>
      </c>
      <c r="G1592" s="3">
        <v>5362</v>
      </c>
      <c r="H1592" s="3">
        <v>650</v>
      </c>
      <c r="I1592" s="4">
        <v>5076.24</v>
      </c>
      <c r="J1592" s="4">
        <v>120757.47</v>
      </c>
      <c r="K1592" s="3">
        <v>486</v>
      </c>
      <c r="L1592" s="2" t="s">
        <v>2518</v>
      </c>
      <c r="M1592" s="2" t="s">
        <v>2546</v>
      </c>
    </row>
    <row r="1593" spans="1:13" x14ac:dyDescent="0.3">
      <c r="A1593" s="1">
        <v>45831</v>
      </c>
      <c r="B1593" s="2" t="s">
        <v>2619</v>
      </c>
      <c r="C1593" s="2" t="s">
        <v>2543</v>
      </c>
      <c r="D1593" s="2" t="s">
        <v>2531</v>
      </c>
      <c r="E1593" s="2" t="s">
        <v>2529</v>
      </c>
      <c r="F1593" s="3">
        <v>65993</v>
      </c>
      <c r="G1593" s="3">
        <v>2080</v>
      </c>
      <c r="H1593" s="3">
        <v>53</v>
      </c>
      <c r="I1593" s="4">
        <v>1320.35</v>
      </c>
      <c r="J1593" s="4">
        <v>8882.56</v>
      </c>
      <c r="K1593" s="3">
        <v>24</v>
      </c>
      <c r="L1593" s="2" t="s">
        <v>2536</v>
      </c>
      <c r="M1593" s="2" t="s">
        <v>2537</v>
      </c>
    </row>
    <row r="1594" spans="1:13" x14ac:dyDescent="0.3">
      <c r="A1594" s="1">
        <v>45888</v>
      </c>
      <c r="B1594" s="2" t="s">
        <v>2643</v>
      </c>
      <c r="C1594" s="2" t="s">
        <v>2521</v>
      </c>
      <c r="D1594" s="2" t="s">
        <v>2516</v>
      </c>
      <c r="E1594" s="2" t="s">
        <v>2517</v>
      </c>
      <c r="F1594" s="3">
        <v>59500</v>
      </c>
      <c r="G1594" s="3">
        <v>2120</v>
      </c>
      <c r="H1594" s="3">
        <v>111</v>
      </c>
      <c r="I1594" s="4">
        <v>2125.35</v>
      </c>
      <c r="J1594" s="4">
        <v>10947.21</v>
      </c>
      <c r="K1594" s="3">
        <v>58</v>
      </c>
      <c r="L1594" s="2" t="s">
        <v>2536</v>
      </c>
      <c r="M1594" s="2" t="s">
        <v>2526</v>
      </c>
    </row>
    <row r="1595" spans="1:13" x14ac:dyDescent="0.3">
      <c r="A1595" s="1">
        <v>45858</v>
      </c>
      <c r="B1595" s="2" t="s">
        <v>2623</v>
      </c>
      <c r="C1595" s="2" t="s">
        <v>2543</v>
      </c>
      <c r="D1595" s="2" t="s">
        <v>2528</v>
      </c>
      <c r="E1595" s="2" t="s">
        <v>2529</v>
      </c>
      <c r="F1595" s="3">
        <v>137385</v>
      </c>
      <c r="G1595" s="3">
        <v>12227</v>
      </c>
      <c r="H1595" s="3">
        <v>1349</v>
      </c>
      <c r="I1595" s="4">
        <v>24381.01</v>
      </c>
      <c r="J1595" s="4">
        <v>265670.28000000003</v>
      </c>
      <c r="K1595" s="3">
        <v>720</v>
      </c>
      <c r="L1595" s="2" t="s">
        <v>2523</v>
      </c>
      <c r="M1595" s="2" t="s">
        <v>2526</v>
      </c>
    </row>
    <row r="1596" spans="1:13" x14ac:dyDescent="0.3">
      <c r="A1596" s="1">
        <v>45755</v>
      </c>
      <c r="B1596" s="2" t="s">
        <v>2644</v>
      </c>
      <c r="C1596" s="2" t="s">
        <v>2533</v>
      </c>
      <c r="D1596" s="2" t="s">
        <v>2528</v>
      </c>
      <c r="E1596" s="2" t="s">
        <v>2529</v>
      </c>
      <c r="F1596" s="3">
        <v>5924</v>
      </c>
      <c r="G1596" s="3">
        <v>36</v>
      </c>
      <c r="H1596" s="3">
        <v>4</v>
      </c>
      <c r="I1596" s="4">
        <v>10.82</v>
      </c>
      <c r="J1596" s="4">
        <v>744.24</v>
      </c>
      <c r="K1596" s="3">
        <v>3</v>
      </c>
      <c r="L1596" s="2" t="s">
        <v>2539</v>
      </c>
      <c r="M1596" s="2" t="s">
        <v>2537</v>
      </c>
    </row>
    <row r="1597" spans="1:13" x14ac:dyDescent="0.3">
      <c r="A1597" s="1">
        <v>45846</v>
      </c>
      <c r="B1597" s="2" t="s">
        <v>2616</v>
      </c>
      <c r="C1597" s="2" t="s">
        <v>2521</v>
      </c>
      <c r="D1597" s="2" t="s">
        <v>2516</v>
      </c>
      <c r="E1597" s="2" t="s">
        <v>2534</v>
      </c>
      <c r="F1597" s="3">
        <v>122849</v>
      </c>
      <c r="G1597" s="3">
        <v>8784</v>
      </c>
      <c r="H1597" s="3">
        <v>175</v>
      </c>
      <c r="I1597" s="4">
        <v>2448.02</v>
      </c>
      <c r="J1597" s="4">
        <v>27271.61</v>
      </c>
      <c r="K1597" s="3">
        <v>102</v>
      </c>
      <c r="L1597" s="2" t="s">
        <v>2539</v>
      </c>
      <c r="M1597" s="2" t="s">
        <v>2526</v>
      </c>
    </row>
    <row r="1598" spans="1:13" x14ac:dyDescent="0.3">
      <c r="A1598" s="1">
        <v>45956</v>
      </c>
      <c r="B1598" s="2" t="s">
        <v>2629</v>
      </c>
      <c r="C1598" s="2" t="s">
        <v>2527</v>
      </c>
      <c r="D1598" s="2" t="s">
        <v>2525</v>
      </c>
      <c r="E1598" s="2" t="s">
        <v>2517</v>
      </c>
      <c r="F1598" s="3">
        <v>57201</v>
      </c>
      <c r="G1598" s="3">
        <v>462</v>
      </c>
      <c r="H1598" s="3">
        <v>9</v>
      </c>
      <c r="I1598" s="4">
        <v>624.30999999999995</v>
      </c>
      <c r="J1598" s="4">
        <v>651.48</v>
      </c>
      <c r="K1598" s="3">
        <v>5</v>
      </c>
      <c r="L1598" s="2" t="s">
        <v>2523</v>
      </c>
      <c r="M1598" s="2" t="s">
        <v>2524</v>
      </c>
    </row>
    <row r="1599" spans="1:13" x14ac:dyDescent="0.3">
      <c r="A1599" s="1">
        <v>45863</v>
      </c>
      <c r="B1599" s="2" t="s">
        <v>2625</v>
      </c>
      <c r="C1599" s="2" t="s">
        <v>2533</v>
      </c>
      <c r="D1599" s="2" t="s">
        <v>2525</v>
      </c>
      <c r="E1599" s="2" t="s">
        <v>2517</v>
      </c>
      <c r="F1599" s="3">
        <v>98819</v>
      </c>
      <c r="G1599" s="3">
        <v>672</v>
      </c>
      <c r="H1599" s="3">
        <v>74</v>
      </c>
      <c r="I1599" s="4">
        <v>261.18</v>
      </c>
      <c r="J1599" s="4">
        <v>6994.36</v>
      </c>
      <c r="K1599" s="3">
        <v>63</v>
      </c>
      <c r="L1599" s="2" t="s">
        <v>2523</v>
      </c>
      <c r="M1599" s="2" t="s">
        <v>2524</v>
      </c>
    </row>
    <row r="1600" spans="1:13" x14ac:dyDescent="0.3">
      <c r="A1600" s="1">
        <v>46022</v>
      </c>
      <c r="B1600" s="2" t="s">
        <v>2618</v>
      </c>
      <c r="C1600" s="2" t="s">
        <v>2521</v>
      </c>
      <c r="D1600" s="2" t="s">
        <v>2516</v>
      </c>
      <c r="E1600" s="2" t="s">
        <v>2534</v>
      </c>
      <c r="F1600" s="3">
        <v>43699</v>
      </c>
      <c r="G1600" s="3">
        <v>3745</v>
      </c>
      <c r="H1600" s="3">
        <v>163</v>
      </c>
      <c r="I1600" s="4">
        <v>2934.64</v>
      </c>
      <c r="J1600" s="4">
        <v>3744.79</v>
      </c>
      <c r="K1600" s="3">
        <v>132</v>
      </c>
      <c r="L1600" s="2" t="s">
        <v>2536</v>
      </c>
      <c r="M1600" s="2" t="s">
        <v>2526</v>
      </c>
    </row>
    <row r="1601" spans="1:13" x14ac:dyDescent="0.3">
      <c r="A1601" s="1">
        <v>45976</v>
      </c>
      <c r="B1601" s="2" t="s">
        <v>2615</v>
      </c>
      <c r="C1601" s="2" t="s">
        <v>2515</v>
      </c>
      <c r="D1601" s="2" t="s">
        <v>2516</v>
      </c>
      <c r="E1601" s="2" t="s">
        <v>2517</v>
      </c>
      <c r="F1601" s="3">
        <v>171047</v>
      </c>
      <c r="G1601" s="3">
        <v>2182</v>
      </c>
      <c r="H1601" s="3">
        <v>155</v>
      </c>
      <c r="I1601" s="4">
        <v>2980.57</v>
      </c>
      <c r="J1601" s="4">
        <v>18902.5</v>
      </c>
      <c r="K1601" s="3">
        <v>94</v>
      </c>
      <c r="L1601" s="2" t="s">
        <v>2518</v>
      </c>
      <c r="M1601" s="2" t="s">
        <v>2524</v>
      </c>
    </row>
    <row r="1602" spans="1:13" x14ac:dyDescent="0.3">
      <c r="A1602" s="1">
        <v>45912</v>
      </c>
      <c r="B1602" s="2" t="s">
        <v>2619</v>
      </c>
      <c r="C1602" s="2" t="s">
        <v>2515</v>
      </c>
      <c r="D1602" s="2" t="s">
        <v>2528</v>
      </c>
      <c r="E1602" s="2" t="s">
        <v>2517</v>
      </c>
      <c r="F1602" s="3">
        <v>144284</v>
      </c>
      <c r="G1602" s="3">
        <v>7528</v>
      </c>
      <c r="H1602" s="3">
        <v>501</v>
      </c>
      <c r="I1602" s="4">
        <v>14677.35</v>
      </c>
      <c r="J1602" s="4">
        <v>94154.6</v>
      </c>
      <c r="K1602" s="3">
        <v>329</v>
      </c>
      <c r="L1602" s="2" t="s">
        <v>2536</v>
      </c>
      <c r="M1602" s="2" t="s">
        <v>2537</v>
      </c>
    </row>
    <row r="1603" spans="1:13" x14ac:dyDescent="0.3">
      <c r="A1603" s="1">
        <v>45895</v>
      </c>
      <c r="B1603" s="2" t="s">
        <v>2630</v>
      </c>
      <c r="C1603" s="2" t="s">
        <v>2515</v>
      </c>
      <c r="D1603" s="2" t="s">
        <v>2528</v>
      </c>
      <c r="E1603" s="2" t="s">
        <v>2529</v>
      </c>
      <c r="F1603" s="3">
        <v>78711</v>
      </c>
      <c r="G1603" s="3">
        <v>5756</v>
      </c>
      <c r="H1603" s="3">
        <v>611</v>
      </c>
      <c r="I1603" s="4">
        <v>2861.34</v>
      </c>
      <c r="J1603" s="4">
        <v>99760.57</v>
      </c>
      <c r="K1603" s="3">
        <v>522</v>
      </c>
      <c r="L1603" s="2" t="s">
        <v>2523</v>
      </c>
      <c r="M1603" s="2" t="s">
        <v>2537</v>
      </c>
    </row>
    <row r="1604" spans="1:13" x14ac:dyDescent="0.3">
      <c r="A1604" s="1">
        <v>45880</v>
      </c>
      <c r="B1604" s="2" t="s">
        <v>2618</v>
      </c>
      <c r="C1604" s="2" t="s">
        <v>2515</v>
      </c>
      <c r="D1604" s="2" t="s">
        <v>2525</v>
      </c>
      <c r="E1604" s="2" t="s">
        <v>2529</v>
      </c>
      <c r="F1604" s="3">
        <v>77997</v>
      </c>
      <c r="G1604" s="3">
        <v>1274</v>
      </c>
      <c r="H1604" s="3">
        <v>94</v>
      </c>
      <c r="I1604" s="4">
        <v>1441.47</v>
      </c>
      <c r="J1604" s="4">
        <v>5544.5</v>
      </c>
      <c r="K1604" s="3">
        <v>73</v>
      </c>
      <c r="L1604" s="2" t="s">
        <v>2518</v>
      </c>
      <c r="M1604" s="2" t="s">
        <v>2524</v>
      </c>
    </row>
    <row r="1605" spans="1:13" x14ac:dyDescent="0.3">
      <c r="A1605" s="1">
        <v>45684</v>
      </c>
      <c r="B1605" s="2" t="s">
        <v>2639</v>
      </c>
      <c r="C1605" s="2" t="s">
        <v>2533</v>
      </c>
      <c r="D1605" s="2" t="s">
        <v>2525</v>
      </c>
      <c r="E1605" s="2" t="s">
        <v>2534</v>
      </c>
      <c r="F1605" s="3">
        <v>165204</v>
      </c>
      <c r="G1605" s="3">
        <v>12204</v>
      </c>
      <c r="H1605" s="3">
        <v>470</v>
      </c>
      <c r="I1605" s="4">
        <v>10390.040000000001</v>
      </c>
      <c r="J1605" s="4">
        <v>80861.14</v>
      </c>
      <c r="K1605" s="3">
        <v>408</v>
      </c>
      <c r="L1605" s="2" t="s">
        <v>2518</v>
      </c>
      <c r="M1605" s="2" t="s">
        <v>2526</v>
      </c>
    </row>
    <row r="1606" spans="1:13" x14ac:dyDescent="0.3">
      <c r="A1606" s="1">
        <v>45808</v>
      </c>
      <c r="B1606" s="2" t="s">
        <v>2635</v>
      </c>
      <c r="C1606" s="2" t="s">
        <v>2521</v>
      </c>
      <c r="D1606" s="2" t="s">
        <v>2528</v>
      </c>
      <c r="E1606" s="2" t="s">
        <v>2517</v>
      </c>
      <c r="F1606" s="3">
        <v>174851</v>
      </c>
      <c r="G1606" s="3">
        <v>3727</v>
      </c>
      <c r="H1606" s="3">
        <v>90</v>
      </c>
      <c r="I1606" s="4">
        <v>1228.3599999999999</v>
      </c>
      <c r="J1606" s="4">
        <v>9191.2900000000009</v>
      </c>
      <c r="K1606" s="3">
        <v>64</v>
      </c>
      <c r="L1606" s="2" t="s">
        <v>2536</v>
      </c>
      <c r="M1606" s="2" t="s">
        <v>2519</v>
      </c>
    </row>
    <row r="1607" spans="1:13" x14ac:dyDescent="0.3">
      <c r="A1607" s="1">
        <v>45725</v>
      </c>
      <c r="B1607" s="2" t="s">
        <v>2617</v>
      </c>
      <c r="C1607" s="2" t="s">
        <v>2543</v>
      </c>
      <c r="D1607" s="2" t="s">
        <v>2528</v>
      </c>
      <c r="E1607" s="2" t="s">
        <v>2517</v>
      </c>
      <c r="F1607" s="3">
        <v>59836</v>
      </c>
      <c r="G1607" s="3">
        <v>2678</v>
      </c>
      <c r="H1607" s="3">
        <v>277</v>
      </c>
      <c r="I1607" s="4">
        <v>2101.9</v>
      </c>
      <c r="J1607" s="4">
        <v>9658.89</v>
      </c>
      <c r="K1607" s="3">
        <v>209</v>
      </c>
      <c r="L1607" s="2" t="s">
        <v>2539</v>
      </c>
      <c r="M1607" s="2" t="s">
        <v>2537</v>
      </c>
    </row>
    <row r="1608" spans="1:13" x14ac:dyDescent="0.3">
      <c r="A1608" s="1">
        <v>45932</v>
      </c>
      <c r="B1608" s="2" t="s">
        <v>2642</v>
      </c>
      <c r="C1608" s="2" t="s">
        <v>2527</v>
      </c>
      <c r="D1608" s="2" t="s">
        <v>2525</v>
      </c>
      <c r="E1608" s="2" t="s">
        <v>2529</v>
      </c>
      <c r="F1608" s="3">
        <v>53631</v>
      </c>
      <c r="G1608" s="3">
        <v>1537</v>
      </c>
      <c r="H1608" s="3">
        <v>68</v>
      </c>
      <c r="I1608" s="4">
        <v>2958.95</v>
      </c>
      <c r="J1608" s="4">
        <v>4047.44</v>
      </c>
      <c r="K1608" s="3">
        <v>31</v>
      </c>
      <c r="L1608" s="2" t="s">
        <v>2523</v>
      </c>
      <c r="M1608" s="2" t="s">
        <v>2519</v>
      </c>
    </row>
    <row r="1609" spans="1:13" x14ac:dyDescent="0.3">
      <c r="A1609" s="1">
        <v>45943</v>
      </c>
      <c r="B1609" s="2" t="s">
        <v>2639</v>
      </c>
      <c r="C1609" s="2" t="s">
        <v>2543</v>
      </c>
      <c r="D1609" s="2" t="s">
        <v>2516</v>
      </c>
      <c r="E1609" s="2" t="s">
        <v>2529</v>
      </c>
      <c r="F1609" s="3">
        <v>154473</v>
      </c>
      <c r="G1609" s="3">
        <v>12215</v>
      </c>
      <c r="H1609" s="3">
        <v>955</v>
      </c>
      <c r="I1609" s="4">
        <v>20863.400000000001</v>
      </c>
      <c r="J1609" s="4">
        <v>190050.32</v>
      </c>
      <c r="K1609" s="3">
        <v>802</v>
      </c>
      <c r="L1609" s="2" t="s">
        <v>2523</v>
      </c>
      <c r="M1609" s="2" t="s">
        <v>2546</v>
      </c>
    </row>
    <row r="1610" spans="1:13" x14ac:dyDescent="0.3">
      <c r="A1610" s="1">
        <v>45747</v>
      </c>
      <c r="B1610" s="2" t="s">
        <v>2617</v>
      </c>
      <c r="C1610" s="2" t="s">
        <v>2533</v>
      </c>
      <c r="D1610" s="2" t="s">
        <v>2528</v>
      </c>
      <c r="E1610" s="2" t="s">
        <v>2529</v>
      </c>
      <c r="F1610" s="3">
        <v>159572</v>
      </c>
      <c r="G1610" s="3">
        <v>6822</v>
      </c>
      <c r="H1610" s="3">
        <v>822</v>
      </c>
      <c r="I1610" s="4">
        <v>5267.14</v>
      </c>
      <c r="J1610" s="4">
        <v>171886.75</v>
      </c>
      <c r="K1610" s="3">
        <v>428</v>
      </c>
      <c r="L1610" s="2" t="s">
        <v>2523</v>
      </c>
      <c r="M1610" s="2" t="s">
        <v>2519</v>
      </c>
    </row>
    <row r="1611" spans="1:13" x14ac:dyDescent="0.3">
      <c r="A1611" s="1">
        <v>45816</v>
      </c>
      <c r="B1611" s="2" t="s">
        <v>2643</v>
      </c>
      <c r="C1611" s="2" t="s">
        <v>2543</v>
      </c>
      <c r="D1611" s="2" t="s">
        <v>2531</v>
      </c>
      <c r="E1611" s="2" t="s">
        <v>2529</v>
      </c>
      <c r="F1611" s="3">
        <v>151478</v>
      </c>
      <c r="G1611" s="3">
        <v>3984</v>
      </c>
      <c r="H1611" s="3">
        <v>435</v>
      </c>
      <c r="I1611" s="4">
        <v>2136.9699999999998</v>
      </c>
      <c r="J1611" s="4">
        <v>26101.71</v>
      </c>
      <c r="K1611" s="3">
        <v>283</v>
      </c>
      <c r="L1611" s="2" t="s">
        <v>2539</v>
      </c>
      <c r="M1611" s="2" t="s">
        <v>2524</v>
      </c>
    </row>
    <row r="1612" spans="1:13" x14ac:dyDescent="0.3">
      <c r="A1612" s="1">
        <v>45742</v>
      </c>
      <c r="B1612" s="2" t="s">
        <v>2633</v>
      </c>
      <c r="C1612" s="2" t="s">
        <v>2541</v>
      </c>
      <c r="D1612" s="2" t="s">
        <v>2525</v>
      </c>
      <c r="E1612" s="2" t="s">
        <v>2517</v>
      </c>
      <c r="F1612" s="3">
        <v>40226</v>
      </c>
      <c r="G1612" s="3">
        <v>1822</v>
      </c>
      <c r="H1612" s="3">
        <v>76</v>
      </c>
      <c r="I1612" s="4">
        <v>1629.87</v>
      </c>
      <c r="J1612" s="4">
        <v>1988.08</v>
      </c>
      <c r="K1612" s="3">
        <v>60</v>
      </c>
      <c r="L1612" s="2" t="s">
        <v>2539</v>
      </c>
      <c r="M1612" s="2" t="s">
        <v>2524</v>
      </c>
    </row>
    <row r="1613" spans="1:13" x14ac:dyDescent="0.3">
      <c r="A1613" s="1">
        <v>45690</v>
      </c>
      <c r="B1613" s="2" t="s">
        <v>2619</v>
      </c>
      <c r="C1613" s="2" t="s">
        <v>2533</v>
      </c>
      <c r="D1613" s="2" t="s">
        <v>2525</v>
      </c>
      <c r="E1613" s="2" t="s">
        <v>2517</v>
      </c>
      <c r="F1613" s="3">
        <v>60226</v>
      </c>
      <c r="G1613" s="3">
        <v>3144</v>
      </c>
      <c r="H1613" s="3">
        <v>297</v>
      </c>
      <c r="I1613" s="4">
        <v>6373.52</v>
      </c>
      <c r="J1613" s="4">
        <v>42517.43</v>
      </c>
      <c r="K1613" s="3">
        <v>212</v>
      </c>
      <c r="L1613" s="2" t="s">
        <v>2539</v>
      </c>
      <c r="M1613" s="2" t="s">
        <v>2537</v>
      </c>
    </row>
    <row r="1614" spans="1:13" x14ac:dyDescent="0.3">
      <c r="A1614" s="1">
        <v>45781</v>
      </c>
      <c r="B1614" s="2" t="s">
        <v>2616</v>
      </c>
      <c r="C1614" s="2" t="s">
        <v>2515</v>
      </c>
      <c r="D1614" s="2" t="s">
        <v>2525</v>
      </c>
      <c r="E1614" s="2" t="s">
        <v>2517</v>
      </c>
      <c r="F1614" s="3">
        <v>57217</v>
      </c>
      <c r="G1614" s="3">
        <v>4309</v>
      </c>
      <c r="H1614" s="3">
        <v>98</v>
      </c>
      <c r="I1614" s="4">
        <v>1968.98</v>
      </c>
      <c r="J1614" s="4">
        <v>12456.97</v>
      </c>
      <c r="K1614" s="3">
        <v>74</v>
      </c>
      <c r="L1614" s="2" t="s">
        <v>2523</v>
      </c>
      <c r="M1614" s="2" t="s">
        <v>2519</v>
      </c>
    </row>
    <row r="1615" spans="1:13" x14ac:dyDescent="0.3">
      <c r="A1615" s="1">
        <v>45950</v>
      </c>
      <c r="B1615" s="2" t="s">
        <v>2633</v>
      </c>
      <c r="C1615" s="2" t="s">
        <v>2515</v>
      </c>
      <c r="D1615" s="2" t="s">
        <v>2525</v>
      </c>
      <c r="E1615" s="2" t="s">
        <v>2517</v>
      </c>
      <c r="F1615" s="3">
        <v>79965</v>
      </c>
      <c r="G1615" s="3">
        <v>4389</v>
      </c>
      <c r="H1615" s="3">
        <v>594</v>
      </c>
      <c r="I1615" s="4">
        <v>7429.03</v>
      </c>
      <c r="J1615" s="4">
        <v>114589.17</v>
      </c>
      <c r="K1615" s="3">
        <v>322</v>
      </c>
      <c r="L1615" s="2" t="s">
        <v>2518</v>
      </c>
      <c r="M1615" s="2" t="s">
        <v>2546</v>
      </c>
    </row>
    <row r="1616" spans="1:13" x14ac:dyDescent="0.3">
      <c r="A1616" s="1">
        <v>45997</v>
      </c>
      <c r="B1616" s="2" t="s">
        <v>2644</v>
      </c>
      <c r="C1616" s="2" t="s">
        <v>2541</v>
      </c>
      <c r="D1616" s="2" t="s">
        <v>2528</v>
      </c>
      <c r="E1616" s="2" t="s">
        <v>2517</v>
      </c>
      <c r="F1616" s="3">
        <v>103225</v>
      </c>
      <c r="G1616" s="3">
        <v>7533</v>
      </c>
      <c r="H1616" s="3">
        <v>565</v>
      </c>
      <c r="I1616" s="4">
        <v>6438.13</v>
      </c>
      <c r="J1616" s="4">
        <v>63160.72</v>
      </c>
      <c r="K1616" s="3">
        <v>503</v>
      </c>
      <c r="L1616" s="2" t="s">
        <v>2536</v>
      </c>
      <c r="M1616" s="2" t="s">
        <v>2546</v>
      </c>
    </row>
    <row r="1617" spans="1:13" x14ac:dyDescent="0.3">
      <c r="A1617" s="1">
        <v>45681</v>
      </c>
      <c r="B1617" s="2" t="s">
        <v>2634</v>
      </c>
      <c r="C1617" s="2" t="s">
        <v>2515</v>
      </c>
      <c r="D1617" s="2" t="s">
        <v>2528</v>
      </c>
      <c r="E1617" s="2" t="s">
        <v>2529</v>
      </c>
      <c r="F1617" s="3">
        <v>92355</v>
      </c>
      <c r="G1617" s="3">
        <v>6337</v>
      </c>
      <c r="H1617" s="3">
        <v>362</v>
      </c>
      <c r="I1617" s="4">
        <v>10062.56</v>
      </c>
      <c r="J1617" s="4">
        <v>52193.1</v>
      </c>
      <c r="K1617" s="3">
        <v>300</v>
      </c>
      <c r="L1617" s="2" t="s">
        <v>2523</v>
      </c>
      <c r="M1617" s="2" t="s">
        <v>2546</v>
      </c>
    </row>
    <row r="1618" spans="1:13" x14ac:dyDescent="0.3">
      <c r="A1618" s="1">
        <v>45710</v>
      </c>
      <c r="B1618" s="2" t="s">
        <v>2629</v>
      </c>
      <c r="C1618" s="2" t="s">
        <v>2515</v>
      </c>
      <c r="D1618" s="2" t="s">
        <v>2516</v>
      </c>
      <c r="E1618" s="2" t="s">
        <v>2529</v>
      </c>
      <c r="F1618" s="3">
        <v>126534</v>
      </c>
      <c r="G1618" s="3">
        <v>2187</v>
      </c>
      <c r="H1618" s="3">
        <v>67</v>
      </c>
      <c r="I1618" s="4">
        <v>3788.89</v>
      </c>
      <c r="J1618" s="4">
        <v>7216.29</v>
      </c>
      <c r="K1618" s="3">
        <v>55</v>
      </c>
      <c r="L1618" s="2" t="s">
        <v>2518</v>
      </c>
      <c r="M1618" s="2" t="s">
        <v>2524</v>
      </c>
    </row>
    <row r="1619" spans="1:13" x14ac:dyDescent="0.3">
      <c r="A1619" s="1">
        <v>45853</v>
      </c>
      <c r="B1619" s="2" t="s">
        <v>2639</v>
      </c>
      <c r="C1619" s="2" t="s">
        <v>2543</v>
      </c>
      <c r="D1619" s="2" t="s">
        <v>2528</v>
      </c>
      <c r="E1619" s="2" t="s">
        <v>2529</v>
      </c>
      <c r="F1619" s="3">
        <v>128741</v>
      </c>
      <c r="G1619" s="3">
        <v>10758</v>
      </c>
      <c r="H1619" s="3">
        <v>1348</v>
      </c>
      <c r="I1619" s="4">
        <v>3988.1</v>
      </c>
      <c r="J1619" s="4">
        <v>214146.53</v>
      </c>
      <c r="K1619" s="3">
        <v>623</v>
      </c>
      <c r="L1619" s="2" t="s">
        <v>2539</v>
      </c>
      <c r="M1619" s="2" t="s">
        <v>2645</v>
      </c>
    </row>
    <row r="1620" spans="1:13" x14ac:dyDescent="0.3">
      <c r="A1620" s="1">
        <v>45741</v>
      </c>
      <c r="B1620" s="2" t="s">
        <v>2634</v>
      </c>
      <c r="C1620" s="2" t="s">
        <v>2533</v>
      </c>
      <c r="D1620" s="2" t="s">
        <v>2528</v>
      </c>
      <c r="E1620" s="2" t="s">
        <v>2517</v>
      </c>
      <c r="F1620" s="3">
        <v>50009</v>
      </c>
      <c r="G1620" s="3">
        <v>1129</v>
      </c>
      <c r="H1620" s="3">
        <v>68</v>
      </c>
      <c r="I1620" s="4">
        <v>1425.48</v>
      </c>
      <c r="J1620" s="4">
        <v>2778.11</v>
      </c>
      <c r="K1620" s="3">
        <v>46</v>
      </c>
      <c r="L1620" s="2" t="s">
        <v>2523</v>
      </c>
      <c r="M1620" s="2" t="s">
        <v>2526</v>
      </c>
    </row>
    <row r="1621" spans="1:13" x14ac:dyDescent="0.3">
      <c r="A1621" s="1">
        <v>45740</v>
      </c>
      <c r="B1621" s="2" t="s">
        <v>2634</v>
      </c>
      <c r="C1621" s="2" t="s">
        <v>2541</v>
      </c>
      <c r="D1621" s="2" t="s">
        <v>2528</v>
      </c>
      <c r="E1621" s="2" t="s">
        <v>2517</v>
      </c>
      <c r="F1621" s="3">
        <v>76275</v>
      </c>
      <c r="G1621" s="3">
        <v>1883</v>
      </c>
      <c r="H1621" s="3">
        <v>76</v>
      </c>
      <c r="I1621" s="4">
        <v>984.24</v>
      </c>
      <c r="J1621" s="4">
        <v>16585</v>
      </c>
      <c r="K1621" s="3">
        <v>51</v>
      </c>
      <c r="L1621" s="2" t="s">
        <v>2523</v>
      </c>
      <c r="M1621" s="2" t="s">
        <v>2524</v>
      </c>
    </row>
    <row r="1622" spans="1:13" x14ac:dyDescent="0.3">
      <c r="A1622" s="1">
        <v>45995</v>
      </c>
      <c r="B1622" s="2" t="s">
        <v>2630</v>
      </c>
      <c r="C1622" s="2" t="s">
        <v>2515</v>
      </c>
      <c r="D1622" s="2" t="s">
        <v>2528</v>
      </c>
      <c r="E1622" s="2" t="s">
        <v>2517</v>
      </c>
      <c r="F1622" s="3">
        <v>30295</v>
      </c>
      <c r="G1622" s="3">
        <v>544</v>
      </c>
      <c r="H1622" s="3">
        <v>75</v>
      </c>
      <c r="I1622" s="4">
        <v>90.66</v>
      </c>
      <c r="J1622" s="4">
        <v>5560.59</v>
      </c>
      <c r="K1622" s="3">
        <v>52</v>
      </c>
      <c r="L1622" s="2" t="s">
        <v>2539</v>
      </c>
      <c r="M1622" s="2" t="s">
        <v>2524</v>
      </c>
    </row>
    <row r="1623" spans="1:13" x14ac:dyDescent="0.3">
      <c r="A1623" s="1">
        <v>45803</v>
      </c>
      <c r="B1623" s="2" t="s">
        <v>2624</v>
      </c>
      <c r="C1623" s="2" t="s">
        <v>2521</v>
      </c>
      <c r="D1623" s="2" t="s">
        <v>2516</v>
      </c>
      <c r="E1623" s="2" t="s">
        <v>2534</v>
      </c>
      <c r="F1623" s="3">
        <v>58288</v>
      </c>
      <c r="G1623" s="3">
        <v>541</v>
      </c>
      <c r="H1623" s="3">
        <v>18</v>
      </c>
      <c r="I1623" s="4">
        <v>1050.04</v>
      </c>
      <c r="J1623" s="4">
        <v>1165.99</v>
      </c>
      <c r="K1623" s="3">
        <v>14</v>
      </c>
      <c r="L1623" s="2" t="s">
        <v>2539</v>
      </c>
      <c r="M1623" s="2" t="s">
        <v>2524</v>
      </c>
    </row>
    <row r="1624" spans="1:13" x14ac:dyDescent="0.3">
      <c r="A1624" s="1">
        <v>45779</v>
      </c>
      <c r="B1624" s="2" t="s">
        <v>2625</v>
      </c>
      <c r="C1624" s="2" t="s">
        <v>2527</v>
      </c>
      <c r="D1624" s="2" t="s">
        <v>2525</v>
      </c>
      <c r="E1624" s="2" t="s">
        <v>2529</v>
      </c>
      <c r="F1624" s="3">
        <v>69888</v>
      </c>
      <c r="G1624" s="3">
        <v>4232</v>
      </c>
      <c r="H1624" s="3">
        <v>478</v>
      </c>
      <c r="I1624" s="4">
        <v>3565.32</v>
      </c>
      <c r="J1624" s="4">
        <v>68391.899999999994</v>
      </c>
      <c r="K1624" s="3">
        <v>381</v>
      </c>
      <c r="L1624" s="2" t="s">
        <v>2518</v>
      </c>
      <c r="M1624" s="2" t="s">
        <v>2537</v>
      </c>
    </row>
    <row r="1625" spans="1:13" x14ac:dyDescent="0.3">
      <c r="A1625" s="1">
        <v>45863</v>
      </c>
      <c r="B1625" s="2" t="s">
        <v>2633</v>
      </c>
      <c r="C1625" s="2" t="s">
        <v>2515</v>
      </c>
      <c r="D1625" s="2" t="s">
        <v>2528</v>
      </c>
      <c r="E1625" s="2" t="s">
        <v>2529</v>
      </c>
      <c r="F1625" s="3">
        <v>174292</v>
      </c>
      <c r="G1625" s="3">
        <v>11071</v>
      </c>
      <c r="H1625" s="3">
        <v>1081</v>
      </c>
      <c r="I1625" s="4">
        <v>11628.8</v>
      </c>
      <c r="J1625" s="4">
        <v>37260.120000000003</v>
      </c>
      <c r="K1625" s="3">
        <v>544</v>
      </c>
      <c r="L1625" s="2" t="s">
        <v>2518</v>
      </c>
      <c r="M1625" s="2" t="s">
        <v>2524</v>
      </c>
    </row>
    <row r="1626" spans="1:13" x14ac:dyDescent="0.3">
      <c r="A1626" s="1">
        <v>45952</v>
      </c>
      <c r="B1626" s="2" t="s">
        <v>2636</v>
      </c>
      <c r="C1626" s="2" t="s">
        <v>2515</v>
      </c>
      <c r="D1626" s="2" t="s">
        <v>2531</v>
      </c>
      <c r="E1626" s="2" t="s">
        <v>2517</v>
      </c>
      <c r="F1626" s="3">
        <v>17186</v>
      </c>
      <c r="G1626" s="3">
        <v>1443</v>
      </c>
      <c r="H1626" s="3">
        <v>52</v>
      </c>
      <c r="I1626" s="4">
        <v>1021.04</v>
      </c>
      <c r="J1626" s="4">
        <v>4010.28</v>
      </c>
      <c r="K1626" s="3">
        <v>42</v>
      </c>
      <c r="L1626" s="2" t="s">
        <v>2518</v>
      </c>
      <c r="M1626" s="2" t="s">
        <v>2546</v>
      </c>
    </row>
    <row r="1627" spans="1:13" x14ac:dyDescent="0.3">
      <c r="A1627" s="1">
        <v>45877</v>
      </c>
      <c r="B1627" s="2" t="s">
        <v>2627</v>
      </c>
      <c r="C1627" s="2" t="s">
        <v>2521</v>
      </c>
      <c r="D1627" s="2" t="s">
        <v>2516</v>
      </c>
      <c r="E1627" s="2" t="s">
        <v>2534</v>
      </c>
      <c r="F1627" s="3">
        <v>144140</v>
      </c>
      <c r="G1627" s="3">
        <v>2560</v>
      </c>
      <c r="H1627" s="3">
        <v>138</v>
      </c>
      <c r="I1627" s="4">
        <v>4516.4399999999996</v>
      </c>
      <c r="J1627" s="4">
        <v>25555.58</v>
      </c>
      <c r="K1627" s="3">
        <v>92</v>
      </c>
      <c r="L1627" s="2" t="s">
        <v>2518</v>
      </c>
      <c r="M1627" s="2" t="s">
        <v>2537</v>
      </c>
    </row>
    <row r="1628" spans="1:13" x14ac:dyDescent="0.3">
      <c r="A1628" s="1">
        <v>45802</v>
      </c>
      <c r="B1628" s="2" t="s">
        <v>2636</v>
      </c>
      <c r="C1628" s="2" t="s">
        <v>2521</v>
      </c>
      <c r="D1628" s="2" t="s">
        <v>2528</v>
      </c>
      <c r="E1628" s="2" t="s">
        <v>2529</v>
      </c>
      <c r="F1628" s="3">
        <v>136387</v>
      </c>
      <c r="G1628" s="3">
        <v>6380</v>
      </c>
      <c r="H1628" s="3">
        <v>526</v>
      </c>
      <c r="I1628" s="4">
        <v>6756.57</v>
      </c>
      <c r="J1628" s="4">
        <v>94809.26</v>
      </c>
      <c r="K1628" s="3">
        <v>386</v>
      </c>
      <c r="L1628" s="2" t="s">
        <v>2518</v>
      </c>
      <c r="M1628" s="2" t="s">
        <v>2537</v>
      </c>
    </row>
    <row r="1629" spans="1:13" x14ac:dyDescent="0.3">
      <c r="A1629" s="1">
        <v>45794</v>
      </c>
      <c r="B1629" s="2" t="s">
        <v>2630</v>
      </c>
      <c r="C1629" s="2" t="s">
        <v>2521</v>
      </c>
      <c r="D1629" s="2" t="s">
        <v>2528</v>
      </c>
      <c r="E1629" s="2" t="s">
        <v>2517</v>
      </c>
      <c r="F1629" s="3">
        <v>53539</v>
      </c>
      <c r="G1629" s="3">
        <v>2300</v>
      </c>
      <c r="H1629" s="3">
        <v>269</v>
      </c>
      <c r="I1629" s="4">
        <v>2971</v>
      </c>
      <c r="J1629" s="4">
        <v>49829.98</v>
      </c>
      <c r="K1629" s="3">
        <v>195</v>
      </c>
      <c r="L1629" s="2" t="s">
        <v>2523</v>
      </c>
      <c r="M1629" s="2" t="s">
        <v>2526</v>
      </c>
    </row>
    <row r="1630" spans="1:13" x14ac:dyDescent="0.3">
      <c r="A1630" s="1">
        <v>45783</v>
      </c>
      <c r="B1630" s="2" t="s">
        <v>2634</v>
      </c>
      <c r="C1630" s="2" t="s">
        <v>2521</v>
      </c>
      <c r="D1630" s="2" t="s">
        <v>2516</v>
      </c>
      <c r="E1630" s="2" t="s">
        <v>2529</v>
      </c>
      <c r="F1630" s="3">
        <v>47096</v>
      </c>
      <c r="G1630" s="3">
        <v>2219</v>
      </c>
      <c r="H1630" s="3">
        <v>112</v>
      </c>
      <c r="I1630" s="4">
        <v>2862.5</v>
      </c>
      <c r="J1630" s="4">
        <v>9526.36</v>
      </c>
      <c r="K1630" s="3">
        <v>65</v>
      </c>
      <c r="L1630" s="2" t="s">
        <v>2536</v>
      </c>
      <c r="M1630" s="2" t="s">
        <v>2526</v>
      </c>
    </row>
    <row r="1631" spans="1:13" x14ac:dyDescent="0.3">
      <c r="A1631" s="1">
        <v>45832</v>
      </c>
      <c r="B1631" s="2" t="s">
        <v>2641</v>
      </c>
      <c r="C1631" s="2" t="s">
        <v>2515</v>
      </c>
      <c r="D1631" s="2" t="s">
        <v>2528</v>
      </c>
      <c r="E1631" s="2" t="s">
        <v>2517</v>
      </c>
      <c r="F1631" s="3">
        <v>44197</v>
      </c>
      <c r="G1631" s="3">
        <v>3556</v>
      </c>
      <c r="H1631" s="3">
        <v>129</v>
      </c>
      <c r="I1631" s="4">
        <v>6956.5</v>
      </c>
      <c r="J1631" s="4">
        <v>19843.04</v>
      </c>
      <c r="K1631" s="3">
        <v>98</v>
      </c>
      <c r="L1631" s="2" t="s">
        <v>2523</v>
      </c>
      <c r="M1631" s="2" t="s">
        <v>2524</v>
      </c>
    </row>
    <row r="1632" spans="1:13" x14ac:dyDescent="0.3">
      <c r="A1632" s="1">
        <v>45999</v>
      </c>
      <c r="B1632" s="2" t="s">
        <v>2638</v>
      </c>
      <c r="C1632" s="2" t="s">
        <v>2541</v>
      </c>
      <c r="D1632" s="2" t="s">
        <v>2531</v>
      </c>
      <c r="E1632" s="2" t="s">
        <v>2529</v>
      </c>
      <c r="F1632" s="3">
        <v>129330</v>
      </c>
      <c r="G1632" s="3">
        <v>3958</v>
      </c>
      <c r="H1632" s="3">
        <v>537</v>
      </c>
      <c r="I1632" s="4">
        <v>6327.34</v>
      </c>
      <c r="J1632" s="4">
        <v>13102.43</v>
      </c>
      <c r="K1632" s="3">
        <v>341</v>
      </c>
      <c r="L1632" s="2" t="s">
        <v>2539</v>
      </c>
      <c r="M1632" s="2" t="s">
        <v>2537</v>
      </c>
    </row>
    <row r="1633" spans="1:13" x14ac:dyDescent="0.3">
      <c r="A1633" s="1">
        <v>45990</v>
      </c>
      <c r="B1633" s="2" t="s">
        <v>2636</v>
      </c>
      <c r="C1633" s="2" t="s">
        <v>2533</v>
      </c>
      <c r="D1633" s="2" t="s">
        <v>2528</v>
      </c>
      <c r="E1633" s="2" t="s">
        <v>2529</v>
      </c>
      <c r="F1633" s="3">
        <v>143675</v>
      </c>
      <c r="G1633" s="3">
        <v>9233</v>
      </c>
      <c r="H1633" s="3">
        <v>675</v>
      </c>
      <c r="I1633" s="4">
        <v>14029.04</v>
      </c>
      <c r="J1633" s="4">
        <v>97109.759999999995</v>
      </c>
      <c r="K1633" s="3">
        <v>457</v>
      </c>
      <c r="L1633" s="2" t="s">
        <v>2539</v>
      </c>
      <c r="M1633" s="2" t="s">
        <v>2526</v>
      </c>
    </row>
    <row r="1634" spans="1:13" x14ac:dyDescent="0.3">
      <c r="A1634" s="1">
        <v>45827</v>
      </c>
      <c r="B1634" s="2" t="s">
        <v>2632</v>
      </c>
      <c r="C1634" s="2" t="s">
        <v>2515</v>
      </c>
      <c r="D1634" s="2" t="s">
        <v>2528</v>
      </c>
      <c r="E1634" s="2" t="s">
        <v>2517</v>
      </c>
      <c r="F1634" s="3">
        <v>112733</v>
      </c>
      <c r="G1634" s="3">
        <v>9308</v>
      </c>
      <c r="H1634" s="3">
        <v>749</v>
      </c>
      <c r="I1634" s="4">
        <v>1451.53</v>
      </c>
      <c r="J1634" s="4">
        <v>116310.66</v>
      </c>
      <c r="K1634" s="3">
        <v>446</v>
      </c>
      <c r="L1634" s="2" t="s">
        <v>2518</v>
      </c>
      <c r="M1634" s="2" t="s">
        <v>2526</v>
      </c>
    </row>
    <row r="1635" spans="1:13" x14ac:dyDescent="0.3">
      <c r="A1635" s="1">
        <v>45961</v>
      </c>
      <c r="B1635" s="2" t="s">
        <v>2644</v>
      </c>
      <c r="C1635" s="2" t="s">
        <v>2515</v>
      </c>
      <c r="D1635" s="2" t="s">
        <v>2531</v>
      </c>
      <c r="E1635" s="2" t="s">
        <v>2517</v>
      </c>
      <c r="F1635" s="3">
        <v>42340</v>
      </c>
      <c r="G1635" s="3">
        <v>1606</v>
      </c>
      <c r="H1635" s="3">
        <v>70</v>
      </c>
      <c r="I1635" s="4">
        <v>1866.26</v>
      </c>
      <c r="J1635" s="4">
        <v>12329.02</v>
      </c>
      <c r="K1635" s="3">
        <v>50</v>
      </c>
      <c r="L1635" s="2" t="s">
        <v>2539</v>
      </c>
      <c r="M1635" s="2" t="s">
        <v>2537</v>
      </c>
    </row>
    <row r="1636" spans="1:13" x14ac:dyDescent="0.3">
      <c r="A1636" s="1">
        <v>45770</v>
      </c>
      <c r="B1636" s="2" t="s">
        <v>2626</v>
      </c>
      <c r="C1636" s="2" t="s">
        <v>2541</v>
      </c>
      <c r="D1636" s="2" t="s">
        <v>2525</v>
      </c>
      <c r="E1636" s="2" t="s">
        <v>2529</v>
      </c>
      <c r="F1636" s="3">
        <v>31492</v>
      </c>
      <c r="G1636" s="3">
        <v>295</v>
      </c>
      <c r="H1636" s="3">
        <v>29</v>
      </c>
      <c r="I1636" s="4">
        <v>110.79</v>
      </c>
      <c r="J1636" s="4">
        <v>5986.31</v>
      </c>
      <c r="K1636" s="3">
        <v>22</v>
      </c>
      <c r="L1636" s="2" t="s">
        <v>2523</v>
      </c>
      <c r="M1636" s="2" t="s">
        <v>2537</v>
      </c>
    </row>
    <row r="1637" spans="1:13" x14ac:dyDescent="0.3">
      <c r="A1637" s="1">
        <v>45883</v>
      </c>
      <c r="B1637" s="2" t="s">
        <v>2619</v>
      </c>
      <c r="C1637" s="2" t="s">
        <v>2521</v>
      </c>
      <c r="D1637" s="2" t="s">
        <v>2531</v>
      </c>
      <c r="E1637" s="2" t="s">
        <v>2517</v>
      </c>
      <c r="F1637" s="3">
        <v>90363</v>
      </c>
      <c r="G1637" s="3">
        <v>3498</v>
      </c>
      <c r="H1637" s="3">
        <v>133</v>
      </c>
      <c r="I1637" s="4">
        <v>6450.37</v>
      </c>
      <c r="J1637" s="4">
        <v>10041.27</v>
      </c>
      <c r="K1637" s="3">
        <v>81</v>
      </c>
      <c r="L1637" s="2" t="s">
        <v>2539</v>
      </c>
      <c r="M1637" s="2" t="s">
        <v>2526</v>
      </c>
    </row>
    <row r="1638" spans="1:13" x14ac:dyDescent="0.3">
      <c r="A1638" s="1">
        <v>45781</v>
      </c>
      <c r="B1638" s="2" t="s">
        <v>2644</v>
      </c>
      <c r="C1638" s="2" t="s">
        <v>2527</v>
      </c>
      <c r="D1638" s="2" t="s">
        <v>2528</v>
      </c>
      <c r="E1638" s="2" t="s">
        <v>2517</v>
      </c>
      <c r="F1638" s="3">
        <v>123182</v>
      </c>
      <c r="G1638" s="3">
        <v>6427</v>
      </c>
      <c r="H1638" s="3">
        <v>886</v>
      </c>
      <c r="I1638" s="4">
        <v>11730.17</v>
      </c>
      <c r="J1638" s="4">
        <v>72957.87</v>
      </c>
      <c r="K1638" s="3">
        <v>459</v>
      </c>
      <c r="L1638" s="2" t="s">
        <v>2518</v>
      </c>
      <c r="M1638" s="2" t="s">
        <v>2546</v>
      </c>
    </row>
    <row r="1639" spans="1:13" x14ac:dyDescent="0.3">
      <c r="A1639" s="1">
        <v>45906</v>
      </c>
      <c r="B1639" s="2" t="s">
        <v>2635</v>
      </c>
      <c r="C1639" s="2" t="s">
        <v>2521</v>
      </c>
      <c r="D1639" s="2" t="s">
        <v>2525</v>
      </c>
      <c r="E1639" s="2" t="s">
        <v>2534</v>
      </c>
      <c r="F1639" s="3">
        <v>141620</v>
      </c>
      <c r="G1639" s="3">
        <v>2087</v>
      </c>
      <c r="H1639" s="3">
        <v>246</v>
      </c>
      <c r="I1639" s="4">
        <v>3863.75</v>
      </c>
      <c r="J1639" s="4">
        <v>3873.3</v>
      </c>
      <c r="K1639" s="3">
        <v>202</v>
      </c>
      <c r="L1639" s="2" t="s">
        <v>2518</v>
      </c>
      <c r="M1639" s="2" t="s">
        <v>2526</v>
      </c>
    </row>
    <row r="1640" spans="1:13" x14ac:dyDescent="0.3">
      <c r="A1640" s="1">
        <v>45917</v>
      </c>
      <c r="B1640" s="2" t="s">
        <v>2620</v>
      </c>
      <c r="C1640" s="2" t="s">
        <v>2521</v>
      </c>
      <c r="D1640" s="2" t="s">
        <v>2525</v>
      </c>
      <c r="E1640" s="2" t="s">
        <v>2529</v>
      </c>
      <c r="F1640" s="3">
        <v>178042</v>
      </c>
      <c r="G1640" s="3">
        <v>7705</v>
      </c>
      <c r="H1640" s="3">
        <v>326</v>
      </c>
      <c r="I1640" s="4">
        <v>12192.09</v>
      </c>
      <c r="J1640" s="4">
        <v>7117.62</v>
      </c>
      <c r="K1640" s="3">
        <v>274</v>
      </c>
      <c r="L1640" s="2" t="s">
        <v>2536</v>
      </c>
      <c r="M1640" s="2" t="s">
        <v>2526</v>
      </c>
    </row>
    <row r="1641" spans="1:13" x14ac:dyDescent="0.3">
      <c r="A1641" s="1">
        <v>45668</v>
      </c>
      <c r="B1641" s="2" t="s">
        <v>2620</v>
      </c>
      <c r="C1641" s="2" t="s">
        <v>2521</v>
      </c>
      <c r="D1641" s="2" t="s">
        <v>2528</v>
      </c>
      <c r="E1641" s="2" t="s">
        <v>2529</v>
      </c>
      <c r="F1641" s="3">
        <v>88774</v>
      </c>
      <c r="G1641" s="3">
        <v>2587</v>
      </c>
      <c r="H1641" s="3">
        <v>72</v>
      </c>
      <c r="I1641" s="4">
        <v>4843.7</v>
      </c>
      <c r="J1641" s="4">
        <v>2206.5100000000002</v>
      </c>
      <c r="K1641" s="3">
        <v>37</v>
      </c>
      <c r="L1641" s="2" t="s">
        <v>2539</v>
      </c>
      <c r="M1641" s="2" t="s">
        <v>2546</v>
      </c>
    </row>
    <row r="1642" spans="1:13" x14ac:dyDescent="0.3">
      <c r="A1642" s="1">
        <v>45749</v>
      </c>
      <c r="B1642" s="2" t="s">
        <v>2637</v>
      </c>
      <c r="C1642" s="2" t="s">
        <v>2521</v>
      </c>
      <c r="D1642" s="2" t="s">
        <v>2528</v>
      </c>
      <c r="E1642" s="2" t="s">
        <v>2529</v>
      </c>
      <c r="F1642" s="3">
        <v>157435</v>
      </c>
      <c r="G1642" s="3">
        <v>12647</v>
      </c>
      <c r="H1642" s="3">
        <v>1226</v>
      </c>
      <c r="I1642" s="4">
        <v>4268</v>
      </c>
      <c r="J1642" s="4">
        <v>168110.35</v>
      </c>
      <c r="K1642" s="3">
        <v>1003</v>
      </c>
      <c r="L1642" s="2" t="s">
        <v>2518</v>
      </c>
      <c r="M1642" s="2" t="s">
        <v>2546</v>
      </c>
    </row>
    <row r="1643" spans="1:13" x14ac:dyDescent="0.3">
      <c r="A1643" s="1">
        <v>45957</v>
      </c>
      <c r="B1643" s="2" t="s">
        <v>2623</v>
      </c>
      <c r="C1643" s="2" t="s">
        <v>2521</v>
      </c>
      <c r="D1643" s="2" t="s">
        <v>2528</v>
      </c>
      <c r="E1643" s="2" t="s">
        <v>2534</v>
      </c>
      <c r="F1643" s="3">
        <v>139763</v>
      </c>
      <c r="G1643" s="3">
        <v>6259</v>
      </c>
      <c r="H1643" s="3">
        <v>359</v>
      </c>
      <c r="I1643" s="4">
        <v>8484.2999999999993</v>
      </c>
      <c r="J1643" s="4">
        <v>64103.44</v>
      </c>
      <c r="K1643" s="3">
        <v>178</v>
      </c>
      <c r="L1643" s="2" t="s">
        <v>2523</v>
      </c>
      <c r="M1643" s="2" t="s">
        <v>2546</v>
      </c>
    </row>
    <row r="1644" spans="1:13" x14ac:dyDescent="0.3">
      <c r="A1644" s="1">
        <v>45850</v>
      </c>
      <c r="B1644" s="2" t="s">
        <v>2616</v>
      </c>
      <c r="C1644" s="2" t="s">
        <v>2533</v>
      </c>
      <c r="D1644" s="2" t="s">
        <v>2525</v>
      </c>
      <c r="E1644" s="2" t="s">
        <v>2517</v>
      </c>
      <c r="F1644" s="3">
        <v>67773</v>
      </c>
      <c r="G1644" s="3">
        <v>1335</v>
      </c>
      <c r="H1644" s="3">
        <v>119</v>
      </c>
      <c r="I1644" s="4">
        <v>2595.13</v>
      </c>
      <c r="J1644" s="4">
        <v>13373.04</v>
      </c>
      <c r="K1644" s="3">
        <v>98</v>
      </c>
      <c r="L1644" s="2" t="s">
        <v>2518</v>
      </c>
      <c r="M1644" s="2" t="s">
        <v>2537</v>
      </c>
    </row>
    <row r="1645" spans="1:13" x14ac:dyDescent="0.3">
      <c r="A1645" s="1">
        <v>46007</v>
      </c>
      <c r="B1645" s="2" t="s">
        <v>2620</v>
      </c>
      <c r="C1645" s="2" t="s">
        <v>2527</v>
      </c>
      <c r="D1645" s="2" t="s">
        <v>2522</v>
      </c>
      <c r="E1645" s="2" t="s">
        <v>2517</v>
      </c>
      <c r="F1645" s="3">
        <v>118595</v>
      </c>
      <c r="G1645" s="3">
        <v>4660</v>
      </c>
      <c r="H1645" s="3">
        <v>87</v>
      </c>
      <c r="I1645" s="4">
        <v>8501.32</v>
      </c>
      <c r="J1645" s="4">
        <v>14293.45</v>
      </c>
      <c r="K1645" s="3">
        <v>44</v>
      </c>
      <c r="L1645" s="2" t="s">
        <v>2539</v>
      </c>
      <c r="M1645" s="2" t="s">
        <v>2537</v>
      </c>
    </row>
    <row r="1646" spans="1:13" x14ac:dyDescent="0.3">
      <c r="A1646" s="1">
        <v>45665</v>
      </c>
      <c r="B1646" s="2" t="s">
        <v>2637</v>
      </c>
      <c r="C1646" s="2" t="s">
        <v>2533</v>
      </c>
      <c r="D1646" s="2" t="s">
        <v>2528</v>
      </c>
      <c r="E1646" s="2" t="s">
        <v>2529</v>
      </c>
      <c r="F1646" s="3">
        <v>20382</v>
      </c>
      <c r="G1646" s="3">
        <v>179</v>
      </c>
      <c r="H1646" s="3">
        <v>24</v>
      </c>
      <c r="I1646" s="4">
        <v>317.06</v>
      </c>
      <c r="J1646" s="4">
        <v>2047.64</v>
      </c>
      <c r="K1646" s="3">
        <v>11</v>
      </c>
      <c r="L1646" s="2" t="s">
        <v>2536</v>
      </c>
      <c r="M1646" s="2" t="s">
        <v>2519</v>
      </c>
    </row>
    <row r="1647" spans="1:13" x14ac:dyDescent="0.3">
      <c r="A1647" s="1">
        <v>45951</v>
      </c>
      <c r="B1647" s="2" t="s">
        <v>2631</v>
      </c>
      <c r="C1647" s="2" t="s">
        <v>2541</v>
      </c>
      <c r="D1647" s="2" t="s">
        <v>2516</v>
      </c>
      <c r="E1647" s="2" t="s">
        <v>2517</v>
      </c>
      <c r="F1647" s="3">
        <v>129278</v>
      </c>
      <c r="G1647" s="3">
        <v>11046</v>
      </c>
      <c r="H1647" s="3">
        <v>642</v>
      </c>
      <c r="I1647" s="4">
        <v>21174.01</v>
      </c>
      <c r="J1647" s="4">
        <v>59348.53</v>
      </c>
      <c r="K1647" s="3">
        <v>421</v>
      </c>
      <c r="L1647" s="2" t="s">
        <v>2523</v>
      </c>
      <c r="M1647" s="2" t="s">
        <v>2526</v>
      </c>
    </row>
    <row r="1648" spans="1:13" x14ac:dyDescent="0.3">
      <c r="A1648" s="1">
        <v>45696</v>
      </c>
      <c r="B1648" s="2" t="s">
        <v>2627</v>
      </c>
      <c r="C1648" s="2" t="s">
        <v>2533</v>
      </c>
      <c r="D1648" s="2" t="s">
        <v>2528</v>
      </c>
      <c r="E1648" s="2" t="s">
        <v>2529</v>
      </c>
      <c r="F1648" s="3">
        <v>107469</v>
      </c>
      <c r="G1648" s="3">
        <v>2622</v>
      </c>
      <c r="H1648" s="3">
        <v>338</v>
      </c>
      <c r="I1648" s="4">
        <v>3303.12</v>
      </c>
      <c r="J1648" s="4">
        <v>23129.02</v>
      </c>
      <c r="K1648" s="3">
        <v>207</v>
      </c>
      <c r="L1648" s="2" t="s">
        <v>2539</v>
      </c>
      <c r="M1648" s="2" t="s">
        <v>2519</v>
      </c>
    </row>
    <row r="1649" spans="1:13" x14ac:dyDescent="0.3">
      <c r="A1649" s="1">
        <v>45884</v>
      </c>
      <c r="B1649" s="2" t="s">
        <v>2640</v>
      </c>
      <c r="C1649" s="2" t="s">
        <v>2521</v>
      </c>
      <c r="D1649" s="2" t="s">
        <v>2516</v>
      </c>
      <c r="E1649" s="2" t="s">
        <v>2529</v>
      </c>
      <c r="F1649" s="3">
        <v>18515</v>
      </c>
      <c r="G1649" s="3">
        <v>1484</v>
      </c>
      <c r="H1649" s="3">
        <v>86</v>
      </c>
      <c r="I1649" s="4">
        <v>1336.04</v>
      </c>
      <c r="J1649" s="4">
        <v>6390.85</v>
      </c>
      <c r="K1649" s="3">
        <v>63</v>
      </c>
      <c r="L1649" s="2" t="s">
        <v>2536</v>
      </c>
      <c r="M1649" s="2" t="s">
        <v>2519</v>
      </c>
    </row>
    <row r="1650" spans="1:13" x14ac:dyDescent="0.3">
      <c r="A1650" s="1">
        <v>46004</v>
      </c>
      <c r="B1650" s="2" t="s">
        <v>2640</v>
      </c>
      <c r="C1650" s="2" t="s">
        <v>2543</v>
      </c>
      <c r="D1650" s="2" t="s">
        <v>2531</v>
      </c>
      <c r="E1650" s="2" t="s">
        <v>2529</v>
      </c>
      <c r="F1650" s="3">
        <v>71270</v>
      </c>
      <c r="G1650" s="3">
        <v>2427</v>
      </c>
      <c r="H1650" s="3">
        <v>83</v>
      </c>
      <c r="I1650" s="4">
        <v>2284.38</v>
      </c>
      <c r="J1650" s="4">
        <v>9875.7999999999993</v>
      </c>
      <c r="K1650" s="3">
        <v>44</v>
      </c>
      <c r="L1650" s="2" t="s">
        <v>2523</v>
      </c>
      <c r="M1650" s="2" t="s">
        <v>2546</v>
      </c>
    </row>
    <row r="1651" spans="1:13" x14ac:dyDescent="0.3">
      <c r="A1651" s="1">
        <v>45953</v>
      </c>
      <c r="B1651" s="2" t="s">
        <v>2627</v>
      </c>
      <c r="C1651" s="2" t="s">
        <v>2543</v>
      </c>
      <c r="D1651" s="2" t="s">
        <v>2528</v>
      </c>
      <c r="E1651" s="2" t="s">
        <v>2529</v>
      </c>
      <c r="F1651" s="3">
        <v>105096</v>
      </c>
      <c r="G1651" s="3">
        <v>7790</v>
      </c>
      <c r="H1651" s="3">
        <v>739</v>
      </c>
      <c r="I1651" s="4">
        <v>15918.42</v>
      </c>
      <c r="J1651" s="4">
        <v>119560.1</v>
      </c>
      <c r="K1651" s="3">
        <v>555</v>
      </c>
      <c r="L1651" s="2" t="s">
        <v>2523</v>
      </c>
      <c r="M1651" s="2" t="s">
        <v>2526</v>
      </c>
    </row>
    <row r="1652" spans="1:13" x14ac:dyDescent="0.3">
      <c r="A1652" s="1">
        <v>45868</v>
      </c>
      <c r="B1652" s="2" t="s">
        <v>2628</v>
      </c>
      <c r="C1652" s="2" t="s">
        <v>2543</v>
      </c>
      <c r="D1652" s="2" t="s">
        <v>2528</v>
      </c>
      <c r="E1652" s="2" t="s">
        <v>2529</v>
      </c>
      <c r="F1652" s="3">
        <v>84955</v>
      </c>
      <c r="G1652" s="3">
        <v>6069</v>
      </c>
      <c r="H1652" s="3">
        <v>206</v>
      </c>
      <c r="I1652" s="4">
        <v>8405.56</v>
      </c>
      <c r="J1652" s="4">
        <v>9875.9599999999991</v>
      </c>
      <c r="K1652" s="3">
        <v>124</v>
      </c>
      <c r="L1652" s="2" t="s">
        <v>2536</v>
      </c>
      <c r="M1652" s="2" t="s">
        <v>2537</v>
      </c>
    </row>
    <row r="1653" spans="1:13" x14ac:dyDescent="0.3">
      <c r="A1653" s="1">
        <v>45702</v>
      </c>
      <c r="B1653" s="2" t="s">
        <v>2628</v>
      </c>
      <c r="C1653" s="2" t="s">
        <v>2521</v>
      </c>
      <c r="D1653" s="2" t="s">
        <v>2516</v>
      </c>
      <c r="E1653" s="2" t="s">
        <v>2529</v>
      </c>
      <c r="F1653" s="3">
        <v>102907</v>
      </c>
      <c r="G1653" s="3">
        <v>6578</v>
      </c>
      <c r="H1653" s="3">
        <v>368</v>
      </c>
      <c r="I1653" s="4">
        <v>888.98</v>
      </c>
      <c r="J1653" s="4">
        <v>58956.7</v>
      </c>
      <c r="K1653" s="3">
        <v>298</v>
      </c>
      <c r="L1653" s="2" t="s">
        <v>2536</v>
      </c>
      <c r="M1653" s="2" t="s">
        <v>2526</v>
      </c>
    </row>
    <row r="1654" spans="1:13" x14ac:dyDescent="0.3">
      <c r="A1654" s="1">
        <v>45925</v>
      </c>
      <c r="B1654" s="2" t="s">
        <v>2634</v>
      </c>
      <c r="C1654" s="2" t="s">
        <v>2515</v>
      </c>
      <c r="D1654" s="2" t="s">
        <v>2528</v>
      </c>
      <c r="E1654" s="2" t="s">
        <v>2517</v>
      </c>
      <c r="F1654" s="3">
        <v>19470</v>
      </c>
      <c r="G1654" s="3">
        <v>594</v>
      </c>
      <c r="H1654" s="3">
        <v>3</v>
      </c>
      <c r="I1654" s="4">
        <v>496.55</v>
      </c>
      <c r="J1654" s="4">
        <v>432.63</v>
      </c>
      <c r="K1654" s="3">
        <v>2</v>
      </c>
      <c r="L1654" s="2" t="s">
        <v>2518</v>
      </c>
      <c r="M1654" s="2" t="s">
        <v>2524</v>
      </c>
    </row>
    <row r="1655" spans="1:13" x14ac:dyDescent="0.3">
      <c r="A1655" s="1">
        <v>45677</v>
      </c>
      <c r="B1655" s="2" t="s">
        <v>2637</v>
      </c>
      <c r="C1655" s="2" t="s">
        <v>2645</v>
      </c>
      <c r="D1655" s="2" t="s">
        <v>2516</v>
      </c>
      <c r="E1655" s="2" t="s">
        <v>2529</v>
      </c>
      <c r="F1655" s="3">
        <v>176321</v>
      </c>
      <c r="G1655" s="3">
        <v>11037</v>
      </c>
      <c r="H1655" s="3">
        <v>405</v>
      </c>
      <c r="I1655" s="4">
        <v>23020.23</v>
      </c>
      <c r="J1655" s="4">
        <v>87304.1</v>
      </c>
      <c r="K1655" s="3">
        <v>284</v>
      </c>
      <c r="L1655" s="2" t="s">
        <v>2518</v>
      </c>
      <c r="M1655" s="2" t="s">
        <v>2519</v>
      </c>
    </row>
    <row r="1656" spans="1:13" x14ac:dyDescent="0.3">
      <c r="A1656" s="1">
        <v>45786</v>
      </c>
      <c r="B1656" s="2" t="s">
        <v>2636</v>
      </c>
      <c r="C1656" s="2" t="s">
        <v>2527</v>
      </c>
      <c r="D1656" s="2" t="s">
        <v>2522</v>
      </c>
      <c r="E1656" s="2" t="s">
        <v>2517</v>
      </c>
      <c r="F1656" s="3">
        <v>122990</v>
      </c>
      <c r="G1656" s="3">
        <v>6837</v>
      </c>
      <c r="H1656" s="3">
        <v>759</v>
      </c>
      <c r="I1656" s="4">
        <v>7912.84</v>
      </c>
      <c r="J1656" s="4">
        <v>143743.07999999999</v>
      </c>
      <c r="K1656" s="3">
        <v>442</v>
      </c>
      <c r="L1656" s="2" t="s">
        <v>2539</v>
      </c>
      <c r="M1656" s="2" t="s">
        <v>2537</v>
      </c>
    </row>
    <row r="1657" spans="1:13" x14ac:dyDescent="0.3">
      <c r="A1657" s="1">
        <v>45909</v>
      </c>
      <c r="B1657" s="2" t="s">
        <v>2634</v>
      </c>
      <c r="C1657" s="2" t="s">
        <v>2543</v>
      </c>
      <c r="D1657" s="2" t="s">
        <v>2531</v>
      </c>
      <c r="E1657" s="2" t="s">
        <v>2529</v>
      </c>
      <c r="F1657" s="3">
        <v>130718</v>
      </c>
      <c r="G1657" s="3">
        <v>5467</v>
      </c>
      <c r="H1657" s="3">
        <v>350</v>
      </c>
      <c r="I1657" s="4">
        <v>2267.9</v>
      </c>
      <c r="J1657" s="4">
        <v>9727.36</v>
      </c>
      <c r="K1657" s="3">
        <v>238</v>
      </c>
      <c r="L1657" s="2" t="s">
        <v>2536</v>
      </c>
      <c r="M1657" s="2" t="s">
        <v>2526</v>
      </c>
    </row>
    <row r="1658" spans="1:13" x14ac:dyDescent="0.3">
      <c r="A1658" s="1">
        <v>45905</v>
      </c>
      <c r="B1658" s="2" t="s">
        <v>2641</v>
      </c>
      <c r="C1658" s="2" t="s">
        <v>2515</v>
      </c>
      <c r="D1658" s="2" t="s">
        <v>2525</v>
      </c>
      <c r="E1658" s="2" t="s">
        <v>2517</v>
      </c>
      <c r="F1658" s="3">
        <v>137056</v>
      </c>
      <c r="G1658" s="3">
        <v>3460</v>
      </c>
      <c r="H1658" s="3">
        <v>230</v>
      </c>
      <c r="I1658" s="4">
        <v>3508.33</v>
      </c>
      <c r="J1658" s="4">
        <v>40684.11</v>
      </c>
      <c r="K1658" s="3">
        <v>120</v>
      </c>
      <c r="L1658" s="2" t="s">
        <v>2518</v>
      </c>
      <c r="M1658" s="2" t="s">
        <v>2526</v>
      </c>
    </row>
    <row r="1659" spans="1:13" x14ac:dyDescent="0.3">
      <c r="A1659" s="1">
        <v>45709</v>
      </c>
      <c r="B1659" s="2" t="s">
        <v>2624</v>
      </c>
      <c r="C1659" s="2" t="s">
        <v>2527</v>
      </c>
      <c r="D1659" s="2" t="s">
        <v>2516</v>
      </c>
      <c r="E1659" s="2" t="s">
        <v>2529</v>
      </c>
      <c r="F1659" s="3">
        <v>148207</v>
      </c>
      <c r="G1659" s="3">
        <v>13173</v>
      </c>
      <c r="H1659" s="3">
        <v>327</v>
      </c>
      <c r="I1659" s="4">
        <v>3704.99</v>
      </c>
      <c r="J1659" s="4">
        <v>16065.05</v>
      </c>
      <c r="K1659" s="3">
        <v>209</v>
      </c>
      <c r="L1659" s="2" t="s">
        <v>2539</v>
      </c>
      <c r="M1659" s="2" t="s">
        <v>2524</v>
      </c>
    </row>
    <row r="1660" spans="1:13" x14ac:dyDescent="0.3">
      <c r="A1660" s="1">
        <v>45745</v>
      </c>
      <c r="B1660" s="2" t="s">
        <v>2638</v>
      </c>
      <c r="C1660" s="2" t="s">
        <v>2515</v>
      </c>
      <c r="D1660" s="2" t="s">
        <v>2531</v>
      </c>
      <c r="E1660" s="2" t="s">
        <v>2517</v>
      </c>
      <c r="F1660" s="3">
        <v>26489</v>
      </c>
      <c r="G1660" s="3">
        <v>1840</v>
      </c>
      <c r="H1660" s="3">
        <v>123</v>
      </c>
      <c r="I1660" s="4">
        <v>929.01</v>
      </c>
      <c r="J1660" s="4">
        <v>21737.73</v>
      </c>
      <c r="K1660" s="3">
        <v>65</v>
      </c>
      <c r="L1660" s="2" t="s">
        <v>2536</v>
      </c>
      <c r="M1660" s="2" t="s">
        <v>2537</v>
      </c>
    </row>
    <row r="1661" spans="1:13" x14ac:dyDescent="0.3">
      <c r="A1661" s="1">
        <v>45963</v>
      </c>
      <c r="B1661" s="2" t="s">
        <v>2629</v>
      </c>
      <c r="C1661" s="2" t="s">
        <v>2533</v>
      </c>
      <c r="D1661" s="2" t="s">
        <v>2525</v>
      </c>
      <c r="E1661" s="2" t="s">
        <v>2517</v>
      </c>
      <c r="F1661" s="3">
        <v>31047</v>
      </c>
      <c r="G1661" s="3">
        <v>1527</v>
      </c>
      <c r="H1661" s="3">
        <v>26</v>
      </c>
      <c r="I1661" s="4">
        <v>2123.6</v>
      </c>
      <c r="J1661" s="4">
        <v>2912.84</v>
      </c>
      <c r="K1661" s="3">
        <v>15</v>
      </c>
      <c r="L1661" s="2" t="s">
        <v>2518</v>
      </c>
      <c r="M1661" s="2" t="s">
        <v>2524</v>
      </c>
    </row>
    <row r="1662" spans="1:13" x14ac:dyDescent="0.3">
      <c r="A1662" s="1">
        <v>45846</v>
      </c>
      <c r="B1662" s="2" t="s">
        <v>2618</v>
      </c>
      <c r="C1662" s="2" t="s">
        <v>2533</v>
      </c>
      <c r="D1662" s="2" t="s">
        <v>2531</v>
      </c>
      <c r="E1662" s="2" t="s">
        <v>2517</v>
      </c>
      <c r="F1662" s="3">
        <v>18855</v>
      </c>
      <c r="G1662" s="3">
        <v>625</v>
      </c>
      <c r="H1662" s="3">
        <v>68</v>
      </c>
      <c r="I1662" s="4">
        <v>1279.21</v>
      </c>
      <c r="J1662" s="4">
        <v>7861.78</v>
      </c>
      <c r="K1662" s="3">
        <v>55</v>
      </c>
      <c r="L1662" s="2" t="s">
        <v>2539</v>
      </c>
      <c r="M1662" s="2" t="s">
        <v>2526</v>
      </c>
    </row>
    <row r="1663" spans="1:13" x14ac:dyDescent="0.3">
      <c r="A1663" s="1">
        <v>45876</v>
      </c>
      <c r="B1663" s="2" t="s">
        <v>2620</v>
      </c>
      <c r="C1663" s="2" t="s">
        <v>2541</v>
      </c>
      <c r="D1663" s="2" t="s">
        <v>2528</v>
      </c>
      <c r="E1663" s="2" t="s">
        <v>2529</v>
      </c>
      <c r="F1663" s="3">
        <v>75070</v>
      </c>
      <c r="G1663" s="3">
        <v>984</v>
      </c>
      <c r="H1663" s="3">
        <v>94</v>
      </c>
      <c r="I1663" s="4">
        <v>1968.19</v>
      </c>
      <c r="J1663" s="4">
        <v>4807.8100000000004</v>
      </c>
      <c r="K1663" s="3">
        <v>63</v>
      </c>
      <c r="L1663" s="2" t="s">
        <v>2539</v>
      </c>
      <c r="M1663" s="2" t="s">
        <v>2537</v>
      </c>
    </row>
    <row r="1664" spans="1:13" x14ac:dyDescent="0.3">
      <c r="A1664" s="1">
        <v>45800</v>
      </c>
      <c r="B1664" s="2" t="s">
        <v>2622</v>
      </c>
      <c r="C1664" s="2" t="s">
        <v>2541</v>
      </c>
      <c r="D1664" s="2" t="s">
        <v>2525</v>
      </c>
      <c r="E1664" s="2" t="s">
        <v>2517</v>
      </c>
      <c r="F1664" s="3">
        <v>80241</v>
      </c>
      <c r="G1664" s="3">
        <v>3049</v>
      </c>
      <c r="H1664" s="3">
        <v>292</v>
      </c>
      <c r="I1664" s="4">
        <v>3202.37</v>
      </c>
      <c r="J1664" s="4">
        <v>46025.760000000002</v>
      </c>
      <c r="K1664" s="3">
        <v>217</v>
      </c>
      <c r="L1664" s="2" t="s">
        <v>2539</v>
      </c>
      <c r="M1664" s="2" t="s">
        <v>2526</v>
      </c>
    </row>
    <row r="1665" spans="1:13" x14ac:dyDescent="0.3">
      <c r="A1665" s="1">
        <v>45996</v>
      </c>
      <c r="B1665" s="2" t="s">
        <v>2630</v>
      </c>
      <c r="C1665" s="2" t="s">
        <v>2527</v>
      </c>
      <c r="D1665" s="2" t="s">
        <v>2525</v>
      </c>
      <c r="E1665" s="2" t="s">
        <v>2517</v>
      </c>
      <c r="F1665" s="3">
        <v>120799</v>
      </c>
      <c r="G1665" s="3">
        <v>10487</v>
      </c>
      <c r="H1665" s="3">
        <v>1230</v>
      </c>
      <c r="I1665" s="4">
        <v>7788.06</v>
      </c>
      <c r="J1665" s="4">
        <v>244041</v>
      </c>
      <c r="K1665" s="3">
        <v>573</v>
      </c>
      <c r="L1665" s="2" t="s">
        <v>2518</v>
      </c>
      <c r="M1665" s="2" t="s">
        <v>2537</v>
      </c>
    </row>
    <row r="1666" spans="1:13" x14ac:dyDescent="0.3">
      <c r="A1666" s="1">
        <v>45839</v>
      </c>
      <c r="B1666" s="2" t="s">
        <v>2634</v>
      </c>
      <c r="C1666" s="2" t="s">
        <v>2521</v>
      </c>
      <c r="D1666" s="2" t="s">
        <v>2525</v>
      </c>
      <c r="E1666" s="2" t="s">
        <v>2517</v>
      </c>
      <c r="F1666" s="3">
        <v>136766</v>
      </c>
      <c r="G1666" s="3">
        <v>10170</v>
      </c>
      <c r="H1666" s="3">
        <v>174</v>
      </c>
      <c r="I1666" s="4">
        <v>10915.04</v>
      </c>
      <c r="J1666" s="4">
        <v>33205.279999999999</v>
      </c>
      <c r="K1666" s="3">
        <v>145</v>
      </c>
      <c r="L1666" s="2" t="s">
        <v>2539</v>
      </c>
      <c r="M1666" s="2" t="s">
        <v>2645</v>
      </c>
    </row>
    <row r="1667" spans="1:13" x14ac:dyDescent="0.3">
      <c r="A1667" s="1">
        <v>45769</v>
      </c>
      <c r="B1667" s="2" t="s">
        <v>2641</v>
      </c>
      <c r="C1667" s="2" t="s">
        <v>2527</v>
      </c>
      <c r="D1667" s="2" t="s">
        <v>2516</v>
      </c>
      <c r="E1667" s="2" t="s">
        <v>2529</v>
      </c>
      <c r="F1667" s="3">
        <v>101204</v>
      </c>
      <c r="G1667" s="3">
        <v>4432</v>
      </c>
      <c r="H1667" s="3">
        <v>344</v>
      </c>
      <c r="I1667" s="4">
        <v>5400.91</v>
      </c>
      <c r="J1667" s="4">
        <v>14429.54</v>
      </c>
      <c r="K1667" s="3">
        <v>302</v>
      </c>
      <c r="L1667" s="2" t="s">
        <v>2523</v>
      </c>
      <c r="M1667" s="2" t="s">
        <v>2524</v>
      </c>
    </row>
    <row r="1668" spans="1:13" x14ac:dyDescent="0.3">
      <c r="A1668" s="1">
        <v>45706</v>
      </c>
      <c r="B1668" s="2" t="s">
        <v>2633</v>
      </c>
      <c r="C1668" s="2" t="s">
        <v>2543</v>
      </c>
      <c r="D1668" s="2" t="s">
        <v>2531</v>
      </c>
      <c r="E1668" s="2" t="s">
        <v>2529</v>
      </c>
      <c r="F1668" s="3">
        <v>1697</v>
      </c>
      <c r="G1668" s="3">
        <v>142</v>
      </c>
      <c r="H1668" s="3">
        <v>4</v>
      </c>
      <c r="I1668" s="4">
        <v>142.97</v>
      </c>
      <c r="J1668" s="4">
        <v>758.38</v>
      </c>
      <c r="K1668" s="3">
        <v>2</v>
      </c>
      <c r="L1668" s="2" t="s">
        <v>2518</v>
      </c>
      <c r="M1668" s="2" t="s">
        <v>2524</v>
      </c>
    </row>
    <row r="1669" spans="1:13" x14ac:dyDescent="0.3">
      <c r="A1669" s="1">
        <v>45954</v>
      </c>
      <c r="B1669" s="2" t="s">
        <v>2632</v>
      </c>
      <c r="C1669" s="2" t="s">
        <v>2541</v>
      </c>
      <c r="D1669" s="2" t="s">
        <v>2522</v>
      </c>
      <c r="E1669" s="2" t="s">
        <v>2517</v>
      </c>
      <c r="F1669" s="3">
        <v>154146</v>
      </c>
      <c r="G1669" s="3">
        <v>13559</v>
      </c>
      <c r="H1669" s="3">
        <v>952</v>
      </c>
      <c r="I1669" s="4">
        <v>2633.54</v>
      </c>
      <c r="J1669" s="4">
        <v>115941</v>
      </c>
      <c r="K1669" s="3">
        <v>815</v>
      </c>
      <c r="L1669" s="2" t="s">
        <v>2518</v>
      </c>
      <c r="M1669" s="2" t="s">
        <v>2546</v>
      </c>
    </row>
    <row r="1670" spans="1:13" x14ac:dyDescent="0.3">
      <c r="A1670" s="1">
        <v>45877</v>
      </c>
      <c r="B1670" s="2" t="s">
        <v>2622</v>
      </c>
      <c r="C1670" s="2" t="s">
        <v>2541</v>
      </c>
      <c r="D1670" s="2" t="s">
        <v>2522</v>
      </c>
      <c r="E1670" s="2" t="s">
        <v>2529</v>
      </c>
      <c r="F1670" s="3">
        <v>150754</v>
      </c>
      <c r="G1670" s="3">
        <v>11738</v>
      </c>
      <c r="H1670" s="3">
        <v>149</v>
      </c>
      <c r="I1670" s="4">
        <v>1953.69</v>
      </c>
      <c r="J1670" s="4">
        <v>23602.22</v>
      </c>
      <c r="K1670" s="3">
        <v>123</v>
      </c>
      <c r="L1670" s="2" t="s">
        <v>2539</v>
      </c>
      <c r="M1670" s="2" t="s">
        <v>2524</v>
      </c>
    </row>
    <row r="1671" spans="1:13" x14ac:dyDescent="0.3">
      <c r="A1671" s="1">
        <v>45668</v>
      </c>
      <c r="B1671" s="2" t="s">
        <v>2635</v>
      </c>
      <c r="C1671" s="2" t="s">
        <v>2533</v>
      </c>
      <c r="D1671" s="2" t="s">
        <v>2528</v>
      </c>
      <c r="E1671" s="2" t="s">
        <v>2529</v>
      </c>
      <c r="F1671" s="3">
        <v>40340</v>
      </c>
      <c r="G1671" s="3">
        <v>1202</v>
      </c>
      <c r="H1671" s="3">
        <v>93</v>
      </c>
      <c r="I1671" s="4">
        <v>1314.69</v>
      </c>
      <c r="J1671" s="4">
        <v>19489.400000000001</v>
      </c>
      <c r="K1671" s="3">
        <v>47</v>
      </c>
      <c r="L1671" s="2" t="s">
        <v>2539</v>
      </c>
      <c r="M1671" s="2" t="s">
        <v>2537</v>
      </c>
    </row>
    <row r="1672" spans="1:13" x14ac:dyDescent="0.3">
      <c r="A1672" s="1">
        <v>45892</v>
      </c>
      <c r="B1672" s="2" t="s">
        <v>2617</v>
      </c>
      <c r="C1672" s="2" t="s">
        <v>2543</v>
      </c>
      <c r="D1672" s="2" t="s">
        <v>2528</v>
      </c>
      <c r="E1672" s="2" t="s">
        <v>2517</v>
      </c>
      <c r="F1672" s="3">
        <v>174511</v>
      </c>
      <c r="G1672" s="3">
        <v>14130</v>
      </c>
      <c r="H1672" s="3">
        <v>1288</v>
      </c>
      <c r="I1672" s="4">
        <v>18973.89</v>
      </c>
      <c r="J1672" s="4">
        <v>91710.59</v>
      </c>
      <c r="K1672" s="3">
        <v>1031</v>
      </c>
      <c r="L1672" s="2" t="s">
        <v>2539</v>
      </c>
      <c r="M1672" s="2" t="s">
        <v>2519</v>
      </c>
    </row>
    <row r="1673" spans="1:13" x14ac:dyDescent="0.3">
      <c r="A1673" s="1">
        <v>45711</v>
      </c>
      <c r="B1673" s="2" t="s">
        <v>2622</v>
      </c>
      <c r="C1673" s="2" t="s">
        <v>2533</v>
      </c>
      <c r="D1673" s="2" t="s">
        <v>2522</v>
      </c>
      <c r="E1673" s="2" t="s">
        <v>2517</v>
      </c>
      <c r="F1673" s="3">
        <v>14410</v>
      </c>
      <c r="G1673" s="3">
        <v>847</v>
      </c>
      <c r="H1673" s="3">
        <v>88</v>
      </c>
      <c r="I1673" s="4">
        <v>960.73</v>
      </c>
      <c r="J1673" s="4">
        <v>14248.2</v>
      </c>
      <c r="K1673" s="3">
        <v>49</v>
      </c>
      <c r="L1673" s="2" t="s">
        <v>2518</v>
      </c>
      <c r="M1673" s="2" t="s">
        <v>2546</v>
      </c>
    </row>
    <row r="1674" spans="1:13" x14ac:dyDescent="0.3">
      <c r="A1674" s="1">
        <v>45833</v>
      </c>
      <c r="B1674" s="2" t="s">
        <v>2639</v>
      </c>
      <c r="C1674" s="2" t="s">
        <v>2521</v>
      </c>
      <c r="D1674" s="2" t="s">
        <v>2522</v>
      </c>
      <c r="E1674" s="2" t="s">
        <v>2529</v>
      </c>
      <c r="F1674" s="3">
        <v>10122</v>
      </c>
      <c r="G1674" s="3">
        <v>449</v>
      </c>
      <c r="H1674" s="3">
        <v>21</v>
      </c>
      <c r="I1674" s="4">
        <v>165.59</v>
      </c>
      <c r="J1674" s="4">
        <v>3870.17</v>
      </c>
      <c r="K1674" s="3">
        <v>13</v>
      </c>
      <c r="L1674" s="2" t="s">
        <v>2536</v>
      </c>
      <c r="M1674" s="2" t="s">
        <v>2524</v>
      </c>
    </row>
    <row r="1675" spans="1:13" x14ac:dyDescent="0.3">
      <c r="A1675" s="1">
        <v>45980</v>
      </c>
      <c r="B1675" s="2" t="s">
        <v>2635</v>
      </c>
      <c r="C1675" s="2" t="s">
        <v>2521</v>
      </c>
      <c r="D1675" s="2" t="s">
        <v>2528</v>
      </c>
      <c r="E1675" s="2" t="s">
        <v>2517</v>
      </c>
      <c r="F1675" s="3">
        <v>12799</v>
      </c>
      <c r="G1675" s="3">
        <v>142</v>
      </c>
      <c r="H1675" s="3">
        <v>7</v>
      </c>
      <c r="I1675" s="4">
        <v>187.28</v>
      </c>
      <c r="J1675" s="4">
        <v>1304.92</v>
      </c>
      <c r="K1675" s="3">
        <v>4</v>
      </c>
      <c r="L1675" s="2" t="s">
        <v>2523</v>
      </c>
      <c r="M1675" s="2" t="s">
        <v>2519</v>
      </c>
    </row>
    <row r="1676" spans="1:13" x14ac:dyDescent="0.3">
      <c r="A1676" s="1">
        <v>45916</v>
      </c>
      <c r="B1676" s="2" t="s">
        <v>2633</v>
      </c>
      <c r="C1676" s="2" t="s">
        <v>2541</v>
      </c>
      <c r="D1676" s="2" t="s">
        <v>2525</v>
      </c>
      <c r="E1676" s="2" t="s">
        <v>2529</v>
      </c>
      <c r="F1676" s="3">
        <v>18706</v>
      </c>
      <c r="G1676" s="3">
        <v>1581</v>
      </c>
      <c r="H1676" s="3">
        <v>87</v>
      </c>
      <c r="I1676" s="4">
        <v>355.27</v>
      </c>
      <c r="J1676" s="4">
        <v>12333.36</v>
      </c>
      <c r="K1676" s="3">
        <v>52</v>
      </c>
      <c r="L1676" s="2" t="s">
        <v>2539</v>
      </c>
      <c r="M1676" s="2" t="s">
        <v>2546</v>
      </c>
    </row>
    <row r="1677" spans="1:13" x14ac:dyDescent="0.3">
      <c r="A1677" s="1">
        <v>45784</v>
      </c>
      <c r="B1677" s="2" t="s">
        <v>2630</v>
      </c>
      <c r="C1677" s="2" t="s">
        <v>2527</v>
      </c>
      <c r="D1677" s="2" t="s">
        <v>2525</v>
      </c>
      <c r="E1677" s="2" t="s">
        <v>2517</v>
      </c>
      <c r="F1677" s="3">
        <v>139562</v>
      </c>
      <c r="G1677" s="3">
        <v>1394</v>
      </c>
      <c r="H1677" s="3">
        <v>80</v>
      </c>
      <c r="I1677" s="4">
        <v>2778.08</v>
      </c>
      <c r="J1677" s="4">
        <v>16089.63</v>
      </c>
      <c r="K1677" s="3">
        <v>68</v>
      </c>
      <c r="L1677" s="2" t="s">
        <v>2536</v>
      </c>
      <c r="M1677" s="2" t="s">
        <v>2519</v>
      </c>
    </row>
    <row r="1678" spans="1:13" x14ac:dyDescent="0.3">
      <c r="A1678" s="1">
        <v>45753</v>
      </c>
      <c r="B1678" s="2" t="s">
        <v>2625</v>
      </c>
      <c r="C1678" s="2" t="s">
        <v>2515</v>
      </c>
      <c r="D1678" s="2" t="s">
        <v>2531</v>
      </c>
      <c r="E1678" s="2" t="s">
        <v>2529</v>
      </c>
      <c r="F1678" s="3">
        <v>1045</v>
      </c>
      <c r="G1678" s="3">
        <v>57</v>
      </c>
      <c r="H1678" s="3">
        <v>5</v>
      </c>
      <c r="I1678" s="4">
        <v>16.059999999999999</v>
      </c>
      <c r="J1678" s="4">
        <v>601.88</v>
      </c>
      <c r="K1678" s="3">
        <v>3</v>
      </c>
      <c r="L1678" s="2" t="s">
        <v>2539</v>
      </c>
      <c r="M1678" s="2" t="s">
        <v>2526</v>
      </c>
    </row>
    <row r="1679" spans="1:13" x14ac:dyDescent="0.3">
      <c r="A1679" s="1">
        <v>45727</v>
      </c>
      <c r="B1679" s="2" t="s">
        <v>2638</v>
      </c>
      <c r="C1679" s="2" t="s">
        <v>2521</v>
      </c>
      <c r="D1679" s="2" t="s">
        <v>2528</v>
      </c>
      <c r="E1679" s="2" t="s">
        <v>2517</v>
      </c>
      <c r="F1679" s="3">
        <v>118298</v>
      </c>
      <c r="G1679" s="3">
        <v>2597</v>
      </c>
      <c r="H1679" s="3">
        <v>168</v>
      </c>
      <c r="I1679" s="4">
        <v>1371.48</v>
      </c>
      <c r="J1679" s="4">
        <v>32389.16</v>
      </c>
      <c r="K1679" s="3">
        <v>79</v>
      </c>
      <c r="L1679" s="2" t="s">
        <v>2518</v>
      </c>
      <c r="M1679" s="2" t="s">
        <v>2546</v>
      </c>
    </row>
    <row r="1680" spans="1:13" x14ac:dyDescent="0.3">
      <c r="A1680" s="1">
        <v>45834</v>
      </c>
      <c r="B1680" s="2" t="s">
        <v>2622</v>
      </c>
      <c r="C1680" s="2" t="s">
        <v>2541</v>
      </c>
      <c r="D1680" s="2" t="s">
        <v>2528</v>
      </c>
      <c r="E1680" s="2" t="s">
        <v>2529</v>
      </c>
      <c r="F1680" s="3">
        <v>141228</v>
      </c>
      <c r="G1680" s="3">
        <v>7146</v>
      </c>
      <c r="H1680" s="3">
        <v>763</v>
      </c>
      <c r="I1680" s="4">
        <v>10618.99</v>
      </c>
      <c r="J1680" s="4">
        <v>88142.19</v>
      </c>
      <c r="K1680" s="3">
        <v>452</v>
      </c>
      <c r="L1680" s="2" t="s">
        <v>2536</v>
      </c>
      <c r="M1680" s="2" t="s">
        <v>2537</v>
      </c>
    </row>
    <row r="1681" spans="1:13" x14ac:dyDescent="0.3">
      <c r="A1681" s="1">
        <v>45819</v>
      </c>
      <c r="B1681" s="2" t="s">
        <v>2622</v>
      </c>
      <c r="C1681" s="2" t="s">
        <v>2533</v>
      </c>
      <c r="D1681" s="2" t="s">
        <v>2531</v>
      </c>
      <c r="E1681" s="2" t="s">
        <v>2529</v>
      </c>
      <c r="F1681" s="3">
        <v>127234</v>
      </c>
      <c r="G1681" s="3">
        <v>3025</v>
      </c>
      <c r="H1681" s="3">
        <v>172</v>
      </c>
      <c r="I1681" s="4">
        <v>4569.9399999999996</v>
      </c>
      <c r="J1681" s="4">
        <v>10814.74</v>
      </c>
      <c r="K1681" s="3">
        <v>128</v>
      </c>
      <c r="L1681" s="2" t="s">
        <v>2536</v>
      </c>
      <c r="M1681" s="2" t="s">
        <v>2524</v>
      </c>
    </row>
    <row r="1682" spans="1:13" x14ac:dyDescent="0.3">
      <c r="A1682" s="1">
        <v>45956</v>
      </c>
      <c r="B1682" s="2" t="s">
        <v>2641</v>
      </c>
      <c r="C1682" s="2" t="s">
        <v>2527</v>
      </c>
      <c r="D1682" s="2" t="s">
        <v>2516</v>
      </c>
      <c r="E1682" s="2" t="s">
        <v>2529</v>
      </c>
      <c r="F1682" s="3">
        <v>139892</v>
      </c>
      <c r="G1682" s="3">
        <v>4626</v>
      </c>
      <c r="H1682" s="3">
        <v>624</v>
      </c>
      <c r="I1682" s="4">
        <v>5658.42</v>
      </c>
      <c r="J1682" s="4">
        <v>126598.12</v>
      </c>
      <c r="K1682" s="3">
        <v>345</v>
      </c>
      <c r="L1682" s="2" t="s">
        <v>2518</v>
      </c>
      <c r="M1682" s="2" t="s">
        <v>2546</v>
      </c>
    </row>
    <row r="1683" spans="1:13" x14ac:dyDescent="0.3">
      <c r="A1683" s="1">
        <v>45684</v>
      </c>
      <c r="B1683" s="2" t="s">
        <v>2629</v>
      </c>
      <c r="C1683" s="2" t="s">
        <v>2521</v>
      </c>
      <c r="D1683" s="2" t="s">
        <v>2528</v>
      </c>
      <c r="E1683" s="2" t="s">
        <v>2529</v>
      </c>
      <c r="F1683" s="3">
        <v>4195</v>
      </c>
      <c r="G1683" s="3">
        <v>66</v>
      </c>
      <c r="H1683" s="3">
        <v>6</v>
      </c>
      <c r="I1683" s="4">
        <v>107.39</v>
      </c>
      <c r="J1683" s="4">
        <v>742.25</v>
      </c>
      <c r="K1683" s="3">
        <v>5</v>
      </c>
      <c r="L1683" s="2" t="s">
        <v>2539</v>
      </c>
      <c r="M1683" s="2" t="s">
        <v>2546</v>
      </c>
    </row>
    <row r="1684" spans="1:13" x14ac:dyDescent="0.3">
      <c r="A1684" s="1">
        <v>45964</v>
      </c>
      <c r="B1684" s="2" t="s">
        <v>2627</v>
      </c>
      <c r="C1684" s="2" t="s">
        <v>2521</v>
      </c>
      <c r="D1684" s="2" t="s">
        <v>2528</v>
      </c>
      <c r="E1684" s="2" t="s">
        <v>2517</v>
      </c>
      <c r="F1684" s="3">
        <v>23227</v>
      </c>
      <c r="G1684" s="3">
        <v>1609</v>
      </c>
      <c r="H1684" s="3">
        <v>169</v>
      </c>
      <c r="I1684" s="4">
        <v>2068.5500000000002</v>
      </c>
      <c r="J1684" s="4">
        <v>35208.660000000003</v>
      </c>
      <c r="K1684" s="3">
        <v>77</v>
      </c>
      <c r="L1684" s="2" t="s">
        <v>2523</v>
      </c>
      <c r="M1684" s="2" t="s">
        <v>2546</v>
      </c>
    </row>
    <row r="1685" spans="1:13" x14ac:dyDescent="0.3">
      <c r="A1685" s="1">
        <v>45933</v>
      </c>
      <c r="B1685" s="2" t="s">
        <v>2641</v>
      </c>
      <c r="C1685" s="2" t="s">
        <v>2541</v>
      </c>
      <c r="D1685" s="2" t="s">
        <v>2528</v>
      </c>
      <c r="E1685" s="2" t="s">
        <v>2534</v>
      </c>
      <c r="F1685" s="3">
        <v>26333</v>
      </c>
      <c r="G1685" s="3">
        <v>2286</v>
      </c>
      <c r="H1685" s="3">
        <v>286</v>
      </c>
      <c r="I1685" s="4">
        <v>2857.63</v>
      </c>
      <c r="J1685" s="4">
        <v>13204.82</v>
      </c>
      <c r="K1685" s="3">
        <v>210</v>
      </c>
      <c r="L1685" s="2" t="s">
        <v>2523</v>
      </c>
      <c r="M1685" s="2" t="s">
        <v>2546</v>
      </c>
    </row>
    <row r="1686" spans="1:13" x14ac:dyDescent="0.3">
      <c r="A1686" s="1">
        <v>45743</v>
      </c>
      <c r="B1686" s="2" t="s">
        <v>2632</v>
      </c>
      <c r="C1686" s="2" t="s">
        <v>2541</v>
      </c>
      <c r="D1686" s="2" t="s">
        <v>2528</v>
      </c>
      <c r="E1686" s="2" t="s">
        <v>2517</v>
      </c>
      <c r="F1686" s="3">
        <v>99851</v>
      </c>
      <c r="G1686" s="3">
        <v>8765</v>
      </c>
      <c r="H1686" s="3">
        <v>822</v>
      </c>
      <c r="I1686" s="4">
        <v>1123.72</v>
      </c>
      <c r="J1686" s="4">
        <v>38184.92</v>
      </c>
      <c r="K1686" s="3">
        <v>462</v>
      </c>
      <c r="L1686" s="2" t="s">
        <v>2536</v>
      </c>
      <c r="M1686" s="2" t="s">
        <v>2537</v>
      </c>
    </row>
    <row r="1687" spans="1:13" x14ac:dyDescent="0.3">
      <c r="A1687" s="1">
        <v>45998</v>
      </c>
      <c r="B1687" s="2" t="s">
        <v>2625</v>
      </c>
      <c r="C1687" s="2" t="s">
        <v>2541</v>
      </c>
      <c r="D1687" s="2" t="s">
        <v>2528</v>
      </c>
      <c r="E1687" s="2" t="s">
        <v>2529</v>
      </c>
      <c r="F1687" s="3">
        <v>63444</v>
      </c>
      <c r="G1687" s="3">
        <v>2372</v>
      </c>
      <c r="H1687" s="3">
        <v>66</v>
      </c>
      <c r="I1687" s="4">
        <v>4733.28</v>
      </c>
      <c r="J1687" s="4">
        <v>8771.9</v>
      </c>
      <c r="K1687" s="3">
        <v>44</v>
      </c>
      <c r="L1687" s="2" t="s">
        <v>2518</v>
      </c>
      <c r="M1687" s="2" t="s">
        <v>2519</v>
      </c>
    </row>
    <row r="1688" spans="1:13" x14ac:dyDescent="0.3">
      <c r="A1688" s="1">
        <v>45670</v>
      </c>
      <c r="B1688" s="2" t="s">
        <v>2635</v>
      </c>
      <c r="C1688" s="2" t="s">
        <v>2527</v>
      </c>
      <c r="D1688" s="2" t="s">
        <v>2522</v>
      </c>
      <c r="E1688" s="2" t="s">
        <v>2517</v>
      </c>
      <c r="F1688" s="3">
        <v>123358</v>
      </c>
      <c r="G1688" s="3">
        <v>4880</v>
      </c>
      <c r="H1688" s="3">
        <v>325</v>
      </c>
      <c r="I1688" s="4">
        <v>1291.0899999999999</v>
      </c>
      <c r="J1688" s="4">
        <v>11770.39</v>
      </c>
      <c r="K1688" s="3">
        <v>242</v>
      </c>
      <c r="L1688" s="2" t="s">
        <v>2536</v>
      </c>
      <c r="M1688" s="2" t="s">
        <v>2537</v>
      </c>
    </row>
    <row r="1689" spans="1:13" x14ac:dyDescent="0.3">
      <c r="A1689" s="1">
        <v>45812</v>
      </c>
      <c r="B1689" s="2" t="s">
        <v>2644</v>
      </c>
      <c r="C1689" s="2" t="s">
        <v>2543</v>
      </c>
      <c r="D1689" s="2" t="s">
        <v>2528</v>
      </c>
      <c r="E1689" s="2" t="s">
        <v>2529</v>
      </c>
      <c r="F1689" s="3">
        <v>161895</v>
      </c>
      <c r="G1689" s="3">
        <v>9629</v>
      </c>
      <c r="H1689" s="3">
        <v>1143</v>
      </c>
      <c r="I1689" s="4">
        <v>2884.55</v>
      </c>
      <c r="J1689" s="4">
        <v>33193.589999999997</v>
      </c>
      <c r="K1689" s="3">
        <v>989</v>
      </c>
      <c r="L1689" s="2" t="s">
        <v>2536</v>
      </c>
      <c r="M1689" s="2" t="s">
        <v>2526</v>
      </c>
    </row>
    <row r="1690" spans="1:13" x14ac:dyDescent="0.3">
      <c r="A1690" s="1">
        <v>45723</v>
      </c>
      <c r="B1690" s="2" t="s">
        <v>2630</v>
      </c>
      <c r="C1690" s="2" t="s">
        <v>2533</v>
      </c>
      <c r="D1690" s="2" t="s">
        <v>2516</v>
      </c>
      <c r="E1690" s="2" t="s">
        <v>2529</v>
      </c>
      <c r="F1690" s="3">
        <v>93118</v>
      </c>
      <c r="G1690" s="3">
        <v>4502</v>
      </c>
      <c r="H1690" s="3">
        <v>189</v>
      </c>
      <c r="I1690" s="4">
        <v>2101.59</v>
      </c>
      <c r="J1690" s="4">
        <v>9058.67</v>
      </c>
      <c r="K1690" s="3">
        <v>157</v>
      </c>
      <c r="L1690" s="2" t="s">
        <v>2536</v>
      </c>
      <c r="M1690" s="2" t="s">
        <v>2526</v>
      </c>
    </row>
    <row r="1691" spans="1:13" x14ac:dyDescent="0.3">
      <c r="A1691" s="1">
        <v>45707</v>
      </c>
      <c r="B1691" s="2" t="s">
        <v>2618</v>
      </c>
      <c r="C1691" s="2" t="s">
        <v>2527</v>
      </c>
      <c r="D1691" s="2" t="s">
        <v>2525</v>
      </c>
      <c r="E1691" s="2" t="s">
        <v>2517</v>
      </c>
      <c r="F1691" s="3">
        <v>56356</v>
      </c>
      <c r="G1691" s="3">
        <v>2188</v>
      </c>
      <c r="H1691" s="3">
        <v>286</v>
      </c>
      <c r="I1691" s="4">
        <v>4505.33</v>
      </c>
      <c r="J1691" s="4">
        <v>50748.61</v>
      </c>
      <c r="K1691" s="3">
        <v>147</v>
      </c>
      <c r="L1691" s="2" t="s">
        <v>2536</v>
      </c>
      <c r="M1691" s="2" t="s">
        <v>2519</v>
      </c>
    </row>
    <row r="1692" spans="1:13" x14ac:dyDescent="0.3">
      <c r="A1692" s="1">
        <v>45786</v>
      </c>
      <c r="B1692" s="2" t="s">
        <v>2620</v>
      </c>
      <c r="C1692" s="2" t="s">
        <v>2541</v>
      </c>
      <c r="D1692" s="2" t="s">
        <v>2522</v>
      </c>
      <c r="E1692" s="2" t="s">
        <v>2529</v>
      </c>
      <c r="F1692" s="3">
        <v>58071</v>
      </c>
      <c r="G1692" s="3">
        <v>4374</v>
      </c>
      <c r="H1692" s="3">
        <v>365</v>
      </c>
      <c r="I1692" s="4">
        <v>3925.64</v>
      </c>
      <c r="J1692" s="4">
        <v>32178.39</v>
      </c>
      <c r="K1692" s="3">
        <v>180</v>
      </c>
      <c r="L1692" s="2" t="s">
        <v>2518</v>
      </c>
      <c r="M1692" s="2" t="s">
        <v>2519</v>
      </c>
    </row>
    <row r="1693" spans="1:13" x14ac:dyDescent="0.3">
      <c r="A1693" s="1">
        <v>45811</v>
      </c>
      <c r="B1693" s="2" t="s">
        <v>2638</v>
      </c>
      <c r="C1693" s="2" t="s">
        <v>2533</v>
      </c>
      <c r="D1693" s="2" t="s">
        <v>2522</v>
      </c>
      <c r="E1693" s="2" t="s">
        <v>2517</v>
      </c>
      <c r="F1693" s="3">
        <v>58427</v>
      </c>
      <c r="G1693" s="3">
        <v>3771</v>
      </c>
      <c r="H1693" s="3">
        <v>507</v>
      </c>
      <c r="I1693" s="4">
        <v>4728.2</v>
      </c>
      <c r="J1693" s="4">
        <v>44661.55</v>
      </c>
      <c r="K1693" s="3">
        <v>342</v>
      </c>
      <c r="L1693" s="2" t="s">
        <v>2539</v>
      </c>
      <c r="M1693" s="2" t="s">
        <v>2524</v>
      </c>
    </row>
    <row r="1694" spans="1:13" x14ac:dyDescent="0.3">
      <c r="A1694" s="1">
        <v>45933</v>
      </c>
      <c r="B1694" s="2" t="s">
        <v>2633</v>
      </c>
      <c r="C1694" s="2" t="s">
        <v>2515</v>
      </c>
      <c r="D1694" s="2" t="s">
        <v>2528</v>
      </c>
      <c r="E1694" s="2" t="s">
        <v>2517</v>
      </c>
      <c r="F1694" s="3">
        <v>176407</v>
      </c>
      <c r="G1694" s="3">
        <v>7991</v>
      </c>
      <c r="H1694" s="3">
        <v>1116</v>
      </c>
      <c r="I1694" s="4">
        <v>10936.21</v>
      </c>
      <c r="J1694" s="4">
        <v>208030.1</v>
      </c>
      <c r="K1694" s="3">
        <v>746</v>
      </c>
      <c r="L1694" s="2" t="s">
        <v>2536</v>
      </c>
      <c r="M1694" s="2" t="s">
        <v>2537</v>
      </c>
    </row>
    <row r="1695" spans="1:13" x14ac:dyDescent="0.3">
      <c r="A1695" s="1">
        <v>45809</v>
      </c>
      <c r="B1695" s="2" t="s">
        <v>2638</v>
      </c>
      <c r="C1695" s="2" t="s">
        <v>2543</v>
      </c>
      <c r="D1695" s="2" t="s">
        <v>2528</v>
      </c>
      <c r="E1695" s="2" t="s">
        <v>2529</v>
      </c>
      <c r="F1695" s="3">
        <v>33358</v>
      </c>
      <c r="G1695" s="3">
        <v>964</v>
      </c>
      <c r="H1695" s="3">
        <v>58</v>
      </c>
      <c r="I1695" s="4">
        <v>1755.87</v>
      </c>
      <c r="J1695" s="4">
        <v>2721.23</v>
      </c>
      <c r="K1695" s="3">
        <v>39</v>
      </c>
      <c r="L1695" s="2" t="s">
        <v>2518</v>
      </c>
      <c r="M1695" s="2" t="s">
        <v>2546</v>
      </c>
    </row>
    <row r="1696" spans="1:13" x14ac:dyDescent="0.3">
      <c r="A1696" s="1">
        <v>45788</v>
      </c>
      <c r="B1696" s="2" t="s">
        <v>2617</v>
      </c>
      <c r="C1696" s="2" t="s">
        <v>2533</v>
      </c>
      <c r="D1696" s="2" t="s">
        <v>2525</v>
      </c>
      <c r="E1696" s="2" t="s">
        <v>2517</v>
      </c>
      <c r="F1696" s="3">
        <v>41459</v>
      </c>
      <c r="G1696" s="3">
        <v>1945</v>
      </c>
      <c r="H1696" s="3">
        <v>63</v>
      </c>
      <c r="I1696" s="4">
        <v>2951.7</v>
      </c>
      <c r="J1696" s="4">
        <v>12222.5</v>
      </c>
      <c r="K1696" s="3">
        <v>55</v>
      </c>
      <c r="L1696" s="2" t="s">
        <v>2518</v>
      </c>
      <c r="M1696" s="2" t="s">
        <v>2519</v>
      </c>
    </row>
    <row r="1697" spans="1:13" x14ac:dyDescent="0.3">
      <c r="A1697" s="1">
        <v>45658</v>
      </c>
      <c r="B1697" s="2" t="s">
        <v>2625</v>
      </c>
      <c r="C1697" s="2" t="s">
        <v>2515</v>
      </c>
      <c r="D1697" s="2" t="s">
        <v>2525</v>
      </c>
      <c r="E1697" s="2" t="s">
        <v>2517</v>
      </c>
      <c r="F1697" s="3">
        <v>134323</v>
      </c>
      <c r="G1697" s="3">
        <v>1574</v>
      </c>
      <c r="H1697" s="3">
        <v>60</v>
      </c>
      <c r="I1697" s="4">
        <v>177.69</v>
      </c>
      <c r="J1697" s="4">
        <v>12122.03</v>
      </c>
      <c r="K1697" s="3">
        <v>28</v>
      </c>
      <c r="L1697" s="2" t="s">
        <v>2536</v>
      </c>
      <c r="M1697" s="2" t="s">
        <v>2519</v>
      </c>
    </row>
    <row r="1698" spans="1:13" x14ac:dyDescent="0.3">
      <c r="A1698" s="1">
        <v>45893</v>
      </c>
      <c r="B1698" s="2" t="s">
        <v>2620</v>
      </c>
      <c r="C1698" s="2" t="s">
        <v>2521</v>
      </c>
      <c r="D1698" s="2" t="s">
        <v>2516</v>
      </c>
      <c r="E1698" s="2" t="s">
        <v>2529</v>
      </c>
      <c r="F1698" s="3">
        <v>96925</v>
      </c>
      <c r="G1698" s="3">
        <v>7251</v>
      </c>
      <c r="H1698" s="3">
        <v>324</v>
      </c>
      <c r="I1698" s="4">
        <v>2361.02</v>
      </c>
      <c r="J1698" s="4">
        <v>38712.78</v>
      </c>
      <c r="K1698" s="3">
        <v>186</v>
      </c>
      <c r="L1698" s="2" t="s">
        <v>2518</v>
      </c>
      <c r="M1698" s="2" t="s">
        <v>2526</v>
      </c>
    </row>
    <row r="1699" spans="1:13" x14ac:dyDescent="0.3">
      <c r="A1699" s="1">
        <v>45898</v>
      </c>
      <c r="B1699" s="2" t="s">
        <v>2617</v>
      </c>
      <c r="C1699" s="2" t="s">
        <v>2527</v>
      </c>
      <c r="D1699" s="2" t="s">
        <v>2528</v>
      </c>
      <c r="E1699" s="2" t="s">
        <v>2529</v>
      </c>
      <c r="F1699" s="3">
        <v>84359</v>
      </c>
      <c r="G1699" s="3">
        <v>5061</v>
      </c>
      <c r="H1699" s="3">
        <v>633</v>
      </c>
      <c r="I1699" s="4">
        <v>10614.4</v>
      </c>
      <c r="J1699" s="4">
        <v>28661.53</v>
      </c>
      <c r="K1699" s="3">
        <v>562</v>
      </c>
      <c r="L1699" s="2" t="s">
        <v>2539</v>
      </c>
      <c r="M1699" s="2" t="s">
        <v>2546</v>
      </c>
    </row>
    <row r="1700" spans="1:13" x14ac:dyDescent="0.3">
      <c r="A1700" s="1">
        <v>45731</v>
      </c>
      <c r="B1700" s="2" t="s">
        <v>2631</v>
      </c>
      <c r="C1700" s="2" t="s">
        <v>2541</v>
      </c>
      <c r="D1700" s="2" t="s">
        <v>2528</v>
      </c>
      <c r="E1700" s="2" t="s">
        <v>2529</v>
      </c>
      <c r="F1700" s="3">
        <v>170105</v>
      </c>
      <c r="G1700" s="3">
        <v>7698</v>
      </c>
      <c r="H1700" s="3">
        <v>341</v>
      </c>
      <c r="I1700" s="4">
        <v>12745.51</v>
      </c>
      <c r="J1700" s="4">
        <v>70127.520000000004</v>
      </c>
      <c r="K1700" s="3">
        <v>164</v>
      </c>
      <c r="L1700" s="2" t="s">
        <v>2536</v>
      </c>
      <c r="M1700" s="2" t="s">
        <v>2519</v>
      </c>
    </row>
    <row r="1701" spans="1:13" x14ac:dyDescent="0.3">
      <c r="A1701" s="1">
        <v>45930</v>
      </c>
      <c r="B1701" s="2" t="s">
        <v>2633</v>
      </c>
      <c r="C1701" s="2" t="s">
        <v>2527</v>
      </c>
      <c r="D1701" s="2" t="s">
        <v>2531</v>
      </c>
      <c r="E1701" s="2" t="s">
        <v>2529</v>
      </c>
      <c r="F1701" s="3">
        <v>55036</v>
      </c>
      <c r="G1701" s="3">
        <v>4880</v>
      </c>
      <c r="H1701" s="3">
        <v>437</v>
      </c>
      <c r="I1701" s="4">
        <v>2174.38</v>
      </c>
      <c r="J1701" s="4">
        <v>74826.22</v>
      </c>
      <c r="K1701" s="3">
        <v>329</v>
      </c>
      <c r="L1701" s="2" t="s">
        <v>2523</v>
      </c>
      <c r="M1701" s="2" t="s">
        <v>2546</v>
      </c>
    </row>
    <row r="1702" spans="1:13" x14ac:dyDescent="0.3">
      <c r="A1702" s="1">
        <v>45818</v>
      </c>
      <c r="B1702" s="2" t="s">
        <v>2623</v>
      </c>
      <c r="C1702" s="2" t="s">
        <v>2541</v>
      </c>
      <c r="D1702" s="2" t="s">
        <v>2516</v>
      </c>
      <c r="E1702" s="2" t="s">
        <v>2529</v>
      </c>
      <c r="F1702" s="3">
        <v>38955</v>
      </c>
      <c r="G1702" s="3">
        <v>310</v>
      </c>
      <c r="H1702" s="3">
        <v>36</v>
      </c>
      <c r="I1702" s="4">
        <v>639.95000000000005</v>
      </c>
      <c r="J1702" s="4">
        <v>2953.84</v>
      </c>
      <c r="K1702" s="3">
        <v>24</v>
      </c>
      <c r="L1702" s="2" t="s">
        <v>2536</v>
      </c>
      <c r="M1702" s="2" t="s">
        <v>2526</v>
      </c>
    </row>
    <row r="1703" spans="1:13" x14ac:dyDescent="0.3">
      <c r="A1703" s="1">
        <v>45976</v>
      </c>
      <c r="B1703" s="2" t="s">
        <v>2640</v>
      </c>
      <c r="C1703" s="2" t="s">
        <v>2541</v>
      </c>
      <c r="D1703" s="2" t="s">
        <v>2528</v>
      </c>
      <c r="E1703" s="2" t="s">
        <v>2517</v>
      </c>
      <c r="F1703" s="3">
        <v>27542</v>
      </c>
      <c r="G1703" s="3">
        <v>1825</v>
      </c>
      <c r="H1703" s="3">
        <v>95</v>
      </c>
      <c r="I1703" s="4">
        <v>243.51</v>
      </c>
      <c r="J1703" s="4">
        <v>10176.469999999999</v>
      </c>
      <c r="K1703" s="3">
        <v>75</v>
      </c>
      <c r="L1703" s="2" t="s">
        <v>2536</v>
      </c>
      <c r="M1703" s="2" t="s">
        <v>2546</v>
      </c>
    </row>
    <row r="1704" spans="1:13" x14ac:dyDescent="0.3">
      <c r="A1704" s="1">
        <v>45767</v>
      </c>
      <c r="B1704" s="2" t="s">
        <v>2625</v>
      </c>
      <c r="C1704" s="2" t="s">
        <v>2543</v>
      </c>
      <c r="D1704" s="2" t="s">
        <v>2516</v>
      </c>
      <c r="E1704" s="2" t="s">
        <v>2529</v>
      </c>
      <c r="F1704" s="3">
        <v>68320</v>
      </c>
      <c r="G1704" s="3">
        <v>1288</v>
      </c>
      <c r="H1704" s="3">
        <v>15</v>
      </c>
      <c r="I1704" s="4">
        <v>562.63</v>
      </c>
      <c r="J1704" s="4">
        <v>1280.8399999999999</v>
      </c>
      <c r="K1704" s="3">
        <v>7</v>
      </c>
      <c r="L1704" s="2" t="s">
        <v>2523</v>
      </c>
      <c r="M1704" s="2" t="s">
        <v>2524</v>
      </c>
    </row>
    <row r="1705" spans="1:13" x14ac:dyDescent="0.3">
      <c r="A1705" s="1">
        <v>45779</v>
      </c>
      <c r="B1705" s="2" t="s">
        <v>2627</v>
      </c>
      <c r="C1705" s="2" t="s">
        <v>2515</v>
      </c>
      <c r="D1705" s="2" t="s">
        <v>2516</v>
      </c>
      <c r="E1705" s="2" t="s">
        <v>2529</v>
      </c>
      <c r="F1705" s="3">
        <v>89511</v>
      </c>
      <c r="G1705" s="3">
        <v>1980</v>
      </c>
      <c r="H1705" s="3">
        <v>74</v>
      </c>
      <c r="I1705" s="4">
        <v>2050.7199999999998</v>
      </c>
      <c r="J1705" s="4">
        <v>7692.95</v>
      </c>
      <c r="K1705" s="3">
        <v>64</v>
      </c>
      <c r="L1705" s="2" t="s">
        <v>2523</v>
      </c>
      <c r="M1705" s="2" t="s">
        <v>2524</v>
      </c>
    </row>
    <row r="1706" spans="1:13" x14ac:dyDescent="0.3">
      <c r="A1706" s="1">
        <v>46018</v>
      </c>
      <c r="B1706" s="2" t="s">
        <v>2639</v>
      </c>
      <c r="C1706" s="2" t="s">
        <v>2533</v>
      </c>
      <c r="D1706" s="2" t="s">
        <v>2531</v>
      </c>
      <c r="E1706" s="2" t="s">
        <v>2529</v>
      </c>
      <c r="F1706" s="3">
        <v>20489</v>
      </c>
      <c r="G1706" s="3">
        <v>511</v>
      </c>
      <c r="H1706" s="3">
        <v>20</v>
      </c>
      <c r="I1706" s="4">
        <v>601.01</v>
      </c>
      <c r="J1706" s="4">
        <v>1475.16</v>
      </c>
      <c r="K1706" s="3">
        <v>16</v>
      </c>
      <c r="L1706" s="2" t="s">
        <v>2536</v>
      </c>
      <c r="M1706" s="2" t="s">
        <v>2524</v>
      </c>
    </row>
    <row r="1707" spans="1:13" x14ac:dyDescent="0.3">
      <c r="A1707" s="1">
        <v>45739</v>
      </c>
      <c r="B1707" s="2" t="s">
        <v>2644</v>
      </c>
      <c r="C1707" s="2" t="s">
        <v>2533</v>
      </c>
      <c r="D1707" s="2" t="s">
        <v>2528</v>
      </c>
      <c r="E1707" s="2" t="s">
        <v>2529</v>
      </c>
      <c r="F1707" s="3">
        <v>79949</v>
      </c>
      <c r="G1707" s="3">
        <v>80141</v>
      </c>
      <c r="H1707" s="3">
        <v>146</v>
      </c>
      <c r="I1707" s="4">
        <v>5485.13</v>
      </c>
      <c r="J1707" s="4">
        <v>19925.189999999999</v>
      </c>
      <c r="K1707" s="3">
        <v>127</v>
      </c>
      <c r="L1707" s="2" t="s">
        <v>2539</v>
      </c>
      <c r="M1707" s="2" t="s">
        <v>2519</v>
      </c>
    </row>
    <row r="1708" spans="1:13" x14ac:dyDescent="0.3">
      <c r="A1708" s="1">
        <v>45733</v>
      </c>
      <c r="B1708" s="2" t="s">
        <v>2621</v>
      </c>
      <c r="C1708" s="2" t="s">
        <v>2541</v>
      </c>
      <c r="D1708" s="2" t="s">
        <v>2525</v>
      </c>
      <c r="E1708" s="2" t="s">
        <v>2529</v>
      </c>
      <c r="F1708" s="3">
        <v>85085</v>
      </c>
      <c r="G1708" s="3">
        <v>6266</v>
      </c>
      <c r="H1708" s="3">
        <v>700</v>
      </c>
      <c r="I1708" s="4">
        <v>5126.92</v>
      </c>
      <c r="J1708" s="4">
        <v>17932.77</v>
      </c>
      <c r="K1708" s="3">
        <v>548</v>
      </c>
      <c r="L1708" s="2" t="s">
        <v>2518</v>
      </c>
      <c r="M1708" s="2" t="s">
        <v>2519</v>
      </c>
    </row>
    <row r="1709" spans="1:13" x14ac:dyDescent="0.3">
      <c r="A1709" s="1">
        <v>45659</v>
      </c>
      <c r="B1709" s="2" t="s">
        <v>2644</v>
      </c>
      <c r="C1709" s="2" t="s">
        <v>2515</v>
      </c>
      <c r="D1709" s="2" t="s">
        <v>2528</v>
      </c>
      <c r="E1709" s="2" t="s">
        <v>2517</v>
      </c>
      <c r="F1709" s="3">
        <v>63958</v>
      </c>
      <c r="G1709" s="3">
        <v>1582</v>
      </c>
      <c r="H1709" s="3">
        <v>214</v>
      </c>
      <c r="I1709" s="4">
        <v>1336.7</v>
      </c>
      <c r="J1709" s="4">
        <v>20203.12</v>
      </c>
      <c r="K1709" s="3">
        <v>100</v>
      </c>
      <c r="L1709" s="2" t="s">
        <v>2539</v>
      </c>
      <c r="M1709" s="2" t="s">
        <v>2524</v>
      </c>
    </row>
    <row r="1710" spans="1:13" x14ac:dyDescent="0.3">
      <c r="A1710" s="1">
        <v>45916</v>
      </c>
      <c r="B1710" s="2" t="s">
        <v>2633</v>
      </c>
      <c r="C1710" s="2" t="s">
        <v>2541</v>
      </c>
      <c r="D1710" s="2" t="s">
        <v>2531</v>
      </c>
      <c r="E1710" s="2" t="s">
        <v>2529</v>
      </c>
      <c r="F1710" s="3">
        <v>161238</v>
      </c>
      <c r="G1710" s="3">
        <v>161852</v>
      </c>
      <c r="H1710" s="3">
        <v>256</v>
      </c>
      <c r="I1710" s="4">
        <v>5213.91</v>
      </c>
      <c r="J1710" s="4">
        <v>24852.43</v>
      </c>
      <c r="K1710" s="3">
        <v>227</v>
      </c>
      <c r="L1710" s="2" t="s">
        <v>2539</v>
      </c>
      <c r="M1710" s="2" t="s">
        <v>2524</v>
      </c>
    </row>
    <row r="1711" spans="1:13" x14ac:dyDescent="0.3">
      <c r="A1711" s="1">
        <v>46006</v>
      </c>
      <c r="B1711" s="2" t="s">
        <v>2636</v>
      </c>
      <c r="C1711" s="2" t="s">
        <v>2515</v>
      </c>
      <c r="D1711" s="2" t="s">
        <v>2525</v>
      </c>
      <c r="E1711" s="2" t="s">
        <v>2529</v>
      </c>
      <c r="F1711" s="3">
        <v>111304</v>
      </c>
      <c r="G1711" s="3">
        <v>8163</v>
      </c>
      <c r="H1711" s="3">
        <v>715</v>
      </c>
      <c r="I1711" s="4">
        <v>13104.11</v>
      </c>
      <c r="J1711" s="4">
        <v>37182.57</v>
      </c>
      <c r="K1711" s="3">
        <v>598</v>
      </c>
      <c r="L1711" s="2" t="s">
        <v>2539</v>
      </c>
      <c r="M1711" s="2" t="s">
        <v>2524</v>
      </c>
    </row>
    <row r="1712" spans="1:13" x14ac:dyDescent="0.3">
      <c r="A1712" s="1">
        <v>45723</v>
      </c>
      <c r="B1712" s="2" t="s">
        <v>2636</v>
      </c>
      <c r="C1712" s="2" t="s">
        <v>2543</v>
      </c>
      <c r="D1712" s="2" t="s">
        <v>2528</v>
      </c>
      <c r="E1712" s="2" t="s">
        <v>2517</v>
      </c>
      <c r="F1712" s="3">
        <v>71000</v>
      </c>
      <c r="G1712" s="3">
        <v>6041</v>
      </c>
      <c r="H1712" s="3">
        <v>595</v>
      </c>
      <c r="I1712" s="4">
        <v>10482.06</v>
      </c>
      <c r="J1712" s="4">
        <v>21993.18</v>
      </c>
      <c r="K1712" s="3">
        <v>295</v>
      </c>
      <c r="L1712" s="2" t="s">
        <v>2539</v>
      </c>
      <c r="M1712" s="2" t="s">
        <v>2537</v>
      </c>
    </row>
    <row r="1713" spans="1:13" x14ac:dyDescent="0.3">
      <c r="A1713" s="1">
        <v>45726</v>
      </c>
      <c r="B1713" s="2" t="s">
        <v>2633</v>
      </c>
      <c r="C1713" s="2" t="s">
        <v>2515</v>
      </c>
      <c r="D1713" s="2" t="s">
        <v>2522</v>
      </c>
      <c r="E1713" s="2" t="s">
        <v>2529</v>
      </c>
      <c r="F1713" s="3">
        <v>158940</v>
      </c>
      <c r="G1713" s="3">
        <v>3126</v>
      </c>
      <c r="H1713" s="3">
        <v>232</v>
      </c>
      <c r="I1713" s="4">
        <v>2547.5500000000002</v>
      </c>
      <c r="J1713" s="4">
        <v>14925.51</v>
      </c>
      <c r="K1713" s="3">
        <v>178</v>
      </c>
      <c r="L1713" s="2" t="s">
        <v>2536</v>
      </c>
      <c r="M1713" s="2" t="s">
        <v>2524</v>
      </c>
    </row>
    <row r="1714" spans="1:13" x14ac:dyDescent="0.3">
      <c r="A1714" s="1">
        <v>45910</v>
      </c>
      <c r="B1714" s="2" t="s">
        <v>2616</v>
      </c>
      <c r="C1714" s="2" t="s">
        <v>2543</v>
      </c>
      <c r="D1714" s="2" t="s">
        <v>2528</v>
      </c>
      <c r="E1714" s="2" t="s">
        <v>2517</v>
      </c>
      <c r="F1714" s="3">
        <v>134119</v>
      </c>
      <c r="G1714" s="3">
        <v>1770</v>
      </c>
      <c r="H1714" s="3">
        <v>205</v>
      </c>
      <c r="I1714" s="4">
        <v>3370.63</v>
      </c>
      <c r="J1714" s="4">
        <v>8382.23</v>
      </c>
      <c r="K1714" s="3">
        <v>120</v>
      </c>
      <c r="L1714" s="2" t="s">
        <v>2536</v>
      </c>
      <c r="M1714" s="2" t="s">
        <v>2526</v>
      </c>
    </row>
    <row r="1715" spans="1:13" x14ac:dyDescent="0.3">
      <c r="A1715" s="1">
        <v>45754</v>
      </c>
      <c r="B1715" s="2" t="s">
        <v>2634</v>
      </c>
      <c r="C1715" s="2" t="s">
        <v>2533</v>
      </c>
      <c r="D1715" s="2" t="s">
        <v>2528</v>
      </c>
      <c r="E1715" s="2" t="s">
        <v>2529</v>
      </c>
      <c r="F1715" s="3">
        <v>13902</v>
      </c>
      <c r="G1715" s="3">
        <v>888</v>
      </c>
      <c r="H1715" s="3">
        <v>60</v>
      </c>
      <c r="I1715" s="4">
        <v>1196.96</v>
      </c>
      <c r="J1715" s="4">
        <v>7104.14</v>
      </c>
      <c r="K1715" s="3">
        <v>40</v>
      </c>
      <c r="L1715" s="2" t="s">
        <v>2518</v>
      </c>
      <c r="M1715" s="2" t="s">
        <v>2524</v>
      </c>
    </row>
    <row r="1716" spans="1:13" x14ac:dyDescent="0.3">
      <c r="A1716" s="1">
        <v>45684</v>
      </c>
      <c r="B1716" s="2" t="s">
        <v>2638</v>
      </c>
      <c r="C1716" s="2" t="s">
        <v>2515</v>
      </c>
      <c r="D1716" s="2" t="s">
        <v>2531</v>
      </c>
      <c r="E1716" s="2" t="s">
        <v>2529</v>
      </c>
      <c r="F1716" s="3">
        <v>173555</v>
      </c>
      <c r="G1716" s="3">
        <v>8407</v>
      </c>
      <c r="H1716" s="3">
        <v>602</v>
      </c>
      <c r="I1716" s="4">
        <v>16612.59</v>
      </c>
      <c r="J1716" s="4">
        <v>102311.14</v>
      </c>
      <c r="K1716" s="3">
        <v>277</v>
      </c>
      <c r="L1716" s="2" t="s">
        <v>2518</v>
      </c>
      <c r="M1716" s="2" t="s">
        <v>2537</v>
      </c>
    </row>
    <row r="1717" spans="1:13" x14ac:dyDescent="0.3">
      <c r="A1717" s="1">
        <v>45965</v>
      </c>
      <c r="B1717" s="2" t="s">
        <v>2632</v>
      </c>
      <c r="C1717" s="2" t="s">
        <v>2521</v>
      </c>
      <c r="D1717" s="2" t="s">
        <v>2528</v>
      </c>
      <c r="E1717" s="2" t="s">
        <v>2517</v>
      </c>
      <c r="F1717" s="3">
        <v>110256</v>
      </c>
      <c r="G1717" s="3">
        <v>6225</v>
      </c>
      <c r="H1717" s="3">
        <v>847</v>
      </c>
      <c r="I1717" s="4">
        <v>1365.63</v>
      </c>
      <c r="J1717" s="4">
        <v>146779.74</v>
      </c>
      <c r="K1717" s="3">
        <v>419</v>
      </c>
      <c r="L1717" s="2" t="s">
        <v>2539</v>
      </c>
      <c r="M1717" s="2" t="s">
        <v>2537</v>
      </c>
    </row>
    <row r="1718" spans="1:13" x14ac:dyDescent="0.3">
      <c r="A1718" s="1">
        <v>45818</v>
      </c>
      <c r="B1718" s="2" t="s">
        <v>2624</v>
      </c>
      <c r="C1718" s="2" t="s">
        <v>2541</v>
      </c>
      <c r="D1718" s="2" t="s">
        <v>2525</v>
      </c>
      <c r="E1718" s="2" t="s">
        <v>2517</v>
      </c>
      <c r="F1718" s="3">
        <v>37623</v>
      </c>
      <c r="G1718" s="3">
        <v>2251</v>
      </c>
      <c r="H1718" s="3">
        <v>25</v>
      </c>
      <c r="I1718" s="4">
        <v>2238.0500000000002</v>
      </c>
      <c r="J1718" s="4">
        <v>3473.93</v>
      </c>
      <c r="K1718" s="3">
        <v>13</v>
      </c>
      <c r="L1718" s="2" t="s">
        <v>2536</v>
      </c>
      <c r="M1718" s="2" t="s">
        <v>2537</v>
      </c>
    </row>
    <row r="1719" spans="1:13" x14ac:dyDescent="0.3">
      <c r="A1719" s="1">
        <v>45680</v>
      </c>
      <c r="B1719" s="2" t="s">
        <v>2627</v>
      </c>
      <c r="C1719" s="2" t="s">
        <v>2515</v>
      </c>
      <c r="D1719" s="2" t="s">
        <v>2528</v>
      </c>
      <c r="E1719" s="2" t="s">
        <v>2529</v>
      </c>
      <c r="F1719" s="3">
        <v>162744</v>
      </c>
      <c r="G1719" s="3">
        <v>4537</v>
      </c>
      <c r="H1719" s="3">
        <v>606</v>
      </c>
      <c r="I1719" s="4">
        <v>3385.13</v>
      </c>
      <c r="J1719" s="4">
        <v>39174.6</v>
      </c>
      <c r="K1719" s="3">
        <v>382</v>
      </c>
      <c r="L1719" s="2" t="s">
        <v>2523</v>
      </c>
      <c r="M1719" s="2" t="s">
        <v>2526</v>
      </c>
    </row>
    <row r="1720" spans="1:13" x14ac:dyDescent="0.3">
      <c r="A1720" s="1">
        <v>45779</v>
      </c>
      <c r="B1720" s="2" t="s">
        <v>2644</v>
      </c>
      <c r="C1720" s="2" t="s">
        <v>2521</v>
      </c>
      <c r="D1720" s="2" t="s">
        <v>2525</v>
      </c>
      <c r="E1720" s="2" t="s">
        <v>2529</v>
      </c>
      <c r="F1720" s="3">
        <v>5807</v>
      </c>
      <c r="G1720" s="3">
        <v>300</v>
      </c>
      <c r="H1720" s="3">
        <v>29</v>
      </c>
      <c r="I1720" s="4">
        <v>286.5</v>
      </c>
      <c r="J1720" s="4">
        <v>1562.21</v>
      </c>
      <c r="K1720" s="3">
        <v>14</v>
      </c>
      <c r="L1720" s="2" t="s">
        <v>2539</v>
      </c>
      <c r="M1720" s="2" t="s">
        <v>2524</v>
      </c>
    </row>
    <row r="1721" spans="1:13" x14ac:dyDescent="0.3">
      <c r="A1721" s="1">
        <v>45988</v>
      </c>
      <c r="B1721" s="2" t="s">
        <v>2617</v>
      </c>
      <c r="C1721" s="2" t="s">
        <v>2543</v>
      </c>
      <c r="D1721" s="2" t="s">
        <v>2522</v>
      </c>
      <c r="E1721" s="2" t="s">
        <v>2534</v>
      </c>
      <c r="F1721" s="3">
        <v>20878</v>
      </c>
      <c r="G1721" s="3">
        <v>1089</v>
      </c>
      <c r="H1721" s="3">
        <v>82</v>
      </c>
      <c r="I1721" s="4">
        <v>191.2</v>
      </c>
      <c r="J1721" s="4">
        <v>14734.74</v>
      </c>
      <c r="K1721" s="3">
        <v>63</v>
      </c>
      <c r="L1721" s="2" t="s">
        <v>2518</v>
      </c>
      <c r="M1721" s="2" t="s">
        <v>2537</v>
      </c>
    </row>
    <row r="1722" spans="1:13" x14ac:dyDescent="0.3">
      <c r="A1722" s="1">
        <v>45879</v>
      </c>
      <c r="B1722" s="2" t="s">
        <v>2622</v>
      </c>
      <c r="C1722" s="2" t="s">
        <v>2533</v>
      </c>
      <c r="D1722" s="2" t="s">
        <v>2528</v>
      </c>
      <c r="E1722" s="2" t="s">
        <v>2534</v>
      </c>
      <c r="F1722" s="3">
        <v>172286</v>
      </c>
      <c r="G1722" s="3">
        <v>9270</v>
      </c>
      <c r="H1722" s="3">
        <v>1220</v>
      </c>
      <c r="I1722" s="4">
        <v>6995.42</v>
      </c>
      <c r="J1722" s="4">
        <v>100829.39</v>
      </c>
      <c r="K1722" s="3">
        <v>767</v>
      </c>
      <c r="L1722" s="2" t="s">
        <v>2523</v>
      </c>
      <c r="M1722" s="2" t="s">
        <v>2526</v>
      </c>
    </row>
    <row r="1723" spans="1:13" x14ac:dyDescent="0.3">
      <c r="A1723" s="1">
        <v>45785</v>
      </c>
      <c r="B1723" s="2" t="s">
        <v>2625</v>
      </c>
      <c r="C1723" s="2" t="s">
        <v>2521</v>
      </c>
      <c r="D1723" s="2" t="s">
        <v>2528</v>
      </c>
      <c r="E1723" s="2" t="s">
        <v>2534</v>
      </c>
      <c r="F1723" s="3">
        <v>107450</v>
      </c>
      <c r="G1723" s="3">
        <v>565</v>
      </c>
      <c r="H1723" s="3">
        <v>6</v>
      </c>
      <c r="I1723" s="4">
        <v>930.25</v>
      </c>
      <c r="J1723" s="4">
        <v>632.48</v>
      </c>
      <c r="K1723" s="3">
        <v>4</v>
      </c>
      <c r="L1723" s="2" t="s">
        <v>2539</v>
      </c>
      <c r="M1723" s="2" t="s">
        <v>2526</v>
      </c>
    </row>
    <row r="1724" spans="1:13" x14ac:dyDescent="0.3">
      <c r="A1724" s="1">
        <v>45675</v>
      </c>
      <c r="B1724" s="2" t="s">
        <v>2629</v>
      </c>
      <c r="C1724" s="2" t="s">
        <v>2541</v>
      </c>
      <c r="D1724" s="2" t="s">
        <v>2528</v>
      </c>
      <c r="E1724" s="2" t="s">
        <v>2529</v>
      </c>
      <c r="F1724" s="3">
        <v>66156</v>
      </c>
      <c r="G1724" s="3">
        <v>5816</v>
      </c>
      <c r="H1724" s="3">
        <v>772</v>
      </c>
      <c r="I1724" s="4">
        <v>2044.42</v>
      </c>
      <c r="J1724" s="4">
        <v>82965.960000000006</v>
      </c>
      <c r="K1724" s="3">
        <v>638</v>
      </c>
      <c r="L1724" s="2" t="s">
        <v>2536</v>
      </c>
      <c r="M1724" s="2" t="s">
        <v>2526</v>
      </c>
    </row>
    <row r="1725" spans="1:13" x14ac:dyDescent="0.3">
      <c r="A1725" s="1">
        <v>45947</v>
      </c>
      <c r="B1725" s="2" t="s">
        <v>2622</v>
      </c>
      <c r="C1725" s="2" t="s">
        <v>2543</v>
      </c>
      <c r="D1725" s="2" t="s">
        <v>2528</v>
      </c>
      <c r="E1725" s="2" t="s">
        <v>2529</v>
      </c>
      <c r="F1725" s="3">
        <v>3493</v>
      </c>
      <c r="G1725" s="3">
        <v>104</v>
      </c>
      <c r="H1725" s="3">
        <v>11</v>
      </c>
      <c r="I1725" s="4">
        <v>69.33</v>
      </c>
      <c r="J1725" s="4">
        <v>1212.42</v>
      </c>
      <c r="K1725" s="3">
        <v>9</v>
      </c>
      <c r="L1725" s="2" t="s">
        <v>2523</v>
      </c>
      <c r="M1725" s="2" t="s">
        <v>2524</v>
      </c>
    </row>
    <row r="1726" spans="1:13" x14ac:dyDescent="0.3">
      <c r="A1726" s="1">
        <v>45764</v>
      </c>
      <c r="B1726" s="2" t="s">
        <v>2630</v>
      </c>
      <c r="C1726" s="2" t="s">
        <v>2533</v>
      </c>
      <c r="D1726" s="2" t="s">
        <v>2528</v>
      </c>
      <c r="E1726" s="2" t="s">
        <v>2517</v>
      </c>
      <c r="F1726" s="3">
        <v>160153</v>
      </c>
      <c r="G1726" s="3">
        <v>8582</v>
      </c>
      <c r="H1726" s="3">
        <v>153</v>
      </c>
      <c r="I1726" s="4">
        <v>10778.68</v>
      </c>
      <c r="J1726" s="4">
        <v>29127.03</v>
      </c>
      <c r="K1726" s="3">
        <v>78</v>
      </c>
      <c r="L1726" s="2" t="s">
        <v>2518</v>
      </c>
      <c r="M1726" s="2" t="s">
        <v>2546</v>
      </c>
    </row>
    <row r="1727" spans="1:13" x14ac:dyDescent="0.3">
      <c r="A1727" s="1">
        <v>45838</v>
      </c>
      <c r="B1727" s="2" t="s">
        <v>2631</v>
      </c>
      <c r="C1727" s="2" t="s">
        <v>2527</v>
      </c>
      <c r="D1727" s="2" t="s">
        <v>2528</v>
      </c>
      <c r="E1727" s="2" t="s">
        <v>2517</v>
      </c>
      <c r="F1727" s="3">
        <v>36280</v>
      </c>
      <c r="G1727" s="3">
        <v>2113</v>
      </c>
      <c r="H1727" s="3">
        <v>107</v>
      </c>
      <c r="I1727" s="4">
        <v>3075.35</v>
      </c>
      <c r="J1727" s="4">
        <v>17404.29</v>
      </c>
      <c r="K1727" s="3">
        <v>93</v>
      </c>
      <c r="L1727" s="2" t="s">
        <v>2523</v>
      </c>
      <c r="M1727" s="2" t="s">
        <v>2524</v>
      </c>
    </row>
    <row r="1728" spans="1:13" x14ac:dyDescent="0.3">
      <c r="A1728" s="1">
        <v>45828</v>
      </c>
      <c r="B1728" s="2" t="s">
        <v>2634</v>
      </c>
      <c r="C1728" s="2" t="s">
        <v>2527</v>
      </c>
      <c r="D1728" s="2" t="s">
        <v>2528</v>
      </c>
      <c r="E1728" s="2" t="s">
        <v>2529</v>
      </c>
      <c r="F1728" s="3">
        <v>15095</v>
      </c>
      <c r="G1728" s="3">
        <v>1116</v>
      </c>
      <c r="H1728" s="3">
        <v>63</v>
      </c>
      <c r="I1728" s="4">
        <v>118.9</v>
      </c>
      <c r="J1728" s="4">
        <v>9937.09</v>
      </c>
      <c r="K1728" s="3">
        <v>50</v>
      </c>
      <c r="L1728" s="2" t="s">
        <v>2523</v>
      </c>
      <c r="M1728" s="2" t="s">
        <v>2526</v>
      </c>
    </row>
    <row r="1729" spans="1:13" x14ac:dyDescent="0.3">
      <c r="A1729" s="1">
        <v>45714</v>
      </c>
      <c r="B1729" s="2" t="s">
        <v>2618</v>
      </c>
      <c r="C1729" s="2" t="s">
        <v>2515</v>
      </c>
      <c r="D1729" s="2" t="s">
        <v>2528</v>
      </c>
      <c r="E1729" s="2" t="s">
        <v>2529</v>
      </c>
      <c r="F1729" s="3">
        <v>143160</v>
      </c>
      <c r="G1729" s="3">
        <v>9648</v>
      </c>
      <c r="H1729" s="3">
        <v>787</v>
      </c>
      <c r="I1729" s="4">
        <v>7430.46</v>
      </c>
      <c r="J1729" s="4">
        <v>165462.25</v>
      </c>
      <c r="K1729" s="3">
        <v>529</v>
      </c>
      <c r="L1729" s="2" t="s">
        <v>2536</v>
      </c>
      <c r="M1729" s="2" t="s">
        <v>2537</v>
      </c>
    </row>
    <row r="1730" spans="1:13" x14ac:dyDescent="0.3">
      <c r="A1730" s="1">
        <v>45665</v>
      </c>
      <c r="B1730" s="2" t="s">
        <v>2637</v>
      </c>
      <c r="C1730" s="2" t="s">
        <v>2541</v>
      </c>
      <c r="D1730" s="2" t="s">
        <v>2531</v>
      </c>
      <c r="E1730" s="2" t="s">
        <v>2517</v>
      </c>
      <c r="F1730" s="3">
        <v>87666</v>
      </c>
      <c r="G1730" s="3">
        <v>924</v>
      </c>
      <c r="H1730" s="3">
        <v>72</v>
      </c>
      <c r="I1730" s="4">
        <v>264.01</v>
      </c>
      <c r="J1730" s="4">
        <v>13539.19</v>
      </c>
      <c r="K1730" s="3">
        <v>43</v>
      </c>
      <c r="L1730" s="2" t="s">
        <v>2518</v>
      </c>
      <c r="M1730" s="2" t="s">
        <v>2526</v>
      </c>
    </row>
    <row r="1731" spans="1:13" x14ac:dyDescent="0.3">
      <c r="A1731" s="1">
        <v>45742</v>
      </c>
      <c r="B1731" s="2" t="s">
        <v>2642</v>
      </c>
      <c r="C1731" s="2" t="s">
        <v>2533</v>
      </c>
      <c r="D1731" s="2" t="s">
        <v>2525</v>
      </c>
      <c r="E1731" s="2" t="s">
        <v>2517</v>
      </c>
      <c r="F1731" s="3">
        <v>127806</v>
      </c>
      <c r="G1731" s="3">
        <v>5253</v>
      </c>
      <c r="H1731" s="3">
        <v>313</v>
      </c>
      <c r="I1731" s="4">
        <v>6909.33</v>
      </c>
      <c r="J1731" s="4">
        <v>14525.96</v>
      </c>
      <c r="K1731" s="3">
        <v>194</v>
      </c>
      <c r="L1731" s="2" t="s">
        <v>2523</v>
      </c>
      <c r="M1731" s="2" t="s">
        <v>2537</v>
      </c>
    </row>
    <row r="1732" spans="1:13" x14ac:dyDescent="0.3">
      <c r="A1732" s="1">
        <v>45697</v>
      </c>
      <c r="B1732" s="2" t="s">
        <v>2641</v>
      </c>
      <c r="C1732" s="2" t="s">
        <v>2521</v>
      </c>
      <c r="D1732" s="2" t="s">
        <v>2528</v>
      </c>
      <c r="E1732" s="2" t="s">
        <v>2529</v>
      </c>
      <c r="F1732" s="3">
        <v>74047</v>
      </c>
      <c r="G1732" s="3">
        <v>6354</v>
      </c>
      <c r="H1732" s="3">
        <v>738</v>
      </c>
      <c r="I1732" s="4">
        <v>12247.42</v>
      </c>
      <c r="J1732" s="4">
        <v>160987.62</v>
      </c>
      <c r="K1732" s="3">
        <v>340</v>
      </c>
      <c r="L1732" s="2" t="s">
        <v>2523</v>
      </c>
      <c r="M1732" s="2" t="s">
        <v>2546</v>
      </c>
    </row>
    <row r="1733" spans="1:13" x14ac:dyDescent="0.3">
      <c r="A1733" s="1">
        <v>45715</v>
      </c>
      <c r="B1733" s="2" t="s">
        <v>2634</v>
      </c>
      <c r="C1733" s="2" t="s">
        <v>2515</v>
      </c>
      <c r="D1733" s="2" t="s">
        <v>2522</v>
      </c>
      <c r="E1733" s="2" t="s">
        <v>2529</v>
      </c>
      <c r="F1733" s="3">
        <v>137650</v>
      </c>
      <c r="G1733" s="3">
        <v>7641</v>
      </c>
      <c r="H1733" s="3">
        <v>924</v>
      </c>
      <c r="I1733" s="4">
        <v>5783.98</v>
      </c>
      <c r="J1733" s="4">
        <v>139695.4</v>
      </c>
      <c r="K1733" s="3">
        <v>626</v>
      </c>
      <c r="L1733" s="2" t="s">
        <v>2518</v>
      </c>
      <c r="M1733" s="2" t="s">
        <v>2537</v>
      </c>
    </row>
    <row r="1734" spans="1:13" x14ac:dyDescent="0.3">
      <c r="A1734" s="1">
        <v>45696</v>
      </c>
      <c r="B1734" s="2" t="s">
        <v>2617</v>
      </c>
      <c r="C1734" s="2" t="s">
        <v>2521</v>
      </c>
      <c r="D1734" s="2" t="s">
        <v>2528</v>
      </c>
      <c r="E1734" s="2" t="s">
        <v>2534</v>
      </c>
      <c r="F1734" s="3">
        <v>27096</v>
      </c>
      <c r="G1734" s="3">
        <v>827</v>
      </c>
      <c r="H1734" s="3">
        <v>60</v>
      </c>
      <c r="I1734" s="4">
        <v>395.45</v>
      </c>
      <c r="J1734" s="4">
        <v>9264.81</v>
      </c>
      <c r="K1734" s="3">
        <v>43</v>
      </c>
      <c r="L1734" s="2" t="s">
        <v>2539</v>
      </c>
      <c r="M1734" s="2" t="s">
        <v>2546</v>
      </c>
    </row>
    <row r="1735" spans="1:13" x14ac:dyDescent="0.3">
      <c r="A1735" s="1">
        <v>45680</v>
      </c>
      <c r="B1735" s="2" t="s">
        <v>2636</v>
      </c>
      <c r="C1735" s="2" t="s">
        <v>2541</v>
      </c>
      <c r="D1735" s="2" t="s">
        <v>2528</v>
      </c>
      <c r="E1735" s="2" t="s">
        <v>2529</v>
      </c>
      <c r="F1735" s="3">
        <v>47702</v>
      </c>
      <c r="G1735" s="3">
        <v>1835</v>
      </c>
      <c r="H1735" s="3">
        <v>12</v>
      </c>
      <c r="I1735" s="4">
        <v>363.17</v>
      </c>
      <c r="J1735" s="4">
        <v>1811.29</v>
      </c>
      <c r="K1735" s="3">
        <v>10</v>
      </c>
      <c r="L1735" s="2" t="s">
        <v>2539</v>
      </c>
      <c r="M1735" s="2" t="s">
        <v>2546</v>
      </c>
    </row>
    <row r="1736" spans="1:13" x14ac:dyDescent="0.3">
      <c r="A1736" s="1">
        <v>45847</v>
      </c>
      <c r="B1736" s="2" t="s">
        <v>2629</v>
      </c>
      <c r="C1736" s="2" t="s">
        <v>2521</v>
      </c>
      <c r="D1736" s="2" t="s">
        <v>2522</v>
      </c>
      <c r="E1736" s="2" t="s">
        <v>2529</v>
      </c>
      <c r="F1736" s="3">
        <v>147670</v>
      </c>
      <c r="G1736" s="3">
        <v>11953</v>
      </c>
      <c r="H1736" s="3">
        <v>493</v>
      </c>
      <c r="I1736" s="4">
        <v>21518.48</v>
      </c>
      <c r="J1736" s="4">
        <v>7704.74</v>
      </c>
      <c r="K1736" s="3">
        <v>352</v>
      </c>
      <c r="L1736" s="2" t="s">
        <v>2536</v>
      </c>
      <c r="M1736" s="2" t="s">
        <v>2546</v>
      </c>
    </row>
    <row r="1737" spans="1:13" x14ac:dyDescent="0.3">
      <c r="A1737" s="1">
        <v>45959</v>
      </c>
      <c r="B1737" s="2" t="s">
        <v>2634</v>
      </c>
      <c r="C1737" s="2" t="s">
        <v>2533</v>
      </c>
      <c r="D1737" s="2" t="s">
        <v>2528</v>
      </c>
      <c r="E1737" s="2" t="s">
        <v>2517</v>
      </c>
      <c r="F1737" s="3">
        <v>147726</v>
      </c>
      <c r="G1737" s="3">
        <v>2516</v>
      </c>
      <c r="H1737" s="3">
        <v>265</v>
      </c>
      <c r="I1737" s="4">
        <v>4783.37</v>
      </c>
      <c r="J1737" s="4">
        <v>36378.480000000003</v>
      </c>
      <c r="K1737" s="3">
        <v>236</v>
      </c>
      <c r="L1737" s="2" t="s">
        <v>2518</v>
      </c>
      <c r="M1737" s="2" t="s">
        <v>2524</v>
      </c>
    </row>
    <row r="1738" spans="1:13" x14ac:dyDescent="0.3">
      <c r="A1738" s="1">
        <v>45900</v>
      </c>
      <c r="B1738" s="2" t="s">
        <v>2639</v>
      </c>
      <c r="C1738" s="2" t="s">
        <v>2541</v>
      </c>
      <c r="D1738" s="2" t="s">
        <v>2528</v>
      </c>
      <c r="E1738" s="2" t="s">
        <v>2517</v>
      </c>
      <c r="F1738" s="3">
        <v>78481</v>
      </c>
      <c r="G1738" s="3">
        <v>2599</v>
      </c>
      <c r="H1738" s="3">
        <v>153</v>
      </c>
      <c r="I1738" s="4">
        <v>4713.8599999999997</v>
      </c>
      <c r="J1738" s="4">
        <v>10484.18</v>
      </c>
      <c r="K1738" s="3">
        <v>122</v>
      </c>
      <c r="L1738" s="2" t="s">
        <v>2539</v>
      </c>
      <c r="M1738" s="2" t="s">
        <v>2519</v>
      </c>
    </row>
    <row r="1739" spans="1:13" x14ac:dyDescent="0.3">
      <c r="A1739" s="1">
        <v>45687</v>
      </c>
      <c r="B1739" s="2" t="s">
        <v>2622</v>
      </c>
      <c r="C1739" s="2" t="s">
        <v>2521</v>
      </c>
      <c r="D1739" s="2" t="s">
        <v>2525</v>
      </c>
      <c r="E1739" s="2" t="s">
        <v>2529</v>
      </c>
      <c r="F1739" s="3">
        <v>62597</v>
      </c>
      <c r="G1739" s="3">
        <v>5016</v>
      </c>
      <c r="H1739" s="3">
        <v>620</v>
      </c>
      <c r="I1739" s="4">
        <v>7294.12</v>
      </c>
      <c r="J1739" s="4">
        <v>54392.639999999999</v>
      </c>
      <c r="K1739" s="3">
        <v>491</v>
      </c>
      <c r="L1739" s="2" t="s">
        <v>2536</v>
      </c>
      <c r="M1739" s="2" t="s">
        <v>2546</v>
      </c>
    </row>
    <row r="1740" spans="1:13" x14ac:dyDescent="0.3">
      <c r="A1740" s="1">
        <v>45886</v>
      </c>
      <c r="B1740" s="2" t="s">
        <v>2633</v>
      </c>
      <c r="C1740" s="2" t="s">
        <v>2527</v>
      </c>
      <c r="D1740" s="2" t="s">
        <v>2525</v>
      </c>
      <c r="E1740" s="2" t="s">
        <v>2517</v>
      </c>
      <c r="F1740" s="3">
        <v>51934</v>
      </c>
      <c r="G1740" s="3">
        <v>3978</v>
      </c>
      <c r="H1740" s="3">
        <v>479</v>
      </c>
      <c r="I1740" s="4">
        <v>6005.07</v>
      </c>
      <c r="J1740" s="4">
        <v>79987.27</v>
      </c>
      <c r="K1740" s="3">
        <v>274</v>
      </c>
      <c r="L1740" s="2" t="s">
        <v>2523</v>
      </c>
      <c r="M1740" s="2" t="s">
        <v>2526</v>
      </c>
    </row>
    <row r="1741" spans="1:13" x14ac:dyDescent="0.3">
      <c r="A1741" s="1">
        <v>45834</v>
      </c>
      <c r="B1741" s="2" t="s">
        <v>2626</v>
      </c>
      <c r="C1741" s="2" t="s">
        <v>2515</v>
      </c>
      <c r="D1741" s="2" t="s">
        <v>2528</v>
      </c>
      <c r="E1741" s="2" t="s">
        <v>2529</v>
      </c>
      <c r="F1741" s="3">
        <v>65123</v>
      </c>
      <c r="G1741" s="3">
        <v>4674</v>
      </c>
      <c r="H1741" s="3">
        <v>380</v>
      </c>
      <c r="I1741" s="4">
        <v>6109.13</v>
      </c>
      <c r="J1741" s="4">
        <v>76086.97</v>
      </c>
      <c r="K1741" s="3">
        <v>212</v>
      </c>
      <c r="L1741" s="2" t="s">
        <v>2523</v>
      </c>
      <c r="M1741" s="2" t="s">
        <v>2526</v>
      </c>
    </row>
    <row r="1742" spans="1:13" x14ac:dyDescent="0.3">
      <c r="A1742" s="1">
        <v>45785</v>
      </c>
      <c r="B1742" s="2" t="s">
        <v>2634</v>
      </c>
      <c r="C1742" s="2" t="s">
        <v>2515</v>
      </c>
      <c r="D1742" s="2" t="s">
        <v>2528</v>
      </c>
      <c r="E1742" s="2" t="s">
        <v>2517</v>
      </c>
      <c r="F1742" s="3">
        <v>132492</v>
      </c>
      <c r="G1742" s="3">
        <v>7639</v>
      </c>
      <c r="H1742" s="3">
        <v>337</v>
      </c>
      <c r="I1742" s="4">
        <v>2256.1799999999998</v>
      </c>
      <c r="J1742" s="4">
        <v>54184.43</v>
      </c>
      <c r="K1742" s="3">
        <v>182</v>
      </c>
      <c r="L1742" s="2" t="s">
        <v>2539</v>
      </c>
      <c r="M1742" s="2" t="s">
        <v>2519</v>
      </c>
    </row>
    <row r="1743" spans="1:13" x14ac:dyDescent="0.3">
      <c r="A1743" s="1">
        <v>45876</v>
      </c>
      <c r="B1743" s="2" t="s">
        <v>2630</v>
      </c>
      <c r="C1743" s="2" t="s">
        <v>2527</v>
      </c>
      <c r="D1743" s="2" t="s">
        <v>2528</v>
      </c>
      <c r="E1743" s="2" t="s">
        <v>2529</v>
      </c>
      <c r="F1743" s="3">
        <v>11461</v>
      </c>
      <c r="G1743" s="3">
        <v>204</v>
      </c>
      <c r="H1743" s="3">
        <v>14</v>
      </c>
      <c r="I1743" s="4">
        <v>251.08</v>
      </c>
      <c r="J1743" s="4">
        <v>2607.5500000000002</v>
      </c>
      <c r="K1743" s="3">
        <v>10</v>
      </c>
      <c r="L1743" s="2" t="s">
        <v>2523</v>
      </c>
      <c r="M1743" s="2" t="s">
        <v>2526</v>
      </c>
    </row>
    <row r="1744" spans="1:13" x14ac:dyDescent="0.3">
      <c r="A1744" s="1">
        <v>45813</v>
      </c>
      <c r="B1744" s="2" t="s">
        <v>2619</v>
      </c>
      <c r="C1744" s="2" t="s">
        <v>2527</v>
      </c>
      <c r="D1744" s="2" t="s">
        <v>2528</v>
      </c>
      <c r="E1744" s="2" t="s">
        <v>2517</v>
      </c>
      <c r="F1744" s="3">
        <v>59892</v>
      </c>
      <c r="G1744" s="3">
        <v>5217</v>
      </c>
      <c r="H1744" s="3">
        <v>608</v>
      </c>
      <c r="I1744" s="4">
        <v>10943.23</v>
      </c>
      <c r="J1744" s="4">
        <v>64142.42</v>
      </c>
      <c r="K1744" s="3">
        <v>368</v>
      </c>
      <c r="L1744" s="2" t="s">
        <v>2523</v>
      </c>
      <c r="M1744" s="2" t="s">
        <v>2546</v>
      </c>
    </row>
    <row r="1745" spans="1:13" x14ac:dyDescent="0.3">
      <c r="A1745" s="1">
        <v>45773</v>
      </c>
      <c r="B1745" s="2" t="s">
        <v>2624</v>
      </c>
      <c r="C1745" s="2" t="s">
        <v>2645</v>
      </c>
      <c r="D1745" s="2" t="s">
        <v>2531</v>
      </c>
      <c r="E1745" s="2" t="s">
        <v>2517</v>
      </c>
      <c r="F1745" s="3">
        <v>100417</v>
      </c>
      <c r="G1745" s="3">
        <v>5269</v>
      </c>
      <c r="H1745" s="3">
        <v>624</v>
      </c>
      <c r="I1745" s="4">
        <v>9251.64</v>
      </c>
      <c r="J1745" s="4">
        <v>41214.949999999997</v>
      </c>
      <c r="K1745" s="3">
        <v>344</v>
      </c>
      <c r="L1745" s="2" t="s">
        <v>2539</v>
      </c>
      <c r="M1745" s="2" t="s">
        <v>2546</v>
      </c>
    </row>
    <row r="1746" spans="1:13" x14ac:dyDescent="0.3">
      <c r="A1746" s="1">
        <v>45731</v>
      </c>
      <c r="B1746" s="2" t="s">
        <v>2615</v>
      </c>
      <c r="C1746" s="2" t="s">
        <v>2541</v>
      </c>
      <c r="D1746" s="2" t="s">
        <v>2528</v>
      </c>
      <c r="E1746" s="2" t="s">
        <v>2517</v>
      </c>
      <c r="F1746" s="3">
        <v>102092</v>
      </c>
      <c r="G1746" s="3">
        <v>5843</v>
      </c>
      <c r="H1746" s="3">
        <v>656</v>
      </c>
      <c r="I1746" s="4">
        <v>3221.96</v>
      </c>
      <c r="J1746" s="4">
        <v>67843.3</v>
      </c>
      <c r="K1746" s="3">
        <v>360</v>
      </c>
      <c r="L1746" s="2" t="s">
        <v>2536</v>
      </c>
      <c r="M1746" s="2" t="s">
        <v>2537</v>
      </c>
    </row>
    <row r="1747" spans="1:13" x14ac:dyDescent="0.3">
      <c r="A1747" s="1">
        <v>45936</v>
      </c>
      <c r="B1747" s="2" t="s">
        <v>2622</v>
      </c>
      <c r="C1747" s="2" t="s">
        <v>2527</v>
      </c>
      <c r="D1747" s="2" t="s">
        <v>2528</v>
      </c>
      <c r="E1747" s="2" t="s">
        <v>2529</v>
      </c>
      <c r="F1747" s="3">
        <v>49388</v>
      </c>
      <c r="G1747" s="3">
        <v>652</v>
      </c>
      <c r="H1747" s="3">
        <v>19</v>
      </c>
      <c r="I1747" s="4">
        <v>1364.07</v>
      </c>
      <c r="J1747" s="4">
        <v>3981.32</v>
      </c>
      <c r="K1747" s="3">
        <v>15</v>
      </c>
      <c r="L1747" s="2" t="s">
        <v>2539</v>
      </c>
      <c r="M1747" s="2" t="s">
        <v>2546</v>
      </c>
    </row>
    <row r="1748" spans="1:13" x14ac:dyDescent="0.3">
      <c r="A1748" s="1">
        <v>45682</v>
      </c>
      <c r="B1748" s="2" t="s">
        <v>2638</v>
      </c>
      <c r="C1748" s="2" t="s">
        <v>2541</v>
      </c>
      <c r="D1748" s="2" t="s">
        <v>2528</v>
      </c>
      <c r="E1748" s="2" t="s">
        <v>2529</v>
      </c>
      <c r="F1748" s="3">
        <v>178964</v>
      </c>
      <c r="G1748" s="3">
        <v>4222</v>
      </c>
      <c r="H1748" s="3">
        <v>579</v>
      </c>
      <c r="I1748" s="4">
        <v>5335.65</v>
      </c>
      <c r="J1748" s="4">
        <v>116716.25</v>
      </c>
      <c r="K1748" s="3">
        <v>301</v>
      </c>
      <c r="L1748" s="2" t="s">
        <v>2518</v>
      </c>
      <c r="M1748" s="2" t="s">
        <v>2537</v>
      </c>
    </row>
    <row r="1749" spans="1:13" x14ac:dyDescent="0.3">
      <c r="A1749" s="1">
        <v>46022</v>
      </c>
      <c r="B1749" s="2" t="s">
        <v>2631</v>
      </c>
      <c r="C1749" s="2" t="s">
        <v>2521</v>
      </c>
      <c r="D1749" s="2" t="s">
        <v>2525</v>
      </c>
      <c r="E1749" s="2" t="s">
        <v>2529</v>
      </c>
      <c r="F1749" s="3">
        <v>75126</v>
      </c>
      <c r="G1749" s="3">
        <v>1891</v>
      </c>
      <c r="H1749" s="3">
        <v>30</v>
      </c>
      <c r="I1749" s="4">
        <v>1829.86</v>
      </c>
      <c r="J1749" s="4">
        <v>5022.1099999999997</v>
      </c>
      <c r="K1749" s="3">
        <v>17</v>
      </c>
      <c r="L1749" s="2" t="s">
        <v>2518</v>
      </c>
      <c r="M1749" s="2" t="s">
        <v>2519</v>
      </c>
    </row>
    <row r="1750" spans="1:13" x14ac:dyDescent="0.3">
      <c r="A1750" s="1">
        <v>45981</v>
      </c>
      <c r="B1750" s="2" t="s">
        <v>2634</v>
      </c>
      <c r="C1750" s="2" t="s">
        <v>2533</v>
      </c>
      <c r="D1750" s="2" t="s">
        <v>2525</v>
      </c>
      <c r="E1750" s="2" t="s">
        <v>2529</v>
      </c>
      <c r="F1750" s="3">
        <v>141857</v>
      </c>
      <c r="G1750" s="3">
        <v>5244</v>
      </c>
      <c r="H1750" s="3">
        <v>191</v>
      </c>
      <c r="I1750" s="4">
        <v>4697.51</v>
      </c>
      <c r="J1750" s="4">
        <v>38988.93</v>
      </c>
      <c r="K1750" s="3">
        <v>158</v>
      </c>
      <c r="L1750" s="2" t="s">
        <v>2518</v>
      </c>
      <c r="M1750" s="2" t="s">
        <v>2546</v>
      </c>
    </row>
    <row r="1751" spans="1:13" x14ac:dyDescent="0.3">
      <c r="A1751" s="1">
        <v>45733</v>
      </c>
      <c r="B1751" s="2" t="s">
        <v>2618</v>
      </c>
      <c r="C1751" s="2" t="s">
        <v>2541</v>
      </c>
      <c r="D1751" s="2" t="s">
        <v>2525</v>
      </c>
      <c r="E1751" s="2" t="s">
        <v>2529</v>
      </c>
      <c r="F1751" s="3">
        <v>177929</v>
      </c>
      <c r="G1751" s="3">
        <v>13233</v>
      </c>
      <c r="H1751" s="3">
        <v>989</v>
      </c>
      <c r="I1751" s="4">
        <v>9525.44</v>
      </c>
      <c r="J1751" s="4">
        <v>92152.4</v>
      </c>
      <c r="K1751" s="3">
        <v>449</v>
      </c>
      <c r="L1751" s="2" t="s">
        <v>2523</v>
      </c>
      <c r="M1751" s="2" t="s">
        <v>2537</v>
      </c>
    </row>
    <row r="1752" spans="1:13" x14ac:dyDescent="0.3">
      <c r="A1752" s="1">
        <v>45845</v>
      </c>
      <c r="B1752" s="2" t="s">
        <v>2640</v>
      </c>
      <c r="C1752" s="2" t="s">
        <v>2543</v>
      </c>
      <c r="D1752" s="2" t="s">
        <v>2522</v>
      </c>
      <c r="E1752" s="2" t="s">
        <v>2517</v>
      </c>
      <c r="F1752" s="3">
        <v>86565</v>
      </c>
      <c r="G1752" s="3">
        <v>1242</v>
      </c>
      <c r="H1752" s="3">
        <v>162</v>
      </c>
      <c r="I1752" s="4">
        <v>1753.32</v>
      </c>
      <c r="J1752" s="4">
        <v>22439.1</v>
      </c>
      <c r="K1752" s="3">
        <v>130</v>
      </c>
      <c r="L1752" s="2" t="s">
        <v>2518</v>
      </c>
      <c r="M1752" s="2" t="s">
        <v>2546</v>
      </c>
    </row>
    <row r="1753" spans="1:13" x14ac:dyDescent="0.3">
      <c r="A1753" s="1">
        <v>45864</v>
      </c>
      <c r="B1753" s="2" t="s">
        <v>2642</v>
      </c>
      <c r="C1753" s="2" t="s">
        <v>2543</v>
      </c>
      <c r="D1753" s="2" t="s">
        <v>2528</v>
      </c>
      <c r="E1753" s="2" t="s">
        <v>2517</v>
      </c>
      <c r="F1753" s="3">
        <v>7855</v>
      </c>
      <c r="G1753" s="3">
        <v>649</v>
      </c>
      <c r="H1753" s="3">
        <v>33</v>
      </c>
      <c r="I1753" s="4">
        <v>633.92999999999995</v>
      </c>
      <c r="J1753" s="4">
        <v>4191.26</v>
      </c>
      <c r="K1753" s="3">
        <v>21</v>
      </c>
      <c r="L1753" s="2" t="s">
        <v>2523</v>
      </c>
      <c r="M1753" s="2" t="s">
        <v>2537</v>
      </c>
    </row>
    <row r="1754" spans="1:13" x14ac:dyDescent="0.3">
      <c r="A1754" s="1">
        <v>45810</v>
      </c>
      <c r="B1754" s="2" t="s">
        <v>2620</v>
      </c>
      <c r="C1754" s="2" t="s">
        <v>2541</v>
      </c>
      <c r="D1754" s="2" t="s">
        <v>2531</v>
      </c>
      <c r="E1754" s="2" t="s">
        <v>2529</v>
      </c>
      <c r="F1754" s="3">
        <v>179102</v>
      </c>
      <c r="G1754" s="3">
        <v>12322</v>
      </c>
      <c r="H1754" s="3">
        <v>1326</v>
      </c>
      <c r="I1754" s="4">
        <v>24258.639999999999</v>
      </c>
      <c r="J1754" s="4">
        <v>191459.43</v>
      </c>
      <c r="K1754" s="3">
        <v>598</v>
      </c>
      <c r="L1754" s="2" t="s">
        <v>2518</v>
      </c>
      <c r="M1754" s="2" t="s">
        <v>2537</v>
      </c>
    </row>
    <row r="1755" spans="1:13" x14ac:dyDescent="0.3">
      <c r="A1755" s="1">
        <v>45887</v>
      </c>
      <c r="B1755" s="2" t="s">
        <v>2634</v>
      </c>
      <c r="C1755" s="2" t="s">
        <v>2541</v>
      </c>
      <c r="D1755" s="2" t="s">
        <v>2528</v>
      </c>
      <c r="E1755" s="2" t="s">
        <v>2517</v>
      </c>
      <c r="F1755" s="3">
        <v>136783</v>
      </c>
      <c r="G1755" s="3">
        <v>5272</v>
      </c>
      <c r="H1755" s="3">
        <v>245</v>
      </c>
      <c r="I1755" s="4">
        <v>7627.22</v>
      </c>
      <c r="J1755" s="4">
        <v>14292.61</v>
      </c>
      <c r="K1755" s="3">
        <v>209</v>
      </c>
      <c r="L1755" s="2" t="s">
        <v>2536</v>
      </c>
      <c r="M1755" s="2" t="s">
        <v>2526</v>
      </c>
    </row>
    <row r="1756" spans="1:13" x14ac:dyDescent="0.3">
      <c r="A1756" s="1">
        <v>45800</v>
      </c>
      <c r="B1756" s="2" t="s">
        <v>2620</v>
      </c>
      <c r="C1756" s="2" t="s">
        <v>2527</v>
      </c>
      <c r="D1756" s="2" t="s">
        <v>2528</v>
      </c>
      <c r="E1756" s="2" t="s">
        <v>2529</v>
      </c>
      <c r="F1756" s="3">
        <v>32172</v>
      </c>
      <c r="G1756" s="3">
        <v>636</v>
      </c>
      <c r="H1756" s="3">
        <v>71</v>
      </c>
      <c r="I1756" s="4">
        <v>1101.44</v>
      </c>
      <c r="J1756" s="4">
        <v>13528.45</v>
      </c>
      <c r="K1756" s="3">
        <v>49</v>
      </c>
      <c r="L1756" s="2" t="s">
        <v>2536</v>
      </c>
      <c r="M1756" s="2" t="s">
        <v>2524</v>
      </c>
    </row>
    <row r="1757" spans="1:13" x14ac:dyDescent="0.3">
      <c r="A1757" s="1">
        <v>45964</v>
      </c>
      <c r="B1757" s="2" t="s">
        <v>2622</v>
      </c>
      <c r="C1757" s="2" t="s">
        <v>2541</v>
      </c>
      <c r="D1757" s="2" t="s">
        <v>2525</v>
      </c>
      <c r="E1757" s="2" t="s">
        <v>2517</v>
      </c>
      <c r="F1757" s="3">
        <v>81445</v>
      </c>
      <c r="G1757" s="3">
        <v>6354</v>
      </c>
      <c r="H1757" s="3">
        <v>856</v>
      </c>
      <c r="I1757" s="4">
        <v>4659.68</v>
      </c>
      <c r="J1757" s="4">
        <v>160667.25</v>
      </c>
      <c r="K1757" s="3">
        <v>392</v>
      </c>
      <c r="L1757" s="2" t="s">
        <v>2539</v>
      </c>
      <c r="M1757" s="2" t="s">
        <v>2537</v>
      </c>
    </row>
    <row r="1758" spans="1:13" x14ac:dyDescent="0.3">
      <c r="A1758" s="1">
        <v>45841</v>
      </c>
      <c r="B1758" s="2" t="s">
        <v>2636</v>
      </c>
      <c r="C1758" s="2" t="s">
        <v>2533</v>
      </c>
      <c r="D1758" s="2" t="s">
        <v>2531</v>
      </c>
      <c r="E1758" s="2" t="s">
        <v>2517</v>
      </c>
      <c r="F1758" s="3">
        <v>159005</v>
      </c>
      <c r="G1758" s="3">
        <v>10666</v>
      </c>
      <c r="H1758" s="3">
        <v>807</v>
      </c>
      <c r="I1758" s="4">
        <v>16460.810000000001</v>
      </c>
      <c r="J1758" s="4">
        <v>67452.5</v>
      </c>
      <c r="K1758" s="3">
        <v>638</v>
      </c>
      <c r="L1758" s="2" t="s">
        <v>2536</v>
      </c>
      <c r="M1758" s="2" t="s">
        <v>2526</v>
      </c>
    </row>
    <row r="1759" spans="1:13" x14ac:dyDescent="0.3">
      <c r="A1759" s="1">
        <v>46003</v>
      </c>
      <c r="B1759" s="2" t="s">
        <v>2625</v>
      </c>
      <c r="C1759" s="2" t="s">
        <v>2521</v>
      </c>
      <c r="D1759" s="2" t="s">
        <v>2522</v>
      </c>
      <c r="E1759" s="2" t="s">
        <v>2517</v>
      </c>
      <c r="F1759" s="3">
        <v>172622</v>
      </c>
      <c r="G1759" s="3">
        <v>12451</v>
      </c>
      <c r="H1759" s="3">
        <v>1400</v>
      </c>
      <c r="I1759" s="4">
        <v>9068.3799999999992</v>
      </c>
      <c r="J1759" s="4">
        <v>112979.69</v>
      </c>
      <c r="K1759" s="3">
        <v>1109</v>
      </c>
      <c r="L1759" s="2" t="s">
        <v>2536</v>
      </c>
      <c r="M1759" s="2" t="s">
        <v>2546</v>
      </c>
    </row>
    <row r="1760" spans="1:13" x14ac:dyDescent="0.3">
      <c r="A1760" s="1">
        <v>45853</v>
      </c>
      <c r="B1760" s="2" t="s">
        <v>2639</v>
      </c>
      <c r="C1760" s="2" t="s">
        <v>2521</v>
      </c>
      <c r="D1760" s="2" t="s">
        <v>2528</v>
      </c>
      <c r="E1760" s="2" t="s">
        <v>2517</v>
      </c>
      <c r="F1760" s="3">
        <v>97138</v>
      </c>
      <c r="G1760" s="3">
        <v>7880</v>
      </c>
      <c r="H1760" s="3">
        <v>354</v>
      </c>
      <c r="I1760" s="4">
        <v>6258.9</v>
      </c>
      <c r="J1760" s="4">
        <v>74907.87</v>
      </c>
      <c r="K1760" s="3">
        <v>270</v>
      </c>
      <c r="L1760" s="2" t="s">
        <v>2518</v>
      </c>
      <c r="M1760" s="2" t="s">
        <v>2546</v>
      </c>
    </row>
    <row r="1761" spans="1:13" x14ac:dyDescent="0.3">
      <c r="A1761" s="1">
        <v>45903</v>
      </c>
      <c r="B1761" s="2" t="s">
        <v>2639</v>
      </c>
      <c r="C1761" s="2" t="s">
        <v>2527</v>
      </c>
      <c r="D1761" s="2" t="s">
        <v>2528</v>
      </c>
      <c r="E1761" s="2" t="s">
        <v>2517</v>
      </c>
      <c r="F1761" s="3">
        <v>54196</v>
      </c>
      <c r="G1761" s="3">
        <v>3954</v>
      </c>
      <c r="H1761" s="3">
        <v>434</v>
      </c>
      <c r="I1761" s="4">
        <v>6382.16</v>
      </c>
      <c r="J1761" s="4">
        <v>53810.61</v>
      </c>
      <c r="K1761" s="3">
        <v>331</v>
      </c>
      <c r="L1761" s="2" t="s">
        <v>2523</v>
      </c>
      <c r="M1761" s="2" t="s">
        <v>2537</v>
      </c>
    </row>
    <row r="1762" spans="1:13" x14ac:dyDescent="0.3">
      <c r="A1762" s="1">
        <v>45996</v>
      </c>
      <c r="B1762" s="2" t="s">
        <v>2641</v>
      </c>
      <c r="C1762" s="2" t="s">
        <v>2515</v>
      </c>
      <c r="D1762" s="2" t="s">
        <v>2531</v>
      </c>
      <c r="E1762" s="2" t="s">
        <v>2529</v>
      </c>
      <c r="F1762" s="3">
        <v>97664</v>
      </c>
      <c r="G1762" s="3">
        <v>5523</v>
      </c>
      <c r="H1762" s="3">
        <v>85</v>
      </c>
      <c r="I1762" s="4">
        <v>8944.33</v>
      </c>
      <c r="J1762" s="4">
        <v>9054.4500000000007</v>
      </c>
      <c r="K1762" s="3">
        <v>75</v>
      </c>
      <c r="L1762" s="2" t="s">
        <v>2536</v>
      </c>
      <c r="M1762" s="2" t="s">
        <v>2645</v>
      </c>
    </row>
    <row r="1763" spans="1:13" x14ac:dyDescent="0.3">
      <c r="A1763" s="1">
        <v>46019</v>
      </c>
      <c r="B1763" s="2" t="s">
        <v>2633</v>
      </c>
      <c r="C1763" s="2" t="s">
        <v>2527</v>
      </c>
      <c r="D1763" s="2" t="s">
        <v>2525</v>
      </c>
      <c r="E1763" s="2" t="s">
        <v>2529</v>
      </c>
      <c r="F1763" s="3">
        <v>42471</v>
      </c>
      <c r="G1763" s="3">
        <v>1116</v>
      </c>
      <c r="H1763" s="3">
        <v>26</v>
      </c>
      <c r="I1763" s="4">
        <v>2010.77</v>
      </c>
      <c r="J1763" s="4">
        <v>525.9</v>
      </c>
      <c r="K1763" s="3">
        <v>14</v>
      </c>
      <c r="L1763" s="2" t="s">
        <v>2536</v>
      </c>
      <c r="M1763" s="2" t="s">
        <v>2524</v>
      </c>
    </row>
    <row r="1764" spans="1:13" x14ac:dyDescent="0.3">
      <c r="A1764" s="1">
        <v>45797</v>
      </c>
      <c r="B1764" s="2" t="s">
        <v>2628</v>
      </c>
      <c r="C1764" s="2" t="s">
        <v>2515</v>
      </c>
      <c r="D1764" s="2" t="s">
        <v>2528</v>
      </c>
      <c r="E1764" s="2" t="s">
        <v>2517</v>
      </c>
      <c r="F1764" s="3">
        <v>90932</v>
      </c>
      <c r="G1764" s="3">
        <v>1302</v>
      </c>
      <c r="H1764" s="3">
        <v>172</v>
      </c>
      <c r="I1764" s="4">
        <v>635.32000000000005</v>
      </c>
      <c r="J1764" s="4">
        <v>17159.52</v>
      </c>
      <c r="K1764" s="3">
        <v>107</v>
      </c>
      <c r="L1764" s="2" t="s">
        <v>2518</v>
      </c>
      <c r="M1764" s="2" t="s">
        <v>2519</v>
      </c>
    </row>
    <row r="1765" spans="1:13" x14ac:dyDescent="0.3">
      <c r="A1765" s="1">
        <v>45970</v>
      </c>
      <c r="B1765" s="2" t="s">
        <v>2625</v>
      </c>
      <c r="C1765" s="2" t="s">
        <v>2533</v>
      </c>
      <c r="D1765" s="2" t="s">
        <v>2528</v>
      </c>
      <c r="E1765" s="2" t="s">
        <v>2529</v>
      </c>
      <c r="F1765" s="3">
        <v>64603</v>
      </c>
      <c r="G1765" s="3">
        <v>3827</v>
      </c>
      <c r="H1765" s="3">
        <v>156</v>
      </c>
      <c r="I1765" s="4">
        <v>3961.49</v>
      </c>
      <c r="J1765" s="4">
        <v>17807.47</v>
      </c>
      <c r="K1765" s="3">
        <v>70</v>
      </c>
      <c r="L1765" s="2" t="s">
        <v>2539</v>
      </c>
      <c r="M1765" s="2" t="s">
        <v>2537</v>
      </c>
    </row>
    <row r="1766" spans="1:13" x14ac:dyDescent="0.3">
      <c r="A1766" s="1">
        <v>45879</v>
      </c>
      <c r="B1766" s="2" t="s">
        <v>2644</v>
      </c>
      <c r="C1766" s="2" t="s">
        <v>2521</v>
      </c>
      <c r="D1766" s="2" t="s">
        <v>2531</v>
      </c>
      <c r="E1766" s="2" t="s">
        <v>2529</v>
      </c>
      <c r="F1766" s="3">
        <v>95785</v>
      </c>
      <c r="G1766" s="3">
        <v>7858</v>
      </c>
      <c r="H1766" s="3">
        <v>877</v>
      </c>
      <c r="I1766" s="4">
        <v>7858.81</v>
      </c>
      <c r="J1766" s="4">
        <v>69761.100000000006</v>
      </c>
      <c r="K1766" s="3">
        <v>550</v>
      </c>
      <c r="L1766" s="2" t="s">
        <v>2523</v>
      </c>
      <c r="M1766" s="2" t="s">
        <v>2519</v>
      </c>
    </row>
    <row r="1767" spans="1:13" x14ac:dyDescent="0.3">
      <c r="A1767" s="1">
        <v>45932</v>
      </c>
      <c r="B1767" s="2" t="s">
        <v>2632</v>
      </c>
      <c r="C1767" s="2" t="s">
        <v>2543</v>
      </c>
      <c r="D1767" s="2" t="s">
        <v>2522</v>
      </c>
      <c r="E1767" s="2" t="s">
        <v>2517</v>
      </c>
      <c r="F1767" s="3">
        <v>10851</v>
      </c>
      <c r="G1767" s="3">
        <v>423</v>
      </c>
      <c r="H1767" s="3">
        <v>8</v>
      </c>
      <c r="I1767" s="4">
        <v>397.49</v>
      </c>
      <c r="J1767" s="4">
        <v>418.72</v>
      </c>
      <c r="K1767" s="3">
        <v>6</v>
      </c>
      <c r="L1767" s="2" t="s">
        <v>2536</v>
      </c>
      <c r="M1767" s="2" t="s">
        <v>2526</v>
      </c>
    </row>
    <row r="1768" spans="1:13" x14ac:dyDescent="0.3">
      <c r="A1768" s="1">
        <v>45664</v>
      </c>
      <c r="B1768" s="2" t="s">
        <v>2635</v>
      </c>
      <c r="C1768" s="2" t="s">
        <v>2541</v>
      </c>
      <c r="D1768" s="2" t="s">
        <v>2528</v>
      </c>
      <c r="E1768" s="2" t="s">
        <v>2517</v>
      </c>
      <c r="F1768" s="3">
        <v>11652</v>
      </c>
      <c r="G1768" s="3">
        <v>806</v>
      </c>
      <c r="H1768" s="3">
        <v>44</v>
      </c>
      <c r="I1768" s="4">
        <v>515.67999999999995</v>
      </c>
      <c r="J1768" s="4">
        <v>5721.09</v>
      </c>
      <c r="K1768" s="3">
        <v>35</v>
      </c>
      <c r="L1768" s="2" t="s">
        <v>2523</v>
      </c>
      <c r="M1768" s="2" t="s">
        <v>2546</v>
      </c>
    </row>
    <row r="1769" spans="1:13" x14ac:dyDescent="0.3">
      <c r="A1769" s="1">
        <v>45756</v>
      </c>
      <c r="B1769" s="2" t="s">
        <v>2634</v>
      </c>
      <c r="C1769" s="2" t="s">
        <v>2527</v>
      </c>
      <c r="D1769" s="2" t="s">
        <v>2528</v>
      </c>
      <c r="E1769" s="2" t="s">
        <v>2529</v>
      </c>
      <c r="F1769" s="3">
        <v>72154</v>
      </c>
      <c r="G1769" s="3">
        <v>73029</v>
      </c>
      <c r="H1769" s="3">
        <v>545</v>
      </c>
      <c r="I1769" s="4">
        <v>9586.16</v>
      </c>
      <c r="J1769" s="4">
        <v>38129.86</v>
      </c>
      <c r="K1769" s="3">
        <v>304</v>
      </c>
      <c r="L1769" s="2" t="s">
        <v>2523</v>
      </c>
      <c r="M1769" s="2" t="s">
        <v>2519</v>
      </c>
    </row>
    <row r="1770" spans="1:13" x14ac:dyDescent="0.3">
      <c r="A1770" s="1">
        <v>45672</v>
      </c>
      <c r="B1770" s="2" t="s">
        <v>2639</v>
      </c>
      <c r="C1770" s="2" t="s">
        <v>2541</v>
      </c>
      <c r="D1770" s="2" t="s">
        <v>2528</v>
      </c>
      <c r="E1770" s="2" t="s">
        <v>2529</v>
      </c>
      <c r="F1770" s="3">
        <v>66037</v>
      </c>
      <c r="G1770" s="3">
        <v>2416</v>
      </c>
      <c r="H1770" s="3">
        <v>55</v>
      </c>
      <c r="I1770" s="4">
        <v>593.58000000000004</v>
      </c>
      <c r="J1770" s="4">
        <v>1279.83</v>
      </c>
      <c r="K1770" s="3">
        <v>36</v>
      </c>
      <c r="L1770" s="2" t="s">
        <v>2536</v>
      </c>
      <c r="M1770" s="2" t="s">
        <v>2526</v>
      </c>
    </row>
    <row r="1771" spans="1:13" x14ac:dyDescent="0.3">
      <c r="A1771" s="1">
        <v>45808</v>
      </c>
      <c r="B1771" s="2" t="s">
        <v>2638</v>
      </c>
      <c r="C1771" s="2" t="s">
        <v>2527</v>
      </c>
      <c r="D1771" s="2" t="s">
        <v>2531</v>
      </c>
      <c r="E1771" s="2" t="s">
        <v>2529</v>
      </c>
      <c r="F1771" s="3">
        <v>70344</v>
      </c>
      <c r="G1771" s="3">
        <v>4111</v>
      </c>
      <c r="H1771" s="3">
        <v>338</v>
      </c>
      <c r="I1771" s="4">
        <v>3361.51</v>
      </c>
      <c r="J1771" s="4">
        <v>56576.27</v>
      </c>
      <c r="K1771" s="3">
        <v>162</v>
      </c>
      <c r="L1771" s="2" t="s">
        <v>2523</v>
      </c>
      <c r="M1771" s="2" t="s">
        <v>2537</v>
      </c>
    </row>
    <row r="1772" spans="1:13" x14ac:dyDescent="0.3">
      <c r="A1772" s="1">
        <v>45989</v>
      </c>
      <c r="B1772" s="2" t="s">
        <v>2639</v>
      </c>
      <c r="C1772" s="2" t="s">
        <v>2515</v>
      </c>
      <c r="D1772" s="2" t="s">
        <v>2528</v>
      </c>
      <c r="E1772" s="2" t="s">
        <v>2517</v>
      </c>
      <c r="F1772" s="3">
        <v>84877</v>
      </c>
      <c r="G1772" s="3">
        <v>4421</v>
      </c>
      <c r="H1772" s="3">
        <v>74</v>
      </c>
      <c r="I1772" s="4">
        <v>8776.5499999999993</v>
      </c>
      <c r="J1772" s="4">
        <v>15209.49</v>
      </c>
      <c r="K1772" s="3">
        <v>43</v>
      </c>
      <c r="L1772" s="2" t="s">
        <v>2539</v>
      </c>
      <c r="M1772" s="2" t="s">
        <v>2537</v>
      </c>
    </row>
    <row r="1773" spans="1:13" x14ac:dyDescent="0.3">
      <c r="A1773" s="1">
        <v>45865</v>
      </c>
      <c r="B1773" s="2" t="s">
        <v>2616</v>
      </c>
      <c r="C1773" s="2" t="s">
        <v>2543</v>
      </c>
      <c r="D1773" s="2" t="s">
        <v>2531</v>
      </c>
      <c r="E1773" s="2" t="s">
        <v>2517</v>
      </c>
      <c r="F1773" s="3">
        <v>13545</v>
      </c>
      <c r="G1773" s="3">
        <v>253</v>
      </c>
      <c r="H1773" s="3">
        <v>29</v>
      </c>
      <c r="I1773" s="4">
        <v>424.78</v>
      </c>
      <c r="J1773" s="4">
        <v>3750.25</v>
      </c>
      <c r="K1773" s="3">
        <v>16</v>
      </c>
      <c r="L1773" s="2" t="s">
        <v>2518</v>
      </c>
      <c r="M1773" s="2" t="s">
        <v>2526</v>
      </c>
    </row>
    <row r="1774" spans="1:13" x14ac:dyDescent="0.3">
      <c r="A1774" s="1">
        <v>46019</v>
      </c>
      <c r="B1774" s="2" t="s">
        <v>2626</v>
      </c>
      <c r="C1774" s="2" t="s">
        <v>2521</v>
      </c>
      <c r="D1774" s="2" t="s">
        <v>2528</v>
      </c>
      <c r="E1774" s="2" t="s">
        <v>2529</v>
      </c>
      <c r="F1774" s="3">
        <v>150469</v>
      </c>
      <c r="G1774" s="3">
        <v>2089</v>
      </c>
      <c r="H1774" s="3">
        <v>215</v>
      </c>
      <c r="I1774" s="4">
        <v>4146.28</v>
      </c>
      <c r="J1774" s="4">
        <v>7867.52</v>
      </c>
      <c r="K1774" s="3">
        <v>164</v>
      </c>
      <c r="L1774" s="2" t="s">
        <v>2536</v>
      </c>
      <c r="M1774" s="2" t="s">
        <v>2524</v>
      </c>
    </row>
    <row r="1775" spans="1:13" x14ac:dyDescent="0.3">
      <c r="A1775" s="1">
        <v>45944</v>
      </c>
      <c r="B1775" s="2" t="s">
        <v>2627</v>
      </c>
      <c r="C1775" s="2" t="s">
        <v>2521</v>
      </c>
      <c r="D1775" s="2" t="s">
        <v>2525</v>
      </c>
      <c r="E1775" s="2" t="s">
        <v>2529</v>
      </c>
      <c r="F1775" s="3">
        <v>7356</v>
      </c>
      <c r="G1775" s="3">
        <v>162</v>
      </c>
      <c r="H1775" s="3">
        <v>8</v>
      </c>
      <c r="I1775" s="4">
        <v>60.24</v>
      </c>
      <c r="J1775" s="4">
        <v>760.64</v>
      </c>
      <c r="K1775" s="3">
        <v>6</v>
      </c>
      <c r="L1775" s="2" t="s">
        <v>2536</v>
      </c>
      <c r="M1775" s="2" t="s">
        <v>2526</v>
      </c>
    </row>
    <row r="1776" spans="1:13" x14ac:dyDescent="0.3">
      <c r="A1776" s="1">
        <v>45882</v>
      </c>
      <c r="B1776" s="2" t="s">
        <v>2634</v>
      </c>
      <c r="C1776" s="2" t="s">
        <v>2515</v>
      </c>
      <c r="D1776" s="2" t="s">
        <v>2525</v>
      </c>
      <c r="E1776" s="2" t="s">
        <v>2529</v>
      </c>
      <c r="F1776" s="3">
        <v>144729</v>
      </c>
      <c r="G1776" s="3">
        <v>7786</v>
      </c>
      <c r="H1776" s="3">
        <v>730</v>
      </c>
      <c r="I1776" s="4">
        <v>2415.6799999999998</v>
      </c>
      <c r="J1776" s="4">
        <v>61879.08</v>
      </c>
      <c r="K1776" s="3">
        <v>623</v>
      </c>
      <c r="L1776" s="2" t="s">
        <v>2518</v>
      </c>
      <c r="M1776" s="2" t="s">
        <v>2537</v>
      </c>
    </row>
    <row r="1777" spans="1:13" x14ac:dyDescent="0.3">
      <c r="A1777" s="1">
        <v>45792</v>
      </c>
      <c r="B1777" s="2" t="s">
        <v>2625</v>
      </c>
      <c r="C1777" s="2" t="s">
        <v>2515</v>
      </c>
      <c r="D1777" s="2" t="s">
        <v>2528</v>
      </c>
      <c r="E1777" s="2" t="s">
        <v>2529</v>
      </c>
      <c r="F1777" s="3">
        <v>46391</v>
      </c>
      <c r="G1777" s="3">
        <v>4052</v>
      </c>
      <c r="H1777" s="3">
        <v>566</v>
      </c>
      <c r="I1777" s="4">
        <v>7701.91</v>
      </c>
      <c r="J1777" s="4">
        <v>56826.89</v>
      </c>
      <c r="K1777" s="3">
        <v>407</v>
      </c>
      <c r="L1777" s="2" t="s">
        <v>2523</v>
      </c>
      <c r="M1777" s="2" t="s">
        <v>2524</v>
      </c>
    </row>
    <row r="1778" spans="1:13" x14ac:dyDescent="0.3">
      <c r="A1778" s="1">
        <v>45793</v>
      </c>
      <c r="B1778" s="2" t="s">
        <v>2635</v>
      </c>
      <c r="C1778" s="2" t="s">
        <v>2533</v>
      </c>
      <c r="D1778" s="2" t="s">
        <v>2528</v>
      </c>
      <c r="E1778" s="2" t="s">
        <v>2529</v>
      </c>
      <c r="F1778" s="3">
        <v>147529</v>
      </c>
      <c r="G1778" s="3">
        <v>6475</v>
      </c>
      <c r="H1778" s="3">
        <v>572</v>
      </c>
      <c r="I1778" s="4">
        <v>3302.13</v>
      </c>
      <c r="J1778" s="4">
        <v>29813.23</v>
      </c>
      <c r="K1778" s="3">
        <v>420</v>
      </c>
      <c r="L1778" s="2" t="s">
        <v>2539</v>
      </c>
      <c r="M1778" s="2" t="s">
        <v>2524</v>
      </c>
    </row>
    <row r="1779" spans="1:13" x14ac:dyDescent="0.3">
      <c r="A1779" s="1">
        <v>45766</v>
      </c>
      <c r="B1779" s="2" t="s">
        <v>2637</v>
      </c>
      <c r="C1779" s="2" t="s">
        <v>2527</v>
      </c>
      <c r="D1779" s="2" t="s">
        <v>2525</v>
      </c>
      <c r="E1779" s="2" t="s">
        <v>2517</v>
      </c>
      <c r="F1779" s="3">
        <v>11759</v>
      </c>
      <c r="G1779" s="3">
        <v>678</v>
      </c>
      <c r="H1779" s="3">
        <v>43</v>
      </c>
      <c r="I1779" s="4">
        <v>218.78</v>
      </c>
      <c r="J1779" s="4">
        <v>6826.64</v>
      </c>
      <c r="K1779" s="3">
        <v>30</v>
      </c>
      <c r="L1779" s="2" t="s">
        <v>2523</v>
      </c>
      <c r="M1779" s="2" t="s">
        <v>2524</v>
      </c>
    </row>
    <row r="1780" spans="1:13" x14ac:dyDescent="0.3">
      <c r="A1780" s="1">
        <v>45844</v>
      </c>
      <c r="B1780" s="2" t="s">
        <v>2623</v>
      </c>
      <c r="C1780" s="2" t="s">
        <v>2515</v>
      </c>
      <c r="D1780" s="2" t="s">
        <v>2528</v>
      </c>
      <c r="E1780" s="2" t="s">
        <v>2529</v>
      </c>
      <c r="F1780" s="3">
        <v>10749</v>
      </c>
      <c r="G1780" s="3">
        <v>747</v>
      </c>
      <c r="H1780" s="3">
        <v>43</v>
      </c>
      <c r="I1780" s="4">
        <v>1070.3499999999999</v>
      </c>
      <c r="J1780" s="4">
        <v>2908.08</v>
      </c>
      <c r="K1780" s="3">
        <v>26</v>
      </c>
      <c r="L1780" s="2" t="s">
        <v>2539</v>
      </c>
      <c r="M1780" s="2" t="s">
        <v>2526</v>
      </c>
    </row>
    <row r="1781" spans="1:13" x14ac:dyDescent="0.3">
      <c r="A1781" s="1">
        <v>45721</v>
      </c>
      <c r="B1781" s="2" t="s">
        <v>2631</v>
      </c>
      <c r="C1781" s="2" t="s">
        <v>2527</v>
      </c>
      <c r="D1781" s="2" t="s">
        <v>2516</v>
      </c>
      <c r="E1781" s="2" t="s">
        <v>2529</v>
      </c>
      <c r="F1781" s="3">
        <v>74153</v>
      </c>
      <c r="G1781" s="3">
        <v>1066</v>
      </c>
      <c r="H1781" s="3">
        <v>125</v>
      </c>
      <c r="I1781" s="4">
        <v>263.64999999999998</v>
      </c>
      <c r="J1781" s="4">
        <v>8715.89</v>
      </c>
      <c r="K1781" s="3">
        <v>111</v>
      </c>
      <c r="L1781" s="2" t="s">
        <v>2523</v>
      </c>
      <c r="M1781" s="2" t="s">
        <v>2546</v>
      </c>
    </row>
    <row r="1782" spans="1:13" x14ac:dyDescent="0.3">
      <c r="A1782" s="1">
        <v>45695</v>
      </c>
      <c r="B1782" s="2" t="s">
        <v>2633</v>
      </c>
      <c r="C1782" s="2" t="s">
        <v>2515</v>
      </c>
      <c r="D1782" s="2" t="s">
        <v>2528</v>
      </c>
      <c r="E1782" s="2" t="s">
        <v>2529</v>
      </c>
      <c r="F1782" s="3">
        <v>45452</v>
      </c>
      <c r="G1782" s="3">
        <v>3858</v>
      </c>
      <c r="H1782" s="3">
        <v>66</v>
      </c>
      <c r="I1782" s="4">
        <v>5607.9</v>
      </c>
      <c r="J1782" s="4">
        <v>13285.37</v>
      </c>
      <c r="K1782" s="3">
        <v>58</v>
      </c>
      <c r="L1782" s="2" t="s">
        <v>2518</v>
      </c>
      <c r="M1782" s="2" t="s">
        <v>2519</v>
      </c>
    </row>
    <row r="1783" spans="1:13" x14ac:dyDescent="0.3">
      <c r="A1783" s="1">
        <v>45685</v>
      </c>
      <c r="B1783" s="2" t="s">
        <v>2627</v>
      </c>
      <c r="C1783" s="2" t="s">
        <v>2515</v>
      </c>
      <c r="D1783" s="2" t="s">
        <v>2525</v>
      </c>
      <c r="E1783" s="2" t="s">
        <v>2534</v>
      </c>
      <c r="F1783" s="3">
        <v>79615</v>
      </c>
      <c r="G1783" s="3">
        <v>5249</v>
      </c>
      <c r="H1783" s="3">
        <v>215</v>
      </c>
      <c r="I1783" s="4">
        <v>2127.0100000000002</v>
      </c>
      <c r="J1783" s="4">
        <v>15654.98</v>
      </c>
      <c r="K1783" s="3">
        <v>146</v>
      </c>
      <c r="L1783" s="2" t="s">
        <v>2539</v>
      </c>
      <c r="M1783" s="2" t="s">
        <v>2546</v>
      </c>
    </row>
    <row r="1784" spans="1:13" x14ac:dyDescent="0.3">
      <c r="A1784" s="1">
        <v>45839</v>
      </c>
      <c r="B1784" s="2" t="s">
        <v>2636</v>
      </c>
      <c r="C1784" s="2" t="s">
        <v>2521</v>
      </c>
      <c r="D1784" s="2" t="s">
        <v>2528</v>
      </c>
      <c r="E1784" s="2" t="s">
        <v>2529</v>
      </c>
      <c r="F1784" s="3">
        <v>17910</v>
      </c>
      <c r="G1784" s="3">
        <v>250</v>
      </c>
      <c r="H1784" s="3">
        <v>2</v>
      </c>
      <c r="I1784" s="4">
        <v>202.26</v>
      </c>
      <c r="J1784" s="4">
        <v>237.55</v>
      </c>
      <c r="K1784" s="3">
        <v>1</v>
      </c>
      <c r="L1784" s="2" t="s">
        <v>2539</v>
      </c>
      <c r="M1784" s="2" t="s">
        <v>2537</v>
      </c>
    </row>
    <row r="1785" spans="1:13" x14ac:dyDescent="0.3">
      <c r="A1785" s="1">
        <v>45710</v>
      </c>
      <c r="B1785" s="2" t="s">
        <v>2634</v>
      </c>
      <c r="C1785" s="2" t="s">
        <v>2527</v>
      </c>
      <c r="D1785" s="2" t="s">
        <v>2531</v>
      </c>
      <c r="E1785" s="2" t="s">
        <v>2529</v>
      </c>
      <c r="F1785" s="3">
        <v>24544</v>
      </c>
      <c r="G1785" s="3">
        <v>934</v>
      </c>
      <c r="H1785" s="3">
        <v>76</v>
      </c>
      <c r="I1785" s="4">
        <v>1307.1500000000001</v>
      </c>
      <c r="J1785" s="4">
        <v>9350.6</v>
      </c>
      <c r="K1785" s="3">
        <v>66</v>
      </c>
      <c r="L1785" s="2" t="s">
        <v>2523</v>
      </c>
      <c r="M1785" s="2" t="s">
        <v>2524</v>
      </c>
    </row>
    <row r="1786" spans="1:13" x14ac:dyDescent="0.3">
      <c r="A1786" s="1">
        <v>46008</v>
      </c>
      <c r="B1786" s="2" t="s">
        <v>2643</v>
      </c>
      <c r="C1786" s="2" t="s">
        <v>2541</v>
      </c>
      <c r="D1786" s="2" t="s">
        <v>2525</v>
      </c>
      <c r="E1786" s="2" t="s">
        <v>2529</v>
      </c>
      <c r="F1786" s="3">
        <v>126646</v>
      </c>
      <c r="G1786" s="3">
        <v>8908</v>
      </c>
      <c r="H1786" s="3">
        <v>191</v>
      </c>
      <c r="I1786" s="4">
        <v>5105.7700000000004</v>
      </c>
      <c r="J1786" s="4">
        <v>17217.29</v>
      </c>
      <c r="K1786" s="3">
        <v>142</v>
      </c>
      <c r="L1786" s="2" t="s">
        <v>2518</v>
      </c>
      <c r="M1786" s="2" t="s">
        <v>2526</v>
      </c>
    </row>
    <row r="1787" spans="1:13" x14ac:dyDescent="0.3">
      <c r="A1787" s="1">
        <v>45833</v>
      </c>
      <c r="B1787" s="2" t="s">
        <v>2637</v>
      </c>
      <c r="C1787" s="2" t="s">
        <v>2515</v>
      </c>
      <c r="D1787" s="2" t="s">
        <v>2528</v>
      </c>
      <c r="E1787" s="2" t="s">
        <v>2517</v>
      </c>
      <c r="F1787" s="3">
        <v>28619</v>
      </c>
      <c r="G1787" s="3">
        <v>2304</v>
      </c>
      <c r="H1787" s="3">
        <v>153</v>
      </c>
      <c r="I1787" s="4">
        <v>4577.62</v>
      </c>
      <c r="J1787" s="4">
        <v>8727.06</v>
      </c>
      <c r="K1787" s="3">
        <v>112</v>
      </c>
      <c r="L1787" s="2" t="s">
        <v>2518</v>
      </c>
      <c r="M1787" s="2" t="s">
        <v>2526</v>
      </c>
    </row>
    <row r="1788" spans="1:13" x14ac:dyDescent="0.3">
      <c r="A1788" s="1">
        <v>45983</v>
      </c>
      <c r="B1788" s="2" t="s">
        <v>2626</v>
      </c>
      <c r="C1788" s="2" t="s">
        <v>2541</v>
      </c>
      <c r="D1788" s="2" t="s">
        <v>2522</v>
      </c>
      <c r="E1788" s="2" t="s">
        <v>2529</v>
      </c>
      <c r="F1788" s="3">
        <v>126780</v>
      </c>
      <c r="G1788" s="3">
        <v>9423</v>
      </c>
      <c r="H1788" s="3">
        <v>794</v>
      </c>
      <c r="I1788" s="4">
        <v>14223.2</v>
      </c>
      <c r="J1788" s="4">
        <v>135883.66</v>
      </c>
      <c r="K1788" s="3">
        <v>611</v>
      </c>
      <c r="L1788" s="2" t="s">
        <v>2518</v>
      </c>
      <c r="M1788" s="2" t="s">
        <v>2519</v>
      </c>
    </row>
    <row r="1789" spans="1:13" x14ac:dyDescent="0.3">
      <c r="A1789" s="1">
        <v>45877</v>
      </c>
      <c r="B1789" s="2" t="s">
        <v>2635</v>
      </c>
      <c r="C1789" s="2" t="s">
        <v>2521</v>
      </c>
      <c r="D1789" s="2" t="s">
        <v>2528</v>
      </c>
      <c r="E1789" s="2" t="s">
        <v>2517</v>
      </c>
      <c r="F1789" s="3">
        <v>70764</v>
      </c>
      <c r="G1789" s="3">
        <v>2336</v>
      </c>
      <c r="H1789" s="3">
        <v>228</v>
      </c>
      <c r="I1789" s="4">
        <v>942.98</v>
      </c>
      <c r="J1789" s="4">
        <v>41745.86</v>
      </c>
      <c r="K1789" s="3">
        <v>116</v>
      </c>
      <c r="L1789" s="2" t="s">
        <v>2539</v>
      </c>
      <c r="M1789" s="2" t="s">
        <v>2519</v>
      </c>
    </row>
    <row r="1790" spans="1:13" x14ac:dyDescent="0.3">
      <c r="A1790" s="1">
        <v>45944</v>
      </c>
      <c r="B1790" s="2" t="s">
        <v>2633</v>
      </c>
      <c r="C1790" s="2" t="s">
        <v>2533</v>
      </c>
      <c r="D1790" s="2" t="s">
        <v>2528</v>
      </c>
      <c r="E1790" s="2" t="s">
        <v>2517</v>
      </c>
      <c r="F1790" s="3">
        <v>118667</v>
      </c>
      <c r="G1790" s="3">
        <v>4655</v>
      </c>
      <c r="H1790" s="3">
        <v>231</v>
      </c>
      <c r="I1790" s="4">
        <v>4241.1099999999997</v>
      </c>
      <c r="J1790" s="4">
        <v>44804.83</v>
      </c>
      <c r="K1790" s="3">
        <v>205</v>
      </c>
      <c r="L1790" s="2" t="s">
        <v>2518</v>
      </c>
      <c r="M1790" s="2" t="s">
        <v>2537</v>
      </c>
    </row>
    <row r="1791" spans="1:13" x14ac:dyDescent="0.3">
      <c r="A1791" s="1">
        <v>45763</v>
      </c>
      <c r="B1791" s="2" t="s">
        <v>2636</v>
      </c>
      <c r="C1791" s="2" t="s">
        <v>2543</v>
      </c>
      <c r="D1791" s="2" t="s">
        <v>2522</v>
      </c>
      <c r="E1791" s="2" t="s">
        <v>2529</v>
      </c>
      <c r="F1791" s="3">
        <v>48889</v>
      </c>
      <c r="G1791" s="3">
        <v>2667</v>
      </c>
      <c r="H1791" s="3">
        <v>56</v>
      </c>
      <c r="I1791" s="4">
        <v>374.14</v>
      </c>
      <c r="J1791" s="4">
        <v>9864.67</v>
      </c>
      <c r="K1791" s="3">
        <v>47</v>
      </c>
      <c r="L1791" s="2" t="s">
        <v>2523</v>
      </c>
      <c r="M1791" s="2" t="s">
        <v>2526</v>
      </c>
    </row>
    <row r="1792" spans="1:13" x14ac:dyDescent="0.3">
      <c r="A1792" s="1">
        <v>46020</v>
      </c>
      <c r="B1792" s="2" t="s">
        <v>2628</v>
      </c>
      <c r="C1792" s="2" t="s">
        <v>2521</v>
      </c>
      <c r="D1792" s="2" t="s">
        <v>2531</v>
      </c>
      <c r="E1792" s="2" t="s">
        <v>2517</v>
      </c>
      <c r="F1792" s="3">
        <v>115130</v>
      </c>
      <c r="G1792" s="3">
        <v>7384</v>
      </c>
      <c r="H1792" s="3">
        <v>372</v>
      </c>
      <c r="I1792" s="4">
        <v>6867.44</v>
      </c>
      <c r="J1792" s="4">
        <v>63344.39</v>
      </c>
      <c r="K1792" s="3">
        <v>231</v>
      </c>
      <c r="L1792" s="2" t="s">
        <v>2518</v>
      </c>
      <c r="M1792" s="2" t="s">
        <v>2546</v>
      </c>
    </row>
    <row r="1793" spans="1:13" x14ac:dyDescent="0.3">
      <c r="A1793" s="1">
        <v>45811</v>
      </c>
      <c r="B1793" s="2" t="s">
        <v>2616</v>
      </c>
      <c r="C1793" s="2" t="s">
        <v>2541</v>
      </c>
      <c r="D1793" s="2" t="s">
        <v>2528</v>
      </c>
      <c r="E1793" s="2" t="s">
        <v>2529</v>
      </c>
      <c r="F1793" s="3">
        <v>41080</v>
      </c>
      <c r="G1793" s="3">
        <v>2746</v>
      </c>
      <c r="H1793" s="3">
        <v>19</v>
      </c>
      <c r="I1793" s="4">
        <v>5692.78</v>
      </c>
      <c r="J1793" s="4">
        <v>392.69</v>
      </c>
      <c r="K1793" s="3">
        <v>9</v>
      </c>
      <c r="L1793" s="2" t="s">
        <v>2536</v>
      </c>
      <c r="M1793" s="2" t="s">
        <v>2546</v>
      </c>
    </row>
    <row r="1794" spans="1:13" x14ac:dyDescent="0.3">
      <c r="A1794" s="1">
        <v>45727</v>
      </c>
      <c r="B1794" s="2" t="s">
        <v>2620</v>
      </c>
      <c r="C1794" s="2" t="s">
        <v>2541</v>
      </c>
      <c r="D1794" s="2" t="s">
        <v>2525</v>
      </c>
      <c r="E1794" s="2" t="s">
        <v>2517</v>
      </c>
      <c r="F1794" s="3">
        <v>165228</v>
      </c>
      <c r="G1794" s="3">
        <v>6505</v>
      </c>
      <c r="H1794" s="3">
        <v>508</v>
      </c>
      <c r="I1794" s="4">
        <v>9112.89</v>
      </c>
      <c r="J1794" s="4">
        <v>110448.03</v>
      </c>
      <c r="K1794" s="3">
        <v>311</v>
      </c>
      <c r="L1794" s="2" t="s">
        <v>2536</v>
      </c>
      <c r="M1794" s="2" t="s">
        <v>2524</v>
      </c>
    </row>
    <row r="1795" spans="1:13" x14ac:dyDescent="0.3">
      <c r="A1795" s="1">
        <v>45916</v>
      </c>
      <c r="B1795" s="2" t="s">
        <v>2636</v>
      </c>
      <c r="C1795" s="2" t="s">
        <v>2541</v>
      </c>
      <c r="D1795" s="2" t="s">
        <v>2528</v>
      </c>
      <c r="E1795" s="2" t="s">
        <v>2529</v>
      </c>
      <c r="F1795" s="3">
        <v>112826</v>
      </c>
      <c r="G1795" s="3">
        <v>5729</v>
      </c>
      <c r="H1795" s="3">
        <v>585</v>
      </c>
      <c r="I1795" s="4">
        <v>718.93</v>
      </c>
      <c r="J1795" s="4">
        <v>16510.23</v>
      </c>
      <c r="K1795" s="3">
        <v>267</v>
      </c>
      <c r="L1795" s="2" t="s">
        <v>2518</v>
      </c>
      <c r="M1795" s="2" t="s">
        <v>2524</v>
      </c>
    </row>
    <row r="1796" spans="1:13" x14ac:dyDescent="0.3">
      <c r="A1796" s="1">
        <v>45797</v>
      </c>
      <c r="B1796" s="2" t="s">
        <v>2626</v>
      </c>
      <c r="C1796" s="2" t="s">
        <v>2515</v>
      </c>
      <c r="D1796" s="2" t="s">
        <v>2525</v>
      </c>
      <c r="E1796" s="2" t="s">
        <v>2529</v>
      </c>
      <c r="F1796" s="3">
        <v>134931</v>
      </c>
      <c r="G1796" s="3">
        <v>10889</v>
      </c>
      <c r="H1796" s="3">
        <v>442</v>
      </c>
      <c r="I1796" s="4">
        <v>12321.9</v>
      </c>
      <c r="J1796" s="4">
        <v>20768.240000000002</v>
      </c>
      <c r="K1796" s="3">
        <v>372</v>
      </c>
      <c r="L1796" s="2" t="s">
        <v>2518</v>
      </c>
      <c r="M1796" s="2" t="s">
        <v>2537</v>
      </c>
    </row>
    <row r="1797" spans="1:13" x14ac:dyDescent="0.3">
      <c r="A1797" s="1">
        <v>45859</v>
      </c>
      <c r="B1797" s="2" t="s">
        <v>2616</v>
      </c>
      <c r="C1797" s="2" t="s">
        <v>2527</v>
      </c>
      <c r="D1797" s="2" t="s">
        <v>2528</v>
      </c>
      <c r="E1797" s="2" t="s">
        <v>2529</v>
      </c>
      <c r="F1797" s="3">
        <v>135732</v>
      </c>
      <c r="G1797" s="3">
        <v>10013</v>
      </c>
      <c r="H1797" s="3">
        <v>407</v>
      </c>
      <c r="I1797" s="4">
        <v>3419.13</v>
      </c>
      <c r="J1797" s="4">
        <v>11069.38</v>
      </c>
      <c r="K1797" s="3">
        <v>294</v>
      </c>
      <c r="L1797" s="2" t="s">
        <v>2536</v>
      </c>
      <c r="M1797" s="2" t="s">
        <v>2546</v>
      </c>
    </row>
    <row r="1798" spans="1:13" x14ac:dyDescent="0.3">
      <c r="A1798" s="1">
        <v>45667</v>
      </c>
      <c r="B1798" s="2" t="s">
        <v>2617</v>
      </c>
      <c r="C1798" s="2" t="s">
        <v>2541</v>
      </c>
      <c r="D1798" s="2" t="s">
        <v>2528</v>
      </c>
      <c r="E1798" s="2" t="s">
        <v>2517</v>
      </c>
      <c r="F1798" s="3">
        <v>97859</v>
      </c>
      <c r="G1798" s="3">
        <v>6860</v>
      </c>
      <c r="H1798" s="3">
        <v>200</v>
      </c>
      <c r="I1798" s="4">
        <v>10942.62</v>
      </c>
      <c r="J1798" s="4">
        <v>34323.25</v>
      </c>
      <c r="K1798" s="3">
        <v>160</v>
      </c>
      <c r="L1798" s="2" t="s">
        <v>2539</v>
      </c>
      <c r="M1798" s="2" t="s">
        <v>2519</v>
      </c>
    </row>
    <row r="1799" spans="1:13" x14ac:dyDescent="0.3">
      <c r="A1799" s="1">
        <v>45787</v>
      </c>
      <c r="B1799" s="2" t="s">
        <v>2629</v>
      </c>
      <c r="C1799" s="2" t="s">
        <v>2541</v>
      </c>
      <c r="D1799" s="2" t="s">
        <v>2522</v>
      </c>
      <c r="E1799" s="2" t="s">
        <v>2529</v>
      </c>
      <c r="F1799" s="3">
        <v>42268</v>
      </c>
      <c r="G1799" s="3">
        <v>3621</v>
      </c>
      <c r="H1799" s="3">
        <v>45</v>
      </c>
      <c r="I1799" s="4">
        <v>1117.83</v>
      </c>
      <c r="J1799" s="4">
        <v>9084.07</v>
      </c>
      <c r="K1799" s="3">
        <v>30</v>
      </c>
      <c r="L1799" s="2" t="s">
        <v>2523</v>
      </c>
      <c r="M1799" s="2" t="s">
        <v>2537</v>
      </c>
    </row>
    <row r="1800" spans="1:13" x14ac:dyDescent="0.3">
      <c r="A1800" s="1">
        <v>45784</v>
      </c>
      <c r="B1800" s="2" t="s">
        <v>2623</v>
      </c>
      <c r="C1800" s="2" t="s">
        <v>2533</v>
      </c>
      <c r="D1800" s="2" t="s">
        <v>2528</v>
      </c>
      <c r="E1800" s="2" t="s">
        <v>2529</v>
      </c>
      <c r="F1800" s="3">
        <v>60910</v>
      </c>
      <c r="G1800" s="3">
        <v>4426</v>
      </c>
      <c r="H1800" s="3">
        <v>71</v>
      </c>
      <c r="I1800" s="4">
        <v>2179.3200000000002</v>
      </c>
      <c r="J1800" s="4">
        <v>4649.97</v>
      </c>
      <c r="K1800" s="3">
        <v>36</v>
      </c>
      <c r="L1800" s="2" t="s">
        <v>2539</v>
      </c>
      <c r="M1800" s="2" t="s">
        <v>2546</v>
      </c>
    </row>
    <row r="1801" spans="1:13" x14ac:dyDescent="0.3">
      <c r="A1801" s="1">
        <v>45960</v>
      </c>
      <c r="B1801" s="2" t="s">
        <v>2626</v>
      </c>
      <c r="C1801" s="2" t="s">
        <v>2533</v>
      </c>
      <c r="D1801" s="2" t="s">
        <v>2528</v>
      </c>
      <c r="E1801" s="2" t="s">
        <v>2529</v>
      </c>
      <c r="F1801" s="3">
        <v>160354</v>
      </c>
      <c r="G1801" s="3">
        <v>13002</v>
      </c>
      <c r="H1801" s="3">
        <v>1646</v>
      </c>
      <c r="I1801" s="4">
        <v>13289.46</v>
      </c>
      <c r="J1801" s="4">
        <v>94181.96</v>
      </c>
      <c r="K1801" s="3">
        <v>1425</v>
      </c>
      <c r="L1801" s="2" t="s">
        <v>2539</v>
      </c>
      <c r="M1801" s="2" t="s">
        <v>2546</v>
      </c>
    </row>
    <row r="1802" spans="1:13" x14ac:dyDescent="0.3">
      <c r="A1802" s="1">
        <v>46016</v>
      </c>
      <c r="B1802" s="2" t="s">
        <v>2632</v>
      </c>
      <c r="C1802" s="2" t="s">
        <v>2533</v>
      </c>
      <c r="D1802" s="2" t="s">
        <v>2528</v>
      </c>
      <c r="E1802" s="2" t="s">
        <v>2517</v>
      </c>
      <c r="F1802" s="3">
        <v>120771</v>
      </c>
      <c r="G1802" s="3">
        <v>9939</v>
      </c>
      <c r="H1802" s="3">
        <v>454</v>
      </c>
      <c r="I1802" s="4">
        <v>12548.96</v>
      </c>
      <c r="J1802" s="4">
        <v>92492.11</v>
      </c>
      <c r="K1802" s="3">
        <v>277</v>
      </c>
      <c r="L1802" s="2" t="s">
        <v>2536</v>
      </c>
      <c r="M1802" s="2" t="s">
        <v>2524</v>
      </c>
    </row>
    <row r="1803" spans="1:13" x14ac:dyDescent="0.3">
      <c r="A1803" s="1">
        <v>45769</v>
      </c>
      <c r="B1803" s="2" t="s">
        <v>2638</v>
      </c>
      <c r="C1803" s="2" t="s">
        <v>2521</v>
      </c>
      <c r="D1803" s="2" t="s">
        <v>2528</v>
      </c>
      <c r="E1803" s="2" t="s">
        <v>2529</v>
      </c>
      <c r="F1803" s="3">
        <v>82713</v>
      </c>
      <c r="G1803" s="3">
        <v>6216</v>
      </c>
      <c r="H1803" s="3">
        <v>147</v>
      </c>
      <c r="I1803" s="4">
        <v>8090.35</v>
      </c>
      <c r="J1803" s="4">
        <v>22804.69</v>
      </c>
      <c r="K1803" s="3">
        <v>98</v>
      </c>
      <c r="L1803" s="2" t="s">
        <v>2539</v>
      </c>
      <c r="M1803" s="2" t="s">
        <v>2546</v>
      </c>
    </row>
    <row r="1804" spans="1:13" x14ac:dyDescent="0.3">
      <c r="A1804" s="1">
        <v>46009</v>
      </c>
      <c r="B1804" s="2" t="s">
        <v>2615</v>
      </c>
      <c r="C1804" s="2" t="s">
        <v>2543</v>
      </c>
      <c r="D1804" s="2" t="s">
        <v>2528</v>
      </c>
      <c r="E1804" s="2" t="s">
        <v>2529</v>
      </c>
      <c r="F1804" s="3">
        <v>103509</v>
      </c>
      <c r="G1804" s="3">
        <v>4912</v>
      </c>
      <c r="H1804" s="3">
        <v>476</v>
      </c>
      <c r="I1804" s="4">
        <v>6582.7</v>
      </c>
      <c r="J1804" s="4">
        <v>20151.060000000001</v>
      </c>
      <c r="K1804" s="3">
        <v>301</v>
      </c>
      <c r="L1804" s="2" t="s">
        <v>2518</v>
      </c>
      <c r="M1804" s="2" t="s">
        <v>2526</v>
      </c>
    </row>
    <row r="1805" spans="1:13" x14ac:dyDescent="0.3">
      <c r="A1805" s="1">
        <v>45993</v>
      </c>
      <c r="B1805" s="2" t="s">
        <v>2630</v>
      </c>
      <c r="C1805" s="2" t="s">
        <v>2527</v>
      </c>
      <c r="D1805" s="2" t="s">
        <v>2531</v>
      </c>
      <c r="E1805" s="2" t="s">
        <v>2517</v>
      </c>
      <c r="F1805" s="3">
        <v>32140</v>
      </c>
      <c r="G1805" s="3">
        <v>1259</v>
      </c>
      <c r="H1805" s="3">
        <v>43</v>
      </c>
      <c r="I1805" s="4">
        <v>1932.05</v>
      </c>
      <c r="J1805" s="4">
        <v>7121.66</v>
      </c>
      <c r="K1805" s="3">
        <v>28</v>
      </c>
      <c r="L1805" s="2" t="s">
        <v>2539</v>
      </c>
      <c r="M1805" s="2" t="s">
        <v>2526</v>
      </c>
    </row>
    <row r="1806" spans="1:13" x14ac:dyDescent="0.3">
      <c r="A1806" s="1">
        <v>45982</v>
      </c>
      <c r="B1806" s="2" t="s">
        <v>2629</v>
      </c>
      <c r="C1806" s="2" t="s">
        <v>2527</v>
      </c>
      <c r="D1806" s="2" t="s">
        <v>2531</v>
      </c>
      <c r="E1806" s="2" t="s">
        <v>2534</v>
      </c>
      <c r="F1806" s="3">
        <v>5454</v>
      </c>
      <c r="G1806" s="3">
        <v>266</v>
      </c>
      <c r="H1806" s="3">
        <v>2</v>
      </c>
      <c r="I1806" s="4">
        <v>133.44999999999999</v>
      </c>
      <c r="J1806" s="4">
        <v>419.21</v>
      </c>
      <c r="K1806" s="3">
        <v>1</v>
      </c>
      <c r="L1806" s="2" t="s">
        <v>2539</v>
      </c>
      <c r="M1806" s="2" t="s">
        <v>2526</v>
      </c>
    </row>
    <row r="1807" spans="1:13" x14ac:dyDescent="0.3">
      <c r="A1807" s="1">
        <v>45718</v>
      </c>
      <c r="B1807" s="2" t="s">
        <v>2629</v>
      </c>
      <c r="C1807" s="2" t="s">
        <v>2527</v>
      </c>
      <c r="D1807" s="2" t="s">
        <v>2528</v>
      </c>
      <c r="E1807" s="2" t="s">
        <v>2529</v>
      </c>
      <c r="F1807" s="3">
        <v>45667</v>
      </c>
      <c r="G1807" s="3">
        <v>2666</v>
      </c>
      <c r="H1807" s="3">
        <v>317</v>
      </c>
      <c r="I1807" s="4">
        <v>1083.77</v>
      </c>
      <c r="J1807" s="4">
        <v>48036.36</v>
      </c>
      <c r="K1807" s="3">
        <v>225</v>
      </c>
      <c r="L1807" s="2" t="s">
        <v>2539</v>
      </c>
      <c r="M1807" s="2" t="s">
        <v>2526</v>
      </c>
    </row>
    <row r="1808" spans="1:13" x14ac:dyDescent="0.3">
      <c r="A1808" s="1">
        <v>45983</v>
      </c>
      <c r="B1808" s="2" t="s">
        <v>2630</v>
      </c>
      <c r="C1808" s="2" t="s">
        <v>2527</v>
      </c>
      <c r="D1808" s="2" t="s">
        <v>2516</v>
      </c>
      <c r="E1808" s="2" t="s">
        <v>2517</v>
      </c>
      <c r="F1808" s="3">
        <v>76502</v>
      </c>
      <c r="G1808" s="3">
        <v>1199</v>
      </c>
      <c r="H1808" s="3">
        <v>108</v>
      </c>
      <c r="I1808" s="4">
        <v>1313.8</v>
      </c>
      <c r="J1808" s="4">
        <v>19299.580000000002</v>
      </c>
      <c r="K1808" s="3">
        <v>58</v>
      </c>
      <c r="L1808" s="2" t="s">
        <v>2539</v>
      </c>
      <c r="M1808" s="2" t="s">
        <v>2546</v>
      </c>
    </row>
    <row r="1809" spans="1:13" x14ac:dyDescent="0.3">
      <c r="A1809" s="1">
        <v>45701</v>
      </c>
      <c r="B1809" s="2" t="s">
        <v>2644</v>
      </c>
      <c r="C1809" s="2" t="s">
        <v>2515</v>
      </c>
      <c r="D1809" s="2" t="s">
        <v>2516</v>
      </c>
      <c r="E1809" s="2" t="s">
        <v>2534</v>
      </c>
      <c r="F1809" s="3">
        <v>109487</v>
      </c>
      <c r="G1809" s="3">
        <v>4072</v>
      </c>
      <c r="H1809" s="3">
        <v>524</v>
      </c>
      <c r="I1809" s="4">
        <v>7935.09</v>
      </c>
      <c r="J1809" s="4">
        <v>20676.3</v>
      </c>
      <c r="K1809" s="3">
        <v>273</v>
      </c>
      <c r="L1809" s="2" t="s">
        <v>2536</v>
      </c>
      <c r="M1809" s="2" t="s">
        <v>2526</v>
      </c>
    </row>
    <row r="1810" spans="1:13" x14ac:dyDescent="0.3">
      <c r="A1810" s="1">
        <v>45660</v>
      </c>
      <c r="B1810" s="2" t="s">
        <v>2617</v>
      </c>
      <c r="C1810" s="2" t="s">
        <v>2533</v>
      </c>
      <c r="D1810" s="2" t="s">
        <v>2528</v>
      </c>
      <c r="E1810" s="2" t="s">
        <v>2517</v>
      </c>
      <c r="F1810" s="3">
        <v>40177</v>
      </c>
      <c r="G1810" s="3">
        <v>1228</v>
      </c>
      <c r="H1810" s="3">
        <v>167</v>
      </c>
      <c r="I1810" s="4">
        <v>2377.66</v>
      </c>
      <c r="J1810" s="4">
        <v>13197.06</v>
      </c>
      <c r="K1810" s="3">
        <v>119</v>
      </c>
      <c r="L1810" s="2" t="s">
        <v>2536</v>
      </c>
      <c r="M1810" s="2" t="s">
        <v>2519</v>
      </c>
    </row>
    <row r="1811" spans="1:13" x14ac:dyDescent="0.3">
      <c r="A1811" s="1">
        <v>45738</v>
      </c>
      <c r="B1811" s="2" t="s">
        <v>2640</v>
      </c>
      <c r="C1811" s="2" t="s">
        <v>2541</v>
      </c>
      <c r="D1811" s="2" t="s">
        <v>2528</v>
      </c>
      <c r="E1811" s="2" t="s">
        <v>2529</v>
      </c>
      <c r="F1811" s="3">
        <v>145027</v>
      </c>
      <c r="G1811" s="3">
        <v>10461</v>
      </c>
      <c r="H1811" s="3">
        <v>292</v>
      </c>
      <c r="I1811" s="4">
        <v>14532.19</v>
      </c>
      <c r="J1811" s="4">
        <v>54028.79</v>
      </c>
      <c r="K1811" s="3">
        <v>166</v>
      </c>
      <c r="L1811" s="2" t="s">
        <v>2518</v>
      </c>
      <c r="M1811" s="2" t="s">
        <v>2546</v>
      </c>
    </row>
    <row r="1812" spans="1:13" x14ac:dyDescent="0.3">
      <c r="A1812" s="1">
        <v>45673</v>
      </c>
      <c r="B1812" s="2" t="s">
        <v>2635</v>
      </c>
      <c r="C1812" s="2" t="s">
        <v>2521</v>
      </c>
      <c r="D1812" s="2" t="s">
        <v>2522</v>
      </c>
      <c r="E1812" s="2" t="s">
        <v>2529</v>
      </c>
      <c r="F1812" s="3">
        <v>1790</v>
      </c>
      <c r="G1812" s="3">
        <v>124</v>
      </c>
      <c r="H1812" s="3">
        <v>7</v>
      </c>
      <c r="I1812" s="4">
        <v>60.51</v>
      </c>
      <c r="J1812" s="4">
        <v>1073.8</v>
      </c>
      <c r="K1812" s="3">
        <v>5</v>
      </c>
      <c r="L1812" s="2" t="s">
        <v>2539</v>
      </c>
      <c r="M1812" s="2" t="s">
        <v>2546</v>
      </c>
    </row>
    <row r="1813" spans="1:13" x14ac:dyDescent="0.3">
      <c r="A1813" s="1">
        <v>45997</v>
      </c>
      <c r="B1813" s="2" t="s">
        <v>2631</v>
      </c>
      <c r="C1813" s="2" t="s">
        <v>2515</v>
      </c>
      <c r="D1813" s="2" t="s">
        <v>2528</v>
      </c>
      <c r="E1813" s="2" t="s">
        <v>2529</v>
      </c>
      <c r="F1813" s="3">
        <v>98657</v>
      </c>
      <c r="G1813" s="3">
        <v>8242</v>
      </c>
      <c r="H1813" s="3">
        <v>61</v>
      </c>
      <c r="I1813" s="4">
        <v>17053.27</v>
      </c>
      <c r="J1813" s="4">
        <v>12471.91</v>
      </c>
      <c r="K1813" s="3">
        <v>54</v>
      </c>
      <c r="L1813" s="2" t="s">
        <v>2536</v>
      </c>
      <c r="M1813" s="2" t="s">
        <v>2524</v>
      </c>
    </row>
    <row r="1814" spans="1:13" x14ac:dyDescent="0.3">
      <c r="A1814" s="1">
        <v>45729</v>
      </c>
      <c r="B1814" s="2" t="s">
        <v>2627</v>
      </c>
      <c r="C1814" s="2" t="s">
        <v>2521</v>
      </c>
      <c r="D1814" s="2" t="s">
        <v>2525</v>
      </c>
      <c r="E1814" s="2" t="s">
        <v>2517</v>
      </c>
      <c r="F1814" s="3">
        <v>26958</v>
      </c>
      <c r="G1814" s="3">
        <v>2171</v>
      </c>
      <c r="H1814" s="3">
        <v>119</v>
      </c>
      <c r="I1814" s="4">
        <v>3432.61</v>
      </c>
      <c r="J1814" s="4">
        <v>7566.82</v>
      </c>
      <c r="K1814" s="3">
        <v>101</v>
      </c>
      <c r="L1814" s="2" t="s">
        <v>2539</v>
      </c>
      <c r="M1814" s="2" t="s">
        <v>2519</v>
      </c>
    </row>
    <row r="1815" spans="1:13" x14ac:dyDescent="0.3">
      <c r="A1815" s="1">
        <v>45716</v>
      </c>
      <c r="B1815" s="2" t="s">
        <v>2633</v>
      </c>
      <c r="C1815" s="2" t="s">
        <v>2541</v>
      </c>
      <c r="D1815" s="2" t="s">
        <v>2516</v>
      </c>
      <c r="E1815" s="2" t="s">
        <v>2529</v>
      </c>
      <c r="F1815" s="3">
        <v>40464</v>
      </c>
      <c r="G1815" s="3">
        <v>346</v>
      </c>
      <c r="H1815" s="3">
        <v>38</v>
      </c>
      <c r="I1815" s="4">
        <v>684.03</v>
      </c>
      <c r="J1815" s="4">
        <v>2469.0700000000002</v>
      </c>
      <c r="K1815" s="3">
        <v>19</v>
      </c>
      <c r="L1815" s="2" t="s">
        <v>2539</v>
      </c>
      <c r="M1815" s="2" t="s">
        <v>2546</v>
      </c>
    </row>
    <row r="1816" spans="1:13" x14ac:dyDescent="0.3">
      <c r="A1816" s="1">
        <v>45681</v>
      </c>
      <c r="B1816" s="2" t="s">
        <v>2639</v>
      </c>
      <c r="C1816" s="2" t="s">
        <v>2533</v>
      </c>
      <c r="D1816" s="2" t="s">
        <v>2525</v>
      </c>
      <c r="E1816" s="2" t="s">
        <v>2529</v>
      </c>
      <c r="F1816" s="3">
        <v>16309</v>
      </c>
      <c r="G1816" s="3">
        <v>348</v>
      </c>
      <c r="H1816" s="3">
        <v>47</v>
      </c>
      <c r="I1816" s="4">
        <v>613.04999999999995</v>
      </c>
      <c r="J1816" s="4">
        <v>6296.08</v>
      </c>
      <c r="K1816" s="3">
        <v>41</v>
      </c>
      <c r="L1816" s="2" t="s">
        <v>2518</v>
      </c>
      <c r="M1816" s="2" t="s">
        <v>2546</v>
      </c>
    </row>
    <row r="1817" spans="1:13" x14ac:dyDescent="0.3">
      <c r="A1817" s="1">
        <v>45851</v>
      </c>
      <c r="B1817" s="2" t="s">
        <v>2622</v>
      </c>
      <c r="C1817" s="2" t="s">
        <v>2527</v>
      </c>
      <c r="D1817" s="2" t="s">
        <v>2516</v>
      </c>
      <c r="E1817" s="2" t="s">
        <v>2534</v>
      </c>
      <c r="F1817" s="3">
        <v>43720</v>
      </c>
      <c r="G1817" s="3">
        <v>398</v>
      </c>
      <c r="H1817" s="3">
        <v>52</v>
      </c>
      <c r="I1817" s="4">
        <v>165.78</v>
      </c>
      <c r="J1817" s="4">
        <v>8094.14</v>
      </c>
      <c r="K1817" s="3">
        <v>29</v>
      </c>
      <c r="L1817" s="2" t="s">
        <v>2523</v>
      </c>
      <c r="M1817" s="2" t="s">
        <v>2546</v>
      </c>
    </row>
    <row r="1818" spans="1:13" x14ac:dyDescent="0.3">
      <c r="A1818" s="1">
        <v>45736</v>
      </c>
      <c r="B1818" s="2" t="s">
        <v>2640</v>
      </c>
      <c r="C1818" s="2" t="s">
        <v>2515</v>
      </c>
      <c r="D1818" s="2" t="s">
        <v>2528</v>
      </c>
      <c r="E1818" s="2" t="s">
        <v>2517</v>
      </c>
      <c r="F1818" s="3">
        <v>17126</v>
      </c>
      <c r="G1818" s="3">
        <v>1484</v>
      </c>
      <c r="H1818" s="3">
        <v>145</v>
      </c>
      <c r="I1818" s="4">
        <v>915.11</v>
      </c>
      <c r="J1818" s="4">
        <v>5807.89</v>
      </c>
      <c r="K1818" s="3">
        <v>82</v>
      </c>
      <c r="L1818" s="2" t="s">
        <v>2523</v>
      </c>
      <c r="M1818" s="2" t="s">
        <v>2537</v>
      </c>
    </row>
    <row r="1819" spans="1:13" x14ac:dyDescent="0.3">
      <c r="A1819" s="1">
        <v>45951</v>
      </c>
      <c r="B1819" s="2" t="s">
        <v>2640</v>
      </c>
      <c r="C1819" s="2" t="s">
        <v>2541</v>
      </c>
      <c r="D1819" s="2" t="s">
        <v>2528</v>
      </c>
      <c r="E1819" s="2" t="s">
        <v>2529</v>
      </c>
      <c r="F1819" s="3">
        <v>149731</v>
      </c>
      <c r="G1819" s="3">
        <v>7766</v>
      </c>
      <c r="H1819" s="3">
        <v>137</v>
      </c>
      <c r="I1819" s="4">
        <v>14779.22</v>
      </c>
      <c r="J1819" s="4">
        <v>20507.400000000001</v>
      </c>
      <c r="K1819" s="3">
        <v>81</v>
      </c>
      <c r="L1819" s="2" t="s">
        <v>2518</v>
      </c>
      <c r="M1819" s="2" t="s">
        <v>2546</v>
      </c>
    </row>
    <row r="1820" spans="1:13" x14ac:dyDescent="0.3">
      <c r="A1820" s="1">
        <v>45694</v>
      </c>
      <c r="B1820" s="2" t="s">
        <v>2634</v>
      </c>
      <c r="C1820" s="2" t="s">
        <v>2541</v>
      </c>
      <c r="D1820" s="2" t="s">
        <v>2516</v>
      </c>
      <c r="E1820" s="2" t="s">
        <v>2529</v>
      </c>
      <c r="F1820" s="3">
        <v>89065</v>
      </c>
      <c r="G1820" s="3">
        <v>978</v>
      </c>
      <c r="H1820" s="3">
        <v>73</v>
      </c>
      <c r="I1820" s="4">
        <v>723.14</v>
      </c>
      <c r="J1820" s="4">
        <v>5774.03</v>
      </c>
      <c r="K1820" s="3">
        <v>60</v>
      </c>
      <c r="L1820" s="2" t="s">
        <v>2518</v>
      </c>
      <c r="M1820" s="2" t="s">
        <v>2526</v>
      </c>
    </row>
    <row r="1821" spans="1:13" x14ac:dyDescent="0.3">
      <c r="A1821" s="1">
        <v>45823</v>
      </c>
      <c r="B1821" s="2" t="s">
        <v>2620</v>
      </c>
      <c r="C1821" s="2" t="s">
        <v>2515</v>
      </c>
      <c r="D1821" s="2" t="s">
        <v>2528</v>
      </c>
      <c r="E1821" s="2" t="s">
        <v>2517</v>
      </c>
      <c r="F1821" s="3">
        <v>139245</v>
      </c>
      <c r="G1821" s="3">
        <v>6131</v>
      </c>
      <c r="H1821" s="3">
        <v>277</v>
      </c>
      <c r="I1821" s="4">
        <v>1509.48</v>
      </c>
      <c r="J1821" s="4">
        <v>57779.83</v>
      </c>
      <c r="K1821" s="3">
        <v>199</v>
      </c>
      <c r="L1821" s="2" t="s">
        <v>2539</v>
      </c>
      <c r="M1821" s="2" t="s">
        <v>2519</v>
      </c>
    </row>
    <row r="1822" spans="1:13" x14ac:dyDescent="0.3">
      <c r="A1822" s="1">
        <v>45912</v>
      </c>
      <c r="B1822" s="2" t="s">
        <v>2624</v>
      </c>
      <c r="C1822" s="2" t="s">
        <v>2527</v>
      </c>
      <c r="D1822" s="2" t="s">
        <v>2528</v>
      </c>
      <c r="E1822" s="2" t="s">
        <v>2529</v>
      </c>
      <c r="F1822" s="3">
        <v>44691</v>
      </c>
      <c r="G1822" s="3">
        <v>3406</v>
      </c>
      <c r="H1822" s="3">
        <v>262</v>
      </c>
      <c r="I1822" s="4">
        <v>2630.13</v>
      </c>
      <c r="J1822" s="4">
        <v>14022.01</v>
      </c>
      <c r="K1822" s="3">
        <v>222</v>
      </c>
      <c r="L1822" s="2" t="s">
        <v>2536</v>
      </c>
      <c r="M1822" s="2" t="s">
        <v>2519</v>
      </c>
    </row>
    <row r="1823" spans="1:13" x14ac:dyDescent="0.3">
      <c r="A1823" s="1">
        <v>45992</v>
      </c>
      <c r="B1823" s="2" t="s">
        <v>2633</v>
      </c>
      <c r="C1823" s="2" t="s">
        <v>2527</v>
      </c>
      <c r="D1823" s="2" t="s">
        <v>2528</v>
      </c>
      <c r="E1823" s="2" t="s">
        <v>2534</v>
      </c>
      <c r="F1823" s="3">
        <v>119134</v>
      </c>
      <c r="G1823" s="3">
        <v>3132</v>
      </c>
      <c r="H1823" s="3">
        <v>278</v>
      </c>
      <c r="I1823" s="4">
        <v>611.01</v>
      </c>
      <c r="J1823" s="4">
        <v>45579.34</v>
      </c>
      <c r="K1823" s="3">
        <v>200</v>
      </c>
      <c r="L1823" s="2" t="s">
        <v>2518</v>
      </c>
      <c r="M1823" s="2" t="s">
        <v>2537</v>
      </c>
    </row>
    <row r="1824" spans="1:13" x14ac:dyDescent="0.3">
      <c r="A1824" s="1">
        <v>45726</v>
      </c>
      <c r="B1824" s="2" t="s">
        <v>2632</v>
      </c>
      <c r="C1824" s="2" t="s">
        <v>2543</v>
      </c>
      <c r="D1824" s="2" t="s">
        <v>2528</v>
      </c>
      <c r="E1824" s="2" t="s">
        <v>2517</v>
      </c>
      <c r="F1824" s="3">
        <v>80048</v>
      </c>
      <c r="G1824" s="3">
        <v>2177</v>
      </c>
      <c r="H1824" s="3">
        <v>292</v>
      </c>
      <c r="I1824" s="4">
        <v>3831.29</v>
      </c>
      <c r="J1824" s="4">
        <v>9155.19</v>
      </c>
      <c r="K1824" s="3">
        <v>257</v>
      </c>
      <c r="L1824" s="2" t="s">
        <v>2539</v>
      </c>
      <c r="M1824" s="2" t="s">
        <v>2524</v>
      </c>
    </row>
    <row r="1825" spans="1:13" x14ac:dyDescent="0.3">
      <c r="A1825" s="1">
        <v>45792</v>
      </c>
      <c r="B1825" s="2" t="s">
        <v>2638</v>
      </c>
      <c r="C1825" s="2" t="s">
        <v>2521</v>
      </c>
      <c r="D1825" s="2" t="s">
        <v>2516</v>
      </c>
      <c r="E1825" s="2" t="s">
        <v>2529</v>
      </c>
      <c r="F1825" s="3">
        <v>144130</v>
      </c>
      <c r="G1825" s="3">
        <v>4243</v>
      </c>
      <c r="H1825" s="3">
        <v>38</v>
      </c>
      <c r="I1825" s="4">
        <v>2684.92</v>
      </c>
      <c r="J1825" s="4">
        <v>8087.33</v>
      </c>
      <c r="K1825" s="3">
        <v>31</v>
      </c>
      <c r="L1825" s="2" t="s">
        <v>2523</v>
      </c>
      <c r="M1825" s="2" t="s">
        <v>2526</v>
      </c>
    </row>
    <row r="1826" spans="1:13" x14ac:dyDescent="0.3">
      <c r="A1826" s="1">
        <v>45707</v>
      </c>
      <c r="B1826" s="2" t="s">
        <v>2623</v>
      </c>
      <c r="C1826" s="2" t="s">
        <v>2527</v>
      </c>
      <c r="D1826" s="2" t="s">
        <v>2645</v>
      </c>
      <c r="E1826" s="2" t="s">
        <v>2517</v>
      </c>
      <c r="F1826" s="3">
        <v>27620</v>
      </c>
      <c r="G1826" s="3">
        <v>1741</v>
      </c>
      <c r="H1826" s="3">
        <v>107</v>
      </c>
      <c r="I1826" s="4">
        <v>410.57</v>
      </c>
      <c r="J1826" s="4">
        <v>11658.12</v>
      </c>
      <c r="K1826" s="3">
        <v>64</v>
      </c>
      <c r="L1826" s="2" t="s">
        <v>2536</v>
      </c>
      <c r="M1826" s="2" t="s">
        <v>2524</v>
      </c>
    </row>
    <row r="1827" spans="1:13" x14ac:dyDescent="0.3">
      <c r="A1827" s="1">
        <v>45973</v>
      </c>
      <c r="B1827" s="2" t="s">
        <v>2634</v>
      </c>
      <c r="C1827" s="2" t="s">
        <v>2527</v>
      </c>
      <c r="D1827" s="2" t="s">
        <v>2528</v>
      </c>
      <c r="E1827" s="2" t="s">
        <v>2529</v>
      </c>
      <c r="F1827" s="3">
        <v>31708</v>
      </c>
      <c r="G1827" s="3">
        <v>1919</v>
      </c>
      <c r="H1827" s="3">
        <v>180</v>
      </c>
      <c r="I1827" s="4">
        <v>2963.09</v>
      </c>
      <c r="J1827" s="4">
        <v>2949.81</v>
      </c>
      <c r="K1827" s="3">
        <v>86</v>
      </c>
      <c r="L1827" s="2" t="s">
        <v>2518</v>
      </c>
      <c r="M1827" s="2" t="s">
        <v>2519</v>
      </c>
    </row>
    <row r="1828" spans="1:13" x14ac:dyDescent="0.3">
      <c r="A1828" s="1">
        <v>45727</v>
      </c>
      <c r="B1828" s="2" t="s">
        <v>2628</v>
      </c>
      <c r="C1828" s="2" t="s">
        <v>2543</v>
      </c>
      <c r="D1828" s="2" t="s">
        <v>2528</v>
      </c>
      <c r="E1828" s="2" t="s">
        <v>2529</v>
      </c>
      <c r="F1828" s="3">
        <v>15432</v>
      </c>
      <c r="G1828" s="3">
        <v>872</v>
      </c>
      <c r="H1828" s="3">
        <v>74</v>
      </c>
      <c r="I1828" s="4">
        <v>1473.67</v>
      </c>
      <c r="J1828" s="4">
        <v>1155.6199999999999</v>
      </c>
      <c r="K1828" s="3">
        <v>33</v>
      </c>
      <c r="L1828" s="2" t="s">
        <v>2518</v>
      </c>
      <c r="M1828" s="2" t="s">
        <v>2546</v>
      </c>
    </row>
    <row r="1829" spans="1:13" x14ac:dyDescent="0.3">
      <c r="A1829" s="1">
        <v>45760</v>
      </c>
      <c r="B1829" s="2" t="s">
        <v>2620</v>
      </c>
      <c r="C1829" s="2" t="s">
        <v>2541</v>
      </c>
      <c r="D1829" s="2" t="s">
        <v>2516</v>
      </c>
      <c r="E1829" s="2" t="s">
        <v>2517</v>
      </c>
      <c r="F1829" s="3">
        <v>103017</v>
      </c>
      <c r="G1829" s="3">
        <v>2685</v>
      </c>
      <c r="H1829" s="3">
        <v>163</v>
      </c>
      <c r="I1829" s="4">
        <v>789.5</v>
      </c>
      <c r="J1829" s="4">
        <v>27544.91</v>
      </c>
      <c r="K1829" s="3">
        <v>124</v>
      </c>
      <c r="L1829" s="2" t="s">
        <v>2518</v>
      </c>
      <c r="M1829" s="2" t="s">
        <v>2524</v>
      </c>
    </row>
    <row r="1830" spans="1:13" x14ac:dyDescent="0.3">
      <c r="A1830" s="1">
        <v>45907</v>
      </c>
      <c r="B1830" s="2" t="s">
        <v>2635</v>
      </c>
      <c r="C1830" s="2" t="s">
        <v>2541</v>
      </c>
      <c r="D1830" s="2" t="s">
        <v>2528</v>
      </c>
      <c r="E1830" s="2" t="s">
        <v>2517</v>
      </c>
      <c r="F1830" s="3">
        <v>82771</v>
      </c>
      <c r="G1830" s="3">
        <v>4626</v>
      </c>
      <c r="H1830" s="3">
        <v>184</v>
      </c>
      <c r="I1830" s="4">
        <v>7231.41</v>
      </c>
      <c r="J1830" s="4">
        <v>29883.53</v>
      </c>
      <c r="K1830" s="3">
        <v>162</v>
      </c>
      <c r="L1830" s="2" t="s">
        <v>2536</v>
      </c>
      <c r="M1830" s="2" t="s">
        <v>2519</v>
      </c>
    </row>
    <row r="1831" spans="1:13" x14ac:dyDescent="0.3">
      <c r="A1831" s="1">
        <v>45843</v>
      </c>
      <c r="B1831" s="2" t="s">
        <v>2628</v>
      </c>
      <c r="C1831" s="2" t="s">
        <v>2533</v>
      </c>
      <c r="D1831" s="2" t="s">
        <v>2528</v>
      </c>
      <c r="E1831" s="2" t="s">
        <v>2529</v>
      </c>
      <c r="F1831" s="3">
        <v>122318</v>
      </c>
      <c r="G1831" s="3">
        <v>10376</v>
      </c>
      <c r="H1831" s="3">
        <v>1285</v>
      </c>
      <c r="I1831" s="4">
        <v>15263.31</v>
      </c>
      <c r="J1831" s="4">
        <v>143302.43</v>
      </c>
      <c r="K1831" s="3">
        <v>689</v>
      </c>
      <c r="L1831" s="2" t="s">
        <v>2523</v>
      </c>
      <c r="M1831" s="2" t="s">
        <v>2519</v>
      </c>
    </row>
    <row r="1832" spans="1:13" x14ac:dyDescent="0.3">
      <c r="A1832" s="1">
        <v>45871</v>
      </c>
      <c r="B1832" s="2" t="s">
        <v>2625</v>
      </c>
      <c r="C1832" s="2" t="s">
        <v>2543</v>
      </c>
      <c r="D1832" s="2" t="s">
        <v>2525</v>
      </c>
      <c r="E1832" s="2" t="s">
        <v>2517</v>
      </c>
      <c r="F1832" s="3">
        <v>143509</v>
      </c>
      <c r="G1832" s="3">
        <v>7560</v>
      </c>
      <c r="H1832" s="3">
        <v>529</v>
      </c>
      <c r="I1832" s="4">
        <v>7404.78</v>
      </c>
      <c r="J1832" s="4">
        <v>57905.71</v>
      </c>
      <c r="K1832" s="3">
        <v>472</v>
      </c>
      <c r="L1832" s="2" t="s">
        <v>2523</v>
      </c>
      <c r="M1832" s="2" t="s">
        <v>2519</v>
      </c>
    </row>
    <row r="1833" spans="1:13" x14ac:dyDescent="0.3">
      <c r="A1833" s="1">
        <v>45795</v>
      </c>
      <c r="B1833" s="2" t="s">
        <v>2616</v>
      </c>
      <c r="C1833" s="2" t="s">
        <v>2533</v>
      </c>
      <c r="D1833" s="2" t="s">
        <v>2516</v>
      </c>
      <c r="E1833" s="2" t="s">
        <v>2529</v>
      </c>
      <c r="F1833" s="3">
        <v>104385</v>
      </c>
      <c r="G1833" s="3">
        <v>1278</v>
      </c>
      <c r="H1833" s="3">
        <v>165</v>
      </c>
      <c r="I1833" s="4">
        <v>1350.77</v>
      </c>
      <c r="J1833" s="4">
        <v>33313.96</v>
      </c>
      <c r="K1833" s="3">
        <v>106</v>
      </c>
      <c r="L1833" s="2" t="s">
        <v>2518</v>
      </c>
      <c r="M1833" s="2" t="s">
        <v>2524</v>
      </c>
    </row>
    <row r="1834" spans="1:13" x14ac:dyDescent="0.3">
      <c r="A1834" s="1">
        <v>45960</v>
      </c>
      <c r="B1834" s="2" t="s">
        <v>2621</v>
      </c>
      <c r="C1834" s="2" t="s">
        <v>2521</v>
      </c>
      <c r="D1834" s="2" t="s">
        <v>2528</v>
      </c>
      <c r="E1834" s="2" t="s">
        <v>2517</v>
      </c>
      <c r="F1834" s="3">
        <v>25281</v>
      </c>
      <c r="G1834" s="3">
        <v>660</v>
      </c>
      <c r="H1834" s="3">
        <v>69</v>
      </c>
      <c r="I1834" s="4">
        <v>375.16</v>
      </c>
      <c r="J1834" s="4">
        <v>4135.01</v>
      </c>
      <c r="K1834" s="3">
        <v>49</v>
      </c>
      <c r="L1834" s="2" t="s">
        <v>2536</v>
      </c>
      <c r="M1834" s="2" t="s">
        <v>2524</v>
      </c>
    </row>
    <row r="1835" spans="1:13" x14ac:dyDescent="0.3">
      <c r="A1835" s="1">
        <v>45716</v>
      </c>
      <c r="B1835" s="2" t="s">
        <v>2627</v>
      </c>
      <c r="C1835" s="2" t="s">
        <v>2527</v>
      </c>
      <c r="D1835" s="2" t="s">
        <v>2525</v>
      </c>
      <c r="E1835" s="2" t="s">
        <v>2517</v>
      </c>
      <c r="F1835" s="3">
        <v>118475</v>
      </c>
      <c r="G1835" s="3">
        <v>9672</v>
      </c>
      <c r="H1835" s="3">
        <v>288</v>
      </c>
      <c r="I1835" s="4">
        <v>17048.98</v>
      </c>
      <c r="J1835" s="4">
        <v>39606.400000000001</v>
      </c>
      <c r="K1835" s="3">
        <v>158</v>
      </c>
      <c r="L1835" s="2" t="s">
        <v>2536</v>
      </c>
      <c r="M1835" s="2" t="s">
        <v>2519</v>
      </c>
    </row>
    <row r="1836" spans="1:13" x14ac:dyDescent="0.3">
      <c r="A1836" s="1">
        <v>45773</v>
      </c>
      <c r="B1836" s="2" t="s">
        <v>2621</v>
      </c>
      <c r="C1836" s="2" t="s">
        <v>2515</v>
      </c>
      <c r="D1836" s="2" t="s">
        <v>2528</v>
      </c>
      <c r="E1836" s="2" t="s">
        <v>2529</v>
      </c>
      <c r="F1836" s="3">
        <v>145644</v>
      </c>
      <c r="G1836" s="3">
        <v>10729</v>
      </c>
      <c r="H1836" s="3">
        <v>1421</v>
      </c>
      <c r="I1836" s="4">
        <v>1453.02</v>
      </c>
      <c r="J1836" s="4">
        <v>250329.44</v>
      </c>
      <c r="K1836" s="3">
        <v>1263</v>
      </c>
      <c r="L1836" s="2" t="s">
        <v>2536</v>
      </c>
      <c r="M1836" s="2" t="s">
        <v>2537</v>
      </c>
    </row>
    <row r="1837" spans="1:13" x14ac:dyDescent="0.3">
      <c r="A1837" s="1">
        <v>45945</v>
      </c>
      <c r="B1837" s="2" t="s">
        <v>2636</v>
      </c>
      <c r="C1837" s="2" t="s">
        <v>2515</v>
      </c>
      <c r="D1837" s="2" t="s">
        <v>2528</v>
      </c>
      <c r="E1837" s="2" t="s">
        <v>2529</v>
      </c>
      <c r="F1837" s="3">
        <v>111755</v>
      </c>
      <c r="G1837" s="3">
        <v>4484</v>
      </c>
      <c r="H1837" s="3">
        <v>518</v>
      </c>
      <c r="I1837" s="4">
        <v>4645.1099999999997</v>
      </c>
      <c r="J1837" s="4">
        <v>66062.97</v>
      </c>
      <c r="K1837" s="3">
        <v>285</v>
      </c>
      <c r="L1837" s="2" t="s">
        <v>2523</v>
      </c>
      <c r="M1837" s="2" t="s">
        <v>2537</v>
      </c>
    </row>
    <row r="1838" spans="1:13" x14ac:dyDescent="0.3">
      <c r="A1838" s="1">
        <v>45967</v>
      </c>
      <c r="B1838" s="2" t="s">
        <v>2628</v>
      </c>
      <c r="C1838" s="2" t="s">
        <v>2543</v>
      </c>
      <c r="D1838" s="2" t="s">
        <v>2522</v>
      </c>
      <c r="E1838" s="2" t="s">
        <v>2529</v>
      </c>
      <c r="F1838" s="3">
        <v>25795</v>
      </c>
      <c r="G1838" s="3">
        <v>538</v>
      </c>
      <c r="H1838" s="3">
        <v>32</v>
      </c>
      <c r="I1838" s="4">
        <v>854.29</v>
      </c>
      <c r="J1838" s="4">
        <v>4547.2299999999996</v>
      </c>
      <c r="K1838" s="3">
        <v>20</v>
      </c>
      <c r="L1838" s="2" t="s">
        <v>2536</v>
      </c>
      <c r="M1838" s="2" t="s">
        <v>2519</v>
      </c>
    </row>
    <row r="1839" spans="1:13" x14ac:dyDescent="0.3">
      <c r="A1839" s="1">
        <v>45785</v>
      </c>
      <c r="B1839" s="2" t="s">
        <v>2640</v>
      </c>
      <c r="C1839" s="2" t="s">
        <v>2541</v>
      </c>
      <c r="D1839" s="2" t="s">
        <v>2528</v>
      </c>
      <c r="E1839" s="2" t="s">
        <v>2529</v>
      </c>
      <c r="F1839" s="3">
        <v>169372</v>
      </c>
      <c r="G1839" s="3">
        <v>5683</v>
      </c>
      <c r="H1839" s="3">
        <v>120</v>
      </c>
      <c r="I1839" s="4">
        <v>11345.02</v>
      </c>
      <c r="J1839" s="4">
        <v>8349.73</v>
      </c>
      <c r="K1839" s="3">
        <v>56</v>
      </c>
      <c r="L1839" s="2" t="s">
        <v>2536</v>
      </c>
      <c r="M1839" s="2" t="s">
        <v>2526</v>
      </c>
    </row>
    <row r="1840" spans="1:13" x14ac:dyDescent="0.3">
      <c r="A1840" s="1">
        <v>46022</v>
      </c>
      <c r="B1840" s="2" t="s">
        <v>2641</v>
      </c>
      <c r="C1840" s="2" t="s">
        <v>2543</v>
      </c>
      <c r="D1840" s="2" t="s">
        <v>2522</v>
      </c>
      <c r="E1840" s="2" t="s">
        <v>2529</v>
      </c>
      <c r="F1840" s="3">
        <v>50581</v>
      </c>
      <c r="G1840" s="3">
        <v>2820</v>
      </c>
      <c r="H1840" s="3">
        <v>330</v>
      </c>
      <c r="I1840" s="4">
        <v>3644.68</v>
      </c>
      <c r="J1840" s="4">
        <v>36594.050000000003</v>
      </c>
      <c r="K1840" s="3">
        <v>231</v>
      </c>
      <c r="L1840" s="2" t="s">
        <v>2536</v>
      </c>
      <c r="M1840" s="2" t="s">
        <v>2524</v>
      </c>
    </row>
    <row r="1841" spans="1:13" x14ac:dyDescent="0.3">
      <c r="A1841" s="1">
        <v>45899</v>
      </c>
      <c r="B1841" s="2" t="s">
        <v>2618</v>
      </c>
      <c r="C1841" s="2" t="s">
        <v>2543</v>
      </c>
      <c r="D1841" s="2" t="s">
        <v>2528</v>
      </c>
      <c r="E1841" s="2" t="s">
        <v>2529</v>
      </c>
      <c r="F1841" s="3">
        <v>157479</v>
      </c>
      <c r="G1841" s="3">
        <v>11320</v>
      </c>
      <c r="H1841" s="3">
        <v>580</v>
      </c>
      <c r="I1841" s="4">
        <v>21510.639999999999</v>
      </c>
      <c r="J1841" s="4">
        <v>110852.74</v>
      </c>
      <c r="K1841" s="3">
        <v>369</v>
      </c>
      <c r="L1841" s="2" t="s">
        <v>2539</v>
      </c>
      <c r="M1841" s="2" t="s">
        <v>2546</v>
      </c>
    </row>
    <row r="1842" spans="1:13" x14ac:dyDescent="0.3">
      <c r="A1842" s="1">
        <v>46000</v>
      </c>
      <c r="B1842" s="2" t="s">
        <v>2623</v>
      </c>
      <c r="C1842" s="2" t="s">
        <v>2515</v>
      </c>
      <c r="D1842" s="2" t="s">
        <v>2528</v>
      </c>
      <c r="E1842" s="2" t="s">
        <v>2517</v>
      </c>
      <c r="F1842" s="3">
        <v>178936</v>
      </c>
      <c r="G1842" s="3">
        <v>12867</v>
      </c>
      <c r="H1842" s="3">
        <v>1207</v>
      </c>
      <c r="I1842" s="4">
        <v>15102.35</v>
      </c>
      <c r="J1842" s="4">
        <v>94161.79</v>
      </c>
      <c r="K1842" s="3">
        <v>571</v>
      </c>
      <c r="L1842" s="2" t="s">
        <v>2518</v>
      </c>
      <c r="M1842" s="2" t="s">
        <v>2526</v>
      </c>
    </row>
    <row r="1843" spans="1:13" x14ac:dyDescent="0.3">
      <c r="A1843" s="1">
        <v>45859</v>
      </c>
      <c r="B1843" s="2" t="s">
        <v>2617</v>
      </c>
      <c r="C1843" s="2" t="s">
        <v>2533</v>
      </c>
      <c r="D1843" s="2" t="s">
        <v>2528</v>
      </c>
      <c r="E1843" s="2" t="s">
        <v>2529</v>
      </c>
      <c r="F1843" s="3">
        <v>37674</v>
      </c>
      <c r="G1843" s="3">
        <v>2366</v>
      </c>
      <c r="H1843" s="3">
        <v>237</v>
      </c>
      <c r="I1843" s="4">
        <v>1886.28</v>
      </c>
      <c r="J1843" s="4">
        <v>11793.92</v>
      </c>
      <c r="K1843" s="3">
        <v>197</v>
      </c>
      <c r="L1843" s="2" t="s">
        <v>2539</v>
      </c>
      <c r="M1843" s="2" t="s">
        <v>2526</v>
      </c>
    </row>
    <row r="1844" spans="1:13" x14ac:dyDescent="0.3">
      <c r="A1844" s="1">
        <v>45767</v>
      </c>
      <c r="B1844" s="2" t="s">
        <v>2630</v>
      </c>
      <c r="C1844" s="2" t="s">
        <v>2527</v>
      </c>
      <c r="D1844" s="2" t="s">
        <v>2516</v>
      </c>
      <c r="E1844" s="2" t="s">
        <v>2517</v>
      </c>
      <c r="F1844" s="3">
        <v>137270</v>
      </c>
      <c r="G1844" s="3">
        <v>11403</v>
      </c>
      <c r="H1844" s="3">
        <v>1431</v>
      </c>
      <c r="I1844" s="4">
        <v>9931.2000000000007</v>
      </c>
      <c r="J1844" s="4">
        <v>52877.94</v>
      </c>
      <c r="K1844" s="3">
        <v>644</v>
      </c>
      <c r="L1844" s="2" t="s">
        <v>2518</v>
      </c>
      <c r="M1844" s="2" t="s">
        <v>2526</v>
      </c>
    </row>
    <row r="1845" spans="1:13" x14ac:dyDescent="0.3">
      <c r="A1845" s="1">
        <v>45810</v>
      </c>
      <c r="B1845" s="2" t="s">
        <v>2618</v>
      </c>
      <c r="C1845" s="2" t="s">
        <v>2533</v>
      </c>
      <c r="D1845" s="2" t="s">
        <v>2522</v>
      </c>
      <c r="E1845" s="2" t="s">
        <v>2517</v>
      </c>
      <c r="F1845" s="3">
        <v>146091</v>
      </c>
      <c r="G1845" s="3">
        <v>7753</v>
      </c>
      <c r="H1845" s="3">
        <v>380</v>
      </c>
      <c r="I1845" s="4">
        <v>5213.29</v>
      </c>
      <c r="J1845" s="4">
        <v>17244.330000000002</v>
      </c>
      <c r="K1845" s="3">
        <v>268</v>
      </c>
      <c r="L1845" s="2" t="s">
        <v>2539</v>
      </c>
      <c r="M1845" s="2" t="s">
        <v>2524</v>
      </c>
    </row>
    <row r="1846" spans="1:13" x14ac:dyDescent="0.3">
      <c r="A1846" s="1">
        <v>45998</v>
      </c>
      <c r="B1846" s="2" t="s">
        <v>2638</v>
      </c>
      <c r="C1846" s="2" t="s">
        <v>2527</v>
      </c>
      <c r="D1846" s="2" t="s">
        <v>2516</v>
      </c>
      <c r="E1846" s="2" t="s">
        <v>2529</v>
      </c>
      <c r="F1846" s="3">
        <v>118399</v>
      </c>
      <c r="G1846" s="3">
        <v>4829</v>
      </c>
      <c r="H1846" s="3">
        <v>550</v>
      </c>
      <c r="I1846" s="4">
        <v>8532.07</v>
      </c>
      <c r="J1846" s="4">
        <v>54040.98</v>
      </c>
      <c r="K1846" s="3">
        <v>384</v>
      </c>
      <c r="L1846" s="2" t="s">
        <v>2523</v>
      </c>
      <c r="M1846" s="2" t="s">
        <v>2526</v>
      </c>
    </row>
    <row r="1847" spans="1:13" x14ac:dyDescent="0.3">
      <c r="A1847" s="1">
        <v>45914</v>
      </c>
      <c r="B1847" s="2" t="s">
        <v>2625</v>
      </c>
      <c r="C1847" s="2" t="s">
        <v>2521</v>
      </c>
      <c r="D1847" s="2" t="s">
        <v>2525</v>
      </c>
      <c r="E1847" s="2" t="s">
        <v>2517</v>
      </c>
      <c r="F1847" s="3">
        <v>54632</v>
      </c>
      <c r="G1847" s="3">
        <v>1658</v>
      </c>
      <c r="H1847" s="3">
        <v>217</v>
      </c>
      <c r="I1847" s="4">
        <v>1870.33</v>
      </c>
      <c r="J1847" s="4">
        <v>31200.34</v>
      </c>
      <c r="K1847" s="3">
        <v>191</v>
      </c>
      <c r="L1847" s="2" t="s">
        <v>2523</v>
      </c>
      <c r="M1847" s="2" t="s">
        <v>2537</v>
      </c>
    </row>
    <row r="1848" spans="1:13" x14ac:dyDescent="0.3">
      <c r="A1848" s="1">
        <v>45848</v>
      </c>
      <c r="B1848" s="2" t="s">
        <v>2620</v>
      </c>
      <c r="C1848" s="2" t="s">
        <v>2527</v>
      </c>
      <c r="D1848" s="2" t="s">
        <v>2528</v>
      </c>
      <c r="E1848" s="2" t="s">
        <v>2517</v>
      </c>
      <c r="F1848" s="3">
        <v>77155</v>
      </c>
      <c r="G1848" s="3">
        <v>4533</v>
      </c>
      <c r="H1848" s="3">
        <v>481</v>
      </c>
      <c r="I1848" s="4">
        <v>1916.34</v>
      </c>
      <c r="J1848" s="4">
        <v>70290.28</v>
      </c>
      <c r="K1848" s="3">
        <v>284</v>
      </c>
      <c r="L1848" s="2" t="s">
        <v>2539</v>
      </c>
      <c r="M1848" s="2" t="s">
        <v>2537</v>
      </c>
    </row>
    <row r="1849" spans="1:13" x14ac:dyDescent="0.3">
      <c r="A1849" s="1">
        <v>45898</v>
      </c>
      <c r="B1849" s="2" t="s">
        <v>2633</v>
      </c>
      <c r="C1849" s="2" t="s">
        <v>2515</v>
      </c>
      <c r="D1849" s="2" t="s">
        <v>2522</v>
      </c>
      <c r="E1849" s="2" t="s">
        <v>2529</v>
      </c>
      <c r="F1849" s="3">
        <v>149635</v>
      </c>
      <c r="G1849" s="3">
        <v>1360</v>
      </c>
      <c r="H1849" s="3">
        <v>115</v>
      </c>
      <c r="I1849" s="4">
        <v>2378.31</v>
      </c>
      <c r="J1849" s="4">
        <v>10830.63</v>
      </c>
      <c r="K1849" s="3">
        <v>85</v>
      </c>
      <c r="L1849" s="2" t="s">
        <v>2518</v>
      </c>
      <c r="M1849" s="2" t="s">
        <v>2537</v>
      </c>
    </row>
    <row r="1850" spans="1:13" x14ac:dyDescent="0.3">
      <c r="A1850" s="1">
        <v>45782</v>
      </c>
      <c r="B1850" s="2" t="s">
        <v>2636</v>
      </c>
      <c r="C1850" s="2" t="s">
        <v>2521</v>
      </c>
      <c r="D1850" s="2" t="s">
        <v>2516</v>
      </c>
      <c r="E1850" s="2" t="s">
        <v>2517</v>
      </c>
      <c r="F1850" s="3">
        <v>110178</v>
      </c>
      <c r="G1850" s="3">
        <v>9281</v>
      </c>
      <c r="H1850" s="3">
        <v>289</v>
      </c>
      <c r="I1850" s="4">
        <v>15392.83</v>
      </c>
      <c r="J1850" s="4">
        <v>49443.06</v>
      </c>
      <c r="K1850" s="3">
        <v>193</v>
      </c>
      <c r="L1850" s="2" t="s">
        <v>2523</v>
      </c>
      <c r="M1850" s="2" t="s">
        <v>2524</v>
      </c>
    </row>
    <row r="1851" spans="1:13" x14ac:dyDescent="0.3">
      <c r="A1851" s="1">
        <v>45719</v>
      </c>
      <c r="B1851" s="2" t="s">
        <v>2623</v>
      </c>
      <c r="C1851" s="2" t="s">
        <v>2543</v>
      </c>
      <c r="D1851" s="2" t="s">
        <v>2528</v>
      </c>
      <c r="E1851" s="2" t="s">
        <v>2534</v>
      </c>
      <c r="F1851" s="3">
        <v>158051</v>
      </c>
      <c r="G1851" s="3">
        <v>4672</v>
      </c>
      <c r="H1851" s="3">
        <v>455</v>
      </c>
      <c r="I1851" s="4">
        <v>4193.1400000000003</v>
      </c>
      <c r="J1851" s="4">
        <v>84820.31</v>
      </c>
      <c r="K1851" s="3">
        <v>366</v>
      </c>
      <c r="L1851" s="2" t="s">
        <v>2536</v>
      </c>
      <c r="M1851" s="2" t="s">
        <v>2537</v>
      </c>
    </row>
    <row r="1852" spans="1:13" x14ac:dyDescent="0.3">
      <c r="A1852" s="1">
        <v>45752</v>
      </c>
      <c r="B1852" s="2" t="s">
        <v>2628</v>
      </c>
      <c r="C1852" s="2" t="s">
        <v>2543</v>
      </c>
      <c r="D1852" s="2" t="s">
        <v>2525</v>
      </c>
      <c r="E1852" s="2" t="s">
        <v>2517</v>
      </c>
      <c r="F1852" s="3">
        <v>45805</v>
      </c>
      <c r="G1852" s="3">
        <v>3258</v>
      </c>
      <c r="H1852" s="3">
        <v>410</v>
      </c>
      <c r="I1852" s="4">
        <v>1084.5899999999999</v>
      </c>
      <c r="J1852" s="4">
        <v>36306</v>
      </c>
      <c r="K1852" s="3">
        <v>298</v>
      </c>
      <c r="L1852" s="2" t="s">
        <v>2536</v>
      </c>
      <c r="M1852" s="2" t="s">
        <v>2524</v>
      </c>
    </row>
    <row r="1853" spans="1:13" x14ac:dyDescent="0.3">
      <c r="A1853" s="1">
        <v>45898</v>
      </c>
      <c r="B1853" s="2" t="s">
        <v>2630</v>
      </c>
      <c r="C1853" s="2" t="s">
        <v>2543</v>
      </c>
      <c r="D1853" s="2" t="s">
        <v>2531</v>
      </c>
      <c r="E1853" s="2" t="s">
        <v>2517</v>
      </c>
      <c r="F1853" s="3">
        <v>10947</v>
      </c>
      <c r="G1853" s="3">
        <v>326</v>
      </c>
      <c r="H1853" s="3">
        <v>7</v>
      </c>
      <c r="I1853" s="4">
        <v>75.48</v>
      </c>
      <c r="J1853" s="4">
        <v>1468.96</v>
      </c>
      <c r="K1853" s="3">
        <v>3</v>
      </c>
      <c r="L1853" s="2" t="s">
        <v>2536</v>
      </c>
      <c r="M1853" s="2" t="s">
        <v>2537</v>
      </c>
    </row>
    <row r="1854" spans="1:13" x14ac:dyDescent="0.3">
      <c r="A1854" s="1">
        <v>45889</v>
      </c>
      <c r="B1854" s="2" t="s">
        <v>2633</v>
      </c>
      <c r="C1854" s="2" t="s">
        <v>2543</v>
      </c>
      <c r="D1854" s="2" t="s">
        <v>2528</v>
      </c>
      <c r="E1854" s="2" t="s">
        <v>2529</v>
      </c>
      <c r="F1854" s="3">
        <v>122807</v>
      </c>
      <c r="G1854" s="3">
        <v>1876</v>
      </c>
      <c r="H1854" s="3">
        <v>58</v>
      </c>
      <c r="I1854" s="4">
        <v>587.19000000000005</v>
      </c>
      <c r="J1854" s="4">
        <v>3911.33</v>
      </c>
      <c r="K1854" s="3">
        <v>42</v>
      </c>
      <c r="L1854" s="2" t="s">
        <v>2539</v>
      </c>
      <c r="M1854" s="2" t="s">
        <v>2519</v>
      </c>
    </row>
    <row r="1855" spans="1:13" x14ac:dyDescent="0.3">
      <c r="A1855" s="1">
        <v>45664</v>
      </c>
      <c r="B1855" s="2" t="s">
        <v>2633</v>
      </c>
      <c r="C1855" s="2" t="s">
        <v>2543</v>
      </c>
      <c r="D1855" s="2" t="s">
        <v>2522</v>
      </c>
      <c r="E1855" s="2" t="s">
        <v>2529</v>
      </c>
      <c r="F1855" s="3">
        <v>25058</v>
      </c>
      <c r="G1855" s="3">
        <v>2223</v>
      </c>
      <c r="H1855" s="3">
        <v>293</v>
      </c>
      <c r="I1855" s="4">
        <v>970.53</v>
      </c>
      <c r="J1855" s="4">
        <v>42482.03</v>
      </c>
      <c r="K1855" s="3">
        <v>204</v>
      </c>
      <c r="L1855" s="2" t="s">
        <v>2523</v>
      </c>
      <c r="M1855" s="2" t="s">
        <v>2526</v>
      </c>
    </row>
    <row r="1856" spans="1:13" x14ac:dyDescent="0.3">
      <c r="A1856" s="1">
        <v>45748</v>
      </c>
      <c r="B1856" s="2" t="s">
        <v>2641</v>
      </c>
      <c r="C1856" s="2" t="s">
        <v>2543</v>
      </c>
      <c r="D1856" s="2" t="s">
        <v>2528</v>
      </c>
      <c r="E1856" s="2" t="s">
        <v>2534</v>
      </c>
      <c r="F1856" s="3">
        <v>103587</v>
      </c>
      <c r="G1856" s="3">
        <v>4822</v>
      </c>
      <c r="H1856" s="3">
        <v>549</v>
      </c>
      <c r="I1856" s="4">
        <v>4184.0200000000004</v>
      </c>
      <c r="J1856" s="4">
        <v>24604.25</v>
      </c>
      <c r="K1856" s="3">
        <v>293</v>
      </c>
      <c r="L1856" s="2" t="s">
        <v>2523</v>
      </c>
      <c r="M1856" s="2" t="s">
        <v>2546</v>
      </c>
    </row>
    <row r="1857" spans="1:13" x14ac:dyDescent="0.3">
      <c r="A1857" s="1">
        <v>45812</v>
      </c>
      <c r="B1857" s="2" t="s">
        <v>2640</v>
      </c>
      <c r="C1857" s="2" t="s">
        <v>2515</v>
      </c>
      <c r="D1857" s="2" t="s">
        <v>2516</v>
      </c>
      <c r="E1857" s="2" t="s">
        <v>2517</v>
      </c>
      <c r="F1857" s="3">
        <v>175358</v>
      </c>
      <c r="G1857" s="3">
        <v>5248</v>
      </c>
      <c r="H1857" s="3">
        <v>56</v>
      </c>
      <c r="I1857" s="4">
        <v>6824.61</v>
      </c>
      <c r="J1857" s="4">
        <v>3668.82</v>
      </c>
      <c r="K1857" s="3">
        <v>50</v>
      </c>
      <c r="L1857" s="2" t="s">
        <v>2523</v>
      </c>
      <c r="M1857" s="2" t="s">
        <v>2526</v>
      </c>
    </row>
    <row r="1858" spans="1:13" x14ac:dyDescent="0.3">
      <c r="A1858" s="1">
        <v>45757</v>
      </c>
      <c r="B1858" s="2" t="s">
        <v>2629</v>
      </c>
      <c r="C1858" s="2" t="s">
        <v>2543</v>
      </c>
      <c r="D1858" s="2" t="s">
        <v>2528</v>
      </c>
      <c r="E1858" s="2" t="s">
        <v>2529</v>
      </c>
      <c r="F1858" s="3">
        <v>153110</v>
      </c>
      <c r="G1858" s="3">
        <v>4746</v>
      </c>
      <c r="H1858" s="3">
        <v>645</v>
      </c>
      <c r="I1858" s="4">
        <v>8654.0300000000007</v>
      </c>
      <c r="J1858" s="4">
        <v>141495.57</v>
      </c>
      <c r="K1858" s="3">
        <v>534</v>
      </c>
      <c r="L1858" s="2" t="s">
        <v>2539</v>
      </c>
      <c r="M1858" s="2" t="s">
        <v>2524</v>
      </c>
    </row>
    <row r="1859" spans="1:13" x14ac:dyDescent="0.3">
      <c r="A1859" s="1">
        <v>45957</v>
      </c>
      <c r="B1859" s="2" t="s">
        <v>2622</v>
      </c>
      <c r="C1859" s="2" t="s">
        <v>2521</v>
      </c>
      <c r="D1859" s="2" t="s">
        <v>2528</v>
      </c>
      <c r="E1859" s="2" t="s">
        <v>2517</v>
      </c>
      <c r="F1859" s="3">
        <v>59478</v>
      </c>
      <c r="G1859" s="3">
        <v>2226</v>
      </c>
      <c r="H1859" s="3">
        <v>125</v>
      </c>
      <c r="I1859" s="4">
        <v>3107.93</v>
      </c>
      <c r="J1859" s="4">
        <v>27356.43</v>
      </c>
      <c r="K1859" s="3">
        <v>87</v>
      </c>
      <c r="L1859" s="2" t="s">
        <v>2536</v>
      </c>
      <c r="M1859" s="2" t="s">
        <v>2537</v>
      </c>
    </row>
    <row r="1860" spans="1:13" x14ac:dyDescent="0.3">
      <c r="A1860" s="1">
        <v>45659</v>
      </c>
      <c r="B1860" s="2" t="s">
        <v>2628</v>
      </c>
      <c r="C1860" s="2" t="s">
        <v>2515</v>
      </c>
      <c r="D1860" s="2" t="s">
        <v>2528</v>
      </c>
      <c r="E1860" s="2" t="s">
        <v>2517</v>
      </c>
      <c r="F1860" s="3">
        <v>69094</v>
      </c>
      <c r="G1860" s="3">
        <v>1728</v>
      </c>
      <c r="H1860" s="3">
        <v>219</v>
      </c>
      <c r="I1860" s="4">
        <v>1231.92</v>
      </c>
      <c r="J1860" s="4">
        <v>11381.53</v>
      </c>
      <c r="K1860" s="3">
        <v>144</v>
      </c>
      <c r="L1860" s="2" t="s">
        <v>2518</v>
      </c>
      <c r="M1860" s="2" t="s">
        <v>2519</v>
      </c>
    </row>
    <row r="1861" spans="1:13" x14ac:dyDescent="0.3">
      <c r="A1861" s="1">
        <v>45970</v>
      </c>
      <c r="B1861" s="2" t="s">
        <v>2617</v>
      </c>
      <c r="C1861" s="2" t="s">
        <v>2541</v>
      </c>
      <c r="D1861" s="2" t="s">
        <v>2516</v>
      </c>
      <c r="E1861" s="2" t="s">
        <v>2517</v>
      </c>
      <c r="F1861" s="3">
        <v>111238</v>
      </c>
      <c r="G1861" s="3">
        <v>502</v>
      </c>
      <c r="H1861" s="3">
        <v>16</v>
      </c>
      <c r="I1861" s="4">
        <v>503.14</v>
      </c>
      <c r="J1861" s="4">
        <v>682.97</v>
      </c>
      <c r="K1861" s="3">
        <v>13</v>
      </c>
      <c r="L1861" s="2" t="s">
        <v>2523</v>
      </c>
      <c r="M1861" s="2" t="s">
        <v>2519</v>
      </c>
    </row>
    <row r="1862" spans="1:13" x14ac:dyDescent="0.3">
      <c r="A1862" s="1">
        <v>45919</v>
      </c>
      <c r="B1862" s="2" t="s">
        <v>2642</v>
      </c>
      <c r="C1862" s="2" t="s">
        <v>2521</v>
      </c>
      <c r="D1862" s="2" t="s">
        <v>2525</v>
      </c>
      <c r="E1862" s="2" t="s">
        <v>2517</v>
      </c>
      <c r="F1862" s="3">
        <v>148849</v>
      </c>
      <c r="G1862" s="3">
        <v>12219</v>
      </c>
      <c r="H1862" s="3">
        <v>1061</v>
      </c>
      <c r="I1862" s="4">
        <v>4473.55</v>
      </c>
      <c r="J1862" s="4">
        <v>137304.51999999999</v>
      </c>
      <c r="K1862" s="3">
        <v>623</v>
      </c>
      <c r="L1862" s="2" t="s">
        <v>2518</v>
      </c>
      <c r="M1862" s="2" t="s">
        <v>2526</v>
      </c>
    </row>
    <row r="1863" spans="1:13" x14ac:dyDescent="0.3">
      <c r="A1863" s="1">
        <v>45734</v>
      </c>
      <c r="B1863" s="2" t="s">
        <v>2628</v>
      </c>
      <c r="C1863" s="2" t="s">
        <v>2541</v>
      </c>
      <c r="D1863" s="2" t="s">
        <v>2531</v>
      </c>
      <c r="E1863" s="2" t="s">
        <v>2517</v>
      </c>
      <c r="F1863" s="3">
        <v>168033</v>
      </c>
      <c r="G1863" s="3">
        <v>12506</v>
      </c>
      <c r="H1863" s="3">
        <v>486</v>
      </c>
      <c r="I1863" s="4">
        <v>2215.1</v>
      </c>
      <c r="J1863" s="4">
        <v>32812.89</v>
      </c>
      <c r="K1863" s="3">
        <v>272</v>
      </c>
      <c r="L1863" s="2" t="s">
        <v>2539</v>
      </c>
      <c r="M1863" s="2" t="s">
        <v>2524</v>
      </c>
    </row>
    <row r="1864" spans="1:13" x14ac:dyDescent="0.3">
      <c r="A1864" s="1">
        <v>45661</v>
      </c>
      <c r="B1864" s="2" t="s">
        <v>2640</v>
      </c>
      <c r="C1864" s="2" t="s">
        <v>2543</v>
      </c>
      <c r="D1864" s="2" t="s">
        <v>2528</v>
      </c>
      <c r="E1864" s="2" t="s">
        <v>2517</v>
      </c>
      <c r="F1864" s="3">
        <v>81262</v>
      </c>
      <c r="G1864" s="3">
        <v>1487</v>
      </c>
      <c r="H1864" s="3">
        <v>146</v>
      </c>
      <c r="I1864" s="4">
        <v>1327.11</v>
      </c>
      <c r="J1864" s="4">
        <v>4018.82</v>
      </c>
      <c r="K1864" s="3">
        <v>76</v>
      </c>
      <c r="L1864" s="2" t="s">
        <v>2539</v>
      </c>
      <c r="M1864" s="2" t="s">
        <v>2526</v>
      </c>
    </row>
    <row r="1865" spans="1:13" x14ac:dyDescent="0.3">
      <c r="A1865" s="1">
        <v>45820</v>
      </c>
      <c r="B1865" s="2" t="s">
        <v>2641</v>
      </c>
      <c r="C1865" s="2" t="s">
        <v>2521</v>
      </c>
      <c r="D1865" s="2" t="s">
        <v>2522</v>
      </c>
      <c r="E1865" s="2" t="s">
        <v>2517</v>
      </c>
      <c r="F1865" s="3">
        <v>162004</v>
      </c>
      <c r="G1865" s="3">
        <v>9775</v>
      </c>
      <c r="H1865" s="3">
        <v>237</v>
      </c>
      <c r="I1865" s="4">
        <v>18277.810000000001</v>
      </c>
      <c r="J1865" s="4">
        <v>31829.01</v>
      </c>
      <c r="K1865" s="3">
        <v>179</v>
      </c>
      <c r="L1865" s="2" t="s">
        <v>2536</v>
      </c>
      <c r="M1865" s="2" t="s">
        <v>2526</v>
      </c>
    </row>
    <row r="1866" spans="1:13" x14ac:dyDescent="0.3">
      <c r="A1866" s="1">
        <v>45968</v>
      </c>
      <c r="B1866" s="2" t="s">
        <v>2629</v>
      </c>
      <c r="C1866" s="2" t="s">
        <v>2521</v>
      </c>
      <c r="D1866" s="2" t="s">
        <v>2525</v>
      </c>
      <c r="E1866" s="2" t="s">
        <v>2517</v>
      </c>
      <c r="F1866" s="3">
        <v>136775</v>
      </c>
      <c r="G1866" s="3">
        <v>8867</v>
      </c>
      <c r="H1866" s="3">
        <v>1101</v>
      </c>
      <c r="I1866" s="4">
        <v>11072</v>
      </c>
      <c r="J1866" s="4">
        <v>121842.3</v>
      </c>
      <c r="K1866" s="3">
        <v>662</v>
      </c>
      <c r="L1866" s="2" t="s">
        <v>2518</v>
      </c>
      <c r="M1866" s="2" t="s">
        <v>2526</v>
      </c>
    </row>
    <row r="1867" spans="1:13" x14ac:dyDescent="0.3">
      <c r="A1867" s="1">
        <v>45663</v>
      </c>
      <c r="B1867" s="2" t="s">
        <v>2635</v>
      </c>
      <c r="C1867" s="2" t="s">
        <v>2521</v>
      </c>
      <c r="D1867" s="2" t="s">
        <v>2528</v>
      </c>
      <c r="E1867" s="2" t="s">
        <v>2529</v>
      </c>
      <c r="F1867" s="3">
        <v>164065</v>
      </c>
      <c r="G1867" s="3">
        <v>11085</v>
      </c>
      <c r="H1867" s="3">
        <v>652</v>
      </c>
      <c r="I1867" s="4">
        <v>7830.81</v>
      </c>
      <c r="J1867" s="4">
        <v>51218.41</v>
      </c>
      <c r="K1867" s="3">
        <v>533</v>
      </c>
      <c r="L1867" s="2" t="s">
        <v>2536</v>
      </c>
      <c r="M1867" s="2" t="s">
        <v>2546</v>
      </c>
    </row>
    <row r="1868" spans="1:13" x14ac:dyDescent="0.3">
      <c r="A1868" s="1">
        <v>45841</v>
      </c>
      <c r="B1868" s="2" t="s">
        <v>2635</v>
      </c>
      <c r="C1868" s="2" t="s">
        <v>2521</v>
      </c>
      <c r="D1868" s="2" t="s">
        <v>2528</v>
      </c>
      <c r="E1868" s="2" t="s">
        <v>2534</v>
      </c>
      <c r="F1868" s="3">
        <v>174569</v>
      </c>
      <c r="G1868" s="3">
        <v>2974</v>
      </c>
      <c r="H1868" s="3">
        <v>201</v>
      </c>
      <c r="I1868" s="4">
        <v>1697.27</v>
      </c>
      <c r="J1868" s="4">
        <v>3555.73</v>
      </c>
      <c r="K1868" s="3">
        <v>116</v>
      </c>
      <c r="L1868" s="2" t="s">
        <v>2523</v>
      </c>
      <c r="M1868" s="2" t="s">
        <v>2524</v>
      </c>
    </row>
    <row r="1869" spans="1:13" x14ac:dyDescent="0.3">
      <c r="A1869" s="1">
        <v>45815</v>
      </c>
      <c r="B1869" s="2" t="s">
        <v>2617</v>
      </c>
      <c r="C1869" s="2" t="s">
        <v>2521</v>
      </c>
      <c r="D1869" s="2" t="s">
        <v>2528</v>
      </c>
      <c r="E1869" s="2" t="s">
        <v>2529</v>
      </c>
      <c r="F1869" s="3">
        <v>119688</v>
      </c>
      <c r="G1869" s="3">
        <v>1519</v>
      </c>
      <c r="H1869" s="3">
        <v>174</v>
      </c>
      <c r="I1869" s="4">
        <v>1971.2</v>
      </c>
      <c r="J1869" s="4">
        <v>23770.55</v>
      </c>
      <c r="K1869" s="3">
        <v>91</v>
      </c>
      <c r="L1869" s="2" t="s">
        <v>2518</v>
      </c>
      <c r="M1869" s="2" t="s">
        <v>2524</v>
      </c>
    </row>
    <row r="1870" spans="1:13" x14ac:dyDescent="0.3">
      <c r="A1870" s="1">
        <v>45904</v>
      </c>
      <c r="B1870" s="2" t="s">
        <v>2618</v>
      </c>
      <c r="C1870" s="2" t="s">
        <v>2527</v>
      </c>
      <c r="D1870" s="2" t="s">
        <v>2528</v>
      </c>
      <c r="E1870" s="2" t="s">
        <v>2517</v>
      </c>
      <c r="F1870" s="3">
        <v>74351</v>
      </c>
      <c r="G1870" s="3">
        <v>914</v>
      </c>
      <c r="H1870" s="3">
        <v>111</v>
      </c>
      <c r="I1870" s="4">
        <v>1040.53</v>
      </c>
      <c r="J1870" s="4">
        <v>21470.76</v>
      </c>
      <c r="K1870" s="3">
        <v>69</v>
      </c>
      <c r="L1870" s="2" t="s">
        <v>2536</v>
      </c>
      <c r="M1870" s="2" t="s">
        <v>2526</v>
      </c>
    </row>
    <row r="1871" spans="1:13" x14ac:dyDescent="0.3">
      <c r="A1871" s="1">
        <v>45682</v>
      </c>
      <c r="B1871" s="2" t="s">
        <v>2628</v>
      </c>
      <c r="C1871" s="2" t="s">
        <v>2541</v>
      </c>
      <c r="D1871" s="2" t="s">
        <v>2522</v>
      </c>
      <c r="E1871" s="2" t="s">
        <v>2517</v>
      </c>
      <c r="F1871" s="3">
        <v>85746</v>
      </c>
      <c r="G1871" s="3">
        <v>6753</v>
      </c>
      <c r="H1871" s="3">
        <v>851</v>
      </c>
      <c r="I1871" s="4">
        <v>3960.59</v>
      </c>
      <c r="J1871" s="4">
        <v>126285.9</v>
      </c>
      <c r="K1871" s="3">
        <v>556</v>
      </c>
      <c r="L1871" s="2" t="s">
        <v>2518</v>
      </c>
      <c r="M1871" s="2" t="s">
        <v>2524</v>
      </c>
    </row>
    <row r="1872" spans="1:13" x14ac:dyDescent="0.3">
      <c r="A1872" s="1">
        <v>45986</v>
      </c>
      <c r="B1872" s="2" t="s">
        <v>2644</v>
      </c>
      <c r="C1872" s="2" t="s">
        <v>2527</v>
      </c>
      <c r="D1872" s="2" t="s">
        <v>2525</v>
      </c>
      <c r="E1872" s="2" t="s">
        <v>2529</v>
      </c>
      <c r="F1872" s="3">
        <v>71318</v>
      </c>
      <c r="G1872" s="3">
        <v>4825</v>
      </c>
      <c r="H1872" s="3">
        <v>281</v>
      </c>
      <c r="I1872" s="4">
        <v>9905.76</v>
      </c>
      <c r="J1872" s="4">
        <v>25491.32</v>
      </c>
      <c r="K1872" s="3">
        <v>127</v>
      </c>
      <c r="L1872" s="2" t="s">
        <v>2518</v>
      </c>
      <c r="M1872" s="2" t="s">
        <v>2546</v>
      </c>
    </row>
    <row r="1873" spans="1:13" x14ac:dyDescent="0.3">
      <c r="A1873" s="1">
        <v>45800</v>
      </c>
      <c r="B1873" s="2" t="s">
        <v>2620</v>
      </c>
      <c r="C1873" s="2" t="s">
        <v>2533</v>
      </c>
      <c r="D1873" s="2" t="s">
        <v>2528</v>
      </c>
      <c r="E1873" s="2" t="s">
        <v>2529</v>
      </c>
      <c r="F1873" s="3">
        <v>153271</v>
      </c>
      <c r="G1873" s="3">
        <v>4361</v>
      </c>
      <c r="H1873" s="3">
        <v>27</v>
      </c>
      <c r="I1873" s="4">
        <v>3003.87</v>
      </c>
      <c r="J1873" s="4">
        <v>1174.8800000000001</v>
      </c>
      <c r="K1873" s="3">
        <v>18</v>
      </c>
      <c r="L1873" s="2" t="s">
        <v>2523</v>
      </c>
      <c r="M1873" s="2" t="s">
        <v>2519</v>
      </c>
    </row>
    <row r="1874" spans="1:13" x14ac:dyDescent="0.3">
      <c r="A1874" s="1">
        <v>45965</v>
      </c>
      <c r="B1874" s="2" t="s">
        <v>2640</v>
      </c>
      <c r="C1874" s="2" t="s">
        <v>2533</v>
      </c>
      <c r="D1874" s="2" t="s">
        <v>2525</v>
      </c>
      <c r="E1874" s="2" t="s">
        <v>2517</v>
      </c>
      <c r="F1874" s="3">
        <v>80590</v>
      </c>
      <c r="G1874" s="3">
        <v>3985</v>
      </c>
      <c r="H1874" s="3">
        <v>280</v>
      </c>
      <c r="I1874" s="4">
        <v>2228.39</v>
      </c>
      <c r="J1874" s="4">
        <v>16841.28</v>
      </c>
      <c r="K1874" s="3">
        <v>199</v>
      </c>
      <c r="L1874" s="2" t="s">
        <v>2536</v>
      </c>
      <c r="M1874" s="2" t="s">
        <v>2526</v>
      </c>
    </row>
    <row r="1875" spans="1:13" x14ac:dyDescent="0.3">
      <c r="A1875" s="1">
        <v>45782</v>
      </c>
      <c r="B1875" s="2" t="s">
        <v>2624</v>
      </c>
      <c r="C1875" s="2" t="s">
        <v>2515</v>
      </c>
      <c r="D1875" s="2" t="s">
        <v>2522</v>
      </c>
      <c r="E1875" s="2" t="s">
        <v>2529</v>
      </c>
      <c r="F1875" s="3">
        <v>119018</v>
      </c>
      <c r="G1875" s="3">
        <v>10423</v>
      </c>
      <c r="H1875" s="3">
        <v>206</v>
      </c>
      <c r="I1875" s="4">
        <v>11639.73</v>
      </c>
      <c r="J1875" s="4">
        <v>10962.59</v>
      </c>
      <c r="K1875" s="3">
        <v>118</v>
      </c>
      <c r="L1875" s="2" t="s">
        <v>2523</v>
      </c>
      <c r="M1875" s="2" t="s">
        <v>2537</v>
      </c>
    </row>
    <row r="1876" spans="1:13" x14ac:dyDescent="0.3">
      <c r="A1876" s="1">
        <v>45695</v>
      </c>
      <c r="B1876" s="2" t="s">
        <v>2616</v>
      </c>
      <c r="C1876" s="2" t="s">
        <v>2527</v>
      </c>
      <c r="D1876" s="2" t="s">
        <v>2516</v>
      </c>
      <c r="E1876" s="2" t="s">
        <v>2529</v>
      </c>
      <c r="F1876" s="3">
        <v>12131</v>
      </c>
      <c r="G1876" s="3">
        <v>98</v>
      </c>
      <c r="H1876" s="3">
        <v>9</v>
      </c>
      <c r="I1876" s="4">
        <v>85.25</v>
      </c>
      <c r="J1876" s="4">
        <v>734.79</v>
      </c>
      <c r="K1876" s="3">
        <v>7</v>
      </c>
      <c r="L1876" s="2" t="s">
        <v>2523</v>
      </c>
      <c r="M1876" s="2" t="s">
        <v>2546</v>
      </c>
    </row>
    <row r="1877" spans="1:13" x14ac:dyDescent="0.3">
      <c r="A1877" s="1">
        <v>45987</v>
      </c>
      <c r="B1877" s="2" t="s">
        <v>2638</v>
      </c>
      <c r="C1877" s="2" t="s">
        <v>2527</v>
      </c>
      <c r="D1877" s="2" t="s">
        <v>2528</v>
      </c>
      <c r="E1877" s="2" t="s">
        <v>2517</v>
      </c>
      <c r="F1877" s="3">
        <v>39921</v>
      </c>
      <c r="G1877" s="3">
        <v>780</v>
      </c>
      <c r="H1877" s="3">
        <v>6</v>
      </c>
      <c r="I1877" s="4">
        <v>1284.75</v>
      </c>
      <c r="J1877" s="4">
        <v>1184.5899999999999</v>
      </c>
      <c r="K1877" s="3">
        <v>3</v>
      </c>
      <c r="L1877" s="2" t="s">
        <v>2539</v>
      </c>
      <c r="M1877" s="2" t="s">
        <v>2537</v>
      </c>
    </row>
    <row r="1878" spans="1:13" x14ac:dyDescent="0.3">
      <c r="A1878" s="1">
        <v>45969</v>
      </c>
      <c r="B1878" s="2" t="s">
        <v>2622</v>
      </c>
      <c r="C1878" s="2" t="s">
        <v>2527</v>
      </c>
      <c r="D1878" s="2" t="s">
        <v>2528</v>
      </c>
      <c r="E1878" s="2" t="s">
        <v>2517</v>
      </c>
      <c r="F1878" s="3">
        <v>35956</v>
      </c>
      <c r="G1878" s="3">
        <v>1017</v>
      </c>
      <c r="H1878" s="3">
        <v>102</v>
      </c>
      <c r="I1878" s="4">
        <v>2030.72</v>
      </c>
      <c r="J1878" s="4">
        <v>12013.95</v>
      </c>
      <c r="K1878" s="3">
        <v>90</v>
      </c>
      <c r="L1878" s="2" t="s">
        <v>2539</v>
      </c>
      <c r="M1878" s="2" t="s">
        <v>2524</v>
      </c>
    </row>
    <row r="1879" spans="1:13" x14ac:dyDescent="0.3">
      <c r="A1879" s="1">
        <v>45679</v>
      </c>
      <c r="B1879" s="2" t="s">
        <v>2631</v>
      </c>
      <c r="C1879" s="2" t="s">
        <v>2543</v>
      </c>
      <c r="D1879" s="2" t="s">
        <v>2528</v>
      </c>
      <c r="E1879" s="2" t="s">
        <v>2517</v>
      </c>
      <c r="F1879" s="3">
        <v>138985</v>
      </c>
      <c r="G1879" s="3">
        <v>8834</v>
      </c>
      <c r="H1879" s="3">
        <v>430</v>
      </c>
      <c r="I1879" s="4">
        <v>4707.72</v>
      </c>
      <c r="J1879" s="4">
        <v>73397.649999999994</v>
      </c>
      <c r="K1879" s="3">
        <v>221</v>
      </c>
      <c r="L1879" s="2" t="s">
        <v>2536</v>
      </c>
      <c r="M1879" s="2" t="s">
        <v>2526</v>
      </c>
    </row>
    <row r="1880" spans="1:13" x14ac:dyDescent="0.3">
      <c r="A1880" s="1">
        <v>45918</v>
      </c>
      <c r="B1880" s="2" t="s">
        <v>2616</v>
      </c>
      <c r="C1880" s="2" t="s">
        <v>2527</v>
      </c>
      <c r="D1880" s="2" t="s">
        <v>2528</v>
      </c>
      <c r="E1880" s="2" t="s">
        <v>2517</v>
      </c>
      <c r="F1880" s="3">
        <v>59458</v>
      </c>
      <c r="G1880" s="3">
        <v>2241</v>
      </c>
      <c r="H1880" s="3">
        <v>298</v>
      </c>
      <c r="I1880" s="4">
        <v>1447.74</v>
      </c>
      <c r="J1880" s="4">
        <v>41737.980000000003</v>
      </c>
      <c r="K1880" s="3">
        <v>154</v>
      </c>
      <c r="L1880" s="2" t="s">
        <v>2523</v>
      </c>
      <c r="M1880" s="2" t="s">
        <v>2546</v>
      </c>
    </row>
    <row r="1881" spans="1:13" x14ac:dyDescent="0.3">
      <c r="A1881" s="1">
        <v>46010</v>
      </c>
      <c r="B1881" s="2" t="s">
        <v>2639</v>
      </c>
      <c r="C1881" s="2" t="s">
        <v>2543</v>
      </c>
      <c r="D1881" s="2" t="s">
        <v>2516</v>
      </c>
      <c r="E1881" s="2" t="s">
        <v>2517</v>
      </c>
      <c r="F1881" s="3">
        <v>157363</v>
      </c>
      <c r="G1881" s="3">
        <v>7694</v>
      </c>
      <c r="H1881" s="3">
        <v>242</v>
      </c>
      <c r="I1881" s="4">
        <v>14323.28</v>
      </c>
      <c r="J1881" s="4">
        <v>16875.37</v>
      </c>
      <c r="K1881" s="3">
        <v>192</v>
      </c>
      <c r="L1881" s="2" t="s">
        <v>2539</v>
      </c>
      <c r="M1881" s="2" t="s">
        <v>2526</v>
      </c>
    </row>
    <row r="1882" spans="1:13" x14ac:dyDescent="0.3">
      <c r="A1882" s="1">
        <v>45758</v>
      </c>
      <c r="B1882" s="2" t="s">
        <v>2628</v>
      </c>
      <c r="C1882" s="2" t="s">
        <v>2527</v>
      </c>
      <c r="D1882" s="2" t="s">
        <v>2528</v>
      </c>
      <c r="E1882" s="2" t="s">
        <v>2529</v>
      </c>
      <c r="F1882" s="3">
        <v>166554</v>
      </c>
      <c r="G1882" s="3">
        <v>5839</v>
      </c>
      <c r="H1882" s="3">
        <v>315</v>
      </c>
      <c r="I1882" s="4">
        <v>8298.14</v>
      </c>
      <c r="J1882" s="4">
        <v>23373.65</v>
      </c>
      <c r="K1882" s="3">
        <v>184</v>
      </c>
      <c r="L1882" s="2" t="s">
        <v>2536</v>
      </c>
      <c r="M1882" s="2" t="s">
        <v>2519</v>
      </c>
    </row>
    <row r="1883" spans="1:13" x14ac:dyDescent="0.3">
      <c r="A1883" s="1">
        <v>45864</v>
      </c>
      <c r="B1883" s="2" t="s">
        <v>2615</v>
      </c>
      <c r="C1883" s="2" t="s">
        <v>2521</v>
      </c>
      <c r="D1883" s="2" t="s">
        <v>2528</v>
      </c>
      <c r="E1883" s="2" t="s">
        <v>2529</v>
      </c>
      <c r="F1883" s="3">
        <v>25120</v>
      </c>
      <c r="G1883" s="3">
        <v>2123</v>
      </c>
      <c r="H1883" s="3">
        <v>86</v>
      </c>
      <c r="I1883" s="4">
        <v>2715.22</v>
      </c>
      <c r="J1883" s="4">
        <v>2690.07</v>
      </c>
      <c r="K1883" s="3">
        <v>46</v>
      </c>
      <c r="L1883" s="2" t="s">
        <v>2539</v>
      </c>
      <c r="M1883" s="2" t="s">
        <v>2546</v>
      </c>
    </row>
    <row r="1884" spans="1:13" x14ac:dyDescent="0.3">
      <c r="A1884" s="1">
        <v>45760</v>
      </c>
      <c r="B1884" s="2" t="s">
        <v>2633</v>
      </c>
      <c r="C1884" s="2" t="s">
        <v>2515</v>
      </c>
      <c r="D1884" s="2" t="s">
        <v>2525</v>
      </c>
      <c r="E1884" s="2" t="s">
        <v>2517</v>
      </c>
      <c r="F1884" s="3">
        <v>118486</v>
      </c>
      <c r="G1884" s="3">
        <v>10086</v>
      </c>
      <c r="H1884" s="3">
        <v>10092</v>
      </c>
      <c r="I1884" s="4">
        <v>4646.57</v>
      </c>
      <c r="J1884" s="4">
        <v>74476.759999999995</v>
      </c>
      <c r="K1884" s="3">
        <v>327</v>
      </c>
      <c r="L1884" s="2" t="s">
        <v>2539</v>
      </c>
      <c r="M1884" s="2" t="s">
        <v>2537</v>
      </c>
    </row>
    <row r="1885" spans="1:13" x14ac:dyDescent="0.3">
      <c r="A1885" s="1">
        <v>45948</v>
      </c>
      <c r="B1885" s="2" t="s">
        <v>2626</v>
      </c>
      <c r="C1885" s="2" t="s">
        <v>2515</v>
      </c>
      <c r="D1885" s="2" t="s">
        <v>2525</v>
      </c>
      <c r="E1885" s="2" t="s">
        <v>2529</v>
      </c>
      <c r="F1885" s="3">
        <v>69602</v>
      </c>
      <c r="G1885" s="3">
        <v>5574</v>
      </c>
      <c r="H1885" s="3">
        <v>59</v>
      </c>
      <c r="I1885" s="4">
        <v>4069.89</v>
      </c>
      <c r="J1885" s="4">
        <v>1936.86</v>
      </c>
      <c r="K1885" s="3">
        <v>37</v>
      </c>
      <c r="L1885" s="2" t="s">
        <v>2523</v>
      </c>
      <c r="M1885" s="2" t="s">
        <v>2524</v>
      </c>
    </row>
    <row r="1886" spans="1:13" x14ac:dyDescent="0.3">
      <c r="A1886" s="1">
        <v>45771</v>
      </c>
      <c r="B1886" s="2" t="s">
        <v>2628</v>
      </c>
      <c r="C1886" s="2" t="s">
        <v>2543</v>
      </c>
      <c r="D1886" s="2" t="s">
        <v>2516</v>
      </c>
      <c r="E1886" s="2" t="s">
        <v>2529</v>
      </c>
      <c r="F1886" s="3">
        <v>17800</v>
      </c>
      <c r="G1886" s="3">
        <v>814</v>
      </c>
      <c r="H1886" s="3">
        <v>24</v>
      </c>
      <c r="I1886" s="4">
        <v>1487.15</v>
      </c>
      <c r="J1886" s="4">
        <v>4936.29</v>
      </c>
      <c r="K1886" s="3">
        <v>14</v>
      </c>
      <c r="L1886" s="2" t="s">
        <v>2539</v>
      </c>
      <c r="M1886" s="2" t="s">
        <v>2537</v>
      </c>
    </row>
    <row r="1887" spans="1:13" x14ac:dyDescent="0.3">
      <c r="A1887" s="1">
        <v>46016</v>
      </c>
      <c r="B1887" s="2" t="s">
        <v>2622</v>
      </c>
      <c r="C1887" s="2" t="s">
        <v>2541</v>
      </c>
      <c r="D1887" s="2" t="s">
        <v>2528</v>
      </c>
      <c r="E1887" s="2" t="s">
        <v>2534</v>
      </c>
      <c r="F1887" s="3">
        <v>51472</v>
      </c>
      <c r="G1887" s="3">
        <v>3131</v>
      </c>
      <c r="H1887" s="3">
        <v>430</v>
      </c>
      <c r="I1887" s="4">
        <v>6397.83</v>
      </c>
      <c r="J1887" s="4">
        <v>44922.43</v>
      </c>
      <c r="K1887" s="3">
        <v>213</v>
      </c>
      <c r="L1887" s="2" t="s">
        <v>2539</v>
      </c>
      <c r="M1887" s="2" t="s">
        <v>2526</v>
      </c>
    </row>
    <row r="1888" spans="1:13" x14ac:dyDescent="0.3">
      <c r="A1888" s="1">
        <v>45693</v>
      </c>
      <c r="B1888" s="2" t="s">
        <v>2618</v>
      </c>
      <c r="C1888" s="2" t="s">
        <v>2543</v>
      </c>
      <c r="D1888" s="2" t="s">
        <v>2528</v>
      </c>
      <c r="E1888" s="2" t="s">
        <v>2534</v>
      </c>
      <c r="F1888" s="3">
        <v>155342</v>
      </c>
      <c r="G1888" s="3">
        <v>9491</v>
      </c>
      <c r="H1888" s="3">
        <v>164</v>
      </c>
      <c r="I1888" s="4">
        <v>6288.72</v>
      </c>
      <c r="J1888" s="4">
        <v>2754.04</v>
      </c>
      <c r="K1888" s="3">
        <v>92</v>
      </c>
      <c r="L1888" s="2" t="s">
        <v>2539</v>
      </c>
      <c r="M1888" s="2" t="s">
        <v>2546</v>
      </c>
    </row>
    <row r="1889" spans="1:13" x14ac:dyDescent="0.3">
      <c r="A1889" s="1">
        <v>45726</v>
      </c>
      <c r="B1889" s="2" t="s">
        <v>2630</v>
      </c>
      <c r="C1889" s="2" t="s">
        <v>2527</v>
      </c>
      <c r="D1889" s="2" t="s">
        <v>2528</v>
      </c>
      <c r="E1889" s="2" t="s">
        <v>2517</v>
      </c>
      <c r="F1889" s="3">
        <v>133922</v>
      </c>
      <c r="G1889" s="3">
        <v>11643</v>
      </c>
      <c r="H1889" s="3">
        <v>292</v>
      </c>
      <c r="I1889" s="4">
        <v>22990.62</v>
      </c>
      <c r="J1889" s="4">
        <v>38986.5</v>
      </c>
      <c r="K1889" s="3">
        <v>250</v>
      </c>
      <c r="L1889" s="2" t="s">
        <v>2539</v>
      </c>
      <c r="M1889" s="2" t="s">
        <v>2537</v>
      </c>
    </row>
    <row r="1890" spans="1:13" x14ac:dyDescent="0.3">
      <c r="A1890" s="1">
        <v>45831</v>
      </c>
      <c r="B1890" s="2" t="s">
        <v>2629</v>
      </c>
      <c r="C1890" s="2" t="s">
        <v>2533</v>
      </c>
      <c r="D1890" s="2" t="s">
        <v>2531</v>
      </c>
      <c r="E1890" s="2" t="s">
        <v>2529</v>
      </c>
      <c r="F1890" s="3">
        <v>89122</v>
      </c>
      <c r="G1890" s="3">
        <v>3889</v>
      </c>
      <c r="H1890" s="3">
        <v>44</v>
      </c>
      <c r="I1890" s="4">
        <v>7781.66</v>
      </c>
      <c r="J1890" s="4">
        <v>5817.83</v>
      </c>
      <c r="K1890" s="3">
        <v>39</v>
      </c>
      <c r="L1890" s="2" t="s">
        <v>2523</v>
      </c>
      <c r="M1890" s="2" t="s">
        <v>2519</v>
      </c>
    </row>
    <row r="1891" spans="1:13" x14ac:dyDescent="0.3">
      <c r="A1891" s="1">
        <v>45778</v>
      </c>
      <c r="B1891" s="2" t="s">
        <v>2626</v>
      </c>
      <c r="C1891" s="2" t="s">
        <v>2515</v>
      </c>
      <c r="D1891" s="2" t="s">
        <v>2528</v>
      </c>
      <c r="E1891" s="2" t="s">
        <v>2534</v>
      </c>
      <c r="F1891" s="3">
        <v>149192</v>
      </c>
      <c r="G1891" s="3">
        <v>1800</v>
      </c>
      <c r="H1891" s="3">
        <v>139</v>
      </c>
      <c r="I1891" s="4">
        <v>2336.64</v>
      </c>
      <c r="J1891" s="4">
        <v>17837.95</v>
      </c>
      <c r="K1891" s="3">
        <v>75</v>
      </c>
      <c r="L1891" s="2" t="s">
        <v>2539</v>
      </c>
      <c r="M1891" s="2" t="s">
        <v>2537</v>
      </c>
    </row>
    <row r="1892" spans="1:13" x14ac:dyDescent="0.3">
      <c r="A1892" s="1">
        <v>45863</v>
      </c>
      <c r="B1892" s="2" t="s">
        <v>2643</v>
      </c>
      <c r="C1892" s="2" t="s">
        <v>2521</v>
      </c>
      <c r="D1892" s="2" t="s">
        <v>2528</v>
      </c>
      <c r="E1892" s="2" t="s">
        <v>2534</v>
      </c>
      <c r="F1892" s="3">
        <v>165121</v>
      </c>
      <c r="G1892" s="3">
        <v>2900</v>
      </c>
      <c r="H1892" s="3">
        <v>157</v>
      </c>
      <c r="I1892" s="4">
        <v>1962.5</v>
      </c>
      <c r="J1892" s="4">
        <v>3243.78</v>
      </c>
      <c r="K1892" s="3">
        <v>135</v>
      </c>
      <c r="L1892" s="2" t="s">
        <v>2518</v>
      </c>
      <c r="M1892" s="2" t="s">
        <v>2519</v>
      </c>
    </row>
    <row r="1893" spans="1:13" x14ac:dyDescent="0.3">
      <c r="A1893" s="1">
        <v>45911</v>
      </c>
      <c r="B1893" s="2" t="s">
        <v>2639</v>
      </c>
      <c r="C1893" s="2" t="s">
        <v>2533</v>
      </c>
      <c r="D1893" s="2" t="s">
        <v>2531</v>
      </c>
      <c r="E1893" s="2" t="s">
        <v>2529</v>
      </c>
      <c r="F1893" s="3">
        <v>35239</v>
      </c>
      <c r="G1893" s="3">
        <v>1514</v>
      </c>
      <c r="H1893" s="3">
        <v>202</v>
      </c>
      <c r="I1893" s="4">
        <v>2209.39</v>
      </c>
      <c r="J1893" s="4">
        <v>7285.93</v>
      </c>
      <c r="K1893" s="3">
        <v>116</v>
      </c>
      <c r="L1893" s="2" t="s">
        <v>2539</v>
      </c>
      <c r="M1893" s="2" t="s">
        <v>2526</v>
      </c>
    </row>
    <row r="1894" spans="1:13" x14ac:dyDescent="0.3">
      <c r="A1894" s="1">
        <v>45711</v>
      </c>
      <c r="B1894" s="2" t="s">
        <v>2642</v>
      </c>
      <c r="C1894" s="2" t="s">
        <v>2527</v>
      </c>
      <c r="D1894" s="2" t="s">
        <v>2528</v>
      </c>
      <c r="E1894" s="2" t="s">
        <v>2529</v>
      </c>
      <c r="F1894" s="3">
        <v>155954</v>
      </c>
      <c r="G1894" s="3">
        <v>13563</v>
      </c>
      <c r="H1894" s="3">
        <v>1680</v>
      </c>
      <c r="I1894" s="4">
        <v>13089.58</v>
      </c>
      <c r="J1894" s="4">
        <v>204974.81</v>
      </c>
      <c r="K1894" s="3">
        <v>1418</v>
      </c>
      <c r="L1894" s="2" t="s">
        <v>2536</v>
      </c>
      <c r="M1894" s="2" t="s">
        <v>2537</v>
      </c>
    </row>
    <row r="1895" spans="1:13" x14ac:dyDescent="0.3">
      <c r="A1895" s="1">
        <v>45896</v>
      </c>
      <c r="B1895" s="2" t="s">
        <v>2640</v>
      </c>
      <c r="C1895" s="2" t="s">
        <v>2515</v>
      </c>
      <c r="D1895" s="2" t="s">
        <v>2528</v>
      </c>
      <c r="E1895" s="2" t="s">
        <v>2517</v>
      </c>
      <c r="F1895" s="3">
        <v>83081</v>
      </c>
      <c r="G1895" s="3">
        <v>1684</v>
      </c>
      <c r="H1895" s="3">
        <v>146</v>
      </c>
      <c r="I1895" s="4">
        <v>695.77</v>
      </c>
      <c r="J1895" s="4">
        <v>15050.27</v>
      </c>
      <c r="K1895" s="3">
        <v>78</v>
      </c>
      <c r="L1895" s="2" t="s">
        <v>2518</v>
      </c>
      <c r="M1895" s="2" t="s">
        <v>2546</v>
      </c>
    </row>
    <row r="1896" spans="1:13" x14ac:dyDescent="0.3">
      <c r="A1896" s="1">
        <v>45788</v>
      </c>
      <c r="B1896" s="2" t="s">
        <v>2615</v>
      </c>
      <c r="C1896" s="2" t="s">
        <v>2515</v>
      </c>
      <c r="D1896" s="2" t="s">
        <v>2522</v>
      </c>
      <c r="E1896" s="2" t="s">
        <v>2517</v>
      </c>
      <c r="F1896" s="3">
        <v>95331</v>
      </c>
      <c r="G1896" s="3">
        <v>3981</v>
      </c>
      <c r="H1896" s="3">
        <v>214</v>
      </c>
      <c r="I1896" s="4">
        <v>2083.36</v>
      </c>
      <c r="J1896" s="4">
        <v>25624.62</v>
      </c>
      <c r="K1896" s="3">
        <v>116</v>
      </c>
      <c r="L1896" s="2" t="s">
        <v>2523</v>
      </c>
      <c r="M1896" s="2" t="s">
        <v>2524</v>
      </c>
    </row>
    <row r="1897" spans="1:13" x14ac:dyDescent="0.3">
      <c r="A1897" s="1">
        <v>45807</v>
      </c>
      <c r="B1897" s="2" t="s">
        <v>2640</v>
      </c>
      <c r="C1897" s="2" t="s">
        <v>2521</v>
      </c>
      <c r="D1897" s="2" t="s">
        <v>2528</v>
      </c>
      <c r="E1897" s="2" t="s">
        <v>2517</v>
      </c>
      <c r="F1897" s="3">
        <v>160703</v>
      </c>
      <c r="G1897" s="3">
        <v>11513</v>
      </c>
      <c r="H1897" s="3">
        <v>74</v>
      </c>
      <c r="I1897" s="4">
        <v>3305.89</v>
      </c>
      <c r="J1897" s="4">
        <v>14144.31</v>
      </c>
      <c r="K1897" s="3">
        <v>38</v>
      </c>
      <c r="L1897" s="2" t="s">
        <v>2536</v>
      </c>
      <c r="M1897" s="2" t="s">
        <v>2546</v>
      </c>
    </row>
    <row r="1898" spans="1:13" x14ac:dyDescent="0.3">
      <c r="A1898" s="1">
        <v>45794</v>
      </c>
      <c r="B1898" s="2" t="s">
        <v>2624</v>
      </c>
      <c r="C1898" s="2" t="s">
        <v>2521</v>
      </c>
      <c r="D1898" s="2" t="s">
        <v>2528</v>
      </c>
      <c r="E1898" s="2" t="s">
        <v>2529</v>
      </c>
      <c r="F1898" s="3">
        <v>11787</v>
      </c>
      <c r="G1898" s="3">
        <v>953</v>
      </c>
      <c r="H1898" s="3">
        <v>130</v>
      </c>
      <c r="I1898" s="4">
        <v>822.27</v>
      </c>
      <c r="J1898" s="4">
        <v>21415.73</v>
      </c>
      <c r="K1898" s="3">
        <v>93</v>
      </c>
      <c r="L1898" s="2" t="s">
        <v>2536</v>
      </c>
      <c r="M1898" s="2" t="s">
        <v>2519</v>
      </c>
    </row>
    <row r="1899" spans="1:13" x14ac:dyDescent="0.3">
      <c r="A1899" s="1">
        <v>45993</v>
      </c>
      <c r="B1899" s="2" t="s">
        <v>2635</v>
      </c>
      <c r="C1899" s="2" t="s">
        <v>2533</v>
      </c>
      <c r="D1899" s="2" t="s">
        <v>2525</v>
      </c>
      <c r="E1899" s="2" t="s">
        <v>2529</v>
      </c>
      <c r="F1899" s="3">
        <v>25625</v>
      </c>
      <c r="G1899" s="3">
        <v>1755</v>
      </c>
      <c r="H1899" s="3">
        <v>196</v>
      </c>
      <c r="I1899" s="4">
        <v>3488.11</v>
      </c>
      <c r="J1899" s="4">
        <v>17968.07</v>
      </c>
      <c r="K1899" s="3">
        <v>129</v>
      </c>
      <c r="L1899" s="2" t="s">
        <v>2536</v>
      </c>
      <c r="M1899" s="2" t="s">
        <v>2546</v>
      </c>
    </row>
    <row r="1900" spans="1:13" x14ac:dyDescent="0.3">
      <c r="A1900" s="1">
        <v>45849</v>
      </c>
      <c r="B1900" s="2" t="s">
        <v>2622</v>
      </c>
      <c r="C1900" s="2" t="s">
        <v>2533</v>
      </c>
      <c r="D1900" s="2" t="s">
        <v>2528</v>
      </c>
      <c r="E1900" s="2" t="s">
        <v>2517</v>
      </c>
      <c r="F1900" s="3">
        <v>175832</v>
      </c>
      <c r="G1900" s="3">
        <v>9818</v>
      </c>
      <c r="H1900" s="3">
        <v>571</v>
      </c>
      <c r="I1900" s="4">
        <v>18853.419999999998</v>
      </c>
      <c r="J1900" s="4">
        <v>22761.46</v>
      </c>
      <c r="K1900" s="3">
        <v>471</v>
      </c>
      <c r="L1900" s="2" t="s">
        <v>2536</v>
      </c>
      <c r="M1900" s="2" t="s">
        <v>2524</v>
      </c>
    </row>
    <row r="1901" spans="1:13" x14ac:dyDescent="0.3">
      <c r="A1901" s="1">
        <v>45824</v>
      </c>
      <c r="B1901" s="2" t="s">
        <v>2624</v>
      </c>
      <c r="C1901" s="2" t="s">
        <v>2527</v>
      </c>
      <c r="D1901" s="2" t="s">
        <v>2516</v>
      </c>
      <c r="E1901" s="2" t="s">
        <v>2517</v>
      </c>
      <c r="F1901" s="3">
        <v>127737</v>
      </c>
      <c r="G1901" s="3">
        <v>4842</v>
      </c>
      <c r="H1901" s="3">
        <v>310</v>
      </c>
      <c r="I1901" s="4">
        <v>1881.95</v>
      </c>
      <c r="J1901" s="4">
        <v>25695.14</v>
      </c>
      <c r="K1901" s="3">
        <v>240</v>
      </c>
      <c r="L1901" s="2" t="s">
        <v>2539</v>
      </c>
      <c r="M1901" s="2" t="s">
        <v>2524</v>
      </c>
    </row>
    <row r="1902" spans="1:13" x14ac:dyDescent="0.3">
      <c r="A1902" s="1">
        <v>45774</v>
      </c>
      <c r="B1902" s="2" t="s">
        <v>2616</v>
      </c>
      <c r="C1902" s="2" t="s">
        <v>2533</v>
      </c>
      <c r="D1902" s="2" t="s">
        <v>2528</v>
      </c>
      <c r="E1902" s="2" t="s">
        <v>2517</v>
      </c>
      <c r="F1902" s="3">
        <v>110340</v>
      </c>
      <c r="G1902" s="3">
        <v>7142</v>
      </c>
      <c r="H1902" s="3">
        <v>815</v>
      </c>
      <c r="I1902" s="4">
        <v>3077.68</v>
      </c>
      <c r="J1902" s="4">
        <v>168967.51</v>
      </c>
      <c r="K1902" s="3">
        <v>732</v>
      </c>
      <c r="L1902" s="2" t="s">
        <v>2536</v>
      </c>
      <c r="M1902" s="2" t="s">
        <v>2546</v>
      </c>
    </row>
    <row r="1903" spans="1:13" x14ac:dyDescent="0.3">
      <c r="A1903" s="1">
        <v>45895</v>
      </c>
      <c r="B1903" s="2" t="s">
        <v>2632</v>
      </c>
      <c r="C1903" s="2" t="s">
        <v>2521</v>
      </c>
      <c r="D1903" s="2" t="s">
        <v>2516</v>
      </c>
      <c r="E1903" s="2" t="s">
        <v>2529</v>
      </c>
      <c r="F1903" s="3">
        <v>133215</v>
      </c>
      <c r="G1903" s="3">
        <v>2039</v>
      </c>
      <c r="H1903" s="3">
        <v>180</v>
      </c>
      <c r="I1903" s="4">
        <v>3847.71</v>
      </c>
      <c r="J1903" s="4">
        <v>21270.85</v>
      </c>
      <c r="K1903" s="3">
        <v>120</v>
      </c>
      <c r="L1903" s="2" t="s">
        <v>2539</v>
      </c>
      <c r="M1903" s="2" t="s">
        <v>2526</v>
      </c>
    </row>
    <row r="1904" spans="1:13" x14ac:dyDescent="0.3">
      <c r="A1904" s="1">
        <v>45684</v>
      </c>
      <c r="B1904" s="2" t="s">
        <v>2634</v>
      </c>
      <c r="C1904" s="2" t="s">
        <v>2527</v>
      </c>
      <c r="D1904" s="2" t="s">
        <v>2528</v>
      </c>
      <c r="E1904" s="2" t="s">
        <v>2517</v>
      </c>
      <c r="F1904" s="3">
        <v>98070</v>
      </c>
      <c r="G1904" s="3">
        <v>1205</v>
      </c>
      <c r="H1904" s="3">
        <v>100</v>
      </c>
      <c r="I1904" s="4">
        <v>292.14999999999998</v>
      </c>
      <c r="J1904" s="4">
        <v>9796.69</v>
      </c>
      <c r="K1904" s="3">
        <v>71</v>
      </c>
      <c r="L1904" s="2" t="s">
        <v>2518</v>
      </c>
      <c r="M1904" s="2" t="s">
        <v>2519</v>
      </c>
    </row>
    <row r="1905" spans="1:13" x14ac:dyDescent="0.3">
      <c r="A1905" s="1">
        <v>45932</v>
      </c>
      <c r="B1905" s="2" t="s">
        <v>2641</v>
      </c>
      <c r="C1905" s="2" t="s">
        <v>2527</v>
      </c>
      <c r="D1905" s="2" t="s">
        <v>2516</v>
      </c>
      <c r="E1905" s="2" t="s">
        <v>2529</v>
      </c>
      <c r="F1905" s="3">
        <v>114371</v>
      </c>
      <c r="G1905" s="3">
        <v>10151</v>
      </c>
      <c r="H1905" s="3">
        <v>1095</v>
      </c>
      <c r="I1905" s="4">
        <v>16880.87</v>
      </c>
      <c r="J1905" s="4">
        <v>177102.23</v>
      </c>
      <c r="K1905" s="3">
        <v>723</v>
      </c>
      <c r="L1905" s="2" t="s">
        <v>2523</v>
      </c>
      <c r="M1905" s="2" t="s">
        <v>2537</v>
      </c>
    </row>
    <row r="1906" spans="1:13" x14ac:dyDescent="0.3">
      <c r="A1906" s="1">
        <v>45811</v>
      </c>
      <c r="B1906" s="2" t="s">
        <v>2618</v>
      </c>
      <c r="C1906" s="2" t="s">
        <v>2543</v>
      </c>
      <c r="D1906" s="2" t="s">
        <v>2528</v>
      </c>
      <c r="E1906" s="2" t="s">
        <v>2529</v>
      </c>
      <c r="F1906" s="3">
        <v>119206</v>
      </c>
      <c r="G1906" s="3">
        <v>2804</v>
      </c>
      <c r="H1906" s="3">
        <v>128</v>
      </c>
      <c r="I1906" s="4">
        <v>4155.9399999999996</v>
      </c>
      <c r="J1906" s="4">
        <v>22821.55</v>
      </c>
      <c r="K1906" s="3">
        <v>82</v>
      </c>
      <c r="L1906" s="2" t="s">
        <v>2518</v>
      </c>
      <c r="M1906" s="2" t="s">
        <v>2537</v>
      </c>
    </row>
    <row r="1907" spans="1:13" x14ac:dyDescent="0.3">
      <c r="A1907" s="1">
        <v>45733</v>
      </c>
      <c r="B1907" s="2" t="s">
        <v>2627</v>
      </c>
      <c r="C1907" s="2" t="s">
        <v>2515</v>
      </c>
      <c r="D1907" s="2" t="s">
        <v>2516</v>
      </c>
      <c r="E1907" s="2" t="s">
        <v>2517</v>
      </c>
      <c r="F1907" s="3">
        <v>94235</v>
      </c>
      <c r="G1907" s="3">
        <v>3938</v>
      </c>
      <c r="H1907" s="3">
        <v>55</v>
      </c>
      <c r="I1907" s="4">
        <v>3488.87</v>
      </c>
      <c r="J1907" s="4">
        <v>1090.6600000000001</v>
      </c>
      <c r="K1907" s="3">
        <v>39</v>
      </c>
      <c r="L1907" s="2" t="s">
        <v>2536</v>
      </c>
      <c r="M1907" s="2" t="s">
        <v>2526</v>
      </c>
    </row>
    <row r="1908" spans="1:13" x14ac:dyDescent="0.3">
      <c r="A1908" s="1">
        <v>45993</v>
      </c>
      <c r="B1908" s="2" t="s">
        <v>2633</v>
      </c>
      <c r="C1908" s="2" t="s">
        <v>2527</v>
      </c>
      <c r="D1908" s="2" t="s">
        <v>2522</v>
      </c>
      <c r="E1908" s="2" t="s">
        <v>2529</v>
      </c>
      <c r="F1908" s="3">
        <v>26394</v>
      </c>
      <c r="G1908" s="3">
        <v>1183</v>
      </c>
      <c r="H1908" s="3">
        <v>128</v>
      </c>
      <c r="I1908" s="4">
        <v>2090.09</v>
      </c>
      <c r="J1908" s="4">
        <v>8463.31</v>
      </c>
      <c r="K1908" s="3">
        <v>80</v>
      </c>
      <c r="L1908" s="2" t="s">
        <v>2518</v>
      </c>
      <c r="M1908" s="2" t="s">
        <v>2519</v>
      </c>
    </row>
    <row r="1909" spans="1:13" x14ac:dyDescent="0.3">
      <c r="A1909" s="1">
        <v>45775</v>
      </c>
      <c r="B1909" s="2" t="s">
        <v>2638</v>
      </c>
      <c r="C1909" s="2" t="s">
        <v>2533</v>
      </c>
      <c r="D1909" s="2" t="s">
        <v>2522</v>
      </c>
      <c r="E1909" s="2" t="s">
        <v>2517</v>
      </c>
      <c r="F1909" s="3">
        <v>145465</v>
      </c>
      <c r="G1909" s="3">
        <v>11107</v>
      </c>
      <c r="H1909" s="3">
        <v>367</v>
      </c>
      <c r="I1909" s="4">
        <v>12015.8</v>
      </c>
      <c r="J1909" s="4">
        <v>76083.960000000006</v>
      </c>
      <c r="K1909" s="3">
        <v>218</v>
      </c>
      <c r="L1909" s="2" t="s">
        <v>2523</v>
      </c>
      <c r="M1909" s="2" t="s">
        <v>2537</v>
      </c>
    </row>
    <row r="1910" spans="1:13" x14ac:dyDescent="0.3">
      <c r="A1910" s="1">
        <v>45760</v>
      </c>
      <c r="B1910" s="2" t="s">
        <v>2639</v>
      </c>
      <c r="C1910" s="2" t="s">
        <v>2543</v>
      </c>
      <c r="D1910" s="2" t="s">
        <v>2528</v>
      </c>
      <c r="E1910" s="2" t="s">
        <v>2529</v>
      </c>
      <c r="F1910" s="3">
        <v>44429</v>
      </c>
      <c r="G1910" s="3">
        <v>3957</v>
      </c>
      <c r="H1910" s="3">
        <v>287</v>
      </c>
      <c r="I1910" s="4">
        <v>3227.51</v>
      </c>
      <c r="J1910" s="4">
        <v>27310.7</v>
      </c>
      <c r="K1910" s="3">
        <v>171</v>
      </c>
      <c r="L1910" s="2" t="s">
        <v>2539</v>
      </c>
      <c r="M1910" s="2" t="s">
        <v>2537</v>
      </c>
    </row>
    <row r="1911" spans="1:13" x14ac:dyDescent="0.3">
      <c r="A1911" s="1">
        <v>45845</v>
      </c>
      <c r="B1911" s="2" t="s">
        <v>2638</v>
      </c>
      <c r="C1911" s="2" t="s">
        <v>2533</v>
      </c>
      <c r="D1911" s="2" t="s">
        <v>2528</v>
      </c>
      <c r="E1911" s="2" t="s">
        <v>2517</v>
      </c>
      <c r="F1911" s="3">
        <v>36262</v>
      </c>
      <c r="G1911" s="3">
        <v>2613</v>
      </c>
      <c r="H1911" s="3">
        <v>30</v>
      </c>
      <c r="I1911" s="4">
        <v>4109.28</v>
      </c>
      <c r="J1911" s="4">
        <v>5164.04</v>
      </c>
      <c r="K1911" s="3">
        <v>23</v>
      </c>
      <c r="L1911" s="2" t="s">
        <v>2518</v>
      </c>
      <c r="M1911" s="2" t="s">
        <v>2537</v>
      </c>
    </row>
    <row r="1912" spans="1:13" x14ac:dyDescent="0.3">
      <c r="A1912" s="1">
        <v>45866</v>
      </c>
      <c r="B1912" s="2" t="s">
        <v>2637</v>
      </c>
      <c r="C1912" s="2" t="s">
        <v>2527</v>
      </c>
      <c r="D1912" s="2" t="s">
        <v>2525</v>
      </c>
      <c r="E1912" s="2" t="s">
        <v>2517</v>
      </c>
      <c r="F1912" s="3">
        <v>163322</v>
      </c>
      <c r="G1912" s="3">
        <v>12431</v>
      </c>
      <c r="H1912" s="3">
        <v>782</v>
      </c>
      <c r="I1912" s="4">
        <v>8726.0400000000009</v>
      </c>
      <c r="J1912" s="4">
        <v>105315.12</v>
      </c>
      <c r="K1912" s="3">
        <v>626</v>
      </c>
      <c r="L1912" s="2" t="s">
        <v>2536</v>
      </c>
      <c r="M1912" s="2" t="s">
        <v>2524</v>
      </c>
    </row>
    <row r="1913" spans="1:13" x14ac:dyDescent="0.3">
      <c r="A1913" s="1">
        <v>45707</v>
      </c>
      <c r="B1913" s="2" t="s">
        <v>2639</v>
      </c>
      <c r="C1913" s="2" t="s">
        <v>2521</v>
      </c>
      <c r="D1913" s="2" t="s">
        <v>2516</v>
      </c>
      <c r="E1913" s="2" t="s">
        <v>2529</v>
      </c>
      <c r="F1913" s="3">
        <v>31924</v>
      </c>
      <c r="G1913" s="3">
        <v>1669</v>
      </c>
      <c r="H1913" s="3">
        <v>201</v>
      </c>
      <c r="I1913" s="4">
        <v>1260.77</v>
      </c>
      <c r="J1913" s="4">
        <v>43815.67</v>
      </c>
      <c r="K1913" s="3">
        <v>171</v>
      </c>
      <c r="L1913" s="2" t="s">
        <v>2518</v>
      </c>
      <c r="M1913" s="2" t="s">
        <v>2519</v>
      </c>
    </row>
    <row r="1914" spans="1:13" x14ac:dyDescent="0.3">
      <c r="A1914" s="1">
        <v>45979</v>
      </c>
      <c r="B1914" s="2" t="s">
        <v>2629</v>
      </c>
      <c r="C1914" s="2" t="s">
        <v>2541</v>
      </c>
      <c r="D1914" s="2" t="s">
        <v>2528</v>
      </c>
      <c r="E1914" s="2" t="s">
        <v>2517</v>
      </c>
      <c r="F1914" s="3">
        <v>26901</v>
      </c>
      <c r="G1914" s="3">
        <v>496</v>
      </c>
      <c r="H1914" s="3">
        <v>62</v>
      </c>
      <c r="I1914" s="4">
        <v>595.51</v>
      </c>
      <c r="J1914" s="4">
        <v>6864.83</v>
      </c>
      <c r="K1914" s="3">
        <v>40</v>
      </c>
      <c r="L1914" s="2" t="s">
        <v>2536</v>
      </c>
      <c r="M1914" s="2" t="s">
        <v>2537</v>
      </c>
    </row>
    <row r="1915" spans="1:13" x14ac:dyDescent="0.3">
      <c r="A1915" s="1">
        <v>45808</v>
      </c>
      <c r="B1915" s="2" t="s">
        <v>2643</v>
      </c>
      <c r="C1915" s="2" t="s">
        <v>2541</v>
      </c>
      <c r="D1915" s="2" t="s">
        <v>2522</v>
      </c>
      <c r="E1915" s="2" t="s">
        <v>2534</v>
      </c>
      <c r="F1915" s="3">
        <v>37641</v>
      </c>
      <c r="G1915" s="3">
        <v>2283</v>
      </c>
      <c r="H1915" s="3">
        <v>52</v>
      </c>
      <c r="I1915" s="4">
        <v>4719.12</v>
      </c>
      <c r="J1915" s="4">
        <v>5765.99</v>
      </c>
      <c r="K1915" s="3">
        <v>27</v>
      </c>
      <c r="L1915" s="2" t="s">
        <v>2536</v>
      </c>
      <c r="M1915" s="2" t="s">
        <v>2537</v>
      </c>
    </row>
    <row r="1916" spans="1:13" x14ac:dyDescent="0.3">
      <c r="A1916" s="1">
        <v>45858</v>
      </c>
      <c r="B1916" s="2" t="s">
        <v>2623</v>
      </c>
      <c r="C1916" s="2" t="s">
        <v>2541</v>
      </c>
      <c r="D1916" s="2" t="s">
        <v>2516</v>
      </c>
      <c r="E1916" s="2" t="s">
        <v>2529</v>
      </c>
      <c r="F1916" s="3">
        <v>81211</v>
      </c>
      <c r="G1916" s="3">
        <v>844</v>
      </c>
      <c r="H1916" s="3">
        <v>6</v>
      </c>
      <c r="I1916" s="4">
        <v>1365.3</v>
      </c>
      <c r="J1916" s="4">
        <v>1259.8699999999999</v>
      </c>
      <c r="K1916" s="3">
        <v>3</v>
      </c>
      <c r="L1916" s="2" t="s">
        <v>2523</v>
      </c>
      <c r="M1916" s="2" t="s">
        <v>2524</v>
      </c>
    </row>
    <row r="1917" spans="1:13" x14ac:dyDescent="0.3">
      <c r="A1917" s="1">
        <v>45802</v>
      </c>
      <c r="B1917" s="2" t="s">
        <v>2638</v>
      </c>
      <c r="C1917" s="2" t="s">
        <v>2515</v>
      </c>
      <c r="D1917" s="2" t="s">
        <v>2528</v>
      </c>
      <c r="E1917" s="2" t="s">
        <v>2529</v>
      </c>
      <c r="F1917" s="3">
        <v>30393</v>
      </c>
      <c r="G1917" s="3">
        <v>863</v>
      </c>
      <c r="H1917" s="3">
        <v>78</v>
      </c>
      <c r="I1917" s="4">
        <v>483.09</v>
      </c>
      <c r="J1917" s="4">
        <v>6549.03</v>
      </c>
      <c r="K1917" s="3">
        <v>48</v>
      </c>
      <c r="L1917" s="2" t="s">
        <v>2518</v>
      </c>
      <c r="M1917" s="2" t="s">
        <v>2526</v>
      </c>
    </row>
    <row r="1918" spans="1:13" x14ac:dyDescent="0.3">
      <c r="A1918" s="1">
        <v>45905</v>
      </c>
      <c r="B1918" s="2" t="s">
        <v>2631</v>
      </c>
      <c r="C1918" s="2" t="s">
        <v>2541</v>
      </c>
      <c r="D1918" s="2" t="s">
        <v>2528</v>
      </c>
      <c r="E1918" s="2" t="s">
        <v>2517</v>
      </c>
      <c r="F1918" s="3">
        <v>158320</v>
      </c>
      <c r="G1918" s="3">
        <v>10990</v>
      </c>
      <c r="H1918" s="3">
        <v>1044</v>
      </c>
      <c r="I1918" s="4">
        <v>22877.119999999999</v>
      </c>
      <c r="J1918" s="4">
        <v>105252.64</v>
      </c>
      <c r="K1918" s="3">
        <v>861</v>
      </c>
      <c r="L1918" s="2" t="s">
        <v>2518</v>
      </c>
      <c r="M1918" s="2" t="s">
        <v>2519</v>
      </c>
    </row>
    <row r="1919" spans="1:13" x14ac:dyDescent="0.3">
      <c r="A1919" s="1">
        <v>45997</v>
      </c>
      <c r="B1919" s="2" t="s">
        <v>2618</v>
      </c>
      <c r="C1919" s="2" t="s">
        <v>2533</v>
      </c>
      <c r="D1919" s="2" t="s">
        <v>2525</v>
      </c>
      <c r="E1919" s="2" t="s">
        <v>2529</v>
      </c>
      <c r="F1919" s="3">
        <v>105167</v>
      </c>
      <c r="G1919" s="3">
        <v>8585</v>
      </c>
      <c r="H1919" s="3">
        <v>1019</v>
      </c>
      <c r="I1919" s="4">
        <v>5080.42</v>
      </c>
      <c r="J1919" s="4">
        <v>214698.07</v>
      </c>
      <c r="K1919" s="3">
        <v>908</v>
      </c>
      <c r="L1919" s="2" t="s">
        <v>2523</v>
      </c>
      <c r="M1919" s="2" t="s">
        <v>2519</v>
      </c>
    </row>
    <row r="1920" spans="1:13" x14ac:dyDescent="0.3">
      <c r="A1920" s="1">
        <v>45865</v>
      </c>
      <c r="B1920" s="2" t="s">
        <v>2625</v>
      </c>
      <c r="C1920" s="2" t="s">
        <v>2543</v>
      </c>
      <c r="D1920" s="2" t="s">
        <v>2528</v>
      </c>
      <c r="E1920" s="2" t="s">
        <v>2517</v>
      </c>
      <c r="F1920" s="3">
        <v>22681</v>
      </c>
      <c r="G1920" s="3">
        <v>684</v>
      </c>
      <c r="H1920" s="3">
        <v>65</v>
      </c>
      <c r="I1920" s="4">
        <v>516.62</v>
      </c>
      <c r="J1920" s="4">
        <v>10600.82</v>
      </c>
      <c r="K1920" s="3">
        <v>35</v>
      </c>
      <c r="L1920" s="2" t="s">
        <v>2523</v>
      </c>
      <c r="M1920" s="2" t="s">
        <v>2526</v>
      </c>
    </row>
    <row r="1921" spans="1:13" x14ac:dyDescent="0.3">
      <c r="A1921" s="1">
        <v>45922</v>
      </c>
      <c r="B1921" s="2" t="s">
        <v>2635</v>
      </c>
      <c r="C1921" s="2" t="s">
        <v>2533</v>
      </c>
      <c r="D1921" s="2" t="s">
        <v>2525</v>
      </c>
      <c r="E1921" s="2" t="s">
        <v>2517</v>
      </c>
      <c r="F1921" s="3">
        <v>1975</v>
      </c>
      <c r="G1921" s="3">
        <v>143</v>
      </c>
      <c r="H1921" s="3">
        <v>0</v>
      </c>
      <c r="I1921" s="4">
        <v>48.79</v>
      </c>
      <c r="J1921" s="4">
        <v>0</v>
      </c>
      <c r="K1921" s="3">
        <v>0</v>
      </c>
      <c r="L1921" s="2" t="s">
        <v>2536</v>
      </c>
      <c r="M1921" s="2" t="s">
        <v>2526</v>
      </c>
    </row>
    <row r="1922" spans="1:13" x14ac:dyDescent="0.3">
      <c r="A1922" s="1">
        <v>45664</v>
      </c>
      <c r="B1922" s="2" t="s">
        <v>2617</v>
      </c>
      <c r="C1922" s="2" t="s">
        <v>2541</v>
      </c>
      <c r="D1922" s="2" t="s">
        <v>2525</v>
      </c>
      <c r="E1922" s="2" t="s">
        <v>2517</v>
      </c>
      <c r="F1922" s="3">
        <v>61093</v>
      </c>
      <c r="G1922" s="3">
        <v>2027</v>
      </c>
      <c r="H1922" s="3">
        <v>279</v>
      </c>
      <c r="I1922" s="4">
        <v>760.04</v>
      </c>
      <c r="J1922" s="4">
        <v>56800.39</v>
      </c>
      <c r="K1922" s="3">
        <v>244</v>
      </c>
      <c r="L1922" s="2" t="s">
        <v>2523</v>
      </c>
      <c r="M1922" s="2" t="s">
        <v>2519</v>
      </c>
    </row>
    <row r="1923" spans="1:13" x14ac:dyDescent="0.3">
      <c r="A1923" s="1">
        <v>45764</v>
      </c>
      <c r="B1923" s="2" t="s">
        <v>2630</v>
      </c>
      <c r="C1923" s="2" t="s">
        <v>2521</v>
      </c>
      <c r="D1923" s="2" t="s">
        <v>2528</v>
      </c>
      <c r="E1923" s="2" t="s">
        <v>2529</v>
      </c>
      <c r="F1923" s="3">
        <v>153656</v>
      </c>
      <c r="G1923" s="3">
        <v>7598</v>
      </c>
      <c r="H1923" s="3">
        <v>123</v>
      </c>
      <c r="I1923" s="4">
        <v>6764.56</v>
      </c>
      <c r="J1923" s="4">
        <v>12714.87</v>
      </c>
      <c r="K1923" s="3">
        <v>94</v>
      </c>
      <c r="L1923" s="2" t="s">
        <v>2518</v>
      </c>
      <c r="M1923" s="2" t="s">
        <v>2524</v>
      </c>
    </row>
    <row r="1924" spans="1:13" x14ac:dyDescent="0.3">
      <c r="A1924" s="1">
        <v>45798</v>
      </c>
      <c r="B1924" s="2" t="s">
        <v>2636</v>
      </c>
      <c r="C1924" s="2" t="s">
        <v>2541</v>
      </c>
      <c r="D1924" s="2" t="s">
        <v>2528</v>
      </c>
      <c r="E1924" s="2" t="s">
        <v>2517</v>
      </c>
      <c r="F1924" s="3">
        <v>9384</v>
      </c>
      <c r="G1924" s="3">
        <v>226</v>
      </c>
      <c r="H1924" s="3">
        <v>6</v>
      </c>
      <c r="I1924" s="4">
        <v>381.14</v>
      </c>
      <c r="J1924" s="4">
        <v>939.39</v>
      </c>
      <c r="K1924" s="3">
        <v>2</v>
      </c>
      <c r="L1924" s="2" t="s">
        <v>2536</v>
      </c>
      <c r="M1924" s="2" t="s">
        <v>2537</v>
      </c>
    </row>
    <row r="1925" spans="1:13" x14ac:dyDescent="0.3">
      <c r="A1925" s="1">
        <v>45674</v>
      </c>
      <c r="B1925" s="2" t="s">
        <v>2622</v>
      </c>
      <c r="C1925" s="2" t="s">
        <v>2515</v>
      </c>
      <c r="D1925" s="2" t="s">
        <v>2516</v>
      </c>
      <c r="E1925" s="2" t="s">
        <v>2517</v>
      </c>
      <c r="F1925" s="3">
        <v>51292</v>
      </c>
      <c r="G1925" s="3">
        <v>1018</v>
      </c>
      <c r="H1925" s="3">
        <v>76</v>
      </c>
      <c r="I1925" s="4">
        <v>1168.0899999999999</v>
      </c>
      <c r="J1925" s="4">
        <v>1941.86</v>
      </c>
      <c r="K1925" s="3">
        <v>59</v>
      </c>
      <c r="L1925" s="2" t="s">
        <v>2536</v>
      </c>
      <c r="M1925" s="2" t="s">
        <v>2524</v>
      </c>
    </row>
    <row r="1926" spans="1:13" x14ac:dyDescent="0.3">
      <c r="A1926" s="1">
        <v>45755</v>
      </c>
      <c r="B1926" s="2" t="s">
        <v>2622</v>
      </c>
      <c r="C1926" s="2" t="s">
        <v>2543</v>
      </c>
      <c r="D1926" s="2" t="s">
        <v>2531</v>
      </c>
      <c r="E1926" s="2" t="s">
        <v>2517</v>
      </c>
      <c r="F1926" s="3">
        <v>67537</v>
      </c>
      <c r="G1926" s="3">
        <v>2094</v>
      </c>
      <c r="H1926" s="3">
        <v>16</v>
      </c>
      <c r="I1926" s="4">
        <v>3308.28</v>
      </c>
      <c r="J1926" s="4">
        <v>2798.67</v>
      </c>
      <c r="K1926" s="3">
        <v>7</v>
      </c>
      <c r="L1926" s="2" t="s">
        <v>2539</v>
      </c>
      <c r="M1926" s="2" t="s">
        <v>2526</v>
      </c>
    </row>
    <row r="1927" spans="1:13" x14ac:dyDescent="0.3">
      <c r="A1927" s="1">
        <v>45908</v>
      </c>
      <c r="B1927" s="2" t="s">
        <v>2635</v>
      </c>
      <c r="C1927" s="2" t="s">
        <v>2521</v>
      </c>
      <c r="D1927" s="2" t="s">
        <v>2531</v>
      </c>
      <c r="E1927" s="2" t="s">
        <v>2517</v>
      </c>
      <c r="F1927" s="3">
        <v>133554</v>
      </c>
      <c r="G1927" s="3">
        <v>4595</v>
      </c>
      <c r="H1927" s="3">
        <v>271</v>
      </c>
      <c r="I1927" s="4">
        <v>7493.83</v>
      </c>
      <c r="J1927" s="4">
        <v>15937.73</v>
      </c>
      <c r="K1927" s="3">
        <v>172</v>
      </c>
      <c r="L1927" s="2" t="s">
        <v>2523</v>
      </c>
      <c r="M1927" s="2" t="s">
        <v>2537</v>
      </c>
    </row>
    <row r="1928" spans="1:13" x14ac:dyDescent="0.3">
      <c r="A1928" s="1">
        <v>45950</v>
      </c>
      <c r="B1928" s="2" t="s">
        <v>2635</v>
      </c>
      <c r="C1928" s="2" t="s">
        <v>2543</v>
      </c>
      <c r="D1928" s="2" t="s">
        <v>2525</v>
      </c>
      <c r="E1928" s="2" t="s">
        <v>2517</v>
      </c>
      <c r="F1928" s="3">
        <v>13528</v>
      </c>
      <c r="G1928" s="3">
        <v>289</v>
      </c>
      <c r="H1928" s="3">
        <v>37</v>
      </c>
      <c r="I1928" s="4">
        <v>73.08</v>
      </c>
      <c r="J1928" s="4">
        <v>6376.19</v>
      </c>
      <c r="K1928" s="3">
        <v>31</v>
      </c>
      <c r="L1928" s="2" t="s">
        <v>2539</v>
      </c>
      <c r="M1928" s="2" t="s">
        <v>2526</v>
      </c>
    </row>
    <row r="1929" spans="1:13" x14ac:dyDescent="0.3">
      <c r="A1929" s="1">
        <v>46018</v>
      </c>
      <c r="B1929" s="2" t="s">
        <v>2625</v>
      </c>
      <c r="C1929" s="2" t="s">
        <v>2527</v>
      </c>
      <c r="D1929" s="2" t="s">
        <v>2522</v>
      </c>
      <c r="E1929" s="2" t="s">
        <v>2529</v>
      </c>
      <c r="F1929" s="3">
        <v>54939</v>
      </c>
      <c r="G1929" s="3">
        <v>1743</v>
      </c>
      <c r="H1929" s="3">
        <v>42</v>
      </c>
      <c r="I1929" s="4">
        <v>1289.76</v>
      </c>
      <c r="J1929" s="4">
        <v>2276.7199999999998</v>
      </c>
      <c r="K1929" s="3">
        <v>31</v>
      </c>
      <c r="L1929" s="2" t="s">
        <v>2539</v>
      </c>
      <c r="M1929" s="2" t="s">
        <v>2526</v>
      </c>
    </row>
    <row r="1930" spans="1:13" x14ac:dyDescent="0.3">
      <c r="A1930" s="1">
        <v>45908</v>
      </c>
      <c r="B1930" s="2" t="s">
        <v>2620</v>
      </c>
      <c r="C1930" s="2" t="s">
        <v>2541</v>
      </c>
      <c r="D1930" s="2" t="s">
        <v>2516</v>
      </c>
      <c r="E1930" s="2" t="s">
        <v>2517</v>
      </c>
      <c r="F1930" s="3">
        <v>5395</v>
      </c>
      <c r="G1930" s="3">
        <v>343</v>
      </c>
      <c r="H1930" s="3">
        <v>7</v>
      </c>
      <c r="I1930" s="4">
        <v>196.49</v>
      </c>
      <c r="J1930" s="4">
        <v>1038.3399999999999</v>
      </c>
      <c r="K1930" s="3">
        <v>4</v>
      </c>
      <c r="L1930" s="2" t="s">
        <v>2523</v>
      </c>
      <c r="M1930" s="2" t="s">
        <v>2524</v>
      </c>
    </row>
    <row r="1931" spans="1:13" x14ac:dyDescent="0.3">
      <c r="A1931" s="1">
        <v>45709</v>
      </c>
      <c r="B1931" s="2" t="s">
        <v>2620</v>
      </c>
      <c r="C1931" s="2" t="s">
        <v>2533</v>
      </c>
      <c r="D1931" s="2" t="s">
        <v>2528</v>
      </c>
      <c r="E1931" s="2" t="s">
        <v>2529</v>
      </c>
      <c r="F1931" s="3">
        <v>159226</v>
      </c>
      <c r="G1931" s="3">
        <v>13263</v>
      </c>
      <c r="H1931" s="3">
        <v>1756</v>
      </c>
      <c r="I1931" s="4">
        <v>11829.55</v>
      </c>
      <c r="J1931" s="4">
        <v>222152.81</v>
      </c>
      <c r="K1931" s="3">
        <v>1280</v>
      </c>
      <c r="L1931" s="2" t="s">
        <v>2523</v>
      </c>
      <c r="M1931" s="2" t="s">
        <v>2526</v>
      </c>
    </row>
    <row r="1932" spans="1:13" x14ac:dyDescent="0.3">
      <c r="A1932" s="1">
        <v>45782</v>
      </c>
      <c r="B1932" s="2" t="s">
        <v>2644</v>
      </c>
      <c r="C1932" s="2" t="s">
        <v>2527</v>
      </c>
      <c r="D1932" s="2" t="s">
        <v>2516</v>
      </c>
      <c r="E1932" s="2" t="s">
        <v>2529</v>
      </c>
      <c r="F1932" s="3">
        <v>55221</v>
      </c>
      <c r="G1932" s="3">
        <v>3419</v>
      </c>
      <c r="H1932" s="3">
        <v>288</v>
      </c>
      <c r="I1932" s="4">
        <v>4247.17</v>
      </c>
      <c r="J1932" s="4">
        <v>11912.6</v>
      </c>
      <c r="K1932" s="3">
        <v>138</v>
      </c>
      <c r="L1932" s="2" t="s">
        <v>2536</v>
      </c>
      <c r="M1932" s="2" t="s">
        <v>2546</v>
      </c>
    </row>
    <row r="1933" spans="1:13" x14ac:dyDescent="0.3">
      <c r="A1933" s="1">
        <v>45680</v>
      </c>
      <c r="B1933" s="2" t="s">
        <v>2620</v>
      </c>
      <c r="C1933" s="2" t="s">
        <v>2521</v>
      </c>
      <c r="D1933" s="2" t="s">
        <v>2516</v>
      </c>
      <c r="E1933" s="2" t="s">
        <v>2529</v>
      </c>
      <c r="F1933" s="3">
        <v>120716</v>
      </c>
      <c r="G1933" s="3">
        <v>3874</v>
      </c>
      <c r="H1933" s="3">
        <v>477</v>
      </c>
      <c r="I1933" s="4">
        <v>3947.54</v>
      </c>
      <c r="J1933" s="4">
        <v>52889.29</v>
      </c>
      <c r="K1933" s="3">
        <v>360</v>
      </c>
      <c r="L1933" s="2" t="s">
        <v>2523</v>
      </c>
      <c r="M1933" s="2" t="s">
        <v>2537</v>
      </c>
    </row>
    <row r="1934" spans="1:13" x14ac:dyDescent="0.3">
      <c r="A1934" s="1">
        <v>45875</v>
      </c>
      <c r="B1934" s="2" t="s">
        <v>2640</v>
      </c>
      <c r="C1934" s="2" t="s">
        <v>2541</v>
      </c>
      <c r="D1934" s="2" t="s">
        <v>2528</v>
      </c>
      <c r="E1934" s="2" t="s">
        <v>2517</v>
      </c>
      <c r="F1934" s="3">
        <v>94504</v>
      </c>
      <c r="G1934" s="3">
        <v>6519</v>
      </c>
      <c r="H1934" s="3">
        <v>105</v>
      </c>
      <c r="I1934" s="4">
        <v>9159.01</v>
      </c>
      <c r="J1934" s="4">
        <v>11042.59</v>
      </c>
      <c r="K1934" s="3">
        <v>64</v>
      </c>
      <c r="L1934" s="2" t="s">
        <v>2518</v>
      </c>
      <c r="M1934" s="2" t="s">
        <v>2537</v>
      </c>
    </row>
    <row r="1935" spans="1:13" x14ac:dyDescent="0.3">
      <c r="A1935" s="1">
        <v>45827</v>
      </c>
      <c r="B1935" s="2" t="s">
        <v>2627</v>
      </c>
      <c r="C1935" s="2" t="s">
        <v>2543</v>
      </c>
      <c r="D1935" s="2" t="s">
        <v>2528</v>
      </c>
      <c r="E1935" s="2" t="s">
        <v>2529</v>
      </c>
      <c r="F1935" s="3">
        <v>130858</v>
      </c>
      <c r="G1935" s="3">
        <v>5398</v>
      </c>
      <c r="H1935" s="3">
        <v>467</v>
      </c>
      <c r="I1935" s="4">
        <v>3814.01</v>
      </c>
      <c r="J1935" s="4">
        <v>20812.7</v>
      </c>
      <c r="K1935" s="3">
        <v>338</v>
      </c>
      <c r="L1935" s="2" t="s">
        <v>2518</v>
      </c>
      <c r="M1935" s="2" t="s">
        <v>2526</v>
      </c>
    </row>
    <row r="1936" spans="1:13" x14ac:dyDescent="0.3">
      <c r="A1936" s="1">
        <v>46002</v>
      </c>
      <c r="B1936" s="2" t="s">
        <v>2624</v>
      </c>
      <c r="C1936" s="2" t="s">
        <v>2543</v>
      </c>
      <c r="D1936" s="2" t="s">
        <v>2528</v>
      </c>
      <c r="E1936" s="2" t="s">
        <v>2517</v>
      </c>
      <c r="F1936" s="3">
        <v>37196</v>
      </c>
      <c r="G1936" s="3">
        <v>3241</v>
      </c>
      <c r="H1936" s="3">
        <v>95</v>
      </c>
      <c r="I1936" s="4">
        <v>6767.88</v>
      </c>
      <c r="J1936" s="4">
        <v>18718.849999999999</v>
      </c>
      <c r="K1936" s="3">
        <v>84</v>
      </c>
      <c r="L1936" s="2" t="s">
        <v>2523</v>
      </c>
      <c r="M1936" s="2" t="s">
        <v>2524</v>
      </c>
    </row>
    <row r="1937" spans="1:13" x14ac:dyDescent="0.3">
      <c r="A1937" s="1">
        <v>45667</v>
      </c>
      <c r="B1937" s="2" t="s">
        <v>2626</v>
      </c>
      <c r="C1937" s="2" t="s">
        <v>2541</v>
      </c>
      <c r="D1937" s="2" t="s">
        <v>2531</v>
      </c>
      <c r="E1937" s="2" t="s">
        <v>2517</v>
      </c>
      <c r="F1937" s="3">
        <v>134932</v>
      </c>
      <c r="G1937" s="3">
        <v>4325</v>
      </c>
      <c r="H1937" s="3">
        <v>517</v>
      </c>
      <c r="I1937" s="4">
        <v>4564.93</v>
      </c>
      <c r="J1937" s="4">
        <v>56619.33</v>
      </c>
      <c r="K1937" s="3">
        <v>460</v>
      </c>
      <c r="L1937" s="2" t="s">
        <v>2536</v>
      </c>
      <c r="M1937" s="2" t="s">
        <v>2524</v>
      </c>
    </row>
    <row r="1938" spans="1:13" x14ac:dyDescent="0.3">
      <c r="A1938" s="1">
        <v>45729</v>
      </c>
      <c r="B1938" s="2" t="s">
        <v>2644</v>
      </c>
      <c r="C1938" s="2" t="s">
        <v>2533</v>
      </c>
      <c r="D1938" s="2" t="s">
        <v>2531</v>
      </c>
      <c r="E1938" s="2" t="s">
        <v>2517</v>
      </c>
      <c r="F1938" s="3">
        <v>108490</v>
      </c>
      <c r="G1938" s="3">
        <v>5784</v>
      </c>
      <c r="H1938" s="3">
        <v>746</v>
      </c>
      <c r="I1938" s="4">
        <v>7392.81</v>
      </c>
      <c r="J1938" s="4">
        <v>87293.47</v>
      </c>
      <c r="K1938" s="3">
        <v>607</v>
      </c>
      <c r="L1938" s="2" t="s">
        <v>2523</v>
      </c>
      <c r="M1938" s="2" t="s">
        <v>2519</v>
      </c>
    </row>
    <row r="1939" spans="1:13" x14ac:dyDescent="0.3">
      <c r="A1939" s="1">
        <v>45806</v>
      </c>
      <c r="B1939" s="2" t="s">
        <v>2637</v>
      </c>
      <c r="C1939" s="2" t="s">
        <v>2521</v>
      </c>
      <c r="D1939" s="2" t="s">
        <v>2516</v>
      </c>
      <c r="E1939" s="2" t="s">
        <v>2517</v>
      </c>
      <c r="F1939" s="3">
        <v>135868</v>
      </c>
      <c r="G1939" s="3">
        <v>5358</v>
      </c>
      <c r="H1939" s="3">
        <v>326</v>
      </c>
      <c r="I1939" s="4">
        <v>2023.12</v>
      </c>
      <c r="J1939" s="4">
        <v>54119</v>
      </c>
      <c r="K1939" s="3">
        <v>252</v>
      </c>
      <c r="L1939" s="2" t="s">
        <v>2523</v>
      </c>
      <c r="M1939" s="2" t="s">
        <v>2519</v>
      </c>
    </row>
    <row r="1940" spans="1:13" x14ac:dyDescent="0.3">
      <c r="A1940" s="1">
        <v>45697</v>
      </c>
      <c r="B1940" s="2" t="s">
        <v>2618</v>
      </c>
      <c r="C1940" s="2" t="s">
        <v>2521</v>
      </c>
      <c r="D1940" s="2" t="s">
        <v>2525</v>
      </c>
      <c r="E1940" s="2" t="s">
        <v>2517</v>
      </c>
      <c r="F1940" s="3">
        <v>156932</v>
      </c>
      <c r="G1940" s="3">
        <v>9013</v>
      </c>
      <c r="H1940" s="3">
        <v>338</v>
      </c>
      <c r="I1940" s="4">
        <v>12009.07</v>
      </c>
      <c r="J1940" s="4">
        <v>23180.47</v>
      </c>
      <c r="K1940" s="3">
        <v>255</v>
      </c>
      <c r="L1940" s="2" t="s">
        <v>2536</v>
      </c>
      <c r="M1940" s="2" t="s">
        <v>2537</v>
      </c>
    </row>
    <row r="1941" spans="1:13" x14ac:dyDescent="0.3">
      <c r="A1941" s="1">
        <v>45783</v>
      </c>
      <c r="B1941" s="2" t="s">
        <v>2633</v>
      </c>
      <c r="C1941" s="2" t="s">
        <v>2527</v>
      </c>
      <c r="D1941" s="2" t="s">
        <v>2645</v>
      </c>
      <c r="E1941" s="2" t="s">
        <v>2517</v>
      </c>
      <c r="F1941" s="3">
        <v>40686</v>
      </c>
      <c r="G1941" s="3">
        <v>1876</v>
      </c>
      <c r="H1941" s="3">
        <v>75</v>
      </c>
      <c r="I1941" s="4">
        <v>3297.45</v>
      </c>
      <c r="J1941" s="4">
        <v>13984.56</v>
      </c>
      <c r="K1941" s="3">
        <v>49</v>
      </c>
      <c r="L1941" s="2" t="s">
        <v>2536</v>
      </c>
      <c r="M1941" s="2" t="s">
        <v>2546</v>
      </c>
    </row>
    <row r="1942" spans="1:13" x14ac:dyDescent="0.3">
      <c r="A1942" s="1">
        <v>45986</v>
      </c>
      <c r="B1942" s="2" t="s">
        <v>2641</v>
      </c>
      <c r="C1942" s="2" t="s">
        <v>2543</v>
      </c>
      <c r="D1942" s="2" t="s">
        <v>2525</v>
      </c>
      <c r="E1942" s="2" t="s">
        <v>2529</v>
      </c>
      <c r="F1942" s="3">
        <v>105205</v>
      </c>
      <c r="G1942" s="3">
        <v>591</v>
      </c>
      <c r="H1942" s="3">
        <v>78</v>
      </c>
      <c r="I1942" s="4">
        <v>566.22</v>
      </c>
      <c r="J1942" s="4">
        <v>8377.7199999999993</v>
      </c>
      <c r="K1942" s="3">
        <v>64</v>
      </c>
      <c r="L1942" s="2" t="s">
        <v>2536</v>
      </c>
      <c r="M1942" s="2" t="s">
        <v>2519</v>
      </c>
    </row>
    <row r="1943" spans="1:13" x14ac:dyDescent="0.3">
      <c r="A1943" s="1">
        <v>45776</v>
      </c>
      <c r="B1943" s="2" t="s">
        <v>2624</v>
      </c>
      <c r="C1943" s="2" t="s">
        <v>2515</v>
      </c>
      <c r="D1943" s="2" t="s">
        <v>2528</v>
      </c>
      <c r="E1943" s="2" t="s">
        <v>2529</v>
      </c>
      <c r="F1943" s="3">
        <v>178933</v>
      </c>
      <c r="G1943" s="3">
        <v>2203</v>
      </c>
      <c r="H1943" s="3">
        <v>79</v>
      </c>
      <c r="I1943" s="4">
        <v>3378.59</v>
      </c>
      <c r="J1943" s="4">
        <v>7821.78</v>
      </c>
      <c r="K1943" s="3">
        <v>37</v>
      </c>
      <c r="L1943" s="2" t="s">
        <v>2536</v>
      </c>
      <c r="M1943" s="2" t="s">
        <v>2519</v>
      </c>
    </row>
    <row r="1944" spans="1:13" x14ac:dyDescent="0.3">
      <c r="A1944" s="1">
        <v>45878</v>
      </c>
      <c r="B1944" s="2" t="s">
        <v>2616</v>
      </c>
      <c r="C1944" s="2" t="s">
        <v>2533</v>
      </c>
      <c r="D1944" s="2" t="s">
        <v>2525</v>
      </c>
      <c r="E1944" s="2" t="s">
        <v>2529</v>
      </c>
      <c r="F1944" s="3">
        <v>170675</v>
      </c>
      <c r="G1944" s="3">
        <v>1256</v>
      </c>
      <c r="H1944" s="3">
        <v>120</v>
      </c>
      <c r="I1944" s="4">
        <v>1442.9</v>
      </c>
      <c r="J1944" s="4">
        <v>7731.54</v>
      </c>
      <c r="K1944" s="3">
        <v>77</v>
      </c>
      <c r="L1944" s="2" t="s">
        <v>2539</v>
      </c>
      <c r="M1944" s="2" t="s">
        <v>2546</v>
      </c>
    </row>
    <row r="1945" spans="1:13" x14ac:dyDescent="0.3">
      <c r="A1945" s="1">
        <v>45666</v>
      </c>
      <c r="B1945" s="2" t="s">
        <v>2621</v>
      </c>
      <c r="C1945" s="2" t="s">
        <v>2533</v>
      </c>
      <c r="D1945" s="2" t="s">
        <v>2525</v>
      </c>
      <c r="E1945" s="2" t="s">
        <v>2517</v>
      </c>
      <c r="F1945" s="3">
        <v>67299</v>
      </c>
      <c r="G1945" s="3">
        <v>5831</v>
      </c>
      <c r="H1945" s="3">
        <v>360</v>
      </c>
      <c r="I1945" s="4">
        <v>10338.6</v>
      </c>
      <c r="J1945" s="4">
        <v>25726.86</v>
      </c>
      <c r="K1945" s="3">
        <v>259</v>
      </c>
      <c r="L1945" s="2" t="s">
        <v>2518</v>
      </c>
      <c r="M1945" s="2" t="s">
        <v>2537</v>
      </c>
    </row>
    <row r="1946" spans="1:13" x14ac:dyDescent="0.3">
      <c r="A1946" s="1">
        <v>45936</v>
      </c>
      <c r="B1946" s="2" t="s">
        <v>2621</v>
      </c>
      <c r="C1946" s="2" t="s">
        <v>2521</v>
      </c>
      <c r="D1946" s="2" t="s">
        <v>2516</v>
      </c>
      <c r="E1946" s="2" t="s">
        <v>2517</v>
      </c>
      <c r="F1946" s="3">
        <v>10481</v>
      </c>
      <c r="G1946" s="3">
        <v>611</v>
      </c>
      <c r="H1946" s="3">
        <v>27</v>
      </c>
      <c r="I1946" s="4">
        <v>1214.79</v>
      </c>
      <c r="J1946" s="4">
        <v>883.63</v>
      </c>
      <c r="K1946" s="3">
        <v>16</v>
      </c>
      <c r="L1946" s="2" t="s">
        <v>2539</v>
      </c>
      <c r="M1946" s="2" t="s">
        <v>2537</v>
      </c>
    </row>
    <row r="1947" spans="1:13" x14ac:dyDescent="0.3">
      <c r="A1947" s="1">
        <v>45892</v>
      </c>
      <c r="B1947" s="2" t="s">
        <v>2616</v>
      </c>
      <c r="C1947" s="2" t="s">
        <v>2543</v>
      </c>
      <c r="D1947" s="2" t="s">
        <v>2528</v>
      </c>
      <c r="E1947" s="2" t="s">
        <v>2517</v>
      </c>
      <c r="F1947" s="3">
        <v>28524</v>
      </c>
      <c r="G1947" s="3">
        <v>688</v>
      </c>
      <c r="H1947" s="3">
        <v>4</v>
      </c>
      <c r="I1947" s="4">
        <v>417.14</v>
      </c>
      <c r="J1947" s="4">
        <v>365.27</v>
      </c>
      <c r="K1947" s="3">
        <v>2</v>
      </c>
      <c r="L1947" s="2" t="s">
        <v>2539</v>
      </c>
      <c r="M1947" s="2" t="s">
        <v>2537</v>
      </c>
    </row>
    <row r="1948" spans="1:13" x14ac:dyDescent="0.3">
      <c r="A1948" s="1">
        <v>45977</v>
      </c>
      <c r="B1948" s="2" t="s">
        <v>2636</v>
      </c>
      <c r="C1948" s="2" t="s">
        <v>2543</v>
      </c>
      <c r="D1948" s="2" t="s">
        <v>2531</v>
      </c>
      <c r="E1948" s="2" t="s">
        <v>2534</v>
      </c>
      <c r="F1948" s="3">
        <v>176437</v>
      </c>
      <c r="G1948" s="3">
        <v>14105</v>
      </c>
      <c r="H1948" s="3">
        <v>237</v>
      </c>
      <c r="I1948" s="4">
        <v>27468.33</v>
      </c>
      <c r="J1948" s="4">
        <v>15915.38</v>
      </c>
      <c r="K1948" s="3">
        <v>209</v>
      </c>
      <c r="L1948" s="2" t="s">
        <v>2536</v>
      </c>
      <c r="M1948" s="2" t="s">
        <v>2524</v>
      </c>
    </row>
    <row r="1949" spans="1:13" x14ac:dyDescent="0.3">
      <c r="A1949" s="1">
        <v>45831</v>
      </c>
      <c r="B1949" s="2" t="s">
        <v>2637</v>
      </c>
      <c r="C1949" s="2" t="s">
        <v>2515</v>
      </c>
      <c r="D1949" s="2" t="s">
        <v>2528</v>
      </c>
      <c r="E1949" s="2" t="s">
        <v>2517</v>
      </c>
      <c r="F1949" s="3">
        <v>115688</v>
      </c>
      <c r="G1949" s="3">
        <v>5559</v>
      </c>
      <c r="H1949" s="3">
        <v>440</v>
      </c>
      <c r="I1949" s="4">
        <v>9599.94</v>
      </c>
      <c r="J1949" s="4">
        <v>95440.41</v>
      </c>
      <c r="K1949" s="3">
        <v>294</v>
      </c>
      <c r="L1949" s="2" t="s">
        <v>2539</v>
      </c>
      <c r="M1949" s="2" t="s">
        <v>2537</v>
      </c>
    </row>
    <row r="1950" spans="1:13" x14ac:dyDescent="0.3">
      <c r="A1950" s="1">
        <v>45658</v>
      </c>
      <c r="B1950" s="2" t="s">
        <v>2625</v>
      </c>
      <c r="C1950" s="2" t="s">
        <v>2541</v>
      </c>
      <c r="D1950" s="2" t="s">
        <v>2528</v>
      </c>
      <c r="E1950" s="2" t="s">
        <v>2529</v>
      </c>
      <c r="F1950" s="3">
        <v>15810</v>
      </c>
      <c r="G1950" s="3">
        <v>432</v>
      </c>
      <c r="H1950" s="3">
        <v>32</v>
      </c>
      <c r="I1950" s="4">
        <v>653.79</v>
      </c>
      <c r="J1950" s="4">
        <v>3514.82</v>
      </c>
      <c r="K1950" s="3">
        <v>27</v>
      </c>
      <c r="L1950" s="2" t="s">
        <v>2523</v>
      </c>
      <c r="M1950" s="2" t="s">
        <v>2519</v>
      </c>
    </row>
    <row r="1951" spans="1:13" x14ac:dyDescent="0.3">
      <c r="A1951" s="1">
        <v>45811</v>
      </c>
      <c r="B1951" s="2" t="s">
        <v>2629</v>
      </c>
      <c r="C1951" s="2" t="s">
        <v>2521</v>
      </c>
      <c r="D1951" s="2" t="s">
        <v>2528</v>
      </c>
      <c r="E1951" s="2" t="s">
        <v>2517</v>
      </c>
      <c r="F1951" s="3">
        <v>53470</v>
      </c>
      <c r="G1951" s="3">
        <v>1545</v>
      </c>
      <c r="H1951" s="3">
        <v>39</v>
      </c>
      <c r="I1951" s="4">
        <v>735.45</v>
      </c>
      <c r="J1951" s="4">
        <v>4344.26</v>
      </c>
      <c r="K1951" s="3">
        <v>25</v>
      </c>
      <c r="L1951" s="2" t="s">
        <v>2536</v>
      </c>
      <c r="M1951" s="2" t="s">
        <v>2524</v>
      </c>
    </row>
    <row r="1952" spans="1:13" x14ac:dyDescent="0.3">
      <c r="A1952" s="1">
        <v>45831</v>
      </c>
      <c r="B1952" s="2" t="s">
        <v>2644</v>
      </c>
      <c r="C1952" s="2" t="s">
        <v>2543</v>
      </c>
      <c r="D1952" s="2" t="s">
        <v>2528</v>
      </c>
      <c r="E1952" s="2" t="s">
        <v>2517</v>
      </c>
      <c r="F1952" s="3">
        <v>107836</v>
      </c>
      <c r="G1952" s="3">
        <v>9435</v>
      </c>
      <c r="H1952" s="3">
        <v>690</v>
      </c>
      <c r="I1952" s="4">
        <v>9179</v>
      </c>
      <c r="J1952" s="4">
        <v>35813.599999999999</v>
      </c>
      <c r="K1952" s="3">
        <v>616</v>
      </c>
      <c r="L1952" s="2" t="s">
        <v>2518</v>
      </c>
      <c r="M1952" s="2" t="s">
        <v>2526</v>
      </c>
    </row>
    <row r="1953" spans="1:13" x14ac:dyDescent="0.3">
      <c r="A1953" s="1">
        <v>46015</v>
      </c>
      <c r="B1953" s="2" t="s">
        <v>2627</v>
      </c>
      <c r="C1953" s="2" t="s">
        <v>2527</v>
      </c>
      <c r="D1953" s="2" t="s">
        <v>2516</v>
      </c>
      <c r="E1953" s="2" t="s">
        <v>2517</v>
      </c>
      <c r="F1953" s="3">
        <v>88409</v>
      </c>
      <c r="G1953" s="3">
        <v>1895</v>
      </c>
      <c r="H1953" s="3">
        <v>208</v>
      </c>
      <c r="I1953" s="4">
        <v>1405.08</v>
      </c>
      <c r="J1953" s="4">
        <v>25368.45</v>
      </c>
      <c r="K1953" s="3">
        <v>153</v>
      </c>
      <c r="L1953" s="2" t="s">
        <v>2536</v>
      </c>
      <c r="M1953" s="2" t="s">
        <v>2519</v>
      </c>
    </row>
    <row r="1954" spans="1:13" x14ac:dyDescent="0.3">
      <c r="A1954" s="1">
        <v>45733</v>
      </c>
      <c r="B1954" s="2" t="s">
        <v>2640</v>
      </c>
      <c r="C1954" s="2" t="s">
        <v>2541</v>
      </c>
      <c r="D1954" s="2" t="s">
        <v>2528</v>
      </c>
      <c r="E1954" s="2" t="s">
        <v>2517</v>
      </c>
      <c r="F1954" s="3">
        <v>54153</v>
      </c>
      <c r="G1954" s="3">
        <v>1177</v>
      </c>
      <c r="H1954" s="3">
        <v>22</v>
      </c>
      <c r="I1954" s="4">
        <v>850.06</v>
      </c>
      <c r="J1954" s="4">
        <v>2255.1999999999998</v>
      </c>
      <c r="K1954" s="3">
        <v>11</v>
      </c>
      <c r="L1954" s="2" t="s">
        <v>2536</v>
      </c>
      <c r="M1954" s="2" t="s">
        <v>2519</v>
      </c>
    </row>
    <row r="1955" spans="1:13" x14ac:dyDescent="0.3">
      <c r="A1955" s="1">
        <v>45825</v>
      </c>
      <c r="B1955" s="2" t="s">
        <v>2621</v>
      </c>
      <c r="C1955" s="2" t="s">
        <v>2543</v>
      </c>
      <c r="D1955" s="2" t="s">
        <v>2528</v>
      </c>
      <c r="E1955" s="2" t="s">
        <v>2529</v>
      </c>
      <c r="F1955" s="3">
        <v>170398</v>
      </c>
      <c r="G1955" s="3">
        <v>2581</v>
      </c>
      <c r="H1955" s="3">
        <v>307</v>
      </c>
      <c r="I1955" s="4">
        <v>2030.92</v>
      </c>
      <c r="J1955" s="4">
        <v>30139.93</v>
      </c>
      <c r="K1955" s="3">
        <v>158</v>
      </c>
      <c r="L1955" s="2" t="s">
        <v>2536</v>
      </c>
      <c r="M1955" s="2" t="s">
        <v>2519</v>
      </c>
    </row>
    <row r="1956" spans="1:13" x14ac:dyDescent="0.3">
      <c r="A1956" s="1">
        <v>45663</v>
      </c>
      <c r="B1956" s="2" t="s">
        <v>2630</v>
      </c>
      <c r="C1956" s="2" t="s">
        <v>2515</v>
      </c>
      <c r="D1956" s="2" t="s">
        <v>2525</v>
      </c>
      <c r="E1956" s="2" t="s">
        <v>2517</v>
      </c>
      <c r="F1956" s="3">
        <v>131503</v>
      </c>
      <c r="G1956" s="3">
        <v>11374</v>
      </c>
      <c r="H1956" s="3">
        <v>551</v>
      </c>
      <c r="I1956" s="4">
        <v>11594.07</v>
      </c>
      <c r="J1956" s="4">
        <v>13045.91</v>
      </c>
      <c r="K1956" s="3">
        <v>470</v>
      </c>
      <c r="L1956" s="2" t="s">
        <v>2536</v>
      </c>
      <c r="M1956" s="2" t="s">
        <v>2546</v>
      </c>
    </row>
    <row r="1957" spans="1:13" x14ac:dyDescent="0.3">
      <c r="A1957" s="1">
        <v>45855</v>
      </c>
      <c r="B1957" s="2" t="s">
        <v>2627</v>
      </c>
      <c r="C1957" s="2" t="s">
        <v>2543</v>
      </c>
      <c r="D1957" s="2" t="s">
        <v>2516</v>
      </c>
      <c r="E1957" s="2" t="s">
        <v>2534</v>
      </c>
      <c r="F1957" s="3">
        <v>4357</v>
      </c>
      <c r="G1957" s="3">
        <v>76</v>
      </c>
      <c r="H1957" s="3">
        <v>0</v>
      </c>
      <c r="I1957" s="4">
        <v>147.38</v>
      </c>
      <c r="J1957" s="4">
        <v>0</v>
      </c>
      <c r="K1957" s="3">
        <v>0</v>
      </c>
      <c r="L1957" s="2" t="s">
        <v>2536</v>
      </c>
      <c r="M1957" s="2" t="s">
        <v>2519</v>
      </c>
    </row>
    <row r="1958" spans="1:13" x14ac:dyDescent="0.3">
      <c r="A1958" s="1">
        <v>45725</v>
      </c>
      <c r="B1958" s="2" t="s">
        <v>2632</v>
      </c>
      <c r="C1958" s="2" t="s">
        <v>2533</v>
      </c>
      <c r="D1958" s="2" t="s">
        <v>2528</v>
      </c>
      <c r="E1958" s="2" t="s">
        <v>2529</v>
      </c>
      <c r="F1958" s="3">
        <v>153835</v>
      </c>
      <c r="G1958" s="3">
        <v>9039</v>
      </c>
      <c r="H1958" s="3">
        <v>226</v>
      </c>
      <c r="I1958" s="4">
        <v>6415.53</v>
      </c>
      <c r="J1958" s="4">
        <v>33304.660000000003</v>
      </c>
      <c r="K1958" s="3">
        <v>111</v>
      </c>
      <c r="L1958" s="2" t="s">
        <v>2518</v>
      </c>
      <c r="M1958" s="2" t="s">
        <v>2519</v>
      </c>
    </row>
    <row r="1959" spans="1:13" x14ac:dyDescent="0.3">
      <c r="A1959" s="1">
        <v>45782</v>
      </c>
      <c r="B1959" s="2" t="s">
        <v>2638</v>
      </c>
      <c r="C1959" s="2" t="s">
        <v>2543</v>
      </c>
      <c r="D1959" s="2" t="s">
        <v>2516</v>
      </c>
      <c r="E1959" s="2" t="s">
        <v>2529</v>
      </c>
      <c r="F1959" s="3">
        <v>154239</v>
      </c>
      <c r="G1959" s="3">
        <v>5121</v>
      </c>
      <c r="H1959" s="3">
        <v>548</v>
      </c>
      <c r="I1959" s="4">
        <v>6092.93</v>
      </c>
      <c r="J1959" s="4">
        <v>58811.07</v>
      </c>
      <c r="K1959" s="3">
        <v>341</v>
      </c>
      <c r="L1959" s="2" t="s">
        <v>2523</v>
      </c>
      <c r="M1959" s="2" t="s">
        <v>2526</v>
      </c>
    </row>
    <row r="1960" spans="1:13" x14ac:dyDescent="0.3">
      <c r="A1960" s="1">
        <v>45725</v>
      </c>
      <c r="B1960" s="2" t="s">
        <v>2621</v>
      </c>
      <c r="C1960" s="2" t="s">
        <v>2521</v>
      </c>
      <c r="D1960" s="2" t="s">
        <v>2528</v>
      </c>
      <c r="E1960" s="2" t="s">
        <v>2529</v>
      </c>
      <c r="F1960" s="3">
        <v>3652</v>
      </c>
      <c r="G1960" s="3">
        <v>20</v>
      </c>
      <c r="H1960" s="3">
        <v>2</v>
      </c>
      <c r="I1960" s="4">
        <v>13</v>
      </c>
      <c r="J1960" s="4">
        <v>278.67</v>
      </c>
      <c r="K1960" s="3">
        <v>1</v>
      </c>
      <c r="L1960" s="2" t="s">
        <v>2536</v>
      </c>
      <c r="M1960" s="2" t="s">
        <v>2526</v>
      </c>
    </row>
    <row r="1961" spans="1:13" x14ac:dyDescent="0.3">
      <c r="A1961" s="1">
        <v>45961</v>
      </c>
      <c r="B1961" s="2" t="s">
        <v>2616</v>
      </c>
      <c r="C1961" s="2" t="s">
        <v>2533</v>
      </c>
      <c r="D1961" s="2" t="s">
        <v>2528</v>
      </c>
      <c r="E1961" s="2" t="s">
        <v>2517</v>
      </c>
      <c r="F1961" s="3">
        <v>168291</v>
      </c>
      <c r="G1961" s="3">
        <v>2775</v>
      </c>
      <c r="H1961" s="3">
        <v>192</v>
      </c>
      <c r="I1961" s="4">
        <v>1395.21</v>
      </c>
      <c r="J1961" s="4">
        <v>33405.129999999997</v>
      </c>
      <c r="K1961" s="3">
        <v>135</v>
      </c>
      <c r="L1961" s="2" t="s">
        <v>2536</v>
      </c>
      <c r="M1961" s="2" t="s">
        <v>2519</v>
      </c>
    </row>
    <row r="1962" spans="1:13" x14ac:dyDescent="0.3">
      <c r="A1962" s="1">
        <v>45786</v>
      </c>
      <c r="B1962" s="2" t="s">
        <v>2628</v>
      </c>
      <c r="C1962" s="2" t="s">
        <v>2521</v>
      </c>
      <c r="D1962" s="2" t="s">
        <v>2516</v>
      </c>
      <c r="E1962" s="2" t="s">
        <v>2529</v>
      </c>
      <c r="F1962" s="3">
        <v>120665</v>
      </c>
      <c r="G1962" s="3">
        <v>8398</v>
      </c>
      <c r="H1962" s="3">
        <v>1084</v>
      </c>
      <c r="I1962" s="4">
        <v>8577.49</v>
      </c>
      <c r="J1962" s="4">
        <v>42890.92</v>
      </c>
      <c r="K1962" s="3">
        <v>563</v>
      </c>
      <c r="L1962" s="2" t="s">
        <v>2539</v>
      </c>
      <c r="M1962" s="2" t="s">
        <v>2546</v>
      </c>
    </row>
    <row r="1963" spans="1:13" x14ac:dyDescent="0.3">
      <c r="A1963" s="1">
        <v>45873</v>
      </c>
      <c r="B1963" s="2" t="s">
        <v>2629</v>
      </c>
      <c r="C1963" s="2" t="s">
        <v>2527</v>
      </c>
      <c r="D1963" s="2" t="s">
        <v>2528</v>
      </c>
      <c r="E1963" s="2" t="s">
        <v>2517</v>
      </c>
      <c r="F1963" s="3">
        <v>75171</v>
      </c>
      <c r="G1963" s="3">
        <v>5135</v>
      </c>
      <c r="H1963" s="3">
        <v>551</v>
      </c>
      <c r="I1963" s="4">
        <v>9981.5400000000009</v>
      </c>
      <c r="J1963" s="4">
        <v>47412.03</v>
      </c>
      <c r="K1963" s="3">
        <v>320</v>
      </c>
      <c r="L1963" s="2" t="s">
        <v>2536</v>
      </c>
      <c r="M1963" s="2" t="s">
        <v>2537</v>
      </c>
    </row>
    <row r="1964" spans="1:13" x14ac:dyDescent="0.3">
      <c r="A1964" s="1">
        <v>45998</v>
      </c>
      <c r="B1964" s="2" t="s">
        <v>2640</v>
      </c>
      <c r="C1964" s="2" t="s">
        <v>2521</v>
      </c>
      <c r="D1964" s="2" t="s">
        <v>2528</v>
      </c>
      <c r="E1964" s="2" t="s">
        <v>2529</v>
      </c>
      <c r="F1964" s="3">
        <v>110768</v>
      </c>
      <c r="G1964" s="3">
        <v>6295</v>
      </c>
      <c r="H1964" s="3">
        <v>598</v>
      </c>
      <c r="I1964" s="4">
        <v>10180.870000000001</v>
      </c>
      <c r="J1964" s="4">
        <v>82640.13</v>
      </c>
      <c r="K1964" s="3">
        <v>294</v>
      </c>
      <c r="L1964" s="2" t="s">
        <v>2539</v>
      </c>
      <c r="M1964" s="2" t="s">
        <v>2546</v>
      </c>
    </row>
    <row r="1965" spans="1:13" x14ac:dyDescent="0.3">
      <c r="A1965" s="1">
        <v>45672</v>
      </c>
      <c r="B1965" s="2" t="s">
        <v>2617</v>
      </c>
      <c r="C1965" s="2" t="s">
        <v>2515</v>
      </c>
      <c r="D1965" s="2" t="s">
        <v>2528</v>
      </c>
      <c r="E1965" s="2" t="s">
        <v>2517</v>
      </c>
      <c r="F1965" s="3">
        <v>94015</v>
      </c>
      <c r="G1965" s="3">
        <v>7166</v>
      </c>
      <c r="H1965" s="3">
        <v>549</v>
      </c>
      <c r="I1965" s="4">
        <v>10032.92</v>
      </c>
      <c r="J1965" s="4">
        <v>34863.93</v>
      </c>
      <c r="K1965" s="3">
        <v>326</v>
      </c>
      <c r="L1965" s="2" t="s">
        <v>2539</v>
      </c>
      <c r="M1965" s="2" t="s">
        <v>2524</v>
      </c>
    </row>
    <row r="1966" spans="1:13" x14ac:dyDescent="0.3">
      <c r="A1966" s="1">
        <v>45890</v>
      </c>
      <c r="B1966" s="2" t="s">
        <v>2637</v>
      </c>
      <c r="C1966" s="2" t="s">
        <v>2543</v>
      </c>
      <c r="D1966" s="2" t="s">
        <v>2516</v>
      </c>
      <c r="E1966" s="2" t="s">
        <v>2517</v>
      </c>
      <c r="F1966" s="3">
        <v>138818</v>
      </c>
      <c r="G1966" s="3">
        <v>6807</v>
      </c>
      <c r="H1966" s="3">
        <v>535</v>
      </c>
      <c r="I1966" s="4">
        <v>9413.2900000000009</v>
      </c>
      <c r="J1966" s="4">
        <v>84720.36</v>
      </c>
      <c r="K1966" s="3">
        <v>297</v>
      </c>
      <c r="L1966" s="2" t="s">
        <v>2536</v>
      </c>
      <c r="M1966" s="2" t="s">
        <v>2519</v>
      </c>
    </row>
    <row r="1967" spans="1:13" x14ac:dyDescent="0.3">
      <c r="A1967" s="1">
        <v>45897</v>
      </c>
      <c r="B1967" s="2" t="s">
        <v>2636</v>
      </c>
      <c r="C1967" s="2" t="s">
        <v>2541</v>
      </c>
      <c r="D1967" s="2" t="s">
        <v>2528</v>
      </c>
      <c r="E1967" s="2" t="s">
        <v>2517</v>
      </c>
      <c r="F1967" s="3">
        <v>7381</v>
      </c>
      <c r="G1967" s="3">
        <v>54</v>
      </c>
      <c r="H1967" s="3">
        <v>4</v>
      </c>
      <c r="I1967" s="4">
        <v>80.959999999999994</v>
      </c>
      <c r="J1967" s="4">
        <v>426.98</v>
      </c>
      <c r="K1967" s="3">
        <v>1</v>
      </c>
      <c r="L1967" s="2" t="s">
        <v>2523</v>
      </c>
      <c r="M1967" s="2" t="s">
        <v>2537</v>
      </c>
    </row>
    <row r="1968" spans="1:13" x14ac:dyDescent="0.3">
      <c r="A1968" s="1">
        <v>45982</v>
      </c>
      <c r="B1968" s="2" t="s">
        <v>2623</v>
      </c>
      <c r="C1968" s="2" t="s">
        <v>2515</v>
      </c>
      <c r="D1968" s="2" t="s">
        <v>2528</v>
      </c>
      <c r="E1968" s="2" t="s">
        <v>2517</v>
      </c>
      <c r="F1968" s="3">
        <v>83914</v>
      </c>
      <c r="G1968" s="3">
        <v>3544</v>
      </c>
      <c r="H1968" s="3">
        <v>404</v>
      </c>
      <c r="I1968" s="4">
        <v>4748.3599999999997</v>
      </c>
      <c r="J1968" s="4">
        <v>85178.22</v>
      </c>
      <c r="K1968" s="3">
        <v>192</v>
      </c>
      <c r="L1968" s="2" t="s">
        <v>2518</v>
      </c>
      <c r="M1968" s="2" t="s">
        <v>2546</v>
      </c>
    </row>
    <row r="1969" spans="1:13" x14ac:dyDescent="0.3">
      <c r="A1969" s="1">
        <v>45897</v>
      </c>
      <c r="B1969" s="2" t="s">
        <v>2627</v>
      </c>
      <c r="C1969" s="2" t="s">
        <v>2515</v>
      </c>
      <c r="D1969" s="2" t="s">
        <v>2525</v>
      </c>
      <c r="E1969" s="2" t="s">
        <v>2517</v>
      </c>
      <c r="F1969" s="3">
        <v>151380</v>
      </c>
      <c r="G1969" s="3">
        <v>964</v>
      </c>
      <c r="H1969" s="3">
        <v>120</v>
      </c>
      <c r="I1969" s="4">
        <v>1028.8900000000001</v>
      </c>
      <c r="J1969" s="4">
        <v>19639.11</v>
      </c>
      <c r="K1969" s="3">
        <v>67</v>
      </c>
      <c r="L1969" s="2" t="s">
        <v>2539</v>
      </c>
      <c r="M1969" s="2" t="s">
        <v>2524</v>
      </c>
    </row>
    <row r="1970" spans="1:13" x14ac:dyDescent="0.3">
      <c r="A1970" s="1">
        <v>45768</v>
      </c>
      <c r="B1970" s="2" t="s">
        <v>2620</v>
      </c>
      <c r="C1970" s="2" t="s">
        <v>2533</v>
      </c>
      <c r="D1970" s="2" t="s">
        <v>2528</v>
      </c>
      <c r="E1970" s="2" t="s">
        <v>2517</v>
      </c>
      <c r="F1970" s="3">
        <v>33082</v>
      </c>
      <c r="G1970" s="3">
        <v>905</v>
      </c>
      <c r="H1970" s="3">
        <v>64</v>
      </c>
      <c r="I1970" s="4">
        <v>711.94</v>
      </c>
      <c r="J1970" s="4">
        <v>8995.77</v>
      </c>
      <c r="K1970" s="3">
        <v>48</v>
      </c>
      <c r="L1970" s="2" t="s">
        <v>2539</v>
      </c>
      <c r="M1970" s="2" t="s">
        <v>2546</v>
      </c>
    </row>
    <row r="1971" spans="1:13" x14ac:dyDescent="0.3">
      <c r="A1971" s="1">
        <v>45899</v>
      </c>
      <c r="B1971" s="2" t="s">
        <v>2619</v>
      </c>
      <c r="C1971" s="2" t="s">
        <v>2527</v>
      </c>
      <c r="D1971" s="2" t="s">
        <v>2525</v>
      </c>
      <c r="E1971" s="2" t="s">
        <v>2517</v>
      </c>
      <c r="F1971" s="3">
        <v>157988</v>
      </c>
      <c r="G1971" s="3">
        <v>8843</v>
      </c>
      <c r="H1971" s="3">
        <v>1130</v>
      </c>
      <c r="I1971" s="4">
        <v>6551.17</v>
      </c>
      <c r="J1971" s="4">
        <v>225417.49</v>
      </c>
      <c r="K1971" s="3">
        <v>563</v>
      </c>
      <c r="L1971" s="2" t="s">
        <v>2536</v>
      </c>
      <c r="M1971" s="2" t="s">
        <v>2519</v>
      </c>
    </row>
    <row r="1972" spans="1:13" x14ac:dyDescent="0.3">
      <c r="A1972" s="1">
        <v>45988</v>
      </c>
      <c r="B1972" s="2" t="s">
        <v>2643</v>
      </c>
      <c r="C1972" s="2" t="s">
        <v>2521</v>
      </c>
      <c r="D1972" s="2" t="s">
        <v>2528</v>
      </c>
      <c r="E1972" s="2" t="s">
        <v>2517</v>
      </c>
      <c r="F1972" s="3">
        <v>14540</v>
      </c>
      <c r="G1972" s="3">
        <v>1121</v>
      </c>
      <c r="H1972" s="3">
        <v>39</v>
      </c>
      <c r="I1972" s="4">
        <v>620.95000000000005</v>
      </c>
      <c r="J1972" s="4">
        <v>5713.99</v>
      </c>
      <c r="K1972" s="3">
        <v>30</v>
      </c>
      <c r="L1972" s="2" t="s">
        <v>2518</v>
      </c>
      <c r="M1972" s="2" t="s">
        <v>2537</v>
      </c>
    </row>
    <row r="1973" spans="1:13" x14ac:dyDescent="0.3">
      <c r="A1973" s="1">
        <v>45773</v>
      </c>
      <c r="B1973" s="2" t="s">
        <v>2622</v>
      </c>
      <c r="C1973" s="2" t="s">
        <v>2515</v>
      </c>
      <c r="D1973" s="2" t="s">
        <v>2528</v>
      </c>
      <c r="E1973" s="2" t="s">
        <v>2529</v>
      </c>
      <c r="F1973" s="3">
        <v>161274</v>
      </c>
      <c r="G1973" s="3">
        <v>4711</v>
      </c>
      <c r="H1973" s="3">
        <v>400</v>
      </c>
      <c r="I1973" s="4">
        <v>4707.37</v>
      </c>
      <c r="J1973" s="4">
        <v>79327.66</v>
      </c>
      <c r="K1973" s="3">
        <v>306</v>
      </c>
      <c r="L1973" s="2" t="s">
        <v>2518</v>
      </c>
      <c r="M1973" s="2" t="s">
        <v>2524</v>
      </c>
    </row>
    <row r="1974" spans="1:13" x14ac:dyDescent="0.3">
      <c r="A1974" s="1">
        <v>45871</v>
      </c>
      <c r="B1974" s="2" t="s">
        <v>2635</v>
      </c>
      <c r="C1974" s="2" t="s">
        <v>2527</v>
      </c>
      <c r="D1974" s="2" t="s">
        <v>2531</v>
      </c>
      <c r="E1974" s="2" t="s">
        <v>2529</v>
      </c>
      <c r="F1974" s="3">
        <v>57294</v>
      </c>
      <c r="G1974" s="3">
        <v>1978</v>
      </c>
      <c r="H1974" s="3">
        <v>115</v>
      </c>
      <c r="I1974" s="4">
        <v>1003.79</v>
      </c>
      <c r="J1974" s="4">
        <v>4312.1499999999996</v>
      </c>
      <c r="K1974" s="3">
        <v>72</v>
      </c>
      <c r="L1974" s="2" t="s">
        <v>2523</v>
      </c>
      <c r="M1974" s="2" t="s">
        <v>2524</v>
      </c>
    </row>
    <row r="1975" spans="1:13" x14ac:dyDescent="0.3">
      <c r="A1975" s="1">
        <v>45827</v>
      </c>
      <c r="B1975" s="2" t="s">
        <v>2644</v>
      </c>
      <c r="C1975" s="2" t="s">
        <v>2527</v>
      </c>
      <c r="D1975" s="2" t="s">
        <v>2528</v>
      </c>
      <c r="E1975" s="2" t="s">
        <v>2517</v>
      </c>
      <c r="F1975" s="3">
        <v>137271</v>
      </c>
      <c r="G1975" s="3">
        <v>11758</v>
      </c>
      <c r="H1975" s="3">
        <v>299</v>
      </c>
      <c r="I1975" s="4">
        <v>20066.89</v>
      </c>
      <c r="J1975" s="4">
        <v>47484.45</v>
      </c>
      <c r="K1975" s="3">
        <v>216</v>
      </c>
      <c r="L1975" s="2" t="s">
        <v>2536</v>
      </c>
      <c r="M1975" s="2" t="s">
        <v>2546</v>
      </c>
    </row>
    <row r="1976" spans="1:13" x14ac:dyDescent="0.3">
      <c r="A1976" s="1">
        <v>45808</v>
      </c>
      <c r="B1976" s="2" t="s">
        <v>2616</v>
      </c>
      <c r="C1976" s="2" t="s">
        <v>2521</v>
      </c>
      <c r="D1976" s="2" t="s">
        <v>2528</v>
      </c>
      <c r="E1976" s="2" t="s">
        <v>2534</v>
      </c>
      <c r="F1976" s="3">
        <v>101640</v>
      </c>
      <c r="G1976" s="3">
        <v>1313</v>
      </c>
      <c r="H1976" s="3">
        <v>56</v>
      </c>
      <c r="I1976" s="4">
        <v>1612.54</v>
      </c>
      <c r="J1976" s="4">
        <v>7992.5</v>
      </c>
      <c r="K1976" s="3">
        <v>49</v>
      </c>
      <c r="L1976" s="2" t="s">
        <v>2523</v>
      </c>
      <c r="M1976" s="2" t="s">
        <v>2537</v>
      </c>
    </row>
    <row r="1977" spans="1:13" x14ac:dyDescent="0.3">
      <c r="A1977" s="1">
        <v>45715</v>
      </c>
      <c r="B1977" s="2" t="s">
        <v>2621</v>
      </c>
      <c r="C1977" s="2" t="s">
        <v>2521</v>
      </c>
      <c r="D1977" s="2" t="s">
        <v>2528</v>
      </c>
      <c r="E1977" s="2" t="s">
        <v>2517</v>
      </c>
      <c r="F1977" s="3">
        <v>109709</v>
      </c>
      <c r="G1977" s="3">
        <v>1359</v>
      </c>
      <c r="H1977" s="3">
        <v>86</v>
      </c>
      <c r="I1977" s="4">
        <v>2143.84</v>
      </c>
      <c r="J1977" s="4">
        <v>7177.71</v>
      </c>
      <c r="K1977" s="3">
        <v>61</v>
      </c>
      <c r="L1977" s="2" t="s">
        <v>2539</v>
      </c>
      <c r="M1977" s="2" t="s">
        <v>2519</v>
      </c>
    </row>
    <row r="1978" spans="1:13" x14ac:dyDescent="0.3">
      <c r="A1978" s="1">
        <v>45729</v>
      </c>
      <c r="B1978" s="2" t="s">
        <v>2641</v>
      </c>
      <c r="C1978" s="2" t="s">
        <v>2541</v>
      </c>
      <c r="D1978" s="2" t="s">
        <v>2525</v>
      </c>
      <c r="E1978" s="2" t="s">
        <v>2529</v>
      </c>
      <c r="F1978" s="3">
        <v>42571</v>
      </c>
      <c r="G1978" s="3">
        <v>1818</v>
      </c>
      <c r="H1978" s="3">
        <v>236</v>
      </c>
      <c r="I1978" s="4">
        <v>3526.14</v>
      </c>
      <c r="J1978" s="4">
        <v>48212.43</v>
      </c>
      <c r="K1978" s="3">
        <v>107</v>
      </c>
      <c r="L1978" s="2" t="s">
        <v>2536</v>
      </c>
      <c r="M1978" s="2" t="s">
        <v>2546</v>
      </c>
    </row>
    <row r="1979" spans="1:13" x14ac:dyDescent="0.3">
      <c r="A1979" s="1">
        <v>45941</v>
      </c>
      <c r="B1979" s="2" t="s">
        <v>2633</v>
      </c>
      <c r="C1979" s="2" t="s">
        <v>2533</v>
      </c>
      <c r="D1979" s="2" t="s">
        <v>2516</v>
      </c>
      <c r="E1979" s="2" t="s">
        <v>2517</v>
      </c>
      <c r="F1979" s="3">
        <v>9182</v>
      </c>
      <c r="G1979" s="3">
        <v>442</v>
      </c>
      <c r="H1979" s="3">
        <v>26</v>
      </c>
      <c r="I1979" s="4">
        <v>901.74</v>
      </c>
      <c r="J1979" s="4">
        <v>2508.7199999999998</v>
      </c>
      <c r="K1979" s="3">
        <v>14</v>
      </c>
      <c r="L1979" s="2" t="s">
        <v>2518</v>
      </c>
      <c r="M1979" s="2" t="s">
        <v>2537</v>
      </c>
    </row>
    <row r="1980" spans="1:13" x14ac:dyDescent="0.3">
      <c r="A1980" s="1">
        <v>45677</v>
      </c>
      <c r="B1980" s="2" t="s">
        <v>2644</v>
      </c>
      <c r="C1980" s="2" t="s">
        <v>2527</v>
      </c>
      <c r="D1980" s="2" t="s">
        <v>2528</v>
      </c>
      <c r="E1980" s="2" t="s">
        <v>2529</v>
      </c>
      <c r="F1980" s="3">
        <v>112669</v>
      </c>
      <c r="G1980" s="3">
        <v>6856</v>
      </c>
      <c r="H1980" s="3">
        <v>150</v>
      </c>
      <c r="I1980" s="4">
        <v>8672.9500000000007</v>
      </c>
      <c r="J1980" s="4">
        <v>11139.85</v>
      </c>
      <c r="K1980" s="3">
        <v>97</v>
      </c>
      <c r="L1980" s="2" t="s">
        <v>2536</v>
      </c>
      <c r="M1980" s="2" t="s">
        <v>2537</v>
      </c>
    </row>
    <row r="1981" spans="1:13" x14ac:dyDescent="0.3">
      <c r="A1981" s="1">
        <v>45671</v>
      </c>
      <c r="B1981" s="2" t="s">
        <v>2626</v>
      </c>
      <c r="C1981" s="2" t="s">
        <v>2541</v>
      </c>
      <c r="D1981" s="2" t="s">
        <v>2528</v>
      </c>
      <c r="E1981" s="2" t="s">
        <v>2529</v>
      </c>
      <c r="F1981" s="3">
        <v>179106</v>
      </c>
      <c r="G1981" s="3">
        <v>2824</v>
      </c>
      <c r="H1981" s="3">
        <v>329</v>
      </c>
      <c r="I1981" s="4">
        <v>519.91999999999996</v>
      </c>
      <c r="J1981" s="4">
        <v>14050.65</v>
      </c>
      <c r="K1981" s="3">
        <v>171</v>
      </c>
      <c r="L1981" s="2" t="s">
        <v>2518</v>
      </c>
      <c r="M1981" s="2" t="s">
        <v>2519</v>
      </c>
    </row>
    <row r="1982" spans="1:13" x14ac:dyDescent="0.3">
      <c r="A1982" s="1">
        <v>45998</v>
      </c>
      <c r="B1982" s="2" t="s">
        <v>2637</v>
      </c>
      <c r="C1982" s="2" t="s">
        <v>2543</v>
      </c>
      <c r="D1982" s="2" t="s">
        <v>2528</v>
      </c>
      <c r="E1982" s="2" t="s">
        <v>2517</v>
      </c>
      <c r="F1982" s="3">
        <v>179046</v>
      </c>
      <c r="G1982" s="3">
        <v>14730</v>
      </c>
      <c r="H1982" s="3">
        <v>1870</v>
      </c>
      <c r="I1982" s="4">
        <v>23501.56</v>
      </c>
      <c r="J1982" s="4">
        <v>299302.28999999998</v>
      </c>
      <c r="K1982" s="3">
        <v>1366</v>
      </c>
      <c r="L1982" s="2" t="s">
        <v>2518</v>
      </c>
      <c r="M1982" s="2" t="s">
        <v>2526</v>
      </c>
    </row>
    <row r="1983" spans="1:13" x14ac:dyDescent="0.3">
      <c r="A1983" s="1">
        <v>45773</v>
      </c>
      <c r="B1983" s="2" t="s">
        <v>2635</v>
      </c>
      <c r="C1983" s="2" t="s">
        <v>2527</v>
      </c>
      <c r="D1983" s="2" t="s">
        <v>2531</v>
      </c>
      <c r="E1983" s="2" t="s">
        <v>2529</v>
      </c>
      <c r="F1983" s="3">
        <v>176129</v>
      </c>
      <c r="G1983" s="3">
        <v>13853</v>
      </c>
      <c r="H1983" s="3">
        <v>831</v>
      </c>
      <c r="I1983" s="4">
        <v>20566.77</v>
      </c>
      <c r="J1983" s="4">
        <v>14690.84</v>
      </c>
      <c r="K1983" s="3">
        <v>726</v>
      </c>
      <c r="L1983" s="2" t="s">
        <v>2539</v>
      </c>
      <c r="M1983" s="2" t="s">
        <v>2537</v>
      </c>
    </row>
    <row r="1984" spans="1:13" x14ac:dyDescent="0.3">
      <c r="A1984" s="1">
        <v>45831</v>
      </c>
      <c r="B1984" s="2" t="s">
        <v>2626</v>
      </c>
      <c r="C1984" s="2" t="s">
        <v>2527</v>
      </c>
      <c r="D1984" s="2" t="s">
        <v>2528</v>
      </c>
      <c r="E1984" s="2" t="s">
        <v>2529</v>
      </c>
      <c r="F1984" s="3">
        <v>158664</v>
      </c>
      <c r="G1984" s="3">
        <v>8954</v>
      </c>
      <c r="H1984" s="3">
        <v>390</v>
      </c>
      <c r="I1984" s="4">
        <v>10101.15</v>
      </c>
      <c r="J1984" s="4">
        <v>79675.42</v>
      </c>
      <c r="K1984" s="3">
        <v>335</v>
      </c>
      <c r="L1984" s="2" t="s">
        <v>2536</v>
      </c>
      <c r="M1984" s="2" t="s">
        <v>2519</v>
      </c>
    </row>
    <row r="1985" spans="1:13" x14ac:dyDescent="0.3">
      <c r="A1985" s="1">
        <v>45922</v>
      </c>
      <c r="B1985" s="2" t="s">
        <v>2623</v>
      </c>
      <c r="C1985" s="2" t="s">
        <v>2543</v>
      </c>
      <c r="D1985" s="2" t="s">
        <v>2528</v>
      </c>
      <c r="E1985" s="2" t="s">
        <v>2529</v>
      </c>
      <c r="F1985" s="3">
        <v>145672</v>
      </c>
      <c r="G1985" s="3">
        <v>3955</v>
      </c>
      <c r="H1985" s="3">
        <v>293</v>
      </c>
      <c r="I1985" s="4">
        <v>868.49</v>
      </c>
      <c r="J1985" s="4">
        <v>24625.15</v>
      </c>
      <c r="K1985" s="3">
        <v>173</v>
      </c>
      <c r="L1985" s="2" t="s">
        <v>2523</v>
      </c>
      <c r="M1985" s="2" t="s">
        <v>2524</v>
      </c>
    </row>
    <row r="1986" spans="1:13" x14ac:dyDescent="0.3">
      <c r="A1986" s="1">
        <v>45796</v>
      </c>
      <c r="B1986" s="2" t="s">
        <v>2634</v>
      </c>
      <c r="C1986" s="2" t="s">
        <v>2521</v>
      </c>
      <c r="D1986" s="2" t="s">
        <v>2528</v>
      </c>
      <c r="E1986" s="2" t="s">
        <v>2517</v>
      </c>
      <c r="F1986" s="3">
        <v>154863</v>
      </c>
      <c r="G1986" s="3">
        <v>1232</v>
      </c>
      <c r="H1986" s="3">
        <v>169</v>
      </c>
      <c r="I1986" s="4">
        <v>1640.22</v>
      </c>
      <c r="J1986" s="4">
        <v>11001.19</v>
      </c>
      <c r="K1986" s="3">
        <v>111</v>
      </c>
      <c r="L1986" s="2" t="s">
        <v>2539</v>
      </c>
      <c r="M1986" s="2" t="s">
        <v>2519</v>
      </c>
    </row>
    <row r="1987" spans="1:13" x14ac:dyDescent="0.3">
      <c r="A1987" s="1">
        <v>45749</v>
      </c>
      <c r="B1987" s="2" t="s">
        <v>2631</v>
      </c>
      <c r="C1987" s="2" t="s">
        <v>2645</v>
      </c>
      <c r="D1987" s="2" t="s">
        <v>2516</v>
      </c>
      <c r="E1987" s="2" t="s">
        <v>2517</v>
      </c>
      <c r="F1987" s="3">
        <v>87557</v>
      </c>
      <c r="G1987" s="3">
        <v>5927</v>
      </c>
      <c r="H1987" s="3">
        <v>583</v>
      </c>
      <c r="I1987" s="4">
        <v>7246.65</v>
      </c>
      <c r="J1987" s="4">
        <v>60482.09</v>
      </c>
      <c r="K1987" s="3">
        <v>442</v>
      </c>
      <c r="L1987" s="2" t="s">
        <v>2539</v>
      </c>
      <c r="M1987" s="2" t="s">
        <v>2526</v>
      </c>
    </row>
    <row r="1988" spans="1:13" x14ac:dyDescent="0.3">
      <c r="A1988" s="1">
        <v>45846</v>
      </c>
      <c r="B1988" s="2" t="s">
        <v>2618</v>
      </c>
      <c r="C1988" s="2" t="s">
        <v>2533</v>
      </c>
      <c r="D1988" s="2" t="s">
        <v>2528</v>
      </c>
      <c r="E1988" s="2" t="s">
        <v>2529</v>
      </c>
      <c r="F1988" s="3">
        <v>92895</v>
      </c>
      <c r="G1988" s="3">
        <v>2864</v>
      </c>
      <c r="H1988" s="3">
        <v>284</v>
      </c>
      <c r="I1988" s="4">
        <v>1340.52</v>
      </c>
      <c r="J1988" s="4">
        <v>37549.67</v>
      </c>
      <c r="K1988" s="3">
        <v>144</v>
      </c>
      <c r="L1988" s="2" t="s">
        <v>2523</v>
      </c>
      <c r="M1988" s="2" t="s">
        <v>2524</v>
      </c>
    </row>
    <row r="1989" spans="1:13" x14ac:dyDescent="0.3">
      <c r="A1989" s="1">
        <v>45863</v>
      </c>
      <c r="B1989" s="2" t="s">
        <v>2620</v>
      </c>
      <c r="C1989" s="2" t="s">
        <v>2541</v>
      </c>
      <c r="D1989" s="2" t="s">
        <v>2528</v>
      </c>
      <c r="E1989" s="2" t="s">
        <v>2517</v>
      </c>
      <c r="F1989" s="3">
        <v>170831</v>
      </c>
      <c r="G1989" s="3">
        <v>1193</v>
      </c>
      <c r="H1989" s="3">
        <v>142</v>
      </c>
      <c r="I1989" s="4">
        <v>2091.65</v>
      </c>
      <c r="J1989" s="4">
        <v>13203.92</v>
      </c>
      <c r="K1989" s="3">
        <v>85</v>
      </c>
      <c r="L1989" s="2" t="s">
        <v>2539</v>
      </c>
      <c r="M1989" s="2" t="s">
        <v>2526</v>
      </c>
    </row>
    <row r="1990" spans="1:13" x14ac:dyDescent="0.3">
      <c r="A1990" s="1">
        <v>45661</v>
      </c>
      <c r="B1990" s="2" t="s">
        <v>2616</v>
      </c>
      <c r="C1990" s="2" t="s">
        <v>2527</v>
      </c>
      <c r="D1990" s="2" t="s">
        <v>2525</v>
      </c>
      <c r="E1990" s="2" t="s">
        <v>2529</v>
      </c>
      <c r="F1990" s="3">
        <v>108607</v>
      </c>
      <c r="G1990" s="3">
        <v>9364</v>
      </c>
      <c r="H1990" s="3">
        <v>1164</v>
      </c>
      <c r="I1990" s="4">
        <v>2454.04</v>
      </c>
      <c r="J1990" s="4">
        <v>243444.23</v>
      </c>
      <c r="K1990" s="3">
        <v>1014</v>
      </c>
      <c r="L1990" s="2" t="s">
        <v>2539</v>
      </c>
      <c r="M1990" s="2" t="s">
        <v>2524</v>
      </c>
    </row>
    <row r="1991" spans="1:13" x14ac:dyDescent="0.3">
      <c r="A1991" s="1">
        <v>45753</v>
      </c>
      <c r="B1991" s="2" t="s">
        <v>2619</v>
      </c>
      <c r="C1991" s="2" t="s">
        <v>2541</v>
      </c>
      <c r="D1991" s="2" t="s">
        <v>2522</v>
      </c>
      <c r="E1991" s="2" t="s">
        <v>2517</v>
      </c>
      <c r="F1991" s="3">
        <v>103924</v>
      </c>
      <c r="G1991" s="3">
        <v>7435</v>
      </c>
      <c r="H1991" s="3">
        <v>748</v>
      </c>
      <c r="I1991" s="4">
        <v>10652.13</v>
      </c>
      <c r="J1991" s="4">
        <v>91140.77</v>
      </c>
      <c r="K1991" s="3">
        <v>638</v>
      </c>
      <c r="L1991" s="2" t="s">
        <v>2539</v>
      </c>
      <c r="M1991" s="2" t="s">
        <v>2546</v>
      </c>
    </row>
    <row r="1992" spans="1:13" x14ac:dyDescent="0.3">
      <c r="A1992" s="1">
        <v>45984</v>
      </c>
      <c r="B1992" s="2" t="s">
        <v>2634</v>
      </c>
      <c r="C1992" s="2" t="s">
        <v>2515</v>
      </c>
      <c r="D1992" s="2" t="s">
        <v>2528</v>
      </c>
      <c r="E1992" s="2" t="s">
        <v>2529</v>
      </c>
      <c r="F1992" s="3">
        <v>135532</v>
      </c>
      <c r="G1992" s="3">
        <v>10997</v>
      </c>
      <c r="H1992" s="3">
        <v>498</v>
      </c>
      <c r="I1992" s="4">
        <v>22907.99</v>
      </c>
      <c r="J1992" s="4">
        <v>88606.06</v>
      </c>
      <c r="K1992" s="3">
        <v>447</v>
      </c>
      <c r="L1992" s="2" t="s">
        <v>2539</v>
      </c>
      <c r="M1992" s="2" t="s">
        <v>2537</v>
      </c>
    </row>
    <row r="1993" spans="1:13" x14ac:dyDescent="0.3">
      <c r="A1993" s="1">
        <v>45871</v>
      </c>
      <c r="B1993" s="2" t="s">
        <v>2616</v>
      </c>
      <c r="C1993" s="2" t="s">
        <v>2543</v>
      </c>
      <c r="D1993" s="2" t="s">
        <v>2525</v>
      </c>
      <c r="E1993" s="2" t="s">
        <v>2517</v>
      </c>
      <c r="F1993" s="3">
        <v>169741</v>
      </c>
      <c r="G1993" s="3">
        <v>1978</v>
      </c>
      <c r="H1993" s="3">
        <v>259</v>
      </c>
      <c r="I1993" s="4">
        <v>435.36</v>
      </c>
      <c r="J1993" s="4">
        <v>23300.73</v>
      </c>
      <c r="K1993" s="3">
        <v>158</v>
      </c>
      <c r="L1993" s="2" t="s">
        <v>2523</v>
      </c>
      <c r="M1993" s="2" t="s">
        <v>2519</v>
      </c>
    </row>
    <row r="1994" spans="1:13" x14ac:dyDescent="0.3">
      <c r="A1994" s="1">
        <v>45873</v>
      </c>
      <c r="B1994" s="2" t="s">
        <v>2643</v>
      </c>
      <c r="C1994" s="2" t="s">
        <v>2521</v>
      </c>
      <c r="D1994" s="2" t="s">
        <v>2528</v>
      </c>
      <c r="E1994" s="2" t="s">
        <v>2517</v>
      </c>
      <c r="F1994" s="3">
        <v>5815</v>
      </c>
      <c r="G1994" s="3">
        <v>379</v>
      </c>
      <c r="H1994" s="3">
        <v>19</v>
      </c>
      <c r="I1994" s="4">
        <v>638.59</v>
      </c>
      <c r="J1994" s="4">
        <v>354.26</v>
      </c>
      <c r="K1994" s="3">
        <v>16</v>
      </c>
      <c r="L1994" s="2" t="s">
        <v>2518</v>
      </c>
      <c r="M1994" s="2" t="s">
        <v>2537</v>
      </c>
    </row>
    <row r="1995" spans="1:13" x14ac:dyDescent="0.3">
      <c r="A1995" s="1">
        <v>45909</v>
      </c>
      <c r="B1995" s="2" t="s">
        <v>2640</v>
      </c>
      <c r="C1995" s="2" t="s">
        <v>2527</v>
      </c>
      <c r="D1995" s="2" t="s">
        <v>2525</v>
      </c>
      <c r="E1995" s="2" t="s">
        <v>2517</v>
      </c>
      <c r="F1995" s="3">
        <v>91403</v>
      </c>
      <c r="G1995" s="3">
        <v>7958</v>
      </c>
      <c r="H1995" s="3">
        <v>355</v>
      </c>
      <c r="I1995" s="4">
        <v>5697.89</v>
      </c>
      <c r="J1995" s="4">
        <v>70001.48</v>
      </c>
      <c r="K1995" s="3">
        <v>164</v>
      </c>
      <c r="L1995" s="2" t="s">
        <v>2518</v>
      </c>
      <c r="M1995" s="2" t="s">
        <v>2546</v>
      </c>
    </row>
    <row r="1996" spans="1:13" x14ac:dyDescent="0.3">
      <c r="A1996" s="1">
        <v>45899</v>
      </c>
      <c r="B1996" s="2" t="s">
        <v>2625</v>
      </c>
      <c r="C1996" s="2" t="s">
        <v>2521</v>
      </c>
      <c r="D1996" s="2" t="s">
        <v>2528</v>
      </c>
      <c r="E1996" s="2" t="s">
        <v>2517</v>
      </c>
      <c r="F1996" s="3">
        <v>12963</v>
      </c>
      <c r="G1996" s="3">
        <v>1045</v>
      </c>
      <c r="H1996" s="3">
        <v>9</v>
      </c>
      <c r="I1996" s="4">
        <v>347.6</v>
      </c>
      <c r="J1996" s="4">
        <v>478.11</v>
      </c>
      <c r="K1996" s="3">
        <v>5</v>
      </c>
      <c r="L1996" s="2" t="s">
        <v>2518</v>
      </c>
      <c r="M1996" s="2" t="s">
        <v>2546</v>
      </c>
    </row>
    <row r="1997" spans="1:13" x14ac:dyDescent="0.3">
      <c r="A1997" s="1">
        <v>45684</v>
      </c>
      <c r="B1997" s="2" t="s">
        <v>2616</v>
      </c>
      <c r="C1997" s="2" t="s">
        <v>2543</v>
      </c>
      <c r="D1997" s="2" t="s">
        <v>2525</v>
      </c>
      <c r="E1997" s="2" t="s">
        <v>2529</v>
      </c>
      <c r="F1997" s="3">
        <v>16358</v>
      </c>
      <c r="G1997" s="3">
        <v>216</v>
      </c>
      <c r="H1997" s="3">
        <v>2</v>
      </c>
      <c r="I1997" s="4">
        <v>335.2</v>
      </c>
      <c r="J1997" s="4">
        <v>417.2</v>
      </c>
      <c r="K1997" s="3">
        <v>1</v>
      </c>
      <c r="L1997" s="2" t="s">
        <v>2518</v>
      </c>
      <c r="M1997" s="2" t="s">
        <v>2537</v>
      </c>
    </row>
    <row r="1998" spans="1:13" x14ac:dyDescent="0.3">
      <c r="A1998" s="1">
        <v>45906</v>
      </c>
      <c r="B1998" s="2" t="s">
        <v>2630</v>
      </c>
      <c r="C1998" s="2" t="s">
        <v>2543</v>
      </c>
      <c r="D1998" s="2" t="s">
        <v>2528</v>
      </c>
      <c r="E1998" s="2" t="s">
        <v>2517</v>
      </c>
      <c r="F1998" s="3">
        <v>89532</v>
      </c>
      <c r="G1998" s="3">
        <v>5359</v>
      </c>
      <c r="H1998" s="3">
        <v>470</v>
      </c>
      <c r="I1998" s="4">
        <v>2317.08</v>
      </c>
      <c r="J1998" s="4">
        <v>24221.58</v>
      </c>
      <c r="K1998" s="3">
        <v>315</v>
      </c>
      <c r="L1998" s="2" t="s">
        <v>2536</v>
      </c>
      <c r="M1998" s="2" t="s">
        <v>2524</v>
      </c>
    </row>
    <row r="1999" spans="1:13" x14ac:dyDescent="0.3">
      <c r="A1999" s="1">
        <v>45818</v>
      </c>
      <c r="B1999" s="2" t="s">
        <v>2642</v>
      </c>
      <c r="C1999" s="2" t="s">
        <v>2533</v>
      </c>
      <c r="D1999" s="2" t="s">
        <v>2525</v>
      </c>
      <c r="E1999" s="2" t="s">
        <v>2517</v>
      </c>
      <c r="F1999" s="3">
        <v>94815</v>
      </c>
      <c r="G1999" s="3">
        <v>7093</v>
      </c>
      <c r="H1999" s="3">
        <v>671</v>
      </c>
      <c r="I1999" s="4">
        <v>13002.69</v>
      </c>
      <c r="J1999" s="4">
        <v>113993.99</v>
      </c>
      <c r="K1999" s="3">
        <v>420</v>
      </c>
      <c r="L1999" s="2" t="s">
        <v>2536</v>
      </c>
      <c r="M1999" s="2" t="s">
        <v>2537</v>
      </c>
    </row>
    <row r="2000" spans="1:13" x14ac:dyDescent="0.3">
      <c r="A2000" s="1">
        <v>45741</v>
      </c>
      <c r="B2000" s="2" t="s">
        <v>2627</v>
      </c>
      <c r="C2000" s="2" t="s">
        <v>2533</v>
      </c>
      <c r="D2000" s="2" t="s">
        <v>2528</v>
      </c>
      <c r="E2000" s="2" t="s">
        <v>2517</v>
      </c>
      <c r="F2000" s="3">
        <v>149611</v>
      </c>
      <c r="G2000" s="3">
        <v>5200</v>
      </c>
      <c r="H2000" s="3">
        <v>605</v>
      </c>
      <c r="I2000" s="4">
        <v>2523.1799999999998</v>
      </c>
      <c r="J2000" s="4">
        <v>85392.85</v>
      </c>
      <c r="K2000" s="3">
        <v>404</v>
      </c>
      <c r="L2000" s="2" t="s">
        <v>2539</v>
      </c>
      <c r="M2000" s="2" t="s">
        <v>2537</v>
      </c>
    </row>
    <row r="2001" spans="1:13" x14ac:dyDescent="0.3">
      <c r="A2001" s="1">
        <v>45823</v>
      </c>
      <c r="B2001" s="2" t="s">
        <v>2630</v>
      </c>
      <c r="C2001" s="2" t="s">
        <v>2533</v>
      </c>
      <c r="D2001" s="2" t="s">
        <v>2525</v>
      </c>
      <c r="E2001" s="2" t="s">
        <v>2517</v>
      </c>
      <c r="F2001" s="3">
        <v>52248</v>
      </c>
      <c r="G2001" s="3">
        <v>2491</v>
      </c>
      <c r="H2001" s="3">
        <v>316</v>
      </c>
      <c r="I2001" s="4">
        <v>2233.5300000000002</v>
      </c>
      <c r="J2001" s="4">
        <v>10890.87</v>
      </c>
      <c r="K2001" s="3">
        <v>168</v>
      </c>
      <c r="L2001" s="2" t="s">
        <v>2539</v>
      </c>
      <c r="M2001" s="2" t="s">
        <v>2524</v>
      </c>
    </row>
    <row r="2002" spans="1:13" x14ac:dyDescent="0.3">
      <c r="A2002" s="1">
        <v>45841</v>
      </c>
      <c r="B2002" s="2" t="s">
        <v>2619</v>
      </c>
      <c r="C2002" s="2" t="s">
        <v>2541</v>
      </c>
      <c r="D2002" s="2" t="s">
        <v>2522</v>
      </c>
      <c r="E2002" s="2" t="s">
        <v>2517</v>
      </c>
      <c r="F2002" s="3">
        <v>86901</v>
      </c>
      <c r="G2002" s="3">
        <v>1804</v>
      </c>
      <c r="H2002" s="3">
        <v>38</v>
      </c>
      <c r="I2002" s="4">
        <v>403.23</v>
      </c>
      <c r="J2002" s="4">
        <v>7719.65</v>
      </c>
      <c r="K2002" s="3">
        <v>22</v>
      </c>
      <c r="L2002" s="2" t="s">
        <v>2539</v>
      </c>
      <c r="M2002" s="2" t="s">
        <v>2537</v>
      </c>
    </row>
    <row r="2003" spans="1:13" x14ac:dyDescent="0.3">
      <c r="A2003" s="1">
        <v>45768</v>
      </c>
      <c r="B2003" s="2" t="s">
        <v>2629</v>
      </c>
      <c r="C2003" s="2" t="s">
        <v>2541</v>
      </c>
      <c r="D2003" s="2" t="s">
        <v>2522</v>
      </c>
      <c r="E2003" s="2" t="s">
        <v>2529</v>
      </c>
      <c r="F2003" s="3">
        <v>5619</v>
      </c>
      <c r="G2003" s="3">
        <v>169</v>
      </c>
      <c r="H2003" s="3">
        <v>2</v>
      </c>
      <c r="I2003" s="4">
        <v>256.89999999999998</v>
      </c>
      <c r="J2003" s="4">
        <v>217.56</v>
      </c>
      <c r="K2003" s="3">
        <v>1</v>
      </c>
      <c r="L2003" s="2" t="s">
        <v>2536</v>
      </c>
      <c r="M2003" s="2" t="s">
        <v>2526</v>
      </c>
    </row>
    <row r="2004" spans="1:13" x14ac:dyDescent="0.3">
      <c r="A2004" s="1">
        <v>45809</v>
      </c>
      <c r="B2004" s="2" t="s">
        <v>2627</v>
      </c>
      <c r="C2004" s="2" t="s">
        <v>2533</v>
      </c>
      <c r="D2004" s="2" t="s">
        <v>2528</v>
      </c>
      <c r="E2004" s="2" t="s">
        <v>2529</v>
      </c>
      <c r="F2004" s="3">
        <v>56113</v>
      </c>
      <c r="G2004" s="3">
        <v>4807</v>
      </c>
      <c r="H2004" s="3">
        <v>109</v>
      </c>
      <c r="I2004" s="4">
        <v>1766.01</v>
      </c>
      <c r="J2004" s="4">
        <v>7812.74</v>
      </c>
      <c r="K2004" s="3">
        <v>57</v>
      </c>
      <c r="L2004" s="2" t="s">
        <v>2536</v>
      </c>
      <c r="M2004" s="2" t="s">
        <v>2526</v>
      </c>
    </row>
    <row r="2005" spans="1:13" x14ac:dyDescent="0.3">
      <c r="A2005" s="1">
        <v>45707</v>
      </c>
      <c r="B2005" s="2" t="s">
        <v>2635</v>
      </c>
      <c r="C2005" s="2" t="s">
        <v>2527</v>
      </c>
      <c r="D2005" s="2" t="s">
        <v>2531</v>
      </c>
      <c r="E2005" s="2" t="s">
        <v>2517</v>
      </c>
      <c r="F2005" s="3">
        <v>144839</v>
      </c>
      <c r="G2005" s="3">
        <v>3570</v>
      </c>
      <c r="H2005" s="3">
        <v>341</v>
      </c>
      <c r="I2005" s="4">
        <v>5069.47</v>
      </c>
      <c r="J2005" s="4">
        <v>63812.69</v>
      </c>
      <c r="K2005" s="3">
        <v>179</v>
      </c>
      <c r="L2005" s="2" t="s">
        <v>2523</v>
      </c>
      <c r="M2005" s="2" t="s">
        <v>2524</v>
      </c>
    </row>
    <row r="2006" spans="1:13" x14ac:dyDescent="0.3">
      <c r="A2006" s="1">
        <v>45824</v>
      </c>
      <c r="B2006" s="2" t="s">
        <v>2616</v>
      </c>
      <c r="C2006" s="2" t="s">
        <v>2521</v>
      </c>
      <c r="D2006" s="2" t="s">
        <v>2522</v>
      </c>
      <c r="E2006" s="2" t="s">
        <v>2529</v>
      </c>
      <c r="F2006" s="3">
        <v>52422</v>
      </c>
      <c r="G2006" s="3">
        <v>2784</v>
      </c>
      <c r="H2006" s="3">
        <v>82</v>
      </c>
      <c r="I2006" s="4">
        <v>3392.73</v>
      </c>
      <c r="J2006" s="4">
        <v>7248.37</v>
      </c>
      <c r="K2006" s="3">
        <v>56</v>
      </c>
      <c r="L2006" s="2" t="s">
        <v>2539</v>
      </c>
      <c r="M2006" s="2" t="s">
        <v>2526</v>
      </c>
    </row>
    <row r="2007" spans="1:13" x14ac:dyDescent="0.3">
      <c r="A2007" s="1">
        <v>45734</v>
      </c>
      <c r="B2007" s="2" t="s">
        <v>2635</v>
      </c>
      <c r="C2007" s="2" t="s">
        <v>2543</v>
      </c>
      <c r="D2007" s="2" t="s">
        <v>2525</v>
      </c>
      <c r="E2007" s="2" t="s">
        <v>2529</v>
      </c>
      <c r="F2007" s="3">
        <v>138698</v>
      </c>
      <c r="G2007" s="3">
        <v>4733</v>
      </c>
      <c r="H2007" s="3">
        <v>538</v>
      </c>
      <c r="I2007" s="4">
        <v>4525.8900000000003</v>
      </c>
      <c r="J2007" s="4">
        <v>35285.53</v>
      </c>
      <c r="K2007" s="3">
        <v>373</v>
      </c>
      <c r="L2007" s="2" t="s">
        <v>2518</v>
      </c>
      <c r="M2007" s="2" t="s">
        <v>2537</v>
      </c>
    </row>
    <row r="2008" spans="1:13" x14ac:dyDescent="0.3">
      <c r="A2008" s="1">
        <v>45918</v>
      </c>
      <c r="B2008" s="2" t="s">
        <v>2633</v>
      </c>
      <c r="C2008" s="2" t="s">
        <v>2515</v>
      </c>
      <c r="D2008" s="2" t="s">
        <v>2528</v>
      </c>
      <c r="E2008" s="2" t="s">
        <v>2517</v>
      </c>
      <c r="F2008" s="3">
        <v>114463</v>
      </c>
      <c r="G2008" s="3">
        <v>2867</v>
      </c>
      <c r="H2008" s="3">
        <v>117</v>
      </c>
      <c r="I2008" s="4">
        <v>1098.54</v>
      </c>
      <c r="J2008" s="4">
        <v>16731.13</v>
      </c>
      <c r="K2008" s="3">
        <v>61</v>
      </c>
      <c r="L2008" s="2" t="s">
        <v>2539</v>
      </c>
      <c r="M2008" s="2" t="s">
        <v>2519</v>
      </c>
    </row>
    <row r="2009" spans="1:13" x14ac:dyDescent="0.3">
      <c r="A2009" s="1">
        <v>45917</v>
      </c>
      <c r="B2009" s="2" t="s">
        <v>2641</v>
      </c>
      <c r="C2009" s="2" t="s">
        <v>2541</v>
      </c>
      <c r="D2009" s="2" t="s">
        <v>2528</v>
      </c>
      <c r="E2009" s="2" t="s">
        <v>2517</v>
      </c>
      <c r="F2009" s="3">
        <v>128688</v>
      </c>
      <c r="G2009" s="3">
        <v>7011</v>
      </c>
      <c r="H2009" s="3">
        <v>864</v>
      </c>
      <c r="I2009" s="4">
        <v>10793.34</v>
      </c>
      <c r="J2009" s="4">
        <v>139922.59</v>
      </c>
      <c r="K2009" s="3">
        <v>562</v>
      </c>
      <c r="L2009" s="2" t="s">
        <v>2539</v>
      </c>
      <c r="M2009" s="2" t="s">
        <v>2537</v>
      </c>
    </row>
    <row r="2010" spans="1:13" x14ac:dyDescent="0.3">
      <c r="A2010" s="1">
        <v>45681</v>
      </c>
      <c r="B2010" s="2" t="s">
        <v>2642</v>
      </c>
      <c r="C2010" s="2" t="s">
        <v>2533</v>
      </c>
      <c r="D2010" s="2" t="s">
        <v>2516</v>
      </c>
      <c r="E2010" s="2" t="s">
        <v>2517</v>
      </c>
      <c r="F2010" s="3">
        <v>76646</v>
      </c>
      <c r="G2010" s="3">
        <v>5658</v>
      </c>
      <c r="H2010" s="3">
        <v>491</v>
      </c>
      <c r="I2010" s="4">
        <v>11109.67</v>
      </c>
      <c r="J2010" s="4">
        <v>30476.62</v>
      </c>
      <c r="K2010" s="3">
        <v>382</v>
      </c>
      <c r="L2010" s="2" t="s">
        <v>2539</v>
      </c>
      <c r="M2010" s="2" t="s">
        <v>2524</v>
      </c>
    </row>
    <row r="2011" spans="1:13" x14ac:dyDescent="0.3">
      <c r="A2011" s="1">
        <v>45799</v>
      </c>
      <c r="B2011" s="2" t="s">
        <v>2637</v>
      </c>
      <c r="C2011" s="2" t="s">
        <v>2541</v>
      </c>
      <c r="D2011" s="2" t="s">
        <v>2528</v>
      </c>
      <c r="E2011" s="2" t="s">
        <v>2529</v>
      </c>
      <c r="F2011" s="3">
        <v>89483</v>
      </c>
      <c r="G2011" s="3">
        <v>4811</v>
      </c>
      <c r="H2011" s="3">
        <v>546</v>
      </c>
      <c r="I2011" s="4">
        <v>8003.55</v>
      </c>
      <c r="J2011" s="4">
        <v>101011.36</v>
      </c>
      <c r="K2011" s="3">
        <v>332</v>
      </c>
      <c r="L2011" s="2" t="s">
        <v>2518</v>
      </c>
      <c r="M2011" s="2" t="s">
        <v>2526</v>
      </c>
    </row>
    <row r="2012" spans="1:13" x14ac:dyDescent="0.3">
      <c r="A2012" s="1">
        <v>45797</v>
      </c>
      <c r="B2012" s="2" t="s">
        <v>2624</v>
      </c>
      <c r="C2012" s="2" t="s">
        <v>2527</v>
      </c>
      <c r="D2012" s="2" t="s">
        <v>2528</v>
      </c>
      <c r="E2012" s="2" t="s">
        <v>2529</v>
      </c>
      <c r="F2012" s="3">
        <v>96853</v>
      </c>
      <c r="G2012" s="3">
        <v>6773</v>
      </c>
      <c r="H2012" s="3">
        <v>671</v>
      </c>
      <c r="I2012" s="4">
        <v>8322.19</v>
      </c>
      <c r="J2012" s="4">
        <v>72995.92</v>
      </c>
      <c r="K2012" s="3">
        <v>346</v>
      </c>
      <c r="L2012" s="2" t="s">
        <v>2539</v>
      </c>
      <c r="M2012" s="2" t="s">
        <v>2546</v>
      </c>
    </row>
    <row r="2013" spans="1:13" x14ac:dyDescent="0.3">
      <c r="A2013" s="1">
        <v>45815</v>
      </c>
      <c r="B2013" s="2" t="s">
        <v>2635</v>
      </c>
      <c r="C2013" s="2" t="s">
        <v>2533</v>
      </c>
      <c r="D2013" s="2" t="s">
        <v>2528</v>
      </c>
      <c r="E2013" s="2" t="s">
        <v>2534</v>
      </c>
      <c r="F2013" s="3">
        <v>149538</v>
      </c>
      <c r="G2013" s="3">
        <v>3411</v>
      </c>
      <c r="H2013" s="3">
        <v>76</v>
      </c>
      <c r="I2013" s="4">
        <v>987.41</v>
      </c>
      <c r="J2013" s="4">
        <v>14669.32</v>
      </c>
      <c r="K2013" s="3">
        <v>53</v>
      </c>
      <c r="L2013" s="2" t="s">
        <v>2536</v>
      </c>
      <c r="M2013" s="2" t="s">
        <v>2524</v>
      </c>
    </row>
    <row r="2014" spans="1:13" x14ac:dyDescent="0.3">
      <c r="A2014" s="1">
        <v>45714</v>
      </c>
      <c r="B2014" s="2" t="s">
        <v>2628</v>
      </c>
      <c r="C2014" s="2" t="s">
        <v>2527</v>
      </c>
      <c r="D2014" s="2" t="s">
        <v>2528</v>
      </c>
      <c r="E2014" s="2" t="s">
        <v>2517</v>
      </c>
      <c r="F2014" s="3">
        <v>148207</v>
      </c>
      <c r="G2014" s="3">
        <v>1289</v>
      </c>
      <c r="H2014" s="3">
        <v>95</v>
      </c>
      <c r="I2014" s="4">
        <v>1939.69</v>
      </c>
      <c r="J2014" s="4">
        <v>20368.64</v>
      </c>
      <c r="K2014" s="3">
        <v>51</v>
      </c>
      <c r="L2014" s="2" t="s">
        <v>2523</v>
      </c>
      <c r="M2014" s="2" t="s">
        <v>2537</v>
      </c>
    </row>
    <row r="2015" spans="1:13" x14ac:dyDescent="0.3">
      <c r="A2015" s="1">
        <v>45937</v>
      </c>
      <c r="B2015" s="2" t="s">
        <v>2626</v>
      </c>
      <c r="C2015" s="2" t="s">
        <v>2515</v>
      </c>
      <c r="D2015" s="2" t="s">
        <v>2522</v>
      </c>
      <c r="E2015" s="2" t="s">
        <v>2534</v>
      </c>
      <c r="F2015" s="3">
        <v>133884</v>
      </c>
      <c r="G2015" s="3">
        <v>8248</v>
      </c>
      <c r="H2015" s="3">
        <v>718</v>
      </c>
      <c r="I2015" s="4">
        <v>4588.47</v>
      </c>
      <c r="J2015" s="4">
        <v>46257.13</v>
      </c>
      <c r="K2015" s="3">
        <v>560</v>
      </c>
      <c r="L2015" s="2" t="s">
        <v>2539</v>
      </c>
      <c r="M2015" s="2" t="s">
        <v>2645</v>
      </c>
    </row>
    <row r="2016" spans="1:13" x14ac:dyDescent="0.3">
      <c r="A2016" s="1">
        <v>45702</v>
      </c>
      <c r="B2016" s="2" t="s">
        <v>2621</v>
      </c>
      <c r="C2016" s="2" t="s">
        <v>2533</v>
      </c>
      <c r="D2016" s="2" t="s">
        <v>2528</v>
      </c>
      <c r="E2016" s="2" t="s">
        <v>2517</v>
      </c>
      <c r="F2016" s="3">
        <v>23137</v>
      </c>
      <c r="G2016" s="3">
        <v>1346</v>
      </c>
      <c r="H2016" s="3">
        <v>7</v>
      </c>
      <c r="I2016" s="4">
        <v>1260.1199999999999</v>
      </c>
      <c r="J2016" s="4">
        <v>232.33</v>
      </c>
      <c r="K2016" s="3">
        <v>3</v>
      </c>
      <c r="L2016" s="2" t="s">
        <v>2523</v>
      </c>
      <c r="M2016" s="2" t="s">
        <v>2526</v>
      </c>
    </row>
    <row r="2017" spans="1:13" x14ac:dyDescent="0.3">
      <c r="A2017" s="1">
        <v>45660</v>
      </c>
      <c r="B2017" s="2" t="s">
        <v>2640</v>
      </c>
      <c r="C2017" s="2" t="s">
        <v>2541</v>
      </c>
      <c r="D2017" s="2" t="s">
        <v>2528</v>
      </c>
      <c r="E2017" s="2" t="s">
        <v>2529</v>
      </c>
      <c r="F2017" s="3">
        <v>157070</v>
      </c>
      <c r="G2017" s="3">
        <v>11262</v>
      </c>
      <c r="H2017" s="3">
        <v>348</v>
      </c>
      <c r="I2017" s="4">
        <v>6992.94</v>
      </c>
      <c r="J2017" s="4">
        <v>39010.839999999997</v>
      </c>
      <c r="K2017" s="3">
        <v>298</v>
      </c>
      <c r="L2017" s="2" t="s">
        <v>2536</v>
      </c>
      <c r="M2017" s="2" t="s">
        <v>2537</v>
      </c>
    </row>
    <row r="2018" spans="1:13" x14ac:dyDescent="0.3">
      <c r="A2018" s="1">
        <v>45842</v>
      </c>
      <c r="B2018" s="2" t="s">
        <v>2625</v>
      </c>
      <c r="C2018" s="2" t="s">
        <v>2543</v>
      </c>
      <c r="D2018" s="2" t="s">
        <v>2528</v>
      </c>
      <c r="E2018" s="2" t="s">
        <v>2529</v>
      </c>
      <c r="F2018" s="3">
        <v>136843</v>
      </c>
      <c r="G2018" s="3">
        <v>977</v>
      </c>
      <c r="H2018" s="3">
        <v>63</v>
      </c>
      <c r="I2018" s="4">
        <v>1782.55</v>
      </c>
      <c r="J2018" s="4">
        <v>4119.41</v>
      </c>
      <c r="K2018" s="3">
        <v>35</v>
      </c>
      <c r="L2018" s="2" t="s">
        <v>2536</v>
      </c>
      <c r="M2018" s="2" t="s">
        <v>2524</v>
      </c>
    </row>
    <row r="2019" spans="1:13" x14ac:dyDescent="0.3">
      <c r="A2019" s="1">
        <v>45931</v>
      </c>
      <c r="B2019" s="2" t="s">
        <v>2626</v>
      </c>
      <c r="C2019" s="2" t="s">
        <v>2521</v>
      </c>
      <c r="D2019" s="2" t="s">
        <v>2528</v>
      </c>
      <c r="E2019" s="2" t="s">
        <v>2517</v>
      </c>
      <c r="F2019" s="3">
        <v>30033</v>
      </c>
      <c r="G2019" s="3">
        <v>935</v>
      </c>
      <c r="H2019" s="3">
        <v>26</v>
      </c>
      <c r="I2019" s="4">
        <v>1781.31</v>
      </c>
      <c r="J2019" s="4">
        <v>2814.07</v>
      </c>
      <c r="K2019" s="3">
        <v>20</v>
      </c>
      <c r="L2019" s="2" t="s">
        <v>2539</v>
      </c>
      <c r="M2019" s="2" t="s">
        <v>2537</v>
      </c>
    </row>
    <row r="2020" spans="1:13" x14ac:dyDescent="0.3">
      <c r="A2020" s="1">
        <v>45952</v>
      </c>
      <c r="B2020" s="2" t="s">
        <v>2639</v>
      </c>
      <c r="C2020" s="2" t="s">
        <v>2527</v>
      </c>
      <c r="D2020" s="2" t="s">
        <v>2531</v>
      </c>
      <c r="E2020" s="2" t="s">
        <v>2517</v>
      </c>
      <c r="F2020" s="3">
        <v>23916</v>
      </c>
      <c r="G2020" s="3">
        <v>571</v>
      </c>
      <c r="H2020" s="3">
        <v>64</v>
      </c>
      <c r="I2020" s="4">
        <v>1133.04</v>
      </c>
      <c r="J2020" s="4">
        <v>7437.55</v>
      </c>
      <c r="K2020" s="3">
        <v>31</v>
      </c>
      <c r="L2020" s="2" t="s">
        <v>2518</v>
      </c>
      <c r="M2020" s="2" t="s">
        <v>2546</v>
      </c>
    </row>
    <row r="2021" spans="1:13" x14ac:dyDescent="0.3">
      <c r="A2021" s="1">
        <v>45846</v>
      </c>
      <c r="B2021" s="2" t="s">
        <v>2628</v>
      </c>
      <c r="C2021" s="2" t="s">
        <v>2515</v>
      </c>
      <c r="D2021" s="2" t="s">
        <v>2528</v>
      </c>
      <c r="E2021" s="2" t="s">
        <v>2529</v>
      </c>
      <c r="F2021" s="3">
        <v>99333</v>
      </c>
      <c r="G2021" s="3">
        <v>8399</v>
      </c>
      <c r="H2021" s="3">
        <v>1119</v>
      </c>
      <c r="I2021" s="4">
        <v>1811.11</v>
      </c>
      <c r="J2021" s="4">
        <v>165050.49</v>
      </c>
      <c r="K2021" s="3">
        <v>608</v>
      </c>
      <c r="L2021" s="2" t="s">
        <v>2518</v>
      </c>
      <c r="M2021" s="2" t="s">
        <v>2526</v>
      </c>
    </row>
    <row r="2022" spans="1:13" x14ac:dyDescent="0.3">
      <c r="A2022" s="1">
        <v>45805</v>
      </c>
      <c r="B2022" s="2" t="s">
        <v>2624</v>
      </c>
      <c r="C2022" s="2" t="s">
        <v>2521</v>
      </c>
      <c r="D2022" s="2" t="s">
        <v>2525</v>
      </c>
      <c r="E2022" s="2" t="s">
        <v>2529</v>
      </c>
      <c r="F2022" s="3">
        <v>157718</v>
      </c>
      <c r="G2022" s="3">
        <v>972</v>
      </c>
      <c r="H2022" s="3">
        <v>103</v>
      </c>
      <c r="I2022" s="4">
        <v>967.04</v>
      </c>
      <c r="J2022" s="4">
        <v>14268.76</v>
      </c>
      <c r="K2022" s="3">
        <v>85</v>
      </c>
      <c r="L2022" s="2" t="s">
        <v>2523</v>
      </c>
      <c r="M2022" s="2" t="s">
        <v>2519</v>
      </c>
    </row>
    <row r="2023" spans="1:13" x14ac:dyDescent="0.3">
      <c r="A2023" s="1">
        <v>45664</v>
      </c>
      <c r="B2023" s="2" t="s">
        <v>2632</v>
      </c>
      <c r="C2023" s="2" t="s">
        <v>2515</v>
      </c>
      <c r="D2023" s="2" t="s">
        <v>2516</v>
      </c>
      <c r="E2023" s="2" t="s">
        <v>2529</v>
      </c>
      <c r="F2023" s="3">
        <v>85402</v>
      </c>
      <c r="G2023" s="3">
        <v>2969</v>
      </c>
      <c r="H2023" s="3">
        <v>68</v>
      </c>
      <c r="I2023" s="4">
        <v>4421.04</v>
      </c>
      <c r="J2023" s="4">
        <v>5516.4</v>
      </c>
      <c r="K2023" s="3">
        <v>42</v>
      </c>
      <c r="L2023" s="2" t="s">
        <v>2523</v>
      </c>
      <c r="M2023" s="2" t="s">
        <v>2526</v>
      </c>
    </row>
    <row r="2024" spans="1:13" x14ac:dyDescent="0.3">
      <c r="A2024" s="1">
        <v>45753</v>
      </c>
      <c r="B2024" s="2" t="s">
        <v>2619</v>
      </c>
      <c r="C2024" s="2" t="s">
        <v>2533</v>
      </c>
      <c r="D2024" s="2" t="s">
        <v>2528</v>
      </c>
      <c r="E2024" s="2" t="s">
        <v>2517</v>
      </c>
      <c r="F2024" s="3">
        <v>105024</v>
      </c>
      <c r="G2024" s="3">
        <v>7938</v>
      </c>
      <c r="H2024" s="3">
        <v>743</v>
      </c>
      <c r="I2024" s="4">
        <v>12049.15</v>
      </c>
      <c r="J2024" s="4">
        <v>21658.99</v>
      </c>
      <c r="K2024" s="3">
        <v>581</v>
      </c>
      <c r="L2024" s="2" t="s">
        <v>2536</v>
      </c>
      <c r="M2024" s="2" t="s">
        <v>2526</v>
      </c>
    </row>
    <row r="2025" spans="1:13" x14ac:dyDescent="0.3">
      <c r="A2025" s="1">
        <v>45679</v>
      </c>
      <c r="B2025" s="2" t="s">
        <v>2627</v>
      </c>
      <c r="C2025" s="2" t="s">
        <v>2543</v>
      </c>
      <c r="D2025" s="2" t="s">
        <v>2522</v>
      </c>
      <c r="E2025" s="2" t="s">
        <v>2517</v>
      </c>
      <c r="F2025" s="3">
        <v>141873</v>
      </c>
      <c r="G2025" s="3">
        <v>747</v>
      </c>
      <c r="H2025" s="3">
        <v>64</v>
      </c>
      <c r="I2025" s="4">
        <v>1551.44</v>
      </c>
      <c r="J2025" s="4">
        <v>1965.82</v>
      </c>
      <c r="K2025" s="3">
        <v>52</v>
      </c>
      <c r="L2025" s="2" t="s">
        <v>2523</v>
      </c>
      <c r="M2025" s="2" t="s">
        <v>2524</v>
      </c>
    </row>
    <row r="2026" spans="1:13" x14ac:dyDescent="0.3">
      <c r="A2026" s="1">
        <v>45821</v>
      </c>
      <c r="B2026" s="2" t="s">
        <v>2644</v>
      </c>
      <c r="C2026" s="2" t="s">
        <v>2543</v>
      </c>
      <c r="D2026" s="2" t="s">
        <v>2516</v>
      </c>
      <c r="E2026" s="2" t="s">
        <v>2517</v>
      </c>
      <c r="F2026" s="3">
        <v>60042</v>
      </c>
      <c r="G2026" s="3">
        <v>3140</v>
      </c>
      <c r="H2026" s="3">
        <v>76</v>
      </c>
      <c r="I2026" s="4">
        <v>526.07000000000005</v>
      </c>
      <c r="J2026" s="4">
        <v>6186.28</v>
      </c>
      <c r="K2026" s="3">
        <v>43</v>
      </c>
      <c r="L2026" s="2" t="s">
        <v>2539</v>
      </c>
      <c r="M2026" s="2" t="s">
        <v>2537</v>
      </c>
    </row>
    <row r="2027" spans="1:13" x14ac:dyDescent="0.3">
      <c r="A2027" s="1">
        <v>45787</v>
      </c>
      <c r="B2027" s="2" t="s">
        <v>2642</v>
      </c>
      <c r="C2027" s="2" t="s">
        <v>2527</v>
      </c>
      <c r="D2027" s="2" t="s">
        <v>2522</v>
      </c>
      <c r="E2027" s="2" t="s">
        <v>2529</v>
      </c>
      <c r="F2027" s="3">
        <v>172625</v>
      </c>
      <c r="G2027" s="3">
        <v>10466</v>
      </c>
      <c r="H2027" s="3">
        <v>1123</v>
      </c>
      <c r="I2027" s="4">
        <v>10282.15</v>
      </c>
      <c r="J2027" s="4">
        <v>156284.4</v>
      </c>
      <c r="K2027" s="3">
        <v>509</v>
      </c>
      <c r="L2027" s="2" t="s">
        <v>2523</v>
      </c>
      <c r="M2027" s="2" t="s">
        <v>2546</v>
      </c>
    </row>
    <row r="2028" spans="1:13" x14ac:dyDescent="0.3">
      <c r="A2028" s="1">
        <v>45889</v>
      </c>
      <c r="B2028" s="2" t="s">
        <v>2639</v>
      </c>
      <c r="C2028" s="2" t="s">
        <v>2515</v>
      </c>
      <c r="D2028" s="2" t="s">
        <v>2528</v>
      </c>
      <c r="E2028" s="2" t="s">
        <v>2529</v>
      </c>
      <c r="F2028" s="3">
        <v>135344</v>
      </c>
      <c r="G2028" s="3">
        <v>2163</v>
      </c>
      <c r="H2028" s="3">
        <v>249</v>
      </c>
      <c r="I2028" s="4">
        <v>1550.05</v>
      </c>
      <c r="J2028" s="4">
        <v>27917.42</v>
      </c>
      <c r="K2028" s="3">
        <v>137</v>
      </c>
      <c r="L2028" s="2" t="s">
        <v>2536</v>
      </c>
      <c r="M2028" s="2" t="s">
        <v>2537</v>
      </c>
    </row>
    <row r="2029" spans="1:13" x14ac:dyDescent="0.3">
      <c r="A2029" s="1">
        <v>45685</v>
      </c>
      <c r="B2029" s="2" t="s">
        <v>2616</v>
      </c>
      <c r="C2029" s="2" t="s">
        <v>2521</v>
      </c>
      <c r="D2029" s="2" t="s">
        <v>2528</v>
      </c>
      <c r="E2029" s="2" t="s">
        <v>2529</v>
      </c>
      <c r="F2029" s="3">
        <v>136578</v>
      </c>
      <c r="G2029" s="3">
        <v>3889</v>
      </c>
      <c r="H2029" s="3">
        <v>23</v>
      </c>
      <c r="I2029" s="4">
        <v>3075.99</v>
      </c>
      <c r="J2029" s="4">
        <v>1865.58</v>
      </c>
      <c r="K2029" s="3">
        <v>20</v>
      </c>
      <c r="L2029" s="2" t="s">
        <v>2539</v>
      </c>
      <c r="M2029" s="2" t="s">
        <v>2519</v>
      </c>
    </row>
    <row r="2030" spans="1:13" x14ac:dyDescent="0.3">
      <c r="A2030" s="1">
        <v>45776</v>
      </c>
      <c r="B2030" s="2" t="s">
        <v>2635</v>
      </c>
      <c r="C2030" s="2" t="s">
        <v>2543</v>
      </c>
      <c r="D2030" s="2" t="s">
        <v>2525</v>
      </c>
      <c r="E2030" s="2" t="s">
        <v>2517</v>
      </c>
      <c r="F2030" s="3">
        <v>160262</v>
      </c>
      <c r="G2030" s="3">
        <v>14343</v>
      </c>
      <c r="H2030" s="3">
        <v>1612</v>
      </c>
      <c r="I2030" s="4">
        <v>25539.59</v>
      </c>
      <c r="J2030" s="4">
        <v>209416.14</v>
      </c>
      <c r="K2030" s="3">
        <v>1342</v>
      </c>
      <c r="L2030" s="2" t="s">
        <v>2523</v>
      </c>
      <c r="M2030" s="2" t="s">
        <v>2546</v>
      </c>
    </row>
    <row r="2031" spans="1:13" x14ac:dyDescent="0.3">
      <c r="A2031" s="1">
        <v>45966</v>
      </c>
      <c r="B2031" s="2" t="s">
        <v>2635</v>
      </c>
      <c r="C2031" s="2" t="s">
        <v>2515</v>
      </c>
      <c r="D2031" s="2" t="s">
        <v>2528</v>
      </c>
      <c r="E2031" s="2" t="s">
        <v>2529</v>
      </c>
      <c r="F2031" s="3">
        <v>110394</v>
      </c>
      <c r="G2031" s="3">
        <v>1522</v>
      </c>
      <c r="H2031" s="3">
        <v>145</v>
      </c>
      <c r="I2031" s="4">
        <v>729.85</v>
      </c>
      <c r="J2031" s="4">
        <v>20111.63</v>
      </c>
      <c r="K2031" s="3">
        <v>94</v>
      </c>
      <c r="L2031" s="2" t="s">
        <v>2523</v>
      </c>
      <c r="M2031" s="2" t="s">
        <v>2537</v>
      </c>
    </row>
    <row r="2032" spans="1:13" x14ac:dyDescent="0.3">
      <c r="A2032" s="1">
        <v>45663</v>
      </c>
      <c r="B2032" s="2" t="s">
        <v>2620</v>
      </c>
      <c r="C2032" s="2" t="s">
        <v>2541</v>
      </c>
      <c r="D2032" s="2" t="s">
        <v>2516</v>
      </c>
      <c r="E2032" s="2" t="s">
        <v>2529</v>
      </c>
      <c r="F2032" s="3">
        <v>48187</v>
      </c>
      <c r="G2032" s="3">
        <v>781</v>
      </c>
      <c r="H2032" s="3">
        <v>36</v>
      </c>
      <c r="I2032" s="4">
        <v>1310.85</v>
      </c>
      <c r="J2032" s="4">
        <v>5537.41</v>
      </c>
      <c r="K2032" s="3">
        <v>29</v>
      </c>
      <c r="L2032" s="2" t="s">
        <v>2536</v>
      </c>
      <c r="M2032" s="2" t="s">
        <v>2519</v>
      </c>
    </row>
    <row r="2033" spans="1:13" x14ac:dyDescent="0.3">
      <c r="A2033" s="1">
        <v>45983</v>
      </c>
      <c r="B2033" s="2" t="s">
        <v>2619</v>
      </c>
      <c r="C2033" s="2" t="s">
        <v>2541</v>
      </c>
      <c r="D2033" s="2" t="s">
        <v>2528</v>
      </c>
      <c r="E2033" s="2" t="s">
        <v>2529</v>
      </c>
      <c r="F2033" s="3">
        <v>110375</v>
      </c>
      <c r="G2033" s="3">
        <v>9777</v>
      </c>
      <c r="H2033" s="3">
        <v>973</v>
      </c>
      <c r="I2033" s="4">
        <v>7811.37</v>
      </c>
      <c r="J2033" s="4">
        <v>101825.04</v>
      </c>
      <c r="K2033" s="3">
        <v>481</v>
      </c>
      <c r="L2033" s="2" t="s">
        <v>2518</v>
      </c>
      <c r="M2033" s="2" t="s">
        <v>2546</v>
      </c>
    </row>
    <row r="2034" spans="1:13" x14ac:dyDescent="0.3">
      <c r="A2034" s="1">
        <v>45745</v>
      </c>
      <c r="B2034" s="2" t="s">
        <v>2634</v>
      </c>
      <c r="C2034" s="2" t="s">
        <v>2515</v>
      </c>
      <c r="D2034" s="2" t="s">
        <v>2528</v>
      </c>
      <c r="E2034" s="2" t="s">
        <v>2517</v>
      </c>
      <c r="F2034" s="3">
        <v>98563</v>
      </c>
      <c r="G2034" s="3">
        <v>2363</v>
      </c>
      <c r="H2034" s="3">
        <v>45</v>
      </c>
      <c r="I2034" s="4">
        <v>1123.02</v>
      </c>
      <c r="J2034" s="4">
        <v>5171.87</v>
      </c>
      <c r="K2034" s="3">
        <v>39</v>
      </c>
      <c r="L2034" s="2" t="s">
        <v>2518</v>
      </c>
      <c r="M2034" s="2" t="s">
        <v>2537</v>
      </c>
    </row>
    <row r="2035" spans="1:13" x14ac:dyDescent="0.3">
      <c r="A2035" s="1">
        <v>45721</v>
      </c>
      <c r="B2035" s="2" t="s">
        <v>2618</v>
      </c>
      <c r="C2035" s="2" t="s">
        <v>2515</v>
      </c>
      <c r="D2035" s="2" t="s">
        <v>2525</v>
      </c>
      <c r="E2035" s="2" t="s">
        <v>2529</v>
      </c>
      <c r="F2035" s="3">
        <v>14251</v>
      </c>
      <c r="G2035" s="3">
        <v>877</v>
      </c>
      <c r="H2035" s="3">
        <v>23</v>
      </c>
      <c r="I2035" s="4">
        <v>500.86</v>
      </c>
      <c r="J2035" s="4">
        <v>2852.2</v>
      </c>
      <c r="K2035" s="3">
        <v>13</v>
      </c>
      <c r="L2035" s="2" t="s">
        <v>2539</v>
      </c>
      <c r="M2035" s="2" t="s">
        <v>2546</v>
      </c>
    </row>
    <row r="2036" spans="1:13" x14ac:dyDescent="0.3">
      <c r="A2036" s="1">
        <v>45944</v>
      </c>
      <c r="B2036" s="2" t="s">
        <v>2634</v>
      </c>
      <c r="C2036" s="2" t="s">
        <v>2515</v>
      </c>
      <c r="D2036" s="2" t="s">
        <v>2528</v>
      </c>
      <c r="E2036" s="2" t="s">
        <v>2517</v>
      </c>
      <c r="F2036" s="3">
        <v>72561</v>
      </c>
      <c r="G2036" s="3">
        <v>5842</v>
      </c>
      <c r="H2036" s="3">
        <v>584</v>
      </c>
      <c r="I2036" s="4">
        <v>8074.8</v>
      </c>
      <c r="J2036" s="4">
        <v>48887.91</v>
      </c>
      <c r="K2036" s="3">
        <v>486</v>
      </c>
      <c r="L2036" s="2" t="s">
        <v>2536</v>
      </c>
      <c r="M2036" s="2" t="s">
        <v>2519</v>
      </c>
    </row>
    <row r="2037" spans="1:13" x14ac:dyDescent="0.3">
      <c r="A2037" s="1">
        <v>45730</v>
      </c>
      <c r="B2037" s="2" t="s">
        <v>2643</v>
      </c>
      <c r="C2037" s="2" t="s">
        <v>2533</v>
      </c>
      <c r="D2037" s="2" t="s">
        <v>2528</v>
      </c>
      <c r="E2037" s="2" t="s">
        <v>2529</v>
      </c>
      <c r="F2037" s="3">
        <v>117142</v>
      </c>
      <c r="G2037" s="3">
        <v>4804</v>
      </c>
      <c r="H2037" s="3">
        <v>41</v>
      </c>
      <c r="I2037" s="4">
        <v>4543.5</v>
      </c>
      <c r="J2037" s="4">
        <v>7046.53</v>
      </c>
      <c r="K2037" s="3">
        <v>31</v>
      </c>
      <c r="L2037" s="2" t="s">
        <v>2539</v>
      </c>
      <c r="M2037" s="2" t="s">
        <v>2537</v>
      </c>
    </row>
    <row r="2038" spans="1:13" x14ac:dyDescent="0.3">
      <c r="A2038" s="1">
        <v>45906</v>
      </c>
      <c r="B2038" s="2" t="s">
        <v>2638</v>
      </c>
      <c r="C2038" s="2" t="s">
        <v>2521</v>
      </c>
      <c r="D2038" s="2" t="s">
        <v>2528</v>
      </c>
      <c r="E2038" s="2" t="s">
        <v>2517</v>
      </c>
      <c r="F2038" s="3">
        <v>120381</v>
      </c>
      <c r="G2038" s="3">
        <v>5952</v>
      </c>
      <c r="H2038" s="3">
        <v>454</v>
      </c>
      <c r="I2038" s="4">
        <v>1920.71</v>
      </c>
      <c r="J2038" s="4">
        <v>99587.97</v>
      </c>
      <c r="K2038" s="3">
        <v>215</v>
      </c>
      <c r="L2038" s="2" t="s">
        <v>2523</v>
      </c>
      <c r="M2038" s="2" t="s">
        <v>2524</v>
      </c>
    </row>
    <row r="2039" spans="1:13" x14ac:dyDescent="0.3">
      <c r="A2039" s="1">
        <v>45716</v>
      </c>
      <c r="B2039" s="2" t="s">
        <v>2622</v>
      </c>
      <c r="C2039" s="2" t="s">
        <v>2527</v>
      </c>
      <c r="D2039" s="2" t="s">
        <v>2516</v>
      </c>
      <c r="E2039" s="2" t="s">
        <v>2517</v>
      </c>
      <c r="F2039" s="3">
        <v>41777</v>
      </c>
      <c r="G2039" s="3">
        <v>510</v>
      </c>
      <c r="H2039" s="3">
        <v>5</v>
      </c>
      <c r="I2039" s="4">
        <v>996.11</v>
      </c>
      <c r="J2039" s="4">
        <v>256.56</v>
      </c>
      <c r="K2039" s="3">
        <v>3</v>
      </c>
      <c r="L2039" s="2" t="s">
        <v>2523</v>
      </c>
      <c r="M2039" s="2" t="s">
        <v>2519</v>
      </c>
    </row>
    <row r="2040" spans="1:13" x14ac:dyDescent="0.3">
      <c r="A2040" s="1">
        <v>45915</v>
      </c>
      <c r="B2040" s="2" t="s">
        <v>2635</v>
      </c>
      <c r="C2040" s="2" t="s">
        <v>2541</v>
      </c>
      <c r="D2040" s="2" t="s">
        <v>2528</v>
      </c>
      <c r="E2040" s="2" t="s">
        <v>2529</v>
      </c>
      <c r="F2040" s="3">
        <v>115490</v>
      </c>
      <c r="G2040" s="3">
        <v>7724</v>
      </c>
      <c r="H2040" s="3">
        <v>99</v>
      </c>
      <c r="I2040" s="4">
        <v>1886.75</v>
      </c>
      <c r="J2040" s="4">
        <v>12835.39</v>
      </c>
      <c r="K2040" s="3">
        <v>47</v>
      </c>
      <c r="L2040" s="2" t="s">
        <v>2536</v>
      </c>
      <c r="M2040" s="2" t="s">
        <v>2537</v>
      </c>
    </row>
    <row r="2041" spans="1:13" x14ac:dyDescent="0.3">
      <c r="A2041" s="1">
        <v>45750</v>
      </c>
      <c r="B2041" s="2" t="s">
        <v>2637</v>
      </c>
      <c r="C2041" s="2" t="s">
        <v>2521</v>
      </c>
      <c r="D2041" s="2" t="s">
        <v>2516</v>
      </c>
      <c r="E2041" s="2" t="s">
        <v>2529</v>
      </c>
      <c r="F2041" s="3">
        <v>15715</v>
      </c>
      <c r="G2041" s="3">
        <v>1100</v>
      </c>
      <c r="H2041" s="3">
        <v>123</v>
      </c>
      <c r="I2041" s="4">
        <v>880.71</v>
      </c>
      <c r="J2041" s="4">
        <v>25665.72</v>
      </c>
      <c r="K2041" s="3">
        <v>108</v>
      </c>
      <c r="L2041" s="2" t="s">
        <v>2536</v>
      </c>
      <c r="M2041" s="2" t="s">
        <v>2537</v>
      </c>
    </row>
    <row r="2042" spans="1:13" x14ac:dyDescent="0.3">
      <c r="A2042" s="1">
        <v>45908</v>
      </c>
      <c r="B2042" s="2" t="s">
        <v>2631</v>
      </c>
      <c r="C2042" s="2" t="s">
        <v>2515</v>
      </c>
      <c r="D2042" s="2" t="s">
        <v>2531</v>
      </c>
      <c r="E2042" s="2" t="s">
        <v>2529</v>
      </c>
      <c r="F2042" s="3">
        <v>10911</v>
      </c>
      <c r="G2042" s="3">
        <v>934</v>
      </c>
      <c r="H2042" s="3">
        <v>51</v>
      </c>
      <c r="I2042" s="4">
        <v>1019.86</v>
      </c>
      <c r="J2042" s="4">
        <v>8869.98</v>
      </c>
      <c r="K2042" s="3">
        <v>36</v>
      </c>
      <c r="L2042" s="2" t="s">
        <v>2523</v>
      </c>
      <c r="M2042" s="2" t="s">
        <v>2524</v>
      </c>
    </row>
    <row r="2043" spans="1:13" x14ac:dyDescent="0.3">
      <c r="A2043" s="1">
        <v>45670</v>
      </c>
      <c r="B2043" s="2" t="s">
        <v>2625</v>
      </c>
      <c r="C2043" s="2" t="s">
        <v>2543</v>
      </c>
      <c r="D2043" s="2" t="s">
        <v>2516</v>
      </c>
      <c r="E2043" s="2" t="s">
        <v>2517</v>
      </c>
      <c r="F2043" s="3">
        <v>99810</v>
      </c>
      <c r="G2043" s="3">
        <v>7861</v>
      </c>
      <c r="H2043" s="3">
        <v>672</v>
      </c>
      <c r="I2043" s="4">
        <v>11628.47</v>
      </c>
      <c r="J2043" s="4">
        <v>120282.97</v>
      </c>
      <c r="K2043" s="3">
        <v>542</v>
      </c>
      <c r="L2043" s="2" t="s">
        <v>2536</v>
      </c>
      <c r="M2043" s="2" t="s">
        <v>2526</v>
      </c>
    </row>
    <row r="2044" spans="1:13" x14ac:dyDescent="0.3">
      <c r="A2044" s="1">
        <v>45822</v>
      </c>
      <c r="B2044" s="2" t="s">
        <v>2627</v>
      </c>
      <c r="C2044" s="2" t="s">
        <v>2515</v>
      </c>
      <c r="D2044" s="2" t="s">
        <v>2528</v>
      </c>
      <c r="E2044" s="2" t="s">
        <v>2534</v>
      </c>
      <c r="F2044" s="3">
        <v>10619</v>
      </c>
      <c r="G2044" s="3">
        <v>179</v>
      </c>
      <c r="H2044" s="3">
        <v>17</v>
      </c>
      <c r="I2044" s="4">
        <v>342.84</v>
      </c>
      <c r="J2044" s="4">
        <v>3214.83</v>
      </c>
      <c r="K2044" s="3">
        <v>8</v>
      </c>
      <c r="L2044" s="2" t="s">
        <v>2539</v>
      </c>
      <c r="M2044" s="2" t="s">
        <v>2537</v>
      </c>
    </row>
    <row r="2045" spans="1:13" x14ac:dyDescent="0.3">
      <c r="A2045" s="1">
        <v>46019</v>
      </c>
      <c r="B2045" s="2" t="s">
        <v>2624</v>
      </c>
      <c r="C2045" s="2" t="s">
        <v>2515</v>
      </c>
      <c r="D2045" s="2" t="s">
        <v>2528</v>
      </c>
      <c r="E2045" s="2" t="s">
        <v>2517</v>
      </c>
      <c r="F2045" s="3">
        <v>90025</v>
      </c>
      <c r="G2045" s="3">
        <v>1144</v>
      </c>
      <c r="H2045" s="3">
        <v>73</v>
      </c>
      <c r="I2045" s="4">
        <v>1255.06</v>
      </c>
      <c r="J2045" s="4">
        <v>9979.52</v>
      </c>
      <c r="K2045" s="3">
        <v>51</v>
      </c>
      <c r="L2045" s="2" t="s">
        <v>2518</v>
      </c>
      <c r="M2045" s="2" t="s">
        <v>2546</v>
      </c>
    </row>
    <row r="2046" spans="1:13" x14ac:dyDescent="0.3">
      <c r="A2046" s="1">
        <v>45750</v>
      </c>
      <c r="B2046" s="2" t="s">
        <v>2623</v>
      </c>
      <c r="C2046" s="2" t="s">
        <v>2533</v>
      </c>
      <c r="D2046" s="2" t="s">
        <v>2531</v>
      </c>
      <c r="E2046" s="2" t="s">
        <v>2517</v>
      </c>
      <c r="F2046" s="3">
        <v>81086</v>
      </c>
      <c r="G2046" s="3">
        <v>7185</v>
      </c>
      <c r="H2046" s="3">
        <v>886</v>
      </c>
      <c r="I2046" s="4">
        <v>13671.15</v>
      </c>
      <c r="J2046" s="4">
        <v>66793.97</v>
      </c>
      <c r="K2046" s="3">
        <v>506</v>
      </c>
      <c r="L2046" s="2" t="s">
        <v>2539</v>
      </c>
      <c r="M2046" s="2" t="s">
        <v>2519</v>
      </c>
    </row>
    <row r="2047" spans="1:13" x14ac:dyDescent="0.3">
      <c r="A2047" s="1">
        <v>45783</v>
      </c>
      <c r="B2047" s="2" t="s">
        <v>2639</v>
      </c>
      <c r="C2047" s="2" t="s">
        <v>2515</v>
      </c>
      <c r="D2047" s="2" t="s">
        <v>2528</v>
      </c>
      <c r="E2047" s="2" t="s">
        <v>2517</v>
      </c>
      <c r="F2047" s="3">
        <v>78934</v>
      </c>
      <c r="G2047" s="3">
        <v>79332</v>
      </c>
      <c r="H2047" s="3">
        <v>48</v>
      </c>
      <c r="I2047" s="4">
        <v>1548.03</v>
      </c>
      <c r="J2047" s="4">
        <v>3063.97</v>
      </c>
      <c r="K2047" s="3">
        <v>25</v>
      </c>
      <c r="L2047" s="2" t="s">
        <v>2539</v>
      </c>
      <c r="M2047" s="2" t="s">
        <v>2524</v>
      </c>
    </row>
    <row r="2048" spans="1:13" x14ac:dyDescent="0.3">
      <c r="A2048" s="1">
        <v>45836</v>
      </c>
      <c r="B2048" s="2" t="s">
        <v>2629</v>
      </c>
      <c r="C2048" s="2" t="s">
        <v>2515</v>
      </c>
      <c r="D2048" s="2" t="s">
        <v>2528</v>
      </c>
      <c r="E2048" s="2" t="s">
        <v>2517</v>
      </c>
      <c r="F2048" s="3">
        <v>56821</v>
      </c>
      <c r="G2048" s="3">
        <v>2811</v>
      </c>
      <c r="H2048" s="3">
        <v>216</v>
      </c>
      <c r="I2048" s="4">
        <v>4077.22</v>
      </c>
      <c r="J2048" s="4">
        <v>30212.52</v>
      </c>
      <c r="K2048" s="3">
        <v>155</v>
      </c>
      <c r="L2048" s="2" t="s">
        <v>2518</v>
      </c>
      <c r="M2048" s="2" t="s">
        <v>2519</v>
      </c>
    </row>
    <row r="2049" spans="1:13" x14ac:dyDescent="0.3">
      <c r="A2049" s="1">
        <v>46007</v>
      </c>
      <c r="B2049" s="2" t="s">
        <v>2620</v>
      </c>
      <c r="C2049" s="2" t="s">
        <v>2527</v>
      </c>
      <c r="D2049" s="2" t="s">
        <v>2525</v>
      </c>
      <c r="E2049" s="2" t="s">
        <v>2517</v>
      </c>
      <c r="F2049" s="3">
        <v>25649</v>
      </c>
      <c r="G2049" s="3">
        <v>634</v>
      </c>
      <c r="H2049" s="3">
        <v>32</v>
      </c>
      <c r="I2049" s="4">
        <v>518.80999999999995</v>
      </c>
      <c r="J2049" s="4">
        <v>5605.71</v>
      </c>
      <c r="K2049" s="3">
        <v>19</v>
      </c>
      <c r="L2049" s="2" t="s">
        <v>2518</v>
      </c>
      <c r="M2049" s="2" t="s">
        <v>2546</v>
      </c>
    </row>
    <row r="2050" spans="1:13" x14ac:dyDescent="0.3">
      <c r="A2050" s="1">
        <v>45747</v>
      </c>
      <c r="B2050" s="2" t="s">
        <v>2643</v>
      </c>
      <c r="C2050" s="2" t="s">
        <v>2527</v>
      </c>
      <c r="D2050" s="2" t="s">
        <v>2525</v>
      </c>
      <c r="E2050" s="2" t="s">
        <v>2529</v>
      </c>
      <c r="F2050" s="3">
        <v>109539</v>
      </c>
      <c r="G2050" s="3">
        <v>9840</v>
      </c>
      <c r="H2050" s="3">
        <v>112</v>
      </c>
      <c r="I2050" s="4">
        <v>3297.03</v>
      </c>
      <c r="J2050" s="4">
        <v>15759.24</v>
      </c>
      <c r="K2050" s="3">
        <v>59</v>
      </c>
      <c r="L2050" s="2" t="s">
        <v>2539</v>
      </c>
      <c r="M2050" s="2" t="s">
        <v>2524</v>
      </c>
    </row>
    <row r="2051" spans="1:13" x14ac:dyDescent="0.3">
      <c r="A2051" s="1">
        <v>46002</v>
      </c>
      <c r="B2051" s="2" t="s">
        <v>2620</v>
      </c>
      <c r="C2051" s="2" t="s">
        <v>2533</v>
      </c>
      <c r="D2051" s="2" t="s">
        <v>2525</v>
      </c>
      <c r="E2051" s="2" t="s">
        <v>2517</v>
      </c>
      <c r="F2051" s="3">
        <v>177395</v>
      </c>
      <c r="G2051" s="3">
        <v>5960</v>
      </c>
      <c r="H2051" s="3">
        <v>586</v>
      </c>
      <c r="I2051" s="4">
        <v>8695.11</v>
      </c>
      <c r="J2051" s="4">
        <v>51765.7</v>
      </c>
      <c r="K2051" s="3">
        <v>335</v>
      </c>
      <c r="L2051" s="2" t="s">
        <v>2536</v>
      </c>
      <c r="M2051" s="2" t="s">
        <v>2526</v>
      </c>
    </row>
    <row r="2052" spans="1:13" x14ac:dyDescent="0.3">
      <c r="A2052" s="1">
        <v>45890</v>
      </c>
      <c r="B2052" s="2" t="s">
        <v>2639</v>
      </c>
      <c r="C2052" s="2" t="s">
        <v>2533</v>
      </c>
      <c r="D2052" s="2" t="s">
        <v>2528</v>
      </c>
      <c r="E2052" s="2" t="s">
        <v>2529</v>
      </c>
      <c r="F2052" s="3">
        <v>168382</v>
      </c>
      <c r="G2052" s="3">
        <v>12775</v>
      </c>
      <c r="H2052" s="3">
        <v>1286</v>
      </c>
      <c r="I2052" s="4">
        <v>21499.439999999999</v>
      </c>
      <c r="J2052" s="4">
        <v>49231.29</v>
      </c>
      <c r="K2052" s="3">
        <v>647</v>
      </c>
      <c r="L2052" s="2" t="s">
        <v>2539</v>
      </c>
      <c r="M2052" s="2" t="s">
        <v>2519</v>
      </c>
    </row>
    <row r="2053" spans="1:13" x14ac:dyDescent="0.3">
      <c r="A2053" s="1">
        <v>45910</v>
      </c>
      <c r="B2053" s="2" t="s">
        <v>2621</v>
      </c>
      <c r="C2053" s="2" t="s">
        <v>2527</v>
      </c>
      <c r="D2053" s="2" t="s">
        <v>2531</v>
      </c>
      <c r="E2053" s="2" t="s">
        <v>2529</v>
      </c>
      <c r="F2053" s="3">
        <v>118162</v>
      </c>
      <c r="G2053" s="3">
        <v>6791</v>
      </c>
      <c r="H2053" s="3">
        <v>687</v>
      </c>
      <c r="I2053" s="4">
        <v>3366.11</v>
      </c>
      <c r="J2053" s="4">
        <v>14475.66</v>
      </c>
      <c r="K2053" s="3">
        <v>464</v>
      </c>
      <c r="L2053" s="2" t="s">
        <v>2536</v>
      </c>
      <c r="M2053" s="2" t="s">
        <v>2546</v>
      </c>
    </row>
    <row r="2054" spans="1:13" x14ac:dyDescent="0.3">
      <c r="A2054" s="1">
        <v>45744</v>
      </c>
      <c r="B2054" s="2" t="s">
        <v>2624</v>
      </c>
      <c r="C2054" s="2" t="s">
        <v>2527</v>
      </c>
      <c r="D2054" s="2" t="s">
        <v>2528</v>
      </c>
      <c r="E2054" s="2" t="s">
        <v>2517</v>
      </c>
      <c r="F2054" s="3">
        <v>114348</v>
      </c>
      <c r="G2054" s="3">
        <v>4257</v>
      </c>
      <c r="H2054" s="3">
        <v>68</v>
      </c>
      <c r="I2054" s="4">
        <v>3812.91</v>
      </c>
      <c r="J2054" s="4">
        <v>1573.32</v>
      </c>
      <c r="K2054" s="3">
        <v>54</v>
      </c>
      <c r="L2054" s="2" t="s">
        <v>2539</v>
      </c>
      <c r="M2054" s="2" t="s">
        <v>2537</v>
      </c>
    </row>
    <row r="2055" spans="1:13" x14ac:dyDescent="0.3">
      <c r="A2055" s="1">
        <v>45775</v>
      </c>
      <c r="B2055" s="2" t="s">
        <v>2632</v>
      </c>
      <c r="C2055" s="2" t="s">
        <v>2541</v>
      </c>
      <c r="D2055" s="2" t="s">
        <v>2516</v>
      </c>
      <c r="E2055" s="2" t="s">
        <v>2529</v>
      </c>
      <c r="F2055" s="3">
        <v>78548</v>
      </c>
      <c r="G2055" s="3">
        <v>3057</v>
      </c>
      <c r="H2055" s="3">
        <v>169</v>
      </c>
      <c r="I2055" s="4">
        <v>3713.93</v>
      </c>
      <c r="J2055" s="4">
        <v>18625.34</v>
      </c>
      <c r="K2055" s="3">
        <v>81</v>
      </c>
      <c r="L2055" s="2" t="s">
        <v>2523</v>
      </c>
      <c r="M2055" s="2" t="s">
        <v>2546</v>
      </c>
    </row>
    <row r="2056" spans="1:13" x14ac:dyDescent="0.3">
      <c r="A2056" s="1">
        <v>45664</v>
      </c>
      <c r="B2056" s="2" t="s">
        <v>2639</v>
      </c>
      <c r="C2056" s="2" t="s">
        <v>2533</v>
      </c>
      <c r="D2056" s="2" t="s">
        <v>2531</v>
      </c>
      <c r="E2056" s="2" t="s">
        <v>2529</v>
      </c>
      <c r="F2056" s="3">
        <v>17769</v>
      </c>
      <c r="G2056" s="3">
        <v>829</v>
      </c>
      <c r="H2056" s="3">
        <v>113</v>
      </c>
      <c r="I2056" s="4">
        <v>837.77</v>
      </c>
      <c r="J2056" s="4">
        <v>18650.580000000002</v>
      </c>
      <c r="K2056" s="3">
        <v>70</v>
      </c>
      <c r="L2056" s="2" t="s">
        <v>2536</v>
      </c>
      <c r="M2056" s="2" t="s">
        <v>2537</v>
      </c>
    </row>
    <row r="2057" spans="1:13" x14ac:dyDescent="0.3">
      <c r="A2057" s="1">
        <v>45845</v>
      </c>
      <c r="B2057" s="2" t="s">
        <v>2629</v>
      </c>
      <c r="C2057" s="2" t="s">
        <v>2533</v>
      </c>
      <c r="D2057" s="2" t="s">
        <v>2522</v>
      </c>
      <c r="E2057" s="2" t="s">
        <v>2517</v>
      </c>
      <c r="F2057" s="3">
        <v>110825</v>
      </c>
      <c r="G2057" s="3">
        <v>5430</v>
      </c>
      <c r="H2057" s="3">
        <v>641</v>
      </c>
      <c r="I2057" s="4">
        <v>5135.75</v>
      </c>
      <c r="J2057" s="4">
        <v>36954.26</v>
      </c>
      <c r="K2057" s="3">
        <v>417</v>
      </c>
      <c r="L2057" s="2" t="s">
        <v>2536</v>
      </c>
      <c r="M2057" s="2" t="s">
        <v>2546</v>
      </c>
    </row>
    <row r="2058" spans="1:13" x14ac:dyDescent="0.3">
      <c r="A2058" s="1">
        <v>45724</v>
      </c>
      <c r="B2058" s="2" t="s">
        <v>2641</v>
      </c>
      <c r="C2058" s="2" t="s">
        <v>2515</v>
      </c>
      <c r="D2058" s="2" t="s">
        <v>2528</v>
      </c>
      <c r="E2058" s="2" t="s">
        <v>2529</v>
      </c>
      <c r="F2058" s="3">
        <v>154249</v>
      </c>
      <c r="G2058" s="3">
        <v>8833</v>
      </c>
      <c r="H2058" s="3">
        <v>253</v>
      </c>
      <c r="I2058" s="4">
        <v>13334.45</v>
      </c>
      <c r="J2058" s="4">
        <v>47529.86</v>
      </c>
      <c r="K2058" s="3">
        <v>193</v>
      </c>
      <c r="L2058" s="2" t="s">
        <v>2523</v>
      </c>
      <c r="M2058" s="2" t="s">
        <v>2526</v>
      </c>
    </row>
    <row r="2059" spans="1:13" x14ac:dyDescent="0.3">
      <c r="A2059" s="1">
        <v>45823</v>
      </c>
      <c r="B2059" s="2" t="s">
        <v>2631</v>
      </c>
      <c r="C2059" s="2" t="s">
        <v>2543</v>
      </c>
      <c r="D2059" s="2" t="s">
        <v>2522</v>
      </c>
      <c r="E2059" s="2" t="s">
        <v>2517</v>
      </c>
      <c r="F2059" s="3">
        <v>48430</v>
      </c>
      <c r="G2059" s="3">
        <v>1819</v>
      </c>
      <c r="H2059" s="3">
        <v>229</v>
      </c>
      <c r="I2059" s="4">
        <v>941.97</v>
      </c>
      <c r="J2059" s="4">
        <v>13238.57</v>
      </c>
      <c r="K2059" s="3">
        <v>184</v>
      </c>
      <c r="L2059" s="2" t="s">
        <v>2539</v>
      </c>
      <c r="M2059" s="2" t="s">
        <v>2526</v>
      </c>
    </row>
    <row r="2060" spans="1:13" x14ac:dyDescent="0.3">
      <c r="A2060" s="1">
        <v>45868</v>
      </c>
      <c r="B2060" s="2" t="s">
        <v>2639</v>
      </c>
      <c r="C2060" s="2" t="s">
        <v>2527</v>
      </c>
      <c r="D2060" s="2" t="s">
        <v>2531</v>
      </c>
      <c r="E2060" s="2" t="s">
        <v>2529</v>
      </c>
      <c r="F2060" s="3">
        <v>68222</v>
      </c>
      <c r="G2060" s="3">
        <v>4016</v>
      </c>
      <c r="H2060" s="3">
        <v>477</v>
      </c>
      <c r="I2060" s="4">
        <v>6597.61</v>
      </c>
      <c r="J2060" s="4">
        <v>46142.43</v>
      </c>
      <c r="K2060" s="3">
        <v>282</v>
      </c>
      <c r="L2060" s="2" t="s">
        <v>2539</v>
      </c>
      <c r="M2060" s="2" t="s">
        <v>2519</v>
      </c>
    </row>
    <row r="2061" spans="1:13" x14ac:dyDescent="0.3">
      <c r="A2061" s="1">
        <v>45757</v>
      </c>
      <c r="B2061" s="2" t="s">
        <v>2617</v>
      </c>
      <c r="C2061" s="2" t="s">
        <v>2527</v>
      </c>
      <c r="D2061" s="2" t="s">
        <v>2531</v>
      </c>
      <c r="E2061" s="2" t="s">
        <v>2517</v>
      </c>
      <c r="F2061" s="3">
        <v>103020</v>
      </c>
      <c r="G2061" s="3">
        <v>8472</v>
      </c>
      <c r="H2061" s="3">
        <v>412</v>
      </c>
      <c r="I2061" s="4">
        <v>10159.799999999999</v>
      </c>
      <c r="J2061" s="4">
        <v>64405.08</v>
      </c>
      <c r="K2061" s="3">
        <v>333</v>
      </c>
      <c r="L2061" s="2" t="s">
        <v>2539</v>
      </c>
      <c r="M2061" s="2" t="s">
        <v>2524</v>
      </c>
    </row>
    <row r="2062" spans="1:13" x14ac:dyDescent="0.3">
      <c r="A2062" s="1">
        <v>45785</v>
      </c>
      <c r="B2062" s="2" t="s">
        <v>2632</v>
      </c>
      <c r="C2062" s="2" t="s">
        <v>2521</v>
      </c>
      <c r="D2062" s="2" t="s">
        <v>2531</v>
      </c>
      <c r="E2062" s="2" t="s">
        <v>2529</v>
      </c>
      <c r="F2062" s="3">
        <v>148483</v>
      </c>
      <c r="G2062" s="3">
        <v>3378</v>
      </c>
      <c r="H2062" s="3">
        <v>120</v>
      </c>
      <c r="I2062" s="4">
        <v>1502.65</v>
      </c>
      <c r="J2062" s="4">
        <v>3387.93</v>
      </c>
      <c r="K2062" s="3">
        <v>76</v>
      </c>
      <c r="L2062" s="2" t="s">
        <v>2539</v>
      </c>
      <c r="M2062" s="2" t="s">
        <v>2546</v>
      </c>
    </row>
    <row r="2063" spans="1:13" x14ac:dyDescent="0.3">
      <c r="A2063" s="1">
        <v>46012</v>
      </c>
      <c r="B2063" s="2" t="s">
        <v>2632</v>
      </c>
      <c r="C2063" s="2" t="s">
        <v>2533</v>
      </c>
      <c r="D2063" s="2" t="s">
        <v>2528</v>
      </c>
      <c r="E2063" s="2" t="s">
        <v>2529</v>
      </c>
      <c r="F2063" s="3">
        <v>171491</v>
      </c>
      <c r="G2063" s="3">
        <v>8526</v>
      </c>
      <c r="H2063" s="3">
        <v>118</v>
      </c>
      <c r="I2063" s="4">
        <v>6728.2</v>
      </c>
      <c r="J2063" s="4">
        <v>3780.27</v>
      </c>
      <c r="K2063" s="3">
        <v>70</v>
      </c>
      <c r="L2063" s="2" t="s">
        <v>2536</v>
      </c>
      <c r="M2063" s="2" t="s">
        <v>2546</v>
      </c>
    </row>
    <row r="2064" spans="1:13" x14ac:dyDescent="0.3">
      <c r="A2064" s="1">
        <v>45806</v>
      </c>
      <c r="B2064" s="2" t="s">
        <v>2616</v>
      </c>
      <c r="C2064" s="2" t="s">
        <v>2521</v>
      </c>
      <c r="D2064" s="2" t="s">
        <v>2528</v>
      </c>
      <c r="E2064" s="2" t="s">
        <v>2529</v>
      </c>
      <c r="F2064" s="3">
        <v>43591</v>
      </c>
      <c r="G2064" s="3">
        <v>3178</v>
      </c>
      <c r="H2064" s="3">
        <v>443</v>
      </c>
      <c r="I2064" s="4">
        <v>3862.28</v>
      </c>
      <c r="J2064" s="4">
        <v>63768.57</v>
      </c>
      <c r="K2064" s="3">
        <v>247</v>
      </c>
      <c r="L2064" s="2" t="s">
        <v>2536</v>
      </c>
      <c r="M2064" s="2" t="s">
        <v>2524</v>
      </c>
    </row>
    <row r="2065" spans="1:13" x14ac:dyDescent="0.3">
      <c r="A2065" s="1">
        <v>46011</v>
      </c>
      <c r="B2065" s="2" t="s">
        <v>2631</v>
      </c>
      <c r="C2065" s="2" t="s">
        <v>2541</v>
      </c>
      <c r="D2065" s="2" t="s">
        <v>2528</v>
      </c>
      <c r="E2065" s="2" t="s">
        <v>2517</v>
      </c>
      <c r="F2065" s="3">
        <v>133385</v>
      </c>
      <c r="G2065" s="3">
        <v>4070</v>
      </c>
      <c r="H2065" s="3">
        <v>278</v>
      </c>
      <c r="I2065" s="4">
        <v>1988.53</v>
      </c>
      <c r="J2065" s="4">
        <v>37242.44</v>
      </c>
      <c r="K2065" s="3">
        <v>162</v>
      </c>
      <c r="L2065" s="2" t="s">
        <v>2539</v>
      </c>
      <c r="M2065" s="2" t="s">
        <v>2519</v>
      </c>
    </row>
    <row r="2066" spans="1:13" x14ac:dyDescent="0.3">
      <c r="A2066" s="1">
        <v>45969</v>
      </c>
      <c r="B2066" s="2" t="s">
        <v>2626</v>
      </c>
      <c r="C2066" s="2" t="s">
        <v>2543</v>
      </c>
      <c r="D2066" s="2" t="s">
        <v>2516</v>
      </c>
      <c r="E2066" s="2" t="s">
        <v>2534</v>
      </c>
      <c r="F2066" s="3">
        <v>80073</v>
      </c>
      <c r="G2066" s="3">
        <v>6190</v>
      </c>
      <c r="H2066" s="3">
        <v>715</v>
      </c>
      <c r="I2066" s="4">
        <v>7803.69</v>
      </c>
      <c r="J2066" s="4">
        <v>116147.64</v>
      </c>
      <c r="K2066" s="3">
        <v>611</v>
      </c>
      <c r="L2066" s="2" t="s">
        <v>2518</v>
      </c>
      <c r="M2066" s="2" t="s">
        <v>2519</v>
      </c>
    </row>
    <row r="2067" spans="1:13" x14ac:dyDescent="0.3">
      <c r="A2067" s="1">
        <v>45963</v>
      </c>
      <c r="B2067" s="2" t="s">
        <v>2622</v>
      </c>
      <c r="C2067" s="2" t="s">
        <v>2541</v>
      </c>
      <c r="D2067" s="2" t="s">
        <v>2528</v>
      </c>
      <c r="E2067" s="2" t="s">
        <v>2517</v>
      </c>
      <c r="F2067" s="3">
        <v>179695</v>
      </c>
      <c r="G2067" s="3">
        <v>4557</v>
      </c>
      <c r="H2067" s="3">
        <v>152</v>
      </c>
      <c r="I2067" s="4">
        <v>5375.99</v>
      </c>
      <c r="J2067" s="4">
        <v>16006.17</v>
      </c>
      <c r="K2067" s="3">
        <v>75</v>
      </c>
      <c r="L2067" s="2" t="s">
        <v>2518</v>
      </c>
      <c r="M2067" s="2" t="s">
        <v>2526</v>
      </c>
    </row>
    <row r="2068" spans="1:13" x14ac:dyDescent="0.3">
      <c r="A2068" s="1">
        <v>46008</v>
      </c>
      <c r="B2068" s="2" t="s">
        <v>2619</v>
      </c>
      <c r="C2068" s="2" t="s">
        <v>2533</v>
      </c>
      <c r="D2068" s="2" t="s">
        <v>2525</v>
      </c>
      <c r="E2068" s="2" t="s">
        <v>2517</v>
      </c>
      <c r="F2068" s="3">
        <v>64697</v>
      </c>
      <c r="G2068" s="3">
        <v>1713</v>
      </c>
      <c r="H2068" s="3">
        <v>31</v>
      </c>
      <c r="I2068" s="4">
        <v>2705.43</v>
      </c>
      <c r="J2068" s="4">
        <v>6472.04</v>
      </c>
      <c r="K2068" s="3">
        <v>18</v>
      </c>
      <c r="L2068" s="2" t="s">
        <v>2523</v>
      </c>
      <c r="M2068" s="2" t="s">
        <v>2546</v>
      </c>
    </row>
    <row r="2069" spans="1:13" x14ac:dyDescent="0.3">
      <c r="A2069" s="1">
        <v>45824</v>
      </c>
      <c r="B2069" s="2" t="s">
        <v>2631</v>
      </c>
      <c r="C2069" s="2" t="s">
        <v>2543</v>
      </c>
      <c r="D2069" s="2" t="s">
        <v>2528</v>
      </c>
      <c r="E2069" s="2" t="s">
        <v>2529</v>
      </c>
      <c r="F2069" s="3">
        <v>163138</v>
      </c>
      <c r="G2069" s="3">
        <v>14476</v>
      </c>
      <c r="H2069" s="3">
        <v>131</v>
      </c>
      <c r="I2069" s="4">
        <v>5353.35</v>
      </c>
      <c r="J2069" s="4">
        <v>22444.65</v>
      </c>
      <c r="K2069" s="3">
        <v>106</v>
      </c>
      <c r="L2069" s="2" t="s">
        <v>2518</v>
      </c>
      <c r="M2069" s="2" t="s">
        <v>2519</v>
      </c>
    </row>
    <row r="2070" spans="1:13" x14ac:dyDescent="0.3">
      <c r="A2070" s="1">
        <v>45906</v>
      </c>
      <c r="B2070" s="2" t="s">
        <v>2634</v>
      </c>
      <c r="C2070" s="2" t="s">
        <v>2543</v>
      </c>
      <c r="D2070" s="2" t="s">
        <v>2528</v>
      </c>
      <c r="E2070" s="2" t="s">
        <v>2517</v>
      </c>
      <c r="F2070" s="3">
        <v>173723</v>
      </c>
      <c r="G2070" s="3">
        <v>9344</v>
      </c>
      <c r="H2070" s="3">
        <v>963</v>
      </c>
      <c r="I2070" s="4">
        <v>4643.16</v>
      </c>
      <c r="J2070" s="4">
        <v>188474.42</v>
      </c>
      <c r="K2070" s="3">
        <v>840</v>
      </c>
      <c r="L2070" s="2" t="s">
        <v>2536</v>
      </c>
      <c r="M2070" s="2" t="s">
        <v>2537</v>
      </c>
    </row>
    <row r="2071" spans="1:13" x14ac:dyDescent="0.3">
      <c r="A2071" s="1">
        <v>45979</v>
      </c>
      <c r="B2071" s="2" t="s">
        <v>2639</v>
      </c>
      <c r="C2071" s="2" t="s">
        <v>2533</v>
      </c>
      <c r="D2071" s="2" t="s">
        <v>2528</v>
      </c>
      <c r="E2071" s="2" t="s">
        <v>2517</v>
      </c>
      <c r="F2071" s="3">
        <v>127934</v>
      </c>
      <c r="G2071" s="3">
        <v>7227</v>
      </c>
      <c r="H2071" s="3">
        <v>935</v>
      </c>
      <c r="I2071" s="4">
        <v>1967.02</v>
      </c>
      <c r="J2071" s="4">
        <v>142453.47</v>
      </c>
      <c r="K2071" s="3">
        <v>451</v>
      </c>
      <c r="L2071" s="2" t="s">
        <v>2536</v>
      </c>
      <c r="M2071" s="2" t="s">
        <v>2519</v>
      </c>
    </row>
    <row r="2072" spans="1:13" x14ac:dyDescent="0.3">
      <c r="A2072" s="1">
        <v>45969</v>
      </c>
      <c r="B2072" s="2" t="s">
        <v>2638</v>
      </c>
      <c r="C2072" s="2" t="s">
        <v>2515</v>
      </c>
      <c r="D2072" s="2" t="s">
        <v>2516</v>
      </c>
      <c r="E2072" s="2" t="s">
        <v>2517</v>
      </c>
      <c r="F2072" s="3">
        <v>15320</v>
      </c>
      <c r="G2072" s="3">
        <v>97</v>
      </c>
      <c r="H2072" s="3">
        <v>7</v>
      </c>
      <c r="I2072" s="4">
        <v>61.94</v>
      </c>
      <c r="J2072" s="4">
        <v>969.35</v>
      </c>
      <c r="K2072" s="3">
        <v>5</v>
      </c>
      <c r="L2072" s="2" t="s">
        <v>2539</v>
      </c>
      <c r="M2072" s="2" t="s">
        <v>2519</v>
      </c>
    </row>
    <row r="2073" spans="1:13" x14ac:dyDescent="0.3">
      <c r="A2073" s="1">
        <v>45787</v>
      </c>
      <c r="B2073" s="2" t="s">
        <v>2629</v>
      </c>
      <c r="C2073" s="2" t="s">
        <v>2527</v>
      </c>
      <c r="D2073" s="2" t="s">
        <v>2528</v>
      </c>
      <c r="E2073" s="2" t="s">
        <v>2517</v>
      </c>
      <c r="F2073" s="3">
        <v>119606</v>
      </c>
      <c r="G2073" s="3">
        <v>9820</v>
      </c>
      <c r="H2073" s="3">
        <v>694</v>
      </c>
      <c r="I2073" s="4">
        <v>11419.1</v>
      </c>
      <c r="J2073" s="4">
        <v>26066.86</v>
      </c>
      <c r="K2073" s="3">
        <v>578</v>
      </c>
      <c r="L2073" s="2" t="s">
        <v>2523</v>
      </c>
      <c r="M2073" s="2" t="s">
        <v>2537</v>
      </c>
    </row>
    <row r="2074" spans="1:13" x14ac:dyDescent="0.3">
      <c r="A2074" s="1">
        <v>45764</v>
      </c>
      <c r="B2074" s="2" t="s">
        <v>2626</v>
      </c>
      <c r="C2074" s="2" t="s">
        <v>2521</v>
      </c>
      <c r="D2074" s="2" t="s">
        <v>2528</v>
      </c>
      <c r="E2074" s="2" t="s">
        <v>2517</v>
      </c>
      <c r="F2074" s="3">
        <v>124508</v>
      </c>
      <c r="G2074" s="3">
        <v>3605</v>
      </c>
      <c r="H2074" s="3">
        <v>364</v>
      </c>
      <c r="I2074" s="4">
        <v>2112.19</v>
      </c>
      <c r="J2074" s="4">
        <v>59640.25</v>
      </c>
      <c r="K2074" s="3">
        <v>178</v>
      </c>
      <c r="L2074" s="2" t="s">
        <v>2523</v>
      </c>
      <c r="M2074" s="2" t="s">
        <v>2524</v>
      </c>
    </row>
    <row r="2075" spans="1:13" x14ac:dyDescent="0.3">
      <c r="A2075" s="1">
        <v>45724</v>
      </c>
      <c r="B2075" s="2" t="s">
        <v>2640</v>
      </c>
      <c r="C2075" s="2" t="s">
        <v>2515</v>
      </c>
      <c r="D2075" s="2" t="s">
        <v>2522</v>
      </c>
      <c r="E2075" s="2" t="s">
        <v>2517</v>
      </c>
      <c r="F2075" s="3">
        <v>88249</v>
      </c>
      <c r="G2075" s="3">
        <v>7864</v>
      </c>
      <c r="H2075" s="3">
        <v>915</v>
      </c>
      <c r="I2075" s="4">
        <v>12296.1</v>
      </c>
      <c r="J2075" s="4">
        <v>160765.42000000001</v>
      </c>
      <c r="K2075" s="3">
        <v>625</v>
      </c>
      <c r="L2075" s="2" t="s">
        <v>2518</v>
      </c>
      <c r="M2075" s="2" t="s">
        <v>2526</v>
      </c>
    </row>
    <row r="2076" spans="1:13" x14ac:dyDescent="0.3">
      <c r="A2076" s="1">
        <v>45958</v>
      </c>
      <c r="B2076" s="2" t="s">
        <v>2638</v>
      </c>
      <c r="C2076" s="2" t="s">
        <v>2515</v>
      </c>
      <c r="D2076" s="2" t="s">
        <v>2516</v>
      </c>
      <c r="E2076" s="2" t="s">
        <v>2517</v>
      </c>
      <c r="F2076" s="3">
        <v>144739</v>
      </c>
      <c r="G2076" s="3">
        <v>1874</v>
      </c>
      <c r="H2076" s="3">
        <v>93</v>
      </c>
      <c r="I2076" s="4">
        <v>2064.4699999999998</v>
      </c>
      <c r="J2076" s="4">
        <v>14256.17</v>
      </c>
      <c r="K2076" s="3">
        <v>56</v>
      </c>
      <c r="L2076" s="2" t="s">
        <v>2523</v>
      </c>
      <c r="M2076" s="2" t="s">
        <v>2526</v>
      </c>
    </row>
    <row r="2077" spans="1:13" x14ac:dyDescent="0.3">
      <c r="A2077" s="1">
        <v>45896</v>
      </c>
      <c r="B2077" s="2" t="s">
        <v>2629</v>
      </c>
      <c r="C2077" s="2" t="s">
        <v>2533</v>
      </c>
      <c r="D2077" s="2" t="s">
        <v>2528</v>
      </c>
      <c r="E2077" s="2" t="s">
        <v>2529</v>
      </c>
      <c r="F2077" s="3">
        <v>169077</v>
      </c>
      <c r="G2077" s="3">
        <v>6988</v>
      </c>
      <c r="H2077" s="3">
        <v>165</v>
      </c>
      <c r="I2077" s="4">
        <v>4791.2299999999996</v>
      </c>
      <c r="J2077" s="4">
        <v>6505.52</v>
      </c>
      <c r="K2077" s="3">
        <v>139</v>
      </c>
      <c r="L2077" s="2" t="s">
        <v>2539</v>
      </c>
      <c r="M2077" s="2" t="s">
        <v>2519</v>
      </c>
    </row>
    <row r="2078" spans="1:13" x14ac:dyDescent="0.3">
      <c r="A2078" s="1">
        <v>45942</v>
      </c>
      <c r="B2078" s="2" t="s">
        <v>2635</v>
      </c>
      <c r="C2078" s="2" t="s">
        <v>2527</v>
      </c>
      <c r="D2078" s="2" t="s">
        <v>2522</v>
      </c>
      <c r="E2078" s="2" t="s">
        <v>2517</v>
      </c>
      <c r="F2078" s="3">
        <v>14532</v>
      </c>
      <c r="G2078" s="3">
        <v>116</v>
      </c>
      <c r="H2078" s="3">
        <v>6</v>
      </c>
      <c r="I2078" s="4">
        <v>123.27</v>
      </c>
      <c r="J2078" s="4">
        <v>1214.21</v>
      </c>
      <c r="K2078" s="3">
        <v>4</v>
      </c>
      <c r="L2078" s="2" t="s">
        <v>2523</v>
      </c>
      <c r="M2078" s="2" t="s">
        <v>2546</v>
      </c>
    </row>
    <row r="2079" spans="1:13" x14ac:dyDescent="0.3">
      <c r="A2079" s="1">
        <v>45905</v>
      </c>
      <c r="B2079" s="2" t="s">
        <v>2616</v>
      </c>
      <c r="C2079" s="2" t="s">
        <v>2533</v>
      </c>
      <c r="D2079" s="2" t="s">
        <v>2525</v>
      </c>
      <c r="E2079" s="2" t="s">
        <v>2529</v>
      </c>
      <c r="F2079" s="3">
        <v>12917</v>
      </c>
      <c r="G2079" s="3">
        <v>807</v>
      </c>
      <c r="H2079" s="3">
        <v>57</v>
      </c>
      <c r="I2079" s="4">
        <v>1533.07</v>
      </c>
      <c r="J2079" s="4">
        <v>9035.26</v>
      </c>
      <c r="K2079" s="3">
        <v>45</v>
      </c>
      <c r="L2079" s="2" t="s">
        <v>2539</v>
      </c>
      <c r="M2079" s="2" t="s">
        <v>2519</v>
      </c>
    </row>
    <row r="2080" spans="1:13" x14ac:dyDescent="0.3">
      <c r="A2080" s="1">
        <v>45669</v>
      </c>
      <c r="B2080" s="2" t="s">
        <v>2615</v>
      </c>
      <c r="C2080" s="2" t="s">
        <v>2521</v>
      </c>
      <c r="D2080" s="2" t="s">
        <v>2516</v>
      </c>
      <c r="E2080" s="2" t="s">
        <v>2529</v>
      </c>
      <c r="F2080" s="3">
        <v>2889</v>
      </c>
      <c r="G2080" s="3">
        <v>121</v>
      </c>
      <c r="H2080" s="3">
        <v>3</v>
      </c>
      <c r="I2080" s="4">
        <v>226.68</v>
      </c>
      <c r="J2080" s="4">
        <v>243.48</v>
      </c>
      <c r="K2080" s="3">
        <v>2</v>
      </c>
      <c r="L2080" s="2" t="s">
        <v>2523</v>
      </c>
      <c r="M2080" s="2" t="s">
        <v>2546</v>
      </c>
    </row>
    <row r="2081" spans="1:13" x14ac:dyDescent="0.3">
      <c r="A2081" s="1">
        <v>45928</v>
      </c>
      <c r="B2081" s="2" t="s">
        <v>2627</v>
      </c>
      <c r="C2081" s="2" t="s">
        <v>2521</v>
      </c>
      <c r="D2081" s="2" t="s">
        <v>2531</v>
      </c>
      <c r="E2081" s="2" t="s">
        <v>2529</v>
      </c>
      <c r="F2081" s="3">
        <v>168964</v>
      </c>
      <c r="G2081" s="3">
        <v>11546</v>
      </c>
      <c r="H2081" s="3">
        <v>701</v>
      </c>
      <c r="I2081" s="4">
        <v>19461.990000000002</v>
      </c>
      <c r="J2081" s="4">
        <v>69814.81</v>
      </c>
      <c r="K2081" s="3">
        <v>544</v>
      </c>
      <c r="L2081" s="2" t="s">
        <v>2518</v>
      </c>
      <c r="M2081" s="2" t="s">
        <v>2524</v>
      </c>
    </row>
    <row r="2082" spans="1:13" x14ac:dyDescent="0.3">
      <c r="A2082" s="1">
        <v>45838</v>
      </c>
      <c r="B2082" s="2" t="s">
        <v>2638</v>
      </c>
      <c r="C2082" s="2" t="s">
        <v>2533</v>
      </c>
      <c r="D2082" s="2" t="s">
        <v>2525</v>
      </c>
      <c r="E2082" s="2" t="s">
        <v>2517</v>
      </c>
      <c r="F2082" s="3">
        <v>125540</v>
      </c>
      <c r="G2082" s="3">
        <v>8307</v>
      </c>
      <c r="H2082" s="3">
        <v>630</v>
      </c>
      <c r="I2082" s="4">
        <v>1118.31</v>
      </c>
      <c r="J2082" s="4">
        <v>43254.52</v>
      </c>
      <c r="K2082" s="3">
        <v>311</v>
      </c>
      <c r="L2082" s="2" t="s">
        <v>2523</v>
      </c>
      <c r="M2082" s="2" t="s">
        <v>2537</v>
      </c>
    </row>
    <row r="2083" spans="1:13" x14ac:dyDescent="0.3">
      <c r="A2083" s="1">
        <v>45813</v>
      </c>
      <c r="B2083" s="2" t="s">
        <v>2629</v>
      </c>
      <c r="C2083" s="2" t="s">
        <v>2533</v>
      </c>
      <c r="D2083" s="2" t="s">
        <v>2531</v>
      </c>
      <c r="E2083" s="2" t="s">
        <v>2529</v>
      </c>
      <c r="F2083" s="3">
        <v>175998</v>
      </c>
      <c r="G2083" s="3">
        <v>11033</v>
      </c>
      <c r="H2083" s="3">
        <v>1257</v>
      </c>
      <c r="I2083" s="4">
        <v>2550.27</v>
      </c>
      <c r="J2083" s="4">
        <v>35076.39</v>
      </c>
      <c r="K2083" s="3">
        <v>618</v>
      </c>
      <c r="L2083" s="2" t="s">
        <v>2539</v>
      </c>
      <c r="M2083" s="2" t="s">
        <v>2546</v>
      </c>
    </row>
    <row r="2084" spans="1:13" x14ac:dyDescent="0.3">
      <c r="A2084" s="1">
        <v>45685</v>
      </c>
      <c r="B2084" s="2" t="s">
        <v>2634</v>
      </c>
      <c r="C2084" s="2" t="s">
        <v>2521</v>
      </c>
      <c r="D2084" s="2" t="s">
        <v>2528</v>
      </c>
      <c r="E2084" s="2" t="s">
        <v>2534</v>
      </c>
      <c r="F2084" s="3">
        <v>83085</v>
      </c>
      <c r="G2084" s="3">
        <v>5612</v>
      </c>
      <c r="H2084" s="3">
        <v>696</v>
      </c>
      <c r="I2084" s="4">
        <v>5023.66</v>
      </c>
      <c r="J2084" s="4">
        <v>147751.12</v>
      </c>
      <c r="K2084" s="3">
        <v>384</v>
      </c>
      <c r="L2084" s="2" t="s">
        <v>2523</v>
      </c>
      <c r="M2084" s="2" t="s">
        <v>2526</v>
      </c>
    </row>
    <row r="2085" spans="1:13" x14ac:dyDescent="0.3">
      <c r="A2085" s="1">
        <v>45840</v>
      </c>
      <c r="B2085" s="2" t="s">
        <v>2633</v>
      </c>
      <c r="C2085" s="2" t="s">
        <v>2533</v>
      </c>
      <c r="D2085" s="2" t="s">
        <v>2531</v>
      </c>
      <c r="E2085" s="2" t="s">
        <v>2529</v>
      </c>
      <c r="F2085" s="3">
        <v>26160</v>
      </c>
      <c r="G2085" s="3">
        <v>2227</v>
      </c>
      <c r="H2085" s="3">
        <v>140</v>
      </c>
      <c r="I2085" s="4">
        <v>2223.4899999999998</v>
      </c>
      <c r="J2085" s="4">
        <v>5601.31</v>
      </c>
      <c r="K2085" s="3">
        <v>68</v>
      </c>
      <c r="L2085" s="2" t="s">
        <v>2518</v>
      </c>
      <c r="M2085" s="2" t="s">
        <v>2524</v>
      </c>
    </row>
    <row r="2086" spans="1:13" x14ac:dyDescent="0.3">
      <c r="A2086" s="1">
        <v>45797</v>
      </c>
      <c r="B2086" s="2" t="s">
        <v>2636</v>
      </c>
      <c r="C2086" s="2" t="s">
        <v>2533</v>
      </c>
      <c r="D2086" s="2" t="s">
        <v>2528</v>
      </c>
      <c r="E2086" s="2" t="s">
        <v>2517</v>
      </c>
      <c r="F2086" s="3">
        <v>116991</v>
      </c>
      <c r="G2086" s="3">
        <v>3677</v>
      </c>
      <c r="H2086" s="3">
        <v>36</v>
      </c>
      <c r="I2086" s="4">
        <v>4326.6000000000004</v>
      </c>
      <c r="J2086" s="4">
        <v>3450.16</v>
      </c>
      <c r="K2086" s="3">
        <v>22</v>
      </c>
      <c r="L2086" s="2" t="s">
        <v>2536</v>
      </c>
      <c r="M2086" s="2" t="s">
        <v>2519</v>
      </c>
    </row>
    <row r="2087" spans="1:13" x14ac:dyDescent="0.3">
      <c r="A2087" s="1">
        <v>45902</v>
      </c>
      <c r="B2087" s="2" t="s">
        <v>2621</v>
      </c>
      <c r="C2087" s="2" t="s">
        <v>2527</v>
      </c>
      <c r="D2087" s="2" t="s">
        <v>2528</v>
      </c>
      <c r="E2087" s="2" t="s">
        <v>2529</v>
      </c>
      <c r="F2087" s="3">
        <v>68305</v>
      </c>
      <c r="G2087" s="3">
        <v>3598</v>
      </c>
      <c r="H2087" s="3">
        <v>68</v>
      </c>
      <c r="I2087" s="4">
        <v>6860.89</v>
      </c>
      <c r="J2087" s="4">
        <v>6713.7</v>
      </c>
      <c r="K2087" s="3">
        <v>35</v>
      </c>
      <c r="L2087" s="2" t="s">
        <v>2536</v>
      </c>
      <c r="M2087" s="2" t="s">
        <v>2546</v>
      </c>
    </row>
    <row r="2088" spans="1:13" x14ac:dyDescent="0.3">
      <c r="A2088" s="1">
        <v>45713</v>
      </c>
      <c r="B2088" s="2" t="s">
        <v>2615</v>
      </c>
      <c r="C2088" s="2" t="s">
        <v>2541</v>
      </c>
      <c r="D2088" s="2" t="s">
        <v>2516</v>
      </c>
      <c r="E2088" s="2" t="s">
        <v>2529</v>
      </c>
      <c r="F2088" s="3">
        <v>85214</v>
      </c>
      <c r="G2088" s="3">
        <v>2819</v>
      </c>
      <c r="H2088" s="3">
        <v>76</v>
      </c>
      <c r="I2088" s="4">
        <v>5775.02</v>
      </c>
      <c r="J2088" s="4">
        <v>2608.8000000000002</v>
      </c>
      <c r="K2088" s="3">
        <v>39</v>
      </c>
      <c r="L2088" s="2" t="s">
        <v>2518</v>
      </c>
      <c r="M2088" s="2" t="s">
        <v>2546</v>
      </c>
    </row>
    <row r="2089" spans="1:13" x14ac:dyDescent="0.3">
      <c r="A2089" s="1">
        <v>46018</v>
      </c>
      <c r="B2089" s="2" t="s">
        <v>2630</v>
      </c>
      <c r="C2089" s="2" t="s">
        <v>2515</v>
      </c>
      <c r="D2089" s="2" t="s">
        <v>2525</v>
      </c>
      <c r="E2089" s="2" t="s">
        <v>2517</v>
      </c>
      <c r="F2089" s="3">
        <v>57983</v>
      </c>
      <c r="G2089" s="3">
        <v>2757</v>
      </c>
      <c r="H2089" s="3">
        <v>248</v>
      </c>
      <c r="I2089" s="4">
        <v>5114.08</v>
      </c>
      <c r="J2089" s="4">
        <v>24256.77</v>
      </c>
      <c r="K2089" s="3">
        <v>133</v>
      </c>
      <c r="L2089" s="2" t="s">
        <v>2518</v>
      </c>
      <c r="M2089" s="2" t="s">
        <v>2524</v>
      </c>
    </row>
    <row r="2090" spans="1:13" x14ac:dyDescent="0.3">
      <c r="A2090" s="1">
        <v>45730</v>
      </c>
      <c r="B2090" s="2" t="s">
        <v>2638</v>
      </c>
      <c r="C2090" s="2" t="s">
        <v>2543</v>
      </c>
      <c r="D2090" s="2" t="s">
        <v>2525</v>
      </c>
      <c r="E2090" s="2" t="s">
        <v>2529</v>
      </c>
      <c r="F2090" s="3">
        <v>175397</v>
      </c>
      <c r="G2090" s="3">
        <v>15195</v>
      </c>
      <c r="H2090" s="3">
        <v>1073</v>
      </c>
      <c r="I2090" s="4">
        <v>29749.360000000001</v>
      </c>
      <c r="J2090" s="4">
        <v>162478.39000000001</v>
      </c>
      <c r="K2090" s="3">
        <v>673</v>
      </c>
      <c r="L2090" s="2" t="s">
        <v>2539</v>
      </c>
      <c r="M2090" s="2" t="s">
        <v>2526</v>
      </c>
    </row>
    <row r="2091" spans="1:13" x14ac:dyDescent="0.3">
      <c r="A2091" s="1">
        <v>45744</v>
      </c>
      <c r="B2091" s="2" t="s">
        <v>2635</v>
      </c>
      <c r="C2091" s="2" t="s">
        <v>2521</v>
      </c>
      <c r="D2091" s="2" t="s">
        <v>2525</v>
      </c>
      <c r="E2091" s="2" t="s">
        <v>2529</v>
      </c>
      <c r="F2091" s="3">
        <v>9244</v>
      </c>
      <c r="G2091" s="3">
        <v>527</v>
      </c>
      <c r="H2091" s="3">
        <v>22</v>
      </c>
      <c r="I2091" s="4">
        <v>294.24</v>
      </c>
      <c r="J2091" s="4">
        <v>3608.86</v>
      </c>
      <c r="K2091" s="3">
        <v>17</v>
      </c>
      <c r="L2091" s="2" t="s">
        <v>2536</v>
      </c>
      <c r="M2091" s="2" t="s">
        <v>2537</v>
      </c>
    </row>
    <row r="2092" spans="1:13" x14ac:dyDescent="0.3">
      <c r="A2092" s="1">
        <v>45955</v>
      </c>
      <c r="B2092" s="2" t="s">
        <v>2639</v>
      </c>
      <c r="C2092" s="2" t="s">
        <v>2541</v>
      </c>
      <c r="D2092" s="2" t="s">
        <v>2531</v>
      </c>
      <c r="E2092" s="2" t="s">
        <v>2517</v>
      </c>
      <c r="F2092" s="3">
        <v>91158</v>
      </c>
      <c r="G2092" s="3">
        <v>1012</v>
      </c>
      <c r="H2092" s="3">
        <v>127</v>
      </c>
      <c r="I2092" s="4">
        <v>1820.13</v>
      </c>
      <c r="J2092" s="4">
        <v>25754.37</v>
      </c>
      <c r="K2092" s="3">
        <v>71</v>
      </c>
      <c r="L2092" s="2" t="s">
        <v>2536</v>
      </c>
      <c r="M2092" s="2" t="s">
        <v>2524</v>
      </c>
    </row>
    <row r="2093" spans="1:13" x14ac:dyDescent="0.3">
      <c r="A2093" s="1">
        <v>45730</v>
      </c>
      <c r="B2093" s="2" t="s">
        <v>2644</v>
      </c>
      <c r="C2093" s="2" t="s">
        <v>2527</v>
      </c>
      <c r="D2093" s="2" t="s">
        <v>2528</v>
      </c>
      <c r="E2093" s="2" t="s">
        <v>2529</v>
      </c>
      <c r="F2093" s="3">
        <v>53224</v>
      </c>
      <c r="G2093" s="3">
        <v>2096</v>
      </c>
      <c r="H2093" s="3">
        <v>93</v>
      </c>
      <c r="I2093" s="4">
        <v>4157.59</v>
      </c>
      <c r="J2093" s="4">
        <v>5710.81</v>
      </c>
      <c r="K2093" s="3">
        <v>75</v>
      </c>
      <c r="L2093" s="2" t="s">
        <v>2536</v>
      </c>
      <c r="M2093" s="2" t="s">
        <v>2537</v>
      </c>
    </row>
    <row r="2094" spans="1:13" x14ac:dyDescent="0.3">
      <c r="A2094" s="1">
        <v>45827</v>
      </c>
      <c r="B2094" s="2" t="s">
        <v>2630</v>
      </c>
      <c r="C2094" s="2" t="s">
        <v>2521</v>
      </c>
      <c r="D2094" s="2" t="s">
        <v>2525</v>
      </c>
      <c r="E2094" s="2" t="s">
        <v>2517</v>
      </c>
      <c r="F2094" s="3">
        <v>156433</v>
      </c>
      <c r="G2094" s="3">
        <v>12906</v>
      </c>
      <c r="H2094" s="3">
        <v>1134</v>
      </c>
      <c r="I2094" s="4">
        <v>11515.33</v>
      </c>
      <c r="J2094" s="4">
        <v>30592.76</v>
      </c>
      <c r="K2094" s="3">
        <v>881</v>
      </c>
      <c r="L2094" s="2" t="s">
        <v>2518</v>
      </c>
      <c r="M2094" s="2" t="s">
        <v>2519</v>
      </c>
    </row>
    <row r="2095" spans="1:13" x14ac:dyDescent="0.3">
      <c r="A2095" s="1">
        <v>45824</v>
      </c>
      <c r="B2095" s="2" t="s">
        <v>2632</v>
      </c>
      <c r="C2095" s="2" t="s">
        <v>2543</v>
      </c>
      <c r="D2095" s="2" t="s">
        <v>2531</v>
      </c>
      <c r="E2095" s="2" t="s">
        <v>2534</v>
      </c>
      <c r="F2095" s="3">
        <v>84387</v>
      </c>
      <c r="G2095" s="3">
        <v>4921</v>
      </c>
      <c r="H2095" s="3">
        <v>92</v>
      </c>
      <c r="I2095" s="4">
        <v>9780.67</v>
      </c>
      <c r="J2095" s="4">
        <v>6261.48</v>
      </c>
      <c r="K2095" s="3">
        <v>49</v>
      </c>
      <c r="L2095" s="2" t="s">
        <v>2518</v>
      </c>
      <c r="M2095" s="2" t="s">
        <v>2537</v>
      </c>
    </row>
    <row r="2096" spans="1:13" x14ac:dyDescent="0.3">
      <c r="A2096" s="1">
        <v>45723</v>
      </c>
      <c r="B2096" s="2" t="s">
        <v>2642</v>
      </c>
      <c r="C2096" s="2" t="s">
        <v>2521</v>
      </c>
      <c r="D2096" s="2" t="s">
        <v>2528</v>
      </c>
      <c r="E2096" s="2" t="s">
        <v>2517</v>
      </c>
      <c r="F2096" s="3">
        <v>8364</v>
      </c>
      <c r="G2096" s="3">
        <v>123</v>
      </c>
      <c r="H2096" s="3">
        <v>9</v>
      </c>
      <c r="I2096" s="4">
        <v>71.52</v>
      </c>
      <c r="J2096" s="4">
        <v>253.81</v>
      </c>
      <c r="K2096" s="3">
        <v>6</v>
      </c>
      <c r="L2096" s="2" t="s">
        <v>2518</v>
      </c>
      <c r="M2096" s="2" t="s">
        <v>2546</v>
      </c>
    </row>
    <row r="2097" spans="1:13" x14ac:dyDescent="0.3">
      <c r="A2097" s="1">
        <v>45901</v>
      </c>
      <c r="B2097" s="2" t="s">
        <v>2631</v>
      </c>
      <c r="C2097" s="2" t="s">
        <v>2527</v>
      </c>
      <c r="D2097" s="2" t="s">
        <v>2516</v>
      </c>
      <c r="E2097" s="2" t="s">
        <v>2517</v>
      </c>
      <c r="F2097" s="3">
        <v>151532</v>
      </c>
      <c r="G2097" s="3">
        <v>12136</v>
      </c>
      <c r="H2097" s="3">
        <v>135</v>
      </c>
      <c r="I2097" s="4">
        <v>17153.29</v>
      </c>
      <c r="J2097" s="4">
        <v>15798.49</v>
      </c>
      <c r="K2097" s="3">
        <v>118</v>
      </c>
      <c r="L2097" s="2" t="s">
        <v>2539</v>
      </c>
      <c r="M2097" s="2" t="s">
        <v>2524</v>
      </c>
    </row>
    <row r="2098" spans="1:13" x14ac:dyDescent="0.3">
      <c r="A2098" s="1">
        <v>45930</v>
      </c>
      <c r="B2098" s="2" t="s">
        <v>2624</v>
      </c>
      <c r="C2098" s="2" t="s">
        <v>2521</v>
      </c>
      <c r="D2098" s="2" t="s">
        <v>2522</v>
      </c>
      <c r="E2098" s="2" t="s">
        <v>2517</v>
      </c>
      <c r="F2098" s="3">
        <v>144892</v>
      </c>
      <c r="G2098" s="3">
        <v>7727</v>
      </c>
      <c r="H2098" s="3">
        <v>951</v>
      </c>
      <c r="I2098" s="4">
        <v>1167.5999999999999</v>
      </c>
      <c r="J2098" s="4">
        <v>142820.71</v>
      </c>
      <c r="K2098" s="3">
        <v>533</v>
      </c>
      <c r="L2098" s="2" t="s">
        <v>2523</v>
      </c>
      <c r="M2098" s="2" t="s">
        <v>2526</v>
      </c>
    </row>
    <row r="2099" spans="1:13" x14ac:dyDescent="0.3">
      <c r="A2099" s="1">
        <v>45750</v>
      </c>
      <c r="B2099" s="2" t="s">
        <v>2643</v>
      </c>
      <c r="C2099" s="2" t="s">
        <v>2541</v>
      </c>
      <c r="D2099" s="2" t="s">
        <v>2516</v>
      </c>
      <c r="E2099" s="2" t="s">
        <v>2529</v>
      </c>
      <c r="F2099" s="3">
        <v>150028</v>
      </c>
      <c r="G2099" s="3">
        <v>5060</v>
      </c>
      <c r="H2099" s="3">
        <v>514</v>
      </c>
      <c r="I2099" s="4">
        <v>2164.09</v>
      </c>
      <c r="J2099" s="4">
        <v>63297.43</v>
      </c>
      <c r="K2099" s="3">
        <v>296</v>
      </c>
      <c r="L2099" s="2" t="s">
        <v>2536</v>
      </c>
      <c r="M2099" s="2" t="s">
        <v>2519</v>
      </c>
    </row>
    <row r="2100" spans="1:13" x14ac:dyDescent="0.3">
      <c r="A2100" s="1">
        <v>45744</v>
      </c>
      <c r="B2100" s="2" t="s">
        <v>2643</v>
      </c>
      <c r="C2100" s="2" t="s">
        <v>2543</v>
      </c>
      <c r="D2100" s="2" t="s">
        <v>2531</v>
      </c>
      <c r="E2100" s="2" t="s">
        <v>2517</v>
      </c>
      <c r="F2100" s="3">
        <v>34270</v>
      </c>
      <c r="G2100" s="3">
        <v>2993</v>
      </c>
      <c r="H2100" s="3">
        <v>48</v>
      </c>
      <c r="I2100" s="4">
        <v>5345.06</v>
      </c>
      <c r="J2100" s="4">
        <v>3864.37</v>
      </c>
      <c r="K2100" s="3">
        <v>29</v>
      </c>
      <c r="L2100" s="2" t="s">
        <v>2523</v>
      </c>
      <c r="M2100" s="2" t="s">
        <v>2519</v>
      </c>
    </row>
    <row r="2101" spans="1:13" x14ac:dyDescent="0.3">
      <c r="A2101" s="1">
        <v>45732</v>
      </c>
      <c r="B2101" s="2" t="s">
        <v>2640</v>
      </c>
      <c r="C2101" s="2" t="s">
        <v>2533</v>
      </c>
      <c r="D2101" s="2" t="s">
        <v>2525</v>
      </c>
      <c r="E2101" s="2" t="s">
        <v>2517</v>
      </c>
      <c r="F2101" s="3">
        <v>1874</v>
      </c>
      <c r="G2101" s="3">
        <v>99</v>
      </c>
      <c r="H2101" s="3">
        <v>5</v>
      </c>
      <c r="I2101" s="4">
        <v>83.64</v>
      </c>
      <c r="J2101" s="4">
        <v>689.95</v>
      </c>
      <c r="K2101" s="3">
        <v>2</v>
      </c>
      <c r="L2101" s="2" t="s">
        <v>2523</v>
      </c>
      <c r="M2101" s="2" t="s">
        <v>2546</v>
      </c>
    </row>
    <row r="2102" spans="1:13" x14ac:dyDescent="0.3">
      <c r="A2102" s="1">
        <v>45785</v>
      </c>
      <c r="B2102" s="2" t="s">
        <v>2644</v>
      </c>
      <c r="C2102" s="2" t="s">
        <v>2515</v>
      </c>
      <c r="D2102" s="2" t="s">
        <v>2531</v>
      </c>
      <c r="E2102" s="2" t="s">
        <v>2517</v>
      </c>
      <c r="F2102" s="3">
        <v>137094</v>
      </c>
      <c r="G2102" s="3">
        <v>7774</v>
      </c>
      <c r="H2102" s="3">
        <v>393</v>
      </c>
      <c r="I2102" s="4">
        <v>14541.86</v>
      </c>
      <c r="J2102" s="4">
        <v>20997.77</v>
      </c>
      <c r="K2102" s="3">
        <v>343</v>
      </c>
      <c r="L2102" s="2" t="s">
        <v>2536</v>
      </c>
      <c r="M2102" s="2" t="s">
        <v>2526</v>
      </c>
    </row>
    <row r="2103" spans="1:13" x14ac:dyDescent="0.3">
      <c r="A2103" s="1">
        <v>45737</v>
      </c>
      <c r="B2103" s="2" t="s">
        <v>2628</v>
      </c>
      <c r="C2103" s="2" t="s">
        <v>2515</v>
      </c>
      <c r="D2103" s="2" t="s">
        <v>2528</v>
      </c>
      <c r="E2103" s="2" t="s">
        <v>2529</v>
      </c>
      <c r="F2103" s="3">
        <v>136032</v>
      </c>
      <c r="G2103" s="3">
        <v>1613</v>
      </c>
      <c r="H2103" s="3">
        <v>151</v>
      </c>
      <c r="I2103" s="4">
        <v>1596</v>
      </c>
      <c r="J2103" s="4">
        <v>5546.95</v>
      </c>
      <c r="K2103" s="3">
        <v>109</v>
      </c>
      <c r="L2103" s="2" t="s">
        <v>2523</v>
      </c>
      <c r="M2103" s="2" t="s">
        <v>2537</v>
      </c>
    </row>
    <row r="2104" spans="1:13" x14ac:dyDescent="0.3">
      <c r="A2104" s="1">
        <v>45887</v>
      </c>
      <c r="B2104" s="2" t="s">
        <v>2615</v>
      </c>
      <c r="C2104" s="2" t="s">
        <v>2533</v>
      </c>
      <c r="D2104" s="2" t="s">
        <v>2528</v>
      </c>
      <c r="E2104" s="2" t="s">
        <v>2529</v>
      </c>
      <c r="F2104" s="3">
        <v>64229</v>
      </c>
      <c r="G2104" s="3">
        <v>4631</v>
      </c>
      <c r="H2104" s="3">
        <v>51</v>
      </c>
      <c r="I2104" s="4">
        <v>7902.36</v>
      </c>
      <c r="J2104" s="4">
        <v>1897.58</v>
      </c>
      <c r="K2104" s="3">
        <v>23</v>
      </c>
      <c r="L2104" s="2" t="s">
        <v>2523</v>
      </c>
      <c r="M2104" s="2" t="s">
        <v>2526</v>
      </c>
    </row>
    <row r="2105" spans="1:13" x14ac:dyDescent="0.3">
      <c r="A2105" s="1">
        <v>45771</v>
      </c>
      <c r="B2105" s="2" t="s">
        <v>2644</v>
      </c>
      <c r="C2105" s="2" t="s">
        <v>2521</v>
      </c>
      <c r="D2105" s="2" t="s">
        <v>2516</v>
      </c>
      <c r="E2105" s="2" t="s">
        <v>2529</v>
      </c>
      <c r="F2105" s="3">
        <v>105694</v>
      </c>
      <c r="G2105" s="3">
        <v>837</v>
      </c>
      <c r="H2105" s="3">
        <v>16</v>
      </c>
      <c r="I2105" s="4">
        <v>1376.23</v>
      </c>
      <c r="J2105" s="4">
        <v>607</v>
      </c>
      <c r="K2105" s="3">
        <v>11</v>
      </c>
      <c r="L2105" s="2" t="s">
        <v>2536</v>
      </c>
      <c r="M2105" s="2" t="s">
        <v>2526</v>
      </c>
    </row>
    <row r="2106" spans="1:13" x14ac:dyDescent="0.3">
      <c r="A2106" s="1">
        <v>45872</v>
      </c>
      <c r="B2106" s="2" t="s">
        <v>2644</v>
      </c>
      <c r="C2106" s="2" t="s">
        <v>2543</v>
      </c>
      <c r="D2106" s="2" t="s">
        <v>2528</v>
      </c>
      <c r="E2106" s="2" t="s">
        <v>2529</v>
      </c>
      <c r="F2106" s="3">
        <v>158706</v>
      </c>
      <c r="G2106" s="3">
        <v>11332</v>
      </c>
      <c r="H2106" s="3">
        <v>1074</v>
      </c>
      <c r="I2106" s="4">
        <v>11128.01</v>
      </c>
      <c r="J2106" s="4">
        <v>193634.02</v>
      </c>
      <c r="K2106" s="3">
        <v>666</v>
      </c>
      <c r="L2106" s="2" t="s">
        <v>2518</v>
      </c>
      <c r="M2106" s="2" t="s">
        <v>2519</v>
      </c>
    </row>
    <row r="2107" spans="1:13" x14ac:dyDescent="0.3">
      <c r="A2107" s="1">
        <v>45786</v>
      </c>
      <c r="B2107" s="2" t="s">
        <v>2623</v>
      </c>
      <c r="C2107" s="2" t="s">
        <v>2521</v>
      </c>
      <c r="D2107" s="2" t="s">
        <v>2516</v>
      </c>
      <c r="E2107" s="2" t="s">
        <v>2517</v>
      </c>
      <c r="F2107" s="3">
        <v>3407</v>
      </c>
      <c r="G2107" s="3">
        <v>24</v>
      </c>
      <c r="H2107" s="3">
        <v>1</v>
      </c>
      <c r="I2107" s="4">
        <v>39.200000000000003</v>
      </c>
      <c r="J2107" s="4">
        <v>172.19</v>
      </c>
      <c r="K2107" s="3">
        <v>0</v>
      </c>
      <c r="L2107" s="2" t="s">
        <v>2536</v>
      </c>
      <c r="M2107" s="2" t="s">
        <v>2524</v>
      </c>
    </row>
    <row r="2108" spans="1:13" x14ac:dyDescent="0.3">
      <c r="A2108" s="1">
        <v>45785</v>
      </c>
      <c r="B2108" s="2" t="s">
        <v>2637</v>
      </c>
      <c r="C2108" s="2" t="s">
        <v>2521</v>
      </c>
      <c r="D2108" s="2" t="s">
        <v>2525</v>
      </c>
      <c r="E2108" s="2" t="s">
        <v>2517</v>
      </c>
      <c r="F2108" s="3">
        <v>124110</v>
      </c>
      <c r="G2108" s="3">
        <v>1751</v>
      </c>
      <c r="H2108" s="3">
        <v>47</v>
      </c>
      <c r="I2108" s="4">
        <v>3573.66</v>
      </c>
      <c r="J2108" s="4">
        <v>8694.34</v>
      </c>
      <c r="K2108" s="3">
        <v>38</v>
      </c>
      <c r="L2108" s="2" t="s">
        <v>2539</v>
      </c>
      <c r="M2108" s="2" t="s">
        <v>2546</v>
      </c>
    </row>
    <row r="2109" spans="1:13" x14ac:dyDescent="0.3">
      <c r="A2109" s="1">
        <v>45732</v>
      </c>
      <c r="B2109" s="2" t="s">
        <v>2636</v>
      </c>
      <c r="C2109" s="2" t="s">
        <v>2527</v>
      </c>
      <c r="D2109" s="2" t="s">
        <v>2528</v>
      </c>
      <c r="E2109" s="2" t="s">
        <v>2517</v>
      </c>
      <c r="F2109" s="3">
        <v>103870</v>
      </c>
      <c r="G2109" s="3">
        <v>2016</v>
      </c>
      <c r="H2109" s="3">
        <v>70</v>
      </c>
      <c r="I2109" s="4">
        <v>3023.26</v>
      </c>
      <c r="J2109" s="4">
        <v>4189.51</v>
      </c>
      <c r="K2109" s="3">
        <v>44</v>
      </c>
      <c r="L2109" s="2" t="s">
        <v>2536</v>
      </c>
      <c r="M2109" s="2" t="s">
        <v>2537</v>
      </c>
    </row>
    <row r="2110" spans="1:13" x14ac:dyDescent="0.3">
      <c r="A2110" s="1">
        <v>45730</v>
      </c>
      <c r="B2110" s="2" t="s">
        <v>2619</v>
      </c>
      <c r="C2110" s="2" t="s">
        <v>2541</v>
      </c>
      <c r="D2110" s="2" t="s">
        <v>2528</v>
      </c>
      <c r="E2110" s="2" t="s">
        <v>2529</v>
      </c>
      <c r="F2110" s="3">
        <v>75381</v>
      </c>
      <c r="G2110" s="3">
        <v>1741</v>
      </c>
      <c r="H2110" s="3">
        <v>218</v>
      </c>
      <c r="I2110" s="4">
        <v>1732.43</v>
      </c>
      <c r="J2110" s="4">
        <v>32543.71</v>
      </c>
      <c r="K2110" s="3">
        <v>98</v>
      </c>
      <c r="L2110" s="2" t="s">
        <v>2518</v>
      </c>
      <c r="M2110" s="2" t="s">
        <v>2524</v>
      </c>
    </row>
    <row r="2111" spans="1:13" x14ac:dyDescent="0.3">
      <c r="A2111" s="1">
        <v>45680</v>
      </c>
      <c r="B2111" s="2" t="s">
        <v>2642</v>
      </c>
      <c r="C2111" s="2" t="s">
        <v>2521</v>
      </c>
      <c r="D2111" s="2" t="s">
        <v>2531</v>
      </c>
      <c r="E2111" s="2" t="s">
        <v>2517</v>
      </c>
      <c r="F2111" s="3">
        <v>171176</v>
      </c>
      <c r="G2111" s="3">
        <v>11005</v>
      </c>
      <c r="H2111" s="3">
        <v>724</v>
      </c>
      <c r="I2111" s="4">
        <v>20071.7</v>
      </c>
      <c r="J2111" s="4">
        <v>22382.26</v>
      </c>
      <c r="K2111" s="3">
        <v>527</v>
      </c>
      <c r="L2111" s="2" t="s">
        <v>2536</v>
      </c>
      <c r="M2111" s="2" t="s">
        <v>2546</v>
      </c>
    </row>
    <row r="2112" spans="1:13" x14ac:dyDescent="0.3">
      <c r="A2112" s="1">
        <v>46017</v>
      </c>
      <c r="B2112" s="2" t="s">
        <v>2617</v>
      </c>
      <c r="C2112" s="2" t="s">
        <v>2543</v>
      </c>
      <c r="D2112" s="2" t="s">
        <v>2528</v>
      </c>
      <c r="E2112" s="2" t="s">
        <v>2517</v>
      </c>
      <c r="F2112" s="3">
        <v>134355</v>
      </c>
      <c r="G2112" s="3">
        <v>867</v>
      </c>
      <c r="H2112" s="3">
        <v>27</v>
      </c>
      <c r="I2112" s="4">
        <v>1778.99</v>
      </c>
      <c r="J2112" s="4">
        <v>4043.15</v>
      </c>
      <c r="K2112" s="3">
        <v>21</v>
      </c>
      <c r="L2112" s="2" t="s">
        <v>2523</v>
      </c>
      <c r="M2112" s="2" t="s">
        <v>2537</v>
      </c>
    </row>
    <row r="2113" spans="1:13" x14ac:dyDescent="0.3">
      <c r="A2113" s="1">
        <v>45986</v>
      </c>
      <c r="B2113" s="2" t="s">
        <v>2626</v>
      </c>
      <c r="C2113" s="2" t="s">
        <v>2527</v>
      </c>
      <c r="D2113" s="2" t="s">
        <v>2528</v>
      </c>
      <c r="E2113" s="2" t="s">
        <v>2529</v>
      </c>
      <c r="F2113" s="3">
        <v>152677</v>
      </c>
      <c r="G2113" s="3">
        <v>12307</v>
      </c>
      <c r="H2113" s="3">
        <v>585</v>
      </c>
      <c r="I2113" s="4">
        <v>5434.15</v>
      </c>
      <c r="J2113" s="4">
        <v>12185.95</v>
      </c>
      <c r="K2113" s="3">
        <v>501</v>
      </c>
      <c r="L2113" s="2" t="s">
        <v>2518</v>
      </c>
      <c r="M2113" s="2" t="s">
        <v>2546</v>
      </c>
    </row>
    <row r="2114" spans="1:13" x14ac:dyDescent="0.3">
      <c r="A2114" s="1">
        <v>45804</v>
      </c>
      <c r="B2114" s="2" t="s">
        <v>2619</v>
      </c>
      <c r="C2114" s="2" t="s">
        <v>2521</v>
      </c>
      <c r="D2114" s="2" t="s">
        <v>2528</v>
      </c>
      <c r="E2114" s="2" t="s">
        <v>2529</v>
      </c>
      <c r="F2114" s="3">
        <v>47951</v>
      </c>
      <c r="G2114" s="3">
        <v>896</v>
      </c>
      <c r="H2114" s="3">
        <v>43</v>
      </c>
      <c r="I2114" s="4">
        <v>1668.04</v>
      </c>
      <c r="J2114" s="4">
        <v>2366.06</v>
      </c>
      <c r="K2114" s="3">
        <v>28</v>
      </c>
      <c r="L2114" s="2" t="s">
        <v>2536</v>
      </c>
      <c r="M2114" s="2" t="s">
        <v>2519</v>
      </c>
    </row>
    <row r="2115" spans="1:13" x14ac:dyDescent="0.3">
      <c r="A2115" s="1">
        <v>45674</v>
      </c>
      <c r="B2115" s="2" t="s">
        <v>2622</v>
      </c>
      <c r="C2115" s="2" t="s">
        <v>2541</v>
      </c>
      <c r="D2115" s="2" t="s">
        <v>2528</v>
      </c>
      <c r="E2115" s="2" t="s">
        <v>2529</v>
      </c>
      <c r="F2115" s="3">
        <v>17221</v>
      </c>
      <c r="G2115" s="3">
        <v>1244</v>
      </c>
      <c r="H2115" s="3">
        <v>123</v>
      </c>
      <c r="I2115" s="4">
        <v>1902.44</v>
      </c>
      <c r="J2115" s="4">
        <v>23709.45</v>
      </c>
      <c r="K2115" s="3">
        <v>80</v>
      </c>
      <c r="L2115" s="2" t="s">
        <v>2536</v>
      </c>
      <c r="M2115" s="2" t="s">
        <v>2524</v>
      </c>
    </row>
    <row r="2116" spans="1:13" x14ac:dyDescent="0.3">
      <c r="A2116" s="1">
        <v>45714</v>
      </c>
      <c r="B2116" s="2" t="s">
        <v>2624</v>
      </c>
      <c r="C2116" s="2" t="s">
        <v>2533</v>
      </c>
      <c r="D2116" s="2" t="s">
        <v>2528</v>
      </c>
      <c r="E2116" s="2" t="s">
        <v>2529</v>
      </c>
      <c r="F2116" s="3">
        <v>64373</v>
      </c>
      <c r="G2116" s="3">
        <v>1115</v>
      </c>
      <c r="H2116" s="3">
        <v>122</v>
      </c>
      <c r="I2116" s="4">
        <v>962.21</v>
      </c>
      <c r="J2116" s="4">
        <v>12517.02</v>
      </c>
      <c r="K2116" s="3">
        <v>98</v>
      </c>
      <c r="L2116" s="2" t="s">
        <v>2536</v>
      </c>
      <c r="M2116" s="2" t="s">
        <v>2537</v>
      </c>
    </row>
    <row r="2117" spans="1:13" x14ac:dyDescent="0.3">
      <c r="A2117" s="1">
        <v>45873</v>
      </c>
      <c r="B2117" s="2" t="s">
        <v>2623</v>
      </c>
      <c r="C2117" s="2" t="s">
        <v>2541</v>
      </c>
      <c r="D2117" s="2" t="s">
        <v>2528</v>
      </c>
      <c r="E2117" s="2" t="s">
        <v>2517</v>
      </c>
      <c r="F2117" s="3">
        <v>74397</v>
      </c>
      <c r="G2117" s="3">
        <v>1633</v>
      </c>
      <c r="H2117" s="3">
        <v>213</v>
      </c>
      <c r="I2117" s="4">
        <v>689.46</v>
      </c>
      <c r="J2117" s="4">
        <v>20691.45</v>
      </c>
      <c r="K2117" s="3">
        <v>95</v>
      </c>
      <c r="L2117" s="2" t="s">
        <v>2523</v>
      </c>
      <c r="M2117" s="2" t="s">
        <v>2519</v>
      </c>
    </row>
    <row r="2118" spans="1:13" x14ac:dyDescent="0.3">
      <c r="A2118" s="1">
        <v>45936</v>
      </c>
      <c r="B2118" s="2" t="s">
        <v>2628</v>
      </c>
      <c r="C2118" s="2" t="s">
        <v>2521</v>
      </c>
      <c r="D2118" s="2" t="s">
        <v>2525</v>
      </c>
      <c r="E2118" s="2" t="s">
        <v>2517</v>
      </c>
      <c r="F2118" s="3">
        <v>68463</v>
      </c>
      <c r="G2118" s="3">
        <v>2798</v>
      </c>
      <c r="H2118" s="3">
        <v>113</v>
      </c>
      <c r="I2118" s="4">
        <v>5291.64</v>
      </c>
      <c r="J2118" s="4">
        <v>20327.22</v>
      </c>
      <c r="K2118" s="3">
        <v>80</v>
      </c>
      <c r="L2118" s="2" t="s">
        <v>2539</v>
      </c>
      <c r="M2118" s="2" t="s">
        <v>2546</v>
      </c>
    </row>
    <row r="2119" spans="1:13" x14ac:dyDescent="0.3">
      <c r="A2119" s="1">
        <v>45899</v>
      </c>
      <c r="B2119" s="2" t="s">
        <v>2639</v>
      </c>
      <c r="C2119" s="2" t="s">
        <v>2543</v>
      </c>
      <c r="D2119" s="2" t="s">
        <v>2528</v>
      </c>
      <c r="E2119" s="2" t="s">
        <v>2517</v>
      </c>
      <c r="F2119" s="3">
        <v>118978</v>
      </c>
      <c r="G2119" s="3">
        <v>8992</v>
      </c>
      <c r="H2119" s="3">
        <v>1171</v>
      </c>
      <c r="I2119" s="4">
        <v>1391.39</v>
      </c>
      <c r="J2119" s="4">
        <v>203724.65</v>
      </c>
      <c r="K2119" s="3">
        <v>557</v>
      </c>
      <c r="L2119" s="2" t="s">
        <v>2536</v>
      </c>
      <c r="M2119" s="2" t="s">
        <v>2546</v>
      </c>
    </row>
    <row r="2120" spans="1:13" x14ac:dyDescent="0.3">
      <c r="A2120" s="1">
        <v>45716</v>
      </c>
      <c r="B2120" s="2" t="s">
        <v>2641</v>
      </c>
      <c r="C2120" s="2" t="s">
        <v>2515</v>
      </c>
      <c r="D2120" s="2" t="s">
        <v>2525</v>
      </c>
      <c r="E2120" s="2" t="s">
        <v>2517</v>
      </c>
      <c r="F2120" s="3">
        <v>61899</v>
      </c>
      <c r="G2120" s="3">
        <v>2080</v>
      </c>
      <c r="H2120" s="3">
        <v>133</v>
      </c>
      <c r="I2120" s="4">
        <v>3165.87</v>
      </c>
      <c r="J2120" s="4">
        <v>7164.27</v>
      </c>
      <c r="K2120" s="3">
        <v>91</v>
      </c>
      <c r="L2120" s="2" t="s">
        <v>2539</v>
      </c>
      <c r="M2120" s="2" t="s">
        <v>2537</v>
      </c>
    </row>
    <row r="2121" spans="1:13" x14ac:dyDescent="0.3">
      <c r="A2121" s="1">
        <v>45954</v>
      </c>
      <c r="B2121" s="2" t="s">
        <v>2634</v>
      </c>
      <c r="C2121" s="2" t="s">
        <v>2527</v>
      </c>
      <c r="D2121" s="2" t="s">
        <v>2525</v>
      </c>
      <c r="E2121" s="2" t="s">
        <v>2517</v>
      </c>
      <c r="F2121" s="3">
        <v>38441</v>
      </c>
      <c r="G2121" s="3">
        <v>1203</v>
      </c>
      <c r="H2121" s="3">
        <v>83</v>
      </c>
      <c r="I2121" s="4">
        <v>353</v>
      </c>
      <c r="J2121" s="4">
        <v>4209.84</v>
      </c>
      <c r="K2121" s="3">
        <v>45</v>
      </c>
      <c r="L2121" s="2" t="s">
        <v>2539</v>
      </c>
      <c r="M2121" s="2" t="s">
        <v>2526</v>
      </c>
    </row>
    <row r="2122" spans="1:13" x14ac:dyDescent="0.3">
      <c r="A2122" s="1">
        <v>45872</v>
      </c>
      <c r="B2122" s="2" t="s">
        <v>2617</v>
      </c>
      <c r="C2122" s="2" t="s">
        <v>2515</v>
      </c>
      <c r="D2122" s="2" t="s">
        <v>2528</v>
      </c>
      <c r="E2122" s="2" t="s">
        <v>2517</v>
      </c>
      <c r="F2122" s="3">
        <v>179572</v>
      </c>
      <c r="G2122" s="3">
        <v>12201</v>
      </c>
      <c r="H2122" s="3">
        <v>942</v>
      </c>
      <c r="I2122" s="4">
        <v>13510.98</v>
      </c>
      <c r="J2122" s="4">
        <v>167325.26999999999</v>
      </c>
      <c r="K2122" s="3">
        <v>512</v>
      </c>
      <c r="L2122" s="2" t="s">
        <v>2518</v>
      </c>
      <c r="M2122" s="2" t="s">
        <v>2519</v>
      </c>
    </row>
    <row r="2123" spans="1:13" x14ac:dyDescent="0.3">
      <c r="A2123" s="1">
        <v>45825</v>
      </c>
      <c r="B2123" s="2" t="s">
        <v>2642</v>
      </c>
      <c r="C2123" s="2" t="s">
        <v>2541</v>
      </c>
      <c r="D2123" s="2" t="s">
        <v>2516</v>
      </c>
      <c r="E2123" s="2" t="s">
        <v>2517</v>
      </c>
      <c r="F2123" s="3">
        <v>15935</v>
      </c>
      <c r="G2123" s="3">
        <v>1301</v>
      </c>
      <c r="H2123" s="3">
        <v>115</v>
      </c>
      <c r="I2123" s="4">
        <v>1238.22</v>
      </c>
      <c r="J2123" s="4">
        <v>12768.87</v>
      </c>
      <c r="K2123" s="3">
        <v>91</v>
      </c>
      <c r="L2123" s="2" t="s">
        <v>2523</v>
      </c>
      <c r="M2123" s="2" t="s">
        <v>2546</v>
      </c>
    </row>
    <row r="2124" spans="1:13" x14ac:dyDescent="0.3">
      <c r="A2124" s="1">
        <v>45772</v>
      </c>
      <c r="B2124" s="2" t="s">
        <v>2617</v>
      </c>
      <c r="C2124" s="2" t="s">
        <v>2533</v>
      </c>
      <c r="D2124" s="2" t="s">
        <v>2522</v>
      </c>
      <c r="E2124" s="2" t="s">
        <v>2529</v>
      </c>
      <c r="F2124" s="3">
        <v>72739</v>
      </c>
      <c r="G2124" s="3">
        <v>1797</v>
      </c>
      <c r="H2124" s="3">
        <v>77</v>
      </c>
      <c r="I2124" s="4">
        <v>2076.1799999999998</v>
      </c>
      <c r="J2124" s="4">
        <v>10066.379999999999</v>
      </c>
      <c r="K2124" s="3">
        <v>39</v>
      </c>
      <c r="L2124" s="2" t="s">
        <v>2518</v>
      </c>
      <c r="M2124" s="2" t="s">
        <v>2519</v>
      </c>
    </row>
    <row r="2125" spans="1:13" x14ac:dyDescent="0.3">
      <c r="A2125" s="1">
        <v>45898</v>
      </c>
      <c r="B2125" s="2" t="s">
        <v>2617</v>
      </c>
      <c r="C2125" s="2" t="s">
        <v>2533</v>
      </c>
      <c r="D2125" s="2" t="s">
        <v>2528</v>
      </c>
      <c r="E2125" s="2" t="s">
        <v>2529</v>
      </c>
      <c r="F2125" s="3">
        <v>112626</v>
      </c>
      <c r="G2125" s="3">
        <v>1406</v>
      </c>
      <c r="H2125" s="3">
        <v>18</v>
      </c>
      <c r="I2125" s="4">
        <v>289.36</v>
      </c>
      <c r="J2125" s="4">
        <v>805.83</v>
      </c>
      <c r="K2125" s="3">
        <v>13</v>
      </c>
      <c r="L2125" s="2" t="s">
        <v>2518</v>
      </c>
      <c r="M2125" s="2" t="s">
        <v>2546</v>
      </c>
    </row>
    <row r="2126" spans="1:13" x14ac:dyDescent="0.3">
      <c r="A2126" s="1">
        <v>45774</v>
      </c>
      <c r="B2126" s="2" t="s">
        <v>2627</v>
      </c>
      <c r="C2126" s="2" t="s">
        <v>2515</v>
      </c>
      <c r="D2126" s="2" t="s">
        <v>2528</v>
      </c>
      <c r="E2126" s="2" t="s">
        <v>2529</v>
      </c>
      <c r="F2126" s="3">
        <v>79966</v>
      </c>
      <c r="G2126" s="3">
        <v>4398</v>
      </c>
      <c r="H2126" s="3">
        <v>360</v>
      </c>
      <c r="I2126" s="4">
        <v>7998.2</v>
      </c>
      <c r="J2126" s="4">
        <v>10434.65</v>
      </c>
      <c r="K2126" s="3">
        <v>237</v>
      </c>
      <c r="L2126" s="2" t="s">
        <v>2536</v>
      </c>
      <c r="M2126" s="2" t="s">
        <v>2526</v>
      </c>
    </row>
    <row r="2127" spans="1:13" x14ac:dyDescent="0.3">
      <c r="A2127" s="1">
        <v>45674</v>
      </c>
      <c r="B2127" s="2" t="s">
        <v>2622</v>
      </c>
      <c r="C2127" s="2" t="s">
        <v>2533</v>
      </c>
      <c r="D2127" s="2" t="s">
        <v>2522</v>
      </c>
      <c r="E2127" s="2" t="s">
        <v>2529</v>
      </c>
      <c r="F2127" s="3">
        <v>20288</v>
      </c>
      <c r="G2127" s="3">
        <v>863</v>
      </c>
      <c r="H2127" s="3">
        <v>29</v>
      </c>
      <c r="I2127" s="4">
        <v>974.74</v>
      </c>
      <c r="J2127" s="4">
        <v>4127.5600000000004</v>
      </c>
      <c r="K2127" s="3">
        <v>19</v>
      </c>
      <c r="L2127" s="2" t="s">
        <v>2518</v>
      </c>
      <c r="M2127" s="2" t="s">
        <v>2524</v>
      </c>
    </row>
    <row r="2128" spans="1:13" x14ac:dyDescent="0.3">
      <c r="A2128" s="1">
        <v>45913</v>
      </c>
      <c r="B2128" s="2" t="s">
        <v>2622</v>
      </c>
      <c r="C2128" s="2" t="s">
        <v>2541</v>
      </c>
      <c r="D2128" s="2" t="s">
        <v>2528</v>
      </c>
      <c r="E2128" s="2" t="s">
        <v>2517</v>
      </c>
      <c r="F2128" s="3">
        <v>179624</v>
      </c>
      <c r="G2128" s="3">
        <v>7442</v>
      </c>
      <c r="H2128" s="3">
        <v>712</v>
      </c>
      <c r="I2128" s="4">
        <v>5662.89</v>
      </c>
      <c r="J2128" s="4">
        <v>151077.67000000001</v>
      </c>
      <c r="K2128" s="3">
        <v>455</v>
      </c>
      <c r="L2128" s="2" t="s">
        <v>2536</v>
      </c>
      <c r="M2128" s="2" t="s">
        <v>2526</v>
      </c>
    </row>
    <row r="2129" spans="1:13" x14ac:dyDescent="0.3">
      <c r="A2129" s="1">
        <v>45704</v>
      </c>
      <c r="B2129" s="2" t="s">
        <v>2619</v>
      </c>
      <c r="C2129" s="2" t="s">
        <v>2543</v>
      </c>
      <c r="D2129" s="2" t="s">
        <v>2525</v>
      </c>
      <c r="E2129" s="2" t="s">
        <v>2517</v>
      </c>
      <c r="F2129" s="3">
        <v>131266</v>
      </c>
      <c r="G2129" s="3">
        <v>8744</v>
      </c>
      <c r="H2129" s="3">
        <v>394</v>
      </c>
      <c r="I2129" s="4">
        <v>1678.44</v>
      </c>
      <c r="J2129" s="4">
        <v>18661.669999999998</v>
      </c>
      <c r="K2129" s="3">
        <v>304</v>
      </c>
      <c r="L2129" s="2" t="s">
        <v>2518</v>
      </c>
      <c r="M2129" s="2" t="s">
        <v>2526</v>
      </c>
    </row>
    <row r="2130" spans="1:13" x14ac:dyDescent="0.3">
      <c r="A2130" s="1">
        <v>45707</v>
      </c>
      <c r="B2130" s="2" t="s">
        <v>2641</v>
      </c>
      <c r="C2130" s="2" t="s">
        <v>2543</v>
      </c>
      <c r="D2130" s="2" t="s">
        <v>2645</v>
      </c>
      <c r="E2130" s="2" t="s">
        <v>2517</v>
      </c>
      <c r="F2130" s="3">
        <v>62047</v>
      </c>
      <c r="G2130" s="3">
        <v>4603</v>
      </c>
      <c r="H2130" s="3">
        <v>213</v>
      </c>
      <c r="I2130" s="4">
        <v>8542.27</v>
      </c>
      <c r="J2130" s="4">
        <v>15293.41</v>
      </c>
      <c r="K2130" s="3">
        <v>123</v>
      </c>
      <c r="L2130" s="2" t="s">
        <v>2518</v>
      </c>
      <c r="M2130" s="2" t="s">
        <v>2519</v>
      </c>
    </row>
    <row r="2131" spans="1:13" x14ac:dyDescent="0.3">
      <c r="A2131" s="1">
        <v>45990</v>
      </c>
      <c r="B2131" s="2" t="s">
        <v>2627</v>
      </c>
      <c r="C2131" s="2" t="s">
        <v>2541</v>
      </c>
      <c r="D2131" s="2" t="s">
        <v>2528</v>
      </c>
      <c r="E2131" s="2" t="s">
        <v>2517</v>
      </c>
      <c r="F2131" s="3">
        <v>178805</v>
      </c>
      <c r="G2131" s="3">
        <v>4889</v>
      </c>
      <c r="H2131" s="3">
        <v>232</v>
      </c>
      <c r="I2131" s="4">
        <v>3787.09</v>
      </c>
      <c r="J2131" s="4">
        <v>42097.83</v>
      </c>
      <c r="K2131" s="3">
        <v>122</v>
      </c>
      <c r="L2131" s="2" t="s">
        <v>2536</v>
      </c>
      <c r="M2131" s="2" t="s">
        <v>2519</v>
      </c>
    </row>
    <row r="2132" spans="1:13" x14ac:dyDescent="0.3">
      <c r="A2132" s="1">
        <v>46021</v>
      </c>
      <c r="B2132" s="2" t="s">
        <v>2636</v>
      </c>
      <c r="C2132" s="2" t="s">
        <v>2541</v>
      </c>
      <c r="D2132" s="2" t="s">
        <v>2528</v>
      </c>
      <c r="E2132" s="2" t="s">
        <v>2517</v>
      </c>
      <c r="F2132" s="3">
        <v>150843</v>
      </c>
      <c r="G2132" s="3">
        <v>11566</v>
      </c>
      <c r="H2132" s="3">
        <v>412</v>
      </c>
      <c r="I2132" s="4">
        <v>22706.01</v>
      </c>
      <c r="J2132" s="4">
        <v>12086.79</v>
      </c>
      <c r="K2132" s="3">
        <v>317</v>
      </c>
      <c r="L2132" s="2" t="s">
        <v>2518</v>
      </c>
      <c r="M2132" s="2" t="s">
        <v>2526</v>
      </c>
    </row>
    <row r="2133" spans="1:13" x14ac:dyDescent="0.3">
      <c r="A2133" s="1">
        <v>45757</v>
      </c>
      <c r="B2133" s="2" t="s">
        <v>2632</v>
      </c>
      <c r="C2133" s="2" t="s">
        <v>2527</v>
      </c>
      <c r="D2133" s="2" t="s">
        <v>2528</v>
      </c>
      <c r="E2133" s="2" t="s">
        <v>2517</v>
      </c>
      <c r="F2133" s="3">
        <v>120666</v>
      </c>
      <c r="G2133" s="3">
        <v>6149</v>
      </c>
      <c r="H2133" s="3">
        <v>428</v>
      </c>
      <c r="I2133" s="4">
        <v>8464.7900000000009</v>
      </c>
      <c r="J2133" s="4">
        <v>66365.919999999998</v>
      </c>
      <c r="K2133" s="3">
        <v>347</v>
      </c>
      <c r="L2133" s="2" t="s">
        <v>2523</v>
      </c>
      <c r="M2133" s="2" t="s">
        <v>2519</v>
      </c>
    </row>
    <row r="2134" spans="1:13" x14ac:dyDescent="0.3">
      <c r="A2134" s="1">
        <v>45738</v>
      </c>
      <c r="B2134" s="2" t="s">
        <v>2638</v>
      </c>
      <c r="C2134" s="2" t="s">
        <v>2527</v>
      </c>
      <c r="D2134" s="2" t="s">
        <v>2525</v>
      </c>
      <c r="E2134" s="2" t="s">
        <v>2517</v>
      </c>
      <c r="F2134" s="3">
        <v>114607</v>
      </c>
      <c r="G2134" s="3">
        <v>2862</v>
      </c>
      <c r="H2134" s="3">
        <v>337</v>
      </c>
      <c r="I2134" s="4">
        <v>803.33</v>
      </c>
      <c r="J2134" s="4">
        <v>58408.58</v>
      </c>
      <c r="K2134" s="3">
        <v>254</v>
      </c>
      <c r="L2134" s="2" t="s">
        <v>2536</v>
      </c>
      <c r="M2134" s="2" t="s">
        <v>2519</v>
      </c>
    </row>
    <row r="2135" spans="1:13" x14ac:dyDescent="0.3">
      <c r="A2135" s="1">
        <v>45851</v>
      </c>
      <c r="B2135" s="2" t="s">
        <v>2640</v>
      </c>
      <c r="C2135" s="2" t="s">
        <v>2533</v>
      </c>
      <c r="D2135" s="2" t="s">
        <v>2525</v>
      </c>
      <c r="E2135" s="2" t="s">
        <v>2529</v>
      </c>
      <c r="F2135" s="3">
        <v>171491</v>
      </c>
      <c r="G2135" s="3">
        <v>8552</v>
      </c>
      <c r="H2135" s="3">
        <v>235</v>
      </c>
      <c r="I2135" s="4">
        <v>8114.71</v>
      </c>
      <c r="J2135" s="4">
        <v>40299.300000000003</v>
      </c>
      <c r="K2135" s="3">
        <v>151</v>
      </c>
      <c r="L2135" s="2" t="s">
        <v>2536</v>
      </c>
      <c r="M2135" s="2" t="s">
        <v>2526</v>
      </c>
    </row>
    <row r="2136" spans="1:13" x14ac:dyDescent="0.3">
      <c r="A2136" s="1">
        <v>45740</v>
      </c>
      <c r="B2136" s="2" t="s">
        <v>2618</v>
      </c>
      <c r="C2136" s="2" t="s">
        <v>2521</v>
      </c>
      <c r="D2136" s="2" t="s">
        <v>2528</v>
      </c>
      <c r="E2136" s="2" t="s">
        <v>2529</v>
      </c>
      <c r="F2136" s="3">
        <v>103572</v>
      </c>
      <c r="G2136" s="3">
        <v>1514</v>
      </c>
      <c r="H2136" s="3">
        <v>94</v>
      </c>
      <c r="I2136" s="4">
        <v>211.42</v>
      </c>
      <c r="J2136" s="4">
        <v>1413.25</v>
      </c>
      <c r="K2136" s="3">
        <v>69</v>
      </c>
      <c r="L2136" s="2" t="s">
        <v>2539</v>
      </c>
      <c r="M2136" s="2" t="s">
        <v>2524</v>
      </c>
    </row>
    <row r="2137" spans="1:13" x14ac:dyDescent="0.3">
      <c r="A2137" s="1">
        <v>45727</v>
      </c>
      <c r="B2137" s="2" t="s">
        <v>2621</v>
      </c>
      <c r="C2137" s="2" t="s">
        <v>2515</v>
      </c>
      <c r="D2137" s="2" t="s">
        <v>2528</v>
      </c>
      <c r="E2137" s="2" t="s">
        <v>2517</v>
      </c>
      <c r="F2137" s="3">
        <v>116849</v>
      </c>
      <c r="G2137" s="3">
        <v>10176</v>
      </c>
      <c r="H2137" s="3">
        <v>765</v>
      </c>
      <c r="I2137" s="4">
        <v>2679.28</v>
      </c>
      <c r="J2137" s="4">
        <v>20455.93</v>
      </c>
      <c r="K2137" s="3">
        <v>411</v>
      </c>
      <c r="L2137" s="2" t="s">
        <v>2523</v>
      </c>
      <c r="M2137" s="2" t="s">
        <v>2524</v>
      </c>
    </row>
    <row r="2138" spans="1:13" x14ac:dyDescent="0.3">
      <c r="A2138" s="1">
        <v>45699</v>
      </c>
      <c r="B2138" s="2" t="s">
        <v>2615</v>
      </c>
      <c r="C2138" s="2" t="s">
        <v>2521</v>
      </c>
      <c r="D2138" s="2" t="s">
        <v>2531</v>
      </c>
      <c r="E2138" s="2" t="s">
        <v>2517</v>
      </c>
      <c r="F2138" s="3">
        <v>105814</v>
      </c>
      <c r="G2138" s="3">
        <v>1794</v>
      </c>
      <c r="H2138" s="3">
        <v>90</v>
      </c>
      <c r="I2138" s="4">
        <v>3585.65</v>
      </c>
      <c r="J2138" s="4">
        <v>17010.919999999998</v>
      </c>
      <c r="K2138" s="3">
        <v>57</v>
      </c>
      <c r="L2138" s="2" t="s">
        <v>2518</v>
      </c>
      <c r="M2138" s="2" t="s">
        <v>2526</v>
      </c>
    </row>
    <row r="2139" spans="1:13" x14ac:dyDescent="0.3">
      <c r="A2139" s="1">
        <v>45996</v>
      </c>
      <c r="B2139" s="2" t="s">
        <v>2630</v>
      </c>
      <c r="C2139" s="2" t="s">
        <v>2527</v>
      </c>
      <c r="D2139" s="2" t="s">
        <v>2528</v>
      </c>
      <c r="E2139" s="2" t="s">
        <v>2529</v>
      </c>
      <c r="F2139" s="3">
        <v>172769</v>
      </c>
      <c r="G2139" s="3">
        <v>833</v>
      </c>
      <c r="H2139" s="3">
        <v>19</v>
      </c>
      <c r="I2139" s="4">
        <v>1328</v>
      </c>
      <c r="J2139" s="4">
        <v>3828.01</v>
      </c>
      <c r="K2139" s="3">
        <v>15</v>
      </c>
      <c r="L2139" s="2" t="s">
        <v>2536</v>
      </c>
      <c r="M2139" s="2" t="s">
        <v>2524</v>
      </c>
    </row>
    <row r="2140" spans="1:13" x14ac:dyDescent="0.3">
      <c r="A2140" s="1">
        <v>45852</v>
      </c>
      <c r="B2140" s="2" t="s">
        <v>2638</v>
      </c>
      <c r="C2140" s="2" t="s">
        <v>2515</v>
      </c>
      <c r="D2140" s="2" t="s">
        <v>2531</v>
      </c>
      <c r="E2140" s="2" t="s">
        <v>2529</v>
      </c>
      <c r="F2140" s="3">
        <v>1162</v>
      </c>
      <c r="G2140" s="3">
        <v>95</v>
      </c>
      <c r="H2140" s="3">
        <v>7</v>
      </c>
      <c r="I2140" s="4">
        <v>177.98</v>
      </c>
      <c r="J2140" s="4">
        <v>373.6</v>
      </c>
      <c r="K2140" s="3">
        <v>4</v>
      </c>
      <c r="L2140" s="2" t="s">
        <v>2518</v>
      </c>
      <c r="M2140" s="2" t="s">
        <v>2526</v>
      </c>
    </row>
    <row r="2141" spans="1:13" x14ac:dyDescent="0.3">
      <c r="A2141" s="1">
        <v>45862</v>
      </c>
      <c r="B2141" s="2" t="s">
        <v>2632</v>
      </c>
      <c r="C2141" s="2" t="s">
        <v>2521</v>
      </c>
      <c r="D2141" s="2" t="s">
        <v>2531</v>
      </c>
      <c r="E2141" s="2" t="s">
        <v>2517</v>
      </c>
      <c r="F2141" s="3">
        <v>142268</v>
      </c>
      <c r="G2141" s="3">
        <v>8529</v>
      </c>
      <c r="H2141" s="3">
        <v>598</v>
      </c>
      <c r="I2141" s="4">
        <v>13539.01</v>
      </c>
      <c r="J2141" s="4">
        <v>51756.65</v>
      </c>
      <c r="K2141" s="3">
        <v>294</v>
      </c>
      <c r="L2141" s="2" t="s">
        <v>2536</v>
      </c>
      <c r="M2141" s="2" t="s">
        <v>2524</v>
      </c>
    </row>
    <row r="2142" spans="1:13" x14ac:dyDescent="0.3">
      <c r="A2142" s="1">
        <v>46020</v>
      </c>
      <c r="B2142" s="2" t="s">
        <v>2623</v>
      </c>
      <c r="C2142" s="2" t="s">
        <v>2543</v>
      </c>
      <c r="D2142" s="2" t="s">
        <v>2528</v>
      </c>
      <c r="E2142" s="2" t="s">
        <v>2517</v>
      </c>
      <c r="F2142" s="3">
        <v>82712</v>
      </c>
      <c r="G2142" s="3">
        <v>7252</v>
      </c>
      <c r="H2142" s="3">
        <v>172</v>
      </c>
      <c r="I2142" s="4">
        <v>2041.56</v>
      </c>
      <c r="J2142" s="4">
        <v>19367.77</v>
      </c>
      <c r="K2142" s="3">
        <v>82</v>
      </c>
      <c r="L2142" s="2" t="s">
        <v>2539</v>
      </c>
      <c r="M2142" s="2" t="s">
        <v>2537</v>
      </c>
    </row>
    <row r="2143" spans="1:13" x14ac:dyDescent="0.3">
      <c r="A2143" s="1">
        <v>46003</v>
      </c>
      <c r="B2143" s="2" t="s">
        <v>2635</v>
      </c>
      <c r="C2143" s="2" t="s">
        <v>2533</v>
      </c>
      <c r="D2143" s="2" t="s">
        <v>2528</v>
      </c>
      <c r="E2143" s="2" t="s">
        <v>2529</v>
      </c>
      <c r="F2143" s="3">
        <v>97376</v>
      </c>
      <c r="G2143" s="3">
        <v>2244</v>
      </c>
      <c r="H2143" s="3">
        <v>120</v>
      </c>
      <c r="I2143" s="4">
        <v>4397.3</v>
      </c>
      <c r="J2143" s="4">
        <v>14261.13</v>
      </c>
      <c r="K2143" s="3">
        <v>104</v>
      </c>
      <c r="L2143" s="2" t="s">
        <v>2523</v>
      </c>
      <c r="M2143" s="2" t="s">
        <v>2526</v>
      </c>
    </row>
    <row r="2144" spans="1:13" x14ac:dyDescent="0.3">
      <c r="A2144" s="1">
        <v>45896</v>
      </c>
      <c r="B2144" s="2" t="s">
        <v>2621</v>
      </c>
      <c r="C2144" s="2" t="s">
        <v>2543</v>
      </c>
      <c r="D2144" s="2" t="s">
        <v>2525</v>
      </c>
      <c r="E2144" s="2" t="s">
        <v>2517</v>
      </c>
      <c r="F2144" s="3">
        <v>166563</v>
      </c>
      <c r="G2144" s="3">
        <v>8995</v>
      </c>
      <c r="H2144" s="3">
        <v>430</v>
      </c>
      <c r="I2144" s="4">
        <v>13758.51</v>
      </c>
      <c r="J2144" s="4">
        <v>30805.32</v>
      </c>
      <c r="K2144" s="3">
        <v>375</v>
      </c>
      <c r="L2144" s="2" t="s">
        <v>2539</v>
      </c>
      <c r="M2144" s="2" t="s">
        <v>2519</v>
      </c>
    </row>
    <row r="2145" spans="1:13" x14ac:dyDescent="0.3">
      <c r="A2145" s="1">
        <v>45949</v>
      </c>
      <c r="B2145" s="2" t="s">
        <v>2616</v>
      </c>
      <c r="C2145" s="2" t="s">
        <v>2533</v>
      </c>
      <c r="D2145" s="2" t="s">
        <v>2525</v>
      </c>
      <c r="E2145" s="2" t="s">
        <v>2534</v>
      </c>
      <c r="F2145" s="3">
        <v>55100</v>
      </c>
      <c r="G2145" s="3">
        <v>390</v>
      </c>
      <c r="H2145" s="3">
        <v>16</v>
      </c>
      <c r="I2145" s="4">
        <v>702.4</v>
      </c>
      <c r="J2145" s="4">
        <v>3285.18</v>
      </c>
      <c r="K2145" s="3">
        <v>11</v>
      </c>
      <c r="L2145" s="2" t="s">
        <v>2518</v>
      </c>
      <c r="M2145" s="2" t="s">
        <v>2519</v>
      </c>
    </row>
    <row r="2146" spans="1:13" x14ac:dyDescent="0.3">
      <c r="A2146" s="1">
        <v>45798</v>
      </c>
      <c r="B2146" s="2" t="s">
        <v>2629</v>
      </c>
      <c r="C2146" s="2" t="s">
        <v>2521</v>
      </c>
      <c r="D2146" s="2" t="s">
        <v>2522</v>
      </c>
      <c r="E2146" s="2" t="s">
        <v>2534</v>
      </c>
      <c r="F2146" s="3">
        <v>133127</v>
      </c>
      <c r="G2146" s="3">
        <v>1418</v>
      </c>
      <c r="H2146" s="3">
        <v>126</v>
      </c>
      <c r="I2146" s="4">
        <v>372.76</v>
      </c>
      <c r="J2146" s="4">
        <v>18393.2</v>
      </c>
      <c r="K2146" s="3">
        <v>99</v>
      </c>
      <c r="L2146" s="2" t="s">
        <v>2536</v>
      </c>
      <c r="M2146" s="2" t="s">
        <v>2537</v>
      </c>
    </row>
    <row r="2147" spans="1:13" x14ac:dyDescent="0.3">
      <c r="A2147" s="1">
        <v>45727</v>
      </c>
      <c r="B2147" s="2" t="s">
        <v>2619</v>
      </c>
      <c r="C2147" s="2" t="s">
        <v>2515</v>
      </c>
      <c r="D2147" s="2" t="s">
        <v>2525</v>
      </c>
      <c r="E2147" s="2" t="s">
        <v>2534</v>
      </c>
      <c r="F2147" s="3">
        <v>20580</v>
      </c>
      <c r="G2147" s="3">
        <v>1144</v>
      </c>
      <c r="H2147" s="3">
        <v>113</v>
      </c>
      <c r="I2147" s="4">
        <v>2043.93</v>
      </c>
      <c r="J2147" s="4">
        <v>5066.7299999999996</v>
      </c>
      <c r="K2147" s="3">
        <v>59</v>
      </c>
      <c r="L2147" s="2" t="s">
        <v>2523</v>
      </c>
      <c r="M2147" s="2" t="s">
        <v>2546</v>
      </c>
    </row>
    <row r="2148" spans="1:13" x14ac:dyDescent="0.3">
      <c r="A2148" s="1">
        <v>45866</v>
      </c>
      <c r="B2148" s="2" t="s">
        <v>2621</v>
      </c>
      <c r="C2148" s="2" t="s">
        <v>2521</v>
      </c>
      <c r="D2148" s="2" t="s">
        <v>2528</v>
      </c>
      <c r="E2148" s="2" t="s">
        <v>2529</v>
      </c>
      <c r="F2148" s="3">
        <v>165394</v>
      </c>
      <c r="G2148" s="3">
        <v>2853</v>
      </c>
      <c r="H2148" s="3">
        <v>192</v>
      </c>
      <c r="I2148" s="4">
        <v>5515.12</v>
      </c>
      <c r="J2148" s="4">
        <v>23758.79</v>
      </c>
      <c r="K2148" s="3">
        <v>147</v>
      </c>
      <c r="L2148" s="2" t="s">
        <v>2518</v>
      </c>
      <c r="M2148" s="2" t="s">
        <v>2537</v>
      </c>
    </row>
    <row r="2149" spans="1:13" x14ac:dyDescent="0.3">
      <c r="A2149" s="1">
        <v>45742</v>
      </c>
      <c r="B2149" s="2" t="s">
        <v>2622</v>
      </c>
      <c r="C2149" s="2" t="s">
        <v>2521</v>
      </c>
      <c r="D2149" s="2" t="s">
        <v>2528</v>
      </c>
      <c r="E2149" s="2" t="s">
        <v>2529</v>
      </c>
      <c r="F2149" s="3">
        <v>153030</v>
      </c>
      <c r="G2149" s="3">
        <v>6948</v>
      </c>
      <c r="H2149" s="3">
        <v>615</v>
      </c>
      <c r="I2149" s="4">
        <v>2816.4</v>
      </c>
      <c r="J2149" s="4">
        <v>115556.33</v>
      </c>
      <c r="K2149" s="3">
        <v>551</v>
      </c>
      <c r="L2149" s="2" t="s">
        <v>2518</v>
      </c>
      <c r="M2149" s="2" t="s">
        <v>2546</v>
      </c>
    </row>
    <row r="2150" spans="1:13" x14ac:dyDescent="0.3">
      <c r="A2150" s="1">
        <v>45841</v>
      </c>
      <c r="B2150" s="2" t="s">
        <v>2633</v>
      </c>
      <c r="C2150" s="2" t="s">
        <v>2533</v>
      </c>
      <c r="D2150" s="2" t="s">
        <v>2528</v>
      </c>
      <c r="E2150" s="2" t="s">
        <v>2517</v>
      </c>
      <c r="F2150" s="3">
        <v>3921</v>
      </c>
      <c r="G2150" s="3">
        <v>186</v>
      </c>
      <c r="H2150" s="3">
        <v>7</v>
      </c>
      <c r="I2150" s="4">
        <v>114.17</v>
      </c>
      <c r="J2150" s="4">
        <v>1171.28</v>
      </c>
      <c r="K2150" s="3">
        <v>4</v>
      </c>
      <c r="L2150" s="2" t="s">
        <v>2539</v>
      </c>
      <c r="M2150" s="2" t="s">
        <v>2524</v>
      </c>
    </row>
    <row r="2151" spans="1:13" x14ac:dyDescent="0.3">
      <c r="A2151" s="1">
        <v>45763</v>
      </c>
      <c r="B2151" s="2" t="s">
        <v>2636</v>
      </c>
      <c r="C2151" s="2" t="s">
        <v>2533</v>
      </c>
      <c r="D2151" s="2" t="s">
        <v>2528</v>
      </c>
      <c r="E2151" s="2" t="s">
        <v>2517</v>
      </c>
      <c r="F2151" s="3">
        <v>80677</v>
      </c>
      <c r="G2151" s="3">
        <v>3625</v>
      </c>
      <c r="H2151" s="3">
        <v>494</v>
      </c>
      <c r="I2151" s="4">
        <v>3292.77</v>
      </c>
      <c r="J2151" s="4">
        <v>25757.86</v>
      </c>
      <c r="K2151" s="3">
        <v>414</v>
      </c>
      <c r="L2151" s="2" t="s">
        <v>2539</v>
      </c>
      <c r="M2151" s="2" t="s">
        <v>2524</v>
      </c>
    </row>
    <row r="2152" spans="1:13" x14ac:dyDescent="0.3">
      <c r="A2152" s="1">
        <v>45692</v>
      </c>
      <c r="B2152" s="2" t="s">
        <v>2640</v>
      </c>
      <c r="C2152" s="2" t="s">
        <v>2521</v>
      </c>
      <c r="D2152" s="2" t="s">
        <v>2528</v>
      </c>
      <c r="E2152" s="2" t="s">
        <v>2529</v>
      </c>
      <c r="F2152" s="3">
        <v>108337</v>
      </c>
      <c r="G2152" s="3">
        <v>3200</v>
      </c>
      <c r="H2152" s="3">
        <v>389</v>
      </c>
      <c r="I2152" s="4">
        <v>443.02</v>
      </c>
      <c r="J2152" s="4">
        <v>63561.87</v>
      </c>
      <c r="K2152" s="3">
        <v>307</v>
      </c>
      <c r="L2152" s="2" t="s">
        <v>2518</v>
      </c>
      <c r="M2152" s="2" t="s">
        <v>2519</v>
      </c>
    </row>
    <row r="2153" spans="1:13" x14ac:dyDescent="0.3">
      <c r="A2153" s="1">
        <v>45979</v>
      </c>
      <c r="B2153" s="2" t="s">
        <v>2627</v>
      </c>
      <c r="C2153" s="2" t="s">
        <v>2543</v>
      </c>
      <c r="D2153" s="2" t="s">
        <v>2528</v>
      </c>
      <c r="E2153" s="2" t="s">
        <v>2529</v>
      </c>
      <c r="F2153" s="3">
        <v>112306</v>
      </c>
      <c r="G2153" s="3">
        <v>9531</v>
      </c>
      <c r="H2153" s="3">
        <v>970</v>
      </c>
      <c r="I2153" s="4">
        <v>5696.44</v>
      </c>
      <c r="J2153" s="4">
        <v>193078.33</v>
      </c>
      <c r="K2153" s="3">
        <v>514</v>
      </c>
      <c r="L2153" s="2" t="s">
        <v>2539</v>
      </c>
      <c r="M2153" s="2" t="s">
        <v>2546</v>
      </c>
    </row>
    <row r="2154" spans="1:13" x14ac:dyDescent="0.3">
      <c r="A2154" s="1">
        <v>45925</v>
      </c>
      <c r="B2154" s="2" t="s">
        <v>2635</v>
      </c>
      <c r="C2154" s="2" t="s">
        <v>2521</v>
      </c>
      <c r="D2154" s="2" t="s">
        <v>2528</v>
      </c>
      <c r="E2154" s="2" t="s">
        <v>2517</v>
      </c>
      <c r="F2154" s="3">
        <v>80508</v>
      </c>
      <c r="G2154" s="3">
        <v>6174</v>
      </c>
      <c r="H2154" s="3">
        <v>831</v>
      </c>
      <c r="I2154" s="4">
        <v>12758.11</v>
      </c>
      <c r="J2154" s="4">
        <v>98280.13</v>
      </c>
      <c r="K2154" s="3">
        <v>638</v>
      </c>
      <c r="L2154" s="2" t="s">
        <v>2518</v>
      </c>
      <c r="M2154" s="2" t="s">
        <v>2546</v>
      </c>
    </row>
    <row r="2155" spans="1:13" x14ac:dyDescent="0.3">
      <c r="A2155" s="1">
        <v>45979</v>
      </c>
      <c r="B2155" s="2" t="s">
        <v>2627</v>
      </c>
      <c r="C2155" s="2" t="s">
        <v>2515</v>
      </c>
      <c r="D2155" s="2" t="s">
        <v>2525</v>
      </c>
      <c r="E2155" s="2" t="s">
        <v>2517</v>
      </c>
      <c r="F2155" s="3">
        <v>6706</v>
      </c>
      <c r="G2155" s="3">
        <v>479</v>
      </c>
      <c r="H2155" s="3">
        <v>37</v>
      </c>
      <c r="I2155" s="4">
        <v>973.5</v>
      </c>
      <c r="J2155" s="4">
        <v>672.7</v>
      </c>
      <c r="K2155" s="3">
        <v>24</v>
      </c>
      <c r="L2155" s="2" t="s">
        <v>2523</v>
      </c>
      <c r="M2155" s="2" t="s">
        <v>2537</v>
      </c>
    </row>
    <row r="2156" spans="1:13" x14ac:dyDescent="0.3">
      <c r="A2156" s="1">
        <v>45785</v>
      </c>
      <c r="B2156" s="2" t="s">
        <v>2626</v>
      </c>
      <c r="C2156" s="2" t="s">
        <v>2527</v>
      </c>
      <c r="D2156" s="2" t="s">
        <v>2522</v>
      </c>
      <c r="E2156" s="2" t="s">
        <v>2529</v>
      </c>
      <c r="F2156" s="3">
        <v>49150</v>
      </c>
      <c r="G2156" s="3">
        <v>3695</v>
      </c>
      <c r="H2156" s="3">
        <v>51</v>
      </c>
      <c r="I2156" s="4">
        <v>4441.67</v>
      </c>
      <c r="J2156" s="4">
        <v>7828.93</v>
      </c>
      <c r="K2156" s="3">
        <v>24</v>
      </c>
      <c r="L2156" s="2" t="s">
        <v>2518</v>
      </c>
      <c r="M2156" s="2" t="s">
        <v>2546</v>
      </c>
    </row>
    <row r="2157" spans="1:13" x14ac:dyDescent="0.3">
      <c r="A2157" s="1">
        <v>45807</v>
      </c>
      <c r="B2157" s="2" t="s">
        <v>2625</v>
      </c>
      <c r="C2157" s="2" t="s">
        <v>2543</v>
      </c>
      <c r="D2157" s="2" t="s">
        <v>2531</v>
      </c>
      <c r="E2157" s="2" t="s">
        <v>2517</v>
      </c>
      <c r="F2157" s="3">
        <v>9589</v>
      </c>
      <c r="G2157" s="3">
        <v>638</v>
      </c>
      <c r="H2157" s="3">
        <v>36</v>
      </c>
      <c r="I2157" s="4">
        <v>232.95</v>
      </c>
      <c r="J2157" s="4">
        <v>7886.28</v>
      </c>
      <c r="K2157" s="3">
        <v>23</v>
      </c>
      <c r="L2157" s="2" t="s">
        <v>2523</v>
      </c>
      <c r="M2157" s="2" t="s">
        <v>2537</v>
      </c>
    </row>
    <row r="2158" spans="1:13" x14ac:dyDescent="0.3">
      <c r="A2158" s="1">
        <v>45709</v>
      </c>
      <c r="B2158" s="2" t="s">
        <v>2621</v>
      </c>
      <c r="C2158" s="2" t="s">
        <v>2521</v>
      </c>
      <c r="D2158" s="2" t="s">
        <v>2528</v>
      </c>
      <c r="E2158" s="2" t="s">
        <v>2517</v>
      </c>
      <c r="F2158" s="3">
        <v>76120</v>
      </c>
      <c r="G2158" s="3">
        <v>4014</v>
      </c>
      <c r="H2158" s="3">
        <v>546</v>
      </c>
      <c r="I2158" s="4">
        <v>2136.65</v>
      </c>
      <c r="J2158" s="4">
        <v>65611.149999999994</v>
      </c>
      <c r="K2158" s="3">
        <v>361</v>
      </c>
      <c r="L2158" s="2" t="s">
        <v>2536</v>
      </c>
      <c r="M2158" s="2" t="s">
        <v>2526</v>
      </c>
    </row>
    <row r="2159" spans="1:13" x14ac:dyDescent="0.3">
      <c r="A2159" s="1">
        <v>45698</v>
      </c>
      <c r="B2159" s="2" t="s">
        <v>2631</v>
      </c>
      <c r="C2159" s="2" t="s">
        <v>2533</v>
      </c>
      <c r="D2159" s="2" t="s">
        <v>2525</v>
      </c>
      <c r="E2159" s="2" t="s">
        <v>2529</v>
      </c>
      <c r="F2159" s="3">
        <v>95972</v>
      </c>
      <c r="G2159" s="3">
        <v>986</v>
      </c>
      <c r="H2159" s="3">
        <v>28</v>
      </c>
      <c r="I2159" s="4">
        <v>1072.3399999999999</v>
      </c>
      <c r="J2159" s="4">
        <v>5741.78</v>
      </c>
      <c r="K2159" s="3">
        <v>22</v>
      </c>
      <c r="L2159" s="2" t="s">
        <v>2536</v>
      </c>
      <c r="M2159" s="2" t="s">
        <v>2519</v>
      </c>
    </row>
    <row r="2160" spans="1:13" x14ac:dyDescent="0.3">
      <c r="A2160" s="1">
        <v>45687</v>
      </c>
      <c r="B2160" s="2" t="s">
        <v>2641</v>
      </c>
      <c r="C2160" s="2" t="s">
        <v>2527</v>
      </c>
      <c r="D2160" s="2" t="s">
        <v>2528</v>
      </c>
      <c r="E2160" s="2" t="s">
        <v>2529</v>
      </c>
      <c r="F2160" s="3">
        <v>176952</v>
      </c>
      <c r="G2160" s="3">
        <v>10671</v>
      </c>
      <c r="H2160" s="3">
        <v>955</v>
      </c>
      <c r="I2160" s="4">
        <v>16314.27</v>
      </c>
      <c r="J2160" s="4">
        <v>168400.17</v>
      </c>
      <c r="K2160" s="3">
        <v>670</v>
      </c>
      <c r="L2160" s="2" t="s">
        <v>2523</v>
      </c>
      <c r="M2160" s="2" t="s">
        <v>2526</v>
      </c>
    </row>
    <row r="2161" spans="1:13" x14ac:dyDescent="0.3">
      <c r="A2161" s="1">
        <v>45795</v>
      </c>
      <c r="B2161" s="2" t="s">
        <v>2624</v>
      </c>
      <c r="C2161" s="2" t="s">
        <v>2527</v>
      </c>
      <c r="D2161" s="2" t="s">
        <v>2516</v>
      </c>
      <c r="E2161" s="2" t="s">
        <v>2529</v>
      </c>
      <c r="F2161" s="3">
        <v>53552</v>
      </c>
      <c r="G2161" s="3">
        <v>2249</v>
      </c>
      <c r="H2161" s="3">
        <v>170</v>
      </c>
      <c r="I2161" s="4">
        <v>3539.52</v>
      </c>
      <c r="J2161" s="4">
        <v>20810.72</v>
      </c>
      <c r="K2161" s="3">
        <v>141</v>
      </c>
      <c r="L2161" s="2" t="s">
        <v>2523</v>
      </c>
      <c r="M2161" s="2" t="s">
        <v>2546</v>
      </c>
    </row>
    <row r="2162" spans="1:13" x14ac:dyDescent="0.3">
      <c r="A2162" s="1">
        <v>45745</v>
      </c>
      <c r="B2162" s="2" t="s">
        <v>2639</v>
      </c>
      <c r="C2162" s="2" t="s">
        <v>2527</v>
      </c>
      <c r="D2162" s="2" t="s">
        <v>2528</v>
      </c>
      <c r="E2162" s="2" t="s">
        <v>2517</v>
      </c>
      <c r="F2162" s="3">
        <v>93683</v>
      </c>
      <c r="G2162" s="3">
        <v>661</v>
      </c>
      <c r="H2162" s="3">
        <v>4</v>
      </c>
      <c r="I2162" s="4">
        <v>655.41</v>
      </c>
      <c r="J2162" s="4">
        <v>604.12</v>
      </c>
      <c r="K2162" s="3">
        <v>2</v>
      </c>
      <c r="L2162" s="2" t="s">
        <v>2536</v>
      </c>
      <c r="M2162" s="2" t="s">
        <v>2519</v>
      </c>
    </row>
    <row r="2163" spans="1:13" x14ac:dyDescent="0.3">
      <c r="A2163" s="1">
        <v>45886</v>
      </c>
      <c r="B2163" s="2" t="s">
        <v>2615</v>
      </c>
      <c r="C2163" s="2" t="s">
        <v>2515</v>
      </c>
      <c r="D2163" s="2" t="s">
        <v>2516</v>
      </c>
      <c r="E2163" s="2" t="s">
        <v>2534</v>
      </c>
      <c r="F2163" s="3">
        <v>56276</v>
      </c>
      <c r="G2163" s="3">
        <v>460</v>
      </c>
      <c r="H2163" s="3">
        <v>14</v>
      </c>
      <c r="I2163" s="4">
        <v>369.18</v>
      </c>
      <c r="J2163" s="4">
        <v>3077.41</v>
      </c>
      <c r="K2163" s="3">
        <v>10</v>
      </c>
      <c r="L2163" s="2" t="s">
        <v>2536</v>
      </c>
      <c r="M2163" s="2" t="s">
        <v>2526</v>
      </c>
    </row>
    <row r="2164" spans="1:13" x14ac:dyDescent="0.3">
      <c r="A2164" s="1">
        <v>45892</v>
      </c>
      <c r="B2164" s="2" t="s">
        <v>2634</v>
      </c>
      <c r="C2164" s="2" t="s">
        <v>2515</v>
      </c>
      <c r="D2164" s="2" t="s">
        <v>2525</v>
      </c>
      <c r="E2164" s="2" t="s">
        <v>2534</v>
      </c>
      <c r="F2164" s="3">
        <v>23456</v>
      </c>
      <c r="G2164" s="3">
        <v>1825</v>
      </c>
      <c r="H2164" s="3">
        <v>32</v>
      </c>
      <c r="I2164" s="4">
        <v>3777.26</v>
      </c>
      <c r="J2164" s="4">
        <v>6704.32</v>
      </c>
      <c r="K2164" s="3">
        <v>14</v>
      </c>
      <c r="L2164" s="2" t="s">
        <v>2518</v>
      </c>
      <c r="M2164" s="2" t="s">
        <v>2546</v>
      </c>
    </row>
    <row r="2165" spans="1:13" x14ac:dyDescent="0.3">
      <c r="A2165" s="1">
        <v>45711</v>
      </c>
      <c r="B2165" s="2" t="s">
        <v>2634</v>
      </c>
      <c r="C2165" s="2" t="s">
        <v>2533</v>
      </c>
      <c r="D2165" s="2" t="s">
        <v>2528</v>
      </c>
      <c r="E2165" s="2" t="s">
        <v>2517</v>
      </c>
      <c r="F2165" s="3">
        <v>2439</v>
      </c>
      <c r="G2165" s="3">
        <v>149</v>
      </c>
      <c r="H2165" s="3">
        <v>8</v>
      </c>
      <c r="I2165" s="4">
        <v>100</v>
      </c>
      <c r="J2165" s="4">
        <v>327.49</v>
      </c>
      <c r="K2165" s="3">
        <v>5</v>
      </c>
      <c r="L2165" s="2" t="s">
        <v>2523</v>
      </c>
      <c r="M2165" s="2" t="s">
        <v>2519</v>
      </c>
    </row>
    <row r="2166" spans="1:13" x14ac:dyDescent="0.3">
      <c r="A2166" s="1">
        <v>45761</v>
      </c>
      <c r="B2166" s="2" t="s">
        <v>2633</v>
      </c>
      <c r="C2166" s="2" t="s">
        <v>2533</v>
      </c>
      <c r="D2166" s="2" t="s">
        <v>2516</v>
      </c>
      <c r="E2166" s="2" t="s">
        <v>2517</v>
      </c>
      <c r="F2166" s="3">
        <v>156012</v>
      </c>
      <c r="G2166" s="3">
        <v>3591</v>
      </c>
      <c r="H2166" s="3">
        <v>3628</v>
      </c>
      <c r="I2166" s="4">
        <v>5485.86</v>
      </c>
      <c r="J2166" s="4">
        <v>88579.93</v>
      </c>
      <c r="K2166" s="3">
        <v>296</v>
      </c>
      <c r="L2166" s="2" t="s">
        <v>2523</v>
      </c>
      <c r="M2166" s="2" t="s">
        <v>2524</v>
      </c>
    </row>
    <row r="2167" spans="1:13" x14ac:dyDescent="0.3">
      <c r="A2167" s="1">
        <v>45874</v>
      </c>
      <c r="B2167" s="2" t="s">
        <v>2642</v>
      </c>
      <c r="C2167" s="2" t="s">
        <v>2515</v>
      </c>
      <c r="D2167" s="2" t="s">
        <v>2516</v>
      </c>
      <c r="E2167" s="2" t="s">
        <v>2517</v>
      </c>
      <c r="F2167" s="3">
        <v>173230</v>
      </c>
      <c r="G2167" s="3">
        <v>11924</v>
      </c>
      <c r="H2167" s="3">
        <v>1645</v>
      </c>
      <c r="I2167" s="4">
        <v>11479.55</v>
      </c>
      <c r="J2167" s="4">
        <v>304204.21999999997</v>
      </c>
      <c r="K2167" s="3">
        <v>1144</v>
      </c>
      <c r="L2167" s="2" t="s">
        <v>2536</v>
      </c>
      <c r="M2167" s="2" t="s">
        <v>2524</v>
      </c>
    </row>
    <row r="2168" spans="1:13" x14ac:dyDescent="0.3">
      <c r="A2168" s="1">
        <v>45995</v>
      </c>
      <c r="B2168" s="2" t="s">
        <v>2641</v>
      </c>
      <c r="C2168" s="2" t="s">
        <v>2543</v>
      </c>
      <c r="D2168" s="2" t="s">
        <v>2531</v>
      </c>
      <c r="E2168" s="2" t="s">
        <v>2517</v>
      </c>
      <c r="F2168" s="3">
        <v>22865</v>
      </c>
      <c r="G2168" s="3">
        <v>460</v>
      </c>
      <c r="H2168" s="3">
        <v>25</v>
      </c>
      <c r="I2168" s="4">
        <v>927.36</v>
      </c>
      <c r="J2168" s="4">
        <v>3465.97</v>
      </c>
      <c r="K2168" s="3">
        <v>11</v>
      </c>
      <c r="L2168" s="2" t="s">
        <v>2536</v>
      </c>
      <c r="M2168" s="2" t="s">
        <v>2524</v>
      </c>
    </row>
    <row r="2169" spans="1:13" x14ac:dyDescent="0.3">
      <c r="A2169" s="1">
        <v>45668</v>
      </c>
      <c r="B2169" s="2" t="s">
        <v>2639</v>
      </c>
      <c r="C2169" s="2" t="s">
        <v>2521</v>
      </c>
      <c r="D2169" s="2" t="s">
        <v>2528</v>
      </c>
      <c r="E2169" s="2" t="s">
        <v>2517</v>
      </c>
      <c r="F2169" s="3">
        <v>65882</v>
      </c>
      <c r="G2169" s="3">
        <v>1224</v>
      </c>
      <c r="H2169" s="3">
        <v>50</v>
      </c>
      <c r="I2169" s="4">
        <v>2353.34</v>
      </c>
      <c r="J2169" s="4">
        <v>7977.19</v>
      </c>
      <c r="K2169" s="3">
        <v>33</v>
      </c>
      <c r="L2169" s="2" t="s">
        <v>2523</v>
      </c>
      <c r="M2169" s="2" t="s">
        <v>2524</v>
      </c>
    </row>
    <row r="2170" spans="1:13" x14ac:dyDescent="0.3">
      <c r="A2170" s="1">
        <v>45697</v>
      </c>
      <c r="B2170" s="2" t="s">
        <v>2640</v>
      </c>
      <c r="C2170" s="2" t="s">
        <v>2521</v>
      </c>
      <c r="D2170" s="2" t="s">
        <v>2528</v>
      </c>
      <c r="E2170" s="2" t="s">
        <v>2529</v>
      </c>
      <c r="F2170" s="3">
        <v>178182</v>
      </c>
      <c r="G2170" s="3">
        <v>8974</v>
      </c>
      <c r="H2170" s="3">
        <v>511</v>
      </c>
      <c r="I2170" s="4">
        <v>13140.71</v>
      </c>
      <c r="J2170" s="4">
        <v>111714.96</v>
      </c>
      <c r="K2170" s="3">
        <v>422</v>
      </c>
      <c r="L2170" s="2" t="s">
        <v>2536</v>
      </c>
      <c r="M2170" s="2" t="s">
        <v>2526</v>
      </c>
    </row>
    <row r="2171" spans="1:13" x14ac:dyDescent="0.3">
      <c r="A2171" s="1">
        <v>45757</v>
      </c>
      <c r="B2171" s="2" t="s">
        <v>2631</v>
      </c>
      <c r="C2171" s="2" t="s">
        <v>2521</v>
      </c>
      <c r="D2171" s="2" t="s">
        <v>2525</v>
      </c>
      <c r="E2171" s="2" t="s">
        <v>2529</v>
      </c>
      <c r="F2171" s="3">
        <v>77014</v>
      </c>
      <c r="G2171" s="3">
        <v>3981</v>
      </c>
      <c r="H2171" s="3">
        <v>280</v>
      </c>
      <c r="I2171" s="4">
        <v>4426.57</v>
      </c>
      <c r="J2171" s="4">
        <v>40102.15</v>
      </c>
      <c r="K2171" s="3">
        <v>198</v>
      </c>
      <c r="L2171" s="2" t="s">
        <v>2523</v>
      </c>
      <c r="M2171" s="2" t="s">
        <v>2526</v>
      </c>
    </row>
    <row r="2172" spans="1:13" x14ac:dyDescent="0.3">
      <c r="A2172" s="1">
        <v>45906</v>
      </c>
      <c r="B2172" s="2" t="s">
        <v>2621</v>
      </c>
      <c r="C2172" s="2" t="s">
        <v>2515</v>
      </c>
      <c r="D2172" s="2" t="s">
        <v>2531</v>
      </c>
      <c r="E2172" s="2" t="s">
        <v>2517</v>
      </c>
      <c r="F2172" s="3">
        <v>176682</v>
      </c>
      <c r="G2172" s="3">
        <v>13206</v>
      </c>
      <c r="H2172" s="3">
        <v>1272</v>
      </c>
      <c r="I2172" s="4">
        <v>4385.3100000000004</v>
      </c>
      <c r="J2172" s="4">
        <v>277076.03999999998</v>
      </c>
      <c r="K2172" s="3">
        <v>672</v>
      </c>
      <c r="L2172" s="2" t="s">
        <v>2523</v>
      </c>
      <c r="M2172" s="2" t="s">
        <v>2526</v>
      </c>
    </row>
    <row r="2173" spans="1:13" x14ac:dyDescent="0.3">
      <c r="A2173" s="1">
        <v>45797</v>
      </c>
      <c r="B2173" s="2" t="s">
        <v>2615</v>
      </c>
      <c r="C2173" s="2" t="s">
        <v>2541</v>
      </c>
      <c r="D2173" s="2" t="s">
        <v>2516</v>
      </c>
      <c r="E2173" s="2" t="s">
        <v>2529</v>
      </c>
      <c r="F2173" s="3">
        <v>142911</v>
      </c>
      <c r="G2173" s="3">
        <v>8008</v>
      </c>
      <c r="H2173" s="3">
        <v>867</v>
      </c>
      <c r="I2173" s="4">
        <v>13892.23</v>
      </c>
      <c r="J2173" s="4">
        <v>81223.240000000005</v>
      </c>
      <c r="K2173" s="3">
        <v>753</v>
      </c>
      <c r="L2173" s="2" t="s">
        <v>2539</v>
      </c>
      <c r="M2173" s="2" t="s">
        <v>2526</v>
      </c>
    </row>
    <row r="2174" spans="1:13" x14ac:dyDescent="0.3">
      <c r="A2174" s="1">
        <v>45877</v>
      </c>
      <c r="B2174" s="2" t="s">
        <v>2624</v>
      </c>
      <c r="C2174" s="2" t="s">
        <v>2541</v>
      </c>
      <c r="D2174" s="2" t="s">
        <v>2528</v>
      </c>
      <c r="E2174" s="2" t="s">
        <v>2517</v>
      </c>
      <c r="F2174" s="3">
        <v>39450</v>
      </c>
      <c r="G2174" s="3">
        <v>2980</v>
      </c>
      <c r="H2174" s="3">
        <v>223</v>
      </c>
      <c r="I2174" s="4">
        <v>595.88</v>
      </c>
      <c r="J2174" s="4">
        <v>47662.21</v>
      </c>
      <c r="K2174" s="3">
        <v>113</v>
      </c>
      <c r="L2174" s="2" t="s">
        <v>2536</v>
      </c>
      <c r="M2174" s="2" t="s">
        <v>2519</v>
      </c>
    </row>
    <row r="2175" spans="1:13" x14ac:dyDescent="0.3">
      <c r="A2175" s="1">
        <v>45956</v>
      </c>
      <c r="B2175" s="2" t="s">
        <v>2637</v>
      </c>
      <c r="C2175" s="2" t="s">
        <v>2515</v>
      </c>
      <c r="D2175" s="2" t="s">
        <v>2528</v>
      </c>
      <c r="E2175" s="2" t="s">
        <v>2529</v>
      </c>
      <c r="F2175" s="3">
        <v>39011</v>
      </c>
      <c r="G2175" s="3">
        <v>3388</v>
      </c>
      <c r="H2175" s="3">
        <v>373</v>
      </c>
      <c r="I2175" s="4">
        <v>6701.66</v>
      </c>
      <c r="J2175" s="4">
        <v>62472.22</v>
      </c>
      <c r="K2175" s="3">
        <v>175</v>
      </c>
      <c r="L2175" s="2" t="s">
        <v>2536</v>
      </c>
      <c r="M2175" s="2" t="s">
        <v>2526</v>
      </c>
    </row>
    <row r="2176" spans="1:13" x14ac:dyDescent="0.3">
      <c r="A2176" s="1">
        <v>45944</v>
      </c>
      <c r="B2176" s="2" t="s">
        <v>2629</v>
      </c>
      <c r="C2176" s="2" t="s">
        <v>2521</v>
      </c>
      <c r="D2176" s="2" t="s">
        <v>2528</v>
      </c>
      <c r="E2176" s="2" t="s">
        <v>2517</v>
      </c>
      <c r="F2176" s="3">
        <v>73538</v>
      </c>
      <c r="G2176" s="3">
        <v>2640</v>
      </c>
      <c r="H2176" s="3">
        <v>298</v>
      </c>
      <c r="I2176" s="4">
        <v>2968.35</v>
      </c>
      <c r="J2176" s="4">
        <v>17641.77</v>
      </c>
      <c r="K2176" s="3">
        <v>215</v>
      </c>
      <c r="L2176" s="2" t="s">
        <v>2539</v>
      </c>
      <c r="M2176" s="2" t="s">
        <v>2526</v>
      </c>
    </row>
    <row r="2177" spans="1:13" x14ac:dyDescent="0.3">
      <c r="A2177" s="1">
        <v>45856</v>
      </c>
      <c r="B2177" s="2" t="s">
        <v>2615</v>
      </c>
      <c r="C2177" s="2" t="s">
        <v>2533</v>
      </c>
      <c r="D2177" s="2" t="s">
        <v>2528</v>
      </c>
      <c r="E2177" s="2" t="s">
        <v>2517</v>
      </c>
      <c r="F2177" s="3">
        <v>34831</v>
      </c>
      <c r="G2177" s="3">
        <v>2795</v>
      </c>
      <c r="H2177" s="3">
        <v>66</v>
      </c>
      <c r="I2177" s="4">
        <v>633.70000000000005</v>
      </c>
      <c r="J2177" s="4">
        <v>8768.14</v>
      </c>
      <c r="K2177" s="3">
        <v>38</v>
      </c>
      <c r="L2177" s="2" t="s">
        <v>2536</v>
      </c>
      <c r="M2177" s="2" t="s">
        <v>2524</v>
      </c>
    </row>
    <row r="2178" spans="1:13" x14ac:dyDescent="0.3">
      <c r="A2178" s="1">
        <v>45767</v>
      </c>
      <c r="B2178" s="2" t="s">
        <v>2620</v>
      </c>
      <c r="C2178" s="2" t="s">
        <v>2515</v>
      </c>
      <c r="D2178" s="2" t="s">
        <v>2522</v>
      </c>
      <c r="E2178" s="2" t="s">
        <v>2517</v>
      </c>
      <c r="F2178" s="3">
        <v>57008</v>
      </c>
      <c r="G2178" s="3">
        <v>1663</v>
      </c>
      <c r="H2178" s="3">
        <v>182</v>
      </c>
      <c r="I2178" s="4">
        <v>2872.78</v>
      </c>
      <c r="J2178" s="4">
        <v>18341.77</v>
      </c>
      <c r="K2178" s="3">
        <v>135</v>
      </c>
      <c r="L2178" s="2" t="s">
        <v>2536</v>
      </c>
      <c r="M2178" s="2" t="s">
        <v>2524</v>
      </c>
    </row>
    <row r="2179" spans="1:13" x14ac:dyDescent="0.3">
      <c r="A2179" s="1">
        <v>45780</v>
      </c>
      <c r="B2179" s="2" t="s">
        <v>2622</v>
      </c>
      <c r="C2179" s="2" t="s">
        <v>2541</v>
      </c>
      <c r="D2179" s="2" t="s">
        <v>2516</v>
      </c>
      <c r="E2179" s="2" t="s">
        <v>2529</v>
      </c>
      <c r="F2179" s="3">
        <v>159247</v>
      </c>
      <c r="G2179" s="3">
        <v>2760</v>
      </c>
      <c r="H2179" s="3">
        <v>341</v>
      </c>
      <c r="I2179" s="4">
        <v>1344.65</v>
      </c>
      <c r="J2179" s="4">
        <v>5226.42</v>
      </c>
      <c r="K2179" s="3">
        <v>214</v>
      </c>
      <c r="L2179" s="2" t="s">
        <v>2518</v>
      </c>
      <c r="M2179" s="2" t="s">
        <v>2524</v>
      </c>
    </row>
    <row r="2180" spans="1:13" x14ac:dyDescent="0.3">
      <c r="A2180" s="1">
        <v>45823</v>
      </c>
      <c r="B2180" s="2" t="s">
        <v>2628</v>
      </c>
      <c r="C2180" s="2" t="s">
        <v>2515</v>
      </c>
      <c r="D2180" s="2" t="s">
        <v>2528</v>
      </c>
      <c r="E2180" s="2" t="s">
        <v>2517</v>
      </c>
      <c r="F2180" s="3">
        <v>20808</v>
      </c>
      <c r="G2180" s="3">
        <v>514</v>
      </c>
      <c r="H2180" s="3">
        <v>46</v>
      </c>
      <c r="I2180" s="4">
        <v>166.89</v>
      </c>
      <c r="J2180" s="4">
        <v>7574.86</v>
      </c>
      <c r="K2180" s="3">
        <v>34</v>
      </c>
      <c r="L2180" s="2" t="s">
        <v>2539</v>
      </c>
      <c r="M2180" s="2" t="s">
        <v>2524</v>
      </c>
    </row>
    <row r="2181" spans="1:13" x14ac:dyDescent="0.3">
      <c r="A2181" s="1">
        <v>45989</v>
      </c>
      <c r="B2181" s="2" t="s">
        <v>2628</v>
      </c>
      <c r="C2181" s="2" t="s">
        <v>2541</v>
      </c>
      <c r="D2181" s="2" t="s">
        <v>2528</v>
      </c>
      <c r="E2181" s="2" t="s">
        <v>2517</v>
      </c>
      <c r="F2181" s="3">
        <v>41853</v>
      </c>
      <c r="G2181" s="3">
        <v>585</v>
      </c>
      <c r="H2181" s="3">
        <v>53</v>
      </c>
      <c r="I2181" s="4">
        <v>906.25</v>
      </c>
      <c r="J2181" s="4">
        <v>5643.16</v>
      </c>
      <c r="K2181" s="3">
        <v>27</v>
      </c>
      <c r="L2181" s="2" t="s">
        <v>2523</v>
      </c>
      <c r="M2181" s="2" t="s">
        <v>2519</v>
      </c>
    </row>
    <row r="2182" spans="1:13" x14ac:dyDescent="0.3">
      <c r="A2182" s="1">
        <v>45844</v>
      </c>
      <c r="B2182" s="2" t="s">
        <v>2615</v>
      </c>
      <c r="C2182" s="2" t="s">
        <v>2533</v>
      </c>
      <c r="D2182" s="2" t="s">
        <v>2528</v>
      </c>
      <c r="E2182" s="2" t="s">
        <v>2517</v>
      </c>
      <c r="F2182" s="3">
        <v>104588</v>
      </c>
      <c r="G2182" s="3">
        <v>2472</v>
      </c>
      <c r="H2182" s="3">
        <v>142</v>
      </c>
      <c r="I2182" s="4">
        <v>832.3</v>
      </c>
      <c r="J2182" s="4">
        <v>11870.18</v>
      </c>
      <c r="K2182" s="3">
        <v>102</v>
      </c>
      <c r="L2182" s="2" t="s">
        <v>2539</v>
      </c>
      <c r="M2182" s="2" t="s">
        <v>2524</v>
      </c>
    </row>
    <row r="2183" spans="1:13" x14ac:dyDescent="0.3">
      <c r="A2183" s="1">
        <v>45940</v>
      </c>
      <c r="B2183" s="2" t="s">
        <v>2622</v>
      </c>
      <c r="C2183" s="2" t="s">
        <v>2515</v>
      </c>
      <c r="D2183" s="2" t="s">
        <v>2528</v>
      </c>
      <c r="E2183" s="2" t="s">
        <v>2529</v>
      </c>
      <c r="F2183" s="3">
        <v>145436</v>
      </c>
      <c r="G2183" s="3">
        <v>1104</v>
      </c>
      <c r="H2183" s="3">
        <v>27</v>
      </c>
      <c r="I2183" s="4">
        <v>572.88</v>
      </c>
      <c r="J2183" s="4">
        <v>4268.9399999999996</v>
      </c>
      <c r="K2183" s="3">
        <v>23</v>
      </c>
      <c r="L2183" s="2" t="s">
        <v>2536</v>
      </c>
      <c r="M2183" s="2" t="s">
        <v>2524</v>
      </c>
    </row>
    <row r="2184" spans="1:13" x14ac:dyDescent="0.3">
      <c r="A2184" s="1">
        <v>45981</v>
      </c>
      <c r="B2184" s="2" t="s">
        <v>2620</v>
      </c>
      <c r="C2184" s="2" t="s">
        <v>2527</v>
      </c>
      <c r="D2184" s="2" t="s">
        <v>2528</v>
      </c>
      <c r="E2184" s="2" t="s">
        <v>2529</v>
      </c>
      <c r="F2184" s="3">
        <v>25969</v>
      </c>
      <c r="G2184" s="3">
        <v>516</v>
      </c>
      <c r="H2184" s="3">
        <v>64</v>
      </c>
      <c r="I2184" s="4">
        <v>745.61</v>
      </c>
      <c r="J2184" s="4">
        <v>2220.69</v>
      </c>
      <c r="K2184" s="3">
        <v>37</v>
      </c>
      <c r="L2184" s="2" t="s">
        <v>2539</v>
      </c>
      <c r="M2184" s="2" t="s">
        <v>2519</v>
      </c>
    </row>
    <row r="2185" spans="1:13" x14ac:dyDescent="0.3">
      <c r="A2185" s="1">
        <v>45883</v>
      </c>
      <c r="B2185" s="2" t="s">
        <v>2631</v>
      </c>
      <c r="C2185" s="2" t="s">
        <v>2515</v>
      </c>
      <c r="D2185" s="2" t="s">
        <v>2522</v>
      </c>
      <c r="E2185" s="2" t="s">
        <v>2517</v>
      </c>
      <c r="F2185" s="3">
        <v>80817</v>
      </c>
      <c r="G2185" s="3">
        <v>5906</v>
      </c>
      <c r="H2185" s="3">
        <v>496</v>
      </c>
      <c r="I2185" s="4">
        <v>11741.17</v>
      </c>
      <c r="J2185" s="4">
        <v>82847.679999999993</v>
      </c>
      <c r="K2185" s="3">
        <v>439</v>
      </c>
      <c r="L2185" s="2" t="s">
        <v>2523</v>
      </c>
      <c r="M2185" s="2" t="s">
        <v>2524</v>
      </c>
    </row>
    <row r="2186" spans="1:13" x14ac:dyDescent="0.3">
      <c r="A2186" s="1">
        <v>45948</v>
      </c>
      <c r="B2186" s="2" t="s">
        <v>2628</v>
      </c>
      <c r="C2186" s="2" t="s">
        <v>2515</v>
      </c>
      <c r="D2186" s="2" t="s">
        <v>2528</v>
      </c>
      <c r="E2186" s="2" t="s">
        <v>2529</v>
      </c>
      <c r="F2186" s="3">
        <v>97690</v>
      </c>
      <c r="G2186" s="3">
        <v>3481</v>
      </c>
      <c r="H2186" s="3">
        <v>217</v>
      </c>
      <c r="I2186" s="4">
        <v>1952.13</v>
      </c>
      <c r="J2186" s="4">
        <v>37073.89</v>
      </c>
      <c r="K2186" s="3">
        <v>148</v>
      </c>
      <c r="L2186" s="2" t="s">
        <v>2539</v>
      </c>
      <c r="M2186" s="2" t="s">
        <v>2645</v>
      </c>
    </row>
    <row r="2187" spans="1:13" x14ac:dyDescent="0.3">
      <c r="A2187" s="1">
        <v>45885</v>
      </c>
      <c r="B2187" s="2" t="s">
        <v>2624</v>
      </c>
      <c r="C2187" s="2" t="s">
        <v>2533</v>
      </c>
      <c r="D2187" s="2" t="s">
        <v>2528</v>
      </c>
      <c r="E2187" s="2" t="s">
        <v>2517</v>
      </c>
      <c r="F2187" s="3">
        <v>11816</v>
      </c>
      <c r="G2187" s="3">
        <v>803</v>
      </c>
      <c r="H2187" s="3">
        <v>8</v>
      </c>
      <c r="I2187" s="4">
        <v>346.29</v>
      </c>
      <c r="J2187" s="4">
        <v>745.29</v>
      </c>
      <c r="K2187" s="3">
        <v>4</v>
      </c>
      <c r="L2187" s="2" t="s">
        <v>2536</v>
      </c>
      <c r="M2187" s="2" t="s">
        <v>2526</v>
      </c>
    </row>
    <row r="2188" spans="1:13" x14ac:dyDescent="0.3">
      <c r="A2188" s="1">
        <v>45819</v>
      </c>
      <c r="B2188" s="2" t="s">
        <v>2616</v>
      </c>
      <c r="C2188" s="2" t="s">
        <v>2543</v>
      </c>
      <c r="D2188" s="2" t="s">
        <v>2516</v>
      </c>
      <c r="E2188" s="2" t="s">
        <v>2529</v>
      </c>
      <c r="F2188" s="3">
        <v>85263</v>
      </c>
      <c r="G2188" s="3">
        <v>2892</v>
      </c>
      <c r="H2188" s="3">
        <v>324</v>
      </c>
      <c r="I2188" s="4">
        <v>356.14</v>
      </c>
      <c r="J2188" s="4">
        <v>40983.31</v>
      </c>
      <c r="K2188" s="3">
        <v>200</v>
      </c>
      <c r="L2188" s="2" t="s">
        <v>2523</v>
      </c>
      <c r="M2188" s="2" t="s">
        <v>2537</v>
      </c>
    </row>
    <row r="2189" spans="1:13" x14ac:dyDescent="0.3">
      <c r="A2189" s="1">
        <v>45954</v>
      </c>
      <c r="B2189" s="2" t="s">
        <v>2637</v>
      </c>
      <c r="C2189" s="2" t="s">
        <v>2533</v>
      </c>
      <c r="D2189" s="2" t="s">
        <v>2528</v>
      </c>
      <c r="E2189" s="2" t="s">
        <v>2529</v>
      </c>
      <c r="F2189" s="3">
        <v>75858</v>
      </c>
      <c r="G2189" s="3">
        <v>6028</v>
      </c>
      <c r="H2189" s="3">
        <v>377</v>
      </c>
      <c r="I2189" s="4">
        <v>683.81</v>
      </c>
      <c r="J2189" s="4">
        <v>69660.91</v>
      </c>
      <c r="K2189" s="3">
        <v>193</v>
      </c>
      <c r="L2189" s="2" t="s">
        <v>2539</v>
      </c>
      <c r="M2189" s="2" t="s">
        <v>2524</v>
      </c>
    </row>
    <row r="2190" spans="1:13" x14ac:dyDescent="0.3">
      <c r="A2190" s="1">
        <v>45986</v>
      </c>
      <c r="B2190" s="2" t="s">
        <v>2639</v>
      </c>
      <c r="C2190" s="2" t="s">
        <v>2515</v>
      </c>
      <c r="D2190" s="2" t="s">
        <v>2528</v>
      </c>
      <c r="E2190" s="2" t="s">
        <v>2529</v>
      </c>
      <c r="F2190" s="3">
        <v>46519</v>
      </c>
      <c r="G2190" s="3">
        <v>896</v>
      </c>
      <c r="H2190" s="3">
        <v>26</v>
      </c>
      <c r="I2190" s="4">
        <v>1246.43</v>
      </c>
      <c r="J2190" s="4">
        <v>4074.71</v>
      </c>
      <c r="K2190" s="3">
        <v>12</v>
      </c>
      <c r="L2190" s="2" t="s">
        <v>2523</v>
      </c>
      <c r="M2190" s="2" t="s">
        <v>2546</v>
      </c>
    </row>
    <row r="2191" spans="1:13" x14ac:dyDescent="0.3">
      <c r="A2191" s="1">
        <v>45734</v>
      </c>
      <c r="B2191" s="2" t="s">
        <v>2621</v>
      </c>
      <c r="C2191" s="2" t="s">
        <v>2521</v>
      </c>
      <c r="D2191" s="2" t="s">
        <v>2531</v>
      </c>
      <c r="E2191" s="2" t="s">
        <v>2517</v>
      </c>
      <c r="F2191" s="3">
        <v>8716</v>
      </c>
      <c r="G2191" s="3">
        <v>633</v>
      </c>
      <c r="H2191" s="3">
        <v>28</v>
      </c>
      <c r="I2191" s="4">
        <v>425.02</v>
      </c>
      <c r="J2191" s="4">
        <v>3925.31</v>
      </c>
      <c r="K2191" s="3">
        <v>17</v>
      </c>
      <c r="L2191" s="2" t="s">
        <v>2536</v>
      </c>
      <c r="M2191" s="2" t="s">
        <v>2519</v>
      </c>
    </row>
    <row r="2192" spans="1:13" x14ac:dyDescent="0.3">
      <c r="A2192" s="1">
        <v>45674</v>
      </c>
      <c r="B2192" s="2" t="s">
        <v>2616</v>
      </c>
      <c r="C2192" s="2" t="s">
        <v>2541</v>
      </c>
      <c r="D2192" s="2" t="s">
        <v>2516</v>
      </c>
      <c r="E2192" s="2" t="s">
        <v>2529</v>
      </c>
      <c r="F2192" s="3">
        <v>17438</v>
      </c>
      <c r="G2192" s="3">
        <v>211</v>
      </c>
      <c r="H2192" s="3">
        <v>26</v>
      </c>
      <c r="I2192" s="4">
        <v>37.340000000000003</v>
      </c>
      <c r="J2192" s="4">
        <v>4020.37</v>
      </c>
      <c r="K2192" s="3">
        <v>14</v>
      </c>
      <c r="L2192" s="2" t="s">
        <v>2518</v>
      </c>
      <c r="M2192" s="2" t="s">
        <v>2546</v>
      </c>
    </row>
    <row r="2193" spans="1:13" x14ac:dyDescent="0.3">
      <c r="A2193" s="1">
        <v>45864</v>
      </c>
      <c r="B2193" s="2" t="s">
        <v>2624</v>
      </c>
      <c r="C2193" s="2" t="s">
        <v>2543</v>
      </c>
      <c r="D2193" s="2" t="s">
        <v>2522</v>
      </c>
      <c r="E2193" s="2" t="s">
        <v>2529</v>
      </c>
      <c r="F2193" s="3">
        <v>3011</v>
      </c>
      <c r="G2193" s="3">
        <v>123</v>
      </c>
      <c r="H2193" s="3">
        <v>2</v>
      </c>
      <c r="I2193" s="4">
        <v>19.64</v>
      </c>
      <c r="J2193" s="4">
        <v>396.37</v>
      </c>
      <c r="K2193" s="3">
        <v>1</v>
      </c>
      <c r="L2193" s="2" t="s">
        <v>2536</v>
      </c>
      <c r="M2193" s="2" t="s">
        <v>2537</v>
      </c>
    </row>
    <row r="2194" spans="1:13" x14ac:dyDescent="0.3">
      <c r="A2194" s="1">
        <v>45697</v>
      </c>
      <c r="B2194" s="2" t="s">
        <v>2629</v>
      </c>
      <c r="C2194" s="2" t="s">
        <v>2543</v>
      </c>
      <c r="D2194" s="2" t="s">
        <v>2531</v>
      </c>
      <c r="E2194" s="2" t="s">
        <v>2517</v>
      </c>
      <c r="F2194" s="3">
        <v>23510</v>
      </c>
      <c r="G2194" s="3">
        <v>470</v>
      </c>
      <c r="H2194" s="3">
        <v>33</v>
      </c>
      <c r="I2194" s="4">
        <v>839.59</v>
      </c>
      <c r="J2194" s="4">
        <v>6278.69</v>
      </c>
      <c r="K2194" s="3">
        <v>22</v>
      </c>
      <c r="L2194" s="2" t="s">
        <v>2523</v>
      </c>
      <c r="M2194" s="2" t="s">
        <v>2526</v>
      </c>
    </row>
    <row r="2195" spans="1:13" x14ac:dyDescent="0.3">
      <c r="A2195" s="1">
        <v>45936</v>
      </c>
      <c r="B2195" s="2" t="s">
        <v>2615</v>
      </c>
      <c r="C2195" s="2" t="s">
        <v>2521</v>
      </c>
      <c r="D2195" s="2" t="s">
        <v>2525</v>
      </c>
      <c r="E2195" s="2" t="s">
        <v>2517</v>
      </c>
      <c r="F2195" s="3">
        <v>158769</v>
      </c>
      <c r="G2195" s="3">
        <v>8117</v>
      </c>
      <c r="H2195" s="3">
        <v>365</v>
      </c>
      <c r="I2195" s="4">
        <v>13976.51</v>
      </c>
      <c r="J2195" s="4">
        <v>27294.44</v>
      </c>
      <c r="K2195" s="3">
        <v>257</v>
      </c>
      <c r="L2195" s="2" t="s">
        <v>2523</v>
      </c>
      <c r="M2195" s="2" t="s">
        <v>2526</v>
      </c>
    </row>
    <row r="2196" spans="1:13" x14ac:dyDescent="0.3">
      <c r="A2196" s="1">
        <v>46013</v>
      </c>
      <c r="B2196" s="2" t="s">
        <v>2627</v>
      </c>
      <c r="C2196" s="2" t="s">
        <v>2543</v>
      </c>
      <c r="D2196" s="2" t="s">
        <v>2528</v>
      </c>
      <c r="E2196" s="2" t="s">
        <v>2517</v>
      </c>
      <c r="F2196" s="3">
        <v>80262</v>
      </c>
      <c r="G2196" s="3">
        <v>4565</v>
      </c>
      <c r="H2196" s="3">
        <v>272</v>
      </c>
      <c r="I2196" s="4">
        <v>2446.7600000000002</v>
      </c>
      <c r="J2196" s="4">
        <v>43241.66</v>
      </c>
      <c r="K2196" s="3">
        <v>185</v>
      </c>
      <c r="L2196" s="2" t="s">
        <v>2536</v>
      </c>
      <c r="M2196" s="2" t="s">
        <v>2524</v>
      </c>
    </row>
    <row r="2197" spans="1:13" x14ac:dyDescent="0.3">
      <c r="A2197" s="1">
        <v>45926</v>
      </c>
      <c r="B2197" s="2" t="s">
        <v>2626</v>
      </c>
      <c r="C2197" s="2" t="s">
        <v>2521</v>
      </c>
      <c r="D2197" s="2" t="s">
        <v>2516</v>
      </c>
      <c r="E2197" s="2" t="s">
        <v>2517</v>
      </c>
      <c r="F2197" s="3">
        <v>118229</v>
      </c>
      <c r="G2197" s="3">
        <v>10169</v>
      </c>
      <c r="H2197" s="3">
        <v>214</v>
      </c>
      <c r="I2197" s="4">
        <v>8244.91</v>
      </c>
      <c r="J2197" s="4">
        <v>19736.330000000002</v>
      </c>
      <c r="K2197" s="3">
        <v>175</v>
      </c>
      <c r="L2197" s="2" t="s">
        <v>2539</v>
      </c>
      <c r="M2197" s="2" t="s">
        <v>2526</v>
      </c>
    </row>
    <row r="2198" spans="1:13" x14ac:dyDescent="0.3">
      <c r="A2198" s="1">
        <v>45940</v>
      </c>
      <c r="B2198" s="2" t="s">
        <v>2626</v>
      </c>
      <c r="C2198" s="2" t="s">
        <v>2521</v>
      </c>
      <c r="D2198" s="2" t="s">
        <v>2516</v>
      </c>
      <c r="E2198" s="2" t="s">
        <v>2517</v>
      </c>
      <c r="F2198" s="3">
        <v>148462</v>
      </c>
      <c r="G2198" s="3">
        <v>8117</v>
      </c>
      <c r="H2198" s="3">
        <v>784</v>
      </c>
      <c r="I2198" s="4">
        <v>3246.35</v>
      </c>
      <c r="J2198" s="4">
        <v>111959.65</v>
      </c>
      <c r="K2198" s="3">
        <v>408</v>
      </c>
      <c r="L2198" s="2" t="s">
        <v>2539</v>
      </c>
      <c r="M2198" s="2" t="s">
        <v>2524</v>
      </c>
    </row>
    <row r="2199" spans="1:13" x14ac:dyDescent="0.3">
      <c r="A2199" s="1">
        <v>45837</v>
      </c>
      <c r="B2199" s="2" t="s">
        <v>2627</v>
      </c>
      <c r="C2199" s="2" t="s">
        <v>2521</v>
      </c>
      <c r="D2199" s="2" t="s">
        <v>2516</v>
      </c>
      <c r="E2199" s="2" t="s">
        <v>2529</v>
      </c>
      <c r="F2199" s="3">
        <v>123827</v>
      </c>
      <c r="G2199" s="3">
        <v>1661</v>
      </c>
      <c r="H2199" s="3">
        <v>89</v>
      </c>
      <c r="I2199" s="4">
        <v>3477.56</v>
      </c>
      <c r="J2199" s="4">
        <v>2944.48</v>
      </c>
      <c r="K2199" s="3">
        <v>66</v>
      </c>
      <c r="L2199" s="2" t="s">
        <v>2536</v>
      </c>
      <c r="M2199" s="2" t="s">
        <v>2537</v>
      </c>
    </row>
    <row r="2200" spans="1:13" x14ac:dyDescent="0.3">
      <c r="A2200" s="1">
        <v>45749</v>
      </c>
      <c r="B2200" s="2" t="s">
        <v>2642</v>
      </c>
      <c r="C2200" s="2" t="s">
        <v>2515</v>
      </c>
      <c r="D2200" s="2" t="s">
        <v>2525</v>
      </c>
      <c r="E2200" s="2" t="s">
        <v>2517</v>
      </c>
      <c r="F2200" s="3">
        <v>49315</v>
      </c>
      <c r="G2200" s="3">
        <v>1724</v>
      </c>
      <c r="H2200" s="3">
        <v>9</v>
      </c>
      <c r="I2200" s="4">
        <v>374.6</v>
      </c>
      <c r="J2200" s="4">
        <v>1972.92</v>
      </c>
      <c r="K2200" s="3">
        <v>4</v>
      </c>
      <c r="L2200" s="2" t="s">
        <v>2518</v>
      </c>
      <c r="M2200" s="2" t="s">
        <v>2526</v>
      </c>
    </row>
    <row r="2201" spans="1:13" x14ac:dyDescent="0.3">
      <c r="A2201" s="1">
        <v>45821</v>
      </c>
      <c r="B2201" s="2" t="s">
        <v>2636</v>
      </c>
      <c r="C2201" s="2" t="s">
        <v>2521</v>
      </c>
      <c r="D2201" s="2" t="s">
        <v>2531</v>
      </c>
      <c r="E2201" s="2" t="s">
        <v>2529</v>
      </c>
      <c r="F2201" s="3">
        <v>46109</v>
      </c>
      <c r="G2201" s="3">
        <v>3417</v>
      </c>
      <c r="H2201" s="3">
        <v>321</v>
      </c>
      <c r="I2201" s="4">
        <v>3192.09</v>
      </c>
      <c r="J2201" s="4">
        <v>26471.119999999999</v>
      </c>
      <c r="K2201" s="3">
        <v>223</v>
      </c>
      <c r="L2201" s="2" t="s">
        <v>2539</v>
      </c>
      <c r="M2201" s="2" t="s">
        <v>2546</v>
      </c>
    </row>
    <row r="2202" spans="1:13" x14ac:dyDescent="0.3">
      <c r="A2202" s="1">
        <v>45854</v>
      </c>
      <c r="B2202" s="2" t="s">
        <v>2631</v>
      </c>
      <c r="C2202" s="2" t="s">
        <v>2521</v>
      </c>
      <c r="D2202" s="2" t="s">
        <v>2528</v>
      </c>
      <c r="E2202" s="2" t="s">
        <v>2529</v>
      </c>
      <c r="F2202" s="3">
        <v>23638</v>
      </c>
      <c r="G2202" s="3">
        <v>128</v>
      </c>
      <c r="H2202" s="3">
        <v>1</v>
      </c>
      <c r="I2202" s="4">
        <v>13.76</v>
      </c>
      <c r="J2202" s="4">
        <v>66.05</v>
      </c>
      <c r="K2202" s="3">
        <v>0</v>
      </c>
      <c r="L2202" s="2" t="s">
        <v>2518</v>
      </c>
      <c r="M2202" s="2" t="s">
        <v>2524</v>
      </c>
    </row>
    <row r="2203" spans="1:13" x14ac:dyDescent="0.3">
      <c r="A2203" s="1">
        <v>45982</v>
      </c>
      <c r="B2203" s="2" t="s">
        <v>2633</v>
      </c>
      <c r="C2203" s="2" t="s">
        <v>2521</v>
      </c>
      <c r="D2203" s="2" t="s">
        <v>2531</v>
      </c>
      <c r="E2203" s="2" t="s">
        <v>2517</v>
      </c>
      <c r="F2203" s="3">
        <v>150337</v>
      </c>
      <c r="G2203" s="3">
        <v>4507</v>
      </c>
      <c r="H2203" s="3">
        <v>330</v>
      </c>
      <c r="I2203" s="4">
        <v>8435.9500000000007</v>
      </c>
      <c r="J2203" s="4">
        <v>19284.84</v>
      </c>
      <c r="K2203" s="3">
        <v>199</v>
      </c>
      <c r="L2203" s="2" t="s">
        <v>2518</v>
      </c>
      <c r="M2203" s="2" t="s">
        <v>2524</v>
      </c>
    </row>
    <row r="2204" spans="1:13" x14ac:dyDescent="0.3">
      <c r="A2204" s="1">
        <v>45985</v>
      </c>
      <c r="B2204" s="2" t="s">
        <v>2619</v>
      </c>
      <c r="C2204" s="2" t="s">
        <v>2521</v>
      </c>
      <c r="D2204" s="2" t="s">
        <v>2525</v>
      </c>
      <c r="E2204" s="2" t="s">
        <v>2529</v>
      </c>
      <c r="F2204" s="3">
        <v>24563</v>
      </c>
      <c r="G2204" s="3">
        <v>1730</v>
      </c>
      <c r="H2204" s="3">
        <v>225</v>
      </c>
      <c r="I2204" s="4">
        <v>1997.52</v>
      </c>
      <c r="J2204" s="4">
        <v>47315.39</v>
      </c>
      <c r="K2204" s="3">
        <v>161</v>
      </c>
      <c r="L2204" s="2" t="s">
        <v>2518</v>
      </c>
      <c r="M2204" s="2" t="s">
        <v>2537</v>
      </c>
    </row>
    <row r="2205" spans="1:13" x14ac:dyDescent="0.3">
      <c r="A2205" s="1">
        <v>45889</v>
      </c>
      <c r="B2205" s="2" t="s">
        <v>2643</v>
      </c>
      <c r="C2205" s="2" t="s">
        <v>2515</v>
      </c>
      <c r="D2205" s="2" t="s">
        <v>2528</v>
      </c>
      <c r="E2205" s="2" t="s">
        <v>2517</v>
      </c>
      <c r="F2205" s="3">
        <v>62233</v>
      </c>
      <c r="G2205" s="3">
        <v>3567</v>
      </c>
      <c r="H2205" s="3">
        <v>218</v>
      </c>
      <c r="I2205" s="4">
        <v>6164.11</v>
      </c>
      <c r="J2205" s="4">
        <v>19257.61</v>
      </c>
      <c r="K2205" s="3">
        <v>179</v>
      </c>
      <c r="L2205" s="2" t="s">
        <v>2536</v>
      </c>
      <c r="M2205" s="2" t="s">
        <v>2524</v>
      </c>
    </row>
    <row r="2206" spans="1:13" x14ac:dyDescent="0.3">
      <c r="A2206" s="1">
        <v>45904</v>
      </c>
      <c r="B2206" s="2" t="s">
        <v>2622</v>
      </c>
      <c r="C2206" s="2" t="s">
        <v>2541</v>
      </c>
      <c r="D2206" s="2" t="s">
        <v>2525</v>
      </c>
      <c r="E2206" s="2" t="s">
        <v>2517</v>
      </c>
      <c r="F2206" s="3">
        <v>16619</v>
      </c>
      <c r="G2206" s="3">
        <v>508</v>
      </c>
      <c r="H2206" s="3">
        <v>16</v>
      </c>
      <c r="I2206" s="4">
        <v>114.47</v>
      </c>
      <c r="J2206" s="4">
        <v>2210.91</v>
      </c>
      <c r="K2206" s="3">
        <v>10</v>
      </c>
      <c r="L2206" s="2" t="s">
        <v>2536</v>
      </c>
      <c r="M2206" s="2" t="s">
        <v>2524</v>
      </c>
    </row>
    <row r="2207" spans="1:13" x14ac:dyDescent="0.3">
      <c r="A2207" s="1">
        <v>45848</v>
      </c>
      <c r="B2207" s="2" t="s">
        <v>2631</v>
      </c>
      <c r="C2207" s="2" t="s">
        <v>2533</v>
      </c>
      <c r="D2207" s="2" t="s">
        <v>2528</v>
      </c>
      <c r="E2207" s="2" t="s">
        <v>2529</v>
      </c>
      <c r="F2207" s="3">
        <v>169528</v>
      </c>
      <c r="G2207" s="3">
        <v>7933</v>
      </c>
      <c r="H2207" s="3">
        <v>628</v>
      </c>
      <c r="I2207" s="4">
        <v>13027.5</v>
      </c>
      <c r="J2207" s="4">
        <v>100367.9</v>
      </c>
      <c r="K2207" s="3">
        <v>523</v>
      </c>
      <c r="L2207" s="2" t="s">
        <v>2518</v>
      </c>
      <c r="M2207" s="2" t="s">
        <v>2546</v>
      </c>
    </row>
    <row r="2208" spans="1:13" x14ac:dyDescent="0.3">
      <c r="A2208" s="1">
        <v>45794</v>
      </c>
      <c r="B2208" s="2" t="s">
        <v>2618</v>
      </c>
      <c r="C2208" s="2" t="s">
        <v>2543</v>
      </c>
      <c r="D2208" s="2" t="s">
        <v>2528</v>
      </c>
      <c r="E2208" s="2" t="s">
        <v>2517</v>
      </c>
      <c r="F2208" s="3">
        <v>140744</v>
      </c>
      <c r="G2208" s="3">
        <v>6832</v>
      </c>
      <c r="H2208" s="3">
        <v>160</v>
      </c>
      <c r="I2208" s="4">
        <v>2048.9</v>
      </c>
      <c r="J2208" s="4">
        <v>29697.01</v>
      </c>
      <c r="K2208" s="3">
        <v>83</v>
      </c>
      <c r="L2208" s="2" t="s">
        <v>2536</v>
      </c>
      <c r="M2208" s="2" t="s">
        <v>2537</v>
      </c>
    </row>
    <row r="2209" spans="1:13" x14ac:dyDescent="0.3">
      <c r="A2209" s="1">
        <v>45789</v>
      </c>
      <c r="B2209" s="2" t="s">
        <v>2618</v>
      </c>
      <c r="C2209" s="2" t="s">
        <v>2543</v>
      </c>
      <c r="D2209" s="2" t="s">
        <v>2522</v>
      </c>
      <c r="E2209" s="2" t="s">
        <v>2529</v>
      </c>
      <c r="F2209" s="3">
        <v>91058</v>
      </c>
      <c r="G2209" s="3">
        <v>4463</v>
      </c>
      <c r="H2209" s="3">
        <v>325</v>
      </c>
      <c r="I2209" s="4">
        <v>953.8</v>
      </c>
      <c r="J2209" s="4">
        <v>7459.12</v>
      </c>
      <c r="K2209" s="3">
        <v>272</v>
      </c>
      <c r="L2209" s="2" t="s">
        <v>2523</v>
      </c>
      <c r="M2209" s="2" t="s">
        <v>2537</v>
      </c>
    </row>
    <row r="2210" spans="1:13" x14ac:dyDescent="0.3">
      <c r="A2210" s="1">
        <v>45755</v>
      </c>
      <c r="B2210" s="2" t="s">
        <v>2633</v>
      </c>
      <c r="C2210" s="2" t="s">
        <v>2515</v>
      </c>
      <c r="D2210" s="2" t="s">
        <v>2528</v>
      </c>
      <c r="E2210" s="2" t="s">
        <v>2517</v>
      </c>
      <c r="F2210" s="3">
        <v>52778</v>
      </c>
      <c r="G2210" s="3">
        <v>1859</v>
      </c>
      <c r="H2210" s="3">
        <v>88</v>
      </c>
      <c r="I2210" s="4">
        <v>3484.66</v>
      </c>
      <c r="J2210" s="4">
        <v>14022.66</v>
      </c>
      <c r="K2210" s="3">
        <v>44</v>
      </c>
      <c r="L2210" s="2" t="s">
        <v>2536</v>
      </c>
      <c r="M2210" s="2" t="s">
        <v>2537</v>
      </c>
    </row>
    <row r="2211" spans="1:13" x14ac:dyDescent="0.3">
      <c r="A2211" s="1">
        <v>45663</v>
      </c>
      <c r="B2211" s="2" t="s">
        <v>2629</v>
      </c>
      <c r="C2211" s="2" t="s">
        <v>2521</v>
      </c>
      <c r="D2211" s="2" t="s">
        <v>2531</v>
      </c>
      <c r="E2211" s="2" t="s">
        <v>2529</v>
      </c>
      <c r="F2211" s="3">
        <v>88726</v>
      </c>
      <c r="G2211" s="3">
        <v>1710</v>
      </c>
      <c r="H2211" s="3">
        <v>75</v>
      </c>
      <c r="I2211" s="4">
        <v>1350.76</v>
      </c>
      <c r="J2211" s="4">
        <v>12830.36</v>
      </c>
      <c r="K2211" s="3">
        <v>59</v>
      </c>
      <c r="L2211" s="2" t="s">
        <v>2518</v>
      </c>
      <c r="M2211" s="2" t="s">
        <v>2524</v>
      </c>
    </row>
    <row r="2212" spans="1:13" x14ac:dyDescent="0.3">
      <c r="A2212" s="1">
        <v>45952</v>
      </c>
      <c r="B2212" s="2" t="s">
        <v>2643</v>
      </c>
      <c r="C2212" s="2" t="s">
        <v>2533</v>
      </c>
      <c r="D2212" s="2" t="s">
        <v>2522</v>
      </c>
      <c r="E2212" s="2" t="s">
        <v>2529</v>
      </c>
      <c r="F2212" s="3">
        <v>151314</v>
      </c>
      <c r="G2212" s="3">
        <v>9761</v>
      </c>
      <c r="H2212" s="3">
        <v>9790</v>
      </c>
      <c r="I2212" s="4">
        <v>11377.62</v>
      </c>
      <c r="J2212" s="4">
        <v>61417.41</v>
      </c>
      <c r="K2212" s="3">
        <v>834</v>
      </c>
      <c r="L2212" s="2" t="s">
        <v>2518</v>
      </c>
      <c r="M2212" s="2" t="s">
        <v>2519</v>
      </c>
    </row>
    <row r="2213" spans="1:13" x14ac:dyDescent="0.3">
      <c r="A2213" s="1">
        <v>45991</v>
      </c>
      <c r="B2213" s="2" t="s">
        <v>2626</v>
      </c>
      <c r="C2213" s="2" t="s">
        <v>2521</v>
      </c>
      <c r="D2213" s="2" t="s">
        <v>2516</v>
      </c>
      <c r="E2213" s="2" t="s">
        <v>2517</v>
      </c>
      <c r="F2213" s="3">
        <v>96731</v>
      </c>
      <c r="G2213" s="3">
        <v>7280</v>
      </c>
      <c r="H2213" s="3">
        <v>261</v>
      </c>
      <c r="I2213" s="4">
        <v>2957.33</v>
      </c>
      <c r="J2213" s="4">
        <v>6192.78</v>
      </c>
      <c r="K2213" s="3">
        <v>211</v>
      </c>
      <c r="L2213" s="2" t="s">
        <v>2523</v>
      </c>
      <c r="M2213" s="2" t="s">
        <v>2537</v>
      </c>
    </row>
    <row r="2214" spans="1:13" x14ac:dyDescent="0.3">
      <c r="A2214" s="1">
        <v>45827</v>
      </c>
      <c r="B2214" s="2" t="s">
        <v>2642</v>
      </c>
      <c r="C2214" s="2" t="s">
        <v>2543</v>
      </c>
      <c r="D2214" s="2" t="s">
        <v>2525</v>
      </c>
      <c r="E2214" s="2" t="s">
        <v>2517</v>
      </c>
      <c r="F2214" s="3">
        <v>39027</v>
      </c>
      <c r="G2214" s="3">
        <v>2516</v>
      </c>
      <c r="H2214" s="3">
        <v>225</v>
      </c>
      <c r="I2214" s="4">
        <v>3206.42</v>
      </c>
      <c r="J2214" s="4">
        <v>30724.28</v>
      </c>
      <c r="K2214" s="3">
        <v>192</v>
      </c>
      <c r="L2214" s="2" t="s">
        <v>2523</v>
      </c>
      <c r="M2214" s="2" t="s">
        <v>2546</v>
      </c>
    </row>
    <row r="2215" spans="1:13" x14ac:dyDescent="0.3">
      <c r="A2215" s="1">
        <v>45745</v>
      </c>
      <c r="B2215" s="2" t="s">
        <v>2626</v>
      </c>
      <c r="C2215" s="2" t="s">
        <v>2527</v>
      </c>
      <c r="D2215" s="2" t="s">
        <v>2528</v>
      </c>
      <c r="E2215" s="2" t="s">
        <v>2534</v>
      </c>
      <c r="F2215" s="3">
        <v>169346</v>
      </c>
      <c r="G2215" s="3">
        <v>9690</v>
      </c>
      <c r="H2215" s="3">
        <v>944</v>
      </c>
      <c r="I2215" s="4">
        <v>4182.46</v>
      </c>
      <c r="J2215" s="4">
        <v>151059.42000000001</v>
      </c>
      <c r="K2215" s="3">
        <v>699</v>
      </c>
      <c r="L2215" s="2" t="s">
        <v>2536</v>
      </c>
      <c r="M2215" s="2" t="s">
        <v>2524</v>
      </c>
    </row>
    <row r="2216" spans="1:13" x14ac:dyDescent="0.3">
      <c r="A2216" s="1">
        <v>45826</v>
      </c>
      <c r="B2216" s="2" t="s">
        <v>2619</v>
      </c>
      <c r="C2216" s="2" t="s">
        <v>2527</v>
      </c>
      <c r="D2216" s="2" t="s">
        <v>2528</v>
      </c>
      <c r="E2216" s="2" t="s">
        <v>2517</v>
      </c>
      <c r="F2216" s="3">
        <v>178812</v>
      </c>
      <c r="G2216" s="3">
        <v>1519</v>
      </c>
      <c r="H2216" s="3">
        <v>56</v>
      </c>
      <c r="I2216" s="4">
        <v>2311.06</v>
      </c>
      <c r="J2216" s="4">
        <v>4607.66</v>
      </c>
      <c r="K2216" s="3">
        <v>42</v>
      </c>
      <c r="L2216" s="2" t="s">
        <v>2518</v>
      </c>
      <c r="M2216" s="2" t="s">
        <v>2526</v>
      </c>
    </row>
    <row r="2217" spans="1:13" x14ac:dyDescent="0.3">
      <c r="A2217" s="1">
        <v>45724</v>
      </c>
      <c r="B2217" s="2" t="s">
        <v>2637</v>
      </c>
      <c r="C2217" s="2" t="s">
        <v>2527</v>
      </c>
      <c r="D2217" s="2" t="s">
        <v>2516</v>
      </c>
      <c r="E2217" s="2" t="s">
        <v>2529</v>
      </c>
      <c r="F2217" s="3">
        <v>111279</v>
      </c>
      <c r="G2217" s="3">
        <v>7583</v>
      </c>
      <c r="H2217" s="3">
        <v>432</v>
      </c>
      <c r="I2217" s="4">
        <v>2838.59</v>
      </c>
      <c r="J2217" s="4">
        <v>55583.3</v>
      </c>
      <c r="K2217" s="3">
        <v>346</v>
      </c>
      <c r="L2217" s="2" t="s">
        <v>2539</v>
      </c>
      <c r="M2217" s="2" t="s">
        <v>2526</v>
      </c>
    </row>
    <row r="2218" spans="1:13" x14ac:dyDescent="0.3">
      <c r="A2218" s="1">
        <v>46000</v>
      </c>
      <c r="B2218" s="2" t="s">
        <v>2637</v>
      </c>
      <c r="C2218" s="2" t="s">
        <v>2541</v>
      </c>
      <c r="D2218" s="2" t="s">
        <v>2525</v>
      </c>
      <c r="E2218" s="2" t="s">
        <v>2529</v>
      </c>
      <c r="F2218" s="3">
        <v>138731</v>
      </c>
      <c r="G2218" s="3">
        <v>11011</v>
      </c>
      <c r="H2218" s="3">
        <v>1069</v>
      </c>
      <c r="I2218" s="4">
        <v>3982.96</v>
      </c>
      <c r="J2218" s="4">
        <v>36314.43</v>
      </c>
      <c r="K2218" s="3">
        <v>534</v>
      </c>
      <c r="L2218" s="2" t="s">
        <v>2518</v>
      </c>
      <c r="M2218" s="2" t="s">
        <v>2519</v>
      </c>
    </row>
    <row r="2219" spans="1:13" x14ac:dyDescent="0.3">
      <c r="A2219" s="1">
        <v>45917</v>
      </c>
      <c r="B2219" s="2" t="s">
        <v>2640</v>
      </c>
      <c r="C2219" s="2" t="s">
        <v>2521</v>
      </c>
      <c r="D2219" s="2" t="s">
        <v>2516</v>
      </c>
      <c r="E2219" s="2" t="s">
        <v>2529</v>
      </c>
      <c r="F2219" s="3">
        <v>13383</v>
      </c>
      <c r="G2219" s="3">
        <v>663</v>
      </c>
      <c r="H2219" s="3">
        <v>63</v>
      </c>
      <c r="I2219" s="4">
        <v>129.6</v>
      </c>
      <c r="J2219" s="4">
        <v>1082.6199999999999</v>
      </c>
      <c r="K2219" s="3">
        <v>36</v>
      </c>
      <c r="L2219" s="2" t="s">
        <v>2536</v>
      </c>
      <c r="M2219" s="2" t="s">
        <v>2519</v>
      </c>
    </row>
    <row r="2220" spans="1:13" x14ac:dyDescent="0.3">
      <c r="A2220" s="1">
        <v>45815</v>
      </c>
      <c r="B2220" s="2" t="s">
        <v>2630</v>
      </c>
      <c r="C2220" s="2" t="s">
        <v>2543</v>
      </c>
      <c r="D2220" s="2" t="s">
        <v>2528</v>
      </c>
      <c r="E2220" s="2" t="s">
        <v>2529</v>
      </c>
      <c r="F2220" s="3">
        <v>54845</v>
      </c>
      <c r="G2220" s="3">
        <v>2453</v>
      </c>
      <c r="H2220" s="3">
        <v>25</v>
      </c>
      <c r="I2220" s="4">
        <v>4036.48</v>
      </c>
      <c r="J2220" s="4">
        <v>1395.53</v>
      </c>
      <c r="K2220" s="3">
        <v>15</v>
      </c>
      <c r="L2220" s="2" t="s">
        <v>2518</v>
      </c>
      <c r="M2220" s="2" t="s">
        <v>2526</v>
      </c>
    </row>
    <row r="2221" spans="1:13" x14ac:dyDescent="0.3">
      <c r="A2221" s="1">
        <v>45791</v>
      </c>
      <c r="B2221" s="2" t="s">
        <v>2619</v>
      </c>
      <c r="C2221" s="2" t="s">
        <v>2543</v>
      </c>
      <c r="D2221" s="2" t="s">
        <v>2528</v>
      </c>
      <c r="E2221" s="2" t="s">
        <v>2517</v>
      </c>
      <c r="F2221" s="3">
        <v>111803</v>
      </c>
      <c r="G2221" s="3">
        <v>1084</v>
      </c>
      <c r="H2221" s="3">
        <v>135</v>
      </c>
      <c r="I2221" s="4">
        <v>1072.3900000000001</v>
      </c>
      <c r="J2221" s="4">
        <v>17073.8</v>
      </c>
      <c r="K2221" s="3">
        <v>120</v>
      </c>
      <c r="L2221" s="2" t="s">
        <v>2518</v>
      </c>
      <c r="M2221" s="2" t="s">
        <v>2524</v>
      </c>
    </row>
    <row r="2222" spans="1:13" x14ac:dyDescent="0.3">
      <c r="A2222" s="1">
        <v>45753</v>
      </c>
      <c r="B2222" s="2" t="s">
        <v>2644</v>
      </c>
      <c r="C2222" s="2" t="s">
        <v>2533</v>
      </c>
      <c r="D2222" s="2" t="s">
        <v>2528</v>
      </c>
      <c r="E2222" s="2" t="s">
        <v>2517</v>
      </c>
      <c r="F2222" s="3">
        <v>110939</v>
      </c>
      <c r="G2222" s="3">
        <v>4039</v>
      </c>
      <c r="H2222" s="3">
        <v>117</v>
      </c>
      <c r="I2222" s="4">
        <v>6618.77</v>
      </c>
      <c r="J2222" s="4">
        <v>20530.71</v>
      </c>
      <c r="K2222" s="3">
        <v>98</v>
      </c>
      <c r="L2222" s="2" t="s">
        <v>2523</v>
      </c>
      <c r="M2222" s="2" t="s">
        <v>2526</v>
      </c>
    </row>
    <row r="2223" spans="1:13" x14ac:dyDescent="0.3">
      <c r="A2223" s="1">
        <v>45797</v>
      </c>
      <c r="B2223" s="2" t="s">
        <v>2631</v>
      </c>
      <c r="C2223" s="2" t="s">
        <v>2543</v>
      </c>
      <c r="D2223" s="2" t="s">
        <v>2525</v>
      </c>
      <c r="E2223" s="2" t="s">
        <v>2529</v>
      </c>
      <c r="F2223" s="3">
        <v>129790</v>
      </c>
      <c r="G2223" s="3">
        <v>790</v>
      </c>
      <c r="H2223" s="3">
        <v>87</v>
      </c>
      <c r="I2223" s="4">
        <v>1352.45</v>
      </c>
      <c r="J2223" s="4">
        <v>14281.58</v>
      </c>
      <c r="K2223" s="3">
        <v>43</v>
      </c>
      <c r="L2223" s="2" t="s">
        <v>2518</v>
      </c>
      <c r="M2223" s="2" t="s">
        <v>2524</v>
      </c>
    </row>
    <row r="2224" spans="1:13" x14ac:dyDescent="0.3">
      <c r="A2224" s="1">
        <v>45997</v>
      </c>
      <c r="B2224" s="2" t="s">
        <v>2622</v>
      </c>
      <c r="C2224" s="2" t="s">
        <v>2521</v>
      </c>
      <c r="D2224" s="2" t="s">
        <v>2516</v>
      </c>
      <c r="E2224" s="2" t="s">
        <v>2517</v>
      </c>
      <c r="F2224" s="3">
        <v>124952</v>
      </c>
      <c r="G2224" s="3">
        <v>6875</v>
      </c>
      <c r="H2224" s="3">
        <v>91</v>
      </c>
      <c r="I2224" s="4">
        <v>3521.97</v>
      </c>
      <c r="J2224" s="4">
        <v>4253.42</v>
      </c>
      <c r="K2224" s="3">
        <v>70</v>
      </c>
      <c r="L2224" s="2" t="s">
        <v>2523</v>
      </c>
      <c r="M2224" s="2" t="s">
        <v>2524</v>
      </c>
    </row>
    <row r="2225" spans="1:13" x14ac:dyDescent="0.3">
      <c r="A2225" s="1">
        <v>45679</v>
      </c>
      <c r="B2225" s="2" t="s">
        <v>2639</v>
      </c>
      <c r="C2225" s="2" t="s">
        <v>2541</v>
      </c>
      <c r="D2225" s="2" t="s">
        <v>2528</v>
      </c>
      <c r="E2225" s="2" t="s">
        <v>2529</v>
      </c>
      <c r="F2225" s="3">
        <v>141781</v>
      </c>
      <c r="G2225" s="3">
        <v>11568</v>
      </c>
      <c r="H2225" s="3">
        <v>796</v>
      </c>
      <c r="I2225" s="4">
        <v>9844.5300000000007</v>
      </c>
      <c r="J2225" s="4">
        <v>50838.76</v>
      </c>
      <c r="K2225" s="3">
        <v>503</v>
      </c>
      <c r="L2225" s="2" t="s">
        <v>2539</v>
      </c>
      <c r="M2225" s="2" t="s">
        <v>2537</v>
      </c>
    </row>
    <row r="2226" spans="1:13" x14ac:dyDescent="0.3">
      <c r="A2226" s="1">
        <v>45814</v>
      </c>
      <c r="B2226" s="2" t="s">
        <v>2626</v>
      </c>
      <c r="C2226" s="2" t="s">
        <v>2543</v>
      </c>
      <c r="D2226" s="2" t="s">
        <v>2528</v>
      </c>
      <c r="E2226" s="2" t="s">
        <v>2517</v>
      </c>
      <c r="F2226" s="3">
        <v>20277</v>
      </c>
      <c r="G2226" s="3">
        <v>1600</v>
      </c>
      <c r="H2226" s="3">
        <v>140</v>
      </c>
      <c r="I2226" s="4">
        <v>1806.65</v>
      </c>
      <c r="J2226" s="4">
        <v>6237.7</v>
      </c>
      <c r="K2226" s="3">
        <v>117</v>
      </c>
      <c r="L2226" s="2" t="s">
        <v>2523</v>
      </c>
      <c r="M2226" s="2" t="s">
        <v>2519</v>
      </c>
    </row>
    <row r="2227" spans="1:13" x14ac:dyDescent="0.3">
      <c r="A2227" s="1">
        <v>45940</v>
      </c>
      <c r="B2227" s="2" t="s">
        <v>2636</v>
      </c>
      <c r="C2227" s="2" t="s">
        <v>2645</v>
      </c>
      <c r="D2227" s="2" t="s">
        <v>2531</v>
      </c>
      <c r="E2227" s="2" t="s">
        <v>2529</v>
      </c>
      <c r="F2227" s="3">
        <v>18500</v>
      </c>
      <c r="G2227" s="3">
        <v>1656</v>
      </c>
      <c r="H2227" s="3">
        <v>18</v>
      </c>
      <c r="I2227" s="4">
        <v>2295.0300000000002</v>
      </c>
      <c r="J2227" s="4">
        <v>3644.14</v>
      </c>
      <c r="K2227" s="3">
        <v>14</v>
      </c>
      <c r="L2227" s="2" t="s">
        <v>2523</v>
      </c>
      <c r="M2227" s="2" t="s">
        <v>2519</v>
      </c>
    </row>
    <row r="2228" spans="1:13" x14ac:dyDescent="0.3">
      <c r="A2228" s="1">
        <v>45681</v>
      </c>
      <c r="B2228" s="2" t="s">
        <v>2633</v>
      </c>
      <c r="C2228" s="2" t="s">
        <v>2527</v>
      </c>
      <c r="D2228" s="2" t="s">
        <v>2522</v>
      </c>
      <c r="E2228" s="2" t="s">
        <v>2529</v>
      </c>
      <c r="F2228" s="3">
        <v>47596</v>
      </c>
      <c r="G2228" s="3">
        <v>1850</v>
      </c>
      <c r="H2228" s="3">
        <v>245</v>
      </c>
      <c r="I2228" s="4">
        <v>2493.3000000000002</v>
      </c>
      <c r="J2228" s="4">
        <v>53588.42</v>
      </c>
      <c r="K2228" s="3">
        <v>131</v>
      </c>
      <c r="L2228" s="2" t="s">
        <v>2523</v>
      </c>
      <c r="M2228" s="2" t="s">
        <v>2526</v>
      </c>
    </row>
    <row r="2229" spans="1:13" x14ac:dyDescent="0.3">
      <c r="A2229" s="1">
        <v>45889</v>
      </c>
      <c r="B2229" s="2" t="s">
        <v>2621</v>
      </c>
      <c r="C2229" s="2" t="s">
        <v>2533</v>
      </c>
      <c r="D2229" s="2" t="s">
        <v>2528</v>
      </c>
      <c r="E2229" s="2" t="s">
        <v>2529</v>
      </c>
      <c r="F2229" s="3">
        <v>108306</v>
      </c>
      <c r="G2229" s="3">
        <v>8389</v>
      </c>
      <c r="H2229" s="3">
        <v>967</v>
      </c>
      <c r="I2229" s="4">
        <v>7668.25</v>
      </c>
      <c r="J2229" s="4">
        <v>130326.22</v>
      </c>
      <c r="K2229" s="3">
        <v>650</v>
      </c>
      <c r="L2229" s="2" t="s">
        <v>2539</v>
      </c>
      <c r="M2229" s="2" t="s">
        <v>2537</v>
      </c>
    </row>
    <row r="2230" spans="1:13" x14ac:dyDescent="0.3">
      <c r="A2230" s="1">
        <v>45831</v>
      </c>
      <c r="B2230" s="2" t="s">
        <v>2631</v>
      </c>
      <c r="C2230" s="2" t="s">
        <v>2541</v>
      </c>
      <c r="D2230" s="2" t="s">
        <v>2528</v>
      </c>
      <c r="E2230" s="2" t="s">
        <v>2517</v>
      </c>
      <c r="F2230" s="3">
        <v>170870</v>
      </c>
      <c r="G2230" s="3">
        <v>2505</v>
      </c>
      <c r="H2230" s="3">
        <v>58</v>
      </c>
      <c r="I2230" s="4">
        <v>3533.01</v>
      </c>
      <c r="J2230" s="4">
        <v>4634.3900000000003</v>
      </c>
      <c r="K2230" s="3">
        <v>43</v>
      </c>
      <c r="L2230" s="2" t="s">
        <v>2518</v>
      </c>
      <c r="M2230" s="2" t="s">
        <v>2519</v>
      </c>
    </row>
    <row r="2231" spans="1:13" x14ac:dyDescent="0.3">
      <c r="A2231" s="1">
        <v>45961</v>
      </c>
      <c r="B2231" s="2" t="s">
        <v>2641</v>
      </c>
      <c r="C2231" s="2" t="s">
        <v>2521</v>
      </c>
      <c r="D2231" s="2" t="s">
        <v>2516</v>
      </c>
      <c r="E2231" s="2" t="s">
        <v>2529</v>
      </c>
      <c r="F2231" s="3">
        <v>154720</v>
      </c>
      <c r="G2231" s="3">
        <v>5156</v>
      </c>
      <c r="H2231" s="3">
        <v>344</v>
      </c>
      <c r="I2231" s="4">
        <v>5514.36</v>
      </c>
      <c r="J2231" s="4">
        <v>65999.41</v>
      </c>
      <c r="K2231" s="3">
        <v>291</v>
      </c>
      <c r="L2231" s="2" t="s">
        <v>2536</v>
      </c>
      <c r="M2231" s="2" t="s">
        <v>2519</v>
      </c>
    </row>
    <row r="2232" spans="1:13" x14ac:dyDescent="0.3">
      <c r="A2232" s="1">
        <v>45857</v>
      </c>
      <c r="B2232" s="2" t="s">
        <v>2642</v>
      </c>
      <c r="C2232" s="2" t="s">
        <v>2515</v>
      </c>
      <c r="D2232" s="2" t="s">
        <v>2516</v>
      </c>
      <c r="E2232" s="2" t="s">
        <v>2517</v>
      </c>
      <c r="F2232" s="3">
        <v>105531</v>
      </c>
      <c r="G2232" s="3">
        <v>1779</v>
      </c>
      <c r="H2232" s="3">
        <v>97</v>
      </c>
      <c r="I2232" s="4">
        <v>2397.8200000000002</v>
      </c>
      <c r="J2232" s="4">
        <v>14815.12</v>
      </c>
      <c r="K2232" s="3">
        <v>45</v>
      </c>
      <c r="L2232" s="2" t="s">
        <v>2536</v>
      </c>
      <c r="M2232" s="2" t="s">
        <v>2537</v>
      </c>
    </row>
    <row r="2233" spans="1:13" x14ac:dyDescent="0.3">
      <c r="A2233" s="1">
        <v>45748</v>
      </c>
      <c r="B2233" s="2" t="s">
        <v>2617</v>
      </c>
      <c r="C2233" s="2" t="s">
        <v>2521</v>
      </c>
      <c r="D2233" s="2" t="s">
        <v>2531</v>
      </c>
      <c r="E2233" s="2" t="s">
        <v>2517</v>
      </c>
      <c r="F2233" s="3">
        <v>150936</v>
      </c>
      <c r="G2233" s="3">
        <v>5880</v>
      </c>
      <c r="H2233" s="3">
        <v>732</v>
      </c>
      <c r="I2233" s="4">
        <v>10803.19</v>
      </c>
      <c r="J2233" s="4">
        <v>83522.41</v>
      </c>
      <c r="K2233" s="3">
        <v>381</v>
      </c>
      <c r="L2233" s="2" t="s">
        <v>2518</v>
      </c>
      <c r="M2233" s="2" t="s">
        <v>2537</v>
      </c>
    </row>
    <row r="2234" spans="1:13" x14ac:dyDescent="0.3">
      <c r="A2234" s="1">
        <v>45984</v>
      </c>
      <c r="B2234" s="2" t="s">
        <v>2627</v>
      </c>
      <c r="C2234" s="2" t="s">
        <v>2541</v>
      </c>
      <c r="D2234" s="2" t="s">
        <v>2528</v>
      </c>
      <c r="E2234" s="2" t="s">
        <v>2517</v>
      </c>
      <c r="F2234" s="3">
        <v>141521</v>
      </c>
      <c r="G2234" s="3">
        <v>11874</v>
      </c>
      <c r="H2234" s="3">
        <v>622</v>
      </c>
      <c r="I2234" s="4">
        <v>1603.67</v>
      </c>
      <c r="J2234" s="4">
        <v>92673.96</v>
      </c>
      <c r="K2234" s="3">
        <v>365</v>
      </c>
      <c r="L2234" s="2" t="s">
        <v>2518</v>
      </c>
      <c r="M2234" s="2" t="s">
        <v>2524</v>
      </c>
    </row>
    <row r="2235" spans="1:13" x14ac:dyDescent="0.3">
      <c r="A2235" s="1">
        <v>45741</v>
      </c>
      <c r="B2235" s="2" t="s">
        <v>2625</v>
      </c>
      <c r="C2235" s="2" t="s">
        <v>2533</v>
      </c>
      <c r="D2235" s="2" t="s">
        <v>2528</v>
      </c>
      <c r="E2235" s="2" t="s">
        <v>2517</v>
      </c>
      <c r="F2235" s="3">
        <v>14517</v>
      </c>
      <c r="G2235" s="3">
        <v>427</v>
      </c>
      <c r="H2235" s="3">
        <v>58</v>
      </c>
      <c r="I2235" s="4">
        <v>619.94000000000005</v>
      </c>
      <c r="J2235" s="4">
        <v>2722.83</v>
      </c>
      <c r="K2235" s="3">
        <v>37</v>
      </c>
      <c r="L2235" s="2" t="s">
        <v>2523</v>
      </c>
      <c r="M2235" s="2" t="s">
        <v>2537</v>
      </c>
    </row>
    <row r="2236" spans="1:13" x14ac:dyDescent="0.3">
      <c r="A2236" s="1">
        <v>45977</v>
      </c>
      <c r="B2236" s="2" t="s">
        <v>2622</v>
      </c>
      <c r="C2236" s="2" t="s">
        <v>2543</v>
      </c>
      <c r="D2236" s="2" t="s">
        <v>2525</v>
      </c>
      <c r="E2236" s="2" t="s">
        <v>2529</v>
      </c>
      <c r="F2236" s="3">
        <v>104634</v>
      </c>
      <c r="G2236" s="3">
        <v>7855</v>
      </c>
      <c r="H2236" s="3">
        <v>458</v>
      </c>
      <c r="I2236" s="4">
        <v>6478.7</v>
      </c>
      <c r="J2236" s="4">
        <v>83699.19</v>
      </c>
      <c r="K2236" s="3">
        <v>360</v>
      </c>
      <c r="L2236" s="2" t="s">
        <v>2518</v>
      </c>
      <c r="M2236" s="2" t="s">
        <v>2526</v>
      </c>
    </row>
    <row r="2237" spans="1:13" x14ac:dyDescent="0.3">
      <c r="A2237" s="1">
        <v>45689</v>
      </c>
      <c r="B2237" s="2" t="s">
        <v>2626</v>
      </c>
      <c r="C2237" s="2" t="s">
        <v>2541</v>
      </c>
      <c r="D2237" s="2" t="s">
        <v>2528</v>
      </c>
      <c r="E2237" s="2" t="s">
        <v>2517</v>
      </c>
      <c r="F2237" s="3">
        <v>69685</v>
      </c>
      <c r="G2237" s="3">
        <v>6204</v>
      </c>
      <c r="H2237" s="3">
        <v>360</v>
      </c>
      <c r="I2237" s="4">
        <v>5547.72</v>
      </c>
      <c r="J2237" s="4">
        <v>50927.26</v>
      </c>
      <c r="K2237" s="3">
        <v>268</v>
      </c>
      <c r="L2237" s="2" t="s">
        <v>2518</v>
      </c>
      <c r="M2237" s="2" t="s">
        <v>2524</v>
      </c>
    </row>
    <row r="2238" spans="1:13" x14ac:dyDescent="0.3">
      <c r="A2238" s="1">
        <v>45691</v>
      </c>
      <c r="B2238" s="2" t="s">
        <v>2625</v>
      </c>
      <c r="C2238" s="2" t="s">
        <v>2527</v>
      </c>
      <c r="D2238" s="2" t="s">
        <v>2528</v>
      </c>
      <c r="E2238" s="2" t="s">
        <v>2517</v>
      </c>
      <c r="F2238" s="3">
        <v>105828</v>
      </c>
      <c r="G2238" s="3">
        <v>1596</v>
      </c>
      <c r="H2238" s="3">
        <v>198</v>
      </c>
      <c r="I2238" s="4">
        <v>2053.38</v>
      </c>
      <c r="J2238" s="4">
        <v>32741.25</v>
      </c>
      <c r="K2238" s="3">
        <v>102</v>
      </c>
      <c r="L2238" s="2" t="s">
        <v>2536</v>
      </c>
      <c r="M2238" s="2" t="s">
        <v>2537</v>
      </c>
    </row>
    <row r="2239" spans="1:13" x14ac:dyDescent="0.3">
      <c r="A2239" s="1">
        <v>45814</v>
      </c>
      <c r="B2239" s="2" t="s">
        <v>2616</v>
      </c>
      <c r="C2239" s="2" t="s">
        <v>2515</v>
      </c>
      <c r="D2239" s="2" t="s">
        <v>2525</v>
      </c>
      <c r="E2239" s="2" t="s">
        <v>2517</v>
      </c>
      <c r="F2239" s="3">
        <v>65462</v>
      </c>
      <c r="G2239" s="3">
        <v>1781</v>
      </c>
      <c r="H2239" s="3">
        <v>79</v>
      </c>
      <c r="I2239" s="4">
        <v>1507.78</v>
      </c>
      <c r="J2239" s="4">
        <v>11500.07</v>
      </c>
      <c r="K2239" s="3">
        <v>46</v>
      </c>
      <c r="L2239" s="2" t="s">
        <v>2539</v>
      </c>
      <c r="M2239" s="2" t="s">
        <v>2546</v>
      </c>
    </row>
    <row r="2240" spans="1:13" x14ac:dyDescent="0.3">
      <c r="A2240" s="1">
        <v>45829</v>
      </c>
      <c r="B2240" s="2" t="s">
        <v>2641</v>
      </c>
      <c r="C2240" s="2" t="s">
        <v>2541</v>
      </c>
      <c r="D2240" s="2" t="s">
        <v>2516</v>
      </c>
      <c r="E2240" s="2" t="s">
        <v>2529</v>
      </c>
      <c r="F2240" s="3">
        <v>31248</v>
      </c>
      <c r="G2240" s="3">
        <v>2618</v>
      </c>
      <c r="H2240" s="3">
        <v>298</v>
      </c>
      <c r="I2240" s="4">
        <v>3166.54</v>
      </c>
      <c r="J2240" s="4">
        <v>27031.68</v>
      </c>
      <c r="K2240" s="3">
        <v>181</v>
      </c>
      <c r="L2240" s="2" t="s">
        <v>2539</v>
      </c>
      <c r="M2240" s="2" t="s">
        <v>2537</v>
      </c>
    </row>
    <row r="2241" spans="1:13" x14ac:dyDescent="0.3">
      <c r="A2241" s="1">
        <v>45785</v>
      </c>
      <c r="B2241" s="2" t="s">
        <v>2644</v>
      </c>
      <c r="C2241" s="2" t="s">
        <v>2543</v>
      </c>
      <c r="D2241" s="2" t="s">
        <v>2522</v>
      </c>
      <c r="E2241" s="2" t="s">
        <v>2529</v>
      </c>
      <c r="F2241" s="3">
        <v>1025</v>
      </c>
      <c r="G2241" s="3">
        <v>65</v>
      </c>
      <c r="H2241" s="3">
        <v>8</v>
      </c>
      <c r="I2241" s="4">
        <v>36.64</v>
      </c>
      <c r="J2241" s="4">
        <v>1579.3</v>
      </c>
      <c r="K2241" s="3">
        <v>4</v>
      </c>
      <c r="L2241" s="2" t="s">
        <v>2523</v>
      </c>
      <c r="M2241" s="2" t="s">
        <v>2537</v>
      </c>
    </row>
    <row r="2242" spans="1:13" x14ac:dyDescent="0.3">
      <c r="A2242" s="1">
        <v>46005</v>
      </c>
      <c r="B2242" s="2" t="s">
        <v>2625</v>
      </c>
      <c r="C2242" s="2" t="s">
        <v>2527</v>
      </c>
      <c r="D2242" s="2" t="s">
        <v>2528</v>
      </c>
      <c r="E2242" s="2" t="s">
        <v>2529</v>
      </c>
      <c r="F2242" s="3">
        <v>142872</v>
      </c>
      <c r="G2242" s="3">
        <v>5740</v>
      </c>
      <c r="H2242" s="3">
        <v>753</v>
      </c>
      <c r="I2242" s="4">
        <v>4988.3</v>
      </c>
      <c r="J2242" s="4">
        <v>157776.14000000001</v>
      </c>
      <c r="K2242" s="3">
        <v>544</v>
      </c>
      <c r="L2242" s="2" t="s">
        <v>2536</v>
      </c>
      <c r="M2242" s="2" t="s">
        <v>2537</v>
      </c>
    </row>
    <row r="2243" spans="1:13" x14ac:dyDescent="0.3">
      <c r="A2243" s="1">
        <v>45897</v>
      </c>
      <c r="B2243" s="2" t="s">
        <v>2637</v>
      </c>
      <c r="C2243" s="2" t="s">
        <v>2515</v>
      </c>
      <c r="D2243" s="2" t="s">
        <v>2528</v>
      </c>
      <c r="E2243" s="2" t="s">
        <v>2529</v>
      </c>
      <c r="F2243" s="3">
        <v>117663</v>
      </c>
      <c r="G2243" s="3">
        <v>6184</v>
      </c>
      <c r="H2243" s="3">
        <v>690</v>
      </c>
      <c r="I2243" s="4">
        <v>9917.4500000000007</v>
      </c>
      <c r="J2243" s="4">
        <v>114306.39</v>
      </c>
      <c r="K2243" s="3">
        <v>366</v>
      </c>
      <c r="L2243" s="2" t="s">
        <v>2523</v>
      </c>
      <c r="M2243" s="2" t="s">
        <v>2546</v>
      </c>
    </row>
    <row r="2244" spans="1:13" x14ac:dyDescent="0.3">
      <c r="A2244" s="1">
        <v>45913</v>
      </c>
      <c r="B2244" s="2" t="s">
        <v>2637</v>
      </c>
      <c r="C2244" s="2" t="s">
        <v>2543</v>
      </c>
      <c r="D2244" s="2" t="s">
        <v>2516</v>
      </c>
      <c r="E2244" s="2" t="s">
        <v>2529</v>
      </c>
      <c r="F2244" s="3">
        <v>45185</v>
      </c>
      <c r="G2244" s="3">
        <v>3674</v>
      </c>
      <c r="H2244" s="3">
        <v>418</v>
      </c>
      <c r="I2244" s="4">
        <v>989.34</v>
      </c>
      <c r="J2244" s="4">
        <v>36013.410000000003</v>
      </c>
      <c r="K2244" s="3">
        <v>234</v>
      </c>
      <c r="L2244" s="2" t="s">
        <v>2536</v>
      </c>
      <c r="M2244" s="2" t="s">
        <v>2524</v>
      </c>
    </row>
    <row r="2245" spans="1:13" x14ac:dyDescent="0.3">
      <c r="A2245" s="1">
        <v>45669</v>
      </c>
      <c r="B2245" s="2" t="s">
        <v>2634</v>
      </c>
      <c r="C2245" s="2" t="s">
        <v>2543</v>
      </c>
      <c r="D2245" s="2" t="s">
        <v>2531</v>
      </c>
      <c r="E2245" s="2" t="s">
        <v>2529</v>
      </c>
      <c r="F2245" s="3">
        <v>13467</v>
      </c>
      <c r="G2245" s="3">
        <v>587</v>
      </c>
      <c r="H2245" s="3">
        <v>18</v>
      </c>
      <c r="I2245" s="4">
        <v>111.03</v>
      </c>
      <c r="J2245" s="4">
        <v>1749.98</v>
      </c>
      <c r="K2245" s="3">
        <v>10</v>
      </c>
      <c r="L2245" s="2" t="s">
        <v>2539</v>
      </c>
      <c r="M2245" s="2" t="s">
        <v>2526</v>
      </c>
    </row>
    <row r="2246" spans="1:13" x14ac:dyDescent="0.3">
      <c r="A2246" s="1">
        <v>45681</v>
      </c>
      <c r="B2246" s="2" t="s">
        <v>2628</v>
      </c>
      <c r="C2246" s="2" t="s">
        <v>2515</v>
      </c>
      <c r="D2246" s="2" t="s">
        <v>2528</v>
      </c>
      <c r="E2246" s="2" t="s">
        <v>2517</v>
      </c>
      <c r="F2246" s="3">
        <v>15231</v>
      </c>
      <c r="G2246" s="3">
        <v>971</v>
      </c>
      <c r="H2246" s="3">
        <v>33</v>
      </c>
      <c r="I2246" s="4">
        <v>1440.26</v>
      </c>
      <c r="J2246" s="4">
        <v>3451.4</v>
      </c>
      <c r="K2246" s="3">
        <v>18</v>
      </c>
      <c r="L2246" s="2" t="s">
        <v>2539</v>
      </c>
      <c r="M2246" s="2" t="s">
        <v>2519</v>
      </c>
    </row>
    <row r="2247" spans="1:13" x14ac:dyDescent="0.3">
      <c r="A2247" s="1">
        <v>45795</v>
      </c>
      <c r="B2247" s="2" t="s">
        <v>2641</v>
      </c>
      <c r="C2247" s="2" t="s">
        <v>2527</v>
      </c>
      <c r="D2247" s="2" t="s">
        <v>2528</v>
      </c>
      <c r="E2247" s="2" t="s">
        <v>2529</v>
      </c>
      <c r="F2247" s="3">
        <v>123596</v>
      </c>
      <c r="G2247" s="3">
        <v>2576</v>
      </c>
      <c r="H2247" s="3">
        <v>132</v>
      </c>
      <c r="I2247" s="4">
        <v>2550.98</v>
      </c>
      <c r="J2247" s="4">
        <v>6405.52</v>
      </c>
      <c r="K2247" s="3">
        <v>117</v>
      </c>
      <c r="L2247" s="2" t="s">
        <v>2536</v>
      </c>
      <c r="M2247" s="2" t="s">
        <v>2519</v>
      </c>
    </row>
    <row r="2248" spans="1:13" x14ac:dyDescent="0.3">
      <c r="A2248" s="1">
        <v>46016</v>
      </c>
      <c r="B2248" s="2" t="s">
        <v>2629</v>
      </c>
      <c r="C2248" s="2" t="s">
        <v>2533</v>
      </c>
      <c r="D2248" s="2" t="s">
        <v>2525</v>
      </c>
      <c r="E2248" s="2" t="s">
        <v>2529</v>
      </c>
      <c r="F2248" s="3">
        <v>30971</v>
      </c>
      <c r="G2248" s="3">
        <v>508</v>
      </c>
      <c r="H2248" s="3">
        <v>63</v>
      </c>
      <c r="I2248" s="4">
        <v>863.58</v>
      </c>
      <c r="J2248" s="4">
        <v>954.92</v>
      </c>
      <c r="K2248" s="3">
        <v>45</v>
      </c>
      <c r="L2248" s="2" t="s">
        <v>2536</v>
      </c>
      <c r="M2248" s="2" t="s">
        <v>2526</v>
      </c>
    </row>
    <row r="2249" spans="1:13" x14ac:dyDescent="0.3">
      <c r="A2249" s="1">
        <v>45821</v>
      </c>
      <c r="B2249" s="2" t="s">
        <v>2641</v>
      </c>
      <c r="C2249" s="2" t="s">
        <v>2527</v>
      </c>
      <c r="D2249" s="2" t="s">
        <v>2516</v>
      </c>
      <c r="E2249" s="2" t="s">
        <v>2517</v>
      </c>
      <c r="F2249" s="3">
        <v>6679</v>
      </c>
      <c r="G2249" s="3">
        <v>119</v>
      </c>
      <c r="H2249" s="3">
        <v>2</v>
      </c>
      <c r="I2249" s="4">
        <v>174.38</v>
      </c>
      <c r="J2249" s="4">
        <v>96.04</v>
      </c>
      <c r="K2249" s="3">
        <v>1</v>
      </c>
      <c r="L2249" s="2" t="s">
        <v>2539</v>
      </c>
      <c r="M2249" s="2" t="s">
        <v>2526</v>
      </c>
    </row>
    <row r="2250" spans="1:13" x14ac:dyDescent="0.3">
      <c r="A2250" s="1">
        <v>46011</v>
      </c>
      <c r="B2250" s="2" t="s">
        <v>2629</v>
      </c>
      <c r="C2250" s="2" t="s">
        <v>2521</v>
      </c>
      <c r="D2250" s="2" t="s">
        <v>2528</v>
      </c>
      <c r="E2250" s="2" t="s">
        <v>2529</v>
      </c>
      <c r="F2250" s="3">
        <v>71914</v>
      </c>
      <c r="G2250" s="3">
        <v>4965</v>
      </c>
      <c r="H2250" s="3">
        <v>161</v>
      </c>
      <c r="I2250" s="4">
        <v>4667.07</v>
      </c>
      <c r="J2250" s="4">
        <v>28450.6</v>
      </c>
      <c r="K2250" s="3">
        <v>117</v>
      </c>
      <c r="L2250" s="2" t="s">
        <v>2523</v>
      </c>
      <c r="M2250" s="2" t="s">
        <v>2524</v>
      </c>
    </row>
    <row r="2251" spans="1:13" x14ac:dyDescent="0.3">
      <c r="A2251" s="1">
        <v>45755</v>
      </c>
      <c r="B2251" s="2" t="s">
        <v>2620</v>
      </c>
      <c r="C2251" s="2" t="s">
        <v>2543</v>
      </c>
      <c r="D2251" s="2" t="s">
        <v>2528</v>
      </c>
      <c r="E2251" s="2" t="s">
        <v>2534</v>
      </c>
      <c r="F2251" s="3">
        <v>3495</v>
      </c>
      <c r="G2251" s="3">
        <v>213</v>
      </c>
      <c r="H2251" s="3">
        <v>2</v>
      </c>
      <c r="I2251" s="4">
        <v>145.43</v>
      </c>
      <c r="J2251" s="4">
        <v>323.07</v>
      </c>
      <c r="K2251" s="3">
        <v>1</v>
      </c>
      <c r="L2251" s="2" t="s">
        <v>2539</v>
      </c>
      <c r="M2251" s="2" t="s">
        <v>2524</v>
      </c>
    </row>
    <row r="2252" spans="1:13" x14ac:dyDescent="0.3">
      <c r="A2252" s="1">
        <v>46015</v>
      </c>
      <c r="B2252" s="2" t="s">
        <v>2632</v>
      </c>
      <c r="C2252" s="2" t="s">
        <v>2527</v>
      </c>
      <c r="D2252" s="2" t="s">
        <v>2531</v>
      </c>
      <c r="E2252" s="2" t="s">
        <v>2517</v>
      </c>
      <c r="F2252" s="3">
        <v>153561</v>
      </c>
      <c r="G2252" s="3">
        <v>8864</v>
      </c>
      <c r="H2252" s="3">
        <v>737</v>
      </c>
      <c r="I2252" s="4">
        <v>15850.88</v>
      </c>
      <c r="J2252" s="4">
        <v>72650.81</v>
      </c>
      <c r="K2252" s="3">
        <v>608</v>
      </c>
      <c r="L2252" s="2" t="s">
        <v>2539</v>
      </c>
      <c r="M2252" s="2" t="s">
        <v>2546</v>
      </c>
    </row>
    <row r="2253" spans="1:13" x14ac:dyDescent="0.3">
      <c r="A2253" s="1">
        <v>45833</v>
      </c>
      <c r="B2253" s="2" t="s">
        <v>2637</v>
      </c>
      <c r="C2253" s="2" t="s">
        <v>2527</v>
      </c>
      <c r="D2253" s="2" t="s">
        <v>2528</v>
      </c>
      <c r="E2253" s="2" t="s">
        <v>2517</v>
      </c>
      <c r="F2253" s="3">
        <v>60169</v>
      </c>
      <c r="G2253" s="3">
        <v>2765</v>
      </c>
      <c r="H2253" s="3">
        <v>114</v>
      </c>
      <c r="I2253" s="4">
        <v>1161.5</v>
      </c>
      <c r="J2253" s="4">
        <v>7020.84</v>
      </c>
      <c r="K2253" s="3">
        <v>52</v>
      </c>
      <c r="L2253" s="2" t="s">
        <v>2536</v>
      </c>
      <c r="M2253" s="2" t="s">
        <v>2524</v>
      </c>
    </row>
    <row r="2254" spans="1:13" x14ac:dyDescent="0.3">
      <c r="A2254" s="1">
        <v>45798</v>
      </c>
      <c r="B2254" s="2" t="s">
        <v>2618</v>
      </c>
      <c r="C2254" s="2" t="s">
        <v>2521</v>
      </c>
      <c r="D2254" s="2" t="s">
        <v>2528</v>
      </c>
      <c r="E2254" s="2" t="s">
        <v>2529</v>
      </c>
      <c r="F2254" s="3">
        <v>75567</v>
      </c>
      <c r="G2254" s="3">
        <v>3022</v>
      </c>
      <c r="H2254" s="3">
        <v>352</v>
      </c>
      <c r="I2254" s="4">
        <v>2106.15</v>
      </c>
      <c r="J2254" s="4">
        <v>22871.69</v>
      </c>
      <c r="K2254" s="3">
        <v>314</v>
      </c>
      <c r="L2254" s="2" t="s">
        <v>2518</v>
      </c>
      <c r="M2254" s="2" t="s">
        <v>2524</v>
      </c>
    </row>
    <row r="2255" spans="1:13" x14ac:dyDescent="0.3">
      <c r="A2255" s="1">
        <v>45887</v>
      </c>
      <c r="B2255" s="2" t="s">
        <v>2629</v>
      </c>
      <c r="C2255" s="2" t="s">
        <v>2521</v>
      </c>
      <c r="D2255" s="2" t="s">
        <v>2528</v>
      </c>
      <c r="E2255" s="2" t="s">
        <v>2517</v>
      </c>
      <c r="F2255" s="3">
        <v>40005</v>
      </c>
      <c r="G2255" s="3">
        <v>2187</v>
      </c>
      <c r="H2255" s="3">
        <v>248</v>
      </c>
      <c r="I2255" s="4">
        <v>651.98</v>
      </c>
      <c r="J2255" s="4">
        <v>23120.65</v>
      </c>
      <c r="K2255" s="3">
        <v>199</v>
      </c>
      <c r="L2255" s="2" t="s">
        <v>2539</v>
      </c>
      <c r="M2255" s="2" t="s">
        <v>2537</v>
      </c>
    </row>
    <row r="2256" spans="1:13" x14ac:dyDescent="0.3">
      <c r="A2256" s="1">
        <v>45686</v>
      </c>
      <c r="B2256" s="2" t="s">
        <v>2632</v>
      </c>
      <c r="C2256" s="2" t="s">
        <v>2521</v>
      </c>
      <c r="D2256" s="2" t="s">
        <v>2528</v>
      </c>
      <c r="E2256" s="2" t="s">
        <v>2517</v>
      </c>
      <c r="F2256" s="3">
        <v>155722</v>
      </c>
      <c r="G2256" s="3">
        <v>7415</v>
      </c>
      <c r="H2256" s="3">
        <v>1015</v>
      </c>
      <c r="I2256" s="4">
        <v>12585.94</v>
      </c>
      <c r="J2256" s="4">
        <v>87081.32</v>
      </c>
      <c r="K2256" s="3">
        <v>821</v>
      </c>
      <c r="L2256" s="2" t="s">
        <v>2539</v>
      </c>
      <c r="M2256" s="2" t="s">
        <v>2526</v>
      </c>
    </row>
    <row r="2257" spans="1:13" x14ac:dyDescent="0.3">
      <c r="A2257" s="1">
        <v>45849</v>
      </c>
      <c r="B2257" s="2" t="s">
        <v>2636</v>
      </c>
      <c r="C2257" s="2" t="s">
        <v>2533</v>
      </c>
      <c r="D2257" s="2" t="s">
        <v>2516</v>
      </c>
      <c r="E2257" s="2" t="s">
        <v>2529</v>
      </c>
      <c r="F2257" s="3">
        <v>176788</v>
      </c>
      <c r="G2257" s="3">
        <v>13555</v>
      </c>
      <c r="H2257" s="3">
        <v>1810</v>
      </c>
      <c r="I2257" s="4">
        <v>22642.93</v>
      </c>
      <c r="J2257" s="4">
        <v>313851.81</v>
      </c>
      <c r="K2257" s="3">
        <v>1397</v>
      </c>
      <c r="L2257" s="2" t="s">
        <v>2518</v>
      </c>
      <c r="M2257" s="2" t="s">
        <v>2526</v>
      </c>
    </row>
    <row r="2258" spans="1:13" x14ac:dyDescent="0.3">
      <c r="A2258" s="1">
        <v>45714</v>
      </c>
      <c r="B2258" s="2" t="s">
        <v>2631</v>
      </c>
      <c r="C2258" s="2" t="s">
        <v>2541</v>
      </c>
      <c r="D2258" s="2" t="s">
        <v>2516</v>
      </c>
      <c r="E2258" s="2" t="s">
        <v>2517</v>
      </c>
      <c r="F2258" s="3">
        <v>83520</v>
      </c>
      <c r="G2258" s="3">
        <v>7210</v>
      </c>
      <c r="H2258" s="3">
        <v>45</v>
      </c>
      <c r="I2258" s="4">
        <v>3971.98</v>
      </c>
      <c r="J2258" s="4">
        <v>7863.71</v>
      </c>
      <c r="K2258" s="3">
        <v>27</v>
      </c>
      <c r="L2258" s="2" t="s">
        <v>2518</v>
      </c>
      <c r="M2258" s="2" t="s">
        <v>2524</v>
      </c>
    </row>
    <row r="2259" spans="1:13" x14ac:dyDescent="0.3">
      <c r="A2259" s="1">
        <v>45685</v>
      </c>
      <c r="B2259" s="2" t="s">
        <v>2639</v>
      </c>
      <c r="C2259" s="2" t="s">
        <v>2521</v>
      </c>
      <c r="D2259" s="2" t="s">
        <v>2525</v>
      </c>
      <c r="E2259" s="2" t="s">
        <v>2517</v>
      </c>
      <c r="F2259" s="3">
        <v>66963</v>
      </c>
      <c r="G2259" s="3">
        <v>5174</v>
      </c>
      <c r="H2259" s="3">
        <v>159</v>
      </c>
      <c r="I2259" s="4">
        <v>3707.43</v>
      </c>
      <c r="J2259" s="4">
        <v>30141.67</v>
      </c>
      <c r="K2259" s="3">
        <v>103</v>
      </c>
      <c r="L2259" s="2" t="s">
        <v>2536</v>
      </c>
      <c r="M2259" s="2" t="s">
        <v>2537</v>
      </c>
    </row>
    <row r="2260" spans="1:13" x14ac:dyDescent="0.3">
      <c r="A2260" s="1">
        <v>45708</v>
      </c>
      <c r="B2260" s="2" t="s">
        <v>2617</v>
      </c>
      <c r="C2260" s="2" t="s">
        <v>2543</v>
      </c>
      <c r="D2260" s="2" t="s">
        <v>2528</v>
      </c>
      <c r="E2260" s="2" t="s">
        <v>2517</v>
      </c>
      <c r="F2260" s="3">
        <v>131552</v>
      </c>
      <c r="G2260" s="3">
        <v>7390</v>
      </c>
      <c r="H2260" s="3">
        <v>394</v>
      </c>
      <c r="I2260" s="4">
        <v>14746.13</v>
      </c>
      <c r="J2260" s="4">
        <v>56382.5</v>
      </c>
      <c r="K2260" s="3">
        <v>232</v>
      </c>
      <c r="L2260" s="2" t="s">
        <v>2518</v>
      </c>
      <c r="M2260" s="2" t="s">
        <v>2524</v>
      </c>
    </row>
    <row r="2261" spans="1:13" x14ac:dyDescent="0.3">
      <c r="A2261" s="1">
        <v>45979</v>
      </c>
      <c r="B2261" s="2" t="s">
        <v>2625</v>
      </c>
      <c r="C2261" s="2" t="s">
        <v>2527</v>
      </c>
      <c r="D2261" s="2" t="s">
        <v>2528</v>
      </c>
      <c r="E2261" s="2" t="s">
        <v>2529</v>
      </c>
      <c r="F2261" s="3">
        <v>25044</v>
      </c>
      <c r="G2261" s="3">
        <v>1593</v>
      </c>
      <c r="H2261" s="3">
        <v>28</v>
      </c>
      <c r="I2261" s="4">
        <v>905.16</v>
      </c>
      <c r="J2261" s="4">
        <v>2069.69</v>
      </c>
      <c r="K2261" s="3">
        <v>16</v>
      </c>
      <c r="L2261" s="2" t="s">
        <v>2539</v>
      </c>
      <c r="M2261" s="2" t="s">
        <v>2526</v>
      </c>
    </row>
    <row r="2262" spans="1:13" x14ac:dyDescent="0.3">
      <c r="A2262" s="1">
        <v>45975</v>
      </c>
      <c r="B2262" s="2" t="s">
        <v>2620</v>
      </c>
      <c r="C2262" s="2" t="s">
        <v>2543</v>
      </c>
      <c r="D2262" s="2" t="s">
        <v>2531</v>
      </c>
      <c r="E2262" s="2" t="s">
        <v>2529</v>
      </c>
      <c r="F2262" s="3">
        <v>93010</v>
      </c>
      <c r="G2262" s="3">
        <v>1208</v>
      </c>
      <c r="H2262" s="3">
        <v>132</v>
      </c>
      <c r="I2262" s="4">
        <v>1757.33</v>
      </c>
      <c r="J2262" s="4">
        <v>25499.38</v>
      </c>
      <c r="K2262" s="3">
        <v>80</v>
      </c>
      <c r="L2262" s="2" t="s">
        <v>2523</v>
      </c>
      <c r="M2262" s="2" t="s">
        <v>2546</v>
      </c>
    </row>
    <row r="2263" spans="1:13" x14ac:dyDescent="0.3">
      <c r="A2263" s="1">
        <v>45931</v>
      </c>
      <c r="B2263" s="2" t="s">
        <v>2637</v>
      </c>
      <c r="C2263" s="2" t="s">
        <v>2543</v>
      </c>
      <c r="D2263" s="2" t="s">
        <v>2525</v>
      </c>
      <c r="E2263" s="2" t="s">
        <v>2517</v>
      </c>
      <c r="F2263" s="3">
        <v>62252</v>
      </c>
      <c r="G2263" s="3">
        <v>3841</v>
      </c>
      <c r="H2263" s="3">
        <v>29</v>
      </c>
      <c r="I2263" s="4">
        <v>7114.33</v>
      </c>
      <c r="J2263" s="4">
        <v>5839.92</v>
      </c>
      <c r="K2263" s="3">
        <v>22</v>
      </c>
      <c r="L2263" s="2" t="s">
        <v>2539</v>
      </c>
      <c r="M2263" s="2" t="s">
        <v>2526</v>
      </c>
    </row>
    <row r="2264" spans="1:13" x14ac:dyDescent="0.3">
      <c r="A2264" s="1">
        <v>45883</v>
      </c>
      <c r="B2264" s="2" t="s">
        <v>2628</v>
      </c>
      <c r="C2264" s="2" t="s">
        <v>2543</v>
      </c>
      <c r="D2264" s="2" t="s">
        <v>2528</v>
      </c>
      <c r="E2264" s="2" t="s">
        <v>2529</v>
      </c>
      <c r="F2264" s="3">
        <v>172079</v>
      </c>
      <c r="G2264" s="3">
        <v>12450</v>
      </c>
      <c r="H2264" s="3">
        <v>922</v>
      </c>
      <c r="I2264" s="4">
        <v>6512.12</v>
      </c>
      <c r="J2264" s="4">
        <v>90286.16</v>
      </c>
      <c r="K2264" s="3">
        <v>690</v>
      </c>
      <c r="L2264" s="2" t="s">
        <v>2536</v>
      </c>
      <c r="M2264" s="2" t="s">
        <v>2526</v>
      </c>
    </row>
    <row r="2265" spans="1:13" x14ac:dyDescent="0.3">
      <c r="A2265" s="1">
        <v>45677</v>
      </c>
      <c r="B2265" s="2" t="s">
        <v>2636</v>
      </c>
      <c r="C2265" s="2" t="s">
        <v>2527</v>
      </c>
      <c r="D2265" s="2" t="s">
        <v>2516</v>
      </c>
      <c r="E2265" s="2" t="s">
        <v>2529</v>
      </c>
      <c r="F2265" s="3">
        <v>86509</v>
      </c>
      <c r="G2265" s="3">
        <v>5627</v>
      </c>
      <c r="H2265" s="3">
        <v>554</v>
      </c>
      <c r="I2265" s="4">
        <v>2602.64</v>
      </c>
      <c r="J2265" s="4">
        <v>109245.61</v>
      </c>
      <c r="K2265" s="3">
        <v>387</v>
      </c>
      <c r="L2265" s="2" t="s">
        <v>2518</v>
      </c>
      <c r="M2265" s="2" t="s">
        <v>2526</v>
      </c>
    </row>
    <row r="2266" spans="1:13" x14ac:dyDescent="0.3">
      <c r="A2266" s="1">
        <v>45694</v>
      </c>
      <c r="B2266" s="2" t="s">
        <v>2617</v>
      </c>
      <c r="C2266" s="2" t="s">
        <v>2515</v>
      </c>
      <c r="D2266" s="2" t="s">
        <v>2528</v>
      </c>
      <c r="E2266" s="2" t="s">
        <v>2517</v>
      </c>
      <c r="F2266" s="3">
        <v>12310</v>
      </c>
      <c r="G2266" s="3">
        <v>596</v>
      </c>
      <c r="H2266" s="3">
        <v>19</v>
      </c>
      <c r="I2266" s="4">
        <v>219.54</v>
      </c>
      <c r="J2266" s="4">
        <v>1383.9</v>
      </c>
      <c r="K2266" s="3">
        <v>12</v>
      </c>
      <c r="L2266" s="2" t="s">
        <v>2523</v>
      </c>
      <c r="M2266" s="2" t="s">
        <v>2524</v>
      </c>
    </row>
    <row r="2267" spans="1:13" x14ac:dyDescent="0.3">
      <c r="A2267" s="1">
        <v>45852</v>
      </c>
      <c r="B2267" s="2" t="s">
        <v>2632</v>
      </c>
      <c r="C2267" s="2" t="s">
        <v>2533</v>
      </c>
      <c r="D2267" s="2" t="s">
        <v>2516</v>
      </c>
      <c r="E2267" s="2" t="s">
        <v>2517</v>
      </c>
      <c r="F2267" s="3">
        <v>34056</v>
      </c>
      <c r="G2267" s="3">
        <v>2096</v>
      </c>
      <c r="H2267" s="3">
        <v>148</v>
      </c>
      <c r="I2267" s="4">
        <v>2903.2</v>
      </c>
      <c r="J2267" s="4">
        <v>22649.43</v>
      </c>
      <c r="K2267" s="3">
        <v>131</v>
      </c>
      <c r="L2267" s="2" t="s">
        <v>2523</v>
      </c>
      <c r="M2267" s="2" t="s">
        <v>2526</v>
      </c>
    </row>
    <row r="2268" spans="1:13" x14ac:dyDescent="0.3">
      <c r="A2268" s="1">
        <v>45995</v>
      </c>
      <c r="B2268" s="2" t="s">
        <v>2623</v>
      </c>
      <c r="C2268" s="2" t="s">
        <v>2543</v>
      </c>
      <c r="D2268" s="2" t="s">
        <v>2525</v>
      </c>
      <c r="E2268" s="2" t="s">
        <v>2517</v>
      </c>
      <c r="F2268" s="3">
        <v>137453</v>
      </c>
      <c r="G2268" s="3">
        <v>5153</v>
      </c>
      <c r="H2268" s="3">
        <v>48</v>
      </c>
      <c r="I2268" s="4">
        <v>9012.7000000000007</v>
      </c>
      <c r="J2268" s="4">
        <v>725.98</v>
      </c>
      <c r="K2268" s="3">
        <v>38</v>
      </c>
      <c r="L2268" s="2" t="s">
        <v>2536</v>
      </c>
      <c r="M2268" s="2" t="s">
        <v>2537</v>
      </c>
    </row>
    <row r="2269" spans="1:13" x14ac:dyDescent="0.3">
      <c r="A2269" s="1">
        <v>45783</v>
      </c>
      <c r="B2269" s="2" t="s">
        <v>2626</v>
      </c>
      <c r="C2269" s="2" t="s">
        <v>2533</v>
      </c>
      <c r="D2269" s="2" t="s">
        <v>2516</v>
      </c>
      <c r="E2269" s="2" t="s">
        <v>2529</v>
      </c>
      <c r="F2269" s="3">
        <v>88028</v>
      </c>
      <c r="G2269" s="3">
        <v>860</v>
      </c>
      <c r="H2269" s="3">
        <v>14</v>
      </c>
      <c r="I2269" s="4">
        <v>813.48</v>
      </c>
      <c r="J2269" s="4">
        <v>407.24</v>
      </c>
      <c r="K2269" s="3">
        <v>8</v>
      </c>
      <c r="L2269" s="2" t="s">
        <v>2518</v>
      </c>
      <c r="M2269" s="2" t="s">
        <v>2546</v>
      </c>
    </row>
    <row r="2270" spans="1:13" x14ac:dyDescent="0.3">
      <c r="A2270" s="1">
        <v>45675</v>
      </c>
      <c r="B2270" s="2" t="s">
        <v>2636</v>
      </c>
      <c r="C2270" s="2" t="s">
        <v>2515</v>
      </c>
      <c r="D2270" s="2" t="s">
        <v>2528</v>
      </c>
      <c r="E2270" s="2" t="s">
        <v>2529</v>
      </c>
      <c r="F2270" s="3">
        <v>125817</v>
      </c>
      <c r="G2270" s="3">
        <v>3590</v>
      </c>
      <c r="H2270" s="3">
        <v>492</v>
      </c>
      <c r="I2270" s="4">
        <v>5254.97</v>
      </c>
      <c r="J2270" s="4">
        <v>21494.880000000001</v>
      </c>
      <c r="K2270" s="3">
        <v>308</v>
      </c>
      <c r="L2270" s="2" t="s">
        <v>2523</v>
      </c>
      <c r="M2270" s="2" t="s">
        <v>2519</v>
      </c>
    </row>
    <row r="2271" spans="1:13" x14ac:dyDescent="0.3">
      <c r="A2271" s="1">
        <v>45776</v>
      </c>
      <c r="B2271" s="2" t="s">
        <v>2636</v>
      </c>
      <c r="C2271" s="2" t="s">
        <v>2541</v>
      </c>
      <c r="D2271" s="2" t="s">
        <v>2528</v>
      </c>
      <c r="E2271" s="2" t="s">
        <v>2529</v>
      </c>
      <c r="F2271" s="3">
        <v>74838</v>
      </c>
      <c r="G2271" s="3">
        <v>3310</v>
      </c>
      <c r="H2271" s="3">
        <v>254</v>
      </c>
      <c r="I2271" s="4">
        <v>2216.0500000000002</v>
      </c>
      <c r="J2271" s="4">
        <v>4593.8599999999997</v>
      </c>
      <c r="K2271" s="3">
        <v>124</v>
      </c>
      <c r="L2271" s="2" t="s">
        <v>2536</v>
      </c>
      <c r="M2271" s="2" t="s">
        <v>2546</v>
      </c>
    </row>
    <row r="2272" spans="1:13" x14ac:dyDescent="0.3">
      <c r="A2272" s="1">
        <v>45684</v>
      </c>
      <c r="B2272" s="2" t="s">
        <v>2625</v>
      </c>
      <c r="C2272" s="2" t="s">
        <v>2527</v>
      </c>
      <c r="D2272" s="2" t="s">
        <v>2528</v>
      </c>
      <c r="E2272" s="2" t="s">
        <v>2517</v>
      </c>
      <c r="F2272" s="3">
        <v>66713</v>
      </c>
      <c r="G2272" s="3">
        <v>5561</v>
      </c>
      <c r="H2272" s="3">
        <v>610</v>
      </c>
      <c r="I2272" s="4">
        <v>10005.93</v>
      </c>
      <c r="J2272" s="4">
        <v>74528.240000000005</v>
      </c>
      <c r="K2272" s="3">
        <v>501</v>
      </c>
      <c r="L2272" s="2" t="s">
        <v>2539</v>
      </c>
      <c r="M2272" s="2" t="s">
        <v>2526</v>
      </c>
    </row>
    <row r="2273" spans="1:13" x14ac:dyDescent="0.3">
      <c r="A2273" s="1">
        <v>45713</v>
      </c>
      <c r="B2273" s="2" t="s">
        <v>2638</v>
      </c>
      <c r="C2273" s="2" t="s">
        <v>2543</v>
      </c>
      <c r="D2273" s="2" t="s">
        <v>2531</v>
      </c>
      <c r="E2273" s="2" t="s">
        <v>2529</v>
      </c>
      <c r="F2273" s="3">
        <v>85218</v>
      </c>
      <c r="G2273" s="3">
        <v>6975</v>
      </c>
      <c r="H2273" s="3">
        <v>741</v>
      </c>
      <c r="I2273" s="4">
        <v>12876.21</v>
      </c>
      <c r="J2273" s="4">
        <v>44547.56</v>
      </c>
      <c r="K2273" s="3">
        <v>596</v>
      </c>
      <c r="L2273" s="2" t="s">
        <v>2539</v>
      </c>
      <c r="M2273" s="2" t="s">
        <v>2526</v>
      </c>
    </row>
    <row r="2274" spans="1:13" x14ac:dyDescent="0.3">
      <c r="A2274" s="1">
        <v>45866</v>
      </c>
      <c r="B2274" s="2" t="s">
        <v>2629</v>
      </c>
      <c r="C2274" s="2" t="s">
        <v>2515</v>
      </c>
      <c r="D2274" s="2" t="s">
        <v>2531</v>
      </c>
      <c r="E2274" s="2" t="s">
        <v>2517</v>
      </c>
      <c r="F2274" s="3">
        <v>88432</v>
      </c>
      <c r="G2274" s="3">
        <v>5971</v>
      </c>
      <c r="H2274" s="3">
        <v>280</v>
      </c>
      <c r="I2274" s="4">
        <v>9512.51</v>
      </c>
      <c r="J2274" s="4">
        <v>56394.42</v>
      </c>
      <c r="K2274" s="3">
        <v>249</v>
      </c>
      <c r="L2274" s="2" t="s">
        <v>2539</v>
      </c>
      <c r="M2274" s="2" t="s">
        <v>2526</v>
      </c>
    </row>
    <row r="2275" spans="1:13" x14ac:dyDescent="0.3">
      <c r="A2275" s="1">
        <v>45845</v>
      </c>
      <c r="B2275" s="2" t="s">
        <v>2644</v>
      </c>
      <c r="C2275" s="2" t="s">
        <v>2541</v>
      </c>
      <c r="D2275" s="2" t="s">
        <v>2516</v>
      </c>
      <c r="E2275" s="2" t="s">
        <v>2534</v>
      </c>
      <c r="F2275" s="3">
        <v>144023</v>
      </c>
      <c r="G2275" s="3">
        <v>12595</v>
      </c>
      <c r="H2275" s="3">
        <v>1188</v>
      </c>
      <c r="I2275" s="4">
        <v>22609.94</v>
      </c>
      <c r="J2275" s="4">
        <v>183094.21</v>
      </c>
      <c r="K2275" s="3">
        <v>840</v>
      </c>
      <c r="L2275" s="2" t="s">
        <v>2539</v>
      </c>
      <c r="M2275" s="2" t="s">
        <v>2524</v>
      </c>
    </row>
    <row r="2276" spans="1:13" x14ac:dyDescent="0.3">
      <c r="A2276" s="1">
        <v>45999</v>
      </c>
      <c r="B2276" s="2" t="s">
        <v>2634</v>
      </c>
      <c r="C2276" s="2" t="s">
        <v>2515</v>
      </c>
      <c r="D2276" s="2" t="s">
        <v>2516</v>
      </c>
      <c r="E2276" s="2" t="s">
        <v>2529</v>
      </c>
      <c r="F2276" s="3">
        <v>12247</v>
      </c>
      <c r="G2276" s="3">
        <v>721</v>
      </c>
      <c r="H2276" s="3">
        <v>71</v>
      </c>
      <c r="I2276" s="4">
        <v>1219.23</v>
      </c>
      <c r="J2276" s="4">
        <v>5280.11</v>
      </c>
      <c r="K2276" s="3">
        <v>54</v>
      </c>
      <c r="L2276" s="2" t="s">
        <v>2518</v>
      </c>
      <c r="M2276" s="2" t="s">
        <v>2524</v>
      </c>
    </row>
    <row r="2277" spans="1:13" x14ac:dyDescent="0.3">
      <c r="A2277" s="1">
        <v>45849</v>
      </c>
      <c r="B2277" s="2" t="s">
        <v>2621</v>
      </c>
      <c r="C2277" s="2" t="s">
        <v>2515</v>
      </c>
      <c r="D2277" s="2" t="s">
        <v>2516</v>
      </c>
      <c r="E2277" s="2" t="s">
        <v>2529</v>
      </c>
      <c r="F2277" s="3">
        <v>5481</v>
      </c>
      <c r="G2277" s="3">
        <v>74</v>
      </c>
      <c r="H2277" s="3">
        <v>3</v>
      </c>
      <c r="I2277" s="4">
        <v>126.8</v>
      </c>
      <c r="J2277" s="4">
        <v>164</v>
      </c>
      <c r="K2277" s="3">
        <v>2</v>
      </c>
      <c r="L2277" s="2" t="s">
        <v>2523</v>
      </c>
      <c r="M2277" s="2" t="s">
        <v>2519</v>
      </c>
    </row>
    <row r="2278" spans="1:13" x14ac:dyDescent="0.3">
      <c r="A2278" s="1">
        <v>45966</v>
      </c>
      <c r="B2278" s="2" t="s">
        <v>2620</v>
      </c>
      <c r="C2278" s="2" t="s">
        <v>2515</v>
      </c>
      <c r="D2278" s="2" t="s">
        <v>2516</v>
      </c>
      <c r="E2278" s="2" t="s">
        <v>2517</v>
      </c>
      <c r="F2278" s="3">
        <v>77501</v>
      </c>
      <c r="G2278" s="3">
        <v>1774</v>
      </c>
      <c r="H2278" s="3">
        <v>68</v>
      </c>
      <c r="I2278" s="4">
        <v>947.37</v>
      </c>
      <c r="J2278" s="4">
        <v>6043.49</v>
      </c>
      <c r="K2278" s="3">
        <v>51</v>
      </c>
      <c r="L2278" s="2" t="s">
        <v>2536</v>
      </c>
      <c r="M2278" s="2" t="s">
        <v>2526</v>
      </c>
    </row>
    <row r="2279" spans="1:13" x14ac:dyDescent="0.3">
      <c r="A2279" s="1">
        <v>46010</v>
      </c>
      <c r="B2279" s="2" t="s">
        <v>2640</v>
      </c>
      <c r="C2279" s="2" t="s">
        <v>2521</v>
      </c>
      <c r="D2279" s="2" t="s">
        <v>2525</v>
      </c>
      <c r="E2279" s="2" t="s">
        <v>2529</v>
      </c>
      <c r="F2279" s="3">
        <v>63275</v>
      </c>
      <c r="G2279" s="3">
        <v>4902</v>
      </c>
      <c r="H2279" s="3">
        <v>62</v>
      </c>
      <c r="I2279" s="4">
        <v>4845.1899999999996</v>
      </c>
      <c r="J2279" s="4">
        <v>8266.0400000000009</v>
      </c>
      <c r="K2279" s="3">
        <v>29</v>
      </c>
      <c r="L2279" s="2" t="s">
        <v>2539</v>
      </c>
      <c r="M2279" s="2" t="s">
        <v>2537</v>
      </c>
    </row>
    <row r="2280" spans="1:13" x14ac:dyDescent="0.3">
      <c r="A2280" s="1">
        <v>45928</v>
      </c>
      <c r="B2280" s="2" t="s">
        <v>2615</v>
      </c>
      <c r="C2280" s="2" t="s">
        <v>2533</v>
      </c>
      <c r="D2280" s="2" t="s">
        <v>2528</v>
      </c>
      <c r="E2280" s="2" t="s">
        <v>2517</v>
      </c>
      <c r="F2280" s="3">
        <v>169426</v>
      </c>
      <c r="G2280" s="3">
        <v>9431</v>
      </c>
      <c r="H2280" s="3">
        <v>876</v>
      </c>
      <c r="I2280" s="4">
        <v>2895.52</v>
      </c>
      <c r="J2280" s="4">
        <v>186342.29</v>
      </c>
      <c r="K2280" s="3">
        <v>756</v>
      </c>
      <c r="L2280" s="2" t="s">
        <v>2518</v>
      </c>
      <c r="M2280" s="2" t="s">
        <v>2526</v>
      </c>
    </row>
    <row r="2281" spans="1:13" x14ac:dyDescent="0.3">
      <c r="A2281" s="1">
        <v>45711</v>
      </c>
      <c r="B2281" s="2" t="s">
        <v>2639</v>
      </c>
      <c r="C2281" s="2" t="s">
        <v>2527</v>
      </c>
      <c r="D2281" s="2" t="s">
        <v>2528</v>
      </c>
      <c r="E2281" s="2" t="s">
        <v>2517</v>
      </c>
      <c r="F2281" s="3">
        <v>34835</v>
      </c>
      <c r="G2281" s="3">
        <v>2812</v>
      </c>
      <c r="H2281" s="3">
        <v>343</v>
      </c>
      <c r="I2281" s="4">
        <v>3528.38</v>
      </c>
      <c r="J2281" s="4">
        <v>72886.850000000006</v>
      </c>
      <c r="K2281" s="3">
        <v>200</v>
      </c>
      <c r="L2281" s="2" t="s">
        <v>2536</v>
      </c>
      <c r="M2281" s="2" t="s">
        <v>2537</v>
      </c>
    </row>
    <row r="2282" spans="1:13" x14ac:dyDescent="0.3">
      <c r="A2282" s="1">
        <v>45752</v>
      </c>
      <c r="B2282" s="2" t="s">
        <v>2644</v>
      </c>
      <c r="C2282" s="2" t="s">
        <v>2527</v>
      </c>
      <c r="D2282" s="2" t="s">
        <v>2522</v>
      </c>
      <c r="E2282" s="2" t="s">
        <v>2529</v>
      </c>
      <c r="F2282" s="3">
        <v>121890</v>
      </c>
      <c r="G2282" s="3">
        <v>615</v>
      </c>
      <c r="H2282" s="3">
        <v>21</v>
      </c>
      <c r="I2282" s="4">
        <v>893.36</v>
      </c>
      <c r="J2282" s="4">
        <v>972.26</v>
      </c>
      <c r="K2282" s="3">
        <v>10</v>
      </c>
      <c r="L2282" s="2" t="s">
        <v>2523</v>
      </c>
      <c r="M2282" s="2" t="s">
        <v>2524</v>
      </c>
    </row>
    <row r="2283" spans="1:13" x14ac:dyDescent="0.3">
      <c r="A2283" s="1">
        <v>45990</v>
      </c>
      <c r="B2283" s="2" t="s">
        <v>2630</v>
      </c>
      <c r="C2283" s="2" t="s">
        <v>2543</v>
      </c>
      <c r="D2283" s="2" t="s">
        <v>2531</v>
      </c>
      <c r="E2283" s="2" t="s">
        <v>2529</v>
      </c>
      <c r="F2283" s="3">
        <v>76031</v>
      </c>
      <c r="G2283" s="3">
        <v>4118</v>
      </c>
      <c r="H2283" s="3">
        <v>186</v>
      </c>
      <c r="I2283" s="4">
        <v>7725.1</v>
      </c>
      <c r="J2283" s="4">
        <v>14664.85</v>
      </c>
      <c r="K2283" s="3">
        <v>94</v>
      </c>
      <c r="L2283" s="2" t="s">
        <v>2539</v>
      </c>
      <c r="M2283" s="2" t="s">
        <v>2519</v>
      </c>
    </row>
    <row r="2284" spans="1:13" x14ac:dyDescent="0.3">
      <c r="A2284" s="1">
        <v>45966</v>
      </c>
      <c r="B2284" s="2" t="s">
        <v>2618</v>
      </c>
      <c r="C2284" s="2" t="s">
        <v>2541</v>
      </c>
      <c r="D2284" s="2" t="s">
        <v>2528</v>
      </c>
      <c r="E2284" s="2" t="s">
        <v>2517</v>
      </c>
      <c r="F2284" s="3">
        <v>143332</v>
      </c>
      <c r="G2284" s="3">
        <v>9194</v>
      </c>
      <c r="H2284" s="3">
        <v>1107</v>
      </c>
      <c r="I2284" s="4">
        <v>4021.76</v>
      </c>
      <c r="J2284" s="4">
        <v>96415.4</v>
      </c>
      <c r="K2284" s="3">
        <v>966</v>
      </c>
      <c r="L2284" s="2" t="s">
        <v>2539</v>
      </c>
      <c r="M2284" s="2" t="s">
        <v>2526</v>
      </c>
    </row>
    <row r="2285" spans="1:13" x14ac:dyDescent="0.3">
      <c r="A2285" s="1">
        <v>45696</v>
      </c>
      <c r="B2285" s="2" t="s">
        <v>2638</v>
      </c>
      <c r="C2285" s="2" t="s">
        <v>2515</v>
      </c>
      <c r="D2285" s="2" t="s">
        <v>2525</v>
      </c>
      <c r="E2285" s="2" t="s">
        <v>2529</v>
      </c>
      <c r="F2285" s="3">
        <v>160761</v>
      </c>
      <c r="G2285" s="3">
        <v>11676</v>
      </c>
      <c r="H2285" s="3">
        <v>1065</v>
      </c>
      <c r="I2285" s="4">
        <v>17325.72</v>
      </c>
      <c r="J2285" s="4">
        <v>202070.43</v>
      </c>
      <c r="K2285" s="3">
        <v>865</v>
      </c>
      <c r="L2285" s="2" t="s">
        <v>2536</v>
      </c>
      <c r="M2285" s="2" t="s">
        <v>2537</v>
      </c>
    </row>
    <row r="2286" spans="1:13" x14ac:dyDescent="0.3">
      <c r="A2286" s="1">
        <v>45955</v>
      </c>
      <c r="B2286" s="2" t="s">
        <v>2627</v>
      </c>
      <c r="C2286" s="2" t="s">
        <v>2527</v>
      </c>
      <c r="D2286" s="2" t="s">
        <v>2528</v>
      </c>
      <c r="E2286" s="2" t="s">
        <v>2529</v>
      </c>
      <c r="F2286" s="3">
        <v>118375</v>
      </c>
      <c r="G2286" s="3">
        <v>1377</v>
      </c>
      <c r="H2286" s="3">
        <v>183</v>
      </c>
      <c r="I2286" s="4">
        <v>1351.8</v>
      </c>
      <c r="J2286" s="4">
        <v>23839.24</v>
      </c>
      <c r="K2286" s="3">
        <v>92</v>
      </c>
      <c r="L2286" s="2" t="s">
        <v>2536</v>
      </c>
      <c r="M2286" s="2" t="s">
        <v>2537</v>
      </c>
    </row>
    <row r="2287" spans="1:13" x14ac:dyDescent="0.3">
      <c r="A2287" s="1">
        <v>45752</v>
      </c>
      <c r="B2287" s="2" t="s">
        <v>2642</v>
      </c>
      <c r="C2287" s="2" t="s">
        <v>2527</v>
      </c>
      <c r="D2287" s="2" t="s">
        <v>2528</v>
      </c>
      <c r="E2287" s="2" t="s">
        <v>2529</v>
      </c>
      <c r="F2287" s="3">
        <v>173950</v>
      </c>
      <c r="G2287" s="3">
        <v>11915</v>
      </c>
      <c r="H2287" s="3">
        <v>345</v>
      </c>
      <c r="I2287" s="4">
        <v>14390.19</v>
      </c>
      <c r="J2287" s="4">
        <v>61993.35</v>
      </c>
      <c r="K2287" s="3">
        <v>231</v>
      </c>
      <c r="L2287" s="2" t="s">
        <v>2536</v>
      </c>
      <c r="M2287" s="2" t="s">
        <v>2537</v>
      </c>
    </row>
    <row r="2288" spans="1:13" x14ac:dyDescent="0.3">
      <c r="A2288" s="1">
        <v>45917</v>
      </c>
      <c r="B2288" s="2" t="s">
        <v>2621</v>
      </c>
      <c r="C2288" s="2" t="s">
        <v>2543</v>
      </c>
      <c r="D2288" s="2" t="s">
        <v>2516</v>
      </c>
      <c r="E2288" s="2" t="s">
        <v>2529</v>
      </c>
      <c r="F2288" s="3">
        <v>37786</v>
      </c>
      <c r="G2288" s="3">
        <v>1813</v>
      </c>
      <c r="H2288" s="3">
        <v>120</v>
      </c>
      <c r="I2288" s="4">
        <v>3478.59</v>
      </c>
      <c r="J2288" s="4">
        <v>22271.24</v>
      </c>
      <c r="K2288" s="3">
        <v>65</v>
      </c>
      <c r="L2288" s="2" t="s">
        <v>2518</v>
      </c>
      <c r="M2288" s="2" t="s">
        <v>2524</v>
      </c>
    </row>
    <row r="2289" spans="1:13" x14ac:dyDescent="0.3">
      <c r="A2289" s="1">
        <v>45898</v>
      </c>
      <c r="B2289" s="2" t="s">
        <v>2635</v>
      </c>
      <c r="C2289" s="2" t="s">
        <v>2533</v>
      </c>
      <c r="D2289" s="2" t="s">
        <v>2528</v>
      </c>
      <c r="E2289" s="2" t="s">
        <v>2534</v>
      </c>
      <c r="F2289" s="3">
        <v>44816</v>
      </c>
      <c r="G2289" s="3">
        <v>2894</v>
      </c>
      <c r="H2289" s="3">
        <v>188</v>
      </c>
      <c r="I2289" s="4">
        <v>4372.95</v>
      </c>
      <c r="J2289" s="4">
        <v>25182.36</v>
      </c>
      <c r="K2289" s="3">
        <v>140</v>
      </c>
      <c r="L2289" s="2" t="s">
        <v>2539</v>
      </c>
      <c r="M2289" s="2" t="s">
        <v>2524</v>
      </c>
    </row>
    <row r="2290" spans="1:13" x14ac:dyDescent="0.3">
      <c r="A2290" s="1">
        <v>45962</v>
      </c>
      <c r="B2290" s="2" t="s">
        <v>2628</v>
      </c>
      <c r="C2290" s="2" t="s">
        <v>2521</v>
      </c>
      <c r="D2290" s="2" t="s">
        <v>2528</v>
      </c>
      <c r="E2290" s="2" t="s">
        <v>2529</v>
      </c>
      <c r="F2290" s="3">
        <v>116290</v>
      </c>
      <c r="G2290" s="3">
        <v>8652</v>
      </c>
      <c r="H2290" s="3">
        <v>137</v>
      </c>
      <c r="I2290" s="4">
        <v>15386.67</v>
      </c>
      <c r="J2290" s="4">
        <v>12683.33</v>
      </c>
      <c r="K2290" s="3">
        <v>68</v>
      </c>
      <c r="L2290" s="2" t="s">
        <v>2518</v>
      </c>
      <c r="M2290" s="2" t="s">
        <v>2526</v>
      </c>
    </row>
    <row r="2291" spans="1:13" x14ac:dyDescent="0.3">
      <c r="A2291" s="1">
        <v>45708</v>
      </c>
      <c r="B2291" s="2" t="s">
        <v>2627</v>
      </c>
      <c r="C2291" s="2" t="s">
        <v>2533</v>
      </c>
      <c r="D2291" s="2" t="s">
        <v>2525</v>
      </c>
      <c r="E2291" s="2" t="s">
        <v>2517</v>
      </c>
      <c r="F2291" s="3">
        <v>112186</v>
      </c>
      <c r="G2291" s="3">
        <v>5157</v>
      </c>
      <c r="H2291" s="3">
        <v>544</v>
      </c>
      <c r="I2291" s="4">
        <v>4368.72</v>
      </c>
      <c r="J2291" s="4">
        <v>27031.39</v>
      </c>
      <c r="K2291" s="3">
        <v>399</v>
      </c>
      <c r="L2291" s="2" t="s">
        <v>2518</v>
      </c>
      <c r="M2291" s="2" t="s">
        <v>2537</v>
      </c>
    </row>
    <row r="2292" spans="1:13" x14ac:dyDescent="0.3">
      <c r="A2292" s="1">
        <v>46021</v>
      </c>
      <c r="B2292" s="2" t="s">
        <v>2641</v>
      </c>
      <c r="C2292" s="2" t="s">
        <v>2541</v>
      </c>
      <c r="D2292" s="2" t="s">
        <v>2528</v>
      </c>
      <c r="E2292" s="2" t="s">
        <v>2534</v>
      </c>
      <c r="F2292" s="3">
        <v>85943</v>
      </c>
      <c r="G2292" s="3">
        <v>4939</v>
      </c>
      <c r="H2292" s="3">
        <v>335</v>
      </c>
      <c r="I2292" s="4">
        <v>5912.02</v>
      </c>
      <c r="J2292" s="4">
        <v>58301.16</v>
      </c>
      <c r="K2292" s="3">
        <v>245</v>
      </c>
      <c r="L2292" s="2" t="s">
        <v>2536</v>
      </c>
      <c r="M2292" s="2" t="s">
        <v>2524</v>
      </c>
    </row>
    <row r="2293" spans="1:13" x14ac:dyDescent="0.3">
      <c r="A2293" s="1">
        <v>45874</v>
      </c>
      <c r="B2293" s="2" t="s">
        <v>2637</v>
      </c>
      <c r="C2293" s="2" t="s">
        <v>2527</v>
      </c>
      <c r="D2293" s="2" t="s">
        <v>2522</v>
      </c>
      <c r="E2293" s="2" t="s">
        <v>2534</v>
      </c>
      <c r="F2293" s="3">
        <v>149652</v>
      </c>
      <c r="G2293" s="3">
        <v>12473</v>
      </c>
      <c r="H2293" s="3">
        <v>1228</v>
      </c>
      <c r="I2293" s="4">
        <v>6169.49</v>
      </c>
      <c r="J2293" s="4">
        <v>137857.82999999999</v>
      </c>
      <c r="K2293" s="3">
        <v>915</v>
      </c>
      <c r="L2293" s="2" t="s">
        <v>2539</v>
      </c>
      <c r="M2293" s="2" t="s">
        <v>2537</v>
      </c>
    </row>
    <row r="2294" spans="1:13" x14ac:dyDescent="0.3">
      <c r="A2294" s="1">
        <v>45881</v>
      </c>
      <c r="B2294" s="2" t="s">
        <v>2630</v>
      </c>
      <c r="C2294" s="2" t="s">
        <v>2521</v>
      </c>
      <c r="D2294" s="2" t="s">
        <v>2528</v>
      </c>
      <c r="E2294" s="2" t="s">
        <v>2534</v>
      </c>
      <c r="F2294" s="3">
        <v>101942</v>
      </c>
      <c r="G2294" s="3">
        <v>8319</v>
      </c>
      <c r="H2294" s="3">
        <v>940</v>
      </c>
      <c r="I2294" s="4">
        <v>2990.03</v>
      </c>
      <c r="J2294" s="4">
        <v>139687.18</v>
      </c>
      <c r="K2294" s="3">
        <v>491</v>
      </c>
      <c r="L2294" s="2" t="s">
        <v>2523</v>
      </c>
      <c r="M2294" s="2" t="s">
        <v>2524</v>
      </c>
    </row>
    <row r="2295" spans="1:13" x14ac:dyDescent="0.3">
      <c r="A2295" s="1">
        <v>45851</v>
      </c>
      <c r="B2295" s="2" t="s">
        <v>2632</v>
      </c>
      <c r="C2295" s="2" t="s">
        <v>2543</v>
      </c>
      <c r="D2295" s="2" t="s">
        <v>2516</v>
      </c>
      <c r="E2295" s="2" t="s">
        <v>2517</v>
      </c>
      <c r="F2295" s="3">
        <v>17624</v>
      </c>
      <c r="G2295" s="3">
        <v>1286</v>
      </c>
      <c r="H2295" s="3">
        <v>97</v>
      </c>
      <c r="I2295" s="4">
        <v>2481.63</v>
      </c>
      <c r="J2295" s="4">
        <v>8537.9699999999993</v>
      </c>
      <c r="K2295" s="3">
        <v>83</v>
      </c>
      <c r="L2295" s="2" t="s">
        <v>2523</v>
      </c>
      <c r="M2295" s="2" t="s">
        <v>2546</v>
      </c>
    </row>
    <row r="2296" spans="1:13" x14ac:dyDescent="0.3">
      <c r="A2296" s="1">
        <v>45855</v>
      </c>
      <c r="B2296" s="2" t="s">
        <v>2633</v>
      </c>
      <c r="C2296" s="2" t="s">
        <v>2533</v>
      </c>
      <c r="D2296" s="2" t="s">
        <v>2528</v>
      </c>
      <c r="E2296" s="2" t="s">
        <v>2517</v>
      </c>
      <c r="F2296" s="3">
        <v>77666</v>
      </c>
      <c r="G2296" s="3">
        <v>4239</v>
      </c>
      <c r="H2296" s="3">
        <v>363</v>
      </c>
      <c r="I2296" s="4">
        <v>2028.05</v>
      </c>
      <c r="J2296" s="4">
        <v>16558.099999999999</v>
      </c>
      <c r="K2296" s="3">
        <v>289</v>
      </c>
      <c r="L2296" s="2" t="s">
        <v>2539</v>
      </c>
      <c r="M2296" s="2" t="s">
        <v>2519</v>
      </c>
    </row>
    <row r="2297" spans="1:13" x14ac:dyDescent="0.3">
      <c r="A2297" s="1">
        <v>45754</v>
      </c>
      <c r="B2297" s="2" t="s">
        <v>2618</v>
      </c>
      <c r="C2297" s="2" t="s">
        <v>2527</v>
      </c>
      <c r="D2297" s="2" t="s">
        <v>2525</v>
      </c>
      <c r="E2297" s="2" t="s">
        <v>2529</v>
      </c>
      <c r="F2297" s="3">
        <v>102561</v>
      </c>
      <c r="G2297" s="3">
        <v>952</v>
      </c>
      <c r="H2297" s="3">
        <v>90</v>
      </c>
      <c r="I2297" s="4">
        <v>336.81</v>
      </c>
      <c r="J2297" s="4">
        <v>11859.8</v>
      </c>
      <c r="K2297" s="3">
        <v>67</v>
      </c>
      <c r="L2297" s="2" t="s">
        <v>2523</v>
      </c>
      <c r="M2297" s="2" t="s">
        <v>2546</v>
      </c>
    </row>
    <row r="2298" spans="1:13" x14ac:dyDescent="0.3">
      <c r="A2298" s="1">
        <v>45986</v>
      </c>
      <c r="B2298" s="2" t="s">
        <v>2637</v>
      </c>
      <c r="C2298" s="2" t="s">
        <v>2515</v>
      </c>
      <c r="D2298" s="2" t="s">
        <v>2522</v>
      </c>
      <c r="E2298" s="2" t="s">
        <v>2517</v>
      </c>
      <c r="F2298" s="3">
        <v>73219</v>
      </c>
      <c r="G2298" s="3">
        <v>2926</v>
      </c>
      <c r="H2298" s="3">
        <v>106</v>
      </c>
      <c r="I2298" s="4">
        <v>941.36</v>
      </c>
      <c r="J2298" s="4">
        <v>3532.59</v>
      </c>
      <c r="K2298" s="3">
        <v>71</v>
      </c>
      <c r="L2298" s="2" t="s">
        <v>2518</v>
      </c>
      <c r="M2298" s="2" t="s">
        <v>2524</v>
      </c>
    </row>
    <row r="2299" spans="1:13" x14ac:dyDescent="0.3">
      <c r="A2299" s="1">
        <v>45719</v>
      </c>
      <c r="B2299" s="2" t="s">
        <v>2621</v>
      </c>
      <c r="C2299" s="2" t="s">
        <v>2543</v>
      </c>
      <c r="D2299" s="2" t="s">
        <v>2525</v>
      </c>
      <c r="E2299" s="2" t="s">
        <v>2517</v>
      </c>
      <c r="F2299" s="3">
        <v>45406</v>
      </c>
      <c r="G2299" s="3">
        <v>2623</v>
      </c>
      <c r="H2299" s="3">
        <v>343</v>
      </c>
      <c r="I2299" s="4">
        <v>1895.35</v>
      </c>
      <c r="J2299" s="4">
        <v>5269.42</v>
      </c>
      <c r="K2299" s="3">
        <v>223</v>
      </c>
      <c r="L2299" s="2" t="s">
        <v>2536</v>
      </c>
      <c r="M2299" s="2" t="s">
        <v>2537</v>
      </c>
    </row>
    <row r="2300" spans="1:13" x14ac:dyDescent="0.3">
      <c r="A2300" s="1">
        <v>45899</v>
      </c>
      <c r="B2300" s="2" t="s">
        <v>2638</v>
      </c>
      <c r="C2300" s="2" t="s">
        <v>2521</v>
      </c>
      <c r="D2300" s="2" t="s">
        <v>2522</v>
      </c>
      <c r="E2300" s="2" t="s">
        <v>2517</v>
      </c>
      <c r="F2300" s="3">
        <v>124056</v>
      </c>
      <c r="G2300" s="3">
        <v>6876</v>
      </c>
      <c r="H2300" s="3">
        <v>646</v>
      </c>
      <c r="I2300" s="4">
        <v>3197.51</v>
      </c>
      <c r="J2300" s="4">
        <v>83871.8</v>
      </c>
      <c r="K2300" s="3">
        <v>430</v>
      </c>
      <c r="L2300" s="2" t="s">
        <v>2539</v>
      </c>
      <c r="M2300" s="2" t="s">
        <v>2537</v>
      </c>
    </row>
    <row r="2301" spans="1:13" x14ac:dyDescent="0.3">
      <c r="A2301" s="1">
        <v>45885</v>
      </c>
      <c r="B2301" s="2" t="s">
        <v>2623</v>
      </c>
      <c r="C2301" s="2" t="s">
        <v>2515</v>
      </c>
      <c r="D2301" s="2" t="s">
        <v>2531</v>
      </c>
      <c r="E2301" s="2" t="s">
        <v>2517</v>
      </c>
      <c r="F2301" s="3">
        <v>78935</v>
      </c>
      <c r="G2301" s="3">
        <v>4984</v>
      </c>
      <c r="H2301" s="3">
        <v>575</v>
      </c>
      <c r="I2301" s="4">
        <v>1779.6</v>
      </c>
      <c r="J2301" s="4">
        <v>112395.06</v>
      </c>
      <c r="K2301" s="3">
        <v>409</v>
      </c>
      <c r="L2301" s="2" t="s">
        <v>2536</v>
      </c>
      <c r="M2301" s="2" t="s">
        <v>2537</v>
      </c>
    </row>
    <row r="2302" spans="1:13" x14ac:dyDescent="0.3">
      <c r="A2302" s="1">
        <v>45715</v>
      </c>
      <c r="B2302" s="2" t="s">
        <v>2618</v>
      </c>
      <c r="C2302" s="2" t="s">
        <v>2527</v>
      </c>
      <c r="D2302" s="2" t="s">
        <v>2528</v>
      </c>
      <c r="E2302" s="2" t="s">
        <v>2517</v>
      </c>
      <c r="F2302" s="3">
        <v>54036</v>
      </c>
      <c r="G2302" s="3">
        <v>1452</v>
      </c>
      <c r="H2302" s="3">
        <v>8</v>
      </c>
      <c r="I2302" s="4">
        <v>650.87</v>
      </c>
      <c r="J2302" s="4">
        <v>1438.7</v>
      </c>
      <c r="K2302" s="3">
        <v>3</v>
      </c>
      <c r="L2302" s="2" t="s">
        <v>2518</v>
      </c>
      <c r="M2302" s="2" t="s">
        <v>2519</v>
      </c>
    </row>
    <row r="2303" spans="1:13" x14ac:dyDescent="0.3">
      <c r="A2303" s="1">
        <v>45924</v>
      </c>
      <c r="B2303" s="2" t="s">
        <v>2633</v>
      </c>
      <c r="C2303" s="2" t="s">
        <v>2521</v>
      </c>
      <c r="D2303" s="2" t="s">
        <v>2522</v>
      </c>
      <c r="E2303" s="2" t="s">
        <v>2529</v>
      </c>
      <c r="F2303" s="3">
        <v>60275</v>
      </c>
      <c r="G2303" s="3">
        <v>2800</v>
      </c>
      <c r="H2303" s="3">
        <v>163</v>
      </c>
      <c r="I2303" s="4">
        <v>2623.63</v>
      </c>
      <c r="J2303" s="4">
        <v>11742.64</v>
      </c>
      <c r="K2303" s="3">
        <v>83</v>
      </c>
      <c r="L2303" s="2" t="s">
        <v>2518</v>
      </c>
      <c r="M2303" s="2" t="s">
        <v>2519</v>
      </c>
    </row>
    <row r="2304" spans="1:13" x14ac:dyDescent="0.3">
      <c r="A2304" s="1">
        <v>45963</v>
      </c>
      <c r="B2304" s="2" t="s">
        <v>2623</v>
      </c>
      <c r="C2304" s="2" t="s">
        <v>2541</v>
      </c>
      <c r="D2304" s="2" t="s">
        <v>2528</v>
      </c>
      <c r="E2304" s="2" t="s">
        <v>2529</v>
      </c>
      <c r="F2304" s="3">
        <v>101539</v>
      </c>
      <c r="G2304" s="3">
        <v>7681</v>
      </c>
      <c r="H2304" s="3">
        <v>898</v>
      </c>
      <c r="I2304" s="4">
        <v>2116.38</v>
      </c>
      <c r="J2304" s="4">
        <v>153917.21</v>
      </c>
      <c r="K2304" s="3">
        <v>597</v>
      </c>
      <c r="L2304" s="2" t="s">
        <v>2536</v>
      </c>
      <c r="M2304" s="2" t="s">
        <v>2519</v>
      </c>
    </row>
    <row r="2305" spans="1:13" x14ac:dyDescent="0.3">
      <c r="A2305" s="1">
        <v>45712</v>
      </c>
      <c r="B2305" s="2" t="s">
        <v>2619</v>
      </c>
      <c r="C2305" s="2" t="s">
        <v>2543</v>
      </c>
      <c r="D2305" s="2" t="s">
        <v>2528</v>
      </c>
      <c r="E2305" s="2" t="s">
        <v>2529</v>
      </c>
      <c r="F2305" s="3">
        <v>132739</v>
      </c>
      <c r="G2305" s="3">
        <v>6408</v>
      </c>
      <c r="H2305" s="3">
        <v>129</v>
      </c>
      <c r="I2305" s="4">
        <v>8347.43</v>
      </c>
      <c r="J2305" s="4">
        <v>9646.6299999999992</v>
      </c>
      <c r="K2305" s="3">
        <v>79</v>
      </c>
      <c r="L2305" s="2" t="s">
        <v>2536</v>
      </c>
      <c r="M2305" s="2" t="s">
        <v>2537</v>
      </c>
    </row>
    <row r="2306" spans="1:13" x14ac:dyDescent="0.3">
      <c r="A2306" s="1">
        <v>45992</v>
      </c>
      <c r="B2306" s="2" t="s">
        <v>2615</v>
      </c>
      <c r="C2306" s="2" t="s">
        <v>2541</v>
      </c>
      <c r="D2306" s="2" t="s">
        <v>2525</v>
      </c>
      <c r="E2306" s="2" t="s">
        <v>2517</v>
      </c>
      <c r="F2306" s="3">
        <v>114547</v>
      </c>
      <c r="G2306" s="3">
        <v>8913</v>
      </c>
      <c r="H2306" s="3">
        <v>1155</v>
      </c>
      <c r="I2306" s="4">
        <v>8462.9500000000007</v>
      </c>
      <c r="J2306" s="4">
        <v>24272.21</v>
      </c>
      <c r="K2306" s="3">
        <v>874</v>
      </c>
      <c r="L2306" s="2" t="s">
        <v>2539</v>
      </c>
      <c r="M2306" s="2" t="s">
        <v>2537</v>
      </c>
    </row>
    <row r="2307" spans="1:13" x14ac:dyDescent="0.3">
      <c r="A2307" s="1">
        <v>45743</v>
      </c>
      <c r="B2307" s="2" t="s">
        <v>2616</v>
      </c>
      <c r="C2307" s="2" t="s">
        <v>2541</v>
      </c>
      <c r="D2307" s="2" t="s">
        <v>2528</v>
      </c>
      <c r="E2307" s="2" t="s">
        <v>2517</v>
      </c>
      <c r="F2307" s="3">
        <v>79309</v>
      </c>
      <c r="G2307" s="3">
        <v>4040</v>
      </c>
      <c r="H2307" s="3">
        <v>447</v>
      </c>
      <c r="I2307" s="4">
        <v>6717.69</v>
      </c>
      <c r="J2307" s="4">
        <v>24424.26</v>
      </c>
      <c r="K2307" s="3">
        <v>365</v>
      </c>
      <c r="L2307" s="2" t="s">
        <v>2539</v>
      </c>
      <c r="M2307" s="2" t="s">
        <v>2526</v>
      </c>
    </row>
    <row r="2308" spans="1:13" x14ac:dyDescent="0.3">
      <c r="A2308" s="1">
        <v>45836</v>
      </c>
      <c r="B2308" s="2" t="s">
        <v>2626</v>
      </c>
      <c r="C2308" s="2" t="s">
        <v>2521</v>
      </c>
      <c r="D2308" s="2" t="s">
        <v>2528</v>
      </c>
      <c r="E2308" s="2" t="s">
        <v>2529</v>
      </c>
      <c r="F2308" s="3">
        <v>76040</v>
      </c>
      <c r="G2308" s="3">
        <v>1951</v>
      </c>
      <c r="H2308" s="3">
        <v>33</v>
      </c>
      <c r="I2308" s="4">
        <v>1905.27</v>
      </c>
      <c r="J2308" s="4">
        <v>3411.47</v>
      </c>
      <c r="K2308" s="3">
        <v>28</v>
      </c>
      <c r="L2308" s="2" t="s">
        <v>2518</v>
      </c>
      <c r="M2308" s="2" t="s">
        <v>2546</v>
      </c>
    </row>
    <row r="2309" spans="1:13" x14ac:dyDescent="0.3">
      <c r="A2309" s="1">
        <v>45717</v>
      </c>
      <c r="B2309" s="2" t="s">
        <v>2616</v>
      </c>
      <c r="C2309" s="2" t="s">
        <v>2543</v>
      </c>
      <c r="D2309" s="2" t="s">
        <v>2522</v>
      </c>
      <c r="E2309" s="2" t="s">
        <v>2517</v>
      </c>
      <c r="F2309" s="3">
        <v>76764</v>
      </c>
      <c r="G2309" s="3">
        <v>1631</v>
      </c>
      <c r="H2309" s="3">
        <v>185</v>
      </c>
      <c r="I2309" s="4">
        <v>2432.11</v>
      </c>
      <c r="J2309" s="4">
        <v>13943.68</v>
      </c>
      <c r="K2309" s="3">
        <v>102</v>
      </c>
      <c r="L2309" s="2" t="s">
        <v>2539</v>
      </c>
      <c r="M2309" s="2" t="s">
        <v>2546</v>
      </c>
    </row>
    <row r="2310" spans="1:13" x14ac:dyDescent="0.3">
      <c r="A2310" s="1">
        <v>45912</v>
      </c>
      <c r="B2310" s="2" t="s">
        <v>2633</v>
      </c>
      <c r="C2310" s="2" t="s">
        <v>2515</v>
      </c>
      <c r="D2310" s="2" t="s">
        <v>2531</v>
      </c>
      <c r="E2310" s="2" t="s">
        <v>2529</v>
      </c>
      <c r="F2310" s="3">
        <v>37824</v>
      </c>
      <c r="G2310" s="3">
        <v>2783</v>
      </c>
      <c r="H2310" s="3">
        <v>321</v>
      </c>
      <c r="I2310" s="4">
        <v>1451.13</v>
      </c>
      <c r="J2310" s="4">
        <v>53271.02</v>
      </c>
      <c r="K2310" s="3">
        <v>224</v>
      </c>
      <c r="L2310" s="2" t="s">
        <v>2539</v>
      </c>
      <c r="M2310" s="2" t="s">
        <v>2526</v>
      </c>
    </row>
    <row r="2311" spans="1:13" x14ac:dyDescent="0.3">
      <c r="A2311" s="1">
        <v>45705</v>
      </c>
      <c r="B2311" s="2" t="s">
        <v>2632</v>
      </c>
      <c r="C2311" s="2" t="s">
        <v>2543</v>
      </c>
      <c r="D2311" s="2" t="s">
        <v>2528</v>
      </c>
      <c r="E2311" s="2" t="s">
        <v>2529</v>
      </c>
      <c r="F2311" s="3">
        <v>96470</v>
      </c>
      <c r="G2311" s="3">
        <v>2590</v>
      </c>
      <c r="H2311" s="3">
        <v>74</v>
      </c>
      <c r="I2311" s="4">
        <v>1268.92</v>
      </c>
      <c r="J2311" s="4">
        <v>14382.1</v>
      </c>
      <c r="K2311" s="3">
        <v>60</v>
      </c>
      <c r="L2311" s="2" t="s">
        <v>2536</v>
      </c>
      <c r="M2311" s="2" t="s">
        <v>2519</v>
      </c>
    </row>
    <row r="2312" spans="1:13" x14ac:dyDescent="0.3">
      <c r="A2312" s="1">
        <v>45992</v>
      </c>
      <c r="B2312" s="2" t="s">
        <v>2624</v>
      </c>
      <c r="C2312" s="2" t="s">
        <v>2543</v>
      </c>
      <c r="D2312" s="2" t="s">
        <v>2525</v>
      </c>
      <c r="E2312" s="2" t="s">
        <v>2517</v>
      </c>
      <c r="F2312" s="3">
        <v>169663</v>
      </c>
      <c r="G2312" s="3">
        <v>14121</v>
      </c>
      <c r="H2312" s="3">
        <v>1887</v>
      </c>
      <c r="I2312" s="4">
        <v>21781.64</v>
      </c>
      <c r="J2312" s="4">
        <v>171390.14</v>
      </c>
      <c r="K2312" s="3">
        <v>1020</v>
      </c>
      <c r="L2312" s="2" t="s">
        <v>2523</v>
      </c>
      <c r="M2312" s="2" t="s">
        <v>2526</v>
      </c>
    </row>
    <row r="2313" spans="1:13" x14ac:dyDescent="0.3">
      <c r="A2313" s="1">
        <v>46013</v>
      </c>
      <c r="B2313" s="2" t="s">
        <v>2630</v>
      </c>
      <c r="C2313" s="2" t="s">
        <v>2515</v>
      </c>
      <c r="D2313" s="2" t="s">
        <v>2531</v>
      </c>
      <c r="E2313" s="2" t="s">
        <v>2517</v>
      </c>
      <c r="F2313" s="3">
        <v>146855</v>
      </c>
      <c r="G2313" s="3">
        <v>7391</v>
      </c>
      <c r="H2313" s="3">
        <v>949</v>
      </c>
      <c r="I2313" s="4">
        <v>8458.75</v>
      </c>
      <c r="J2313" s="4">
        <v>23779.84</v>
      </c>
      <c r="K2313" s="3">
        <v>826</v>
      </c>
      <c r="L2313" s="2" t="s">
        <v>2518</v>
      </c>
      <c r="M2313" s="2" t="s">
        <v>2519</v>
      </c>
    </row>
    <row r="2314" spans="1:13" x14ac:dyDescent="0.3">
      <c r="A2314" s="1">
        <v>45672</v>
      </c>
      <c r="B2314" s="2" t="s">
        <v>2633</v>
      </c>
      <c r="C2314" s="2" t="s">
        <v>2541</v>
      </c>
      <c r="D2314" s="2" t="s">
        <v>2528</v>
      </c>
      <c r="E2314" s="2" t="s">
        <v>2517</v>
      </c>
      <c r="F2314" s="3">
        <v>62847</v>
      </c>
      <c r="G2314" s="3">
        <v>5129</v>
      </c>
      <c r="H2314" s="3">
        <v>323</v>
      </c>
      <c r="I2314" s="4">
        <v>4762.03</v>
      </c>
      <c r="J2314" s="4">
        <v>50634.82</v>
      </c>
      <c r="K2314" s="3">
        <v>226</v>
      </c>
      <c r="L2314" s="2" t="s">
        <v>2523</v>
      </c>
      <c r="M2314" s="2" t="s">
        <v>2537</v>
      </c>
    </row>
    <row r="2315" spans="1:13" x14ac:dyDescent="0.3">
      <c r="A2315" s="1">
        <v>45886</v>
      </c>
      <c r="B2315" s="2" t="s">
        <v>2643</v>
      </c>
      <c r="C2315" s="2" t="s">
        <v>2521</v>
      </c>
      <c r="D2315" s="2" t="s">
        <v>2528</v>
      </c>
      <c r="E2315" s="2" t="s">
        <v>2517</v>
      </c>
      <c r="F2315" s="3">
        <v>161748</v>
      </c>
      <c r="G2315" s="3">
        <v>5871</v>
      </c>
      <c r="H2315" s="3">
        <v>92</v>
      </c>
      <c r="I2315" s="4">
        <v>4496.58</v>
      </c>
      <c r="J2315" s="4">
        <v>3235.92</v>
      </c>
      <c r="K2315" s="3">
        <v>50</v>
      </c>
      <c r="L2315" s="2" t="s">
        <v>2539</v>
      </c>
      <c r="M2315" s="2" t="s">
        <v>2524</v>
      </c>
    </row>
    <row r="2316" spans="1:13" x14ac:dyDescent="0.3">
      <c r="A2316" s="1">
        <v>45663</v>
      </c>
      <c r="B2316" s="2" t="s">
        <v>2643</v>
      </c>
      <c r="C2316" s="2" t="s">
        <v>2527</v>
      </c>
      <c r="D2316" s="2" t="s">
        <v>2525</v>
      </c>
      <c r="E2316" s="2" t="s">
        <v>2517</v>
      </c>
      <c r="F2316" s="3">
        <v>71430</v>
      </c>
      <c r="G2316" s="3">
        <v>4937</v>
      </c>
      <c r="H2316" s="3">
        <v>230</v>
      </c>
      <c r="I2316" s="4">
        <v>1272.3699999999999</v>
      </c>
      <c r="J2316" s="4">
        <v>40774.699999999997</v>
      </c>
      <c r="K2316" s="3">
        <v>155</v>
      </c>
      <c r="L2316" s="2" t="s">
        <v>2518</v>
      </c>
      <c r="M2316" s="2" t="s">
        <v>2537</v>
      </c>
    </row>
    <row r="2317" spans="1:13" x14ac:dyDescent="0.3">
      <c r="A2317" s="1">
        <v>45971</v>
      </c>
      <c r="B2317" s="2" t="s">
        <v>2616</v>
      </c>
      <c r="C2317" s="2" t="s">
        <v>2521</v>
      </c>
      <c r="D2317" s="2" t="s">
        <v>2516</v>
      </c>
      <c r="E2317" s="2" t="s">
        <v>2529</v>
      </c>
      <c r="F2317" s="3">
        <v>141891</v>
      </c>
      <c r="G2317" s="3">
        <v>2062</v>
      </c>
      <c r="H2317" s="3">
        <v>90</v>
      </c>
      <c r="I2317" s="4">
        <v>3209.95</v>
      </c>
      <c r="J2317" s="4">
        <v>9905.64</v>
      </c>
      <c r="K2317" s="3">
        <v>46</v>
      </c>
      <c r="L2317" s="2" t="s">
        <v>2539</v>
      </c>
      <c r="M2317" s="2" t="s">
        <v>2537</v>
      </c>
    </row>
    <row r="2318" spans="1:13" x14ac:dyDescent="0.3">
      <c r="A2318" s="1">
        <v>45691</v>
      </c>
      <c r="B2318" s="2" t="s">
        <v>2616</v>
      </c>
      <c r="C2318" s="2" t="s">
        <v>2533</v>
      </c>
      <c r="D2318" s="2" t="s">
        <v>2528</v>
      </c>
      <c r="E2318" s="2" t="s">
        <v>2517</v>
      </c>
      <c r="F2318" s="3">
        <v>169819</v>
      </c>
      <c r="G2318" s="3">
        <v>1558</v>
      </c>
      <c r="H2318" s="3">
        <v>212</v>
      </c>
      <c r="I2318" s="4">
        <v>172.06</v>
      </c>
      <c r="J2318" s="4">
        <v>45672.78</v>
      </c>
      <c r="K2318" s="3">
        <v>162</v>
      </c>
      <c r="L2318" s="2" t="s">
        <v>2539</v>
      </c>
      <c r="M2318" s="2" t="s">
        <v>2526</v>
      </c>
    </row>
    <row r="2319" spans="1:13" x14ac:dyDescent="0.3">
      <c r="A2319" s="1">
        <v>45780</v>
      </c>
      <c r="B2319" s="2" t="s">
        <v>2639</v>
      </c>
      <c r="C2319" s="2" t="s">
        <v>2541</v>
      </c>
      <c r="D2319" s="2" t="s">
        <v>2528</v>
      </c>
      <c r="E2319" s="2" t="s">
        <v>2529</v>
      </c>
      <c r="F2319" s="3">
        <v>9900</v>
      </c>
      <c r="G2319" s="3">
        <v>554</v>
      </c>
      <c r="H2319" s="3">
        <v>43</v>
      </c>
      <c r="I2319" s="4">
        <v>1053.56</v>
      </c>
      <c r="J2319" s="4">
        <v>2902.88</v>
      </c>
      <c r="K2319" s="3">
        <v>31</v>
      </c>
      <c r="L2319" s="2" t="s">
        <v>2518</v>
      </c>
      <c r="M2319" s="2" t="s">
        <v>2537</v>
      </c>
    </row>
    <row r="2320" spans="1:13" x14ac:dyDescent="0.3">
      <c r="A2320" s="1">
        <v>45786</v>
      </c>
      <c r="B2320" s="2" t="s">
        <v>2630</v>
      </c>
      <c r="C2320" s="2" t="s">
        <v>2527</v>
      </c>
      <c r="D2320" s="2" t="s">
        <v>2525</v>
      </c>
      <c r="E2320" s="2" t="s">
        <v>2517</v>
      </c>
      <c r="F2320" s="3">
        <v>99791</v>
      </c>
      <c r="G2320" s="3">
        <v>7473</v>
      </c>
      <c r="H2320" s="3">
        <v>668</v>
      </c>
      <c r="I2320" s="4">
        <v>12860.38</v>
      </c>
      <c r="J2320" s="4">
        <v>102392.56</v>
      </c>
      <c r="K2320" s="3">
        <v>461</v>
      </c>
      <c r="L2320" s="2" t="s">
        <v>2518</v>
      </c>
      <c r="M2320" s="2" t="s">
        <v>2524</v>
      </c>
    </row>
    <row r="2321" spans="1:13" x14ac:dyDescent="0.3">
      <c r="A2321" s="1">
        <v>45838</v>
      </c>
      <c r="B2321" s="2" t="s">
        <v>2617</v>
      </c>
      <c r="C2321" s="2" t="s">
        <v>2541</v>
      </c>
      <c r="D2321" s="2" t="s">
        <v>2522</v>
      </c>
      <c r="E2321" s="2" t="s">
        <v>2517</v>
      </c>
      <c r="F2321" s="3">
        <v>89411</v>
      </c>
      <c r="G2321" s="3">
        <v>2201</v>
      </c>
      <c r="H2321" s="3">
        <v>132</v>
      </c>
      <c r="I2321" s="4">
        <v>2741.66</v>
      </c>
      <c r="J2321" s="4">
        <v>22767.919999999998</v>
      </c>
      <c r="K2321" s="3">
        <v>78</v>
      </c>
      <c r="L2321" s="2" t="s">
        <v>2539</v>
      </c>
      <c r="M2321" s="2" t="s">
        <v>2519</v>
      </c>
    </row>
    <row r="2322" spans="1:13" x14ac:dyDescent="0.3">
      <c r="A2322" s="1">
        <v>45911</v>
      </c>
      <c r="B2322" s="2" t="s">
        <v>2638</v>
      </c>
      <c r="C2322" s="2" t="s">
        <v>2543</v>
      </c>
      <c r="D2322" s="2" t="s">
        <v>2525</v>
      </c>
      <c r="E2322" s="2" t="s">
        <v>2517</v>
      </c>
      <c r="F2322" s="3">
        <v>18264</v>
      </c>
      <c r="G2322" s="3">
        <v>1483</v>
      </c>
      <c r="H2322" s="3">
        <v>141</v>
      </c>
      <c r="I2322" s="4">
        <v>898.74</v>
      </c>
      <c r="J2322" s="4">
        <v>21639.16</v>
      </c>
      <c r="K2322" s="3">
        <v>76</v>
      </c>
      <c r="L2322" s="2" t="s">
        <v>2536</v>
      </c>
      <c r="M2322" s="2" t="s">
        <v>2537</v>
      </c>
    </row>
    <row r="2323" spans="1:13" x14ac:dyDescent="0.3">
      <c r="A2323" s="1">
        <v>45810</v>
      </c>
      <c r="B2323" s="2" t="s">
        <v>2615</v>
      </c>
      <c r="C2323" s="2" t="s">
        <v>2533</v>
      </c>
      <c r="D2323" s="2" t="s">
        <v>2528</v>
      </c>
      <c r="E2323" s="2" t="s">
        <v>2529</v>
      </c>
      <c r="F2323" s="3">
        <v>32729</v>
      </c>
      <c r="G2323" s="3">
        <v>1350</v>
      </c>
      <c r="H2323" s="3">
        <v>108</v>
      </c>
      <c r="I2323" s="4">
        <v>832.98</v>
      </c>
      <c r="J2323" s="4">
        <v>5264.86</v>
      </c>
      <c r="K2323" s="3">
        <v>77</v>
      </c>
      <c r="L2323" s="2" t="s">
        <v>2518</v>
      </c>
      <c r="M2323" s="2" t="s">
        <v>2537</v>
      </c>
    </row>
    <row r="2324" spans="1:13" x14ac:dyDescent="0.3">
      <c r="A2324" s="1">
        <v>45793</v>
      </c>
      <c r="B2324" s="2" t="s">
        <v>2636</v>
      </c>
      <c r="C2324" s="2" t="s">
        <v>2515</v>
      </c>
      <c r="D2324" s="2" t="s">
        <v>2525</v>
      </c>
      <c r="E2324" s="2" t="s">
        <v>2529</v>
      </c>
      <c r="F2324" s="3">
        <v>121895</v>
      </c>
      <c r="G2324" s="3">
        <v>2708</v>
      </c>
      <c r="H2324" s="3">
        <v>171</v>
      </c>
      <c r="I2324" s="4">
        <v>1730.93</v>
      </c>
      <c r="J2324" s="4">
        <v>3287.82</v>
      </c>
      <c r="K2324" s="3">
        <v>146</v>
      </c>
      <c r="L2324" s="2" t="s">
        <v>2518</v>
      </c>
      <c r="M2324" s="2" t="s">
        <v>2519</v>
      </c>
    </row>
    <row r="2325" spans="1:13" x14ac:dyDescent="0.3">
      <c r="A2325" s="1">
        <v>45701</v>
      </c>
      <c r="B2325" s="2" t="s">
        <v>2628</v>
      </c>
      <c r="C2325" s="2" t="s">
        <v>2515</v>
      </c>
      <c r="D2325" s="2" t="s">
        <v>2525</v>
      </c>
      <c r="E2325" s="2" t="s">
        <v>2517</v>
      </c>
      <c r="F2325" s="3">
        <v>143428</v>
      </c>
      <c r="G2325" s="3">
        <v>6278</v>
      </c>
      <c r="H2325" s="3">
        <v>755</v>
      </c>
      <c r="I2325" s="4">
        <v>7351.32</v>
      </c>
      <c r="J2325" s="4">
        <v>55166.55</v>
      </c>
      <c r="K2325" s="3">
        <v>547</v>
      </c>
      <c r="L2325" s="2" t="s">
        <v>2539</v>
      </c>
      <c r="M2325" s="2" t="s">
        <v>2526</v>
      </c>
    </row>
    <row r="2326" spans="1:13" x14ac:dyDescent="0.3">
      <c r="A2326" s="1">
        <v>45747</v>
      </c>
      <c r="B2326" s="2" t="s">
        <v>2628</v>
      </c>
      <c r="C2326" s="2" t="s">
        <v>2527</v>
      </c>
      <c r="D2326" s="2" t="s">
        <v>2528</v>
      </c>
      <c r="E2326" s="2" t="s">
        <v>2529</v>
      </c>
      <c r="F2326" s="3">
        <v>136562</v>
      </c>
      <c r="G2326" s="3">
        <v>9297</v>
      </c>
      <c r="H2326" s="3">
        <v>1193</v>
      </c>
      <c r="I2326" s="4">
        <v>19216.13</v>
      </c>
      <c r="J2326" s="4">
        <v>137187.45000000001</v>
      </c>
      <c r="K2326" s="3">
        <v>873</v>
      </c>
      <c r="L2326" s="2" t="s">
        <v>2518</v>
      </c>
      <c r="M2326" s="2" t="s">
        <v>2537</v>
      </c>
    </row>
    <row r="2327" spans="1:13" x14ac:dyDescent="0.3">
      <c r="A2327" s="1">
        <v>45792</v>
      </c>
      <c r="B2327" s="2" t="s">
        <v>2635</v>
      </c>
      <c r="C2327" s="2" t="s">
        <v>2521</v>
      </c>
      <c r="D2327" s="2" t="s">
        <v>2528</v>
      </c>
      <c r="E2327" s="2" t="s">
        <v>2517</v>
      </c>
      <c r="F2327" s="3">
        <v>89257</v>
      </c>
      <c r="G2327" s="3">
        <v>7908</v>
      </c>
      <c r="H2327" s="3">
        <v>476</v>
      </c>
      <c r="I2327" s="4">
        <v>15709.46</v>
      </c>
      <c r="J2327" s="4">
        <v>42247.03</v>
      </c>
      <c r="K2327" s="3">
        <v>244</v>
      </c>
      <c r="L2327" s="2" t="s">
        <v>2536</v>
      </c>
      <c r="M2327" s="2" t="s">
        <v>2537</v>
      </c>
    </row>
    <row r="2328" spans="1:13" x14ac:dyDescent="0.3">
      <c r="A2328" s="1">
        <v>45935</v>
      </c>
      <c r="B2328" s="2" t="s">
        <v>2628</v>
      </c>
      <c r="C2328" s="2" t="s">
        <v>2533</v>
      </c>
      <c r="D2328" s="2" t="s">
        <v>2522</v>
      </c>
      <c r="E2328" s="2" t="s">
        <v>2529</v>
      </c>
      <c r="F2328" s="3">
        <v>69456</v>
      </c>
      <c r="G2328" s="3">
        <v>4917</v>
      </c>
      <c r="H2328" s="3">
        <v>115</v>
      </c>
      <c r="I2328" s="4">
        <v>8541.98</v>
      </c>
      <c r="J2328" s="4">
        <v>3257.25</v>
      </c>
      <c r="K2328" s="3">
        <v>95</v>
      </c>
      <c r="L2328" s="2" t="s">
        <v>2539</v>
      </c>
      <c r="M2328" s="2" t="s">
        <v>2526</v>
      </c>
    </row>
    <row r="2329" spans="1:13" x14ac:dyDescent="0.3">
      <c r="A2329" s="1">
        <v>45989</v>
      </c>
      <c r="B2329" s="2" t="s">
        <v>2634</v>
      </c>
      <c r="C2329" s="2" t="s">
        <v>2527</v>
      </c>
      <c r="D2329" s="2" t="s">
        <v>2516</v>
      </c>
      <c r="E2329" s="2" t="s">
        <v>2529</v>
      </c>
      <c r="F2329" s="3">
        <v>68278</v>
      </c>
      <c r="G2329" s="3">
        <v>5648</v>
      </c>
      <c r="H2329" s="3">
        <v>403</v>
      </c>
      <c r="I2329" s="4">
        <v>3169.34</v>
      </c>
      <c r="J2329" s="4">
        <v>19094.150000000001</v>
      </c>
      <c r="K2329" s="3">
        <v>189</v>
      </c>
      <c r="L2329" s="2" t="s">
        <v>2523</v>
      </c>
      <c r="M2329" s="2" t="s">
        <v>2526</v>
      </c>
    </row>
    <row r="2330" spans="1:13" x14ac:dyDescent="0.3">
      <c r="A2330" s="1">
        <v>45921</v>
      </c>
      <c r="B2330" s="2" t="s">
        <v>2624</v>
      </c>
      <c r="C2330" s="2" t="s">
        <v>2541</v>
      </c>
      <c r="D2330" s="2" t="s">
        <v>2516</v>
      </c>
      <c r="E2330" s="2" t="s">
        <v>2534</v>
      </c>
      <c r="F2330" s="3">
        <v>45098</v>
      </c>
      <c r="G2330" s="3">
        <v>3058</v>
      </c>
      <c r="H2330" s="3">
        <v>327</v>
      </c>
      <c r="I2330" s="4">
        <v>2130.19</v>
      </c>
      <c r="J2330" s="4">
        <v>24926.12</v>
      </c>
      <c r="K2330" s="3">
        <v>203</v>
      </c>
      <c r="L2330" s="2" t="s">
        <v>2523</v>
      </c>
      <c r="M2330" s="2" t="s">
        <v>2519</v>
      </c>
    </row>
    <row r="2331" spans="1:13" x14ac:dyDescent="0.3">
      <c r="A2331" s="1">
        <v>45956</v>
      </c>
      <c r="B2331" s="2" t="s">
        <v>2618</v>
      </c>
      <c r="C2331" s="2" t="s">
        <v>2515</v>
      </c>
      <c r="D2331" s="2" t="s">
        <v>2528</v>
      </c>
      <c r="E2331" s="2" t="s">
        <v>2529</v>
      </c>
      <c r="F2331" s="3">
        <v>176353</v>
      </c>
      <c r="G2331" s="3">
        <v>9955</v>
      </c>
      <c r="H2331" s="3">
        <v>287</v>
      </c>
      <c r="I2331" s="4">
        <v>2015.95</v>
      </c>
      <c r="J2331" s="4">
        <v>30458.57</v>
      </c>
      <c r="K2331" s="3">
        <v>223</v>
      </c>
      <c r="L2331" s="2" t="s">
        <v>2518</v>
      </c>
      <c r="M2331" s="2" t="s">
        <v>2519</v>
      </c>
    </row>
    <row r="2332" spans="1:13" x14ac:dyDescent="0.3">
      <c r="A2332" s="1">
        <v>45764</v>
      </c>
      <c r="B2332" s="2" t="s">
        <v>2643</v>
      </c>
      <c r="C2332" s="2" t="s">
        <v>2527</v>
      </c>
      <c r="D2332" s="2" t="s">
        <v>2525</v>
      </c>
      <c r="E2332" s="2" t="s">
        <v>2517</v>
      </c>
      <c r="F2332" s="3">
        <v>85755</v>
      </c>
      <c r="G2332" s="3">
        <v>5618</v>
      </c>
      <c r="H2332" s="3">
        <v>288</v>
      </c>
      <c r="I2332" s="4">
        <v>1038</v>
      </c>
      <c r="J2332" s="4">
        <v>23494.37</v>
      </c>
      <c r="K2332" s="3">
        <v>236</v>
      </c>
      <c r="L2332" s="2" t="s">
        <v>2523</v>
      </c>
      <c r="M2332" s="2" t="s">
        <v>2524</v>
      </c>
    </row>
    <row r="2333" spans="1:13" x14ac:dyDescent="0.3">
      <c r="A2333" s="1">
        <v>45960</v>
      </c>
      <c r="B2333" s="2" t="s">
        <v>2629</v>
      </c>
      <c r="C2333" s="2" t="s">
        <v>2515</v>
      </c>
      <c r="D2333" s="2" t="s">
        <v>2528</v>
      </c>
      <c r="E2333" s="2" t="s">
        <v>2529</v>
      </c>
      <c r="F2333" s="3">
        <v>141037</v>
      </c>
      <c r="G2333" s="3">
        <v>853</v>
      </c>
      <c r="H2333" s="3">
        <v>62</v>
      </c>
      <c r="I2333" s="4">
        <v>806.95</v>
      </c>
      <c r="J2333" s="4">
        <v>11074.93</v>
      </c>
      <c r="K2333" s="3">
        <v>47</v>
      </c>
      <c r="L2333" s="2" t="s">
        <v>2518</v>
      </c>
      <c r="M2333" s="2" t="s">
        <v>2537</v>
      </c>
    </row>
    <row r="2334" spans="1:13" x14ac:dyDescent="0.3">
      <c r="A2334" s="1">
        <v>45799</v>
      </c>
      <c r="B2334" s="2" t="s">
        <v>2618</v>
      </c>
      <c r="C2334" s="2" t="s">
        <v>2527</v>
      </c>
      <c r="D2334" s="2" t="s">
        <v>2516</v>
      </c>
      <c r="E2334" s="2" t="s">
        <v>2517</v>
      </c>
      <c r="F2334" s="3">
        <v>2032</v>
      </c>
      <c r="G2334" s="3">
        <v>43</v>
      </c>
      <c r="H2334" s="3">
        <v>2</v>
      </c>
      <c r="I2334" s="4">
        <v>7.74</v>
      </c>
      <c r="J2334" s="4">
        <v>330.35</v>
      </c>
      <c r="K2334" s="3">
        <v>1</v>
      </c>
      <c r="L2334" s="2" t="s">
        <v>2536</v>
      </c>
      <c r="M2334" s="2" t="s">
        <v>2519</v>
      </c>
    </row>
    <row r="2335" spans="1:13" x14ac:dyDescent="0.3">
      <c r="A2335" s="1">
        <v>45724</v>
      </c>
      <c r="B2335" s="2" t="s">
        <v>2631</v>
      </c>
      <c r="C2335" s="2" t="s">
        <v>2543</v>
      </c>
      <c r="D2335" s="2" t="s">
        <v>2528</v>
      </c>
      <c r="E2335" s="2" t="s">
        <v>2517</v>
      </c>
      <c r="F2335" s="3">
        <v>53012</v>
      </c>
      <c r="G2335" s="3">
        <v>4490</v>
      </c>
      <c r="H2335" s="3">
        <v>344</v>
      </c>
      <c r="I2335" s="4">
        <v>6684.79</v>
      </c>
      <c r="J2335" s="4">
        <v>20668.189999999999</v>
      </c>
      <c r="K2335" s="3">
        <v>184</v>
      </c>
      <c r="L2335" s="2" t="s">
        <v>2523</v>
      </c>
      <c r="M2335" s="2" t="s">
        <v>2526</v>
      </c>
    </row>
    <row r="2336" spans="1:13" x14ac:dyDescent="0.3">
      <c r="A2336" s="1">
        <v>45775</v>
      </c>
      <c r="B2336" s="2" t="s">
        <v>2636</v>
      </c>
      <c r="C2336" s="2" t="s">
        <v>2533</v>
      </c>
      <c r="D2336" s="2" t="s">
        <v>2528</v>
      </c>
      <c r="E2336" s="2" t="s">
        <v>2517</v>
      </c>
      <c r="F2336" s="3">
        <v>60620</v>
      </c>
      <c r="G2336" s="3">
        <v>4722</v>
      </c>
      <c r="H2336" s="3">
        <v>572</v>
      </c>
      <c r="I2336" s="4">
        <v>4575.6099999999997</v>
      </c>
      <c r="J2336" s="4">
        <v>57645.24</v>
      </c>
      <c r="K2336" s="3">
        <v>422</v>
      </c>
      <c r="L2336" s="2" t="s">
        <v>2523</v>
      </c>
      <c r="M2336" s="2" t="s">
        <v>2519</v>
      </c>
    </row>
    <row r="2337" spans="1:13" x14ac:dyDescent="0.3">
      <c r="A2337" s="1">
        <v>45669</v>
      </c>
      <c r="B2337" s="2" t="s">
        <v>2628</v>
      </c>
      <c r="C2337" s="2" t="s">
        <v>2527</v>
      </c>
      <c r="D2337" s="2" t="s">
        <v>2528</v>
      </c>
      <c r="E2337" s="2" t="s">
        <v>2517</v>
      </c>
      <c r="F2337" s="3">
        <v>2728</v>
      </c>
      <c r="G2337" s="3">
        <v>242</v>
      </c>
      <c r="H2337" s="3">
        <v>12</v>
      </c>
      <c r="I2337" s="4">
        <v>301.33999999999997</v>
      </c>
      <c r="J2337" s="4">
        <v>2055.61</v>
      </c>
      <c r="K2337" s="3">
        <v>5</v>
      </c>
      <c r="L2337" s="2" t="s">
        <v>2536</v>
      </c>
      <c r="M2337" s="2" t="s">
        <v>2537</v>
      </c>
    </row>
    <row r="2338" spans="1:13" x14ac:dyDescent="0.3">
      <c r="A2338" s="1">
        <v>45785</v>
      </c>
      <c r="B2338" s="2" t="s">
        <v>2643</v>
      </c>
      <c r="C2338" s="2" t="s">
        <v>2543</v>
      </c>
      <c r="D2338" s="2" t="s">
        <v>2516</v>
      </c>
      <c r="E2338" s="2" t="s">
        <v>2529</v>
      </c>
      <c r="F2338" s="3">
        <v>31767</v>
      </c>
      <c r="G2338" s="3">
        <v>2205</v>
      </c>
      <c r="H2338" s="3">
        <v>214</v>
      </c>
      <c r="I2338" s="4">
        <v>1253.1199999999999</v>
      </c>
      <c r="J2338" s="4">
        <v>13436.87</v>
      </c>
      <c r="K2338" s="3">
        <v>136</v>
      </c>
      <c r="L2338" s="2" t="s">
        <v>2539</v>
      </c>
      <c r="M2338" s="2" t="s">
        <v>2519</v>
      </c>
    </row>
    <row r="2339" spans="1:13" x14ac:dyDescent="0.3">
      <c r="A2339" s="1">
        <v>45867</v>
      </c>
      <c r="B2339" s="2" t="s">
        <v>2639</v>
      </c>
      <c r="C2339" s="2" t="s">
        <v>2521</v>
      </c>
      <c r="D2339" s="2" t="s">
        <v>2522</v>
      </c>
      <c r="E2339" s="2" t="s">
        <v>2517</v>
      </c>
      <c r="F2339" s="3">
        <v>6567</v>
      </c>
      <c r="G2339" s="3">
        <v>382</v>
      </c>
      <c r="H2339" s="3">
        <v>19</v>
      </c>
      <c r="I2339" s="4">
        <v>463.66</v>
      </c>
      <c r="J2339" s="4">
        <v>2236.96</v>
      </c>
      <c r="K2339" s="3">
        <v>14</v>
      </c>
      <c r="L2339" s="2" t="s">
        <v>2539</v>
      </c>
      <c r="M2339" s="2" t="s">
        <v>2524</v>
      </c>
    </row>
    <row r="2340" spans="1:13" x14ac:dyDescent="0.3">
      <c r="A2340" s="1">
        <v>45909</v>
      </c>
      <c r="B2340" s="2" t="s">
        <v>2644</v>
      </c>
      <c r="C2340" s="2" t="s">
        <v>2543</v>
      </c>
      <c r="D2340" s="2" t="s">
        <v>2516</v>
      </c>
      <c r="E2340" s="2" t="s">
        <v>2529</v>
      </c>
      <c r="F2340" s="3">
        <v>98741</v>
      </c>
      <c r="G2340" s="3">
        <v>1688</v>
      </c>
      <c r="H2340" s="3">
        <v>97</v>
      </c>
      <c r="I2340" s="4">
        <v>2762.13</v>
      </c>
      <c r="J2340" s="4">
        <v>9096.52</v>
      </c>
      <c r="K2340" s="3">
        <v>61</v>
      </c>
      <c r="L2340" s="2" t="s">
        <v>2539</v>
      </c>
      <c r="M2340" s="2" t="s">
        <v>2526</v>
      </c>
    </row>
    <row r="2341" spans="1:13" x14ac:dyDescent="0.3">
      <c r="A2341" s="1">
        <v>45810</v>
      </c>
      <c r="B2341" s="2" t="s">
        <v>2642</v>
      </c>
      <c r="C2341" s="2" t="s">
        <v>2543</v>
      </c>
      <c r="D2341" s="2" t="s">
        <v>2525</v>
      </c>
      <c r="E2341" s="2" t="s">
        <v>2529</v>
      </c>
      <c r="F2341" s="3">
        <v>15713</v>
      </c>
      <c r="G2341" s="3">
        <v>649</v>
      </c>
      <c r="H2341" s="3">
        <v>53</v>
      </c>
      <c r="I2341" s="4">
        <v>876.41</v>
      </c>
      <c r="J2341" s="4">
        <v>11505.02</v>
      </c>
      <c r="K2341" s="3">
        <v>38</v>
      </c>
      <c r="L2341" s="2" t="s">
        <v>2523</v>
      </c>
      <c r="M2341" s="2" t="s">
        <v>2519</v>
      </c>
    </row>
    <row r="2342" spans="1:13" x14ac:dyDescent="0.3">
      <c r="A2342" s="1">
        <v>45982</v>
      </c>
      <c r="B2342" s="2" t="s">
        <v>2638</v>
      </c>
      <c r="C2342" s="2" t="s">
        <v>2515</v>
      </c>
      <c r="D2342" s="2" t="s">
        <v>2516</v>
      </c>
      <c r="E2342" s="2" t="s">
        <v>2517</v>
      </c>
      <c r="F2342" s="3">
        <v>70313</v>
      </c>
      <c r="G2342" s="3">
        <v>5007</v>
      </c>
      <c r="H2342" s="3">
        <v>429</v>
      </c>
      <c r="I2342" s="4">
        <v>1444.66</v>
      </c>
      <c r="J2342" s="4">
        <v>88353.03</v>
      </c>
      <c r="K2342" s="3">
        <v>357</v>
      </c>
      <c r="L2342" s="2" t="s">
        <v>2536</v>
      </c>
      <c r="M2342" s="2" t="s">
        <v>2526</v>
      </c>
    </row>
    <row r="2343" spans="1:13" x14ac:dyDescent="0.3">
      <c r="A2343" s="1">
        <v>45752</v>
      </c>
      <c r="B2343" s="2" t="s">
        <v>2627</v>
      </c>
      <c r="C2343" s="2" t="s">
        <v>2533</v>
      </c>
      <c r="D2343" s="2" t="s">
        <v>2525</v>
      </c>
      <c r="E2343" s="2" t="s">
        <v>2529</v>
      </c>
      <c r="F2343" s="3">
        <v>151482</v>
      </c>
      <c r="G2343" s="3">
        <v>5235</v>
      </c>
      <c r="H2343" s="3">
        <v>352</v>
      </c>
      <c r="I2343" s="4">
        <v>3035.14</v>
      </c>
      <c r="J2343" s="4">
        <v>77210.3</v>
      </c>
      <c r="K2343" s="3">
        <v>219</v>
      </c>
      <c r="L2343" s="2" t="s">
        <v>2539</v>
      </c>
      <c r="M2343" s="2" t="s">
        <v>2526</v>
      </c>
    </row>
    <row r="2344" spans="1:13" x14ac:dyDescent="0.3">
      <c r="A2344" s="1">
        <v>45695</v>
      </c>
      <c r="B2344" s="2" t="s">
        <v>2640</v>
      </c>
      <c r="C2344" s="2" t="s">
        <v>2527</v>
      </c>
      <c r="D2344" s="2" t="s">
        <v>2645</v>
      </c>
      <c r="E2344" s="2" t="s">
        <v>2529</v>
      </c>
      <c r="F2344" s="3">
        <v>95666</v>
      </c>
      <c r="G2344" s="3">
        <v>4656</v>
      </c>
      <c r="H2344" s="3">
        <v>273</v>
      </c>
      <c r="I2344" s="4">
        <v>9347.14</v>
      </c>
      <c r="J2344" s="4">
        <v>37745.980000000003</v>
      </c>
      <c r="K2344" s="3">
        <v>229</v>
      </c>
      <c r="L2344" s="2" t="s">
        <v>2518</v>
      </c>
      <c r="M2344" s="2" t="s">
        <v>2519</v>
      </c>
    </row>
    <row r="2345" spans="1:13" x14ac:dyDescent="0.3">
      <c r="A2345" s="1">
        <v>45940</v>
      </c>
      <c r="B2345" s="2" t="s">
        <v>2627</v>
      </c>
      <c r="C2345" s="2" t="s">
        <v>2521</v>
      </c>
      <c r="D2345" s="2" t="s">
        <v>2516</v>
      </c>
      <c r="E2345" s="2" t="s">
        <v>2529</v>
      </c>
      <c r="F2345" s="3">
        <v>5444</v>
      </c>
      <c r="G2345" s="3">
        <v>131</v>
      </c>
      <c r="H2345" s="3">
        <v>142</v>
      </c>
      <c r="I2345" s="4">
        <v>23.76</v>
      </c>
      <c r="J2345" s="4">
        <v>370.94</v>
      </c>
      <c r="K2345" s="3">
        <v>6</v>
      </c>
      <c r="L2345" s="2" t="s">
        <v>2518</v>
      </c>
      <c r="M2345" s="2" t="s">
        <v>2546</v>
      </c>
    </row>
    <row r="2346" spans="1:13" x14ac:dyDescent="0.3">
      <c r="A2346" s="1">
        <v>45835</v>
      </c>
      <c r="B2346" s="2" t="s">
        <v>2624</v>
      </c>
      <c r="C2346" s="2" t="s">
        <v>2515</v>
      </c>
      <c r="D2346" s="2" t="s">
        <v>2522</v>
      </c>
      <c r="E2346" s="2" t="s">
        <v>2517</v>
      </c>
      <c r="F2346" s="3">
        <v>117311</v>
      </c>
      <c r="G2346" s="3">
        <v>9895</v>
      </c>
      <c r="H2346" s="3">
        <v>752</v>
      </c>
      <c r="I2346" s="4">
        <v>8161.27</v>
      </c>
      <c r="J2346" s="4">
        <v>34034.39</v>
      </c>
      <c r="K2346" s="3">
        <v>588</v>
      </c>
      <c r="L2346" s="2" t="s">
        <v>2536</v>
      </c>
      <c r="M2346" s="2" t="s">
        <v>2524</v>
      </c>
    </row>
    <row r="2347" spans="1:13" x14ac:dyDescent="0.3">
      <c r="A2347" s="1">
        <v>45825</v>
      </c>
      <c r="B2347" s="2" t="s">
        <v>2644</v>
      </c>
      <c r="C2347" s="2" t="s">
        <v>2521</v>
      </c>
      <c r="D2347" s="2" t="s">
        <v>2531</v>
      </c>
      <c r="E2347" s="2" t="s">
        <v>2529</v>
      </c>
      <c r="F2347" s="3">
        <v>119287</v>
      </c>
      <c r="G2347" s="3">
        <v>8541</v>
      </c>
      <c r="H2347" s="3">
        <v>727</v>
      </c>
      <c r="I2347" s="4">
        <v>9208.41</v>
      </c>
      <c r="J2347" s="4">
        <v>74011.42</v>
      </c>
      <c r="K2347" s="3">
        <v>512</v>
      </c>
      <c r="L2347" s="2" t="s">
        <v>2518</v>
      </c>
      <c r="M2347" s="2" t="s">
        <v>2537</v>
      </c>
    </row>
    <row r="2348" spans="1:13" x14ac:dyDescent="0.3">
      <c r="A2348" s="1">
        <v>45877</v>
      </c>
      <c r="B2348" s="2" t="s">
        <v>2627</v>
      </c>
      <c r="C2348" s="2" t="s">
        <v>2521</v>
      </c>
      <c r="D2348" s="2" t="s">
        <v>2531</v>
      </c>
      <c r="E2348" s="2" t="s">
        <v>2517</v>
      </c>
      <c r="F2348" s="3">
        <v>174479</v>
      </c>
      <c r="G2348" s="3">
        <v>14775</v>
      </c>
      <c r="H2348" s="3">
        <v>835</v>
      </c>
      <c r="I2348" s="4">
        <v>28644.77</v>
      </c>
      <c r="J2348" s="4">
        <v>152997.82</v>
      </c>
      <c r="K2348" s="3">
        <v>743</v>
      </c>
      <c r="L2348" s="2" t="s">
        <v>2539</v>
      </c>
      <c r="M2348" s="2" t="s">
        <v>2526</v>
      </c>
    </row>
    <row r="2349" spans="1:13" x14ac:dyDescent="0.3">
      <c r="A2349" s="1">
        <v>45927</v>
      </c>
      <c r="B2349" s="2" t="s">
        <v>2625</v>
      </c>
      <c r="C2349" s="2" t="s">
        <v>2541</v>
      </c>
      <c r="D2349" s="2" t="s">
        <v>2528</v>
      </c>
      <c r="E2349" s="2" t="s">
        <v>2517</v>
      </c>
      <c r="F2349" s="3">
        <v>20115</v>
      </c>
      <c r="G2349" s="3">
        <v>476</v>
      </c>
      <c r="H2349" s="3">
        <v>49</v>
      </c>
      <c r="I2349" s="4">
        <v>942.08</v>
      </c>
      <c r="J2349" s="4">
        <v>4894.6099999999997</v>
      </c>
      <c r="K2349" s="3">
        <v>42</v>
      </c>
      <c r="L2349" s="2" t="s">
        <v>2539</v>
      </c>
      <c r="M2349" s="2" t="s">
        <v>2537</v>
      </c>
    </row>
    <row r="2350" spans="1:13" x14ac:dyDescent="0.3">
      <c r="A2350" s="1">
        <v>45746</v>
      </c>
      <c r="B2350" s="2" t="s">
        <v>2618</v>
      </c>
      <c r="C2350" s="2" t="s">
        <v>2521</v>
      </c>
      <c r="D2350" s="2" t="s">
        <v>2528</v>
      </c>
      <c r="E2350" s="2" t="s">
        <v>2529</v>
      </c>
      <c r="F2350" s="3">
        <v>68235</v>
      </c>
      <c r="G2350" s="3">
        <v>2010</v>
      </c>
      <c r="H2350" s="3">
        <v>12</v>
      </c>
      <c r="I2350" s="4">
        <v>1548.89</v>
      </c>
      <c r="J2350" s="4">
        <v>362.66</v>
      </c>
      <c r="K2350" s="3">
        <v>9</v>
      </c>
      <c r="L2350" s="2" t="s">
        <v>2536</v>
      </c>
      <c r="M2350" s="2" t="s">
        <v>2524</v>
      </c>
    </row>
    <row r="2351" spans="1:13" x14ac:dyDescent="0.3">
      <c r="A2351" s="1">
        <v>45987</v>
      </c>
      <c r="B2351" s="2" t="s">
        <v>2619</v>
      </c>
      <c r="C2351" s="2" t="s">
        <v>2527</v>
      </c>
      <c r="D2351" s="2" t="s">
        <v>2528</v>
      </c>
      <c r="E2351" s="2" t="s">
        <v>2517</v>
      </c>
      <c r="F2351" s="3">
        <v>77581</v>
      </c>
      <c r="G2351" s="3">
        <v>918</v>
      </c>
      <c r="H2351" s="3">
        <v>121</v>
      </c>
      <c r="I2351" s="4">
        <v>1503.96</v>
      </c>
      <c r="J2351" s="4">
        <v>5356.63</v>
      </c>
      <c r="K2351" s="3">
        <v>102</v>
      </c>
      <c r="L2351" s="2" t="s">
        <v>2518</v>
      </c>
      <c r="M2351" s="2" t="s">
        <v>2524</v>
      </c>
    </row>
    <row r="2352" spans="1:13" x14ac:dyDescent="0.3">
      <c r="A2352" s="1">
        <v>45940</v>
      </c>
      <c r="B2352" s="2" t="s">
        <v>2619</v>
      </c>
      <c r="C2352" s="2" t="s">
        <v>2533</v>
      </c>
      <c r="D2352" s="2" t="s">
        <v>2525</v>
      </c>
      <c r="E2352" s="2" t="s">
        <v>2529</v>
      </c>
      <c r="F2352" s="3">
        <v>127220</v>
      </c>
      <c r="G2352" s="3">
        <v>9240</v>
      </c>
      <c r="H2352" s="3">
        <v>400</v>
      </c>
      <c r="I2352" s="4">
        <v>1092.8499999999999</v>
      </c>
      <c r="J2352" s="4">
        <v>64907.24</v>
      </c>
      <c r="K2352" s="3">
        <v>276</v>
      </c>
      <c r="L2352" s="2" t="s">
        <v>2523</v>
      </c>
      <c r="M2352" s="2" t="s">
        <v>2526</v>
      </c>
    </row>
    <row r="2353" spans="1:13" x14ac:dyDescent="0.3">
      <c r="A2353" s="1">
        <v>45911</v>
      </c>
      <c r="B2353" s="2" t="s">
        <v>2633</v>
      </c>
      <c r="C2353" s="2" t="s">
        <v>2521</v>
      </c>
      <c r="D2353" s="2" t="s">
        <v>2528</v>
      </c>
      <c r="E2353" s="2" t="s">
        <v>2517</v>
      </c>
      <c r="F2353" s="3">
        <v>71189</v>
      </c>
      <c r="G2353" s="3">
        <v>2654</v>
      </c>
      <c r="H2353" s="3">
        <v>342</v>
      </c>
      <c r="I2353" s="4">
        <v>5071.8100000000004</v>
      </c>
      <c r="J2353" s="4">
        <v>70473.789999999994</v>
      </c>
      <c r="K2353" s="3">
        <v>175</v>
      </c>
      <c r="L2353" s="2" t="s">
        <v>2536</v>
      </c>
      <c r="M2353" s="2" t="s">
        <v>2524</v>
      </c>
    </row>
    <row r="2354" spans="1:13" x14ac:dyDescent="0.3">
      <c r="A2354" s="1">
        <v>45934</v>
      </c>
      <c r="B2354" s="2" t="s">
        <v>2615</v>
      </c>
      <c r="C2354" s="2" t="s">
        <v>2515</v>
      </c>
      <c r="D2354" s="2" t="s">
        <v>2516</v>
      </c>
      <c r="E2354" s="2" t="s">
        <v>2517</v>
      </c>
      <c r="F2354" s="3">
        <v>118195</v>
      </c>
      <c r="G2354" s="3">
        <v>1928</v>
      </c>
      <c r="H2354" s="3">
        <v>27</v>
      </c>
      <c r="I2354" s="4">
        <v>3626.58</v>
      </c>
      <c r="J2354" s="4">
        <v>5357.18</v>
      </c>
      <c r="K2354" s="3">
        <v>21</v>
      </c>
      <c r="L2354" s="2" t="s">
        <v>2536</v>
      </c>
      <c r="M2354" s="2" t="s">
        <v>2537</v>
      </c>
    </row>
    <row r="2355" spans="1:13" x14ac:dyDescent="0.3">
      <c r="A2355" s="1">
        <v>45718</v>
      </c>
      <c r="B2355" s="2" t="s">
        <v>2642</v>
      </c>
      <c r="C2355" s="2" t="s">
        <v>2515</v>
      </c>
      <c r="D2355" s="2" t="s">
        <v>2516</v>
      </c>
      <c r="E2355" s="2" t="s">
        <v>2517</v>
      </c>
      <c r="F2355" s="3">
        <v>79984</v>
      </c>
      <c r="G2355" s="3">
        <v>989</v>
      </c>
      <c r="H2355" s="3">
        <v>61</v>
      </c>
      <c r="I2355" s="4">
        <v>716.74</v>
      </c>
      <c r="J2355" s="4">
        <v>9932.16</v>
      </c>
      <c r="K2355" s="3">
        <v>37</v>
      </c>
      <c r="L2355" s="2" t="s">
        <v>2523</v>
      </c>
      <c r="M2355" s="2" t="s">
        <v>2519</v>
      </c>
    </row>
    <row r="2356" spans="1:13" x14ac:dyDescent="0.3">
      <c r="A2356" s="1">
        <v>45963</v>
      </c>
      <c r="B2356" s="2" t="s">
        <v>2623</v>
      </c>
      <c r="C2356" s="2" t="s">
        <v>2521</v>
      </c>
      <c r="D2356" s="2" t="s">
        <v>2525</v>
      </c>
      <c r="E2356" s="2" t="s">
        <v>2517</v>
      </c>
      <c r="F2356" s="3">
        <v>52118</v>
      </c>
      <c r="G2356" s="3">
        <v>3992</v>
      </c>
      <c r="H2356" s="3">
        <v>501</v>
      </c>
      <c r="I2356" s="4">
        <v>4372.91</v>
      </c>
      <c r="J2356" s="4">
        <v>68998.720000000001</v>
      </c>
      <c r="K2356" s="3">
        <v>400</v>
      </c>
      <c r="L2356" s="2" t="s">
        <v>2536</v>
      </c>
      <c r="M2356" s="2" t="s">
        <v>2526</v>
      </c>
    </row>
    <row r="2357" spans="1:13" x14ac:dyDescent="0.3">
      <c r="A2357" s="1">
        <v>45927</v>
      </c>
      <c r="B2357" s="2" t="s">
        <v>2639</v>
      </c>
      <c r="C2357" s="2" t="s">
        <v>2533</v>
      </c>
      <c r="D2357" s="2" t="s">
        <v>2516</v>
      </c>
      <c r="E2357" s="2" t="s">
        <v>2529</v>
      </c>
      <c r="F2357" s="3">
        <v>153671</v>
      </c>
      <c r="G2357" s="3">
        <v>7395</v>
      </c>
      <c r="H2357" s="3">
        <v>1020</v>
      </c>
      <c r="I2357" s="4">
        <v>13017.39</v>
      </c>
      <c r="J2357" s="4">
        <v>41588.89</v>
      </c>
      <c r="K2357" s="3">
        <v>783</v>
      </c>
      <c r="L2357" s="2" t="s">
        <v>2539</v>
      </c>
      <c r="M2357" s="2" t="s">
        <v>2526</v>
      </c>
    </row>
    <row r="2358" spans="1:13" x14ac:dyDescent="0.3">
      <c r="A2358" s="1">
        <v>45883</v>
      </c>
      <c r="B2358" s="2" t="s">
        <v>2642</v>
      </c>
      <c r="C2358" s="2" t="s">
        <v>2515</v>
      </c>
      <c r="D2358" s="2" t="s">
        <v>2528</v>
      </c>
      <c r="E2358" s="2" t="s">
        <v>2517</v>
      </c>
      <c r="F2358" s="3">
        <v>29530</v>
      </c>
      <c r="G2358" s="3">
        <v>278</v>
      </c>
      <c r="H2358" s="3">
        <v>6</v>
      </c>
      <c r="I2358" s="4">
        <v>33.97</v>
      </c>
      <c r="J2358" s="4">
        <v>1283.56</v>
      </c>
      <c r="K2358" s="3">
        <v>5</v>
      </c>
      <c r="L2358" s="2" t="s">
        <v>2518</v>
      </c>
      <c r="M2358" s="2" t="s">
        <v>2526</v>
      </c>
    </row>
    <row r="2359" spans="1:13" x14ac:dyDescent="0.3">
      <c r="A2359" s="1">
        <v>45891</v>
      </c>
      <c r="B2359" s="2" t="s">
        <v>2643</v>
      </c>
      <c r="C2359" s="2" t="s">
        <v>2533</v>
      </c>
      <c r="D2359" s="2" t="s">
        <v>2528</v>
      </c>
      <c r="E2359" s="2" t="s">
        <v>2529</v>
      </c>
      <c r="F2359" s="3">
        <v>72677</v>
      </c>
      <c r="G2359" s="3">
        <v>5047</v>
      </c>
      <c r="H2359" s="3">
        <v>118</v>
      </c>
      <c r="I2359" s="4">
        <v>5325.2</v>
      </c>
      <c r="J2359" s="4">
        <v>14030.83</v>
      </c>
      <c r="K2359" s="3">
        <v>72</v>
      </c>
      <c r="L2359" s="2" t="s">
        <v>2518</v>
      </c>
      <c r="M2359" s="2" t="s">
        <v>2524</v>
      </c>
    </row>
    <row r="2360" spans="1:13" x14ac:dyDescent="0.3">
      <c r="A2360" s="1">
        <v>45885</v>
      </c>
      <c r="B2360" s="2" t="s">
        <v>2644</v>
      </c>
      <c r="C2360" s="2" t="s">
        <v>2533</v>
      </c>
      <c r="D2360" s="2" t="s">
        <v>2531</v>
      </c>
      <c r="E2360" s="2" t="s">
        <v>2529</v>
      </c>
      <c r="F2360" s="3">
        <v>19451</v>
      </c>
      <c r="G2360" s="3">
        <v>1076</v>
      </c>
      <c r="H2360" s="3">
        <v>55</v>
      </c>
      <c r="I2360" s="4">
        <v>1782.7</v>
      </c>
      <c r="J2360" s="4">
        <v>10580.99</v>
      </c>
      <c r="K2360" s="3">
        <v>31</v>
      </c>
      <c r="L2360" s="2" t="s">
        <v>2518</v>
      </c>
      <c r="M2360" s="2" t="s">
        <v>2546</v>
      </c>
    </row>
    <row r="2361" spans="1:13" x14ac:dyDescent="0.3">
      <c r="A2361" s="1">
        <v>45815</v>
      </c>
      <c r="B2361" s="2" t="s">
        <v>2627</v>
      </c>
      <c r="C2361" s="2" t="s">
        <v>2521</v>
      </c>
      <c r="D2361" s="2" t="s">
        <v>2516</v>
      </c>
      <c r="E2361" s="2" t="s">
        <v>2517</v>
      </c>
      <c r="F2361" s="3">
        <v>24633</v>
      </c>
      <c r="G2361" s="3">
        <v>786</v>
      </c>
      <c r="H2361" s="3">
        <v>32</v>
      </c>
      <c r="I2361" s="4">
        <v>300.83</v>
      </c>
      <c r="J2361" s="4">
        <v>5931.67</v>
      </c>
      <c r="K2361" s="3">
        <v>22</v>
      </c>
      <c r="L2361" s="2" t="s">
        <v>2518</v>
      </c>
      <c r="M2361" s="2" t="s">
        <v>2524</v>
      </c>
    </row>
    <row r="2362" spans="1:13" x14ac:dyDescent="0.3">
      <c r="A2362" s="1">
        <v>45989</v>
      </c>
      <c r="B2362" s="2" t="s">
        <v>2639</v>
      </c>
      <c r="C2362" s="2" t="s">
        <v>2515</v>
      </c>
      <c r="D2362" s="2" t="s">
        <v>2525</v>
      </c>
      <c r="E2362" s="2" t="s">
        <v>2529</v>
      </c>
      <c r="F2362" s="3">
        <v>92803</v>
      </c>
      <c r="G2362" s="3">
        <v>7973</v>
      </c>
      <c r="H2362" s="3">
        <v>131</v>
      </c>
      <c r="I2362" s="4">
        <v>12099.2</v>
      </c>
      <c r="J2362" s="4">
        <v>4560.53</v>
      </c>
      <c r="K2362" s="3">
        <v>105</v>
      </c>
      <c r="L2362" s="2" t="s">
        <v>2518</v>
      </c>
      <c r="M2362" s="2" t="s">
        <v>2546</v>
      </c>
    </row>
    <row r="2363" spans="1:13" x14ac:dyDescent="0.3">
      <c r="A2363" s="1">
        <v>45869</v>
      </c>
      <c r="B2363" s="2" t="s">
        <v>2641</v>
      </c>
      <c r="C2363" s="2" t="s">
        <v>2515</v>
      </c>
      <c r="D2363" s="2" t="s">
        <v>2528</v>
      </c>
      <c r="E2363" s="2" t="s">
        <v>2534</v>
      </c>
      <c r="F2363" s="3">
        <v>19513</v>
      </c>
      <c r="G2363" s="3">
        <v>1215</v>
      </c>
      <c r="H2363" s="3">
        <v>62</v>
      </c>
      <c r="I2363" s="4">
        <v>1388.53</v>
      </c>
      <c r="J2363" s="4">
        <v>13062.47</v>
      </c>
      <c r="K2363" s="3">
        <v>29</v>
      </c>
      <c r="L2363" s="2" t="s">
        <v>2536</v>
      </c>
      <c r="M2363" s="2" t="s">
        <v>2519</v>
      </c>
    </row>
    <row r="2364" spans="1:13" x14ac:dyDescent="0.3">
      <c r="A2364" s="1">
        <v>45973</v>
      </c>
      <c r="B2364" s="2" t="s">
        <v>2633</v>
      </c>
      <c r="C2364" s="2" t="s">
        <v>2543</v>
      </c>
      <c r="D2364" s="2" t="s">
        <v>2528</v>
      </c>
      <c r="E2364" s="2" t="s">
        <v>2517</v>
      </c>
      <c r="F2364" s="3">
        <v>139870</v>
      </c>
      <c r="G2364" s="3">
        <v>6061</v>
      </c>
      <c r="H2364" s="3">
        <v>811</v>
      </c>
      <c r="I2364" s="4">
        <v>2823.88</v>
      </c>
      <c r="J2364" s="4">
        <v>134104.56</v>
      </c>
      <c r="K2364" s="3">
        <v>570</v>
      </c>
      <c r="L2364" s="2" t="s">
        <v>2536</v>
      </c>
      <c r="M2364" s="2" t="s">
        <v>2537</v>
      </c>
    </row>
    <row r="2365" spans="1:13" x14ac:dyDescent="0.3">
      <c r="A2365" s="1">
        <v>45682</v>
      </c>
      <c r="B2365" s="2" t="s">
        <v>2642</v>
      </c>
      <c r="C2365" s="2" t="s">
        <v>2527</v>
      </c>
      <c r="D2365" s="2" t="s">
        <v>2525</v>
      </c>
      <c r="E2365" s="2" t="s">
        <v>2517</v>
      </c>
      <c r="F2365" s="3">
        <v>104530</v>
      </c>
      <c r="G2365" s="3">
        <v>6590</v>
      </c>
      <c r="H2365" s="3">
        <v>474</v>
      </c>
      <c r="I2365" s="4">
        <v>7214.8</v>
      </c>
      <c r="J2365" s="4">
        <v>76628.23</v>
      </c>
      <c r="K2365" s="3">
        <v>384</v>
      </c>
      <c r="L2365" s="2" t="s">
        <v>2523</v>
      </c>
      <c r="M2365" s="2" t="s">
        <v>2526</v>
      </c>
    </row>
    <row r="2366" spans="1:13" x14ac:dyDescent="0.3">
      <c r="A2366" s="1">
        <v>45964</v>
      </c>
      <c r="B2366" s="2" t="s">
        <v>2618</v>
      </c>
      <c r="C2366" s="2" t="s">
        <v>2533</v>
      </c>
      <c r="D2366" s="2" t="s">
        <v>2528</v>
      </c>
      <c r="E2366" s="2" t="s">
        <v>2529</v>
      </c>
      <c r="F2366" s="3">
        <v>163979</v>
      </c>
      <c r="G2366" s="3">
        <v>10871</v>
      </c>
      <c r="H2366" s="3">
        <v>1045</v>
      </c>
      <c r="I2366" s="4">
        <v>14415.42</v>
      </c>
      <c r="J2366" s="4">
        <v>112137.65</v>
      </c>
      <c r="K2366" s="3">
        <v>841</v>
      </c>
      <c r="L2366" s="2" t="s">
        <v>2523</v>
      </c>
      <c r="M2366" s="2" t="s">
        <v>2526</v>
      </c>
    </row>
    <row r="2367" spans="1:13" x14ac:dyDescent="0.3">
      <c r="A2367" s="1">
        <v>45705</v>
      </c>
      <c r="B2367" s="2" t="s">
        <v>2641</v>
      </c>
      <c r="C2367" s="2" t="s">
        <v>2527</v>
      </c>
      <c r="D2367" s="2" t="s">
        <v>2525</v>
      </c>
      <c r="E2367" s="2" t="s">
        <v>2517</v>
      </c>
      <c r="F2367" s="3">
        <v>152420</v>
      </c>
      <c r="G2367" s="3">
        <v>2297</v>
      </c>
      <c r="H2367" s="3">
        <v>296</v>
      </c>
      <c r="I2367" s="4">
        <v>709.33</v>
      </c>
      <c r="J2367" s="4">
        <v>32651.22</v>
      </c>
      <c r="K2367" s="3">
        <v>266</v>
      </c>
      <c r="L2367" s="2" t="s">
        <v>2539</v>
      </c>
      <c r="M2367" s="2" t="s">
        <v>2524</v>
      </c>
    </row>
    <row r="2368" spans="1:13" x14ac:dyDescent="0.3">
      <c r="A2368" s="1">
        <v>45936</v>
      </c>
      <c r="B2368" s="2" t="s">
        <v>2630</v>
      </c>
      <c r="C2368" s="2" t="s">
        <v>2543</v>
      </c>
      <c r="D2368" s="2" t="s">
        <v>2528</v>
      </c>
      <c r="E2368" s="2" t="s">
        <v>2529</v>
      </c>
      <c r="F2368" s="3">
        <v>96797</v>
      </c>
      <c r="G2368" s="3">
        <v>2065</v>
      </c>
      <c r="H2368" s="3">
        <v>85</v>
      </c>
      <c r="I2368" s="4">
        <v>1378.3</v>
      </c>
      <c r="J2368" s="4">
        <v>2011.12</v>
      </c>
      <c r="K2368" s="3">
        <v>59</v>
      </c>
      <c r="L2368" s="2" t="s">
        <v>2536</v>
      </c>
      <c r="M2368" s="2" t="s">
        <v>2526</v>
      </c>
    </row>
    <row r="2369" spans="1:13" x14ac:dyDescent="0.3">
      <c r="A2369" s="1">
        <v>45875</v>
      </c>
      <c r="B2369" s="2" t="s">
        <v>2624</v>
      </c>
      <c r="C2369" s="2" t="s">
        <v>2527</v>
      </c>
      <c r="D2369" s="2" t="s">
        <v>2522</v>
      </c>
      <c r="E2369" s="2" t="s">
        <v>2529</v>
      </c>
      <c r="F2369" s="3">
        <v>150173</v>
      </c>
      <c r="G2369" s="3">
        <v>13170</v>
      </c>
      <c r="H2369" s="3">
        <v>88</v>
      </c>
      <c r="I2369" s="4">
        <v>23279.98</v>
      </c>
      <c r="J2369" s="4">
        <v>4308.62</v>
      </c>
      <c r="K2369" s="3">
        <v>61</v>
      </c>
      <c r="L2369" s="2" t="s">
        <v>2518</v>
      </c>
      <c r="M2369" s="2" t="s">
        <v>2519</v>
      </c>
    </row>
    <row r="2370" spans="1:13" x14ac:dyDescent="0.3">
      <c r="A2370" s="1">
        <v>45740</v>
      </c>
      <c r="B2370" s="2" t="s">
        <v>2633</v>
      </c>
      <c r="C2370" s="2" t="s">
        <v>2521</v>
      </c>
      <c r="D2370" s="2" t="s">
        <v>2522</v>
      </c>
      <c r="E2370" s="2" t="s">
        <v>2517</v>
      </c>
      <c r="F2370" s="3">
        <v>63088</v>
      </c>
      <c r="G2370" s="3">
        <v>4672</v>
      </c>
      <c r="H2370" s="3">
        <v>514</v>
      </c>
      <c r="I2370" s="4">
        <v>3053.46</v>
      </c>
      <c r="J2370" s="4">
        <v>81746.13</v>
      </c>
      <c r="K2370" s="3">
        <v>278</v>
      </c>
      <c r="L2370" s="2" t="s">
        <v>2523</v>
      </c>
      <c r="M2370" s="2" t="s">
        <v>2546</v>
      </c>
    </row>
    <row r="2371" spans="1:13" x14ac:dyDescent="0.3">
      <c r="A2371" s="1">
        <v>45808</v>
      </c>
      <c r="B2371" s="2" t="s">
        <v>2623</v>
      </c>
      <c r="C2371" s="2" t="s">
        <v>2541</v>
      </c>
      <c r="D2371" s="2" t="s">
        <v>2525</v>
      </c>
      <c r="E2371" s="2" t="s">
        <v>2517</v>
      </c>
      <c r="F2371" s="3">
        <v>50503</v>
      </c>
      <c r="G2371" s="3">
        <v>2701</v>
      </c>
      <c r="H2371" s="3">
        <v>210</v>
      </c>
      <c r="I2371" s="4">
        <v>319.08</v>
      </c>
      <c r="J2371" s="4">
        <v>21004.91</v>
      </c>
      <c r="K2371" s="3">
        <v>135</v>
      </c>
      <c r="L2371" s="2" t="s">
        <v>2539</v>
      </c>
      <c r="M2371" s="2" t="s">
        <v>2524</v>
      </c>
    </row>
    <row r="2372" spans="1:13" x14ac:dyDescent="0.3">
      <c r="A2372" s="1">
        <v>45939</v>
      </c>
      <c r="B2372" s="2" t="s">
        <v>2627</v>
      </c>
      <c r="C2372" s="2" t="s">
        <v>2543</v>
      </c>
      <c r="D2372" s="2" t="s">
        <v>2522</v>
      </c>
      <c r="E2372" s="2" t="s">
        <v>2529</v>
      </c>
      <c r="F2372" s="3">
        <v>171687</v>
      </c>
      <c r="G2372" s="3">
        <v>8541</v>
      </c>
      <c r="H2372" s="3">
        <v>344</v>
      </c>
      <c r="I2372" s="4">
        <v>10748.37</v>
      </c>
      <c r="J2372" s="4">
        <v>11884.79</v>
      </c>
      <c r="K2372" s="3">
        <v>233</v>
      </c>
      <c r="L2372" s="2" t="s">
        <v>2523</v>
      </c>
      <c r="M2372" s="2" t="s">
        <v>2537</v>
      </c>
    </row>
    <row r="2373" spans="1:13" x14ac:dyDescent="0.3">
      <c r="A2373" s="1">
        <v>45945</v>
      </c>
      <c r="B2373" s="2" t="s">
        <v>2616</v>
      </c>
      <c r="C2373" s="2" t="s">
        <v>2543</v>
      </c>
      <c r="D2373" s="2" t="s">
        <v>2531</v>
      </c>
      <c r="E2373" s="2" t="s">
        <v>2529</v>
      </c>
      <c r="F2373" s="3">
        <v>85382</v>
      </c>
      <c r="G2373" s="3">
        <v>4664</v>
      </c>
      <c r="H2373" s="3">
        <v>556</v>
      </c>
      <c r="I2373" s="4">
        <v>5962.18</v>
      </c>
      <c r="J2373" s="4">
        <v>83397.56</v>
      </c>
      <c r="K2373" s="3">
        <v>280</v>
      </c>
      <c r="L2373" s="2" t="s">
        <v>2523</v>
      </c>
      <c r="M2373" s="2" t="s">
        <v>2546</v>
      </c>
    </row>
    <row r="2374" spans="1:13" x14ac:dyDescent="0.3">
      <c r="A2374" s="1">
        <v>45998</v>
      </c>
      <c r="B2374" s="2" t="s">
        <v>2624</v>
      </c>
      <c r="C2374" s="2" t="s">
        <v>2541</v>
      </c>
      <c r="D2374" s="2" t="s">
        <v>2528</v>
      </c>
      <c r="E2374" s="2" t="s">
        <v>2534</v>
      </c>
      <c r="F2374" s="3">
        <v>99552</v>
      </c>
      <c r="G2374" s="3">
        <v>4854</v>
      </c>
      <c r="H2374" s="3">
        <v>88</v>
      </c>
      <c r="I2374" s="4">
        <v>3678.59</v>
      </c>
      <c r="J2374" s="4">
        <v>2313.58</v>
      </c>
      <c r="K2374" s="3">
        <v>56</v>
      </c>
      <c r="L2374" s="2" t="s">
        <v>2536</v>
      </c>
      <c r="M2374" s="2" t="s">
        <v>2546</v>
      </c>
    </row>
    <row r="2375" spans="1:13" x14ac:dyDescent="0.3">
      <c r="A2375" s="1">
        <v>45925</v>
      </c>
      <c r="B2375" s="2" t="s">
        <v>2615</v>
      </c>
      <c r="C2375" s="2" t="s">
        <v>2541</v>
      </c>
      <c r="D2375" s="2" t="s">
        <v>2528</v>
      </c>
      <c r="E2375" s="2" t="s">
        <v>2529</v>
      </c>
      <c r="F2375" s="3">
        <v>106069</v>
      </c>
      <c r="G2375" s="3">
        <v>3404</v>
      </c>
      <c r="H2375" s="3">
        <v>92</v>
      </c>
      <c r="I2375" s="4">
        <v>5410.79</v>
      </c>
      <c r="J2375" s="4">
        <v>17172.98</v>
      </c>
      <c r="K2375" s="3">
        <v>59</v>
      </c>
      <c r="L2375" s="2" t="s">
        <v>2536</v>
      </c>
      <c r="M2375" s="2" t="s">
        <v>2519</v>
      </c>
    </row>
    <row r="2376" spans="1:13" x14ac:dyDescent="0.3">
      <c r="A2376" s="1">
        <v>45697</v>
      </c>
      <c r="B2376" s="2" t="s">
        <v>2615</v>
      </c>
      <c r="C2376" s="2" t="s">
        <v>2543</v>
      </c>
      <c r="D2376" s="2" t="s">
        <v>2525</v>
      </c>
      <c r="E2376" s="2" t="s">
        <v>2517</v>
      </c>
      <c r="F2376" s="3">
        <v>28374</v>
      </c>
      <c r="G2376" s="3">
        <v>1867</v>
      </c>
      <c r="H2376" s="3">
        <v>52</v>
      </c>
      <c r="I2376" s="4">
        <v>3092.31</v>
      </c>
      <c r="J2376" s="4">
        <v>1647.67</v>
      </c>
      <c r="K2376" s="3">
        <v>28</v>
      </c>
      <c r="L2376" s="2" t="s">
        <v>2536</v>
      </c>
      <c r="M2376" s="2" t="s">
        <v>2526</v>
      </c>
    </row>
    <row r="2377" spans="1:13" x14ac:dyDescent="0.3">
      <c r="A2377" s="1">
        <v>45953</v>
      </c>
      <c r="B2377" s="2" t="s">
        <v>2619</v>
      </c>
      <c r="C2377" s="2" t="s">
        <v>2533</v>
      </c>
      <c r="D2377" s="2" t="s">
        <v>2525</v>
      </c>
      <c r="E2377" s="2" t="s">
        <v>2529</v>
      </c>
      <c r="F2377" s="3">
        <v>1214</v>
      </c>
      <c r="G2377" s="3">
        <v>49</v>
      </c>
      <c r="H2377" s="3">
        <v>2</v>
      </c>
      <c r="I2377" s="4">
        <v>50.07</v>
      </c>
      <c r="J2377" s="4">
        <v>252.03</v>
      </c>
      <c r="K2377" s="3">
        <v>1</v>
      </c>
      <c r="L2377" s="2" t="s">
        <v>2539</v>
      </c>
      <c r="M2377" s="2" t="s">
        <v>2526</v>
      </c>
    </row>
    <row r="2378" spans="1:13" x14ac:dyDescent="0.3">
      <c r="A2378" s="1">
        <v>45669</v>
      </c>
      <c r="B2378" s="2" t="s">
        <v>2615</v>
      </c>
      <c r="C2378" s="2" t="s">
        <v>2515</v>
      </c>
      <c r="D2378" s="2" t="s">
        <v>2528</v>
      </c>
      <c r="E2378" s="2" t="s">
        <v>2529</v>
      </c>
      <c r="F2378" s="3">
        <v>102229</v>
      </c>
      <c r="G2378" s="3">
        <v>8025</v>
      </c>
      <c r="H2378" s="3">
        <v>1062</v>
      </c>
      <c r="I2378" s="4">
        <v>14604.59</v>
      </c>
      <c r="J2378" s="4">
        <v>178659.09</v>
      </c>
      <c r="K2378" s="3">
        <v>827</v>
      </c>
      <c r="L2378" s="2" t="s">
        <v>2523</v>
      </c>
      <c r="M2378" s="2" t="s">
        <v>2546</v>
      </c>
    </row>
    <row r="2379" spans="1:13" x14ac:dyDescent="0.3">
      <c r="A2379" s="1">
        <v>45722</v>
      </c>
      <c r="B2379" s="2" t="s">
        <v>2617</v>
      </c>
      <c r="C2379" s="2" t="s">
        <v>2543</v>
      </c>
      <c r="D2379" s="2" t="s">
        <v>2528</v>
      </c>
      <c r="E2379" s="2" t="s">
        <v>2517</v>
      </c>
      <c r="F2379" s="3">
        <v>126631</v>
      </c>
      <c r="G2379" s="3">
        <v>8670</v>
      </c>
      <c r="H2379" s="3">
        <v>820</v>
      </c>
      <c r="I2379" s="4">
        <v>17713.2</v>
      </c>
      <c r="J2379" s="4">
        <v>92482.89</v>
      </c>
      <c r="K2379" s="3">
        <v>587</v>
      </c>
      <c r="L2379" s="2" t="s">
        <v>2539</v>
      </c>
      <c r="M2379" s="2" t="s">
        <v>2537</v>
      </c>
    </row>
    <row r="2380" spans="1:13" x14ac:dyDescent="0.3">
      <c r="A2380" s="1">
        <v>46022</v>
      </c>
      <c r="B2380" s="2" t="s">
        <v>2631</v>
      </c>
      <c r="C2380" s="2" t="s">
        <v>2521</v>
      </c>
      <c r="D2380" s="2" t="s">
        <v>2525</v>
      </c>
      <c r="E2380" s="2" t="s">
        <v>2517</v>
      </c>
      <c r="F2380" s="3">
        <v>114197</v>
      </c>
      <c r="G2380" s="3">
        <v>3885</v>
      </c>
      <c r="H2380" s="3">
        <v>431</v>
      </c>
      <c r="I2380" s="4">
        <v>7387.11</v>
      </c>
      <c r="J2380" s="4">
        <v>69183.62</v>
      </c>
      <c r="K2380" s="3">
        <v>198</v>
      </c>
      <c r="L2380" s="2" t="s">
        <v>2536</v>
      </c>
      <c r="M2380" s="2" t="s">
        <v>2526</v>
      </c>
    </row>
    <row r="2381" spans="1:13" x14ac:dyDescent="0.3">
      <c r="A2381" s="1">
        <v>46021</v>
      </c>
      <c r="B2381" s="2" t="s">
        <v>2622</v>
      </c>
      <c r="C2381" s="2" t="s">
        <v>2527</v>
      </c>
      <c r="D2381" s="2" t="s">
        <v>2528</v>
      </c>
      <c r="E2381" s="2" t="s">
        <v>2529</v>
      </c>
      <c r="F2381" s="3">
        <v>15873</v>
      </c>
      <c r="G2381" s="3">
        <v>680</v>
      </c>
      <c r="H2381" s="3">
        <v>32</v>
      </c>
      <c r="I2381" s="4">
        <v>252.96</v>
      </c>
      <c r="J2381" s="4">
        <v>4901.2299999999996</v>
      </c>
      <c r="K2381" s="3">
        <v>17</v>
      </c>
      <c r="L2381" s="2" t="s">
        <v>2518</v>
      </c>
      <c r="M2381" s="2" t="s">
        <v>2519</v>
      </c>
    </row>
    <row r="2382" spans="1:13" x14ac:dyDescent="0.3">
      <c r="A2382" s="1">
        <v>45847</v>
      </c>
      <c r="B2382" s="2" t="s">
        <v>2633</v>
      </c>
      <c r="C2382" s="2" t="s">
        <v>2541</v>
      </c>
      <c r="D2382" s="2" t="s">
        <v>2528</v>
      </c>
      <c r="E2382" s="2" t="s">
        <v>2534</v>
      </c>
      <c r="F2382" s="3">
        <v>158168</v>
      </c>
      <c r="G2382" s="3">
        <v>13117</v>
      </c>
      <c r="H2382" s="3">
        <v>204</v>
      </c>
      <c r="I2382" s="4">
        <v>18104.75</v>
      </c>
      <c r="J2382" s="4">
        <v>28768.66</v>
      </c>
      <c r="K2382" s="3">
        <v>135</v>
      </c>
      <c r="L2382" s="2" t="s">
        <v>2518</v>
      </c>
      <c r="M2382" s="2" t="s">
        <v>2519</v>
      </c>
    </row>
    <row r="2383" spans="1:13" x14ac:dyDescent="0.3">
      <c r="A2383" s="1">
        <v>45679</v>
      </c>
      <c r="B2383" s="2" t="s">
        <v>2637</v>
      </c>
      <c r="C2383" s="2" t="s">
        <v>2527</v>
      </c>
      <c r="D2383" s="2" t="s">
        <v>2531</v>
      </c>
      <c r="E2383" s="2" t="s">
        <v>2529</v>
      </c>
      <c r="F2383" s="3">
        <v>42981</v>
      </c>
      <c r="G2383" s="3">
        <v>2902</v>
      </c>
      <c r="H2383" s="3">
        <v>285</v>
      </c>
      <c r="I2383" s="4">
        <v>5485.4</v>
      </c>
      <c r="J2383" s="4">
        <v>57117.3</v>
      </c>
      <c r="K2383" s="3">
        <v>212</v>
      </c>
      <c r="L2383" s="2" t="s">
        <v>2523</v>
      </c>
      <c r="M2383" s="2" t="s">
        <v>2537</v>
      </c>
    </row>
    <row r="2384" spans="1:13" x14ac:dyDescent="0.3">
      <c r="A2384" s="1">
        <v>45811</v>
      </c>
      <c r="B2384" s="2" t="s">
        <v>2624</v>
      </c>
      <c r="C2384" s="2" t="s">
        <v>2515</v>
      </c>
      <c r="D2384" s="2" t="s">
        <v>2528</v>
      </c>
      <c r="E2384" s="2" t="s">
        <v>2517</v>
      </c>
      <c r="F2384" s="3">
        <v>31010</v>
      </c>
      <c r="G2384" s="3">
        <v>1913</v>
      </c>
      <c r="H2384" s="3">
        <v>91</v>
      </c>
      <c r="I2384" s="4">
        <v>1889.37</v>
      </c>
      <c r="J2384" s="4">
        <v>4677.63</v>
      </c>
      <c r="K2384" s="3">
        <v>44</v>
      </c>
      <c r="L2384" s="2" t="s">
        <v>2536</v>
      </c>
      <c r="M2384" s="2" t="s">
        <v>2524</v>
      </c>
    </row>
    <row r="2385" spans="1:13" x14ac:dyDescent="0.3">
      <c r="A2385" s="1">
        <v>45838</v>
      </c>
      <c r="B2385" s="2" t="s">
        <v>2618</v>
      </c>
      <c r="C2385" s="2" t="s">
        <v>2533</v>
      </c>
      <c r="D2385" s="2" t="s">
        <v>2528</v>
      </c>
      <c r="E2385" s="2" t="s">
        <v>2517</v>
      </c>
      <c r="F2385" s="3">
        <v>112192</v>
      </c>
      <c r="G2385" s="3">
        <v>5964</v>
      </c>
      <c r="H2385" s="3">
        <v>826</v>
      </c>
      <c r="I2385" s="4">
        <v>5272.56</v>
      </c>
      <c r="J2385" s="4">
        <v>103278.97</v>
      </c>
      <c r="K2385" s="3">
        <v>615</v>
      </c>
      <c r="L2385" s="2" t="s">
        <v>2536</v>
      </c>
      <c r="M2385" s="2" t="s">
        <v>2526</v>
      </c>
    </row>
    <row r="2386" spans="1:13" x14ac:dyDescent="0.3">
      <c r="A2386" s="1">
        <v>45842</v>
      </c>
      <c r="B2386" s="2" t="s">
        <v>2640</v>
      </c>
      <c r="C2386" s="2" t="s">
        <v>2527</v>
      </c>
      <c r="D2386" s="2" t="s">
        <v>2528</v>
      </c>
      <c r="E2386" s="2" t="s">
        <v>2529</v>
      </c>
      <c r="F2386" s="3">
        <v>116672</v>
      </c>
      <c r="G2386" s="3">
        <v>2178</v>
      </c>
      <c r="H2386" s="3">
        <v>296</v>
      </c>
      <c r="I2386" s="4">
        <v>3104.95</v>
      </c>
      <c r="J2386" s="4">
        <v>35826.36</v>
      </c>
      <c r="K2386" s="3">
        <v>175</v>
      </c>
      <c r="L2386" s="2" t="s">
        <v>2523</v>
      </c>
      <c r="M2386" s="2" t="s">
        <v>2526</v>
      </c>
    </row>
    <row r="2387" spans="1:13" x14ac:dyDescent="0.3">
      <c r="A2387" s="1">
        <v>45771</v>
      </c>
      <c r="B2387" s="2" t="s">
        <v>2637</v>
      </c>
      <c r="C2387" s="2" t="s">
        <v>2543</v>
      </c>
      <c r="D2387" s="2" t="s">
        <v>2516</v>
      </c>
      <c r="E2387" s="2" t="s">
        <v>2534</v>
      </c>
      <c r="F2387" s="3">
        <v>165271</v>
      </c>
      <c r="G2387" s="3">
        <v>10161</v>
      </c>
      <c r="H2387" s="3">
        <v>750</v>
      </c>
      <c r="I2387" s="4">
        <v>2116.5500000000002</v>
      </c>
      <c r="J2387" s="4">
        <v>139746.29</v>
      </c>
      <c r="K2387" s="3">
        <v>382</v>
      </c>
      <c r="L2387" s="2" t="s">
        <v>2518</v>
      </c>
      <c r="M2387" s="2" t="s">
        <v>2524</v>
      </c>
    </row>
    <row r="2388" spans="1:13" x14ac:dyDescent="0.3">
      <c r="A2388" s="1">
        <v>45876</v>
      </c>
      <c r="B2388" s="2" t="s">
        <v>2635</v>
      </c>
      <c r="C2388" s="2" t="s">
        <v>2515</v>
      </c>
      <c r="D2388" s="2" t="s">
        <v>2522</v>
      </c>
      <c r="E2388" s="2" t="s">
        <v>2517</v>
      </c>
      <c r="F2388" s="3">
        <v>115744</v>
      </c>
      <c r="G2388" s="3">
        <v>8313</v>
      </c>
      <c r="H2388" s="3">
        <v>181</v>
      </c>
      <c r="I2388" s="4">
        <v>14193.28</v>
      </c>
      <c r="J2388" s="4">
        <v>19562.96</v>
      </c>
      <c r="K2388" s="3">
        <v>130</v>
      </c>
      <c r="L2388" s="2" t="s">
        <v>2518</v>
      </c>
      <c r="M2388" s="2" t="s">
        <v>2546</v>
      </c>
    </row>
    <row r="2389" spans="1:13" x14ac:dyDescent="0.3">
      <c r="A2389" s="1">
        <v>45966</v>
      </c>
      <c r="B2389" s="2" t="s">
        <v>2639</v>
      </c>
      <c r="C2389" s="2" t="s">
        <v>2533</v>
      </c>
      <c r="D2389" s="2" t="s">
        <v>2528</v>
      </c>
      <c r="E2389" s="2" t="s">
        <v>2529</v>
      </c>
      <c r="F2389" s="3">
        <v>10681</v>
      </c>
      <c r="G2389" s="3">
        <v>675</v>
      </c>
      <c r="H2389" s="3">
        <v>4</v>
      </c>
      <c r="I2389" s="4">
        <v>886.65</v>
      </c>
      <c r="J2389" s="4">
        <v>87.15</v>
      </c>
      <c r="K2389" s="3">
        <v>2</v>
      </c>
      <c r="L2389" s="2" t="s">
        <v>2539</v>
      </c>
      <c r="M2389" s="2" t="s">
        <v>2519</v>
      </c>
    </row>
    <row r="2390" spans="1:13" x14ac:dyDescent="0.3">
      <c r="A2390" s="1">
        <v>45982</v>
      </c>
      <c r="B2390" s="2" t="s">
        <v>2620</v>
      </c>
      <c r="C2390" s="2" t="s">
        <v>2541</v>
      </c>
      <c r="D2390" s="2" t="s">
        <v>2531</v>
      </c>
      <c r="E2390" s="2" t="s">
        <v>2529</v>
      </c>
      <c r="F2390" s="3">
        <v>96331</v>
      </c>
      <c r="G2390" s="3">
        <v>6941</v>
      </c>
      <c r="H2390" s="3">
        <v>654</v>
      </c>
      <c r="I2390" s="4">
        <v>13110.14</v>
      </c>
      <c r="J2390" s="4">
        <v>97813.35</v>
      </c>
      <c r="K2390" s="3">
        <v>493</v>
      </c>
      <c r="L2390" s="2" t="s">
        <v>2536</v>
      </c>
      <c r="M2390" s="2" t="s">
        <v>2524</v>
      </c>
    </row>
    <row r="2391" spans="1:13" x14ac:dyDescent="0.3">
      <c r="A2391" s="1">
        <v>45959</v>
      </c>
      <c r="B2391" s="2" t="s">
        <v>2628</v>
      </c>
      <c r="C2391" s="2" t="s">
        <v>2527</v>
      </c>
      <c r="D2391" s="2" t="s">
        <v>2528</v>
      </c>
      <c r="E2391" s="2" t="s">
        <v>2529</v>
      </c>
      <c r="F2391" s="3">
        <v>66727</v>
      </c>
      <c r="G2391" s="3">
        <v>4522</v>
      </c>
      <c r="H2391" s="3">
        <v>528</v>
      </c>
      <c r="I2391" s="4">
        <v>5185.99</v>
      </c>
      <c r="J2391" s="4">
        <v>86182.75</v>
      </c>
      <c r="K2391" s="3">
        <v>472</v>
      </c>
      <c r="L2391" s="2" t="s">
        <v>2523</v>
      </c>
      <c r="M2391" s="2" t="s">
        <v>2537</v>
      </c>
    </row>
    <row r="2392" spans="1:13" x14ac:dyDescent="0.3">
      <c r="A2392" s="1">
        <v>45926</v>
      </c>
      <c r="B2392" s="2" t="s">
        <v>2630</v>
      </c>
      <c r="C2392" s="2" t="s">
        <v>2515</v>
      </c>
      <c r="D2392" s="2" t="s">
        <v>2528</v>
      </c>
      <c r="E2392" s="2" t="s">
        <v>2529</v>
      </c>
      <c r="F2392" s="3">
        <v>158490</v>
      </c>
      <c r="G2392" s="3">
        <v>6871</v>
      </c>
      <c r="H2392" s="3">
        <v>489</v>
      </c>
      <c r="I2392" s="4">
        <v>13818.64</v>
      </c>
      <c r="J2392" s="4">
        <v>85169.09</v>
      </c>
      <c r="K2392" s="3">
        <v>301</v>
      </c>
      <c r="L2392" s="2" t="s">
        <v>2518</v>
      </c>
      <c r="M2392" s="2" t="s">
        <v>2546</v>
      </c>
    </row>
    <row r="2393" spans="1:13" x14ac:dyDescent="0.3">
      <c r="A2393" s="1">
        <v>45784</v>
      </c>
      <c r="B2393" s="2" t="s">
        <v>2641</v>
      </c>
      <c r="C2393" s="2" t="s">
        <v>2521</v>
      </c>
      <c r="D2393" s="2" t="s">
        <v>2516</v>
      </c>
      <c r="E2393" s="2" t="s">
        <v>2529</v>
      </c>
      <c r="F2393" s="3">
        <v>150094</v>
      </c>
      <c r="G2393" s="3">
        <v>5387</v>
      </c>
      <c r="H2393" s="3">
        <v>545</v>
      </c>
      <c r="I2393" s="4">
        <v>5335.04</v>
      </c>
      <c r="J2393" s="4">
        <v>8683.6200000000008</v>
      </c>
      <c r="K2393" s="3">
        <v>430</v>
      </c>
      <c r="L2393" s="2" t="s">
        <v>2539</v>
      </c>
      <c r="M2393" s="2" t="s">
        <v>2537</v>
      </c>
    </row>
    <row r="2394" spans="1:13" x14ac:dyDescent="0.3">
      <c r="A2394" s="1">
        <v>45856</v>
      </c>
      <c r="B2394" s="2" t="s">
        <v>2624</v>
      </c>
      <c r="C2394" s="2" t="s">
        <v>2521</v>
      </c>
      <c r="D2394" s="2" t="s">
        <v>2525</v>
      </c>
      <c r="E2394" s="2" t="s">
        <v>2517</v>
      </c>
      <c r="F2394" s="3">
        <v>153211</v>
      </c>
      <c r="G2394" s="3">
        <v>11578</v>
      </c>
      <c r="H2394" s="3">
        <v>965</v>
      </c>
      <c r="I2394" s="4">
        <v>9650.1299999999992</v>
      </c>
      <c r="J2394" s="4">
        <v>184088.59</v>
      </c>
      <c r="K2394" s="3">
        <v>570</v>
      </c>
      <c r="L2394" s="2" t="s">
        <v>2518</v>
      </c>
      <c r="M2394" s="2" t="s">
        <v>2546</v>
      </c>
    </row>
    <row r="2395" spans="1:13" x14ac:dyDescent="0.3">
      <c r="A2395" s="1">
        <v>45943</v>
      </c>
      <c r="B2395" s="2" t="s">
        <v>2627</v>
      </c>
      <c r="C2395" s="2" t="s">
        <v>2541</v>
      </c>
      <c r="D2395" s="2" t="s">
        <v>2525</v>
      </c>
      <c r="E2395" s="2" t="s">
        <v>2517</v>
      </c>
      <c r="F2395" s="3">
        <v>135463</v>
      </c>
      <c r="G2395" s="3">
        <v>3593</v>
      </c>
      <c r="H2395" s="3">
        <v>480</v>
      </c>
      <c r="I2395" s="4">
        <v>1114.5999999999999</v>
      </c>
      <c r="J2395" s="4">
        <v>11042.63</v>
      </c>
      <c r="K2395" s="3">
        <v>283</v>
      </c>
      <c r="L2395" s="2" t="s">
        <v>2523</v>
      </c>
      <c r="M2395" s="2" t="s">
        <v>2524</v>
      </c>
    </row>
    <row r="2396" spans="1:13" x14ac:dyDescent="0.3">
      <c r="A2396" s="1">
        <v>45906</v>
      </c>
      <c r="B2396" s="2" t="s">
        <v>2629</v>
      </c>
      <c r="C2396" s="2" t="s">
        <v>2533</v>
      </c>
      <c r="D2396" s="2" t="s">
        <v>2531</v>
      </c>
      <c r="E2396" s="2" t="s">
        <v>2517</v>
      </c>
      <c r="F2396" s="3">
        <v>140126</v>
      </c>
      <c r="G2396" s="3">
        <v>11011</v>
      </c>
      <c r="H2396" s="3">
        <v>1056</v>
      </c>
      <c r="I2396" s="4">
        <v>5021.1000000000004</v>
      </c>
      <c r="J2396" s="4">
        <v>153046.67000000001</v>
      </c>
      <c r="K2396" s="3">
        <v>515</v>
      </c>
      <c r="L2396" s="2" t="s">
        <v>2518</v>
      </c>
      <c r="M2396" s="2" t="s">
        <v>2537</v>
      </c>
    </row>
    <row r="2397" spans="1:13" x14ac:dyDescent="0.3">
      <c r="A2397" s="1">
        <v>45724</v>
      </c>
      <c r="B2397" s="2" t="s">
        <v>2641</v>
      </c>
      <c r="C2397" s="2" t="s">
        <v>2515</v>
      </c>
      <c r="D2397" s="2" t="s">
        <v>2528</v>
      </c>
      <c r="E2397" s="2" t="s">
        <v>2529</v>
      </c>
      <c r="F2397" s="3">
        <v>67832</v>
      </c>
      <c r="G2397" s="3">
        <v>1516</v>
      </c>
      <c r="H2397" s="3">
        <v>87</v>
      </c>
      <c r="I2397" s="4">
        <v>448.12</v>
      </c>
      <c r="J2397" s="4">
        <v>5421.27</v>
      </c>
      <c r="K2397" s="3">
        <v>44</v>
      </c>
      <c r="L2397" s="2" t="s">
        <v>2539</v>
      </c>
      <c r="M2397" s="2" t="s">
        <v>2519</v>
      </c>
    </row>
    <row r="2398" spans="1:13" x14ac:dyDescent="0.3">
      <c r="A2398" s="1">
        <v>45910</v>
      </c>
      <c r="B2398" s="2" t="s">
        <v>2617</v>
      </c>
      <c r="C2398" s="2" t="s">
        <v>2521</v>
      </c>
      <c r="D2398" s="2" t="s">
        <v>2525</v>
      </c>
      <c r="E2398" s="2" t="s">
        <v>2517</v>
      </c>
      <c r="F2398" s="3">
        <v>54132</v>
      </c>
      <c r="G2398" s="3">
        <v>4759</v>
      </c>
      <c r="H2398" s="3">
        <v>236</v>
      </c>
      <c r="I2398" s="4">
        <v>2053.7600000000002</v>
      </c>
      <c r="J2398" s="4">
        <v>42766.28</v>
      </c>
      <c r="K2398" s="3">
        <v>149</v>
      </c>
      <c r="L2398" s="2" t="s">
        <v>2523</v>
      </c>
      <c r="M2398" s="2" t="s">
        <v>2524</v>
      </c>
    </row>
    <row r="2399" spans="1:13" x14ac:dyDescent="0.3">
      <c r="A2399" s="1">
        <v>45716</v>
      </c>
      <c r="B2399" s="2" t="s">
        <v>2631</v>
      </c>
      <c r="C2399" s="2" t="s">
        <v>2541</v>
      </c>
      <c r="D2399" s="2" t="s">
        <v>2528</v>
      </c>
      <c r="E2399" s="2" t="s">
        <v>2517</v>
      </c>
      <c r="F2399" s="3">
        <v>159021</v>
      </c>
      <c r="G2399" s="3">
        <v>6363</v>
      </c>
      <c r="H2399" s="3">
        <v>797</v>
      </c>
      <c r="I2399" s="4">
        <v>10746.17</v>
      </c>
      <c r="J2399" s="4">
        <v>59554.29</v>
      </c>
      <c r="K2399" s="3">
        <v>650</v>
      </c>
      <c r="L2399" s="2" t="s">
        <v>2518</v>
      </c>
      <c r="M2399" s="2" t="s">
        <v>2537</v>
      </c>
    </row>
    <row r="2400" spans="1:13" x14ac:dyDescent="0.3">
      <c r="A2400" s="1">
        <v>45723</v>
      </c>
      <c r="B2400" s="2" t="s">
        <v>2625</v>
      </c>
      <c r="C2400" s="2" t="s">
        <v>2521</v>
      </c>
      <c r="D2400" s="2" t="s">
        <v>2525</v>
      </c>
      <c r="E2400" s="2" t="s">
        <v>2517</v>
      </c>
      <c r="F2400" s="3">
        <v>172334</v>
      </c>
      <c r="G2400" s="3">
        <v>11933</v>
      </c>
      <c r="H2400" s="3">
        <v>865</v>
      </c>
      <c r="I2400" s="4">
        <v>16565.84</v>
      </c>
      <c r="J2400" s="4">
        <v>22770.37</v>
      </c>
      <c r="K2400" s="3">
        <v>532</v>
      </c>
      <c r="L2400" s="2" t="s">
        <v>2518</v>
      </c>
      <c r="M2400" s="2" t="s">
        <v>2526</v>
      </c>
    </row>
    <row r="2401" spans="1:13" x14ac:dyDescent="0.3">
      <c r="A2401" s="1">
        <v>45837</v>
      </c>
      <c r="B2401" s="2" t="s">
        <v>2642</v>
      </c>
      <c r="C2401" s="2" t="s">
        <v>2515</v>
      </c>
      <c r="D2401" s="2" t="s">
        <v>2522</v>
      </c>
      <c r="E2401" s="2" t="s">
        <v>2529</v>
      </c>
      <c r="F2401" s="3">
        <v>159170</v>
      </c>
      <c r="G2401" s="3">
        <v>13780</v>
      </c>
      <c r="H2401" s="3">
        <v>89</v>
      </c>
      <c r="I2401" s="4">
        <v>12935.9</v>
      </c>
      <c r="J2401" s="4">
        <v>9498.49</v>
      </c>
      <c r="K2401" s="3">
        <v>51</v>
      </c>
      <c r="L2401" s="2" t="s">
        <v>2523</v>
      </c>
      <c r="M2401" s="2" t="s">
        <v>2526</v>
      </c>
    </row>
    <row r="2402" spans="1:13" x14ac:dyDescent="0.3">
      <c r="A2402" s="1">
        <v>45847</v>
      </c>
      <c r="B2402" s="2" t="s">
        <v>2641</v>
      </c>
      <c r="C2402" s="2" t="s">
        <v>2541</v>
      </c>
      <c r="D2402" s="2" t="s">
        <v>2531</v>
      </c>
      <c r="E2402" s="2" t="s">
        <v>2529</v>
      </c>
      <c r="F2402" s="3">
        <v>36139</v>
      </c>
      <c r="G2402" s="3">
        <v>1076</v>
      </c>
      <c r="H2402" s="3">
        <v>102</v>
      </c>
      <c r="I2402" s="4">
        <v>1871.09</v>
      </c>
      <c r="J2402" s="4">
        <v>22056</v>
      </c>
      <c r="K2402" s="3">
        <v>70</v>
      </c>
      <c r="L2402" s="2" t="s">
        <v>2518</v>
      </c>
      <c r="M2402" s="2" t="s">
        <v>2526</v>
      </c>
    </row>
    <row r="2403" spans="1:13" x14ac:dyDescent="0.3">
      <c r="A2403" s="1">
        <v>45835</v>
      </c>
      <c r="B2403" s="2" t="s">
        <v>2629</v>
      </c>
      <c r="C2403" s="2" t="s">
        <v>2515</v>
      </c>
      <c r="D2403" s="2" t="s">
        <v>2528</v>
      </c>
      <c r="E2403" s="2" t="s">
        <v>2529</v>
      </c>
      <c r="F2403" s="3">
        <v>141083</v>
      </c>
      <c r="G2403" s="3">
        <v>3457</v>
      </c>
      <c r="H2403" s="3">
        <v>80</v>
      </c>
      <c r="I2403" s="4">
        <v>1030.1300000000001</v>
      </c>
      <c r="J2403" s="4">
        <v>1990.29</v>
      </c>
      <c r="K2403" s="3">
        <v>50</v>
      </c>
      <c r="L2403" s="2" t="s">
        <v>2523</v>
      </c>
      <c r="M2403" s="2" t="s">
        <v>2524</v>
      </c>
    </row>
    <row r="2404" spans="1:13" x14ac:dyDescent="0.3">
      <c r="A2404" s="1">
        <v>45865</v>
      </c>
      <c r="B2404" s="2" t="s">
        <v>2630</v>
      </c>
      <c r="C2404" s="2" t="s">
        <v>2515</v>
      </c>
      <c r="D2404" s="2" t="s">
        <v>2516</v>
      </c>
      <c r="E2404" s="2" t="s">
        <v>2529</v>
      </c>
      <c r="F2404" s="3">
        <v>22975</v>
      </c>
      <c r="G2404" s="3">
        <v>1068</v>
      </c>
      <c r="H2404" s="3">
        <v>79</v>
      </c>
      <c r="I2404" s="4">
        <v>595.24</v>
      </c>
      <c r="J2404" s="4">
        <v>16489.900000000001</v>
      </c>
      <c r="K2404" s="3">
        <v>49</v>
      </c>
      <c r="L2404" s="2" t="s">
        <v>2518</v>
      </c>
      <c r="M2404" s="2" t="s">
        <v>2537</v>
      </c>
    </row>
    <row r="2405" spans="1:13" x14ac:dyDescent="0.3">
      <c r="A2405" s="1">
        <v>45738</v>
      </c>
      <c r="B2405" s="2" t="s">
        <v>2630</v>
      </c>
      <c r="C2405" s="2" t="s">
        <v>2533</v>
      </c>
      <c r="D2405" s="2" t="s">
        <v>2528</v>
      </c>
      <c r="E2405" s="2" t="s">
        <v>2529</v>
      </c>
      <c r="F2405" s="3">
        <v>100611</v>
      </c>
      <c r="G2405" s="3">
        <v>1676</v>
      </c>
      <c r="H2405" s="3">
        <v>34</v>
      </c>
      <c r="I2405" s="4">
        <v>614.26</v>
      </c>
      <c r="J2405" s="4">
        <v>1240.72</v>
      </c>
      <c r="K2405" s="3">
        <v>29</v>
      </c>
      <c r="L2405" s="2" t="s">
        <v>2539</v>
      </c>
      <c r="M2405" s="2" t="s">
        <v>2537</v>
      </c>
    </row>
    <row r="2406" spans="1:13" x14ac:dyDescent="0.3">
      <c r="A2406" s="1">
        <v>45870</v>
      </c>
      <c r="B2406" s="2" t="s">
        <v>2624</v>
      </c>
      <c r="C2406" s="2" t="s">
        <v>2533</v>
      </c>
      <c r="D2406" s="2" t="s">
        <v>2528</v>
      </c>
      <c r="E2406" s="2" t="s">
        <v>2529</v>
      </c>
      <c r="F2406" s="3">
        <v>152141</v>
      </c>
      <c r="G2406" s="3">
        <v>11790</v>
      </c>
      <c r="H2406" s="3">
        <v>1271</v>
      </c>
      <c r="I2406" s="4">
        <v>1659.98</v>
      </c>
      <c r="J2406" s="4">
        <v>120772.99</v>
      </c>
      <c r="K2406" s="3">
        <v>944</v>
      </c>
      <c r="L2406" s="2" t="s">
        <v>2523</v>
      </c>
      <c r="M2406" s="2" t="s">
        <v>2546</v>
      </c>
    </row>
    <row r="2407" spans="1:13" x14ac:dyDescent="0.3">
      <c r="A2407" s="1">
        <v>45815</v>
      </c>
      <c r="B2407" s="2" t="s">
        <v>2635</v>
      </c>
      <c r="C2407" s="2" t="s">
        <v>2515</v>
      </c>
      <c r="D2407" s="2" t="s">
        <v>2528</v>
      </c>
      <c r="E2407" s="2" t="s">
        <v>2517</v>
      </c>
      <c r="F2407" s="3">
        <v>54026</v>
      </c>
      <c r="G2407" s="3">
        <v>4736</v>
      </c>
      <c r="H2407" s="3">
        <v>184</v>
      </c>
      <c r="I2407" s="4">
        <v>9548.18</v>
      </c>
      <c r="J2407" s="4">
        <v>30139.31</v>
      </c>
      <c r="K2407" s="3">
        <v>85</v>
      </c>
      <c r="L2407" s="2" t="s">
        <v>2523</v>
      </c>
      <c r="M2407" s="2" t="s">
        <v>2519</v>
      </c>
    </row>
    <row r="2408" spans="1:13" x14ac:dyDescent="0.3">
      <c r="A2408" s="1">
        <v>45678</v>
      </c>
      <c r="B2408" s="2" t="s">
        <v>2633</v>
      </c>
      <c r="C2408" s="2" t="s">
        <v>2543</v>
      </c>
      <c r="D2408" s="2" t="s">
        <v>2531</v>
      </c>
      <c r="E2408" s="2" t="s">
        <v>2529</v>
      </c>
      <c r="F2408" s="3">
        <v>49736</v>
      </c>
      <c r="G2408" s="3">
        <v>787</v>
      </c>
      <c r="H2408" s="3">
        <v>16</v>
      </c>
      <c r="I2408" s="4">
        <v>1254.3</v>
      </c>
      <c r="J2408" s="4">
        <v>2345.4299999999998</v>
      </c>
      <c r="K2408" s="3">
        <v>7</v>
      </c>
      <c r="L2408" s="2" t="s">
        <v>2518</v>
      </c>
      <c r="M2408" s="2" t="s">
        <v>2524</v>
      </c>
    </row>
    <row r="2409" spans="1:13" x14ac:dyDescent="0.3">
      <c r="A2409" s="1">
        <v>45760</v>
      </c>
      <c r="B2409" s="2" t="s">
        <v>2644</v>
      </c>
      <c r="C2409" s="2" t="s">
        <v>2521</v>
      </c>
      <c r="D2409" s="2" t="s">
        <v>2525</v>
      </c>
      <c r="E2409" s="2" t="s">
        <v>2529</v>
      </c>
      <c r="F2409" s="3">
        <v>80964</v>
      </c>
      <c r="G2409" s="3">
        <v>6340</v>
      </c>
      <c r="H2409" s="3">
        <v>40</v>
      </c>
      <c r="I2409" s="4">
        <v>12407.19</v>
      </c>
      <c r="J2409" s="4">
        <v>2860.03</v>
      </c>
      <c r="K2409" s="3">
        <v>31</v>
      </c>
      <c r="L2409" s="2" t="s">
        <v>2523</v>
      </c>
      <c r="M2409" s="2" t="s">
        <v>2519</v>
      </c>
    </row>
    <row r="2410" spans="1:13" x14ac:dyDescent="0.3">
      <c r="A2410" s="1">
        <v>45678</v>
      </c>
      <c r="B2410" s="2" t="s">
        <v>2638</v>
      </c>
      <c r="C2410" s="2" t="s">
        <v>2541</v>
      </c>
      <c r="D2410" s="2" t="s">
        <v>2528</v>
      </c>
      <c r="E2410" s="2" t="s">
        <v>2529</v>
      </c>
      <c r="F2410" s="3">
        <v>101307</v>
      </c>
      <c r="G2410" s="3">
        <v>4951</v>
      </c>
      <c r="H2410" s="3">
        <v>33</v>
      </c>
      <c r="I2410" s="4">
        <v>2857.18</v>
      </c>
      <c r="J2410" s="4">
        <v>1326.66</v>
      </c>
      <c r="K2410" s="3">
        <v>19</v>
      </c>
      <c r="L2410" s="2" t="s">
        <v>2523</v>
      </c>
      <c r="M2410" s="2" t="s">
        <v>2546</v>
      </c>
    </row>
    <row r="2411" spans="1:13" x14ac:dyDescent="0.3">
      <c r="A2411" s="1">
        <v>45676</v>
      </c>
      <c r="B2411" s="2" t="s">
        <v>2625</v>
      </c>
      <c r="C2411" s="2" t="s">
        <v>2527</v>
      </c>
      <c r="D2411" s="2" t="s">
        <v>2516</v>
      </c>
      <c r="E2411" s="2" t="s">
        <v>2517</v>
      </c>
      <c r="F2411" s="3">
        <v>72780</v>
      </c>
      <c r="G2411" s="3">
        <v>4278</v>
      </c>
      <c r="H2411" s="3">
        <v>512</v>
      </c>
      <c r="I2411" s="4">
        <v>951.71</v>
      </c>
      <c r="J2411" s="4">
        <v>24263.63</v>
      </c>
      <c r="K2411" s="3">
        <v>367</v>
      </c>
      <c r="L2411" s="2" t="s">
        <v>2518</v>
      </c>
      <c r="M2411" s="2" t="s">
        <v>2546</v>
      </c>
    </row>
    <row r="2412" spans="1:13" x14ac:dyDescent="0.3">
      <c r="A2412" s="1">
        <v>46011</v>
      </c>
      <c r="B2412" s="2" t="s">
        <v>2624</v>
      </c>
      <c r="C2412" s="2" t="s">
        <v>2533</v>
      </c>
      <c r="D2412" s="2" t="s">
        <v>2528</v>
      </c>
      <c r="E2412" s="2" t="s">
        <v>2517</v>
      </c>
      <c r="F2412" s="3">
        <v>18565</v>
      </c>
      <c r="G2412" s="3">
        <v>1247</v>
      </c>
      <c r="H2412" s="3">
        <v>74</v>
      </c>
      <c r="I2412" s="4">
        <v>1565.04</v>
      </c>
      <c r="J2412" s="4">
        <v>6293.62</v>
      </c>
      <c r="K2412" s="3">
        <v>40</v>
      </c>
      <c r="L2412" s="2" t="s">
        <v>2539</v>
      </c>
      <c r="M2412" s="2" t="s">
        <v>2524</v>
      </c>
    </row>
    <row r="2413" spans="1:13" x14ac:dyDescent="0.3">
      <c r="A2413" s="1">
        <v>45712</v>
      </c>
      <c r="B2413" s="2" t="s">
        <v>2630</v>
      </c>
      <c r="C2413" s="2" t="s">
        <v>2527</v>
      </c>
      <c r="D2413" s="2" t="s">
        <v>2516</v>
      </c>
      <c r="E2413" s="2" t="s">
        <v>2517</v>
      </c>
      <c r="F2413" s="3">
        <v>26290</v>
      </c>
      <c r="G2413" s="3">
        <v>349</v>
      </c>
      <c r="H2413" s="3">
        <v>39</v>
      </c>
      <c r="I2413" s="4">
        <v>702.38</v>
      </c>
      <c r="J2413" s="4">
        <v>4895.63</v>
      </c>
      <c r="K2413" s="3">
        <v>19</v>
      </c>
      <c r="L2413" s="2" t="s">
        <v>2536</v>
      </c>
      <c r="M2413" s="2" t="s">
        <v>2524</v>
      </c>
    </row>
    <row r="2414" spans="1:13" x14ac:dyDescent="0.3">
      <c r="A2414" s="1">
        <v>45740</v>
      </c>
      <c r="B2414" s="2" t="s">
        <v>2637</v>
      </c>
      <c r="C2414" s="2" t="s">
        <v>2541</v>
      </c>
      <c r="D2414" s="2" t="s">
        <v>2528</v>
      </c>
      <c r="E2414" s="2" t="s">
        <v>2529</v>
      </c>
      <c r="F2414" s="3">
        <v>96040</v>
      </c>
      <c r="G2414" s="3">
        <v>3500</v>
      </c>
      <c r="H2414" s="3">
        <v>398</v>
      </c>
      <c r="I2414" s="4">
        <v>5383.58</v>
      </c>
      <c r="J2414" s="4">
        <v>52931.57</v>
      </c>
      <c r="K2414" s="3">
        <v>180</v>
      </c>
      <c r="L2414" s="2" t="s">
        <v>2523</v>
      </c>
      <c r="M2414" s="2" t="s">
        <v>2526</v>
      </c>
    </row>
    <row r="2415" spans="1:13" x14ac:dyDescent="0.3">
      <c r="A2415" s="1">
        <v>45705</v>
      </c>
      <c r="B2415" s="2" t="s">
        <v>2640</v>
      </c>
      <c r="C2415" s="2" t="s">
        <v>2541</v>
      </c>
      <c r="D2415" s="2" t="s">
        <v>2516</v>
      </c>
      <c r="E2415" s="2" t="s">
        <v>2517</v>
      </c>
      <c r="F2415" s="3">
        <v>41194</v>
      </c>
      <c r="G2415" s="3">
        <v>3055</v>
      </c>
      <c r="H2415" s="3">
        <v>282</v>
      </c>
      <c r="I2415" s="4">
        <v>1682.94</v>
      </c>
      <c r="J2415" s="4">
        <v>19862.990000000002</v>
      </c>
      <c r="K2415" s="3">
        <v>209</v>
      </c>
      <c r="L2415" s="2" t="s">
        <v>2518</v>
      </c>
      <c r="M2415" s="2" t="s">
        <v>2526</v>
      </c>
    </row>
    <row r="2416" spans="1:13" x14ac:dyDescent="0.3">
      <c r="A2416" s="1">
        <v>45716</v>
      </c>
      <c r="B2416" s="2" t="s">
        <v>2617</v>
      </c>
      <c r="C2416" s="2" t="s">
        <v>2527</v>
      </c>
      <c r="D2416" s="2" t="s">
        <v>2522</v>
      </c>
      <c r="E2416" s="2" t="s">
        <v>2534</v>
      </c>
      <c r="F2416" s="3">
        <v>71272</v>
      </c>
      <c r="G2416" s="3">
        <v>461</v>
      </c>
      <c r="H2416" s="3">
        <v>28</v>
      </c>
      <c r="I2416" s="4">
        <v>559.41999999999996</v>
      </c>
      <c r="J2416" s="4">
        <v>5087.5200000000004</v>
      </c>
      <c r="K2416" s="3">
        <v>14</v>
      </c>
      <c r="L2416" s="2" t="s">
        <v>2518</v>
      </c>
      <c r="M2416" s="2" t="s">
        <v>2524</v>
      </c>
    </row>
    <row r="2417" spans="1:13" x14ac:dyDescent="0.3">
      <c r="A2417" s="1">
        <v>45774</v>
      </c>
      <c r="B2417" s="2" t="s">
        <v>2635</v>
      </c>
      <c r="C2417" s="2" t="s">
        <v>2543</v>
      </c>
      <c r="D2417" s="2" t="s">
        <v>2528</v>
      </c>
      <c r="E2417" s="2" t="s">
        <v>2529</v>
      </c>
      <c r="F2417" s="3">
        <v>124841</v>
      </c>
      <c r="G2417" s="3">
        <v>1968</v>
      </c>
      <c r="H2417" s="3">
        <v>153</v>
      </c>
      <c r="I2417" s="4">
        <v>1671.86</v>
      </c>
      <c r="J2417" s="4">
        <v>11659.99</v>
      </c>
      <c r="K2417" s="3">
        <v>136</v>
      </c>
      <c r="L2417" s="2" t="s">
        <v>2539</v>
      </c>
      <c r="M2417" s="2" t="s">
        <v>2526</v>
      </c>
    </row>
    <row r="2418" spans="1:13" x14ac:dyDescent="0.3">
      <c r="A2418" s="1">
        <v>45706</v>
      </c>
      <c r="B2418" s="2" t="s">
        <v>2623</v>
      </c>
      <c r="C2418" s="2" t="s">
        <v>2543</v>
      </c>
      <c r="D2418" s="2" t="s">
        <v>2528</v>
      </c>
      <c r="E2418" s="2" t="s">
        <v>2529</v>
      </c>
      <c r="F2418" s="3">
        <v>122209</v>
      </c>
      <c r="G2418" s="3">
        <v>7448</v>
      </c>
      <c r="H2418" s="3">
        <v>878</v>
      </c>
      <c r="I2418" s="4">
        <v>3623.81</v>
      </c>
      <c r="J2418" s="4">
        <v>147409.71</v>
      </c>
      <c r="K2418" s="3">
        <v>545</v>
      </c>
      <c r="L2418" s="2" t="s">
        <v>2518</v>
      </c>
      <c r="M2418" s="2" t="s">
        <v>2524</v>
      </c>
    </row>
    <row r="2419" spans="1:13" x14ac:dyDescent="0.3">
      <c r="A2419" s="1">
        <v>45859</v>
      </c>
      <c r="B2419" s="2" t="s">
        <v>2644</v>
      </c>
      <c r="C2419" s="2" t="s">
        <v>2541</v>
      </c>
      <c r="D2419" s="2" t="s">
        <v>2528</v>
      </c>
      <c r="E2419" s="2" t="s">
        <v>2529</v>
      </c>
      <c r="F2419" s="3">
        <v>7795</v>
      </c>
      <c r="G2419" s="3">
        <v>170</v>
      </c>
      <c r="H2419" s="3">
        <v>19</v>
      </c>
      <c r="I2419" s="4">
        <v>106.63</v>
      </c>
      <c r="J2419" s="4">
        <v>920.32</v>
      </c>
      <c r="K2419" s="3">
        <v>14</v>
      </c>
      <c r="L2419" s="2" t="s">
        <v>2523</v>
      </c>
      <c r="M2419" s="2" t="s">
        <v>2524</v>
      </c>
    </row>
    <row r="2420" spans="1:13" x14ac:dyDescent="0.3">
      <c r="A2420" s="1">
        <v>45780</v>
      </c>
      <c r="B2420" s="2" t="s">
        <v>2620</v>
      </c>
      <c r="C2420" s="2" t="s">
        <v>2541</v>
      </c>
      <c r="D2420" s="2" t="s">
        <v>2516</v>
      </c>
      <c r="E2420" s="2" t="s">
        <v>2529</v>
      </c>
      <c r="F2420" s="3">
        <v>58941</v>
      </c>
      <c r="G2420" s="3">
        <v>1271</v>
      </c>
      <c r="H2420" s="3">
        <v>63</v>
      </c>
      <c r="I2420" s="4">
        <v>1703.72</v>
      </c>
      <c r="J2420" s="4">
        <v>10931.68</v>
      </c>
      <c r="K2420" s="3">
        <v>43</v>
      </c>
      <c r="L2420" s="2" t="s">
        <v>2523</v>
      </c>
      <c r="M2420" s="2" t="s">
        <v>2519</v>
      </c>
    </row>
    <row r="2421" spans="1:13" x14ac:dyDescent="0.3">
      <c r="A2421" s="1">
        <v>45925</v>
      </c>
      <c r="B2421" s="2" t="s">
        <v>2644</v>
      </c>
      <c r="C2421" s="2" t="s">
        <v>2541</v>
      </c>
      <c r="D2421" s="2" t="s">
        <v>2528</v>
      </c>
      <c r="E2421" s="2" t="s">
        <v>2517</v>
      </c>
      <c r="F2421" s="3">
        <v>83493</v>
      </c>
      <c r="G2421" s="3">
        <v>4386</v>
      </c>
      <c r="H2421" s="3">
        <v>161</v>
      </c>
      <c r="I2421" s="4">
        <v>978.91</v>
      </c>
      <c r="J2421" s="4">
        <v>27505.75</v>
      </c>
      <c r="K2421" s="3">
        <v>101</v>
      </c>
      <c r="L2421" s="2" t="s">
        <v>2523</v>
      </c>
      <c r="M2421" s="2" t="s">
        <v>2519</v>
      </c>
    </row>
    <row r="2422" spans="1:13" x14ac:dyDescent="0.3">
      <c r="A2422" s="1">
        <v>45880</v>
      </c>
      <c r="B2422" s="2" t="s">
        <v>2643</v>
      </c>
      <c r="C2422" s="2" t="s">
        <v>2541</v>
      </c>
      <c r="D2422" s="2" t="s">
        <v>2528</v>
      </c>
      <c r="E2422" s="2" t="s">
        <v>2517</v>
      </c>
      <c r="F2422" s="3">
        <v>68958</v>
      </c>
      <c r="G2422" s="3">
        <v>2991</v>
      </c>
      <c r="H2422" s="3">
        <v>232</v>
      </c>
      <c r="I2422" s="4">
        <v>813.89</v>
      </c>
      <c r="J2422" s="4">
        <v>32807.15</v>
      </c>
      <c r="K2422" s="3">
        <v>185</v>
      </c>
      <c r="L2422" s="2" t="s">
        <v>2536</v>
      </c>
      <c r="M2422" s="2" t="s">
        <v>2546</v>
      </c>
    </row>
    <row r="2423" spans="1:13" x14ac:dyDescent="0.3">
      <c r="A2423" s="1">
        <v>45984</v>
      </c>
      <c r="B2423" s="2" t="s">
        <v>2638</v>
      </c>
      <c r="C2423" s="2" t="s">
        <v>2527</v>
      </c>
      <c r="D2423" s="2" t="s">
        <v>2525</v>
      </c>
      <c r="E2423" s="2" t="s">
        <v>2529</v>
      </c>
      <c r="F2423" s="3">
        <v>4392</v>
      </c>
      <c r="G2423" s="3">
        <v>213</v>
      </c>
      <c r="H2423" s="3">
        <v>29</v>
      </c>
      <c r="I2423" s="4">
        <v>209.14</v>
      </c>
      <c r="J2423" s="4">
        <v>3945.3</v>
      </c>
      <c r="K2423" s="3">
        <v>16</v>
      </c>
      <c r="L2423" s="2" t="s">
        <v>2518</v>
      </c>
      <c r="M2423" s="2" t="s">
        <v>2519</v>
      </c>
    </row>
    <row r="2424" spans="1:13" x14ac:dyDescent="0.3">
      <c r="A2424" s="1">
        <v>45673</v>
      </c>
      <c r="B2424" s="2" t="s">
        <v>2619</v>
      </c>
      <c r="C2424" s="2" t="s">
        <v>2541</v>
      </c>
      <c r="D2424" s="2" t="s">
        <v>2522</v>
      </c>
      <c r="E2424" s="2" t="s">
        <v>2517</v>
      </c>
      <c r="F2424" s="3">
        <v>49769</v>
      </c>
      <c r="G2424" s="3">
        <v>2369</v>
      </c>
      <c r="H2424" s="3">
        <v>162</v>
      </c>
      <c r="I2424" s="4">
        <v>2922.4</v>
      </c>
      <c r="J2424" s="4">
        <v>8937.06</v>
      </c>
      <c r="K2424" s="3">
        <v>127</v>
      </c>
      <c r="L2424" s="2" t="s">
        <v>2539</v>
      </c>
      <c r="M2424" s="2" t="s">
        <v>2524</v>
      </c>
    </row>
    <row r="2425" spans="1:13" x14ac:dyDescent="0.3">
      <c r="A2425" s="1">
        <v>45866</v>
      </c>
      <c r="B2425" s="2" t="s">
        <v>2626</v>
      </c>
      <c r="C2425" s="2" t="s">
        <v>2515</v>
      </c>
      <c r="D2425" s="2" t="s">
        <v>2528</v>
      </c>
      <c r="E2425" s="2" t="s">
        <v>2529</v>
      </c>
      <c r="F2425" s="3">
        <v>100329</v>
      </c>
      <c r="G2425" s="3">
        <v>7091</v>
      </c>
      <c r="H2425" s="3">
        <v>508</v>
      </c>
      <c r="I2425" s="4">
        <v>7836.66</v>
      </c>
      <c r="J2425" s="4">
        <v>35450.83</v>
      </c>
      <c r="K2425" s="3">
        <v>232</v>
      </c>
      <c r="L2425" s="2" t="s">
        <v>2523</v>
      </c>
      <c r="M2425" s="2" t="s">
        <v>2519</v>
      </c>
    </row>
    <row r="2426" spans="1:13" x14ac:dyDescent="0.3">
      <c r="A2426" s="1">
        <v>45992</v>
      </c>
      <c r="B2426" s="2" t="s">
        <v>2638</v>
      </c>
      <c r="C2426" s="2" t="s">
        <v>2515</v>
      </c>
      <c r="D2426" s="2" t="s">
        <v>2528</v>
      </c>
      <c r="E2426" s="2" t="s">
        <v>2517</v>
      </c>
      <c r="F2426" s="3">
        <v>44506</v>
      </c>
      <c r="G2426" s="3">
        <v>3547</v>
      </c>
      <c r="H2426" s="3">
        <v>221</v>
      </c>
      <c r="I2426" s="4">
        <v>1582.81</v>
      </c>
      <c r="J2426" s="4">
        <v>28638.77</v>
      </c>
      <c r="K2426" s="3">
        <v>190</v>
      </c>
      <c r="L2426" s="2" t="s">
        <v>2536</v>
      </c>
      <c r="M2426" s="2" t="s">
        <v>2524</v>
      </c>
    </row>
    <row r="2427" spans="1:13" x14ac:dyDescent="0.3">
      <c r="A2427" s="1">
        <v>46014</v>
      </c>
      <c r="B2427" s="2" t="s">
        <v>2639</v>
      </c>
      <c r="C2427" s="2" t="s">
        <v>2533</v>
      </c>
      <c r="D2427" s="2" t="s">
        <v>2522</v>
      </c>
      <c r="E2427" s="2" t="s">
        <v>2529</v>
      </c>
      <c r="F2427" s="3">
        <v>10276</v>
      </c>
      <c r="G2427" s="3">
        <v>792</v>
      </c>
      <c r="H2427" s="3">
        <v>65</v>
      </c>
      <c r="I2427" s="4">
        <v>133.61000000000001</v>
      </c>
      <c r="J2427" s="4">
        <v>8534.5</v>
      </c>
      <c r="K2427" s="3">
        <v>33</v>
      </c>
      <c r="L2427" s="2" t="s">
        <v>2518</v>
      </c>
      <c r="M2427" s="2" t="s">
        <v>2524</v>
      </c>
    </row>
    <row r="2428" spans="1:13" x14ac:dyDescent="0.3">
      <c r="A2428" s="1">
        <v>45856</v>
      </c>
      <c r="B2428" s="2" t="s">
        <v>2617</v>
      </c>
      <c r="C2428" s="2" t="s">
        <v>2521</v>
      </c>
      <c r="D2428" s="2" t="s">
        <v>2528</v>
      </c>
      <c r="E2428" s="2" t="s">
        <v>2529</v>
      </c>
      <c r="F2428" s="3">
        <v>129491</v>
      </c>
      <c r="G2428" s="3">
        <v>3490</v>
      </c>
      <c r="H2428" s="3">
        <v>424</v>
      </c>
      <c r="I2428" s="4">
        <v>6430.09</v>
      </c>
      <c r="J2428" s="4">
        <v>38355.269999999997</v>
      </c>
      <c r="K2428" s="3">
        <v>352</v>
      </c>
      <c r="L2428" s="2" t="s">
        <v>2518</v>
      </c>
      <c r="M2428" s="2" t="s">
        <v>2537</v>
      </c>
    </row>
    <row r="2429" spans="1:13" x14ac:dyDescent="0.3">
      <c r="A2429" s="1">
        <v>45833</v>
      </c>
      <c r="B2429" s="2" t="s">
        <v>2630</v>
      </c>
      <c r="C2429" s="2" t="s">
        <v>2527</v>
      </c>
      <c r="D2429" s="2" t="s">
        <v>2531</v>
      </c>
      <c r="E2429" s="2" t="s">
        <v>2529</v>
      </c>
      <c r="F2429" s="3">
        <v>23352</v>
      </c>
      <c r="G2429" s="3">
        <v>256</v>
      </c>
      <c r="H2429" s="3">
        <v>26</v>
      </c>
      <c r="I2429" s="4">
        <v>65.61</v>
      </c>
      <c r="J2429" s="4">
        <v>2951.16</v>
      </c>
      <c r="K2429" s="3">
        <v>17</v>
      </c>
      <c r="L2429" s="2" t="s">
        <v>2536</v>
      </c>
      <c r="M2429" s="2" t="s">
        <v>2519</v>
      </c>
    </row>
    <row r="2430" spans="1:13" x14ac:dyDescent="0.3">
      <c r="A2430" s="1">
        <v>45989</v>
      </c>
      <c r="B2430" s="2" t="s">
        <v>2632</v>
      </c>
      <c r="C2430" s="2" t="s">
        <v>2543</v>
      </c>
      <c r="D2430" s="2" t="s">
        <v>2528</v>
      </c>
      <c r="E2430" s="2" t="s">
        <v>2517</v>
      </c>
      <c r="F2430" s="3">
        <v>167159</v>
      </c>
      <c r="G2430" s="3">
        <v>3738</v>
      </c>
      <c r="H2430" s="3">
        <v>352</v>
      </c>
      <c r="I2430" s="4">
        <v>2308.5</v>
      </c>
      <c r="J2430" s="4">
        <v>21911.59</v>
      </c>
      <c r="K2430" s="3">
        <v>248</v>
      </c>
      <c r="L2430" s="2" t="s">
        <v>2536</v>
      </c>
      <c r="M2430" s="2" t="s">
        <v>2526</v>
      </c>
    </row>
    <row r="2431" spans="1:13" x14ac:dyDescent="0.3">
      <c r="A2431" s="1">
        <v>45861</v>
      </c>
      <c r="B2431" s="2" t="s">
        <v>2634</v>
      </c>
      <c r="C2431" s="2" t="s">
        <v>2533</v>
      </c>
      <c r="D2431" s="2" t="s">
        <v>2522</v>
      </c>
      <c r="E2431" s="2" t="s">
        <v>2534</v>
      </c>
      <c r="F2431" s="3">
        <v>32706</v>
      </c>
      <c r="G2431" s="3">
        <v>1193</v>
      </c>
      <c r="H2431" s="3">
        <v>144</v>
      </c>
      <c r="I2431" s="4">
        <v>388.52</v>
      </c>
      <c r="J2431" s="4">
        <v>30124.36</v>
      </c>
      <c r="K2431" s="3">
        <v>91</v>
      </c>
      <c r="L2431" s="2" t="s">
        <v>2523</v>
      </c>
      <c r="M2431" s="2" t="s">
        <v>2526</v>
      </c>
    </row>
    <row r="2432" spans="1:13" x14ac:dyDescent="0.3">
      <c r="A2432" s="1">
        <v>45685</v>
      </c>
      <c r="B2432" s="2" t="s">
        <v>2621</v>
      </c>
      <c r="C2432" s="2" t="s">
        <v>2533</v>
      </c>
      <c r="D2432" s="2" t="s">
        <v>2525</v>
      </c>
      <c r="E2432" s="2" t="s">
        <v>2529</v>
      </c>
      <c r="F2432" s="3">
        <v>66449</v>
      </c>
      <c r="G2432" s="3">
        <v>3950</v>
      </c>
      <c r="H2432" s="3">
        <v>157</v>
      </c>
      <c r="I2432" s="4">
        <v>6535.58</v>
      </c>
      <c r="J2432" s="4">
        <v>6902.17</v>
      </c>
      <c r="K2432" s="3">
        <v>104</v>
      </c>
      <c r="L2432" s="2" t="s">
        <v>2539</v>
      </c>
      <c r="M2432" s="2" t="s">
        <v>2524</v>
      </c>
    </row>
    <row r="2433" spans="1:13" x14ac:dyDescent="0.3">
      <c r="A2433" s="1">
        <v>45870</v>
      </c>
      <c r="B2433" s="2" t="s">
        <v>2625</v>
      </c>
      <c r="C2433" s="2" t="s">
        <v>2541</v>
      </c>
      <c r="D2433" s="2" t="s">
        <v>2522</v>
      </c>
      <c r="E2433" s="2" t="s">
        <v>2517</v>
      </c>
      <c r="F2433" s="3">
        <v>125182</v>
      </c>
      <c r="G2433" s="3">
        <v>8444</v>
      </c>
      <c r="H2433" s="3">
        <v>846</v>
      </c>
      <c r="I2433" s="4">
        <v>9852.7199999999993</v>
      </c>
      <c r="J2433" s="4">
        <v>88178.6</v>
      </c>
      <c r="K2433" s="3">
        <v>733</v>
      </c>
      <c r="L2433" s="2" t="s">
        <v>2536</v>
      </c>
      <c r="M2433" s="2" t="s">
        <v>2546</v>
      </c>
    </row>
    <row r="2434" spans="1:13" x14ac:dyDescent="0.3">
      <c r="A2434" s="1">
        <v>45916</v>
      </c>
      <c r="B2434" s="2" t="s">
        <v>2628</v>
      </c>
      <c r="C2434" s="2" t="s">
        <v>2515</v>
      </c>
      <c r="D2434" s="2" t="s">
        <v>2528</v>
      </c>
      <c r="E2434" s="2" t="s">
        <v>2517</v>
      </c>
      <c r="F2434" s="3">
        <v>163603</v>
      </c>
      <c r="G2434" s="3">
        <v>5107</v>
      </c>
      <c r="H2434" s="3">
        <v>597</v>
      </c>
      <c r="I2434" s="4">
        <v>9379.19</v>
      </c>
      <c r="J2434" s="4">
        <v>92404.53</v>
      </c>
      <c r="K2434" s="3">
        <v>279</v>
      </c>
      <c r="L2434" s="2" t="s">
        <v>2536</v>
      </c>
      <c r="M2434" s="2" t="s">
        <v>2524</v>
      </c>
    </row>
    <row r="2435" spans="1:13" x14ac:dyDescent="0.3">
      <c r="A2435" s="1">
        <v>45844</v>
      </c>
      <c r="B2435" s="2" t="s">
        <v>2619</v>
      </c>
      <c r="C2435" s="2" t="s">
        <v>2543</v>
      </c>
      <c r="D2435" s="2" t="s">
        <v>2525</v>
      </c>
      <c r="E2435" s="2" t="s">
        <v>2529</v>
      </c>
      <c r="F2435" s="3">
        <v>161676</v>
      </c>
      <c r="G2435" s="3">
        <v>4319</v>
      </c>
      <c r="H2435" s="3">
        <v>522</v>
      </c>
      <c r="I2435" s="4">
        <v>3456.57</v>
      </c>
      <c r="J2435" s="4">
        <v>69730.7</v>
      </c>
      <c r="K2435" s="3">
        <v>338</v>
      </c>
      <c r="L2435" s="2" t="s">
        <v>2536</v>
      </c>
      <c r="M2435" s="2" t="s">
        <v>2519</v>
      </c>
    </row>
    <row r="2436" spans="1:13" x14ac:dyDescent="0.3">
      <c r="A2436" s="1">
        <v>45763</v>
      </c>
      <c r="B2436" s="2" t="s">
        <v>2625</v>
      </c>
      <c r="C2436" s="2" t="s">
        <v>2533</v>
      </c>
      <c r="D2436" s="2" t="s">
        <v>2528</v>
      </c>
      <c r="E2436" s="2" t="s">
        <v>2517</v>
      </c>
      <c r="F2436" s="3">
        <v>69620</v>
      </c>
      <c r="G2436" s="3">
        <v>1607</v>
      </c>
      <c r="H2436" s="3">
        <v>47</v>
      </c>
      <c r="I2436" s="4">
        <v>1492.06</v>
      </c>
      <c r="J2436" s="4">
        <v>4179.17</v>
      </c>
      <c r="K2436" s="3">
        <v>33</v>
      </c>
      <c r="L2436" s="2" t="s">
        <v>2536</v>
      </c>
      <c r="M2436" s="2" t="s">
        <v>2524</v>
      </c>
    </row>
    <row r="2437" spans="1:13" x14ac:dyDescent="0.3">
      <c r="A2437" s="1">
        <v>45676</v>
      </c>
      <c r="B2437" s="2" t="s">
        <v>2640</v>
      </c>
      <c r="C2437" s="2" t="s">
        <v>2527</v>
      </c>
      <c r="D2437" s="2" t="s">
        <v>2522</v>
      </c>
      <c r="E2437" s="2" t="s">
        <v>2529</v>
      </c>
      <c r="F2437" s="3">
        <v>81597</v>
      </c>
      <c r="G2437" s="3">
        <v>3942</v>
      </c>
      <c r="H2437" s="3">
        <v>411</v>
      </c>
      <c r="I2437" s="4">
        <v>2691.83</v>
      </c>
      <c r="J2437" s="4">
        <v>71212.160000000003</v>
      </c>
      <c r="K2437" s="3">
        <v>234</v>
      </c>
      <c r="L2437" s="2" t="s">
        <v>2536</v>
      </c>
      <c r="M2437" s="2" t="s">
        <v>2524</v>
      </c>
    </row>
    <row r="2438" spans="1:13" x14ac:dyDescent="0.3">
      <c r="A2438" s="1">
        <v>45900</v>
      </c>
      <c r="B2438" s="2" t="s">
        <v>2629</v>
      </c>
      <c r="C2438" s="2" t="s">
        <v>2527</v>
      </c>
      <c r="D2438" s="2" t="s">
        <v>2528</v>
      </c>
      <c r="E2438" s="2" t="s">
        <v>2517</v>
      </c>
      <c r="F2438" s="3">
        <v>136673</v>
      </c>
      <c r="G2438" s="3">
        <v>4341</v>
      </c>
      <c r="H2438" s="3">
        <v>256</v>
      </c>
      <c r="I2438" s="4">
        <v>1117.29</v>
      </c>
      <c r="J2438" s="4">
        <v>9812.85</v>
      </c>
      <c r="K2438" s="3">
        <v>163</v>
      </c>
      <c r="L2438" s="2" t="s">
        <v>2536</v>
      </c>
      <c r="M2438" s="2" t="s">
        <v>2546</v>
      </c>
    </row>
    <row r="2439" spans="1:13" x14ac:dyDescent="0.3">
      <c r="A2439" s="1">
        <v>45864</v>
      </c>
      <c r="B2439" s="2" t="s">
        <v>2617</v>
      </c>
      <c r="C2439" s="2" t="s">
        <v>2541</v>
      </c>
      <c r="D2439" s="2" t="s">
        <v>2522</v>
      </c>
      <c r="E2439" s="2" t="s">
        <v>2517</v>
      </c>
      <c r="F2439" s="3">
        <v>87836</v>
      </c>
      <c r="G2439" s="3">
        <v>1663</v>
      </c>
      <c r="H2439" s="3">
        <v>170</v>
      </c>
      <c r="I2439" s="4">
        <v>1956.54</v>
      </c>
      <c r="J2439" s="4">
        <v>14853.58</v>
      </c>
      <c r="K2439" s="3">
        <v>91</v>
      </c>
      <c r="L2439" s="2" t="s">
        <v>2536</v>
      </c>
      <c r="M2439" s="2" t="s">
        <v>2524</v>
      </c>
    </row>
    <row r="2440" spans="1:13" x14ac:dyDescent="0.3">
      <c r="A2440" s="1">
        <v>45916</v>
      </c>
      <c r="B2440" s="2" t="s">
        <v>2615</v>
      </c>
      <c r="C2440" s="2" t="s">
        <v>2521</v>
      </c>
      <c r="D2440" s="2" t="s">
        <v>2528</v>
      </c>
      <c r="E2440" s="2" t="s">
        <v>2529</v>
      </c>
      <c r="F2440" s="3">
        <v>163694</v>
      </c>
      <c r="G2440" s="3">
        <v>6089</v>
      </c>
      <c r="H2440" s="3">
        <v>661</v>
      </c>
      <c r="I2440" s="4">
        <v>8045.69</v>
      </c>
      <c r="J2440" s="4">
        <v>124199.31</v>
      </c>
      <c r="K2440" s="3">
        <v>405</v>
      </c>
      <c r="L2440" s="2" t="s">
        <v>2523</v>
      </c>
      <c r="M2440" s="2" t="s">
        <v>2526</v>
      </c>
    </row>
    <row r="2441" spans="1:13" x14ac:dyDescent="0.3">
      <c r="A2441" s="1">
        <v>46018</v>
      </c>
      <c r="B2441" s="2" t="s">
        <v>2622</v>
      </c>
      <c r="C2441" s="2" t="s">
        <v>2533</v>
      </c>
      <c r="D2441" s="2" t="s">
        <v>2522</v>
      </c>
      <c r="E2441" s="2" t="s">
        <v>2517</v>
      </c>
      <c r="F2441" s="3">
        <v>27326</v>
      </c>
      <c r="G2441" s="3">
        <v>1841</v>
      </c>
      <c r="H2441" s="3">
        <v>174</v>
      </c>
      <c r="I2441" s="4">
        <v>3309.03</v>
      </c>
      <c r="J2441" s="4">
        <v>14847.17</v>
      </c>
      <c r="K2441" s="3">
        <v>89</v>
      </c>
      <c r="L2441" s="2" t="s">
        <v>2539</v>
      </c>
      <c r="M2441" s="2" t="s">
        <v>2519</v>
      </c>
    </row>
    <row r="2442" spans="1:13" x14ac:dyDescent="0.3">
      <c r="A2442" s="1">
        <v>46012</v>
      </c>
      <c r="B2442" s="2" t="s">
        <v>2625</v>
      </c>
      <c r="C2442" s="2" t="s">
        <v>2515</v>
      </c>
      <c r="D2442" s="2" t="s">
        <v>2522</v>
      </c>
      <c r="E2442" s="2" t="s">
        <v>2534</v>
      </c>
      <c r="F2442" s="3">
        <v>150246</v>
      </c>
      <c r="G2442" s="3">
        <v>2834</v>
      </c>
      <c r="H2442" s="3">
        <v>391</v>
      </c>
      <c r="I2442" s="4">
        <v>622.6</v>
      </c>
      <c r="J2442" s="4">
        <v>83373.570000000007</v>
      </c>
      <c r="K2442" s="3">
        <v>231</v>
      </c>
      <c r="L2442" s="2" t="s">
        <v>2523</v>
      </c>
      <c r="M2442" s="2" t="s">
        <v>2519</v>
      </c>
    </row>
    <row r="2443" spans="1:13" x14ac:dyDescent="0.3">
      <c r="A2443" s="1">
        <v>45661</v>
      </c>
      <c r="B2443" s="2" t="s">
        <v>2625</v>
      </c>
      <c r="C2443" s="2" t="s">
        <v>2543</v>
      </c>
      <c r="D2443" s="2" t="s">
        <v>2531</v>
      </c>
      <c r="E2443" s="2" t="s">
        <v>2529</v>
      </c>
      <c r="F2443" s="3">
        <v>139698</v>
      </c>
      <c r="G2443" s="3">
        <v>11790</v>
      </c>
      <c r="H2443" s="3">
        <v>739</v>
      </c>
      <c r="I2443" s="4">
        <v>3155.14</v>
      </c>
      <c r="J2443" s="4">
        <v>98880.18</v>
      </c>
      <c r="K2443" s="3">
        <v>476</v>
      </c>
      <c r="L2443" s="2" t="s">
        <v>2539</v>
      </c>
      <c r="M2443" s="2" t="s">
        <v>2537</v>
      </c>
    </row>
    <row r="2444" spans="1:13" x14ac:dyDescent="0.3">
      <c r="A2444" s="1">
        <v>45758</v>
      </c>
      <c r="B2444" s="2" t="s">
        <v>2641</v>
      </c>
      <c r="C2444" s="2" t="s">
        <v>2521</v>
      </c>
      <c r="D2444" s="2" t="s">
        <v>2525</v>
      </c>
      <c r="E2444" s="2" t="s">
        <v>2529</v>
      </c>
      <c r="F2444" s="3">
        <v>69394</v>
      </c>
      <c r="G2444" s="3">
        <v>2360</v>
      </c>
      <c r="H2444" s="3">
        <v>2388</v>
      </c>
      <c r="I2444" s="4">
        <v>321.44</v>
      </c>
      <c r="J2444" s="4">
        <v>7749.8</v>
      </c>
      <c r="K2444" s="3">
        <v>50</v>
      </c>
      <c r="L2444" s="2" t="s">
        <v>2518</v>
      </c>
      <c r="M2444" s="2" t="s">
        <v>2537</v>
      </c>
    </row>
    <row r="2445" spans="1:13" x14ac:dyDescent="0.3">
      <c r="A2445" s="1">
        <v>45786</v>
      </c>
      <c r="B2445" s="2" t="s">
        <v>2630</v>
      </c>
      <c r="C2445" s="2" t="s">
        <v>2541</v>
      </c>
      <c r="D2445" s="2" t="s">
        <v>2522</v>
      </c>
      <c r="E2445" s="2" t="s">
        <v>2529</v>
      </c>
      <c r="F2445" s="3">
        <v>137747</v>
      </c>
      <c r="G2445" s="3">
        <v>8419</v>
      </c>
      <c r="H2445" s="3">
        <v>627</v>
      </c>
      <c r="I2445" s="4">
        <v>12724.72</v>
      </c>
      <c r="J2445" s="4">
        <v>99492.88</v>
      </c>
      <c r="K2445" s="3">
        <v>392</v>
      </c>
      <c r="L2445" s="2" t="s">
        <v>2536</v>
      </c>
      <c r="M2445" s="2" t="s">
        <v>2526</v>
      </c>
    </row>
    <row r="2446" spans="1:13" x14ac:dyDescent="0.3">
      <c r="A2446" s="1">
        <v>45923</v>
      </c>
      <c r="B2446" s="2" t="s">
        <v>2622</v>
      </c>
      <c r="C2446" s="2" t="s">
        <v>2527</v>
      </c>
      <c r="D2446" s="2" t="s">
        <v>2528</v>
      </c>
      <c r="E2446" s="2" t="s">
        <v>2534</v>
      </c>
      <c r="F2446" s="3">
        <v>148063</v>
      </c>
      <c r="G2446" s="3">
        <v>5360</v>
      </c>
      <c r="H2446" s="3">
        <v>451</v>
      </c>
      <c r="I2446" s="4">
        <v>2029.66</v>
      </c>
      <c r="J2446" s="4">
        <v>86717.51</v>
      </c>
      <c r="K2446" s="3">
        <v>373</v>
      </c>
      <c r="L2446" s="2" t="s">
        <v>2536</v>
      </c>
      <c r="M2446" s="2" t="s">
        <v>2519</v>
      </c>
    </row>
    <row r="2447" spans="1:13" x14ac:dyDescent="0.3">
      <c r="A2447" s="1">
        <v>45821</v>
      </c>
      <c r="B2447" s="2" t="s">
        <v>2636</v>
      </c>
      <c r="C2447" s="2" t="s">
        <v>2533</v>
      </c>
      <c r="D2447" s="2" t="s">
        <v>2528</v>
      </c>
      <c r="E2447" s="2" t="s">
        <v>2529</v>
      </c>
      <c r="F2447" s="3">
        <v>30710</v>
      </c>
      <c r="G2447" s="3">
        <v>1122</v>
      </c>
      <c r="H2447" s="3">
        <v>54</v>
      </c>
      <c r="I2447" s="4">
        <v>1536.49</v>
      </c>
      <c r="J2447" s="4">
        <v>6413.24</v>
      </c>
      <c r="K2447" s="3">
        <v>42</v>
      </c>
      <c r="L2447" s="2" t="s">
        <v>2523</v>
      </c>
      <c r="M2447" s="2" t="s">
        <v>2546</v>
      </c>
    </row>
    <row r="2448" spans="1:13" x14ac:dyDescent="0.3">
      <c r="A2448" s="1">
        <v>45707</v>
      </c>
      <c r="B2448" s="2" t="s">
        <v>2638</v>
      </c>
      <c r="C2448" s="2" t="s">
        <v>2515</v>
      </c>
      <c r="D2448" s="2" t="s">
        <v>2516</v>
      </c>
      <c r="E2448" s="2" t="s">
        <v>2517</v>
      </c>
      <c r="F2448" s="3">
        <v>34053</v>
      </c>
      <c r="G2448" s="3">
        <v>1137</v>
      </c>
      <c r="H2448" s="3">
        <v>92</v>
      </c>
      <c r="I2448" s="4">
        <v>417.55</v>
      </c>
      <c r="J2448" s="4">
        <v>11977.12</v>
      </c>
      <c r="K2448" s="3">
        <v>56</v>
      </c>
      <c r="L2448" s="2" t="s">
        <v>2523</v>
      </c>
      <c r="M2448" s="2" t="s">
        <v>2537</v>
      </c>
    </row>
    <row r="2449" spans="1:13" x14ac:dyDescent="0.3">
      <c r="A2449" s="1">
        <v>45973</v>
      </c>
      <c r="B2449" s="2" t="s">
        <v>2622</v>
      </c>
      <c r="C2449" s="2" t="s">
        <v>2543</v>
      </c>
      <c r="D2449" s="2" t="s">
        <v>2528</v>
      </c>
      <c r="E2449" s="2" t="s">
        <v>2517</v>
      </c>
      <c r="F2449" s="3">
        <v>29424</v>
      </c>
      <c r="G2449" s="3">
        <v>2594</v>
      </c>
      <c r="H2449" s="3">
        <v>108</v>
      </c>
      <c r="I2449" s="4">
        <v>2502.42</v>
      </c>
      <c r="J2449" s="4">
        <v>2167.4699999999998</v>
      </c>
      <c r="K2449" s="3">
        <v>71</v>
      </c>
      <c r="L2449" s="2" t="s">
        <v>2518</v>
      </c>
      <c r="M2449" s="2" t="s">
        <v>2524</v>
      </c>
    </row>
    <row r="2450" spans="1:13" x14ac:dyDescent="0.3">
      <c r="A2450" s="1">
        <v>45674</v>
      </c>
      <c r="B2450" s="2" t="s">
        <v>2638</v>
      </c>
      <c r="C2450" s="2" t="s">
        <v>2515</v>
      </c>
      <c r="D2450" s="2" t="s">
        <v>2528</v>
      </c>
      <c r="E2450" s="2" t="s">
        <v>2517</v>
      </c>
      <c r="F2450" s="3">
        <v>52692</v>
      </c>
      <c r="G2450" s="3">
        <v>4330</v>
      </c>
      <c r="H2450" s="3">
        <v>473</v>
      </c>
      <c r="I2450" s="4">
        <v>7339.28</v>
      </c>
      <c r="J2450" s="4">
        <v>67861.490000000005</v>
      </c>
      <c r="K2450" s="3">
        <v>344</v>
      </c>
      <c r="L2450" s="2" t="s">
        <v>2518</v>
      </c>
      <c r="M2450" s="2" t="s">
        <v>2524</v>
      </c>
    </row>
    <row r="2451" spans="1:13" x14ac:dyDescent="0.3">
      <c r="A2451" s="1">
        <v>45812</v>
      </c>
      <c r="B2451" s="2" t="s">
        <v>2619</v>
      </c>
      <c r="C2451" s="2" t="s">
        <v>2533</v>
      </c>
      <c r="D2451" s="2" t="s">
        <v>2525</v>
      </c>
      <c r="E2451" s="2" t="s">
        <v>2517</v>
      </c>
      <c r="F2451" s="3">
        <v>134173</v>
      </c>
      <c r="G2451" s="3">
        <v>1030</v>
      </c>
      <c r="H2451" s="3">
        <v>70</v>
      </c>
      <c r="I2451" s="4">
        <v>874.43</v>
      </c>
      <c r="J2451" s="4">
        <v>8441.31</v>
      </c>
      <c r="K2451" s="3">
        <v>57</v>
      </c>
      <c r="L2451" s="2" t="s">
        <v>2518</v>
      </c>
      <c r="M2451" s="2" t="s">
        <v>2546</v>
      </c>
    </row>
    <row r="2452" spans="1:13" x14ac:dyDescent="0.3">
      <c r="A2452" s="1">
        <v>45927</v>
      </c>
      <c r="B2452" s="2" t="s">
        <v>2629</v>
      </c>
      <c r="C2452" s="2" t="s">
        <v>2541</v>
      </c>
      <c r="D2452" s="2" t="s">
        <v>2525</v>
      </c>
      <c r="E2452" s="2" t="s">
        <v>2529</v>
      </c>
      <c r="F2452" s="3">
        <v>55134</v>
      </c>
      <c r="G2452" s="3">
        <v>1070</v>
      </c>
      <c r="H2452" s="3">
        <v>102</v>
      </c>
      <c r="I2452" s="4">
        <v>307.12</v>
      </c>
      <c r="J2452" s="4">
        <v>10397.1</v>
      </c>
      <c r="K2452" s="3">
        <v>63</v>
      </c>
      <c r="L2452" s="2" t="s">
        <v>2518</v>
      </c>
      <c r="M2452" s="2" t="s">
        <v>2524</v>
      </c>
    </row>
    <row r="2453" spans="1:13" x14ac:dyDescent="0.3">
      <c r="A2453" s="1">
        <v>45943</v>
      </c>
      <c r="B2453" s="2" t="s">
        <v>2639</v>
      </c>
      <c r="C2453" s="2" t="s">
        <v>2521</v>
      </c>
      <c r="D2453" s="2" t="s">
        <v>2525</v>
      </c>
      <c r="E2453" s="2" t="s">
        <v>2517</v>
      </c>
      <c r="F2453" s="3">
        <v>18622</v>
      </c>
      <c r="G2453" s="3">
        <v>1383</v>
      </c>
      <c r="H2453" s="3">
        <v>190</v>
      </c>
      <c r="I2453" s="4">
        <v>1561.52</v>
      </c>
      <c r="J2453" s="4">
        <v>13186.9</v>
      </c>
      <c r="K2453" s="3">
        <v>134</v>
      </c>
      <c r="L2453" s="2" t="s">
        <v>2518</v>
      </c>
      <c r="M2453" s="2" t="s">
        <v>2546</v>
      </c>
    </row>
    <row r="2454" spans="1:13" x14ac:dyDescent="0.3">
      <c r="A2454" s="1">
        <v>45799</v>
      </c>
      <c r="B2454" s="2" t="s">
        <v>2617</v>
      </c>
      <c r="C2454" s="2" t="s">
        <v>2527</v>
      </c>
      <c r="D2454" s="2" t="s">
        <v>2516</v>
      </c>
      <c r="E2454" s="2" t="s">
        <v>2529</v>
      </c>
      <c r="F2454" s="3">
        <v>20768</v>
      </c>
      <c r="G2454" s="3">
        <v>1198</v>
      </c>
      <c r="H2454" s="3">
        <v>96</v>
      </c>
      <c r="I2454" s="4">
        <v>733.98</v>
      </c>
      <c r="J2454" s="4">
        <v>4665.5600000000004</v>
      </c>
      <c r="K2454" s="3">
        <v>72</v>
      </c>
      <c r="L2454" s="2" t="s">
        <v>2536</v>
      </c>
      <c r="M2454" s="2" t="s">
        <v>2524</v>
      </c>
    </row>
    <row r="2455" spans="1:13" x14ac:dyDescent="0.3">
      <c r="A2455" s="1">
        <v>45871</v>
      </c>
      <c r="B2455" s="2" t="s">
        <v>2642</v>
      </c>
      <c r="C2455" s="2" t="s">
        <v>2533</v>
      </c>
      <c r="D2455" s="2" t="s">
        <v>2528</v>
      </c>
      <c r="E2455" s="2" t="s">
        <v>2529</v>
      </c>
      <c r="F2455" s="3">
        <v>43334</v>
      </c>
      <c r="G2455" s="3">
        <v>3699</v>
      </c>
      <c r="H2455" s="3">
        <v>167</v>
      </c>
      <c r="I2455" s="4">
        <v>6005.73</v>
      </c>
      <c r="J2455" s="4">
        <v>14322.33</v>
      </c>
      <c r="K2455" s="3">
        <v>83</v>
      </c>
      <c r="L2455" s="2" t="s">
        <v>2539</v>
      </c>
      <c r="M2455" s="2" t="s">
        <v>2537</v>
      </c>
    </row>
    <row r="2456" spans="1:13" x14ac:dyDescent="0.3">
      <c r="A2456" s="1">
        <v>45730</v>
      </c>
      <c r="B2456" s="2" t="s">
        <v>2639</v>
      </c>
      <c r="C2456" s="2" t="s">
        <v>2521</v>
      </c>
      <c r="D2456" s="2" t="s">
        <v>2528</v>
      </c>
      <c r="E2456" s="2" t="s">
        <v>2517</v>
      </c>
      <c r="F2456" s="3">
        <v>128199</v>
      </c>
      <c r="G2456" s="3">
        <v>4291</v>
      </c>
      <c r="H2456" s="3">
        <v>197</v>
      </c>
      <c r="I2456" s="4">
        <v>3924.31</v>
      </c>
      <c r="J2456" s="4">
        <v>39113.800000000003</v>
      </c>
      <c r="K2456" s="3">
        <v>169</v>
      </c>
      <c r="L2456" s="2" t="s">
        <v>2539</v>
      </c>
      <c r="M2456" s="2" t="s">
        <v>2526</v>
      </c>
    </row>
    <row r="2457" spans="1:13" x14ac:dyDescent="0.3">
      <c r="A2457" s="1">
        <v>45941</v>
      </c>
      <c r="B2457" s="2" t="s">
        <v>2617</v>
      </c>
      <c r="C2457" s="2" t="s">
        <v>2541</v>
      </c>
      <c r="D2457" s="2" t="s">
        <v>2528</v>
      </c>
      <c r="E2457" s="2" t="s">
        <v>2517</v>
      </c>
      <c r="F2457" s="3">
        <v>44999</v>
      </c>
      <c r="G2457" s="3">
        <v>641</v>
      </c>
      <c r="H2457" s="3">
        <v>4</v>
      </c>
      <c r="I2457" s="4">
        <v>384.52</v>
      </c>
      <c r="J2457" s="4">
        <v>852.55</v>
      </c>
      <c r="K2457" s="3">
        <v>2</v>
      </c>
      <c r="L2457" s="2" t="s">
        <v>2518</v>
      </c>
      <c r="M2457" s="2" t="s">
        <v>2519</v>
      </c>
    </row>
    <row r="2458" spans="1:13" x14ac:dyDescent="0.3">
      <c r="A2458" s="1">
        <v>45997</v>
      </c>
      <c r="B2458" s="2" t="s">
        <v>2615</v>
      </c>
      <c r="C2458" s="2" t="s">
        <v>2533</v>
      </c>
      <c r="D2458" s="2" t="s">
        <v>2531</v>
      </c>
      <c r="E2458" s="2" t="s">
        <v>2517</v>
      </c>
      <c r="F2458" s="3">
        <v>27560</v>
      </c>
      <c r="G2458" s="3">
        <v>1980</v>
      </c>
      <c r="H2458" s="3">
        <v>70</v>
      </c>
      <c r="I2458" s="4">
        <v>1018.45</v>
      </c>
      <c r="J2458" s="4">
        <v>6060.11</v>
      </c>
      <c r="K2458" s="3">
        <v>57</v>
      </c>
      <c r="L2458" s="2" t="s">
        <v>2523</v>
      </c>
      <c r="M2458" s="2" t="s">
        <v>2519</v>
      </c>
    </row>
    <row r="2459" spans="1:13" x14ac:dyDescent="0.3">
      <c r="A2459" s="1">
        <v>45665</v>
      </c>
      <c r="B2459" s="2" t="s">
        <v>2636</v>
      </c>
      <c r="C2459" s="2" t="s">
        <v>2541</v>
      </c>
      <c r="D2459" s="2" t="s">
        <v>2516</v>
      </c>
      <c r="E2459" s="2" t="s">
        <v>2529</v>
      </c>
      <c r="F2459" s="3">
        <v>121614</v>
      </c>
      <c r="G2459" s="3">
        <v>4655</v>
      </c>
      <c r="H2459" s="3">
        <v>474</v>
      </c>
      <c r="I2459" s="4">
        <v>2463.4</v>
      </c>
      <c r="J2459" s="4">
        <v>52288.23</v>
      </c>
      <c r="K2459" s="3">
        <v>245</v>
      </c>
      <c r="L2459" s="2" t="s">
        <v>2518</v>
      </c>
      <c r="M2459" s="2" t="s">
        <v>2546</v>
      </c>
    </row>
    <row r="2460" spans="1:13" x14ac:dyDescent="0.3">
      <c r="A2460" s="1">
        <v>45979</v>
      </c>
      <c r="B2460" s="2" t="s">
        <v>2641</v>
      </c>
      <c r="C2460" s="2" t="s">
        <v>2515</v>
      </c>
      <c r="D2460" s="2" t="s">
        <v>2528</v>
      </c>
      <c r="E2460" s="2" t="s">
        <v>2529</v>
      </c>
      <c r="F2460" s="3">
        <v>11152</v>
      </c>
      <c r="G2460" s="3">
        <v>60</v>
      </c>
      <c r="H2460" s="3">
        <v>5</v>
      </c>
      <c r="I2460" s="4">
        <v>28.8</v>
      </c>
      <c r="J2460" s="4">
        <v>992.32</v>
      </c>
      <c r="K2460" s="3">
        <v>2</v>
      </c>
      <c r="L2460" s="2" t="s">
        <v>2536</v>
      </c>
      <c r="M2460" s="2" t="s">
        <v>2546</v>
      </c>
    </row>
    <row r="2461" spans="1:13" x14ac:dyDescent="0.3">
      <c r="A2461" s="1">
        <v>45738</v>
      </c>
      <c r="B2461" s="2" t="s">
        <v>2644</v>
      </c>
      <c r="C2461" s="2" t="s">
        <v>2541</v>
      </c>
      <c r="D2461" s="2" t="s">
        <v>2528</v>
      </c>
      <c r="E2461" s="2" t="s">
        <v>2517</v>
      </c>
      <c r="F2461" s="3">
        <v>42456</v>
      </c>
      <c r="G2461" s="3">
        <v>977</v>
      </c>
      <c r="H2461" s="3">
        <v>5</v>
      </c>
      <c r="I2461" s="4">
        <v>1877.93</v>
      </c>
      <c r="J2461" s="4">
        <v>509.17</v>
      </c>
      <c r="K2461" s="3">
        <v>3</v>
      </c>
      <c r="L2461" s="2" t="s">
        <v>2518</v>
      </c>
      <c r="M2461" s="2" t="s">
        <v>2526</v>
      </c>
    </row>
    <row r="2462" spans="1:13" x14ac:dyDescent="0.3">
      <c r="A2462" s="1">
        <v>45960</v>
      </c>
      <c r="B2462" s="2" t="s">
        <v>2617</v>
      </c>
      <c r="C2462" s="2" t="s">
        <v>2533</v>
      </c>
      <c r="D2462" s="2" t="s">
        <v>2516</v>
      </c>
      <c r="E2462" s="2" t="s">
        <v>2517</v>
      </c>
      <c r="F2462" s="3">
        <v>16372</v>
      </c>
      <c r="G2462" s="3">
        <v>305</v>
      </c>
      <c r="H2462" s="3">
        <v>3</v>
      </c>
      <c r="I2462" s="4">
        <v>61.41</v>
      </c>
      <c r="J2462" s="4">
        <v>151.56</v>
      </c>
      <c r="K2462" s="3">
        <v>2</v>
      </c>
      <c r="L2462" s="2" t="s">
        <v>2523</v>
      </c>
      <c r="M2462" s="2" t="s">
        <v>2546</v>
      </c>
    </row>
    <row r="2463" spans="1:13" x14ac:dyDescent="0.3">
      <c r="A2463" s="1">
        <v>45870</v>
      </c>
      <c r="B2463" s="2" t="s">
        <v>2632</v>
      </c>
      <c r="C2463" s="2" t="s">
        <v>2521</v>
      </c>
      <c r="D2463" s="2" t="s">
        <v>2516</v>
      </c>
      <c r="E2463" s="2" t="s">
        <v>2529</v>
      </c>
      <c r="F2463" s="3">
        <v>117559</v>
      </c>
      <c r="G2463" s="3">
        <v>2732</v>
      </c>
      <c r="H2463" s="3">
        <v>83</v>
      </c>
      <c r="I2463" s="4">
        <v>4818.75</v>
      </c>
      <c r="J2463" s="4">
        <v>9651.4</v>
      </c>
      <c r="K2463" s="3">
        <v>55</v>
      </c>
      <c r="L2463" s="2" t="s">
        <v>2536</v>
      </c>
      <c r="M2463" s="2" t="s">
        <v>2526</v>
      </c>
    </row>
    <row r="2464" spans="1:13" x14ac:dyDescent="0.3">
      <c r="A2464" s="1">
        <v>45942</v>
      </c>
      <c r="B2464" s="2" t="s">
        <v>2639</v>
      </c>
      <c r="C2464" s="2" t="s">
        <v>2527</v>
      </c>
      <c r="D2464" s="2" t="s">
        <v>2525</v>
      </c>
      <c r="E2464" s="2" t="s">
        <v>2534</v>
      </c>
      <c r="F2464" s="3">
        <v>22612</v>
      </c>
      <c r="G2464" s="3">
        <v>556</v>
      </c>
      <c r="H2464" s="3">
        <v>69</v>
      </c>
      <c r="I2464" s="4">
        <v>309.48</v>
      </c>
      <c r="J2464" s="4">
        <v>8846.8700000000008</v>
      </c>
      <c r="K2464" s="3">
        <v>35</v>
      </c>
      <c r="L2464" s="2" t="s">
        <v>2539</v>
      </c>
      <c r="M2464" s="2" t="s">
        <v>2546</v>
      </c>
    </row>
    <row r="2465" spans="1:13" x14ac:dyDescent="0.3">
      <c r="A2465" s="1">
        <v>45877</v>
      </c>
      <c r="B2465" s="2" t="s">
        <v>2641</v>
      </c>
      <c r="C2465" s="2" t="s">
        <v>2543</v>
      </c>
      <c r="D2465" s="2" t="s">
        <v>2531</v>
      </c>
      <c r="E2465" s="2" t="s">
        <v>2529</v>
      </c>
      <c r="F2465" s="3">
        <v>23085</v>
      </c>
      <c r="G2465" s="3">
        <v>620</v>
      </c>
      <c r="H2465" s="3">
        <v>65</v>
      </c>
      <c r="I2465" s="4">
        <v>394.01</v>
      </c>
      <c r="J2465" s="4">
        <v>7554.21</v>
      </c>
      <c r="K2465" s="3">
        <v>51</v>
      </c>
      <c r="L2465" s="2" t="s">
        <v>2536</v>
      </c>
      <c r="M2465" s="2" t="s">
        <v>2526</v>
      </c>
    </row>
    <row r="2466" spans="1:13" x14ac:dyDescent="0.3">
      <c r="A2466" s="1">
        <v>45824</v>
      </c>
      <c r="B2466" s="2" t="s">
        <v>2618</v>
      </c>
      <c r="C2466" s="2" t="s">
        <v>2527</v>
      </c>
      <c r="D2466" s="2" t="s">
        <v>2528</v>
      </c>
      <c r="E2466" s="2" t="s">
        <v>2534</v>
      </c>
      <c r="F2466" s="3">
        <v>130725</v>
      </c>
      <c r="G2466" s="3">
        <v>8984</v>
      </c>
      <c r="H2466" s="3">
        <v>845</v>
      </c>
      <c r="I2466" s="4">
        <v>6429.68</v>
      </c>
      <c r="J2466" s="4">
        <v>23900.85</v>
      </c>
      <c r="K2466" s="3">
        <v>526</v>
      </c>
      <c r="L2466" s="2" t="s">
        <v>2536</v>
      </c>
      <c r="M2466" s="2" t="s">
        <v>2537</v>
      </c>
    </row>
    <row r="2467" spans="1:13" x14ac:dyDescent="0.3">
      <c r="A2467" s="1">
        <v>45877</v>
      </c>
      <c r="B2467" s="2" t="s">
        <v>2630</v>
      </c>
      <c r="C2467" s="2" t="s">
        <v>2543</v>
      </c>
      <c r="D2467" s="2" t="s">
        <v>2522</v>
      </c>
      <c r="E2467" s="2" t="s">
        <v>2517</v>
      </c>
      <c r="F2467" s="3">
        <v>48007</v>
      </c>
      <c r="G2467" s="3">
        <v>460</v>
      </c>
      <c r="H2467" s="3">
        <v>17</v>
      </c>
      <c r="I2467" s="4">
        <v>198.7</v>
      </c>
      <c r="J2467" s="4">
        <v>2338.36</v>
      </c>
      <c r="K2467" s="3">
        <v>10</v>
      </c>
      <c r="L2467" s="2" t="s">
        <v>2539</v>
      </c>
      <c r="M2467" s="2" t="s">
        <v>2537</v>
      </c>
    </row>
    <row r="2468" spans="1:13" x14ac:dyDescent="0.3">
      <c r="A2468" s="1">
        <v>45726</v>
      </c>
      <c r="B2468" s="2" t="s">
        <v>2618</v>
      </c>
      <c r="C2468" s="2" t="s">
        <v>2521</v>
      </c>
      <c r="D2468" s="2" t="s">
        <v>2531</v>
      </c>
      <c r="E2468" s="2" t="s">
        <v>2529</v>
      </c>
      <c r="F2468" s="3">
        <v>47850</v>
      </c>
      <c r="G2468" s="3">
        <v>2712</v>
      </c>
      <c r="H2468" s="3">
        <v>173</v>
      </c>
      <c r="I2468" s="4">
        <v>906.58</v>
      </c>
      <c r="J2468" s="4">
        <v>28561.94</v>
      </c>
      <c r="K2468" s="3">
        <v>134</v>
      </c>
      <c r="L2468" s="2" t="s">
        <v>2536</v>
      </c>
      <c r="M2468" s="2" t="s">
        <v>2546</v>
      </c>
    </row>
    <row r="2469" spans="1:13" x14ac:dyDescent="0.3">
      <c r="A2469" s="1">
        <v>45816</v>
      </c>
      <c r="B2469" s="2" t="s">
        <v>2627</v>
      </c>
      <c r="C2469" s="2" t="s">
        <v>2527</v>
      </c>
      <c r="D2469" s="2" t="s">
        <v>2531</v>
      </c>
      <c r="E2469" s="2" t="s">
        <v>2517</v>
      </c>
      <c r="F2469" s="3">
        <v>7238</v>
      </c>
      <c r="G2469" s="3">
        <v>222</v>
      </c>
      <c r="H2469" s="3">
        <v>7</v>
      </c>
      <c r="I2469" s="4">
        <v>191.93</v>
      </c>
      <c r="J2469" s="4">
        <v>513.34</v>
      </c>
      <c r="K2469" s="3">
        <v>4</v>
      </c>
      <c r="L2469" s="2" t="s">
        <v>2518</v>
      </c>
      <c r="M2469" s="2" t="s">
        <v>2546</v>
      </c>
    </row>
    <row r="2470" spans="1:13" x14ac:dyDescent="0.3">
      <c r="A2470" s="1">
        <v>46012</v>
      </c>
      <c r="B2470" s="2" t="s">
        <v>2621</v>
      </c>
      <c r="C2470" s="2" t="s">
        <v>2645</v>
      </c>
      <c r="D2470" s="2" t="s">
        <v>2528</v>
      </c>
      <c r="E2470" s="2" t="s">
        <v>2534</v>
      </c>
      <c r="F2470" s="3">
        <v>78232</v>
      </c>
      <c r="G2470" s="3">
        <v>2412</v>
      </c>
      <c r="H2470" s="3">
        <v>78</v>
      </c>
      <c r="I2470" s="4">
        <v>2979.21</v>
      </c>
      <c r="J2470" s="4">
        <v>16485.61</v>
      </c>
      <c r="K2470" s="3">
        <v>35</v>
      </c>
      <c r="L2470" s="2" t="s">
        <v>2518</v>
      </c>
      <c r="M2470" s="2" t="s">
        <v>2526</v>
      </c>
    </row>
    <row r="2471" spans="1:13" x14ac:dyDescent="0.3">
      <c r="A2471" s="1">
        <v>45718</v>
      </c>
      <c r="B2471" s="2" t="s">
        <v>2641</v>
      </c>
      <c r="C2471" s="2" t="s">
        <v>2521</v>
      </c>
      <c r="D2471" s="2" t="s">
        <v>2522</v>
      </c>
      <c r="E2471" s="2" t="s">
        <v>2517</v>
      </c>
      <c r="F2471" s="3">
        <v>32213</v>
      </c>
      <c r="G2471" s="3">
        <v>2076</v>
      </c>
      <c r="H2471" s="3">
        <v>275</v>
      </c>
      <c r="I2471" s="4">
        <v>3699.24</v>
      </c>
      <c r="J2471" s="4">
        <v>42238.89</v>
      </c>
      <c r="K2471" s="3">
        <v>192</v>
      </c>
      <c r="L2471" s="2" t="s">
        <v>2518</v>
      </c>
      <c r="M2471" s="2" t="s">
        <v>2546</v>
      </c>
    </row>
    <row r="2472" spans="1:13" x14ac:dyDescent="0.3">
      <c r="A2472" s="1">
        <v>45852</v>
      </c>
      <c r="B2472" s="2" t="s">
        <v>2616</v>
      </c>
      <c r="C2472" s="2" t="s">
        <v>2521</v>
      </c>
      <c r="D2472" s="2" t="s">
        <v>2522</v>
      </c>
      <c r="E2472" s="2" t="s">
        <v>2517</v>
      </c>
      <c r="F2472" s="3">
        <v>149006</v>
      </c>
      <c r="G2472" s="3">
        <v>3937</v>
      </c>
      <c r="H2472" s="3">
        <v>528</v>
      </c>
      <c r="I2472" s="4">
        <v>4470.6099999999997</v>
      </c>
      <c r="J2472" s="4">
        <v>26721.05</v>
      </c>
      <c r="K2472" s="3">
        <v>429</v>
      </c>
      <c r="L2472" s="2" t="s">
        <v>2523</v>
      </c>
      <c r="M2472" s="2" t="s">
        <v>2537</v>
      </c>
    </row>
    <row r="2473" spans="1:13" x14ac:dyDescent="0.3">
      <c r="A2473" s="1">
        <v>45713</v>
      </c>
      <c r="B2473" s="2" t="s">
        <v>2615</v>
      </c>
      <c r="C2473" s="2" t="s">
        <v>2541</v>
      </c>
      <c r="D2473" s="2" t="s">
        <v>2516</v>
      </c>
      <c r="E2473" s="2" t="s">
        <v>2529</v>
      </c>
      <c r="F2473" s="3">
        <v>123155</v>
      </c>
      <c r="G2473" s="3">
        <v>3529</v>
      </c>
      <c r="H2473" s="3">
        <v>413</v>
      </c>
      <c r="I2473" s="4">
        <v>7192.56</v>
      </c>
      <c r="J2473" s="4">
        <v>7697.17</v>
      </c>
      <c r="K2473" s="3">
        <v>250</v>
      </c>
      <c r="L2473" s="2" t="s">
        <v>2518</v>
      </c>
      <c r="M2473" s="2" t="s">
        <v>2526</v>
      </c>
    </row>
    <row r="2474" spans="1:13" x14ac:dyDescent="0.3">
      <c r="A2474" s="1">
        <v>45942</v>
      </c>
      <c r="B2474" s="2" t="s">
        <v>2621</v>
      </c>
      <c r="C2474" s="2" t="s">
        <v>2541</v>
      </c>
      <c r="D2474" s="2" t="s">
        <v>2522</v>
      </c>
      <c r="E2474" s="2" t="s">
        <v>2517</v>
      </c>
      <c r="F2474" s="3">
        <v>115563</v>
      </c>
      <c r="G2474" s="3">
        <v>2064</v>
      </c>
      <c r="H2474" s="3">
        <v>67</v>
      </c>
      <c r="I2474" s="4">
        <v>1210.3599999999999</v>
      </c>
      <c r="J2474" s="4">
        <v>1247.69</v>
      </c>
      <c r="K2474" s="3">
        <v>41</v>
      </c>
      <c r="L2474" s="2" t="s">
        <v>2518</v>
      </c>
      <c r="M2474" s="2" t="s">
        <v>2537</v>
      </c>
    </row>
    <row r="2475" spans="1:13" x14ac:dyDescent="0.3">
      <c r="A2475" s="1">
        <v>45978</v>
      </c>
      <c r="B2475" s="2" t="s">
        <v>2618</v>
      </c>
      <c r="C2475" s="2" t="s">
        <v>2527</v>
      </c>
      <c r="D2475" s="2" t="s">
        <v>2528</v>
      </c>
      <c r="E2475" s="2" t="s">
        <v>2517</v>
      </c>
      <c r="F2475" s="3">
        <v>106405</v>
      </c>
      <c r="G2475" s="3">
        <v>8369</v>
      </c>
      <c r="H2475" s="3">
        <v>72</v>
      </c>
      <c r="I2475" s="4">
        <v>6594.17</v>
      </c>
      <c r="J2475" s="4">
        <v>4302.41</v>
      </c>
      <c r="K2475" s="3">
        <v>34</v>
      </c>
      <c r="L2475" s="2" t="s">
        <v>2539</v>
      </c>
      <c r="M2475" s="2" t="s">
        <v>2546</v>
      </c>
    </row>
    <row r="2476" spans="1:13" x14ac:dyDescent="0.3">
      <c r="A2476" s="1">
        <v>45750</v>
      </c>
      <c r="B2476" s="2" t="s">
        <v>2623</v>
      </c>
      <c r="C2476" s="2" t="s">
        <v>2543</v>
      </c>
      <c r="D2476" s="2" t="s">
        <v>2528</v>
      </c>
      <c r="E2476" s="2" t="s">
        <v>2534</v>
      </c>
      <c r="F2476" s="3">
        <v>1167</v>
      </c>
      <c r="G2476" s="3">
        <v>32</v>
      </c>
      <c r="H2476" s="3">
        <v>3</v>
      </c>
      <c r="I2476" s="4">
        <v>61.24</v>
      </c>
      <c r="J2476" s="4">
        <v>513.97</v>
      </c>
      <c r="K2476" s="3">
        <v>2</v>
      </c>
      <c r="L2476" s="2" t="s">
        <v>2539</v>
      </c>
      <c r="M2476" s="2" t="s">
        <v>2546</v>
      </c>
    </row>
    <row r="2477" spans="1:13" x14ac:dyDescent="0.3">
      <c r="A2477" s="1">
        <v>45947</v>
      </c>
      <c r="B2477" s="2" t="s">
        <v>2632</v>
      </c>
      <c r="C2477" s="2" t="s">
        <v>2533</v>
      </c>
      <c r="D2477" s="2" t="s">
        <v>2522</v>
      </c>
      <c r="E2477" s="2" t="s">
        <v>2517</v>
      </c>
      <c r="F2477" s="3">
        <v>41277</v>
      </c>
      <c r="G2477" s="3">
        <v>2138</v>
      </c>
      <c r="H2477" s="3">
        <v>116</v>
      </c>
      <c r="I2477" s="4">
        <v>2479.83</v>
      </c>
      <c r="J2477" s="4">
        <v>11289.34</v>
      </c>
      <c r="K2477" s="3">
        <v>97</v>
      </c>
      <c r="L2477" s="2" t="s">
        <v>2536</v>
      </c>
      <c r="M2477" s="2" t="s">
        <v>2546</v>
      </c>
    </row>
    <row r="2478" spans="1:13" x14ac:dyDescent="0.3">
      <c r="A2478" s="1">
        <v>45784</v>
      </c>
      <c r="B2478" s="2" t="s">
        <v>2622</v>
      </c>
      <c r="C2478" s="2" t="s">
        <v>2533</v>
      </c>
      <c r="D2478" s="2" t="s">
        <v>2531</v>
      </c>
      <c r="E2478" s="2" t="s">
        <v>2517</v>
      </c>
      <c r="F2478" s="3">
        <v>18037</v>
      </c>
      <c r="G2478" s="3">
        <v>1119</v>
      </c>
      <c r="H2478" s="3">
        <v>84</v>
      </c>
      <c r="I2478" s="4">
        <v>2288.3000000000002</v>
      </c>
      <c r="J2478" s="4">
        <v>4991.54</v>
      </c>
      <c r="K2478" s="3">
        <v>64</v>
      </c>
      <c r="L2478" s="2" t="s">
        <v>2539</v>
      </c>
      <c r="M2478" s="2" t="s">
        <v>2526</v>
      </c>
    </row>
    <row r="2479" spans="1:13" x14ac:dyDescent="0.3">
      <c r="A2479" s="1">
        <v>45945</v>
      </c>
      <c r="B2479" s="2" t="s">
        <v>2643</v>
      </c>
      <c r="C2479" s="2" t="s">
        <v>2521</v>
      </c>
      <c r="D2479" s="2" t="s">
        <v>2528</v>
      </c>
      <c r="E2479" s="2" t="s">
        <v>2517</v>
      </c>
      <c r="F2479" s="3">
        <v>95850</v>
      </c>
      <c r="G2479" s="3">
        <v>672</v>
      </c>
      <c r="H2479" s="3">
        <v>70</v>
      </c>
      <c r="I2479" s="4">
        <v>1199.28</v>
      </c>
      <c r="J2479" s="4">
        <v>11956.39</v>
      </c>
      <c r="K2479" s="3">
        <v>46</v>
      </c>
      <c r="L2479" s="2" t="s">
        <v>2536</v>
      </c>
      <c r="M2479" s="2" t="s">
        <v>2537</v>
      </c>
    </row>
    <row r="2480" spans="1:13" x14ac:dyDescent="0.3">
      <c r="A2480" s="1">
        <v>45664</v>
      </c>
      <c r="B2480" s="2" t="s">
        <v>2636</v>
      </c>
      <c r="C2480" s="2" t="s">
        <v>2527</v>
      </c>
      <c r="D2480" s="2" t="s">
        <v>2516</v>
      </c>
      <c r="E2480" s="2" t="s">
        <v>2517</v>
      </c>
      <c r="F2480" s="3">
        <v>63519</v>
      </c>
      <c r="G2480" s="3">
        <v>3811</v>
      </c>
      <c r="H2480" s="3">
        <v>415</v>
      </c>
      <c r="I2480" s="4">
        <v>5741.06</v>
      </c>
      <c r="J2480" s="4">
        <v>38183.360000000001</v>
      </c>
      <c r="K2480" s="3">
        <v>328</v>
      </c>
      <c r="L2480" s="2" t="s">
        <v>2536</v>
      </c>
      <c r="M2480" s="2" t="s">
        <v>2519</v>
      </c>
    </row>
    <row r="2481" spans="1:13" x14ac:dyDescent="0.3">
      <c r="A2481" s="1">
        <v>45675</v>
      </c>
      <c r="B2481" s="2" t="s">
        <v>2631</v>
      </c>
      <c r="C2481" s="2" t="s">
        <v>2521</v>
      </c>
      <c r="D2481" s="2" t="s">
        <v>2531</v>
      </c>
      <c r="E2481" s="2" t="s">
        <v>2517</v>
      </c>
      <c r="F2481" s="3">
        <v>141247</v>
      </c>
      <c r="G2481" s="3">
        <v>10050</v>
      </c>
      <c r="H2481" s="3">
        <v>89</v>
      </c>
      <c r="I2481" s="4">
        <v>9195.42</v>
      </c>
      <c r="J2481" s="4">
        <v>2930.77</v>
      </c>
      <c r="K2481" s="3">
        <v>78</v>
      </c>
      <c r="L2481" s="2" t="s">
        <v>2523</v>
      </c>
      <c r="M2481" s="2" t="s">
        <v>2546</v>
      </c>
    </row>
    <row r="2482" spans="1:13" x14ac:dyDescent="0.3">
      <c r="A2482" s="1">
        <v>45853</v>
      </c>
      <c r="B2482" s="2" t="s">
        <v>2632</v>
      </c>
      <c r="C2482" s="2" t="s">
        <v>2527</v>
      </c>
      <c r="D2482" s="2" t="s">
        <v>2525</v>
      </c>
      <c r="E2482" s="2" t="s">
        <v>2529</v>
      </c>
      <c r="F2482" s="3">
        <v>43257</v>
      </c>
      <c r="G2482" s="3">
        <v>200</v>
      </c>
      <c r="H2482" s="3">
        <v>3</v>
      </c>
      <c r="I2482" s="4">
        <v>248.41</v>
      </c>
      <c r="J2482" s="4">
        <v>253.61</v>
      </c>
      <c r="K2482" s="3">
        <v>2</v>
      </c>
      <c r="L2482" s="2" t="s">
        <v>2536</v>
      </c>
      <c r="M2482" s="2" t="s">
        <v>2524</v>
      </c>
    </row>
    <row r="2483" spans="1:13" x14ac:dyDescent="0.3">
      <c r="A2483" s="1">
        <v>45797</v>
      </c>
      <c r="B2483" s="2" t="s">
        <v>2619</v>
      </c>
      <c r="C2483" s="2" t="s">
        <v>2541</v>
      </c>
      <c r="D2483" s="2" t="s">
        <v>2525</v>
      </c>
      <c r="E2483" s="2" t="s">
        <v>2517</v>
      </c>
      <c r="F2483" s="3">
        <v>91559</v>
      </c>
      <c r="G2483" s="3">
        <v>1844</v>
      </c>
      <c r="H2483" s="3">
        <v>115</v>
      </c>
      <c r="I2483" s="4">
        <v>2847.34</v>
      </c>
      <c r="J2483" s="4">
        <v>8008.23</v>
      </c>
      <c r="K2483" s="3">
        <v>84</v>
      </c>
      <c r="L2483" s="2" t="s">
        <v>2523</v>
      </c>
      <c r="M2483" s="2" t="s">
        <v>2519</v>
      </c>
    </row>
    <row r="2484" spans="1:13" x14ac:dyDescent="0.3">
      <c r="A2484" s="1">
        <v>45777</v>
      </c>
      <c r="B2484" s="2" t="s">
        <v>2640</v>
      </c>
      <c r="C2484" s="2" t="s">
        <v>2543</v>
      </c>
      <c r="D2484" s="2" t="s">
        <v>2522</v>
      </c>
      <c r="E2484" s="2" t="s">
        <v>2534</v>
      </c>
      <c r="F2484" s="3">
        <v>165506</v>
      </c>
      <c r="G2484" s="3">
        <v>1188</v>
      </c>
      <c r="H2484" s="3">
        <v>92</v>
      </c>
      <c r="I2484" s="4">
        <v>148.47999999999999</v>
      </c>
      <c r="J2484" s="4">
        <v>5724.74</v>
      </c>
      <c r="K2484" s="3">
        <v>58</v>
      </c>
      <c r="L2484" s="2" t="s">
        <v>2518</v>
      </c>
      <c r="M2484" s="2" t="s">
        <v>2519</v>
      </c>
    </row>
    <row r="2485" spans="1:13" x14ac:dyDescent="0.3">
      <c r="A2485" s="1">
        <v>45793</v>
      </c>
      <c r="B2485" s="2" t="s">
        <v>2629</v>
      </c>
      <c r="C2485" s="2" t="s">
        <v>2515</v>
      </c>
      <c r="D2485" s="2" t="s">
        <v>2531</v>
      </c>
      <c r="E2485" s="2" t="s">
        <v>2529</v>
      </c>
      <c r="F2485" s="3">
        <v>3038</v>
      </c>
      <c r="G2485" s="3">
        <v>193</v>
      </c>
      <c r="H2485" s="3">
        <v>24</v>
      </c>
      <c r="I2485" s="4">
        <v>303.76</v>
      </c>
      <c r="J2485" s="4">
        <v>4454.33</v>
      </c>
      <c r="K2485" s="3">
        <v>18</v>
      </c>
      <c r="L2485" s="2" t="s">
        <v>2518</v>
      </c>
      <c r="M2485" s="2" t="s">
        <v>2524</v>
      </c>
    </row>
    <row r="2486" spans="1:13" x14ac:dyDescent="0.3">
      <c r="A2486"/>
      <c r="B2486"/>
      <c r="C2486"/>
      <c r="D2486"/>
      <c r="E2486"/>
      <c r="F2486"/>
      <c r="G2486"/>
      <c r="H2486"/>
      <c r="I2486"/>
      <c r="J2486"/>
      <c r="K2486"/>
      <c r="L2486"/>
      <c r="M2486"/>
    </row>
    <row r="2487" spans="1:13" x14ac:dyDescent="0.3">
      <c r="A2487"/>
      <c r="B2487"/>
      <c r="C2487"/>
      <c r="D2487"/>
      <c r="E2487"/>
      <c r="F2487"/>
      <c r="G2487"/>
      <c r="H2487"/>
      <c r="I2487"/>
      <c r="J2487"/>
      <c r="K2487"/>
      <c r="L2487"/>
      <c r="M2487"/>
    </row>
    <row r="2488" spans="1:13" x14ac:dyDescent="0.3">
      <c r="A2488"/>
      <c r="B2488"/>
      <c r="C2488"/>
      <c r="D2488"/>
      <c r="E2488"/>
      <c r="F2488"/>
      <c r="G2488"/>
      <c r="H2488"/>
      <c r="I2488"/>
      <c r="J2488"/>
      <c r="K2488"/>
      <c r="L2488"/>
      <c r="M2488"/>
    </row>
    <row r="2489" spans="1:13" x14ac:dyDescent="0.3">
      <c r="A2489"/>
      <c r="B2489"/>
      <c r="C2489"/>
      <c r="D2489"/>
      <c r="E2489"/>
      <c r="F2489"/>
      <c r="G2489"/>
      <c r="H2489"/>
      <c r="I2489"/>
      <c r="J2489"/>
      <c r="K2489"/>
      <c r="L2489"/>
      <c r="M2489"/>
    </row>
    <row r="2490" spans="1:13" x14ac:dyDescent="0.3">
      <c r="A2490"/>
      <c r="B2490"/>
      <c r="C2490"/>
      <c r="D2490"/>
      <c r="E2490"/>
      <c r="F2490"/>
      <c r="G2490"/>
      <c r="H2490"/>
      <c r="I2490"/>
      <c r="J2490"/>
      <c r="K2490"/>
      <c r="L2490"/>
      <c r="M2490"/>
    </row>
    <row r="2491" spans="1:13" x14ac:dyDescent="0.3">
      <c r="A2491"/>
      <c r="B2491"/>
      <c r="C2491"/>
      <c r="D2491"/>
      <c r="E2491"/>
      <c r="F2491"/>
      <c r="G2491"/>
      <c r="H2491"/>
      <c r="I2491"/>
      <c r="J2491"/>
      <c r="K2491"/>
      <c r="L2491"/>
      <c r="M2491"/>
    </row>
    <row r="2492" spans="1:13" x14ac:dyDescent="0.3">
      <c r="A2492"/>
      <c r="B2492"/>
      <c r="C2492"/>
      <c r="D2492"/>
      <c r="E2492"/>
      <c r="F2492"/>
      <c r="G2492"/>
      <c r="H2492"/>
      <c r="I2492"/>
      <c r="J2492"/>
      <c r="K2492"/>
      <c r="L2492"/>
      <c r="M2492"/>
    </row>
    <row r="2493" spans="1:13" x14ac:dyDescent="0.3">
      <c r="A2493"/>
      <c r="B2493"/>
      <c r="C2493"/>
      <c r="D2493"/>
      <c r="E2493"/>
      <c r="F2493"/>
      <c r="G2493"/>
      <c r="H2493"/>
      <c r="I2493"/>
      <c r="J2493"/>
      <c r="K2493"/>
      <c r="L2493"/>
      <c r="M2493"/>
    </row>
    <row r="2494" spans="1:13" x14ac:dyDescent="0.3">
      <c r="A2494"/>
      <c r="B2494"/>
      <c r="C2494"/>
      <c r="D2494"/>
      <c r="E2494"/>
      <c r="F2494"/>
      <c r="G2494"/>
      <c r="H2494"/>
      <c r="I2494"/>
      <c r="J2494"/>
      <c r="K2494"/>
      <c r="L2494"/>
      <c r="M2494"/>
    </row>
    <row r="2495" spans="1:13" x14ac:dyDescent="0.3">
      <c r="A2495"/>
      <c r="B2495"/>
      <c r="C2495"/>
      <c r="D2495"/>
      <c r="E2495"/>
      <c r="F2495"/>
      <c r="G2495"/>
      <c r="H2495"/>
      <c r="I2495"/>
      <c r="J2495"/>
      <c r="K2495"/>
      <c r="L2495"/>
      <c r="M2495"/>
    </row>
    <row r="2496" spans="1:13" x14ac:dyDescent="0.3">
      <c r="A2496"/>
      <c r="B2496"/>
      <c r="C2496"/>
      <c r="D2496"/>
      <c r="E2496"/>
      <c r="F2496"/>
      <c r="G2496"/>
      <c r="H2496"/>
      <c r="I2496"/>
      <c r="J2496"/>
      <c r="K2496"/>
      <c r="L2496"/>
      <c r="M2496"/>
    </row>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4E8C-CB0F-41B9-ABA0-6C2018CC7927}">
  <dimension ref="A1:AB2520"/>
  <sheetViews>
    <sheetView tabSelected="1" topLeftCell="O1" workbookViewId="0">
      <selection activeCell="T17" sqref="T17"/>
    </sheetView>
  </sheetViews>
  <sheetFormatPr baseColWidth="10" defaultRowHeight="12" x14ac:dyDescent="0.3"/>
  <cols>
    <col min="1" max="1" width="11.5546875" style="1"/>
    <col min="2" max="2" width="13.77734375" style="2" customWidth="1"/>
    <col min="3" max="4" width="11.5546875" style="2"/>
    <col min="5" max="5" width="12.5546875" style="2" customWidth="1"/>
    <col min="6" max="6" width="13.5546875" style="3" customWidth="1"/>
    <col min="7" max="7" width="11.5546875" style="3"/>
    <col min="8" max="8" width="14.33203125" style="3" customWidth="1"/>
    <col min="9" max="9" width="12.21875" style="4" customWidth="1"/>
    <col min="10" max="10" width="14.21875" style="4" customWidth="1"/>
    <col min="11" max="11" width="17" style="3" customWidth="1"/>
    <col min="12" max="12" width="15.5546875" style="2" customWidth="1"/>
    <col min="13" max="13" width="13.88671875" style="2" customWidth="1"/>
    <col min="14" max="14" width="11.5546875" style="8"/>
    <col min="15" max="15" width="19.5546875" style="8" bestFit="1" customWidth="1"/>
    <col min="16" max="17" width="11.5546875" style="4"/>
    <col min="18" max="18" width="11.5546875" style="12"/>
    <col min="19" max="19" width="11.5546875" style="7"/>
    <col min="20" max="20" width="24.6640625" bestFit="1" customWidth="1"/>
    <col min="22" max="22" width="14.109375" bestFit="1" customWidth="1"/>
    <col min="24" max="24" width="17.5546875" bestFit="1" customWidth="1"/>
    <col min="26" max="26" width="14" bestFit="1" customWidth="1"/>
    <col min="27" max="27" width="15.6640625" bestFit="1" customWidth="1"/>
    <col min="28" max="28" width="14.5546875" bestFit="1" customWidth="1"/>
  </cols>
  <sheetData>
    <row r="1" spans="1:28" x14ac:dyDescent="0.3">
      <c r="A1" s="1" t="s">
        <v>2501</v>
      </c>
      <c r="B1" s="2" t="s">
        <v>2502</v>
      </c>
      <c r="C1" s="2" t="s">
        <v>2503</v>
      </c>
      <c r="D1" s="2" t="s">
        <v>2504</v>
      </c>
      <c r="E1" s="2" t="s">
        <v>2505</v>
      </c>
      <c r="F1" s="3" t="s">
        <v>2506</v>
      </c>
      <c r="G1" s="3" t="s">
        <v>2507</v>
      </c>
      <c r="H1" s="3" t="s">
        <v>2508</v>
      </c>
      <c r="I1" s="4" t="s">
        <v>2509</v>
      </c>
      <c r="J1" s="4" t="s">
        <v>2510</v>
      </c>
      <c r="K1" s="3" t="s">
        <v>2511</v>
      </c>
      <c r="L1" s="2" t="s">
        <v>2512</v>
      </c>
      <c r="M1" s="2" t="s">
        <v>2513</v>
      </c>
      <c r="N1" s="8" t="s">
        <v>2654</v>
      </c>
      <c r="O1" s="8" t="s">
        <v>2655</v>
      </c>
      <c r="P1" s="4" t="s">
        <v>2656</v>
      </c>
      <c r="Q1" s="4" t="s">
        <v>2657</v>
      </c>
      <c r="R1" s="12" t="s">
        <v>2658</v>
      </c>
      <c r="S1" s="7" t="s">
        <v>2659</v>
      </c>
      <c r="T1" t="s">
        <v>2660</v>
      </c>
      <c r="U1" t="s">
        <v>2661</v>
      </c>
      <c r="V1" t="s">
        <v>2662</v>
      </c>
      <c r="W1" t="s">
        <v>2663</v>
      </c>
      <c r="X1" t="s">
        <v>2664</v>
      </c>
      <c r="Y1" t="s">
        <v>2665</v>
      </c>
      <c r="Z1" t="s">
        <v>2666</v>
      </c>
      <c r="AA1" t="s">
        <v>2743</v>
      </c>
      <c r="AB1" t="s">
        <v>2742</v>
      </c>
    </row>
    <row r="2" spans="1:28" x14ac:dyDescent="0.3">
      <c r="A2" s="1">
        <v>45868</v>
      </c>
      <c r="B2" s="2" t="s">
        <v>2615</v>
      </c>
      <c r="C2" s="2" t="s">
        <v>2515</v>
      </c>
      <c r="D2" s="2" t="s">
        <v>2516</v>
      </c>
      <c r="E2" s="2" t="s">
        <v>2517</v>
      </c>
      <c r="F2" s="3">
        <v>129041</v>
      </c>
      <c r="G2" s="3">
        <v>9255</v>
      </c>
      <c r="H2" s="3">
        <v>1081</v>
      </c>
      <c r="I2" s="4">
        <v>4728.1400000000003</v>
      </c>
      <c r="J2" s="4">
        <v>195401.22</v>
      </c>
      <c r="K2" s="3">
        <v>926</v>
      </c>
      <c r="L2" s="2" t="s">
        <v>2518</v>
      </c>
      <c r="M2" s="2" t="s">
        <v>2519</v>
      </c>
      <c r="N2" s="8">
        <f>IFERROR(G2/F2,0)</f>
        <v>7.1721390875768162E-2</v>
      </c>
      <c r="O2" s="8">
        <f>IFERROR(H2/G2,0)</f>
        <v>0.11680172879524581</v>
      </c>
      <c r="P2" s="4">
        <f>IFERROR(I2/G2,0)</f>
        <v>0.51087412209616423</v>
      </c>
      <c r="Q2" s="4">
        <f>IFERROR(I2/H2,0)</f>
        <v>4.3738575393154493</v>
      </c>
      <c r="R2" s="12">
        <f>IFERROR(J2/I2,0)</f>
        <v>41.327291493060692</v>
      </c>
      <c r="S2" s="7">
        <f>Tabla_nuevas_columnas[[#This Row],[ROAS]]</f>
        <v>41.327291493060692</v>
      </c>
      <c r="T2" t="str">
        <f>_xlfn.CONCAT(C2,"-",D2)</f>
        <v>Email-México</v>
      </c>
      <c r="U2">
        <f>YEAR(A2)</f>
        <v>2025</v>
      </c>
      <c r="V2">
        <f>MONTH(A2)</f>
        <v>7</v>
      </c>
      <c r="W2" t="str">
        <f>PROPER(TEXT(A2,"mmmm"))</f>
        <v>Julio</v>
      </c>
      <c r="X2" t="str">
        <f>PROPER(TEXT(A2,"dddd"))</f>
        <v>Miércoles</v>
      </c>
      <c r="Y2" t="str" cm="1">
        <f t="array" ref="Y2">_xlfn.IFS(R2&gt;10,"Excelente",R2&gt;=5,"Bueno",R2&gt;=2,"Débil",R2&lt;2,"Deficiente")</f>
        <v>Excelente</v>
      </c>
      <c r="Z2" t="str">
        <f>IF(AND(R2&lt;2,Q2&gt;=100),"Revisar","OK")</f>
        <v>OK</v>
      </c>
      <c r="AA2" s="55">
        <f>_xlfn.XLOOKUP(C2,'Preguntas de negocio'!$C$114:$C$119,'Preguntas de negocio'!$D$114:$D$119,0)</f>
        <v>5.5</v>
      </c>
      <c r="AB2" s="55">
        <f>VLOOKUP(C2,'Preguntas de negocio'!$C$121:$D$127,2,FALSE)</f>
        <v>0.65</v>
      </c>
    </row>
    <row r="3" spans="1:28" x14ac:dyDescent="0.3">
      <c r="A3" s="1">
        <v>45779</v>
      </c>
      <c r="B3" s="2" t="s">
        <v>2616</v>
      </c>
      <c r="C3" s="2" t="s">
        <v>2521</v>
      </c>
      <c r="D3" s="2" t="s">
        <v>2522</v>
      </c>
      <c r="E3" s="2" t="s">
        <v>2517</v>
      </c>
      <c r="F3" s="3">
        <v>50677</v>
      </c>
      <c r="G3" s="3">
        <v>4047</v>
      </c>
      <c r="H3" s="3">
        <v>409</v>
      </c>
      <c r="I3" s="4">
        <v>6481.73</v>
      </c>
      <c r="J3" s="4">
        <v>65100.85</v>
      </c>
      <c r="K3" s="3">
        <v>249</v>
      </c>
      <c r="L3" s="2" t="s">
        <v>2523</v>
      </c>
      <c r="M3" s="2" t="s">
        <v>2524</v>
      </c>
      <c r="N3" s="8">
        <f>IFERROR(G3/F3,0)</f>
        <v>7.9858713025632924E-2</v>
      </c>
      <c r="O3" s="9">
        <f>IFERROR(H3/G3,0)</f>
        <v>0.10106251544353842</v>
      </c>
      <c r="P3" s="4">
        <f>IFERROR(I3/G3,0)</f>
        <v>1.6016135408944896</v>
      </c>
      <c r="Q3" s="4">
        <f>IFERROR(I3/H3,0)</f>
        <v>15.847750611246942</v>
      </c>
      <c r="R3" s="12">
        <f>IFERROR(J3/I3,0)</f>
        <v>10.043746036937669</v>
      </c>
      <c r="S3" s="7">
        <f>Tabla_nuevas_columnas[[#This Row],[ROAS]]</f>
        <v>10.043746036937669</v>
      </c>
      <c r="T3" t="str">
        <f>_xlfn.CONCAT(C3,"-",D3)</f>
        <v>Paid Search-Italia</v>
      </c>
      <c r="U3">
        <f>YEAR(A3)</f>
        <v>2025</v>
      </c>
      <c r="V3">
        <f>MONTH(A3)</f>
        <v>5</v>
      </c>
      <c r="W3" t="str">
        <f>PROPER(TEXT(A3,"mmmm"))</f>
        <v>Mayo</v>
      </c>
      <c r="X3" t="str">
        <f>PROPER(TEXT(A3,"dddd"))</f>
        <v>Viernes</v>
      </c>
      <c r="Y3" t="str" cm="1">
        <f t="array" ref="Y3">_xlfn.IFS(R3&gt;10,"Excelente",R3&gt;=5,"Bueno",R3&gt;=2,"Débil",R3&lt;2,"Deficiente")</f>
        <v>Excelente</v>
      </c>
      <c r="Z3" t="str">
        <f>IF(AND(R3&lt;2,Q3&gt;=100),"Revisar","OK")</f>
        <v>OK</v>
      </c>
      <c r="AA3" s="55">
        <f>_xlfn.XLOOKUP(C3,'Preguntas de negocio'!$C$114:$C$119,'Preguntas de negocio'!$D$114:$D$119,0)</f>
        <v>5</v>
      </c>
      <c r="AB3" s="55">
        <f>VLOOKUP(C3,'Preguntas de negocio'!$C$121:$D$127,2,FALSE)</f>
        <v>1.1000000000000001</v>
      </c>
    </row>
    <row r="4" spans="1:28" x14ac:dyDescent="0.3">
      <c r="A4" s="1">
        <v>45662</v>
      </c>
      <c r="B4" s="2" t="s">
        <v>2616</v>
      </c>
      <c r="C4" s="2" t="s">
        <v>2515</v>
      </c>
      <c r="D4" s="2" t="s">
        <v>2525</v>
      </c>
      <c r="E4" s="2" t="s">
        <v>2517</v>
      </c>
      <c r="F4" s="3">
        <v>12070</v>
      </c>
      <c r="G4" s="3">
        <v>959</v>
      </c>
      <c r="H4" s="3">
        <v>57</v>
      </c>
      <c r="I4" s="4">
        <v>1465.19</v>
      </c>
      <c r="J4" s="4">
        <v>7772.79</v>
      </c>
      <c r="K4" s="3">
        <v>31</v>
      </c>
      <c r="L4" s="2" t="s">
        <v>2523</v>
      </c>
      <c r="M4" s="2" t="s">
        <v>2526</v>
      </c>
      <c r="N4" s="8">
        <f>IFERROR(G4/F4,0)</f>
        <v>7.9453189726594861E-2</v>
      </c>
      <c r="O4" s="8">
        <f>IFERROR(H4/G4,0)</f>
        <v>5.9436913451511988E-2</v>
      </c>
      <c r="P4" s="4">
        <f>IFERROR(I4/G4,0)</f>
        <v>1.5278310740354537</v>
      </c>
      <c r="Q4" s="4">
        <f>IFERROR(I4/H4,0)</f>
        <v>25.705087719298248</v>
      </c>
      <c r="R4" s="12">
        <f>IFERROR(J4/I4,0)</f>
        <v>5.3049706863956212</v>
      </c>
      <c r="S4" s="7">
        <f>Tabla_nuevas_columnas[[#This Row],[ROAS]]</f>
        <v>5.3049706863956212</v>
      </c>
      <c r="T4" t="str">
        <f>_xlfn.CONCAT(C4,"-",D4)</f>
        <v>Email-Francia</v>
      </c>
      <c r="U4">
        <f>YEAR(A4)</f>
        <v>2025</v>
      </c>
      <c r="V4">
        <f>MONTH(A4)</f>
        <v>1</v>
      </c>
      <c r="W4" t="str">
        <f>PROPER(TEXT(A4,"mmmm"))</f>
        <v>Enero</v>
      </c>
      <c r="X4" t="str">
        <f>PROPER(TEXT(A4,"dddd"))</f>
        <v>Domingo</v>
      </c>
      <c r="Y4" t="str" cm="1">
        <f t="array" ref="Y4">_xlfn.IFS(R4&gt;10,"Excelente",R4&gt;=5,"Bueno",R4&gt;=2,"Débil",R4&lt;2,"Deficiente")</f>
        <v>Bueno</v>
      </c>
      <c r="Z4" t="str">
        <f>IF(AND(R4&lt;2,Q4&gt;=100),"Revisar","OK")</f>
        <v>OK</v>
      </c>
      <c r="AA4" s="55">
        <f>_xlfn.XLOOKUP(C4,'Preguntas de negocio'!$C$114:$C$119,'Preguntas de negocio'!$D$114:$D$119,0)</f>
        <v>5.5</v>
      </c>
      <c r="AB4" s="55">
        <f>VLOOKUP(C4,'Preguntas de negocio'!$C$121:$D$127,2,FALSE)</f>
        <v>0.65</v>
      </c>
    </row>
    <row r="5" spans="1:28" x14ac:dyDescent="0.3">
      <c r="A5" s="1">
        <v>45815</v>
      </c>
      <c r="B5" s="2" t="s">
        <v>2615</v>
      </c>
      <c r="C5" s="2" t="s">
        <v>2527</v>
      </c>
      <c r="D5" s="2" t="s">
        <v>2528</v>
      </c>
      <c r="E5" s="2" t="s">
        <v>2529</v>
      </c>
      <c r="F5" s="3">
        <v>114121</v>
      </c>
      <c r="G5" s="3">
        <v>890</v>
      </c>
      <c r="H5" s="3">
        <v>114</v>
      </c>
      <c r="I5" s="4">
        <v>1196.8</v>
      </c>
      <c r="J5" s="4">
        <v>24221.439999999999</v>
      </c>
      <c r="K5" s="3">
        <v>52</v>
      </c>
      <c r="L5" s="2" t="s">
        <v>2518</v>
      </c>
      <c r="M5" s="2" t="s">
        <v>2524</v>
      </c>
      <c r="N5" s="8">
        <f>IFERROR(G5/F5,0)</f>
        <v>7.7987399339297762E-3</v>
      </c>
      <c r="O5" s="8">
        <f>IFERROR(H5/G5,0)</f>
        <v>0.12808988764044943</v>
      </c>
      <c r="P5" s="4">
        <f>IFERROR(I5/G5,0)</f>
        <v>1.3447191011235955</v>
      </c>
      <c r="Q5" s="4">
        <f>IFERROR(I5/H5,0)</f>
        <v>10.498245614035087</v>
      </c>
      <c r="R5" s="12">
        <f>IFERROR(J5/I5,0)</f>
        <v>20.238502673796791</v>
      </c>
      <c r="S5" s="7">
        <f>Tabla_nuevas_columnas[[#This Row],[ROAS]]</f>
        <v>20.238502673796791</v>
      </c>
      <c r="T5" t="str">
        <f>_xlfn.CONCAT(C5,"-",D5)</f>
        <v>Affiliate-España</v>
      </c>
      <c r="U5">
        <f>YEAR(A5)</f>
        <v>2025</v>
      </c>
      <c r="V5">
        <f>MONTH(A5)</f>
        <v>6</v>
      </c>
      <c r="W5" t="str">
        <f>PROPER(TEXT(A5,"mmmm"))</f>
        <v>Junio</v>
      </c>
      <c r="X5" t="str">
        <f>PROPER(TEXT(A5,"dddd"))</f>
        <v>Sábado</v>
      </c>
      <c r="Y5" t="str" cm="1">
        <f t="array" ref="Y5">_xlfn.IFS(R5&gt;10,"Excelente",R5&gt;=5,"Bueno",R5&gt;=2,"Débil",R5&lt;2,"Deficiente")</f>
        <v>Excelente</v>
      </c>
      <c r="Z5" t="str">
        <f>IF(AND(R5&lt;2,Q5&gt;=100),"Revisar","OK")</f>
        <v>OK</v>
      </c>
      <c r="AA5" s="55">
        <f>_xlfn.XLOOKUP(C5,'Preguntas de negocio'!$C$114:$C$119,'Preguntas de negocio'!$D$114:$D$119,0)</f>
        <v>4.5</v>
      </c>
      <c r="AB5" s="55">
        <f>VLOOKUP(C5,'Preguntas de negocio'!$C$121:$D$127,2,FALSE)</f>
        <v>0.35</v>
      </c>
    </row>
    <row r="6" spans="1:28" x14ac:dyDescent="0.3">
      <c r="A6" s="1">
        <v>45916</v>
      </c>
      <c r="B6" s="2" t="s">
        <v>2617</v>
      </c>
      <c r="C6" s="2" t="s">
        <v>2521</v>
      </c>
      <c r="D6" s="2" t="s">
        <v>2531</v>
      </c>
      <c r="E6" s="2" t="s">
        <v>2517</v>
      </c>
      <c r="F6" s="3">
        <v>123994</v>
      </c>
      <c r="G6" s="3">
        <v>5563</v>
      </c>
      <c r="H6" s="3">
        <v>308</v>
      </c>
      <c r="I6" s="4">
        <v>1315.48</v>
      </c>
      <c r="J6" s="4">
        <v>47341.08</v>
      </c>
      <c r="K6" s="3">
        <v>254</v>
      </c>
      <c r="L6" s="2" t="s">
        <v>2518</v>
      </c>
      <c r="M6" s="2" t="s">
        <v>2524</v>
      </c>
      <c r="N6" s="8">
        <f>IFERROR(G6/F6,0)</f>
        <v>4.486507411648951E-2</v>
      </c>
      <c r="O6" s="8">
        <f>IFERROR(H6/G6,0)</f>
        <v>5.5365809814848101E-2</v>
      </c>
      <c r="P6" s="4">
        <f>IFERROR(I6/G6,0)</f>
        <v>0.23646953082868957</v>
      </c>
      <c r="Q6" s="4">
        <f>IFERROR(I6/H6,0)</f>
        <v>4.2710389610389612</v>
      </c>
      <c r="R6" s="12">
        <f>IFERROR(J6/I6,0)</f>
        <v>35.98768510353635</v>
      </c>
      <c r="S6" s="7">
        <f>Tabla_nuevas_columnas[[#This Row],[ROAS]]</f>
        <v>35.98768510353635</v>
      </c>
      <c r="T6" t="str">
        <f>_xlfn.CONCAT(C6,"-",D6)</f>
        <v>Paid Search-Portugal</v>
      </c>
      <c r="U6">
        <f>YEAR(A6)</f>
        <v>2025</v>
      </c>
      <c r="V6">
        <f>MONTH(A6)</f>
        <v>9</v>
      </c>
      <c r="W6" t="str">
        <f>PROPER(TEXT(A6,"mmmm"))</f>
        <v>Septiembre</v>
      </c>
      <c r="X6" t="str">
        <f>PROPER(TEXT(A6,"dddd"))</f>
        <v>Martes</v>
      </c>
      <c r="Y6" t="str" cm="1">
        <f t="array" ref="Y6">_xlfn.IFS(R6&gt;10,"Excelente",R6&gt;=5,"Bueno",R6&gt;=2,"Débil",R6&lt;2,"Deficiente")</f>
        <v>Excelente</v>
      </c>
      <c r="Z6" t="str">
        <f>IF(AND(R6&lt;2,Q6&gt;=100),"Revisar","OK")</f>
        <v>OK</v>
      </c>
      <c r="AA6" s="55">
        <f>_xlfn.XLOOKUP(C6,'Preguntas de negocio'!$C$114:$C$119,'Preguntas de negocio'!$D$114:$D$119,0)</f>
        <v>5</v>
      </c>
      <c r="AB6" s="55">
        <f>VLOOKUP(C6,'Preguntas de negocio'!$C$121:$D$127,2,FALSE)</f>
        <v>1.1000000000000001</v>
      </c>
    </row>
    <row r="7" spans="1:28" x14ac:dyDescent="0.3">
      <c r="A7" s="1">
        <v>45934</v>
      </c>
      <c r="B7" s="2" t="s">
        <v>2618</v>
      </c>
      <c r="C7" s="2" t="s">
        <v>2533</v>
      </c>
      <c r="D7" s="2" t="s">
        <v>2531</v>
      </c>
      <c r="E7" s="2" t="s">
        <v>2534</v>
      </c>
      <c r="F7" s="3">
        <v>170534</v>
      </c>
      <c r="G7" s="3">
        <v>7543</v>
      </c>
      <c r="H7" s="3">
        <v>96</v>
      </c>
      <c r="I7" s="4">
        <v>10662.79</v>
      </c>
      <c r="J7" s="4">
        <v>15691.35</v>
      </c>
      <c r="K7" s="3">
        <v>51</v>
      </c>
      <c r="L7" s="2" t="s">
        <v>2518</v>
      </c>
      <c r="M7" s="2" t="s">
        <v>2519</v>
      </c>
      <c r="N7" s="8">
        <f>IFERROR(G7/F7,0)</f>
        <v>4.4231648820763018E-2</v>
      </c>
      <c r="O7" s="8">
        <f>IFERROR(H7/G7,0)</f>
        <v>1.2727031685005967E-2</v>
      </c>
      <c r="P7" s="4">
        <f>IFERROR(I7/G7,0)</f>
        <v>1.413600689380883</v>
      </c>
      <c r="Q7" s="4">
        <f>IFERROR(I7/H7,0)</f>
        <v>111.07072916666668</v>
      </c>
      <c r="R7" s="12">
        <f>IFERROR(J7/I7,0)</f>
        <v>1.4715988967240281</v>
      </c>
      <c r="S7" s="7">
        <f>Tabla_nuevas_columnas[[#This Row],[ROAS]]</f>
        <v>1.4715988967240281</v>
      </c>
      <c r="T7" t="str">
        <f>_xlfn.CONCAT(C7,"-",D7)</f>
        <v>Paid Social-Portugal</v>
      </c>
      <c r="U7">
        <f>YEAR(A7)</f>
        <v>2025</v>
      </c>
      <c r="V7">
        <f>MONTH(A7)</f>
        <v>10</v>
      </c>
      <c r="W7" t="str">
        <f>PROPER(TEXT(A7,"mmmm"))</f>
        <v>Octubre</v>
      </c>
      <c r="X7" t="str">
        <f>PROPER(TEXT(A7,"dddd"))</f>
        <v>Sábado</v>
      </c>
      <c r="Y7" t="str" cm="1">
        <f t="array" ref="Y7">_xlfn.IFS(R7&gt;10,"Excelente",R7&gt;=5,"Bueno",R7&gt;=2,"Débil",R7&lt;2,"Deficiente")</f>
        <v>Deficiente</v>
      </c>
      <c r="Z7" t="str">
        <f>IF(AND(R7&lt;2,Q7&gt;=100),"Revisar","OK")</f>
        <v>Revisar</v>
      </c>
      <c r="AA7" s="55">
        <f>_xlfn.XLOOKUP(C7,'Preguntas de negocio'!$C$114:$C$119,'Preguntas de negocio'!$D$114:$D$119,0)</f>
        <v>6</v>
      </c>
      <c r="AB7" s="55">
        <f>VLOOKUP(C7,'Preguntas de negocio'!$C$121:$D$127,2,FALSE)</f>
        <v>0.8</v>
      </c>
    </row>
    <row r="8" spans="1:28" x14ac:dyDescent="0.3">
      <c r="A8" s="1">
        <v>45828</v>
      </c>
      <c r="B8" s="2" t="s">
        <v>2619</v>
      </c>
      <c r="C8" s="2" t="s">
        <v>2515</v>
      </c>
      <c r="D8" s="2" t="s">
        <v>2525</v>
      </c>
      <c r="E8" s="2" t="s">
        <v>2534</v>
      </c>
      <c r="F8" s="3">
        <v>84579</v>
      </c>
      <c r="G8" s="3">
        <v>3855</v>
      </c>
      <c r="H8" s="3">
        <v>121</v>
      </c>
      <c r="I8" s="4">
        <v>7967.14</v>
      </c>
      <c r="J8" s="4">
        <v>12733.03</v>
      </c>
      <c r="K8" s="3">
        <v>58</v>
      </c>
      <c r="L8" s="2" t="s">
        <v>2536</v>
      </c>
      <c r="M8" s="2" t="s">
        <v>2537</v>
      </c>
      <c r="N8" s="8">
        <f>IFERROR(G8/F8,0)</f>
        <v>4.557868974568155E-2</v>
      </c>
      <c r="O8" s="8">
        <f>IFERROR(H8/G8,0)</f>
        <v>3.1387808041504539E-2</v>
      </c>
      <c r="P8" s="4">
        <f>IFERROR(I8/G8,0)</f>
        <v>2.0667029831387809</v>
      </c>
      <c r="Q8" s="4">
        <f>IFERROR(I8/H8,0)</f>
        <v>65.844132231404956</v>
      </c>
      <c r="R8" s="12">
        <f>IFERROR(J8/I8,0)</f>
        <v>1.5981933290992754</v>
      </c>
      <c r="S8" s="7">
        <f>Tabla_nuevas_columnas[[#This Row],[ROAS]]</f>
        <v>1.5981933290992754</v>
      </c>
      <c r="T8" t="str">
        <f>_xlfn.CONCAT(C8,"-",D8)</f>
        <v>Email-Francia</v>
      </c>
      <c r="U8">
        <f>YEAR(A8)</f>
        <v>2025</v>
      </c>
      <c r="V8">
        <f>MONTH(A8)</f>
        <v>6</v>
      </c>
      <c r="W8" t="str">
        <f>PROPER(TEXT(A8,"mmmm"))</f>
        <v>Junio</v>
      </c>
      <c r="X8" t="str">
        <f>PROPER(TEXT(A8,"dddd"))</f>
        <v>Viernes</v>
      </c>
      <c r="Y8" t="str" cm="1">
        <f t="array" ref="Y8">_xlfn.IFS(R8&gt;10,"Excelente",R8&gt;=5,"Bueno",R8&gt;=2,"Débil",R8&lt;2,"Deficiente")</f>
        <v>Deficiente</v>
      </c>
      <c r="Z8" t="str">
        <f>IF(AND(R8&lt;2,Q8&gt;=100),"Revisar","OK")</f>
        <v>OK</v>
      </c>
      <c r="AA8" s="55">
        <f>_xlfn.XLOOKUP(C8,'Preguntas de negocio'!$C$114:$C$119,'Preguntas de negocio'!$D$114:$D$119,0)</f>
        <v>5.5</v>
      </c>
      <c r="AB8" s="55">
        <f>VLOOKUP(C8,'Preguntas de negocio'!$C$121:$D$127,2,FALSE)</f>
        <v>0.65</v>
      </c>
    </row>
    <row r="9" spans="1:28" x14ac:dyDescent="0.3">
      <c r="A9" s="1">
        <v>45941</v>
      </c>
      <c r="B9" s="2" t="s">
        <v>2620</v>
      </c>
      <c r="C9" s="2" t="s">
        <v>2527</v>
      </c>
      <c r="D9" s="2" t="s">
        <v>2531</v>
      </c>
      <c r="E9" s="2" t="s">
        <v>2529</v>
      </c>
      <c r="F9" s="3">
        <v>125454</v>
      </c>
      <c r="G9" s="3">
        <v>7459</v>
      </c>
      <c r="H9" s="3">
        <v>507</v>
      </c>
      <c r="I9" s="4">
        <v>14866.14</v>
      </c>
      <c r="J9" s="4">
        <v>74384.02</v>
      </c>
      <c r="K9" s="3">
        <v>356</v>
      </c>
      <c r="L9" s="2" t="s">
        <v>2539</v>
      </c>
      <c r="M9" s="2" t="s">
        <v>2526</v>
      </c>
      <c r="N9" s="8">
        <f>IFERROR(G9/F9,0)</f>
        <v>5.9456055606038866E-2</v>
      </c>
      <c r="O9" s="10">
        <f>IFERROR(H9/G9,0)</f>
        <v>6.7971577959512003E-2</v>
      </c>
      <c r="P9" s="4">
        <f>IFERROR(I9/G9,0)</f>
        <v>1.9930473253787371</v>
      </c>
      <c r="Q9" s="4">
        <f>IFERROR(I9/H9,0)</f>
        <v>29.321775147928992</v>
      </c>
      <c r="R9" s="12">
        <f>IFERROR(J9/I9,0)</f>
        <v>5.003586674146753</v>
      </c>
      <c r="S9" s="7">
        <f>Tabla_nuevas_columnas[[#This Row],[ROAS]]</f>
        <v>5.003586674146753</v>
      </c>
      <c r="T9" t="str">
        <f>_xlfn.CONCAT(C9,"-",D9)</f>
        <v>Affiliate-Portugal</v>
      </c>
      <c r="U9">
        <f>YEAR(A9)</f>
        <v>2025</v>
      </c>
      <c r="V9">
        <f>MONTH(A9)</f>
        <v>10</v>
      </c>
      <c r="W9" t="str">
        <f>PROPER(TEXT(A9,"mmmm"))</f>
        <v>Octubre</v>
      </c>
      <c r="X9" t="str">
        <f>PROPER(TEXT(A9,"dddd"))</f>
        <v>Sábado</v>
      </c>
      <c r="Y9" t="str" cm="1">
        <f t="array" ref="Y9">_xlfn.IFS(R9&gt;10,"Excelente",R9&gt;=5,"Bueno",R9&gt;=2,"Débil",R9&lt;2,"Deficiente")</f>
        <v>Bueno</v>
      </c>
      <c r="Z9" t="str">
        <f>IF(AND(R9&lt;2,Q9&gt;=100),"Revisar","OK")</f>
        <v>OK</v>
      </c>
      <c r="AA9" s="55">
        <f>_xlfn.XLOOKUP(C9,'Preguntas de negocio'!$C$114:$C$119,'Preguntas de negocio'!$D$114:$D$119,0)</f>
        <v>4.5</v>
      </c>
      <c r="AB9" s="55">
        <f>VLOOKUP(C9,'Preguntas de negocio'!$C$121:$D$127,2,FALSE)</f>
        <v>0.35</v>
      </c>
    </row>
    <row r="10" spans="1:28" x14ac:dyDescent="0.3">
      <c r="A10" s="1">
        <v>45908</v>
      </c>
      <c r="B10" s="2" t="s">
        <v>2621</v>
      </c>
      <c r="C10" s="2" t="s">
        <v>2521</v>
      </c>
      <c r="D10" s="2" t="s">
        <v>2531</v>
      </c>
      <c r="E10" s="2" t="s">
        <v>2517</v>
      </c>
      <c r="F10" s="3">
        <v>147026</v>
      </c>
      <c r="G10" s="3">
        <v>2076</v>
      </c>
      <c r="H10" s="3">
        <v>174</v>
      </c>
      <c r="I10" s="4">
        <v>574.54999999999995</v>
      </c>
      <c r="J10" s="4">
        <v>13381.79</v>
      </c>
      <c r="K10" s="3">
        <v>125</v>
      </c>
      <c r="L10" s="2" t="s">
        <v>2539</v>
      </c>
      <c r="M10" s="2" t="s">
        <v>2524</v>
      </c>
      <c r="N10" s="8">
        <f>IFERROR(G10/F10,0)</f>
        <v>1.4119951573191136E-2</v>
      </c>
      <c r="O10" s="8">
        <f>IFERROR(H10/G10,0)</f>
        <v>8.3815028901734104E-2</v>
      </c>
      <c r="P10" s="4">
        <f>IFERROR(I10/G10,0)</f>
        <v>0.2767581888246628</v>
      </c>
      <c r="Q10" s="4">
        <f>IFERROR(I10/H10,0)</f>
        <v>3.3020114942528731</v>
      </c>
      <c r="R10" s="12">
        <f>IFERROR(J10/I10,0)</f>
        <v>23.290905926377167</v>
      </c>
      <c r="S10" s="7">
        <f>Tabla_nuevas_columnas[[#This Row],[ROAS]]</f>
        <v>23.290905926377167</v>
      </c>
      <c r="T10" t="str">
        <f>_xlfn.CONCAT(C10,"-",D10)</f>
        <v>Paid Search-Portugal</v>
      </c>
      <c r="U10">
        <f>YEAR(A10)</f>
        <v>2025</v>
      </c>
      <c r="V10">
        <f>MONTH(A10)</f>
        <v>9</v>
      </c>
      <c r="W10" t="str">
        <f>PROPER(TEXT(A10,"mmmm"))</f>
        <v>Septiembre</v>
      </c>
      <c r="X10" t="str">
        <f>PROPER(TEXT(A10,"dddd"))</f>
        <v>Lunes</v>
      </c>
      <c r="Y10" t="str" cm="1">
        <f t="array" ref="Y10">_xlfn.IFS(R10&gt;10,"Excelente",R10&gt;=5,"Bueno",R10&gt;=2,"Débil",R10&lt;2,"Deficiente")</f>
        <v>Excelente</v>
      </c>
      <c r="Z10" t="str">
        <f>IF(AND(R10&lt;2,Q10&gt;=100),"Revisar","OK")</f>
        <v>OK</v>
      </c>
      <c r="AA10" s="55">
        <f>_xlfn.XLOOKUP(C10,'Preguntas de negocio'!$C$114:$C$119,'Preguntas de negocio'!$D$114:$D$119,0)</f>
        <v>5</v>
      </c>
      <c r="AB10" s="55">
        <f>VLOOKUP(C10,'Preguntas de negocio'!$C$121:$D$127,2,FALSE)</f>
        <v>1.1000000000000001</v>
      </c>
    </row>
    <row r="11" spans="1:28" x14ac:dyDescent="0.3">
      <c r="A11" s="1">
        <v>45974</v>
      </c>
      <c r="B11" s="2" t="s">
        <v>2615</v>
      </c>
      <c r="C11" s="2" t="s">
        <v>2541</v>
      </c>
      <c r="D11" s="2" t="s">
        <v>2525</v>
      </c>
      <c r="E11" s="2" t="s">
        <v>2529</v>
      </c>
      <c r="F11" s="3">
        <v>8375</v>
      </c>
      <c r="G11" s="3">
        <v>469</v>
      </c>
      <c r="H11" s="3">
        <v>33</v>
      </c>
      <c r="I11" s="4">
        <v>672.99</v>
      </c>
      <c r="J11" s="4">
        <v>5104.2299999999996</v>
      </c>
      <c r="K11" s="3">
        <v>18</v>
      </c>
      <c r="L11" s="2" t="s">
        <v>2539</v>
      </c>
      <c r="M11" s="2" t="s">
        <v>2537</v>
      </c>
      <c r="N11" s="8">
        <f>IFERROR(G11/F11,0)</f>
        <v>5.6000000000000001E-2</v>
      </c>
      <c r="O11" s="8">
        <f>IFERROR(H11/G11,0)</f>
        <v>7.0362473347547971E-2</v>
      </c>
      <c r="P11" s="4">
        <f>IFERROR(I11/G11,0)</f>
        <v>1.4349466950959489</v>
      </c>
      <c r="Q11" s="4">
        <f>IFERROR(I11/H11,0)</f>
        <v>20.393636363636364</v>
      </c>
      <c r="R11" s="12">
        <f>IFERROR(J11/I11,0)</f>
        <v>7.5844069005482986</v>
      </c>
      <c r="S11" s="7">
        <f>Tabla_nuevas_columnas[[#This Row],[ROAS]]</f>
        <v>7.5844069005482986</v>
      </c>
      <c r="T11" t="str">
        <f>_xlfn.CONCAT(C11,"-",D11)</f>
        <v>Display-Francia</v>
      </c>
      <c r="U11">
        <f>YEAR(A11)</f>
        <v>2025</v>
      </c>
      <c r="V11">
        <f>MONTH(A11)</f>
        <v>11</v>
      </c>
      <c r="W11" t="str">
        <f>PROPER(TEXT(A11,"mmmm"))</f>
        <v>Noviembre</v>
      </c>
      <c r="X11" t="str">
        <f>PROPER(TEXT(A11,"dddd"))</f>
        <v>Jueves</v>
      </c>
      <c r="Y11" t="str" cm="1">
        <f t="array" ref="Y11">_xlfn.IFS(R11&gt;10,"Excelente",R11&gt;=5,"Bueno",R11&gt;=2,"Débil",R11&lt;2,"Deficiente")</f>
        <v>Bueno</v>
      </c>
      <c r="Z11" t="str">
        <f>IF(AND(R11&lt;2,Q11&gt;=100),"Revisar","OK")</f>
        <v>OK</v>
      </c>
      <c r="AA11" s="55">
        <f>_xlfn.XLOOKUP(C11,'Preguntas de negocio'!$C$114:$C$119,'Preguntas de negocio'!$D$114:$D$119,0)</f>
        <v>5</v>
      </c>
      <c r="AB11" s="55">
        <f>VLOOKUP(C11,'Preguntas de negocio'!$C$121:$D$127,2,FALSE)</f>
        <v>0.5</v>
      </c>
    </row>
    <row r="12" spans="1:28" x14ac:dyDescent="0.3">
      <c r="A12" s="1">
        <v>45838</v>
      </c>
      <c r="B12" s="2" t="s">
        <v>2622</v>
      </c>
      <c r="C12" s="2" t="s">
        <v>2543</v>
      </c>
      <c r="D12" s="2" t="s">
        <v>2528</v>
      </c>
      <c r="E12" s="2" t="s">
        <v>2517</v>
      </c>
      <c r="F12" s="3">
        <v>169640</v>
      </c>
      <c r="G12" s="3">
        <v>13188</v>
      </c>
      <c r="H12" s="3">
        <v>1573</v>
      </c>
      <c r="I12" s="4">
        <v>3188.1</v>
      </c>
      <c r="J12" s="4">
        <v>158029.53</v>
      </c>
      <c r="K12" s="3">
        <v>1309</v>
      </c>
      <c r="L12" s="2" t="s">
        <v>2523</v>
      </c>
      <c r="M12" s="2" t="s">
        <v>2524</v>
      </c>
      <c r="N12" s="8">
        <f>IFERROR(G12/F12,0)</f>
        <v>7.7741098797453431E-2</v>
      </c>
      <c r="O12" s="8">
        <f>IFERROR(H12/G12,0)</f>
        <v>0.11927509857446163</v>
      </c>
      <c r="P12" s="4">
        <f>IFERROR(I12/G12,0)</f>
        <v>0.24174249317561419</v>
      </c>
      <c r="Q12" s="4">
        <f>IFERROR(I12/H12,0)</f>
        <v>2.0267641449459632</v>
      </c>
      <c r="R12" s="12">
        <f>IFERROR(J12/I12,0)</f>
        <v>49.568561212007154</v>
      </c>
      <c r="S12" s="7">
        <f>Tabla_nuevas_columnas[[#This Row],[ROAS]]</f>
        <v>49.568561212007154</v>
      </c>
      <c r="T12" t="str">
        <f>_xlfn.CONCAT(C12,"-",D12)</f>
        <v>Organic Social-España</v>
      </c>
      <c r="U12">
        <f>YEAR(A12)</f>
        <v>2025</v>
      </c>
      <c r="V12">
        <f>MONTH(A12)</f>
        <v>6</v>
      </c>
      <c r="W12" t="str">
        <f>PROPER(TEXT(A12,"mmmm"))</f>
        <v>Junio</v>
      </c>
      <c r="X12" t="str">
        <f>PROPER(TEXT(A12,"dddd"))</f>
        <v>Lunes</v>
      </c>
      <c r="Y12" t="str" cm="1">
        <f t="array" ref="Y12">_xlfn.IFS(R12&gt;10,"Excelente",R12&gt;=5,"Bueno",R12&gt;=2,"Débil",R12&lt;2,"Deficiente")</f>
        <v>Excelente</v>
      </c>
      <c r="Z12" t="str">
        <f>IF(AND(R12&lt;2,Q12&gt;=100),"Revisar","OK")</f>
        <v>OK</v>
      </c>
      <c r="AA12" s="55">
        <f>_xlfn.XLOOKUP(C12,'Preguntas de negocio'!$C$114:$C$119,'Preguntas de negocio'!$D$114:$D$119,0)</f>
        <v>4</v>
      </c>
      <c r="AB12" s="55">
        <f>VLOOKUP(C12,'Preguntas de negocio'!$C$121:$D$127,2,FALSE)</f>
        <v>0.95</v>
      </c>
    </row>
    <row r="13" spans="1:28" x14ac:dyDescent="0.3">
      <c r="A13" s="1">
        <v>45697</v>
      </c>
      <c r="B13" s="2" t="s">
        <v>2623</v>
      </c>
      <c r="C13" s="2" t="s">
        <v>2515</v>
      </c>
      <c r="D13" s="2" t="s">
        <v>2528</v>
      </c>
      <c r="E13" s="2" t="s">
        <v>2517</v>
      </c>
      <c r="F13" s="3">
        <v>1815</v>
      </c>
      <c r="G13" s="3">
        <v>46</v>
      </c>
      <c r="H13" s="3">
        <v>1</v>
      </c>
      <c r="I13" s="4">
        <v>54.04</v>
      </c>
      <c r="J13" s="4">
        <v>192.07</v>
      </c>
      <c r="K13" s="3">
        <v>0</v>
      </c>
      <c r="L13" s="2" t="s">
        <v>2539</v>
      </c>
      <c r="M13" s="2" t="s">
        <v>2537</v>
      </c>
      <c r="N13" s="8">
        <f>IFERROR(G13/F13,0)</f>
        <v>2.5344352617079891E-2</v>
      </c>
      <c r="O13" s="8">
        <f>IFERROR(H13/G13,0)</f>
        <v>2.1739130434782608E-2</v>
      </c>
      <c r="P13" s="4">
        <f>IFERROR(I13/G13,0)</f>
        <v>1.1747826086956521</v>
      </c>
      <c r="Q13" s="4">
        <f>IFERROR(I13/H13,0)</f>
        <v>54.04</v>
      </c>
      <c r="R13" s="12">
        <f>IFERROR(J13/I13,0)</f>
        <v>3.5542190969652108</v>
      </c>
      <c r="S13" s="7">
        <f>Tabla_nuevas_columnas[[#This Row],[ROAS]]</f>
        <v>3.5542190969652108</v>
      </c>
      <c r="T13" t="str">
        <f>_xlfn.CONCAT(C13,"-",D13)</f>
        <v>Email-España</v>
      </c>
      <c r="U13">
        <f>YEAR(A13)</f>
        <v>2025</v>
      </c>
      <c r="V13">
        <f>MONTH(A13)</f>
        <v>2</v>
      </c>
      <c r="W13" t="str">
        <f>PROPER(TEXT(A13,"mmmm"))</f>
        <v>Febrero</v>
      </c>
      <c r="X13" t="str">
        <f>PROPER(TEXT(A13,"dddd"))</f>
        <v>Domingo</v>
      </c>
      <c r="Y13" t="str" cm="1">
        <f t="array" ref="Y13">_xlfn.IFS(R13&gt;10,"Excelente",R13&gt;=5,"Bueno",R13&gt;=2,"Débil",R13&lt;2,"Deficiente")</f>
        <v>Débil</v>
      </c>
      <c r="Z13" t="str">
        <f>IF(AND(R13&lt;2,Q13&gt;=100),"Revisar","OK")</f>
        <v>OK</v>
      </c>
      <c r="AA13" s="55">
        <f>_xlfn.XLOOKUP(C13,'Preguntas de negocio'!$C$114:$C$119,'Preguntas de negocio'!$D$114:$D$119,0)</f>
        <v>5.5</v>
      </c>
      <c r="AB13" s="55">
        <f>VLOOKUP(C13,'Preguntas de negocio'!$C$121:$D$127,2,FALSE)</f>
        <v>0.65</v>
      </c>
    </row>
    <row r="14" spans="1:28" x14ac:dyDescent="0.3">
      <c r="A14" s="1">
        <v>45992</v>
      </c>
      <c r="B14" s="2" t="s">
        <v>2624</v>
      </c>
      <c r="C14" s="2" t="s">
        <v>2533</v>
      </c>
      <c r="D14" s="2" t="s">
        <v>2528</v>
      </c>
      <c r="E14" s="2" t="s">
        <v>2529</v>
      </c>
      <c r="F14" s="3">
        <v>58400</v>
      </c>
      <c r="G14" s="3">
        <v>2796</v>
      </c>
      <c r="H14" s="3">
        <v>80</v>
      </c>
      <c r="I14" s="4">
        <v>361.39</v>
      </c>
      <c r="J14" s="4">
        <v>8867.74</v>
      </c>
      <c r="K14" s="3">
        <v>71</v>
      </c>
      <c r="L14" s="2" t="s">
        <v>2536</v>
      </c>
      <c r="M14" s="2" t="s">
        <v>2546</v>
      </c>
      <c r="N14" s="8">
        <f>IFERROR(G14/F14,0)</f>
        <v>4.7876712328767126E-2</v>
      </c>
      <c r="O14" s="8">
        <f>IFERROR(H14/G14,0)</f>
        <v>2.8612303290414878E-2</v>
      </c>
      <c r="P14" s="4">
        <f>IFERROR(I14/G14,0)</f>
        <v>0.12925250357653792</v>
      </c>
      <c r="Q14" s="4">
        <f>IFERROR(I14/H14,0)</f>
        <v>4.5173749999999995</v>
      </c>
      <c r="R14" s="12">
        <f>IFERROR(J14/I14,0)</f>
        <v>24.537867677578241</v>
      </c>
      <c r="S14" s="7">
        <f>Tabla_nuevas_columnas[[#This Row],[ROAS]]</f>
        <v>24.537867677578241</v>
      </c>
      <c r="T14" t="str">
        <f>_xlfn.CONCAT(C14,"-",D14)</f>
        <v>Paid Social-España</v>
      </c>
      <c r="U14">
        <f>YEAR(A14)</f>
        <v>2025</v>
      </c>
      <c r="V14">
        <f>MONTH(A14)</f>
        <v>12</v>
      </c>
      <c r="W14" t="str">
        <f>PROPER(TEXT(A14,"mmmm"))</f>
        <v>Diciembre</v>
      </c>
      <c r="X14" t="str">
        <f>PROPER(TEXT(A14,"dddd"))</f>
        <v>Lunes</v>
      </c>
      <c r="Y14" t="str" cm="1">
        <f t="array" ref="Y14">_xlfn.IFS(R14&gt;10,"Excelente",R14&gt;=5,"Bueno",R14&gt;=2,"Débil",R14&lt;2,"Deficiente")</f>
        <v>Excelente</v>
      </c>
      <c r="Z14" t="str">
        <f>IF(AND(R14&lt;2,Q14&gt;=100),"Revisar","OK")</f>
        <v>OK</v>
      </c>
      <c r="AA14" s="55">
        <f>_xlfn.XLOOKUP(C14,'Preguntas de negocio'!$C$114:$C$119,'Preguntas de negocio'!$D$114:$D$119,0)</f>
        <v>6</v>
      </c>
      <c r="AB14" s="55">
        <f>VLOOKUP(C14,'Preguntas de negocio'!$C$121:$D$127,2,FALSE)</f>
        <v>0.8</v>
      </c>
    </row>
    <row r="15" spans="1:28" x14ac:dyDescent="0.3">
      <c r="A15" s="1">
        <v>45688</v>
      </c>
      <c r="B15" s="2" t="s">
        <v>2625</v>
      </c>
      <c r="C15" s="2" t="s">
        <v>2541</v>
      </c>
      <c r="D15" s="2" t="s">
        <v>2516</v>
      </c>
      <c r="E15" s="2" t="s">
        <v>2517</v>
      </c>
      <c r="F15" s="3">
        <v>95164</v>
      </c>
      <c r="G15" s="3">
        <v>467</v>
      </c>
      <c r="H15" s="3">
        <v>54</v>
      </c>
      <c r="I15" s="4">
        <v>899.8</v>
      </c>
      <c r="J15" s="4">
        <v>8314.82</v>
      </c>
      <c r="K15" s="3">
        <v>33</v>
      </c>
      <c r="L15" s="2" t="s">
        <v>2523</v>
      </c>
      <c r="M15" s="2" t="s">
        <v>2519</v>
      </c>
      <c r="N15" s="8">
        <f>IFERROR(G15/F15,0)</f>
        <v>4.9073178933210036E-3</v>
      </c>
      <c r="O15" s="8">
        <f>IFERROR(H15/G15,0)</f>
        <v>0.11563169164882227</v>
      </c>
      <c r="P15" s="11">
        <f>IFERROR(I15/G15,0)</f>
        <v>1.9267665952890791</v>
      </c>
      <c r="Q15" s="4">
        <f>IFERROR(I15/H15,0)</f>
        <v>16.662962962962961</v>
      </c>
      <c r="R15" s="12">
        <f>IFERROR(J15/I15,0)</f>
        <v>9.2407423871971552</v>
      </c>
      <c r="S15" s="7">
        <f>Tabla_nuevas_columnas[[#This Row],[ROAS]]</f>
        <v>9.2407423871971552</v>
      </c>
      <c r="T15" t="str">
        <f>_xlfn.CONCAT(C15,"-",D15)</f>
        <v>Display-México</v>
      </c>
      <c r="U15">
        <f>YEAR(A15)</f>
        <v>2025</v>
      </c>
      <c r="V15">
        <f>MONTH(A15)</f>
        <v>1</v>
      </c>
      <c r="W15" t="str">
        <f>PROPER(TEXT(A15,"mmmm"))</f>
        <v>Enero</v>
      </c>
      <c r="X15" t="str">
        <f>PROPER(TEXT(A15,"dddd"))</f>
        <v>Viernes</v>
      </c>
      <c r="Y15" t="str" cm="1">
        <f t="array" ref="Y15">_xlfn.IFS(R15&gt;10,"Excelente",R15&gt;=5,"Bueno",R15&gt;=2,"Débil",R15&lt;2,"Deficiente")</f>
        <v>Bueno</v>
      </c>
      <c r="Z15" t="str">
        <f>IF(AND(R15&lt;2,Q15&gt;=100),"Revisar","OK")</f>
        <v>OK</v>
      </c>
      <c r="AA15" s="55">
        <f>_xlfn.XLOOKUP(C15,'Preguntas de negocio'!$C$114:$C$119,'Preguntas de negocio'!$D$114:$D$119,0)</f>
        <v>5</v>
      </c>
      <c r="AB15" s="55">
        <f>VLOOKUP(C15,'Preguntas de negocio'!$C$121:$D$127,2,FALSE)</f>
        <v>0.5</v>
      </c>
    </row>
    <row r="16" spans="1:28" x14ac:dyDescent="0.3">
      <c r="A16" s="1">
        <v>45938</v>
      </c>
      <c r="B16" s="2" t="s">
        <v>2620</v>
      </c>
      <c r="C16" s="2" t="s">
        <v>2515</v>
      </c>
      <c r="D16" s="2" t="s">
        <v>2528</v>
      </c>
      <c r="E16" s="2" t="s">
        <v>2517</v>
      </c>
      <c r="F16" s="3">
        <v>163224</v>
      </c>
      <c r="G16" s="3">
        <v>892</v>
      </c>
      <c r="H16" s="3">
        <v>116</v>
      </c>
      <c r="I16" s="4">
        <v>645.97</v>
      </c>
      <c r="J16" s="4">
        <v>13245.61</v>
      </c>
      <c r="K16" s="3">
        <v>70</v>
      </c>
      <c r="L16" s="2" t="s">
        <v>2536</v>
      </c>
      <c r="M16" s="2" t="s">
        <v>2546</v>
      </c>
      <c r="N16" s="8">
        <f>IFERROR(G16/F16,0)</f>
        <v>5.4648826153016715E-3</v>
      </c>
      <c r="O16" s="8">
        <f>IFERROR(H16/G16,0)</f>
        <v>0.13004484304932734</v>
      </c>
      <c r="P16" s="4">
        <f>IFERROR(I16/G16,0)</f>
        <v>0.72418161434977579</v>
      </c>
      <c r="Q16" s="4">
        <f>IFERROR(I16/H16,0)</f>
        <v>5.5687068965517241</v>
      </c>
      <c r="R16" s="12">
        <f>IFERROR(J16/I16,0)</f>
        <v>20.504992491911388</v>
      </c>
      <c r="S16" s="7">
        <f>Tabla_nuevas_columnas[[#This Row],[ROAS]]</f>
        <v>20.504992491911388</v>
      </c>
      <c r="T16" t="str">
        <f>_xlfn.CONCAT(C16,"-",D16)</f>
        <v>Email-España</v>
      </c>
      <c r="U16">
        <f>YEAR(A16)</f>
        <v>2025</v>
      </c>
      <c r="V16">
        <f>MONTH(A16)</f>
        <v>10</v>
      </c>
      <c r="W16" t="str">
        <f>PROPER(TEXT(A16,"mmmm"))</f>
        <v>Octubre</v>
      </c>
      <c r="X16" t="str">
        <f>PROPER(TEXT(A16,"dddd"))</f>
        <v>Miércoles</v>
      </c>
      <c r="Y16" t="str" cm="1">
        <f t="array" ref="Y16">_xlfn.IFS(R16&gt;10,"Excelente",R16&gt;=5,"Bueno",R16&gt;=2,"Débil",R16&lt;2,"Deficiente")</f>
        <v>Excelente</v>
      </c>
      <c r="Z16" t="str">
        <f>IF(AND(R16&lt;2,Q16&gt;=100),"Revisar","OK")</f>
        <v>OK</v>
      </c>
      <c r="AA16" s="55">
        <f>_xlfn.XLOOKUP(C16,'Preguntas de negocio'!$C$114:$C$119,'Preguntas de negocio'!$D$114:$D$119,0)</f>
        <v>5.5</v>
      </c>
      <c r="AB16" s="55">
        <f>VLOOKUP(C16,'Preguntas de negocio'!$C$121:$D$127,2,FALSE)</f>
        <v>0.65</v>
      </c>
    </row>
    <row r="17" spans="1:28" x14ac:dyDescent="0.3">
      <c r="A17" s="1">
        <v>45780</v>
      </c>
      <c r="B17" s="2" t="s">
        <v>2626</v>
      </c>
      <c r="C17" s="2" t="s">
        <v>2527</v>
      </c>
      <c r="D17" s="2" t="s">
        <v>2525</v>
      </c>
      <c r="E17" s="2" t="s">
        <v>2534</v>
      </c>
      <c r="F17" s="3">
        <v>44509</v>
      </c>
      <c r="G17" s="3">
        <v>1756</v>
      </c>
      <c r="H17" s="3">
        <v>45</v>
      </c>
      <c r="I17" s="4">
        <v>2433.77</v>
      </c>
      <c r="J17" s="4">
        <v>1487.74</v>
      </c>
      <c r="K17" s="3">
        <v>24</v>
      </c>
      <c r="L17" s="2" t="s">
        <v>2539</v>
      </c>
      <c r="M17" s="2" t="s">
        <v>2546</v>
      </c>
      <c r="N17" s="8">
        <f>IFERROR(G17/F17,0)</f>
        <v>3.9452694960569773E-2</v>
      </c>
      <c r="O17" s="8">
        <f>IFERROR(H17/G17,0)</f>
        <v>2.562642369020501E-2</v>
      </c>
      <c r="P17" s="4">
        <f>IFERROR(I17/G17,0)</f>
        <v>1.3859738041002279</v>
      </c>
      <c r="Q17" s="4">
        <f>IFERROR(I17/H17,0)</f>
        <v>54.083777777777776</v>
      </c>
      <c r="R17" s="12">
        <f>IFERROR(J17/I17,0)</f>
        <v>0.61129030269910467</v>
      </c>
      <c r="S17" s="7">
        <f>Tabla_nuevas_columnas[[#This Row],[ROAS]]</f>
        <v>0.61129030269910467</v>
      </c>
      <c r="T17" t="str">
        <f>_xlfn.CONCAT(C17,"-",D17)</f>
        <v>Affiliate-Francia</v>
      </c>
      <c r="U17">
        <f>YEAR(A17)</f>
        <v>2025</v>
      </c>
      <c r="V17">
        <f>MONTH(A17)</f>
        <v>5</v>
      </c>
      <c r="W17" t="str">
        <f>PROPER(TEXT(A17,"mmmm"))</f>
        <v>Mayo</v>
      </c>
      <c r="X17" t="str">
        <f>PROPER(TEXT(A17,"dddd"))</f>
        <v>Sábado</v>
      </c>
      <c r="Y17" t="str" cm="1">
        <f t="array" ref="Y17">_xlfn.IFS(R17&gt;10,"Excelente",R17&gt;=5,"Bueno",R17&gt;=2,"Débil",R17&lt;2,"Deficiente")</f>
        <v>Deficiente</v>
      </c>
      <c r="Z17" t="str">
        <f>IF(AND(R17&lt;2,Q17&gt;=100),"Revisar","OK")</f>
        <v>OK</v>
      </c>
      <c r="AA17" s="55">
        <f>_xlfn.XLOOKUP(C17,'Preguntas de negocio'!$C$114:$C$119,'Preguntas de negocio'!$D$114:$D$119,0)</f>
        <v>4.5</v>
      </c>
      <c r="AB17" s="55">
        <f>VLOOKUP(C17,'Preguntas de negocio'!$C$121:$D$127,2,FALSE)</f>
        <v>0.35</v>
      </c>
    </row>
    <row r="18" spans="1:28" x14ac:dyDescent="0.3">
      <c r="A18" s="1">
        <v>45799</v>
      </c>
      <c r="B18" s="2" t="s">
        <v>2625</v>
      </c>
      <c r="C18" s="2" t="s">
        <v>2515</v>
      </c>
      <c r="D18" s="2" t="s">
        <v>2528</v>
      </c>
      <c r="E18" s="2" t="s">
        <v>2534</v>
      </c>
      <c r="F18" s="3">
        <v>49699</v>
      </c>
      <c r="G18" s="3">
        <v>549</v>
      </c>
      <c r="H18" s="3">
        <v>14</v>
      </c>
      <c r="I18" s="4">
        <v>407.19</v>
      </c>
      <c r="J18" s="4">
        <v>2598.86</v>
      </c>
      <c r="K18" s="3">
        <v>12</v>
      </c>
      <c r="L18" s="2" t="s">
        <v>2539</v>
      </c>
      <c r="M18" s="2" t="s">
        <v>2537</v>
      </c>
      <c r="N18" s="8">
        <f>IFERROR(G18/F18,0)</f>
        <v>1.1046499929576048E-2</v>
      </c>
      <c r="O18" s="8">
        <f>IFERROR(H18/G18,0)</f>
        <v>2.5500910746812388E-2</v>
      </c>
      <c r="P18" s="4">
        <f>IFERROR(I18/G18,0)</f>
        <v>0.74169398907103823</v>
      </c>
      <c r="Q18" s="4">
        <f>IFERROR(I18/H18,0)</f>
        <v>29.085000000000001</v>
      </c>
      <c r="R18" s="12">
        <f>IFERROR(J18/I18,0)</f>
        <v>6.3824258945455439</v>
      </c>
      <c r="S18" s="7">
        <f>Tabla_nuevas_columnas[[#This Row],[ROAS]]</f>
        <v>6.3824258945455439</v>
      </c>
      <c r="T18" t="str">
        <f>_xlfn.CONCAT(C18,"-",D18)</f>
        <v>Email-España</v>
      </c>
      <c r="U18">
        <f>YEAR(A18)</f>
        <v>2025</v>
      </c>
      <c r="V18">
        <f>MONTH(A18)</f>
        <v>5</v>
      </c>
      <c r="W18" t="str">
        <f>PROPER(TEXT(A18,"mmmm"))</f>
        <v>Mayo</v>
      </c>
      <c r="X18" t="str">
        <f>PROPER(TEXT(A18,"dddd"))</f>
        <v>Jueves</v>
      </c>
      <c r="Y18" t="str" cm="1">
        <f t="array" ref="Y18">_xlfn.IFS(R18&gt;10,"Excelente",R18&gt;=5,"Bueno",R18&gt;=2,"Débil",R18&lt;2,"Deficiente")</f>
        <v>Bueno</v>
      </c>
      <c r="Z18" t="str">
        <f>IF(AND(R18&lt;2,Q18&gt;=100),"Revisar","OK")</f>
        <v>OK</v>
      </c>
      <c r="AA18" s="55">
        <f>_xlfn.XLOOKUP(C18,'Preguntas de negocio'!$C$114:$C$119,'Preguntas de negocio'!$D$114:$D$119,0)</f>
        <v>5.5</v>
      </c>
      <c r="AB18" s="55">
        <f>VLOOKUP(C18,'Preguntas de negocio'!$C$121:$D$127,2,FALSE)</f>
        <v>0.65</v>
      </c>
    </row>
    <row r="19" spans="1:28" x14ac:dyDescent="0.3">
      <c r="A19" s="1">
        <v>45738</v>
      </c>
      <c r="B19" s="2" t="s">
        <v>2624</v>
      </c>
      <c r="C19" s="2" t="s">
        <v>2527</v>
      </c>
      <c r="D19" s="2" t="s">
        <v>2528</v>
      </c>
      <c r="E19" s="2" t="s">
        <v>2529</v>
      </c>
      <c r="F19" s="3">
        <v>79946</v>
      </c>
      <c r="G19" s="3">
        <v>6644</v>
      </c>
      <c r="H19" s="3">
        <v>165</v>
      </c>
      <c r="I19" s="4">
        <v>12172.18</v>
      </c>
      <c r="J19" s="4">
        <v>3700.53</v>
      </c>
      <c r="K19" s="3">
        <v>97</v>
      </c>
      <c r="L19" s="2" t="s">
        <v>2523</v>
      </c>
      <c r="M19" s="2" t="s">
        <v>2524</v>
      </c>
      <c r="N19" s="8">
        <f>IFERROR(G19/F19,0)</f>
        <v>8.3106096615215272E-2</v>
      </c>
      <c r="O19" s="8">
        <f>IFERROR(H19/G19,0)</f>
        <v>2.4834437086092714E-2</v>
      </c>
      <c r="P19" s="4">
        <f>IFERROR(I19/G19,0)</f>
        <v>1.8320559903672486</v>
      </c>
      <c r="Q19" s="4">
        <f>IFERROR(I19/H19,0)</f>
        <v>73.770787878787885</v>
      </c>
      <c r="R19" s="12">
        <f>IFERROR(J19/I19,0)</f>
        <v>0.30401538590457916</v>
      </c>
      <c r="S19" s="7">
        <f>Tabla_nuevas_columnas[[#This Row],[ROAS]]</f>
        <v>0.30401538590457916</v>
      </c>
      <c r="T19" t="str">
        <f>_xlfn.CONCAT(C19,"-",D19)</f>
        <v>Affiliate-España</v>
      </c>
      <c r="U19">
        <f>YEAR(A19)</f>
        <v>2025</v>
      </c>
      <c r="V19">
        <f>MONTH(A19)</f>
        <v>3</v>
      </c>
      <c r="W19" t="str">
        <f>PROPER(TEXT(A19,"mmmm"))</f>
        <v>Marzo</v>
      </c>
      <c r="X19" t="str">
        <f>PROPER(TEXT(A19,"dddd"))</f>
        <v>Sábado</v>
      </c>
      <c r="Y19" t="str" cm="1">
        <f t="array" ref="Y19">_xlfn.IFS(R19&gt;10,"Excelente",R19&gt;=5,"Bueno",R19&gt;=2,"Débil",R19&lt;2,"Deficiente")</f>
        <v>Deficiente</v>
      </c>
      <c r="Z19" t="str">
        <f>IF(AND(R19&lt;2,Q19&gt;=100),"Revisar","OK")</f>
        <v>OK</v>
      </c>
      <c r="AA19" s="55">
        <f>_xlfn.XLOOKUP(C19,'Preguntas de negocio'!$C$114:$C$119,'Preguntas de negocio'!$D$114:$D$119,0)</f>
        <v>4.5</v>
      </c>
      <c r="AB19" s="55">
        <f>VLOOKUP(C19,'Preguntas de negocio'!$C$121:$D$127,2,FALSE)</f>
        <v>0.35</v>
      </c>
    </row>
    <row r="20" spans="1:28" x14ac:dyDescent="0.3">
      <c r="A20" s="1">
        <v>45765</v>
      </c>
      <c r="B20" s="2" t="s">
        <v>2618</v>
      </c>
      <c r="C20" s="2" t="s">
        <v>2541</v>
      </c>
      <c r="D20" s="2" t="s">
        <v>2516</v>
      </c>
      <c r="E20" s="2" t="s">
        <v>2529</v>
      </c>
      <c r="F20" s="3">
        <v>90643</v>
      </c>
      <c r="G20" s="3">
        <v>6251</v>
      </c>
      <c r="H20" s="3">
        <v>607</v>
      </c>
      <c r="I20" s="4">
        <v>1069.28</v>
      </c>
      <c r="J20" s="4">
        <v>85223.12</v>
      </c>
      <c r="K20" s="3">
        <v>473</v>
      </c>
      <c r="L20" s="2" t="s">
        <v>2518</v>
      </c>
      <c r="M20" s="2" t="s">
        <v>2546</v>
      </c>
      <c r="N20" s="8">
        <f>IFERROR(G20/F20,0)</f>
        <v>6.8962854274461347E-2</v>
      </c>
      <c r="O20" s="8">
        <f>IFERROR(H20/G20,0)</f>
        <v>9.7104463285874257E-2</v>
      </c>
      <c r="P20" s="4">
        <f>IFERROR(I20/G20,0)</f>
        <v>0.17105743081107022</v>
      </c>
      <c r="Q20" s="4">
        <f>IFERROR(I20/H20,0)</f>
        <v>1.7615815485996704</v>
      </c>
      <c r="R20" s="12">
        <f>IFERROR(J20/I20,0)</f>
        <v>79.701406553942832</v>
      </c>
      <c r="S20" s="7">
        <f>Tabla_nuevas_columnas[[#This Row],[ROAS]]</f>
        <v>79.701406553942832</v>
      </c>
      <c r="T20" t="str">
        <f>_xlfn.CONCAT(C20,"-",D20)</f>
        <v>Display-México</v>
      </c>
      <c r="U20">
        <f>YEAR(A20)</f>
        <v>2025</v>
      </c>
      <c r="V20">
        <f>MONTH(A20)</f>
        <v>4</v>
      </c>
      <c r="W20" t="str">
        <f>PROPER(TEXT(A20,"mmmm"))</f>
        <v>Abril</v>
      </c>
      <c r="X20" t="str">
        <f>PROPER(TEXT(A20,"dddd"))</f>
        <v>Viernes</v>
      </c>
      <c r="Y20" t="str" cm="1">
        <f t="array" ref="Y20">_xlfn.IFS(R20&gt;10,"Excelente",R20&gt;=5,"Bueno",R20&gt;=2,"Débil",R20&lt;2,"Deficiente")</f>
        <v>Excelente</v>
      </c>
      <c r="Z20" t="str">
        <f>IF(AND(R20&lt;2,Q20&gt;=100),"Revisar","OK")</f>
        <v>OK</v>
      </c>
      <c r="AA20" s="55">
        <f>_xlfn.XLOOKUP(C20,'Preguntas de negocio'!$C$114:$C$119,'Preguntas de negocio'!$D$114:$D$119,0)</f>
        <v>5</v>
      </c>
      <c r="AB20" s="55">
        <f>VLOOKUP(C20,'Preguntas de negocio'!$C$121:$D$127,2,FALSE)</f>
        <v>0.5</v>
      </c>
    </row>
    <row r="21" spans="1:28" x14ac:dyDescent="0.3">
      <c r="A21" s="1">
        <v>45973</v>
      </c>
      <c r="B21" s="2" t="s">
        <v>2627</v>
      </c>
      <c r="C21" s="2" t="s">
        <v>2541</v>
      </c>
      <c r="D21" s="2" t="s">
        <v>2528</v>
      </c>
      <c r="E21" s="2" t="s">
        <v>2529</v>
      </c>
      <c r="F21" s="3">
        <v>78294</v>
      </c>
      <c r="G21" s="3">
        <v>5439</v>
      </c>
      <c r="H21" s="3">
        <v>617</v>
      </c>
      <c r="I21" s="4">
        <v>1504.93</v>
      </c>
      <c r="J21" s="4">
        <v>130219.67</v>
      </c>
      <c r="K21" s="3">
        <v>538</v>
      </c>
      <c r="L21" s="2" t="s">
        <v>2539</v>
      </c>
      <c r="M21" s="2" t="s">
        <v>2526</v>
      </c>
      <c r="N21" s="8">
        <f>IFERROR(G21/F21,0)</f>
        <v>6.9468924821825428E-2</v>
      </c>
      <c r="O21" s="8">
        <f>IFERROR(H21/G21,0)</f>
        <v>0.11343997058282773</v>
      </c>
      <c r="P21" s="4">
        <f>IFERROR(I21/G21,0)</f>
        <v>0.27669240669240669</v>
      </c>
      <c r="Q21" s="4">
        <f>IFERROR(I21/H21,0)</f>
        <v>2.4391085899513776</v>
      </c>
      <c r="R21" s="12">
        <f>IFERROR(J21/I21,0)</f>
        <v>86.528722266151902</v>
      </c>
      <c r="S21" s="7">
        <f>Tabla_nuevas_columnas[[#This Row],[ROAS]]</f>
        <v>86.528722266151902</v>
      </c>
      <c r="T21" t="str">
        <f>_xlfn.CONCAT(C21,"-",D21)</f>
        <v>Display-España</v>
      </c>
      <c r="U21">
        <f>YEAR(A21)</f>
        <v>2025</v>
      </c>
      <c r="V21">
        <f>MONTH(A21)</f>
        <v>11</v>
      </c>
      <c r="W21" t="str">
        <f>PROPER(TEXT(A21,"mmmm"))</f>
        <v>Noviembre</v>
      </c>
      <c r="X21" t="str">
        <f>PROPER(TEXT(A21,"dddd"))</f>
        <v>Miércoles</v>
      </c>
      <c r="Y21" t="str" cm="1">
        <f t="array" ref="Y21">_xlfn.IFS(R21&gt;10,"Excelente",R21&gt;=5,"Bueno",R21&gt;=2,"Débil",R21&lt;2,"Deficiente")</f>
        <v>Excelente</v>
      </c>
      <c r="Z21" t="str">
        <f>IF(AND(R21&lt;2,Q21&gt;=100),"Revisar","OK")</f>
        <v>OK</v>
      </c>
      <c r="AA21" s="55">
        <f>_xlfn.XLOOKUP(C21,'Preguntas de negocio'!$C$114:$C$119,'Preguntas de negocio'!$D$114:$D$119,0)</f>
        <v>5</v>
      </c>
      <c r="AB21" s="55">
        <f>VLOOKUP(C21,'Preguntas de negocio'!$C$121:$D$127,2,FALSE)</f>
        <v>0.5</v>
      </c>
    </row>
    <row r="22" spans="1:28" x14ac:dyDescent="0.3">
      <c r="A22" s="1">
        <v>46009</v>
      </c>
      <c r="B22" s="2" t="s">
        <v>2628</v>
      </c>
      <c r="C22" s="2" t="s">
        <v>2521</v>
      </c>
      <c r="D22" s="2" t="s">
        <v>2525</v>
      </c>
      <c r="E22" s="2" t="s">
        <v>2517</v>
      </c>
      <c r="F22" s="3">
        <v>4759</v>
      </c>
      <c r="G22" s="3">
        <v>234</v>
      </c>
      <c r="H22" s="3">
        <v>22</v>
      </c>
      <c r="I22" s="4">
        <v>333.25</v>
      </c>
      <c r="J22" s="4">
        <v>2425.61</v>
      </c>
      <c r="K22" s="3">
        <v>13</v>
      </c>
      <c r="L22" s="2" t="s">
        <v>2523</v>
      </c>
      <c r="M22" s="2" t="s">
        <v>2546</v>
      </c>
      <c r="N22" s="8">
        <f>IFERROR(G22/F22,0)</f>
        <v>4.9169993696154657E-2</v>
      </c>
      <c r="O22" s="8">
        <f>IFERROR(H22/G22,0)</f>
        <v>9.4017094017094016E-2</v>
      </c>
      <c r="P22" s="4">
        <f>IFERROR(I22/G22,0)</f>
        <v>1.4241452991452992</v>
      </c>
      <c r="Q22" s="4">
        <f>IFERROR(I22/H22,0)</f>
        <v>15.147727272727273</v>
      </c>
      <c r="R22" s="12">
        <f>IFERROR(J22/I22,0)</f>
        <v>7.2786496624156038</v>
      </c>
      <c r="S22" s="7">
        <f>Tabla_nuevas_columnas[[#This Row],[ROAS]]</f>
        <v>7.2786496624156038</v>
      </c>
      <c r="T22" t="str">
        <f>_xlfn.CONCAT(C22,"-",D22)</f>
        <v>Paid Search-Francia</v>
      </c>
      <c r="U22">
        <f>YEAR(A22)</f>
        <v>2025</v>
      </c>
      <c r="V22">
        <f>MONTH(A22)</f>
        <v>12</v>
      </c>
      <c r="W22" t="str">
        <f>PROPER(TEXT(A22,"mmmm"))</f>
        <v>Diciembre</v>
      </c>
      <c r="X22" t="str">
        <f>PROPER(TEXT(A22,"dddd"))</f>
        <v>Jueves</v>
      </c>
      <c r="Y22" t="str" cm="1">
        <f t="array" ref="Y22">_xlfn.IFS(R22&gt;10,"Excelente",R22&gt;=5,"Bueno",R22&gt;=2,"Débil",R22&lt;2,"Deficiente")</f>
        <v>Bueno</v>
      </c>
      <c r="Z22" t="str">
        <f>IF(AND(R22&lt;2,Q22&gt;=100),"Revisar","OK")</f>
        <v>OK</v>
      </c>
      <c r="AA22" s="55">
        <f>_xlfn.XLOOKUP(C22,'Preguntas de negocio'!$C$114:$C$119,'Preguntas de negocio'!$D$114:$D$119,0)</f>
        <v>5</v>
      </c>
      <c r="AB22" s="55">
        <f>VLOOKUP(C22,'Preguntas de negocio'!$C$121:$D$127,2,FALSE)</f>
        <v>1.1000000000000001</v>
      </c>
    </row>
    <row r="23" spans="1:28" x14ac:dyDescent="0.3">
      <c r="A23" s="1">
        <v>45791</v>
      </c>
      <c r="B23" s="2" t="s">
        <v>2629</v>
      </c>
      <c r="C23" s="2" t="s">
        <v>2543</v>
      </c>
      <c r="D23" s="2" t="s">
        <v>2525</v>
      </c>
      <c r="E23" s="2" t="s">
        <v>2529</v>
      </c>
      <c r="F23" s="3">
        <v>7310</v>
      </c>
      <c r="G23" s="3">
        <v>569</v>
      </c>
      <c r="H23" s="3">
        <v>77</v>
      </c>
      <c r="I23" s="4">
        <v>65.92</v>
      </c>
      <c r="J23" s="4">
        <v>3364.24</v>
      </c>
      <c r="K23" s="3">
        <v>59</v>
      </c>
      <c r="L23" s="2" t="s">
        <v>2536</v>
      </c>
      <c r="M23" s="2" t="s">
        <v>2524</v>
      </c>
      <c r="N23" s="8">
        <f>IFERROR(G23/F23,0)</f>
        <v>7.7838577291381675E-2</v>
      </c>
      <c r="O23" s="8">
        <f>IFERROR(H23/G23,0)</f>
        <v>0.13532513181019332</v>
      </c>
      <c r="P23" s="4">
        <f>IFERROR(I23/G23,0)</f>
        <v>0.11585237258347979</v>
      </c>
      <c r="Q23" s="4">
        <f>IFERROR(I23/H23,0)</f>
        <v>0.85610389610389614</v>
      </c>
      <c r="R23" s="12">
        <f>IFERROR(J23/I23,0)</f>
        <v>51.035194174757279</v>
      </c>
      <c r="S23" s="7">
        <f>Tabla_nuevas_columnas[[#This Row],[ROAS]]</f>
        <v>51.035194174757279</v>
      </c>
      <c r="T23" t="str">
        <f>_xlfn.CONCAT(C23,"-",D23)</f>
        <v>Organic Social-Francia</v>
      </c>
      <c r="U23">
        <f>YEAR(A23)</f>
        <v>2025</v>
      </c>
      <c r="V23">
        <f>MONTH(A23)</f>
        <v>5</v>
      </c>
      <c r="W23" t="str">
        <f>PROPER(TEXT(A23,"mmmm"))</f>
        <v>Mayo</v>
      </c>
      <c r="X23" t="str">
        <f>PROPER(TEXT(A23,"dddd"))</f>
        <v>Miércoles</v>
      </c>
      <c r="Y23" t="str" cm="1">
        <f t="array" ref="Y23">_xlfn.IFS(R23&gt;10,"Excelente",R23&gt;=5,"Bueno",R23&gt;=2,"Débil",R23&lt;2,"Deficiente")</f>
        <v>Excelente</v>
      </c>
      <c r="Z23" t="str">
        <f>IF(AND(R23&lt;2,Q23&gt;=100),"Revisar","OK")</f>
        <v>OK</v>
      </c>
      <c r="AA23" s="55">
        <f>_xlfn.XLOOKUP(C23,'Preguntas de negocio'!$C$114:$C$119,'Preguntas de negocio'!$D$114:$D$119,0)</f>
        <v>4</v>
      </c>
      <c r="AB23" s="55">
        <f>VLOOKUP(C23,'Preguntas de negocio'!$C$121:$D$127,2,FALSE)</f>
        <v>0.95</v>
      </c>
    </row>
    <row r="24" spans="1:28" x14ac:dyDescent="0.3">
      <c r="A24" s="1">
        <v>45989</v>
      </c>
      <c r="B24" s="2" t="s">
        <v>2622</v>
      </c>
      <c r="C24" s="2" t="s">
        <v>2515</v>
      </c>
      <c r="D24" s="2" t="s">
        <v>2531</v>
      </c>
      <c r="E24" s="2" t="s">
        <v>2529</v>
      </c>
      <c r="F24" s="3">
        <v>42237</v>
      </c>
      <c r="G24" s="3">
        <v>591</v>
      </c>
      <c r="H24" s="3">
        <v>35</v>
      </c>
      <c r="I24" s="4">
        <v>506.92</v>
      </c>
      <c r="J24" s="4">
        <v>7159.42</v>
      </c>
      <c r="K24" s="3">
        <v>17</v>
      </c>
      <c r="L24" s="2" t="s">
        <v>2536</v>
      </c>
      <c r="M24" s="2" t="s">
        <v>2546</v>
      </c>
      <c r="N24" s="8">
        <f>IFERROR(G24/F24,0)</f>
        <v>1.3992471056182967E-2</v>
      </c>
      <c r="O24" s="8">
        <f>IFERROR(H24/G24,0)</f>
        <v>5.9221658206429779E-2</v>
      </c>
      <c r="P24" s="4">
        <f>IFERROR(I24/G24,0)</f>
        <v>0.85773265651438246</v>
      </c>
      <c r="Q24" s="4">
        <f>IFERROR(I24/H24,0)</f>
        <v>14.483428571428572</v>
      </c>
      <c r="R24" s="12">
        <f>IFERROR(J24/I24,0)</f>
        <v>14.123372524264184</v>
      </c>
      <c r="S24" s="7">
        <f>Tabla_nuevas_columnas[[#This Row],[ROAS]]</f>
        <v>14.123372524264184</v>
      </c>
      <c r="T24" t="str">
        <f>_xlfn.CONCAT(C24,"-",D24)</f>
        <v>Email-Portugal</v>
      </c>
      <c r="U24">
        <f>YEAR(A24)</f>
        <v>2025</v>
      </c>
      <c r="V24">
        <f>MONTH(A24)</f>
        <v>11</v>
      </c>
      <c r="W24" t="str">
        <f>PROPER(TEXT(A24,"mmmm"))</f>
        <v>Noviembre</v>
      </c>
      <c r="X24" t="str">
        <f>PROPER(TEXT(A24,"dddd"))</f>
        <v>Viernes</v>
      </c>
      <c r="Y24" t="str" cm="1">
        <f t="array" ref="Y24">_xlfn.IFS(R24&gt;10,"Excelente",R24&gt;=5,"Bueno",R24&gt;=2,"Débil",R24&lt;2,"Deficiente")</f>
        <v>Excelente</v>
      </c>
      <c r="Z24" t="str">
        <f>IF(AND(R24&lt;2,Q24&gt;=100),"Revisar","OK")</f>
        <v>OK</v>
      </c>
      <c r="AA24" s="55">
        <f>_xlfn.XLOOKUP(C24,'Preguntas de negocio'!$C$114:$C$119,'Preguntas de negocio'!$D$114:$D$119,0)</f>
        <v>5.5</v>
      </c>
      <c r="AB24" s="55">
        <f>VLOOKUP(C24,'Preguntas de negocio'!$C$121:$D$127,2,FALSE)</f>
        <v>0.65</v>
      </c>
    </row>
    <row r="25" spans="1:28" x14ac:dyDescent="0.3">
      <c r="A25" s="1">
        <v>45829</v>
      </c>
      <c r="B25" s="2" t="s">
        <v>2615</v>
      </c>
      <c r="C25" s="2" t="s">
        <v>2541</v>
      </c>
      <c r="D25" s="2" t="s">
        <v>2531</v>
      </c>
      <c r="E25" s="2" t="s">
        <v>2529</v>
      </c>
      <c r="F25" s="3">
        <v>7568</v>
      </c>
      <c r="G25" s="3">
        <v>600</v>
      </c>
      <c r="H25" s="3">
        <v>21</v>
      </c>
      <c r="I25" s="4">
        <v>703.66</v>
      </c>
      <c r="J25" s="4">
        <v>3621.93</v>
      </c>
      <c r="K25" s="3">
        <v>15</v>
      </c>
      <c r="L25" s="2" t="s">
        <v>2518</v>
      </c>
      <c r="M25" s="2" t="s">
        <v>2546</v>
      </c>
      <c r="N25" s="8">
        <f>IFERROR(G25/F25,0)</f>
        <v>7.9281183932346719E-2</v>
      </c>
      <c r="O25" s="8">
        <f>IFERROR(H25/G25,0)</f>
        <v>3.5000000000000003E-2</v>
      </c>
      <c r="P25" s="4">
        <f>IFERROR(I25/G25,0)</f>
        <v>1.1727666666666665</v>
      </c>
      <c r="Q25" s="4">
        <f>IFERROR(I25/H25,0)</f>
        <v>33.507619047619045</v>
      </c>
      <c r="R25" s="12">
        <f>IFERROR(J25/I25,0)</f>
        <v>5.1472728306284283</v>
      </c>
      <c r="S25" s="7">
        <f>Tabla_nuevas_columnas[[#This Row],[ROAS]]</f>
        <v>5.1472728306284283</v>
      </c>
      <c r="T25" t="str">
        <f>_xlfn.CONCAT(C25,"-",D25)</f>
        <v>Display-Portugal</v>
      </c>
      <c r="U25">
        <f>YEAR(A25)</f>
        <v>2025</v>
      </c>
      <c r="V25">
        <f>MONTH(A25)</f>
        <v>6</v>
      </c>
      <c r="W25" t="str">
        <f>PROPER(TEXT(A25,"mmmm"))</f>
        <v>Junio</v>
      </c>
      <c r="X25" t="str">
        <f>PROPER(TEXT(A25,"dddd"))</f>
        <v>Sábado</v>
      </c>
      <c r="Y25" t="str" cm="1">
        <f t="array" ref="Y25">_xlfn.IFS(R25&gt;10,"Excelente",R25&gt;=5,"Bueno",R25&gt;=2,"Débil",R25&lt;2,"Deficiente")</f>
        <v>Bueno</v>
      </c>
      <c r="Z25" t="str">
        <f>IF(AND(R25&lt;2,Q25&gt;=100),"Revisar","OK")</f>
        <v>OK</v>
      </c>
      <c r="AA25" s="55">
        <f>_xlfn.XLOOKUP(C25,'Preguntas de negocio'!$C$114:$C$119,'Preguntas de negocio'!$D$114:$D$119,0)</f>
        <v>5</v>
      </c>
      <c r="AB25" s="55">
        <f>VLOOKUP(C25,'Preguntas de negocio'!$C$121:$D$127,2,FALSE)</f>
        <v>0.5</v>
      </c>
    </row>
    <row r="26" spans="1:28" x14ac:dyDescent="0.3">
      <c r="A26" s="1">
        <v>45860</v>
      </c>
      <c r="B26" s="2" t="s">
        <v>2628</v>
      </c>
      <c r="C26" s="2" t="s">
        <v>2541</v>
      </c>
      <c r="D26" s="2" t="s">
        <v>2528</v>
      </c>
      <c r="E26" s="2" t="s">
        <v>2529</v>
      </c>
      <c r="F26" s="3">
        <v>105858</v>
      </c>
      <c r="G26" s="3">
        <v>9130</v>
      </c>
      <c r="H26" s="3">
        <v>579</v>
      </c>
      <c r="I26" s="4">
        <v>8905.2099999999991</v>
      </c>
      <c r="J26" s="4">
        <v>70771.17</v>
      </c>
      <c r="K26" s="3">
        <v>511</v>
      </c>
      <c r="L26" s="2" t="s">
        <v>2518</v>
      </c>
      <c r="M26" s="2" t="s">
        <v>2519</v>
      </c>
      <c r="N26" s="8">
        <f>IFERROR(G26/F26,0)</f>
        <v>8.6247614729165492E-2</v>
      </c>
      <c r="O26" s="8">
        <f>IFERROR(H26/G26,0)</f>
        <v>6.3417305585980285E-2</v>
      </c>
      <c r="P26" s="4">
        <f>IFERROR(I26/G26,0)</f>
        <v>0.97537897042716315</v>
      </c>
      <c r="Q26" s="4">
        <f>IFERROR(I26/H26,0)</f>
        <v>15.380328151986182</v>
      </c>
      <c r="R26" s="12">
        <f>IFERROR(J26/I26,0)</f>
        <v>7.9471646373302827</v>
      </c>
      <c r="S26" s="7">
        <f>Tabla_nuevas_columnas[[#This Row],[ROAS]]</f>
        <v>7.9471646373302827</v>
      </c>
      <c r="T26" t="str">
        <f>_xlfn.CONCAT(C26,"-",D26)</f>
        <v>Display-España</v>
      </c>
      <c r="U26">
        <f>YEAR(A26)</f>
        <v>2025</v>
      </c>
      <c r="V26">
        <f>MONTH(A26)</f>
        <v>7</v>
      </c>
      <c r="W26" t="str">
        <f>PROPER(TEXT(A26,"mmmm"))</f>
        <v>Julio</v>
      </c>
      <c r="X26" t="str">
        <f>PROPER(TEXT(A26,"dddd"))</f>
        <v>Martes</v>
      </c>
      <c r="Y26" t="str" cm="1">
        <f t="array" ref="Y26">_xlfn.IFS(R26&gt;10,"Excelente",R26&gt;=5,"Bueno",R26&gt;=2,"Débil",R26&lt;2,"Deficiente")</f>
        <v>Bueno</v>
      </c>
      <c r="Z26" t="str">
        <f>IF(AND(R26&lt;2,Q26&gt;=100),"Revisar","OK")</f>
        <v>OK</v>
      </c>
      <c r="AA26" s="55">
        <f>_xlfn.XLOOKUP(C26,'Preguntas de negocio'!$C$114:$C$119,'Preguntas de negocio'!$D$114:$D$119,0)</f>
        <v>5</v>
      </c>
      <c r="AB26" s="55">
        <f>VLOOKUP(C26,'Preguntas de negocio'!$C$121:$D$127,2,FALSE)</f>
        <v>0.5</v>
      </c>
    </row>
    <row r="27" spans="1:28" x14ac:dyDescent="0.3">
      <c r="A27" s="1">
        <v>45844</v>
      </c>
      <c r="B27" s="2" t="s">
        <v>2630</v>
      </c>
      <c r="C27" s="2" t="s">
        <v>2541</v>
      </c>
      <c r="D27" s="2" t="s">
        <v>2528</v>
      </c>
      <c r="E27" s="2" t="s">
        <v>2529</v>
      </c>
      <c r="F27" s="3">
        <v>103769</v>
      </c>
      <c r="G27" s="3">
        <v>4146</v>
      </c>
      <c r="H27" s="3">
        <v>299</v>
      </c>
      <c r="I27" s="4">
        <v>1850.07</v>
      </c>
      <c r="J27" s="4">
        <v>12653.93</v>
      </c>
      <c r="K27" s="3">
        <v>235</v>
      </c>
      <c r="L27" s="2" t="s">
        <v>2523</v>
      </c>
      <c r="M27" s="2" t="s">
        <v>2524</v>
      </c>
      <c r="N27" s="8">
        <f>IFERROR(G27/F27,0)</f>
        <v>3.995412888242153E-2</v>
      </c>
      <c r="O27" s="8">
        <f>IFERROR(H27/G27,0)</f>
        <v>7.2117703810902073E-2</v>
      </c>
      <c r="P27" s="4">
        <f>IFERROR(I27/G27,0)</f>
        <v>0.44623010130246021</v>
      </c>
      <c r="Q27" s="4">
        <f>IFERROR(I27/H27,0)</f>
        <v>6.1875250836120399</v>
      </c>
      <c r="R27" s="12">
        <f>IFERROR(J27/I27,0)</f>
        <v>6.8397033625754702</v>
      </c>
      <c r="S27" s="7">
        <f>Tabla_nuevas_columnas[[#This Row],[ROAS]]</f>
        <v>6.8397033625754702</v>
      </c>
      <c r="T27" t="str">
        <f>_xlfn.CONCAT(C27,"-",D27)</f>
        <v>Display-España</v>
      </c>
      <c r="U27">
        <f>YEAR(A27)</f>
        <v>2025</v>
      </c>
      <c r="V27">
        <f>MONTH(A27)</f>
        <v>7</v>
      </c>
      <c r="W27" t="str">
        <f>PROPER(TEXT(A27,"mmmm"))</f>
        <v>Julio</v>
      </c>
      <c r="X27" t="str">
        <f>PROPER(TEXT(A27,"dddd"))</f>
        <v>Domingo</v>
      </c>
      <c r="Y27" t="str" cm="1">
        <f t="array" ref="Y27">_xlfn.IFS(R27&gt;10,"Excelente",R27&gt;=5,"Bueno",R27&gt;=2,"Débil",R27&lt;2,"Deficiente")</f>
        <v>Bueno</v>
      </c>
      <c r="Z27" t="str">
        <f>IF(AND(R27&lt;2,Q27&gt;=100),"Revisar","OK")</f>
        <v>OK</v>
      </c>
      <c r="AA27" s="55">
        <f>_xlfn.XLOOKUP(C27,'Preguntas de negocio'!$C$114:$C$119,'Preguntas de negocio'!$D$114:$D$119,0)</f>
        <v>5</v>
      </c>
      <c r="AB27" s="55">
        <f>VLOOKUP(C27,'Preguntas de negocio'!$C$121:$D$127,2,FALSE)</f>
        <v>0.5</v>
      </c>
    </row>
    <row r="28" spans="1:28" x14ac:dyDescent="0.3">
      <c r="A28" s="1">
        <v>45862</v>
      </c>
      <c r="B28" s="2" t="s">
        <v>2631</v>
      </c>
      <c r="C28" s="2" t="s">
        <v>2541</v>
      </c>
      <c r="D28" s="2" t="s">
        <v>2528</v>
      </c>
      <c r="E28" s="2" t="s">
        <v>2534</v>
      </c>
      <c r="F28" s="3">
        <v>82374</v>
      </c>
      <c r="G28" s="3">
        <v>1820</v>
      </c>
      <c r="H28" s="3">
        <v>101</v>
      </c>
      <c r="I28" s="4">
        <v>1012.99</v>
      </c>
      <c r="J28" s="4">
        <v>3526.15</v>
      </c>
      <c r="K28" s="3">
        <v>88</v>
      </c>
      <c r="L28" s="2" t="s">
        <v>2539</v>
      </c>
      <c r="M28" s="2" t="s">
        <v>2537</v>
      </c>
      <c r="N28" s="8">
        <f>IFERROR(G28/F28,0)</f>
        <v>2.2094350159030763E-2</v>
      </c>
      <c r="O28" s="8">
        <f>IFERROR(H28/G28,0)</f>
        <v>5.5494505494505492E-2</v>
      </c>
      <c r="P28" s="4">
        <f>IFERROR(I28/G28,0)</f>
        <v>0.55658791208791214</v>
      </c>
      <c r="Q28" s="4">
        <f>IFERROR(I28/H28,0)</f>
        <v>10.02960396039604</v>
      </c>
      <c r="R28" s="12">
        <f>IFERROR(J28/I28,0)</f>
        <v>3.4809326844292641</v>
      </c>
      <c r="S28" s="7">
        <f>Tabla_nuevas_columnas[[#This Row],[ROAS]]</f>
        <v>3.4809326844292641</v>
      </c>
      <c r="T28" t="str">
        <f>_xlfn.CONCAT(C28,"-",D28)</f>
        <v>Display-España</v>
      </c>
      <c r="U28">
        <f>YEAR(A28)</f>
        <v>2025</v>
      </c>
      <c r="V28">
        <f>MONTH(A28)</f>
        <v>7</v>
      </c>
      <c r="W28" t="str">
        <f>PROPER(TEXT(A28,"mmmm"))</f>
        <v>Julio</v>
      </c>
      <c r="X28" t="str">
        <f>PROPER(TEXT(A28,"dddd"))</f>
        <v>Jueves</v>
      </c>
      <c r="Y28" t="str" cm="1">
        <f t="array" ref="Y28">_xlfn.IFS(R28&gt;10,"Excelente",R28&gt;=5,"Bueno",R28&gt;=2,"Débil",R28&lt;2,"Deficiente")</f>
        <v>Débil</v>
      </c>
      <c r="Z28" t="str">
        <f>IF(AND(R28&lt;2,Q28&gt;=100),"Revisar","OK")</f>
        <v>OK</v>
      </c>
      <c r="AA28" s="55">
        <f>_xlfn.XLOOKUP(C28,'Preguntas de negocio'!$C$114:$C$119,'Preguntas de negocio'!$D$114:$D$119,0)</f>
        <v>5</v>
      </c>
      <c r="AB28" s="55">
        <f>VLOOKUP(C28,'Preguntas de negocio'!$C$121:$D$127,2,FALSE)</f>
        <v>0.5</v>
      </c>
    </row>
    <row r="29" spans="1:28" x14ac:dyDescent="0.3">
      <c r="A29" s="1">
        <v>45878</v>
      </c>
      <c r="B29" s="2" t="s">
        <v>2628</v>
      </c>
      <c r="C29" s="2" t="s">
        <v>2515</v>
      </c>
      <c r="D29" s="2" t="s">
        <v>2531</v>
      </c>
      <c r="E29" s="2" t="s">
        <v>2529</v>
      </c>
      <c r="F29" s="3">
        <v>176221</v>
      </c>
      <c r="G29" s="3">
        <v>5694</v>
      </c>
      <c r="H29" s="3">
        <v>645</v>
      </c>
      <c r="I29" s="4">
        <v>9157.59</v>
      </c>
      <c r="J29" s="4">
        <v>126731.53</v>
      </c>
      <c r="K29" s="3">
        <v>313</v>
      </c>
      <c r="L29" s="2" t="s">
        <v>2518</v>
      </c>
      <c r="M29" s="2" t="s">
        <v>2526</v>
      </c>
      <c r="N29" s="8">
        <f>IFERROR(G29/F29,0)</f>
        <v>3.2311699513678849E-2</v>
      </c>
      <c r="O29" s="8">
        <f>IFERROR(H29/G29,0)</f>
        <v>0.11327713382507903</v>
      </c>
      <c r="P29" s="4">
        <f>IFERROR(I29/G29,0)</f>
        <v>1.6082876712328766</v>
      </c>
      <c r="Q29" s="4">
        <f>IFERROR(I29/H29,0)</f>
        <v>14.197813953488373</v>
      </c>
      <c r="R29" s="12">
        <f>IFERROR(J29/I29,0)</f>
        <v>13.838960905653124</v>
      </c>
      <c r="S29" s="7">
        <f>Tabla_nuevas_columnas[[#This Row],[ROAS]]</f>
        <v>13.838960905653124</v>
      </c>
      <c r="T29" t="str">
        <f>_xlfn.CONCAT(C29,"-",D29)</f>
        <v>Email-Portugal</v>
      </c>
      <c r="U29">
        <f>YEAR(A29)</f>
        <v>2025</v>
      </c>
      <c r="V29">
        <f>MONTH(A29)</f>
        <v>8</v>
      </c>
      <c r="W29" t="str">
        <f>PROPER(TEXT(A29,"mmmm"))</f>
        <v>Agosto</v>
      </c>
      <c r="X29" t="str">
        <f>PROPER(TEXT(A29,"dddd"))</f>
        <v>Sábado</v>
      </c>
      <c r="Y29" t="str" cm="1">
        <f t="array" ref="Y29">_xlfn.IFS(R29&gt;10,"Excelente",R29&gt;=5,"Bueno",R29&gt;=2,"Débil",R29&lt;2,"Deficiente")</f>
        <v>Excelente</v>
      </c>
      <c r="Z29" t="str">
        <f>IF(AND(R29&lt;2,Q29&gt;=100),"Revisar","OK")</f>
        <v>OK</v>
      </c>
      <c r="AA29" s="55">
        <f>_xlfn.XLOOKUP(C29,'Preguntas de negocio'!$C$114:$C$119,'Preguntas de negocio'!$D$114:$D$119,0)</f>
        <v>5.5</v>
      </c>
      <c r="AB29" s="55">
        <f>VLOOKUP(C29,'Preguntas de negocio'!$C$121:$D$127,2,FALSE)</f>
        <v>0.65</v>
      </c>
    </row>
    <row r="30" spans="1:28" x14ac:dyDescent="0.3">
      <c r="A30" s="1">
        <v>45892</v>
      </c>
      <c r="B30" s="2" t="s">
        <v>2621</v>
      </c>
      <c r="C30" s="2" t="s">
        <v>2527</v>
      </c>
      <c r="D30" s="2" t="s">
        <v>2522</v>
      </c>
      <c r="E30" s="2" t="s">
        <v>2529</v>
      </c>
      <c r="F30" s="3">
        <v>69153</v>
      </c>
      <c r="G30" s="3">
        <v>3943</v>
      </c>
      <c r="H30" s="3">
        <v>89</v>
      </c>
      <c r="I30" s="4">
        <v>7263.43</v>
      </c>
      <c r="J30" s="4">
        <v>12869.36</v>
      </c>
      <c r="K30" s="3">
        <v>53</v>
      </c>
      <c r="L30" s="2" t="s">
        <v>2536</v>
      </c>
      <c r="M30" s="2" t="s">
        <v>2519</v>
      </c>
      <c r="N30" s="8">
        <f>IFERROR(G30/F30,0)</f>
        <v>5.7018495220742413E-2</v>
      </c>
      <c r="O30" s="8">
        <f>IFERROR(H30/G30,0)</f>
        <v>2.2571645954856709E-2</v>
      </c>
      <c r="P30" s="4">
        <f>IFERROR(I30/G30,0)</f>
        <v>1.8421075323357849</v>
      </c>
      <c r="Q30" s="4">
        <f>IFERROR(I30/H30,0)</f>
        <v>81.61157303370787</v>
      </c>
      <c r="R30" s="12">
        <f>IFERROR(J30/I30,0)</f>
        <v>1.7718020274167989</v>
      </c>
      <c r="S30" s="7">
        <f>Tabla_nuevas_columnas[[#This Row],[ROAS]]</f>
        <v>1.7718020274167989</v>
      </c>
      <c r="T30" t="str">
        <f>_xlfn.CONCAT(C30,"-",D30)</f>
        <v>Affiliate-Italia</v>
      </c>
      <c r="U30">
        <f>YEAR(A30)</f>
        <v>2025</v>
      </c>
      <c r="V30">
        <f>MONTH(A30)</f>
        <v>8</v>
      </c>
      <c r="W30" t="str">
        <f>PROPER(TEXT(A30,"mmmm"))</f>
        <v>Agosto</v>
      </c>
      <c r="X30" t="str">
        <f>PROPER(TEXT(A30,"dddd"))</f>
        <v>Sábado</v>
      </c>
      <c r="Y30" t="str" cm="1">
        <f t="array" ref="Y30">_xlfn.IFS(R30&gt;10,"Excelente",R30&gt;=5,"Bueno",R30&gt;=2,"Débil",R30&lt;2,"Deficiente")</f>
        <v>Deficiente</v>
      </c>
      <c r="Z30" t="str">
        <f>IF(AND(R30&lt;2,Q30&gt;=100),"Revisar","OK")</f>
        <v>OK</v>
      </c>
      <c r="AA30" s="55">
        <f>_xlfn.XLOOKUP(C30,'Preguntas de negocio'!$C$114:$C$119,'Preguntas de negocio'!$D$114:$D$119,0)</f>
        <v>4.5</v>
      </c>
      <c r="AB30" s="55">
        <f>VLOOKUP(C30,'Preguntas de negocio'!$C$121:$D$127,2,FALSE)</f>
        <v>0.35</v>
      </c>
    </row>
    <row r="31" spans="1:28" x14ac:dyDescent="0.3">
      <c r="A31" s="1">
        <v>45660</v>
      </c>
      <c r="B31" s="2" t="s">
        <v>2632</v>
      </c>
      <c r="C31" s="2" t="s">
        <v>2533</v>
      </c>
      <c r="D31" s="2" t="s">
        <v>2525</v>
      </c>
      <c r="E31" s="2" t="s">
        <v>2529</v>
      </c>
      <c r="F31" s="3">
        <v>78114</v>
      </c>
      <c r="G31" s="3">
        <v>1158</v>
      </c>
      <c r="H31" s="3">
        <v>156</v>
      </c>
      <c r="I31" s="4">
        <v>738.9</v>
      </c>
      <c r="J31" s="4">
        <v>18166.68</v>
      </c>
      <c r="K31" s="3">
        <v>94</v>
      </c>
      <c r="L31" s="2" t="s">
        <v>2518</v>
      </c>
      <c r="M31" s="2" t="s">
        <v>2526</v>
      </c>
      <c r="N31" s="8">
        <f>IFERROR(G31/F31,0)</f>
        <v>1.4824487287810124E-2</v>
      </c>
      <c r="O31" s="8">
        <f>IFERROR(H31/G31,0)</f>
        <v>0.13471502590673576</v>
      </c>
      <c r="P31" s="4">
        <f>IFERROR(I31/G31,0)</f>
        <v>0.63808290155440417</v>
      </c>
      <c r="Q31" s="4">
        <f>IFERROR(I31/H31,0)</f>
        <v>4.7365384615384611</v>
      </c>
      <c r="R31" s="12">
        <f>IFERROR(J31/I31,0)</f>
        <v>24.586114494518881</v>
      </c>
      <c r="S31" s="7">
        <f>Tabla_nuevas_columnas[[#This Row],[ROAS]]</f>
        <v>24.586114494518881</v>
      </c>
      <c r="T31" t="str">
        <f>_xlfn.CONCAT(C31,"-",D31)</f>
        <v>Paid Social-Francia</v>
      </c>
      <c r="U31">
        <f>YEAR(A31)</f>
        <v>2025</v>
      </c>
      <c r="V31">
        <f>MONTH(A31)</f>
        <v>1</v>
      </c>
      <c r="W31" t="str">
        <f>PROPER(TEXT(A31,"mmmm"))</f>
        <v>Enero</v>
      </c>
      <c r="X31" t="str">
        <f>PROPER(TEXT(A31,"dddd"))</f>
        <v>Viernes</v>
      </c>
      <c r="Y31" t="str" cm="1">
        <f t="array" ref="Y31">_xlfn.IFS(R31&gt;10,"Excelente",R31&gt;=5,"Bueno",R31&gt;=2,"Débil",R31&lt;2,"Deficiente")</f>
        <v>Excelente</v>
      </c>
      <c r="Z31" t="str">
        <f>IF(AND(R31&lt;2,Q31&gt;=100),"Revisar","OK")</f>
        <v>OK</v>
      </c>
      <c r="AA31" s="55">
        <f>_xlfn.XLOOKUP(C31,'Preguntas de negocio'!$C$114:$C$119,'Preguntas de negocio'!$D$114:$D$119,0)</f>
        <v>6</v>
      </c>
      <c r="AB31" s="55">
        <f>VLOOKUP(C31,'Preguntas de negocio'!$C$121:$D$127,2,FALSE)</f>
        <v>0.8</v>
      </c>
    </row>
    <row r="32" spans="1:28" x14ac:dyDescent="0.3">
      <c r="A32" s="1">
        <v>46006</v>
      </c>
      <c r="B32" s="2" t="s">
        <v>2617</v>
      </c>
      <c r="C32" s="2" t="s">
        <v>2541</v>
      </c>
      <c r="D32" s="2" t="s">
        <v>2528</v>
      </c>
      <c r="E32" s="2" t="s">
        <v>2517</v>
      </c>
      <c r="F32" s="3">
        <v>33428</v>
      </c>
      <c r="G32" s="3">
        <v>180</v>
      </c>
      <c r="H32" s="3">
        <v>5</v>
      </c>
      <c r="I32" s="4">
        <v>320.20999999999998</v>
      </c>
      <c r="J32" s="4">
        <v>175.56</v>
      </c>
      <c r="K32" s="3">
        <v>4</v>
      </c>
      <c r="L32" s="2" t="s">
        <v>2539</v>
      </c>
      <c r="M32" s="2" t="s">
        <v>2524</v>
      </c>
      <c r="N32" s="8">
        <f>IFERROR(G32/F32,0)</f>
        <v>5.3847074308962543E-3</v>
      </c>
      <c r="O32" s="8">
        <f>IFERROR(H32/G32,0)</f>
        <v>2.7777777777777776E-2</v>
      </c>
      <c r="P32" s="4">
        <f>IFERROR(I32/G32,0)</f>
        <v>1.7789444444444444</v>
      </c>
      <c r="Q32" s="4">
        <f>IFERROR(I32/H32,0)</f>
        <v>64.042000000000002</v>
      </c>
      <c r="R32" s="12">
        <f>IFERROR(J32/I32,0)</f>
        <v>0.54826520096186881</v>
      </c>
      <c r="S32" s="7">
        <f>Tabla_nuevas_columnas[[#This Row],[ROAS]]</f>
        <v>0.54826520096186881</v>
      </c>
      <c r="T32" t="str">
        <f>_xlfn.CONCAT(C32,"-",D32)</f>
        <v>Display-España</v>
      </c>
      <c r="U32">
        <f>YEAR(A32)</f>
        <v>2025</v>
      </c>
      <c r="V32">
        <f>MONTH(A32)</f>
        <v>12</v>
      </c>
      <c r="W32" t="str">
        <f>PROPER(TEXT(A32,"mmmm"))</f>
        <v>Diciembre</v>
      </c>
      <c r="X32" t="str">
        <f>PROPER(TEXT(A32,"dddd"))</f>
        <v>Lunes</v>
      </c>
      <c r="Y32" t="str" cm="1">
        <f t="array" ref="Y32">_xlfn.IFS(R32&gt;10,"Excelente",R32&gt;=5,"Bueno",R32&gt;=2,"Débil",R32&lt;2,"Deficiente")</f>
        <v>Deficiente</v>
      </c>
      <c r="Z32" t="str">
        <f>IF(AND(R32&lt;2,Q32&gt;=100),"Revisar","OK")</f>
        <v>OK</v>
      </c>
      <c r="AA32" s="55">
        <f>_xlfn.XLOOKUP(C32,'Preguntas de negocio'!$C$114:$C$119,'Preguntas de negocio'!$D$114:$D$119,0)</f>
        <v>5</v>
      </c>
      <c r="AB32" s="55">
        <f>VLOOKUP(C32,'Preguntas de negocio'!$C$121:$D$127,2,FALSE)</f>
        <v>0.5</v>
      </c>
    </row>
    <row r="33" spans="1:28" x14ac:dyDescent="0.3">
      <c r="A33" s="1">
        <v>45917</v>
      </c>
      <c r="B33" s="2" t="s">
        <v>2633</v>
      </c>
      <c r="C33" s="2" t="s">
        <v>2527</v>
      </c>
      <c r="D33" s="2" t="s">
        <v>2528</v>
      </c>
      <c r="E33" s="2" t="s">
        <v>2517</v>
      </c>
      <c r="F33" s="3">
        <v>4187</v>
      </c>
      <c r="G33" s="3">
        <v>41</v>
      </c>
      <c r="H33" s="3">
        <v>0</v>
      </c>
      <c r="I33" s="4">
        <v>38.14</v>
      </c>
      <c r="J33" s="4">
        <v>0</v>
      </c>
      <c r="K33" s="3">
        <v>0</v>
      </c>
      <c r="L33" s="2" t="s">
        <v>2539</v>
      </c>
      <c r="M33" s="2" t="s">
        <v>2546</v>
      </c>
      <c r="N33" s="8">
        <f>IFERROR(G33/F33,0)</f>
        <v>9.7922139957009793E-3</v>
      </c>
      <c r="O33" s="8">
        <f>IFERROR(H33/G33,0)</f>
        <v>0</v>
      </c>
      <c r="P33" s="4">
        <f>IFERROR(I33/G33,0)</f>
        <v>0.93024390243902444</v>
      </c>
      <c r="Q33" s="4">
        <f>IFERROR(I33/H33,0)</f>
        <v>0</v>
      </c>
      <c r="R33" s="12">
        <f>IFERROR(J33/I33,0)</f>
        <v>0</v>
      </c>
      <c r="S33" s="7">
        <f>Tabla_nuevas_columnas[[#This Row],[ROAS]]</f>
        <v>0</v>
      </c>
      <c r="T33" t="str">
        <f>_xlfn.CONCAT(C33,"-",D33)</f>
        <v>Affiliate-España</v>
      </c>
      <c r="U33">
        <f>YEAR(A33)</f>
        <v>2025</v>
      </c>
      <c r="V33">
        <f>MONTH(A33)</f>
        <v>9</v>
      </c>
      <c r="W33" t="str">
        <f>PROPER(TEXT(A33,"mmmm"))</f>
        <v>Septiembre</v>
      </c>
      <c r="X33" t="str">
        <f>PROPER(TEXT(A33,"dddd"))</f>
        <v>Miércoles</v>
      </c>
      <c r="Y33" t="str" cm="1">
        <f t="array" ref="Y33">_xlfn.IFS(R33&gt;10,"Excelente",R33&gt;=5,"Bueno",R33&gt;=2,"Débil",R33&lt;2,"Deficiente")</f>
        <v>Deficiente</v>
      </c>
      <c r="Z33" t="str">
        <f>IF(AND(R33&lt;2,Q33&gt;=100),"Revisar","OK")</f>
        <v>OK</v>
      </c>
      <c r="AA33" s="55">
        <f>_xlfn.XLOOKUP(C33,'Preguntas de negocio'!$C$114:$C$119,'Preguntas de negocio'!$D$114:$D$119,0)</f>
        <v>4.5</v>
      </c>
      <c r="AB33" s="55">
        <f>VLOOKUP(C33,'Preguntas de negocio'!$C$121:$D$127,2,FALSE)</f>
        <v>0.35</v>
      </c>
    </row>
    <row r="34" spans="1:28" x14ac:dyDescent="0.3">
      <c r="A34" s="1">
        <v>45751</v>
      </c>
      <c r="B34" s="2" t="s">
        <v>2619</v>
      </c>
      <c r="C34" s="2" t="s">
        <v>2543</v>
      </c>
      <c r="D34" s="2" t="s">
        <v>2528</v>
      </c>
      <c r="E34" s="2" t="s">
        <v>2534</v>
      </c>
      <c r="F34" s="3">
        <v>156964</v>
      </c>
      <c r="G34" s="3">
        <v>9714</v>
      </c>
      <c r="H34" s="3">
        <v>820</v>
      </c>
      <c r="I34" s="4">
        <v>16423.11</v>
      </c>
      <c r="J34" s="4">
        <v>39511.26</v>
      </c>
      <c r="K34" s="3">
        <v>557</v>
      </c>
      <c r="L34" s="2" t="s">
        <v>2518</v>
      </c>
      <c r="M34" s="2" t="s">
        <v>2546</v>
      </c>
      <c r="N34" s="8">
        <f>IFERROR(G34/F34,0)</f>
        <v>6.1886802069264286E-2</v>
      </c>
      <c r="O34" s="8">
        <f>IFERROR(H34/G34,0)</f>
        <v>8.4414247477866994E-2</v>
      </c>
      <c r="P34" s="4">
        <f>IFERROR(I34/G34,0)</f>
        <v>1.6906639901173564</v>
      </c>
      <c r="Q34" s="4">
        <f>IFERROR(I34/H34,0)</f>
        <v>20.02818292682927</v>
      </c>
      <c r="R34" s="12">
        <f>IFERROR(J34/I34,0)</f>
        <v>2.4058329999616395</v>
      </c>
      <c r="S34" s="7">
        <f>Tabla_nuevas_columnas[[#This Row],[ROAS]]</f>
        <v>2.4058329999616395</v>
      </c>
      <c r="T34" t="str">
        <f>_xlfn.CONCAT(C34,"-",D34)</f>
        <v>Organic Social-España</v>
      </c>
      <c r="U34">
        <f>YEAR(A34)</f>
        <v>2025</v>
      </c>
      <c r="V34">
        <f>MONTH(A34)</f>
        <v>4</v>
      </c>
      <c r="W34" t="str">
        <f>PROPER(TEXT(A34,"mmmm"))</f>
        <v>Abril</v>
      </c>
      <c r="X34" t="str">
        <f>PROPER(TEXT(A34,"dddd"))</f>
        <v>Viernes</v>
      </c>
      <c r="Y34" t="str" cm="1">
        <f t="array" ref="Y34">_xlfn.IFS(R34&gt;10,"Excelente",R34&gt;=5,"Bueno",R34&gt;=2,"Débil",R34&lt;2,"Deficiente")</f>
        <v>Débil</v>
      </c>
      <c r="Z34" t="str">
        <f>IF(AND(R34&lt;2,Q34&gt;=100),"Revisar","OK")</f>
        <v>OK</v>
      </c>
      <c r="AA34" s="55">
        <f>_xlfn.XLOOKUP(C34,'Preguntas de negocio'!$C$114:$C$119,'Preguntas de negocio'!$D$114:$D$119,0)</f>
        <v>4</v>
      </c>
      <c r="AB34" s="55">
        <f>VLOOKUP(C34,'Preguntas de negocio'!$C$121:$D$127,2,FALSE)</f>
        <v>0.95</v>
      </c>
    </row>
    <row r="35" spans="1:28" x14ac:dyDescent="0.3">
      <c r="A35" s="1">
        <v>45921</v>
      </c>
      <c r="B35" s="2" t="s">
        <v>2631</v>
      </c>
      <c r="C35" s="2" t="s">
        <v>2533</v>
      </c>
      <c r="D35" s="2" t="s">
        <v>2525</v>
      </c>
      <c r="E35" s="2" t="s">
        <v>2529</v>
      </c>
      <c r="F35" s="3">
        <v>78190</v>
      </c>
      <c r="G35" s="3">
        <v>387</v>
      </c>
      <c r="H35" s="3">
        <v>31</v>
      </c>
      <c r="I35" s="4">
        <v>203.63</v>
      </c>
      <c r="J35" s="4">
        <v>6507.47</v>
      </c>
      <c r="K35" s="3">
        <v>16</v>
      </c>
      <c r="L35" s="2" t="s">
        <v>2523</v>
      </c>
      <c r="M35" s="2" t="s">
        <v>2537</v>
      </c>
      <c r="N35" s="8">
        <f>IFERROR(G35/F35,0)</f>
        <v>4.9494820309502491E-3</v>
      </c>
      <c r="O35" s="8">
        <f>IFERROR(H35/G35,0)</f>
        <v>8.0103359173126609E-2</v>
      </c>
      <c r="P35" s="4">
        <f>IFERROR(I35/G35,0)</f>
        <v>0.52617571059431523</v>
      </c>
      <c r="Q35" s="4">
        <f>IFERROR(I35/H35,0)</f>
        <v>6.5687096774193545</v>
      </c>
      <c r="R35" s="12">
        <f>IFERROR(J35/I35,0)</f>
        <v>31.957324559249621</v>
      </c>
      <c r="S35" s="7">
        <f>Tabla_nuevas_columnas[[#This Row],[ROAS]]</f>
        <v>31.957324559249621</v>
      </c>
      <c r="T35" t="str">
        <f>_xlfn.CONCAT(C35,"-",D35)</f>
        <v>Paid Social-Francia</v>
      </c>
      <c r="U35">
        <f>YEAR(A35)</f>
        <v>2025</v>
      </c>
      <c r="V35">
        <f>MONTH(A35)</f>
        <v>9</v>
      </c>
      <c r="W35" t="str">
        <f>PROPER(TEXT(A35,"mmmm"))</f>
        <v>Septiembre</v>
      </c>
      <c r="X35" t="str">
        <f>PROPER(TEXT(A35,"dddd"))</f>
        <v>Domingo</v>
      </c>
      <c r="Y35" t="str" cm="1">
        <f t="array" ref="Y35">_xlfn.IFS(R35&gt;10,"Excelente",R35&gt;=5,"Bueno",R35&gt;=2,"Débil",R35&lt;2,"Deficiente")</f>
        <v>Excelente</v>
      </c>
      <c r="Z35" t="str">
        <f>IF(AND(R35&lt;2,Q35&gt;=100),"Revisar","OK")</f>
        <v>OK</v>
      </c>
      <c r="AA35" s="55">
        <f>_xlfn.XLOOKUP(C35,'Preguntas de negocio'!$C$114:$C$119,'Preguntas de negocio'!$D$114:$D$119,0)</f>
        <v>6</v>
      </c>
      <c r="AB35" s="55">
        <f>VLOOKUP(C35,'Preguntas de negocio'!$C$121:$D$127,2,FALSE)</f>
        <v>0.8</v>
      </c>
    </row>
    <row r="36" spans="1:28" x14ac:dyDescent="0.3">
      <c r="A36" s="1">
        <v>45755</v>
      </c>
      <c r="B36" s="2" t="s">
        <v>2631</v>
      </c>
      <c r="C36" s="2" t="s">
        <v>2645</v>
      </c>
      <c r="D36" s="2" t="s">
        <v>2516</v>
      </c>
      <c r="E36" s="2" t="s">
        <v>2517</v>
      </c>
      <c r="F36" s="3">
        <v>63702</v>
      </c>
      <c r="G36" s="3">
        <v>5675</v>
      </c>
      <c r="H36" s="3">
        <v>708</v>
      </c>
      <c r="I36" s="4">
        <v>4115.09</v>
      </c>
      <c r="J36" s="4">
        <v>107477.07</v>
      </c>
      <c r="K36" s="3">
        <v>459</v>
      </c>
      <c r="L36" s="2" t="s">
        <v>2536</v>
      </c>
      <c r="M36" s="2" t="s">
        <v>2546</v>
      </c>
      <c r="N36" s="8">
        <f>IFERROR(G36/F36,0)</f>
        <v>8.9086684876456004E-2</v>
      </c>
      <c r="O36" s="8">
        <f>IFERROR(H36/G36,0)</f>
        <v>0.12475770925110131</v>
      </c>
      <c r="P36" s="4">
        <f>IFERROR(I36/G36,0)</f>
        <v>0.72512599118942733</v>
      </c>
      <c r="Q36" s="4">
        <f>IFERROR(I36/H36,0)</f>
        <v>5.8122740112994355</v>
      </c>
      <c r="R36" s="12">
        <f>IFERROR(J36/I36,0)</f>
        <v>26.117793292491783</v>
      </c>
      <c r="S36" s="7">
        <f>Tabla_nuevas_columnas[[#This Row],[ROAS]]</f>
        <v>26.117793292491783</v>
      </c>
      <c r="T36" t="str">
        <f>_xlfn.CONCAT(C36,"-",D36)</f>
        <v>Por identificar-México</v>
      </c>
      <c r="U36">
        <f>YEAR(A36)</f>
        <v>2025</v>
      </c>
      <c r="V36">
        <f>MONTH(A36)</f>
        <v>4</v>
      </c>
      <c r="W36" t="str">
        <f>PROPER(TEXT(A36,"mmmm"))</f>
        <v>Abril</v>
      </c>
      <c r="X36" t="str">
        <f>PROPER(TEXT(A36,"dddd"))</f>
        <v>Martes</v>
      </c>
      <c r="Y36" t="str" cm="1">
        <f t="array" ref="Y36">_xlfn.IFS(R36&gt;10,"Excelente",R36&gt;=5,"Bueno",R36&gt;=2,"Débil",R36&lt;2,"Deficiente")</f>
        <v>Excelente</v>
      </c>
      <c r="Z36" t="str">
        <f>IF(AND(R36&lt;2,Q36&gt;=100),"Revisar","OK")</f>
        <v>OK</v>
      </c>
      <c r="AA36" s="55">
        <f>_xlfn.XLOOKUP(C36,'Preguntas de negocio'!$C$114:$C$119,'Preguntas de negocio'!$D$114:$D$119,0)</f>
        <v>0</v>
      </c>
      <c r="AB36" s="55">
        <f>VLOOKUP(C36,'Preguntas de negocio'!$C$121:$D$127,2,FALSE)</f>
        <v>0</v>
      </c>
    </row>
    <row r="37" spans="1:28" x14ac:dyDescent="0.3">
      <c r="A37" s="1">
        <v>45781</v>
      </c>
      <c r="B37" s="2" t="s">
        <v>2634</v>
      </c>
      <c r="C37" s="2" t="s">
        <v>2541</v>
      </c>
      <c r="D37" s="2" t="s">
        <v>2525</v>
      </c>
      <c r="E37" s="2" t="s">
        <v>2529</v>
      </c>
      <c r="F37" s="3">
        <v>62593</v>
      </c>
      <c r="G37" s="3">
        <v>3168</v>
      </c>
      <c r="H37" s="3">
        <v>202</v>
      </c>
      <c r="I37" s="4">
        <v>1472.4</v>
      </c>
      <c r="J37" s="4">
        <v>11607.45</v>
      </c>
      <c r="K37" s="3">
        <v>102</v>
      </c>
      <c r="L37" s="2" t="s">
        <v>2518</v>
      </c>
      <c r="M37" s="2" t="s">
        <v>2519</v>
      </c>
      <c r="N37" s="8">
        <f>IFERROR(G37/F37,0)</f>
        <v>5.0612688319780171E-2</v>
      </c>
      <c r="O37" s="8">
        <f>IFERROR(H37/G37,0)</f>
        <v>6.3762626262626257E-2</v>
      </c>
      <c r="P37" s="4">
        <f>IFERROR(I37/G37,0)</f>
        <v>0.46477272727272728</v>
      </c>
      <c r="Q37" s="4">
        <f>IFERROR(I37/H37,0)</f>
        <v>7.2891089108910894</v>
      </c>
      <c r="R37" s="12">
        <f>IFERROR(J37/I37,0)</f>
        <v>7.8833537082314589</v>
      </c>
      <c r="S37" s="7">
        <f>Tabla_nuevas_columnas[[#This Row],[ROAS]]</f>
        <v>7.8833537082314589</v>
      </c>
      <c r="T37" t="str">
        <f>_xlfn.CONCAT(C37,"-",D37)</f>
        <v>Display-Francia</v>
      </c>
      <c r="U37">
        <f>YEAR(A37)</f>
        <v>2025</v>
      </c>
      <c r="V37">
        <f>MONTH(A37)</f>
        <v>5</v>
      </c>
      <c r="W37" t="str">
        <f>PROPER(TEXT(A37,"mmmm"))</f>
        <v>Mayo</v>
      </c>
      <c r="X37" t="str">
        <f>PROPER(TEXT(A37,"dddd"))</f>
        <v>Domingo</v>
      </c>
      <c r="Y37" t="str" cm="1">
        <f t="array" ref="Y37">_xlfn.IFS(R37&gt;10,"Excelente",R37&gt;=5,"Bueno",R37&gt;=2,"Débil",R37&lt;2,"Deficiente")</f>
        <v>Bueno</v>
      </c>
      <c r="Z37" t="str">
        <f>IF(AND(R37&lt;2,Q37&gt;=100),"Revisar","OK")</f>
        <v>OK</v>
      </c>
      <c r="AA37" s="55">
        <f>_xlfn.XLOOKUP(C37,'Preguntas de negocio'!$C$114:$C$119,'Preguntas de negocio'!$D$114:$D$119,0)</f>
        <v>5</v>
      </c>
      <c r="AB37" s="55">
        <f>VLOOKUP(C37,'Preguntas de negocio'!$C$121:$D$127,2,FALSE)</f>
        <v>0.5</v>
      </c>
    </row>
    <row r="38" spans="1:28" x14ac:dyDescent="0.3">
      <c r="A38" s="1">
        <v>45680</v>
      </c>
      <c r="B38" s="2" t="s">
        <v>2615</v>
      </c>
      <c r="C38" s="2" t="s">
        <v>2515</v>
      </c>
      <c r="D38" s="2" t="s">
        <v>2516</v>
      </c>
      <c r="E38" s="2" t="s">
        <v>2517</v>
      </c>
      <c r="F38" s="3">
        <v>91161</v>
      </c>
      <c r="G38" s="3">
        <v>4430</v>
      </c>
      <c r="H38" s="3">
        <v>265</v>
      </c>
      <c r="I38" s="4">
        <v>5935.04</v>
      </c>
      <c r="J38" s="4">
        <v>35663.11</v>
      </c>
      <c r="K38" s="3">
        <v>186</v>
      </c>
      <c r="L38" s="2" t="s">
        <v>2539</v>
      </c>
      <c r="M38" s="2" t="s">
        <v>2519</v>
      </c>
      <c r="N38" s="8">
        <f>IFERROR(G38/F38,0)</f>
        <v>4.8595342306468774E-2</v>
      </c>
      <c r="O38" s="8">
        <f>IFERROR(H38/G38,0)</f>
        <v>5.9819413092550788E-2</v>
      </c>
      <c r="P38" s="4">
        <f>IFERROR(I38/G38,0)</f>
        <v>1.3397381489841986</v>
      </c>
      <c r="Q38" s="4">
        <f>IFERROR(I38/H38,0)</f>
        <v>22.396377358490565</v>
      </c>
      <c r="R38" s="12">
        <f>IFERROR(J38/I38,0)</f>
        <v>6.0089081118240149</v>
      </c>
      <c r="S38" s="7">
        <f>Tabla_nuevas_columnas[[#This Row],[ROAS]]</f>
        <v>6.0089081118240149</v>
      </c>
      <c r="T38" t="str">
        <f>_xlfn.CONCAT(C38,"-",D38)</f>
        <v>Email-México</v>
      </c>
      <c r="U38">
        <f>YEAR(A38)</f>
        <v>2025</v>
      </c>
      <c r="V38">
        <f>MONTH(A38)</f>
        <v>1</v>
      </c>
      <c r="W38" t="str">
        <f>PROPER(TEXT(A38,"mmmm"))</f>
        <v>Enero</v>
      </c>
      <c r="X38" t="str">
        <f>PROPER(TEXT(A38,"dddd"))</f>
        <v>Jueves</v>
      </c>
      <c r="Y38" t="str" cm="1">
        <f t="array" ref="Y38">_xlfn.IFS(R38&gt;10,"Excelente",R38&gt;=5,"Bueno",R38&gt;=2,"Débil",R38&lt;2,"Deficiente")</f>
        <v>Bueno</v>
      </c>
      <c r="Z38" t="str">
        <f>IF(AND(R38&lt;2,Q38&gt;=100),"Revisar","OK")</f>
        <v>OK</v>
      </c>
      <c r="AA38" s="55">
        <f>_xlfn.XLOOKUP(C38,'Preguntas de negocio'!$C$114:$C$119,'Preguntas de negocio'!$D$114:$D$119,0)</f>
        <v>5.5</v>
      </c>
      <c r="AB38" s="55">
        <f>VLOOKUP(C38,'Preguntas de negocio'!$C$121:$D$127,2,FALSE)</f>
        <v>0.65</v>
      </c>
    </row>
    <row r="39" spans="1:28" x14ac:dyDescent="0.3">
      <c r="A39" s="1">
        <v>45720</v>
      </c>
      <c r="B39" s="2" t="s">
        <v>2629</v>
      </c>
      <c r="C39" s="2" t="s">
        <v>2541</v>
      </c>
      <c r="D39" s="2" t="s">
        <v>2528</v>
      </c>
      <c r="E39" s="2" t="s">
        <v>2529</v>
      </c>
      <c r="F39" s="3">
        <v>16564</v>
      </c>
      <c r="G39" s="3">
        <v>169</v>
      </c>
      <c r="H39" s="3">
        <v>4</v>
      </c>
      <c r="I39" s="4">
        <v>152.83000000000001</v>
      </c>
      <c r="J39" s="4">
        <v>769.28</v>
      </c>
      <c r="K39" s="3">
        <v>2</v>
      </c>
      <c r="L39" s="2" t="s">
        <v>2539</v>
      </c>
      <c r="M39" s="2" t="s">
        <v>2546</v>
      </c>
      <c r="N39" s="8">
        <f>IFERROR(G39/F39,0)</f>
        <v>1.0202849553248008E-2</v>
      </c>
      <c r="O39" s="8">
        <f>IFERROR(H39/G39,0)</f>
        <v>2.3668639053254437E-2</v>
      </c>
      <c r="P39" s="4">
        <f>IFERROR(I39/G39,0)</f>
        <v>0.90431952662721904</v>
      </c>
      <c r="Q39" s="4">
        <f>IFERROR(I39/H39,0)</f>
        <v>38.207500000000003</v>
      </c>
      <c r="R39" s="12">
        <f>IFERROR(J39/I39,0)</f>
        <v>5.0335667081070463</v>
      </c>
      <c r="S39" s="7">
        <f>Tabla_nuevas_columnas[[#This Row],[ROAS]]</f>
        <v>5.0335667081070463</v>
      </c>
      <c r="T39" t="str">
        <f>_xlfn.CONCAT(C39,"-",D39)</f>
        <v>Display-España</v>
      </c>
      <c r="U39">
        <f>YEAR(A39)</f>
        <v>2025</v>
      </c>
      <c r="V39">
        <f>MONTH(A39)</f>
        <v>3</v>
      </c>
      <c r="W39" t="str">
        <f>PROPER(TEXT(A39,"mmmm"))</f>
        <v>Marzo</v>
      </c>
      <c r="X39" t="str">
        <f>PROPER(TEXT(A39,"dddd"))</f>
        <v>Martes</v>
      </c>
      <c r="Y39" t="str" cm="1">
        <f t="array" ref="Y39">_xlfn.IFS(R39&gt;10,"Excelente",R39&gt;=5,"Bueno",R39&gt;=2,"Débil",R39&lt;2,"Deficiente")</f>
        <v>Bueno</v>
      </c>
      <c r="Z39" t="str">
        <f>IF(AND(R39&lt;2,Q39&gt;=100),"Revisar","OK")</f>
        <v>OK</v>
      </c>
      <c r="AA39" s="55">
        <f>_xlfn.XLOOKUP(C39,'Preguntas de negocio'!$C$114:$C$119,'Preguntas de negocio'!$D$114:$D$119,0)</f>
        <v>5</v>
      </c>
      <c r="AB39" s="55">
        <f>VLOOKUP(C39,'Preguntas de negocio'!$C$121:$D$127,2,FALSE)</f>
        <v>0.5</v>
      </c>
    </row>
    <row r="40" spans="1:28" x14ac:dyDescent="0.3">
      <c r="A40" s="1">
        <v>45722</v>
      </c>
      <c r="B40" s="2" t="s">
        <v>2630</v>
      </c>
      <c r="C40" s="2" t="s">
        <v>2521</v>
      </c>
      <c r="D40" s="2" t="s">
        <v>2525</v>
      </c>
      <c r="E40" s="2" t="s">
        <v>2517</v>
      </c>
      <c r="F40" s="3">
        <v>65604</v>
      </c>
      <c r="G40" s="3">
        <v>2826</v>
      </c>
      <c r="H40" s="3">
        <v>147</v>
      </c>
      <c r="I40" s="4">
        <v>370.78</v>
      </c>
      <c r="J40" s="4">
        <v>8547.51</v>
      </c>
      <c r="K40" s="3">
        <v>112</v>
      </c>
      <c r="L40" s="2" t="s">
        <v>2523</v>
      </c>
      <c r="M40" s="2" t="s">
        <v>2546</v>
      </c>
      <c r="N40" s="8">
        <f>IFERROR(G40/F40,0)</f>
        <v>4.3076641668190967E-2</v>
      </c>
      <c r="O40" s="8">
        <f>IFERROR(H40/G40,0)</f>
        <v>5.2016985138004249E-2</v>
      </c>
      <c r="P40" s="4">
        <f>IFERROR(I40/G40,0)</f>
        <v>0.13120311394196743</v>
      </c>
      <c r="Q40" s="4">
        <f>IFERROR(I40/H40,0)</f>
        <v>2.522312925170068</v>
      </c>
      <c r="R40" s="12">
        <f>IFERROR(J40/I40,0)</f>
        <v>23.052780624629161</v>
      </c>
      <c r="S40" s="7">
        <f>Tabla_nuevas_columnas[[#This Row],[ROAS]]</f>
        <v>23.052780624629161</v>
      </c>
      <c r="T40" t="str">
        <f>_xlfn.CONCAT(C40,"-",D40)</f>
        <v>Paid Search-Francia</v>
      </c>
      <c r="U40">
        <f>YEAR(A40)</f>
        <v>2025</v>
      </c>
      <c r="V40">
        <f>MONTH(A40)</f>
        <v>3</v>
      </c>
      <c r="W40" t="str">
        <f>PROPER(TEXT(A40,"mmmm"))</f>
        <v>Marzo</v>
      </c>
      <c r="X40" t="str">
        <f>PROPER(TEXT(A40,"dddd"))</f>
        <v>Jueves</v>
      </c>
      <c r="Y40" t="str" cm="1">
        <f t="array" ref="Y40">_xlfn.IFS(R40&gt;10,"Excelente",R40&gt;=5,"Bueno",R40&gt;=2,"Débil",R40&lt;2,"Deficiente")</f>
        <v>Excelente</v>
      </c>
      <c r="Z40" t="str">
        <f>IF(AND(R40&lt;2,Q40&gt;=100),"Revisar","OK")</f>
        <v>OK</v>
      </c>
      <c r="AA40" s="55">
        <f>_xlfn.XLOOKUP(C40,'Preguntas de negocio'!$C$114:$C$119,'Preguntas de negocio'!$D$114:$D$119,0)</f>
        <v>5</v>
      </c>
      <c r="AB40" s="55">
        <f>VLOOKUP(C40,'Preguntas de negocio'!$C$121:$D$127,2,FALSE)</f>
        <v>1.1000000000000001</v>
      </c>
    </row>
    <row r="41" spans="1:28" x14ac:dyDescent="0.3">
      <c r="A41" s="1">
        <v>45775</v>
      </c>
      <c r="B41" s="2" t="s">
        <v>2615</v>
      </c>
      <c r="C41" s="2" t="s">
        <v>2527</v>
      </c>
      <c r="D41" s="2" t="s">
        <v>2522</v>
      </c>
      <c r="E41" s="2" t="s">
        <v>2529</v>
      </c>
      <c r="F41" s="3">
        <v>84707</v>
      </c>
      <c r="G41" s="3">
        <v>512</v>
      </c>
      <c r="H41" s="3">
        <v>33</v>
      </c>
      <c r="I41" s="4">
        <v>940.78</v>
      </c>
      <c r="J41" s="4">
        <v>6912.23</v>
      </c>
      <c r="K41" s="3">
        <v>17</v>
      </c>
      <c r="L41" s="2" t="s">
        <v>2523</v>
      </c>
      <c r="M41" s="2" t="s">
        <v>2524</v>
      </c>
      <c r="N41" s="8">
        <f>IFERROR(G41/F41,0)</f>
        <v>6.0443646924103088E-3</v>
      </c>
      <c r="O41" s="8">
        <f>IFERROR(H41/G41,0)</f>
        <v>6.4453125E-2</v>
      </c>
      <c r="P41" s="4">
        <f>IFERROR(I41/G41,0)</f>
        <v>1.8374609374999999</v>
      </c>
      <c r="Q41" s="4">
        <f>IFERROR(I41/H41,0)</f>
        <v>28.508484848484848</v>
      </c>
      <c r="R41" s="12">
        <f>IFERROR(J41/I41,0)</f>
        <v>7.347339441739833</v>
      </c>
      <c r="S41" s="7">
        <f>Tabla_nuevas_columnas[[#This Row],[ROAS]]</f>
        <v>7.347339441739833</v>
      </c>
      <c r="T41" t="str">
        <f>_xlfn.CONCAT(C41,"-",D41)</f>
        <v>Affiliate-Italia</v>
      </c>
      <c r="U41">
        <f>YEAR(A41)</f>
        <v>2025</v>
      </c>
      <c r="V41">
        <f>MONTH(A41)</f>
        <v>4</v>
      </c>
      <c r="W41" t="str">
        <f>PROPER(TEXT(A41,"mmmm"))</f>
        <v>Abril</v>
      </c>
      <c r="X41" t="str">
        <f>PROPER(TEXT(A41,"dddd"))</f>
        <v>Lunes</v>
      </c>
      <c r="Y41" t="str" cm="1">
        <f t="array" ref="Y41">_xlfn.IFS(R41&gt;10,"Excelente",R41&gt;=5,"Bueno",R41&gt;=2,"Débil",R41&lt;2,"Deficiente")</f>
        <v>Bueno</v>
      </c>
      <c r="Z41" t="str">
        <f>IF(AND(R41&lt;2,Q41&gt;=100),"Revisar","OK")</f>
        <v>OK</v>
      </c>
      <c r="AA41" s="55">
        <f>_xlfn.XLOOKUP(C41,'Preguntas de negocio'!$C$114:$C$119,'Preguntas de negocio'!$D$114:$D$119,0)</f>
        <v>4.5</v>
      </c>
      <c r="AB41" s="55">
        <f>VLOOKUP(C41,'Preguntas de negocio'!$C$121:$D$127,2,FALSE)</f>
        <v>0.35</v>
      </c>
    </row>
    <row r="42" spans="1:28" x14ac:dyDescent="0.3">
      <c r="A42" s="1">
        <v>45748</v>
      </c>
      <c r="B42" s="2" t="s">
        <v>2627</v>
      </c>
      <c r="C42" s="2" t="s">
        <v>2543</v>
      </c>
      <c r="D42" s="2" t="s">
        <v>2516</v>
      </c>
      <c r="E42" s="2" t="s">
        <v>2517</v>
      </c>
      <c r="F42" s="3">
        <v>125379</v>
      </c>
      <c r="G42" s="3">
        <v>2816</v>
      </c>
      <c r="H42" s="3">
        <v>211</v>
      </c>
      <c r="I42" s="4">
        <v>2108.8000000000002</v>
      </c>
      <c r="J42" s="4">
        <v>14718.61</v>
      </c>
      <c r="K42" s="3">
        <v>168</v>
      </c>
      <c r="L42" s="2" t="s">
        <v>2539</v>
      </c>
      <c r="M42" s="2" t="s">
        <v>2519</v>
      </c>
      <c r="N42" s="8">
        <f>IFERROR(G42/F42,0)</f>
        <v>2.2459901578414248E-2</v>
      </c>
      <c r="O42" s="8">
        <f>IFERROR(H42/G42,0)</f>
        <v>7.4928977272727279E-2</v>
      </c>
      <c r="P42" s="4">
        <f>IFERROR(I42/G42,0)</f>
        <v>0.7488636363636364</v>
      </c>
      <c r="Q42" s="4">
        <f>IFERROR(I42/H42,0)</f>
        <v>9.994312796208531</v>
      </c>
      <c r="R42" s="12">
        <f>IFERROR(J42/I42,0)</f>
        <v>6.9796139984825487</v>
      </c>
      <c r="S42" s="7">
        <f>Tabla_nuevas_columnas[[#This Row],[ROAS]]</f>
        <v>6.9796139984825487</v>
      </c>
      <c r="T42" t="str">
        <f>_xlfn.CONCAT(C42,"-",D42)</f>
        <v>Organic Social-México</v>
      </c>
      <c r="U42">
        <f>YEAR(A42)</f>
        <v>2025</v>
      </c>
      <c r="V42">
        <f>MONTH(A42)</f>
        <v>4</v>
      </c>
      <c r="W42" t="str">
        <f>PROPER(TEXT(A42,"mmmm"))</f>
        <v>Abril</v>
      </c>
      <c r="X42" t="str">
        <f>PROPER(TEXT(A42,"dddd"))</f>
        <v>Martes</v>
      </c>
      <c r="Y42" t="str" cm="1">
        <f t="array" ref="Y42">_xlfn.IFS(R42&gt;10,"Excelente",R42&gt;=5,"Bueno",R42&gt;=2,"Débil",R42&lt;2,"Deficiente")</f>
        <v>Bueno</v>
      </c>
      <c r="Z42" t="str">
        <f>IF(AND(R42&lt;2,Q42&gt;=100),"Revisar","OK")</f>
        <v>OK</v>
      </c>
      <c r="AA42" s="55">
        <f>_xlfn.XLOOKUP(C42,'Preguntas de negocio'!$C$114:$C$119,'Preguntas de negocio'!$D$114:$D$119,0)</f>
        <v>4</v>
      </c>
      <c r="AB42" s="55">
        <f>VLOOKUP(C42,'Preguntas de negocio'!$C$121:$D$127,2,FALSE)</f>
        <v>0.95</v>
      </c>
    </row>
    <row r="43" spans="1:28" x14ac:dyDescent="0.3">
      <c r="A43" s="1">
        <v>45788</v>
      </c>
      <c r="B43" s="2" t="s">
        <v>2633</v>
      </c>
      <c r="C43" s="2" t="s">
        <v>2527</v>
      </c>
      <c r="D43" s="2" t="s">
        <v>2522</v>
      </c>
      <c r="E43" s="2" t="s">
        <v>2529</v>
      </c>
      <c r="F43" s="3">
        <v>75503</v>
      </c>
      <c r="G43" s="3">
        <v>3617</v>
      </c>
      <c r="H43" s="3">
        <v>24</v>
      </c>
      <c r="I43" s="4">
        <v>3324.61</v>
      </c>
      <c r="J43" s="4">
        <v>462.18</v>
      </c>
      <c r="K43" s="3">
        <v>13</v>
      </c>
      <c r="L43" s="2" t="s">
        <v>2539</v>
      </c>
      <c r="M43" s="2" t="s">
        <v>2546</v>
      </c>
      <c r="N43" s="8">
        <f>IFERROR(G43/F43,0)</f>
        <v>4.7905381243129409E-2</v>
      </c>
      <c r="O43" s="8">
        <f>IFERROR(H43/G43,0)</f>
        <v>6.6353331490185234E-3</v>
      </c>
      <c r="P43" s="4">
        <f>IFERROR(I43/G43,0)</f>
        <v>0.91916228918993648</v>
      </c>
      <c r="Q43" s="4">
        <f>IFERROR(I43/H43,0)</f>
        <v>138.52541666666667</v>
      </c>
      <c r="R43" s="12">
        <f>IFERROR(J43/I43,0)</f>
        <v>0.13901780960774346</v>
      </c>
      <c r="S43" s="7">
        <f>Tabla_nuevas_columnas[[#This Row],[ROAS]]</f>
        <v>0.13901780960774346</v>
      </c>
      <c r="T43" t="str">
        <f>_xlfn.CONCAT(C43,"-",D43)</f>
        <v>Affiliate-Italia</v>
      </c>
      <c r="U43">
        <f>YEAR(A43)</f>
        <v>2025</v>
      </c>
      <c r="V43">
        <f>MONTH(A43)</f>
        <v>5</v>
      </c>
      <c r="W43" t="str">
        <f>PROPER(TEXT(A43,"mmmm"))</f>
        <v>Mayo</v>
      </c>
      <c r="X43" t="str">
        <f>PROPER(TEXT(A43,"dddd"))</f>
        <v>Domingo</v>
      </c>
      <c r="Y43" t="str" cm="1">
        <f t="array" ref="Y43">_xlfn.IFS(R43&gt;10,"Excelente",R43&gt;=5,"Bueno",R43&gt;=2,"Débil",R43&lt;2,"Deficiente")</f>
        <v>Deficiente</v>
      </c>
      <c r="Z43" t="str">
        <f>IF(AND(R43&lt;2,Q43&gt;=100),"Revisar","OK")</f>
        <v>Revisar</v>
      </c>
      <c r="AA43" s="55">
        <f>_xlfn.XLOOKUP(C43,'Preguntas de negocio'!$C$114:$C$119,'Preguntas de negocio'!$D$114:$D$119,0)</f>
        <v>4.5</v>
      </c>
      <c r="AB43" s="55">
        <f>VLOOKUP(C43,'Preguntas de negocio'!$C$121:$D$127,2,FALSE)</f>
        <v>0.35</v>
      </c>
    </row>
    <row r="44" spans="1:28" x14ac:dyDescent="0.3">
      <c r="A44" s="1">
        <v>45911</v>
      </c>
      <c r="B44" s="2" t="s">
        <v>2632</v>
      </c>
      <c r="C44" s="2" t="s">
        <v>2521</v>
      </c>
      <c r="D44" s="2" t="s">
        <v>2525</v>
      </c>
      <c r="E44" s="2" t="s">
        <v>2517</v>
      </c>
      <c r="F44" s="3">
        <v>177363</v>
      </c>
      <c r="G44" s="3">
        <v>7732</v>
      </c>
      <c r="H44" s="3">
        <v>999</v>
      </c>
      <c r="I44" s="4">
        <v>9531.17</v>
      </c>
      <c r="J44" s="4">
        <v>71611.149999999994</v>
      </c>
      <c r="K44" s="3">
        <v>470</v>
      </c>
      <c r="L44" s="2" t="s">
        <v>2539</v>
      </c>
      <c r="M44" s="2" t="s">
        <v>2537</v>
      </c>
      <c r="N44" s="8">
        <f>IFERROR(G44/F44,0)</f>
        <v>4.3594210742939621E-2</v>
      </c>
      <c r="O44" s="8">
        <f>IFERROR(H44/G44,0)</f>
        <v>0.12920331091567511</v>
      </c>
      <c r="P44" s="4">
        <f>IFERROR(I44/G44,0)</f>
        <v>1.2326914123124677</v>
      </c>
      <c r="Q44" s="4">
        <f>IFERROR(I44/H44,0)</f>
        <v>9.5407107107107105</v>
      </c>
      <c r="R44" s="12">
        <f>IFERROR(J44/I44,0)</f>
        <v>7.5133640465965872</v>
      </c>
      <c r="S44" s="7">
        <f>Tabla_nuevas_columnas[[#This Row],[ROAS]]</f>
        <v>7.5133640465965872</v>
      </c>
      <c r="T44" t="str">
        <f>_xlfn.CONCAT(C44,"-",D44)</f>
        <v>Paid Search-Francia</v>
      </c>
      <c r="U44">
        <f>YEAR(A44)</f>
        <v>2025</v>
      </c>
      <c r="V44">
        <f>MONTH(A44)</f>
        <v>9</v>
      </c>
      <c r="W44" t="str">
        <f>PROPER(TEXT(A44,"mmmm"))</f>
        <v>Septiembre</v>
      </c>
      <c r="X44" t="str">
        <f>PROPER(TEXT(A44,"dddd"))</f>
        <v>Jueves</v>
      </c>
      <c r="Y44" t="str" cm="1">
        <f t="array" ref="Y44">_xlfn.IFS(R44&gt;10,"Excelente",R44&gt;=5,"Bueno",R44&gt;=2,"Débil",R44&lt;2,"Deficiente")</f>
        <v>Bueno</v>
      </c>
      <c r="Z44" t="str">
        <f>IF(AND(R44&lt;2,Q44&gt;=100),"Revisar","OK")</f>
        <v>OK</v>
      </c>
      <c r="AA44" s="55">
        <f>_xlfn.XLOOKUP(C44,'Preguntas de negocio'!$C$114:$C$119,'Preguntas de negocio'!$D$114:$D$119,0)</f>
        <v>5</v>
      </c>
      <c r="AB44" s="55">
        <f>VLOOKUP(C44,'Preguntas de negocio'!$C$121:$D$127,2,FALSE)</f>
        <v>1.1000000000000001</v>
      </c>
    </row>
    <row r="45" spans="1:28" x14ac:dyDescent="0.3">
      <c r="A45" s="1">
        <v>45784</v>
      </c>
      <c r="B45" s="2" t="s">
        <v>2617</v>
      </c>
      <c r="C45" s="2" t="s">
        <v>2515</v>
      </c>
      <c r="D45" s="2" t="s">
        <v>2528</v>
      </c>
      <c r="E45" s="2" t="s">
        <v>2529</v>
      </c>
      <c r="F45" s="3">
        <v>160559</v>
      </c>
      <c r="G45" s="3">
        <v>8096</v>
      </c>
      <c r="H45" s="3">
        <v>866</v>
      </c>
      <c r="I45" s="4">
        <v>14024.15</v>
      </c>
      <c r="J45" s="4">
        <v>165614.97</v>
      </c>
      <c r="K45" s="3">
        <v>406</v>
      </c>
      <c r="L45" s="2" t="s">
        <v>2523</v>
      </c>
      <c r="M45" s="2" t="s">
        <v>2524</v>
      </c>
      <c r="N45" s="8">
        <f>IFERROR(G45/F45,0)</f>
        <v>5.0423831737865833E-2</v>
      </c>
      <c r="O45" s="8">
        <f>IFERROR(H45/G45,0)</f>
        <v>0.10696640316205533</v>
      </c>
      <c r="P45" s="4">
        <f>IFERROR(I45/G45,0)</f>
        <v>1.732231966403162</v>
      </c>
      <c r="Q45" s="4">
        <f>IFERROR(I45/H45,0)</f>
        <v>16.194168591224017</v>
      </c>
      <c r="R45" s="12">
        <f>IFERROR(J45/I45,0)</f>
        <v>11.809269724011795</v>
      </c>
      <c r="S45" s="7">
        <f>Tabla_nuevas_columnas[[#This Row],[ROAS]]</f>
        <v>11.809269724011795</v>
      </c>
      <c r="T45" t="str">
        <f>_xlfn.CONCAT(C45,"-",D45)</f>
        <v>Email-España</v>
      </c>
      <c r="U45">
        <f>YEAR(A45)</f>
        <v>2025</v>
      </c>
      <c r="V45">
        <f>MONTH(A45)</f>
        <v>5</v>
      </c>
      <c r="W45" t="str">
        <f>PROPER(TEXT(A45,"mmmm"))</f>
        <v>Mayo</v>
      </c>
      <c r="X45" t="str">
        <f>PROPER(TEXT(A45,"dddd"))</f>
        <v>Miércoles</v>
      </c>
      <c r="Y45" t="str" cm="1">
        <f t="array" ref="Y45">_xlfn.IFS(R45&gt;10,"Excelente",R45&gt;=5,"Bueno",R45&gt;=2,"Débil",R45&lt;2,"Deficiente")</f>
        <v>Excelente</v>
      </c>
      <c r="Z45" t="str">
        <f>IF(AND(R45&lt;2,Q45&gt;=100),"Revisar","OK")</f>
        <v>OK</v>
      </c>
      <c r="AA45" s="55">
        <f>_xlfn.XLOOKUP(C45,'Preguntas de negocio'!$C$114:$C$119,'Preguntas de negocio'!$D$114:$D$119,0)</f>
        <v>5.5</v>
      </c>
      <c r="AB45" s="55">
        <f>VLOOKUP(C45,'Preguntas de negocio'!$C$121:$D$127,2,FALSE)</f>
        <v>0.65</v>
      </c>
    </row>
    <row r="46" spans="1:28" x14ac:dyDescent="0.3">
      <c r="A46" s="1">
        <v>46010</v>
      </c>
      <c r="B46" s="2" t="s">
        <v>2624</v>
      </c>
      <c r="C46" s="2" t="s">
        <v>2543</v>
      </c>
      <c r="D46" s="2" t="s">
        <v>2522</v>
      </c>
      <c r="E46" s="2" t="s">
        <v>2534</v>
      </c>
      <c r="F46" s="3">
        <v>134062</v>
      </c>
      <c r="G46" s="3">
        <v>11816</v>
      </c>
      <c r="H46" s="3">
        <v>1010</v>
      </c>
      <c r="I46" s="4">
        <v>23456.15</v>
      </c>
      <c r="J46" s="4">
        <v>139056.15</v>
      </c>
      <c r="K46" s="3">
        <v>867</v>
      </c>
      <c r="L46" s="2" t="s">
        <v>2523</v>
      </c>
      <c r="M46" s="2" t="s">
        <v>2519</v>
      </c>
      <c r="N46" s="8">
        <f>IFERROR(G46/F46,0)</f>
        <v>8.8138324059017475E-2</v>
      </c>
      <c r="O46" s="8">
        <f>IFERROR(H46/G46,0)</f>
        <v>8.5477318889641163E-2</v>
      </c>
      <c r="P46" s="4">
        <f>IFERROR(I46/G46,0)</f>
        <v>1.9851176371022343</v>
      </c>
      <c r="Q46" s="4">
        <f>IFERROR(I46/H46,0)</f>
        <v>23.223910891089112</v>
      </c>
      <c r="R46" s="12">
        <f>IFERROR(J46/I46,0)</f>
        <v>5.9283450182574713</v>
      </c>
      <c r="S46" s="7">
        <f>Tabla_nuevas_columnas[[#This Row],[ROAS]]</f>
        <v>5.9283450182574713</v>
      </c>
      <c r="T46" t="str">
        <f>_xlfn.CONCAT(C46,"-",D46)</f>
        <v>Organic Social-Italia</v>
      </c>
      <c r="U46">
        <f>YEAR(A46)</f>
        <v>2025</v>
      </c>
      <c r="V46">
        <f>MONTH(A46)</f>
        <v>12</v>
      </c>
      <c r="W46" t="str">
        <f>PROPER(TEXT(A46,"mmmm"))</f>
        <v>Diciembre</v>
      </c>
      <c r="X46" t="str">
        <f>PROPER(TEXT(A46,"dddd"))</f>
        <v>Viernes</v>
      </c>
      <c r="Y46" t="str" cm="1">
        <f t="array" ref="Y46">_xlfn.IFS(R46&gt;10,"Excelente",R46&gt;=5,"Bueno",R46&gt;=2,"Débil",R46&lt;2,"Deficiente")</f>
        <v>Bueno</v>
      </c>
      <c r="Z46" t="str">
        <f>IF(AND(R46&lt;2,Q46&gt;=100),"Revisar","OK")</f>
        <v>OK</v>
      </c>
      <c r="AA46" s="55">
        <f>_xlfn.XLOOKUP(C46,'Preguntas de negocio'!$C$114:$C$119,'Preguntas de negocio'!$D$114:$D$119,0)</f>
        <v>4</v>
      </c>
      <c r="AB46" s="55">
        <f>VLOOKUP(C46,'Preguntas de negocio'!$C$121:$D$127,2,FALSE)</f>
        <v>0.95</v>
      </c>
    </row>
    <row r="47" spans="1:28" x14ac:dyDescent="0.3">
      <c r="A47" s="1">
        <v>45662</v>
      </c>
      <c r="B47" s="2" t="s">
        <v>2632</v>
      </c>
      <c r="C47" s="2" t="s">
        <v>2533</v>
      </c>
      <c r="D47" s="2" t="s">
        <v>2531</v>
      </c>
      <c r="E47" s="2" t="s">
        <v>2529</v>
      </c>
      <c r="F47" s="3">
        <v>80985</v>
      </c>
      <c r="G47" s="3">
        <v>3516</v>
      </c>
      <c r="H47" s="3">
        <v>69</v>
      </c>
      <c r="I47" s="4">
        <v>1147.83</v>
      </c>
      <c r="J47" s="4">
        <v>7612.07</v>
      </c>
      <c r="K47" s="3">
        <v>57</v>
      </c>
      <c r="L47" s="2" t="s">
        <v>2536</v>
      </c>
      <c r="M47" s="2" t="s">
        <v>2519</v>
      </c>
      <c r="N47" s="8">
        <f>IFERROR(G47/F47,0)</f>
        <v>4.341544730505649E-2</v>
      </c>
      <c r="O47" s="8">
        <f>IFERROR(H47/G47,0)</f>
        <v>1.9624573378839591E-2</v>
      </c>
      <c r="P47" s="4">
        <f>IFERROR(I47/G47,0)</f>
        <v>0.32645904436860068</v>
      </c>
      <c r="Q47" s="4">
        <f>IFERROR(I47/H47,0)</f>
        <v>16.635217391304348</v>
      </c>
      <c r="R47" s="12">
        <f>IFERROR(J47/I47,0)</f>
        <v>6.6317050434297764</v>
      </c>
      <c r="S47" s="7">
        <f>Tabla_nuevas_columnas[[#This Row],[ROAS]]</f>
        <v>6.6317050434297764</v>
      </c>
      <c r="T47" t="str">
        <f>_xlfn.CONCAT(C47,"-",D47)</f>
        <v>Paid Social-Portugal</v>
      </c>
      <c r="U47">
        <f>YEAR(A47)</f>
        <v>2025</v>
      </c>
      <c r="V47">
        <f>MONTH(A47)</f>
        <v>1</v>
      </c>
      <c r="W47" t="str">
        <f>PROPER(TEXT(A47,"mmmm"))</f>
        <v>Enero</v>
      </c>
      <c r="X47" t="str">
        <f>PROPER(TEXT(A47,"dddd"))</f>
        <v>Domingo</v>
      </c>
      <c r="Y47" t="str" cm="1">
        <f t="array" ref="Y47">_xlfn.IFS(R47&gt;10,"Excelente",R47&gt;=5,"Bueno",R47&gt;=2,"Débil",R47&lt;2,"Deficiente")</f>
        <v>Bueno</v>
      </c>
      <c r="Z47" t="str">
        <f>IF(AND(R47&lt;2,Q47&gt;=100),"Revisar","OK")</f>
        <v>OK</v>
      </c>
      <c r="AA47" s="55">
        <f>_xlfn.XLOOKUP(C47,'Preguntas de negocio'!$C$114:$C$119,'Preguntas de negocio'!$D$114:$D$119,0)</f>
        <v>6</v>
      </c>
      <c r="AB47" s="55">
        <f>VLOOKUP(C47,'Preguntas de negocio'!$C$121:$D$127,2,FALSE)</f>
        <v>0.8</v>
      </c>
    </row>
    <row r="48" spans="1:28" x14ac:dyDescent="0.3">
      <c r="A48" s="1">
        <v>45860</v>
      </c>
      <c r="B48" s="2" t="s">
        <v>2635</v>
      </c>
      <c r="C48" s="2" t="s">
        <v>2521</v>
      </c>
      <c r="D48" s="2" t="s">
        <v>2516</v>
      </c>
      <c r="E48" s="2" t="s">
        <v>2534</v>
      </c>
      <c r="F48" s="3">
        <v>172110</v>
      </c>
      <c r="G48" s="3">
        <v>4863</v>
      </c>
      <c r="H48" s="3">
        <v>151</v>
      </c>
      <c r="I48" s="4">
        <v>4544.82</v>
      </c>
      <c r="J48" s="4">
        <v>12852.56</v>
      </c>
      <c r="K48" s="3">
        <v>78</v>
      </c>
      <c r="L48" s="2" t="s">
        <v>2539</v>
      </c>
      <c r="M48" s="2" t="s">
        <v>2537</v>
      </c>
      <c r="N48" s="8">
        <f>IFERROR(G48/F48,0)</f>
        <v>2.8255185637092558E-2</v>
      </c>
      <c r="O48" s="8">
        <f>IFERROR(H48/G48,0)</f>
        <v>3.1050791692370964E-2</v>
      </c>
      <c r="P48" s="4">
        <f>IFERROR(I48/G48,0)</f>
        <v>0.93457125231338678</v>
      </c>
      <c r="Q48" s="4">
        <f>IFERROR(I48/H48,0)</f>
        <v>30.098145695364238</v>
      </c>
      <c r="R48" s="12">
        <f>IFERROR(J48/I48,0)</f>
        <v>2.8279579829344179</v>
      </c>
      <c r="S48" s="7">
        <f>Tabla_nuevas_columnas[[#This Row],[ROAS]]</f>
        <v>2.8279579829344179</v>
      </c>
      <c r="T48" t="str">
        <f>_xlfn.CONCAT(C48,"-",D48)</f>
        <v>Paid Search-México</v>
      </c>
      <c r="U48">
        <f>YEAR(A48)</f>
        <v>2025</v>
      </c>
      <c r="V48">
        <f>MONTH(A48)</f>
        <v>7</v>
      </c>
      <c r="W48" t="str">
        <f>PROPER(TEXT(A48,"mmmm"))</f>
        <v>Julio</v>
      </c>
      <c r="X48" t="str">
        <f>PROPER(TEXT(A48,"dddd"))</f>
        <v>Martes</v>
      </c>
      <c r="Y48" t="str" cm="1">
        <f t="array" ref="Y48">_xlfn.IFS(R48&gt;10,"Excelente",R48&gt;=5,"Bueno",R48&gt;=2,"Débil",R48&lt;2,"Deficiente")</f>
        <v>Débil</v>
      </c>
      <c r="Z48" t="str">
        <f>IF(AND(R48&lt;2,Q48&gt;=100),"Revisar","OK")</f>
        <v>OK</v>
      </c>
      <c r="AA48" s="55">
        <f>_xlfn.XLOOKUP(C48,'Preguntas de negocio'!$C$114:$C$119,'Preguntas de negocio'!$D$114:$D$119,0)</f>
        <v>5</v>
      </c>
      <c r="AB48" s="55">
        <f>VLOOKUP(C48,'Preguntas de negocio'!$C$121:$D$127,2,FALSE)</f>
        <v>1.1000000000000001</v>
      </c>
    </row>
    <row r="49" spans="1:28" x14ac:dyDescent="0.3">
      <c r="A49" s="1">
        <v>45840</v>
      </c>
      <c r="B49" s="2" t="s">
        <v>2632</v>
      </c>
      <c r="C49" s="2" t="s">
        <v>2533</v>
      </c>
      <c r="D49" s="2" t="s">
        <v>2528</v>
      </c>
      <c r="E49" s="2" t="s">
        <v>2517</v>
      </c>
      <c r="F49" s="3">
        <v>52772</v>
      </c>
      <c r="G49" s="3">
        <v>2897</v>
      </c>
      <c r="H49" s="3">
        <v>134</v>
      </c>
      <c r="I49" s="4">
        <v>5137.29</v>
      </c>
      <c r="J49" s="4">
        <v>11255.29</v>
      </c>
      <c r="K49" s="3">
        <v>68</v>
      </c>
      <c r="L49" s="2" t="s">
        <v>2523</v>
      </c>
      <c r="M49" s="2" t="s">
        <v>2519</v>
      </c>
      <c r="N49" s="8">
        <f>IFERROR(G49/F49,0)</f>
        <v>5.4896536041840367E-2</v>
      </c>
      <c r="O49" s="8">
        <f>IFERROR(H49/G49,0)</f>
        <v>4.6254746289264757E-2</v>
      </c>
      <c r="P49" s="4">
        <f>IFERROR(I49/G49,0)</f>
        <v>1.7733137728684847</v>
      </c>
      <c r="Q49" s="4">
        <f>IFERROR(I49/H49,0)</f>
        <v>38.337985074626864</v>
      </c>
      <c r="R49" s="12">
        <f>IFERROR(J49/I49,0)</f>
        <v>2.1909002606432577</v>
      </c>
      <c r="S49" s="7">
        <f>Tabla_nuevas_columnas[[#This Row],[ROAS]]</f>
        <v>2.1909002606432577</v>
      </c>
      <c r="T49" t="str">
        <f>_xlfn.CONCAT(C49,"-",D49)</f>
        <v>Paid Social-España</v>
      </c>
      <c r="U49">
        <f>YEAR(A49)</f>
        <v>2025</v>
      </c>
      <c r="V49">
        <f>MONTH(A49)</f>
        <v>7</v>
      </c>
      <c r="W49" t="str">
        <f>PROPER(TEXT(A49,"mmmm"))</f>
        <v>Julio</v>
      </c>
      <c r="X49" t="str">
        <f>PROPER(TEXT(A49,"dddd"))</f>
        <v>Miércoles</v>
      </c>
      <c r="Y49" t="str" cm="1">
        <f t="array" ref="Y49">_xlfn.IFS(R49&gt;10,"Excelente",R49&gt;=5,"Bueno",R49&gt;=2,"Débil",R49&lt;2,"Deficiente")</f>
        <v>Débil</v>
      </c>
      <c r="Z49" t="str">
        <f>IF(AND(R49&lt;2,Q49&gt;=100),"Revisar","OK")</f>
        <v>OK</v>
      </c>
      <c r="AA49" s="55">
        <f>_xlfn.XLOOKUP(C49,'Preguntas de negocio'!$C$114:$C$119,'Preguntas de negocio'!$D$114:$D$119,0)</f>
        <v>6</v>
      </c>
      <c r="AB49" s="55">
        <f>VLOOKUP(C49,'Preguntas de negocio'!$C$121:$D$127,2,FALSE)</f>
        <v>0.8</v>
      </c>
    </row>
    <row r="50" spans="1:28" x14ac:dyDescent="0.3">
      <c r="A50" s="1">
        <v>45919</v>
      </c>
      <c r="B50" s="2" t="s">
        <v>2636</v>
      </c>
      <c r="C50" s="2" t="s">
        <v>2515</v>
      </c>
      <c r="D50" s="2" t="s">
        <v>2528</v>
      </c>
      <c r="E50" s="2" t="s">
        <v>2517</v>
      </c>
      <c r="F50" s="3">
        <v>96520</v>
      </c>
      <c r="G50" s="3">
        <v>6563</v>
      </c>
      <c r="H50" s="3">
        <v>575</v>
      </c>
      <c r="I50" s="4">
        <v>2726.57</v>
      </c>
      <c r="J50" s="4">
        <v>11899.29</v>
      </c>
      <c r="K50" s="3">
        <v>387</v>
      </c>
      <c r="L50" s="2" t="s">
        <v>2536</v>
      </c>
      <c r="M50" s="2" t="s">
        <v>2519</v>
      </c>
      <c r="N50" s="8">
        <f>IFERROR(G50/F50,0)</f>
        <v>6.7996270203066728E-2</v>
      </c>
      <c r="O50" s="8">
        <f>IFERROR(H50/G50,0)</f>
        <v>8.7612372390675E-2</v>
      </c>
      <c r="P50" s="4">
        <f>IFERROR(I50/G50,0)</f>
        <v>0.41544568032911783</v>
      </c>
      <c r="Q50" s="4">
        <f>IFERROR(I50/H50,0)</f>
        <v>4.741860869565218</v>
      </c>
      <c r="R50" s="12">
        <f>IFERROR(J50/I50,0)</f>
        <v>4.3641975082246196</v>
      </c>
      <c r="S50" s="7">
        <f>Tabla_nuevas_columnas[[#This Row],[ROAS]]</f>
        <v>4.3641975082246196</v>
      </c>
      <c r="T50" t="str">
        <f>_xlfn.CONCAT(C50,"-",D50)</f>
        <v>Email-España</v>
      </c>
      <c r="U50">
        <f>YEAR(A50)</f>
        <v>2025</v>
      </c>
      <c r="V50">
        <f>MONTH(A50)</f>
        <v>9</v>
      </c>
      <c r="W50" t="str">
        <f>PROPER(TEXT(A50,"mmmm"))</f>
        <v>Septiembre</v>
      </c>
      <c r="X50" t="str">
        <f>PROPER(TEXT(A50,"dddd"))</f>
        <v>Viernes</v>
      </c>
      <c r="Y50" t="str" cm="1">
        <f t="array" ref="Y50">_xlfn.IFS(R50&gt;10,"Excelente",R50&gt;=5,"Bueno",R50&gt;=2,"Débil",R50&lt;2,"Deficiente")</f>
        <v>Débil</v>
      </c>
      <c r="Z50" t="str">
        <f>IF(AND(R50&lt;2,Q50&gt;=100),"Revisar","OK")</f>
        <v>OK</v>
      </c>
      <c r="AA50" s="55">
        <f>_xlfn.XLOOKUP(C50,'Preguntas de negocio'!$C$114:$C$119,'Preguntas de negocio'!$D$114:$D$119,0)</f>
        <v>5.5</v>
      </c>
      <c r="AB50" s="55">
        <f>VLOOKUP(C50,'Preguntas de negocio'!$C$121:$D$127,2,FALSE)</f>
        <v>0.65</v>
      </c>
    </row>
    <row r="51" spans="1:28" x14ac:dyDescent="0.3">
      <c r="A51" s="1">
        <v>45906</v>
      </c>
      <c r="B51" s="2" t="s">
        <v>2623</v>
      </c>
      <c r="C51" s="2" t="s">
        <v>2521</v>
      </c>
      <c r="D51" s="2" t="s">
        <v>2525</v>
      </c>
      <c r="E51" s="2" t="s">
        <v>2529</v>
      </c>
      <c r="F51" s="3">
        <v>12544</v>
      </c>
      <c r="G51" s="3">
        <v>523</v>
      </c>
      <c r="H51" s="3">
        <v>43</v>
      </c>
      <c r="I51" s="4">
        <v>424.74</v>
      </c>
      <c r="J51" s="4">
        <v>763.12</v>
      </c>
      <c r="K51" s="3">
        <v>20</v>
      </c>
      <c r="L51" s="2" t="s">
        <v>2539</v>
      </c>
      <c r="M51" s="2" t="s">
        <v>2519</v>
      </c>
      <c r="N51" s="8">
        <f>IFERROR(G51/F51,0)</f>
        <v>4.1693239795918366E-2</v>
      </c>
      <c r="O51" s="8">
        <f>IFERROR(H51/G51,0)</f>
        <v>8.2217973231357558E-2</v>
      </c>
      <c r="P51" s="4">
        <f>IFERROR(I51/G51,0)</f>
        <v>0.81212237093690254</v>
      </c>
      <c r="Q51" s="4">
        <f>IFERROR(I51/H51,0)</f>
        <v>9.8776744186046521</v>
      </c>
      <c r="R51" s="12">
        <f>IFERROR(J51/I51,0)</f>
        <v>1.7966756133163817</v>
      </c>
      <c r="S51" s="7">
        <f>Tabla_nuevas_columnas[[#This Row],[ROAS]]</f>
        <v>1.7966756133163817</v>
      </c>
      <c r="T51" t="str">
        <f>_xlfn.CONCAT(C51,"-",D51)</f>
        <v>Paid Search-Francia</v>
      </c>
      <c r="U51">
        <f>YEAR(A51)</f>
        <v>2025</v>
      </c>
      <c r="V51">
        <f>MONTH(A51)</f>
        <v>9</v>
      </c>
      <c r="W51" t="str">
        <f>PROPER(TEXT(A51,"mmmm"))</f>
        <v>Septiembre</v>
      </c>
      <c r="X51" t="str">
        <f>PROPER(TEXT(A51,"dddd"))</f>
        <v>Sábado</v>
      </c>
      <c r="Y51" t="str" cm="1">
        <f t="array" ref="Y51">_xlfn.IFS(R51&gt;10,"Excelente",R51&gt;=5,"Bueno",R51&gt;=2,"Débil",R51&lt;2,"Deficiente")</f>
        <v>Deficiente</v>
      </c>
      <c r="Z51" t="str">
        <f>IF(AND(R51&lt;2,Q51&gt;=100),"Revisar","OK")</f>
        <v>OK</v>
      </c>
      <c r="AA51" s="55">
        <f>_xlfn.XLOOKUP(C51,'Preguntas de negocio'!$C$114:$C$119,'Preguntas de negocio'!$D$114:$D$119,0)</f>
        <v>5</v>
      </c>
      <c r="AB51" s="55">
        <f>VLOOKUP(C51,'Preguntas de negocio'!$C$121:$D$127,2,FALSE)</f>
        <v>1.1000000000000001</v>
      </c>
    </row>
    <row r="52" spans="1:28" x14ac:dyDescent="0.3">
      <c r="A52" s="1">
        <v>45941</v>
      </c>
      <c r="B52" s="2" t="s">
        <v>2632</v>
      </c>
      <c r="C52" s="2" t="s">
        <v>2533</v>
      </c>
      <c r="D52" s="2" t="s">
        <v>2516</v>
      </c>
      <c r="E52" s="2" t="s">
        <v>2517</v>
      </c>
      <c r="F52" s="3">
        <v>47739</v>
      </c>
      <c r="G52" s="3">
        <v>1011</v>
      </c>
      <c r="H52" s="3">
        <v>134</v>
      </c>
      <c r="I52" s="4">
        <v>1917.9</v>
      </c>
      <c r="J52" s="4">
        <v>24435.95</v>
      </c>
      <c r="K52" s="3">
        <v>73</v>
      </c>
      <c r="L52" s="2" t="s">
        <v>2539</v>
      </c>
      <c r="M52" s="2" t="s">
        <v>2537</v>
      </c>
      <c r="N52" s="8">
        <f>IFERROR(G52/F52,0)</f>
        <v>2.1177653490856534E-2</v>
      </c>
      <c r="O52" s="8">
        <f>IFERROR(H52/G52,0)</f>
        <v>0.13254203758654798</v>
      </c>
      <c r="P52" s="4">
        <f>IFERROR(I52/G52,0)</f>
        <v>1.897032640949555</v>
      </c>
      <c r="Q52" s="4">
        <f>IFERROR(I52/H52,0)</f>
        <v>14.31268656716418</v>
      </c>
      <c r="R52" s="12">
        <f>IFERROR(J52/I52,0)</f>
        <v>12.740992752489703</v>
      </c>
      <c r="S52" s="7">
        <f>Tabla_nuevas_columnas[[#This Row],[ROAS]]</f>
        <v>12.740992752489703</v>
      </c>
      <c r="T52" t="str">
        <f>_xlfn.CONCAT(C52,"-",D52)</f>
        <v>Paid Social-México</v>
      </c>
      <c r="U52">
        <f>YEAR(A52)</f>
        <v>2025</v>
      </c>
      <c r="V52">
        <f>MONTH(A52)</f>
        <v>10</v>
      </c>
      <c r="W52" t="str">
        <f>PROPER(TEXT(A52,"mmmm"))</f>
        <v>Octubre</v>
      </c>
      <c r="X52" t="str">
        <f>PROPER(TEXT(A52,"dddd"))</f>
        <v>Sábado</v>
      </c>
      <c r="Y52" t="str" cm="1">
        <f t="array" ref="Y52">_xlfn.IFS(R52&gt;10,"Excelente",R52&gt;=5,"Bueno",R52&gt;=2,"Débil",R52&lt;2,"Deficiente")</f>
        <v>Excelente</v>
      </c>
      <c r="Z52" t="str">
        <f>IF(AND(R52&lt;2,Q52&gt;=100),"Revisar","OK")</f>
        <v>OK</v>
      </c>
      <c r="AA52" s="55">
        <f>_xlfn.XLOOKUP(C52,'Preguntas de negocio'!$C$114:$C$119,'Preguntas de negocio'!$D$114:$D$119,0)</f>
        <v>6</v>
      </c>
      <c r="AB52" s="55">
        <f>VLOOKUP(C52,'Preguntas de negocio'!$C$121:$D$127,2,FALSE)</f>
        <v>0.8</v>
      </c>
    </row>
    <row r="53" spans="1:28" x14ac:dyDescent="0.3">
      <c r="A53" s="1">
        <v>45800</v>
      </c>
      <c r="B53" s="2" t="s">
        <v>2622</v>
      </c>
      <c r="C53" s="2" t="s">
        <v>2543</v>
      </c>
      <c r="D53" s="2" t="s">
        <v>2528</v>
      </c>
      <c r="E53" s="2" t="s">
        <v>2534</v>
      </c>
      <c r="F53" s="3">
        <v>163458</v>
      </c>
      <c r="G53" s="3">
        <v>4544</v>
      </c>
      <c r="H53" s="3">
        <v>304</v>
      </c>
      <c r="I53" s="4">
        <v>4643.72</v>
      </c>
      <c r="J53" s="4">
        <v>48587.57</v>
      </c>
      <c r="K53" s="3">
        <v>203</v>
      </c>
      <c r="L53" s="2" t="s">
        <v>2523</v>
      </c>
      <c r="M53" s="2" t="s">
        <v>2519</v>
      </c>
      <c r="N53" s="8">
        <f>IFERROR(G53/F53,0)</f>
        <v>2.7799190005995424E-2</v>
      </c>
      <c r="O53" s="8">
        <f>IFERROR(H53/G53,0)</f>
        <v>6.6901408450704219E-2</v>
      </c>
      <c r="P53" s="4">
        <f>IFERROR(I53/G53,0)</f>
        <v>1.0219454225352114</v>
      </c>
      <c r="Q53" s="4">
        <f>IFERROR(I53/H53,0)</f>
        <v>15.275394736842106</v>
      </c>
      <c r="R53" s="12">
        <f>IFERROR(J53/I53,0)</f>
        <v>10.463070555502915</v>
      </c>
      <c r="S53" s="7">
        <f>Tabla_nuevas_columnas[[#This Row],[ROAS]]</f>
        <v>10.463070555502915</v>
      </c>
      <c r="T53" t="str">
        <f>_xlfn.CONCAT(C53,"-",D53)</f>
        <v>Organic Social-España</v>
      </c>
      <c r="U53">
        <f>YEAR(A53)</f>
        <v>2025</v>
      </c>
      <c r="V53">
        <f>MONTH(A53)</f>
        <v>5</v>
      </c>
      <c r="W53" t="str">
        <f>PROPER(TEXT(A53,"mmmm"))</f>
        <v>Mayo</v>
      </c>
      <c r="X53" t="str">
        <f>PROPER(TEXT(A53,"dddd"))</f>
        <v>Viernes</v>
      </c>
      <c r="Y53" t="str" cm="1">
        <f t="array" ref="Y53">_xlfn.IFS(R53&gt;10,"Excelente",R53&gt;=5,"Bueno",R53&gt;=2,"Débil",R53&lt;2,"Deficiente")</f>
        <v>Excelente</v>
      </c>
      <c r="Z53" t="str">
        <f>IF(AND(R53&lt;2,Q53&gt;=100),"Revisar","OK")</f>
        <v>OK</v>
      </c>
      <c r="AA53" s="55">
        <f>_xlfn.XLOOKUP(C53,'Preguntas de negocio'!$C$114:$C$119,'Preguntas de negocio'!$D$114:$D$119,0)</f>
        <v>4</v>
      </c>
      <c r="AB53" s="55">
        <f>VLOOKUP(C53,'Preguntas de negocio'!$C$121:$D$127,2,FALSE)</f>
        <v>0.95</v>
      </c>
    </row>
    <row r="54" spans="1:28" x14ac:dyDescent="0.3">
      <c r="A54" s="1">
        <v>45741</v>
      </c>
      <c r="B54" s="2" t="s">
        <v>2637</v>
      </c>
      <c r="C54" s="2" t="s">
        <v>2541</v>
      </c>
      <c r="D54" s="2" t="s">
        <v>2516</v>
      </c>
      <c r="E54" s="2" t="s">
        <v>2517</v>
      </c>
      <c r="F54" s="3">
        <v>87998</v>
      </c>
      <c r="G54" s="3">
        <v>400</v>
      </c>
      <c r="H54" s="3">
        <v>16</v>
      </c>
      <c r="I54" s="4">
        <v>369.77</v>
      </c>
      <c r="J54" s="4">
        <v>2155.19</v>
      </c>
      <c r="K54" s="3">
        <v>11</v>
      </c>
      <c r="L54" s="2" t="s">
        <v>2536</v>
      </c>
      <c r="M54" s="2" t="s">
        <v>2526</v>
      </c>
      <c r="N54" s="8">
        <f>IFERROR(G54/F54,0)</f>
        <v>4.5455578535875812E-3</v>
      </c>
      <c r="O54" s="8">
        <f>IFERROR(H54/G54,0)</f>
        <v>0.04</v>
      </c>
      <c r="P54" s="4">
        <f>IFERROR(I54/G54,0)</f>
        <v>0.92442499999999994</v>
      </c>
      <c r="Q54" s="4">
        <f>IFERROR(I54/H54,0)</f>
        <v>23.110624999999999</v>
      </c>
      <c r="R54" s="12">
        <f>IFERROR(J54/I54,0)</f>
        <v>5.8284609351759205</v>
      </c>
      <c r="S54" s="7">
        <f>Tabla_nuevas_columnas[[#This Row],[ROAS]]</f>
        <v>5.8284609351759205</v>
      </c>
      <c r="T54" t="str">
        <f>_xlfn.CONCAT(C54,"-",D54)</f>
        <v>Display-México</v>
      </c>
      <c r="U54">
        <f>YEAR(A54)</f>
        <v>2025</v>
      </c>
      <c r="V54">
        <f>MONTH(A54)</f>
        <v>3</v>
      </c>
      <c r="W54" t="str">
        <f>PROPER(TEXT(A54,"mmmm"))</f>
        <v>Marzo</v>
      </c>
      <c r="X54" t="str">
        <f>PROPER(TEXT(A54,"dddd"))</f>
        <v>Martes</v>
      </c>
      <c r="Y54" t="str" cm="1">
        <f t="array" ref="Y54">_xlfn.IFS(R54&gt;10,"Excelente",R54&gt;=5,"Bueno",R54&gt;=2,"Débil",R54&lt;2,"Deficiente")</f>
        <v>Bueno</v>
      </c>
      <c r="Z54" t="str">
        <f>IF(AND(R54&lt;2,Q54&gt;=100),"Revisar","OK")</f>
        <v>OK</v>
      </c>
      <c r="AA54" s="55">
        <f>_xlfn.XLOOKUP(C54,'Preguntas de negocio'!$C$114:$C$119,'Preguntas de negocio'!$D$114:$D$119,0)</f>
        <v>5</v>
      </c>
      <c r="AB54" s="55">
        <f>VLOOKUP(C54,'Preguntas de negocio'!$C$121:$D$127,2,FALSE)</f>
        <v>0.5</v>
      </c>
    </row>
    <row r="55" spans="1:28" x14ac:dyDescent="0.3">
      <c r="A55" s="1">
        <v>45850</v>
      </c>
      <c r="B55" s="2" t="s">
        <v>2638</v>
      </c>
      <c r="C55" s="2" t="s">
        <v>2521</v>
      </c>
      <c r="D55" s="2" t="s">
        <v>2516</v>
      </c>
      <c r="E55" s="2" t="s">
        <v>2517</v>
      </c>
      <c r="F55" s="3">
        <v>22982</v>
      </c>
      <c r="G55" s="3">
        <v>488</v>
      </c>
      <c r="H55" s="3">
        <v>52</v>
      </c>
      <c r="I55" s="4">
        <v>723.46</v>
      </c>
      <c r="J55" s="4">
        <v>10282.51</v>
      </c>
      <c r="K55" s="3">
        <v>32</v>
      </c>
      <c r="L55" s="2" t="s">
        <v>2539</v>
      </c>
      <c r="M55" s="2" t="s">
        <v>2526</v>
      </c>
      <c r="N55" s="8">
        <f>IFERROR(G55/F55,0)</f>
        <v>2.1234009224610564E-2</v>
      </c>
      <c r="O55" s="8">
        <f>IFERROR(H55/G55,0)</f>
        <v>0.10655737704918032</v>
      </c>
      <c r="P55" s="4">
        <f>IFERROR(I55/G55,0)</f>
        <v>1.4825000000000002</v>
      </c>
      <c r="Q55" s="4">
        <f>IFERROR(I55/H55,0)</f>
        <v>13.912692307692309</v>
      </c>
      <c r="R55" s="12">
        <f>IFERROR(J55/I55,0)</f>
        <v>14.212962706991402</v>
      </c>
      <c r="S55" s="7">
        <f>Tabla_nuevas_columnas[[#This Row],[ROAS]]</f>
        <v>14.212962706991402</v>
      </c>
      <c r="T55" t="str">
        <f>_xlfn.CONCAT(C55,"-",D55)</f>
        <v>Paid Search-México</v>
      </c>
      <c r="U55">
        <f>YEAR(A55)</f>
        <v>2025</v>
      </c>
      <c r="V55">
        <f>MONTH(A55)</f>
        <v>7</v>
      </c>
      <c r="W55" t="str">
        <f>PROPER(TEXT(A55,"mmmm"))</f>
        <v>Julio</v>
      </c>
      <c r="X55" t="str">
        <f>PROPER(TEXT(A55,"dddd"))</f>
        <v>Sábado</v>
      </c>
      <c r="Y55" t="str" cm="1">
        <f t="array" ref="Y55">_xlfn.IFS(R55&gt;10,"Excelente",R55&gt;=5,"Bueno",R55&gt;=2,"Débil",R55&lt;2,"Deficiente")</f>
        <v>Excelente</v>
      </c>
      <c r="Z55" t="str">
        <f>IF(AND(R55&lt;2,Q55&gt;=100),"Revisar","OK")</f>
        <v>OK</v>
      </c>
      <c r="AA55" s="55">
        <f>_xlfn.XLOOKUP(C55,'Preguntas de negocio'!$C$114:$C$119,'Preguntas de negocio'!$D$114:$D$119,0)</f>
        <v>5</v>
      </c>
      <c r="AB55" s="55">
        <f>VLOOKUP(C55,'Preguntas de negocio'!$C$121:$D$127,2,FALSE)</f>
        <v>1.1000000000000001</v>
      </c>
    </row>
    <row r="56" spans="1:28" x14ac:dyDescent="0.3">
      <c r="A56" s="1">
        <v>45941</v>
      </c>
      <c r="B56" s="2" t="s">
        <v>2639</v>
      </c>
      <c r="C56" s="2" t="s">
        <v>2527</v>
      </c>
      <c r="D56" s="2" t="s">
        <v>2528</v>
      </c>
      <c r="E56" s="2" t="s">
        <v>2529</v>
      </c>
      <c r="F56" s="3">
        <v>36400</v>
      </c>
      <c r="G56" s="3">
        <v>698</v>
      </c>
      <c r="H56" s="3">
        <v>13</v>
      </c>
      <c r="I56" s="4">
        <v>619.54</v>
      </c>
      <c r="J56" s="4">
        <v>1889.23</v>
      </c>
      <c r="K56" s="3">
        <v>6</v>
      </c>
      <c r="L56" s="2" t="s">
        <v>2539</v>
      </c>
      <c r="M56" s="2" t="s">
        <v>2519</v>
      </c>
      <c r="N56" s="8">
        <f>IFERROR(G56/F56,0)</f>
        <v>1.9175824175824176E-2</v>
      </c>
      <c r="O56" s="8">
        <f>IFERROR(H56/G56,0)</f>
        <v>1.8624641833810889E-2</v>
      </c>
      <c r="P56" s="4">
        <f>IFERROR(I56/G56,0)</f>
        <v>0.88759312320916905</v>
      </c>
      <c r="Q56" s="4">
        <f>IFERROR(I56/H56,0)</f>
        <v>47.656923076923071</v>
      </c>
      <c r="R56" s="12">
        <f>IFERROR(J56/I56,0)</f>
        <v>3.049407625012106</v>
      </c>
      <c r="S56" s="7">
        <f>Tabla_nuevas_columnas[[#This Row],[ROAS]]</f>
        <v>3.049407625012106</v>
      </c>
      <c r="T56" t="str">
        <f>_xlfn.CONCAT(C56,"-",D56)</f>
        <v>Affiliate-España</v>
      </c>
      <c r="U56">
        <f>YEAR(A56)</f>
        <v>2025</v>
      </c>
      <c r="V56">
        <f>MONTH(A56)</f>
        <v>10</v>
      </c>
      <c r="W56" t="str">
        <f>PROPER(TEXT(A56,"mmmm"))</f>
        <v>Octubre</v>
      </c>
      <c r="X56" t="str">
        <f>PROPER(TEXT(A56,"dddd"))</f>
        <v>Sábado</v>
      </c>
      <c r="Y56" t="str" cm="1">
        <f t="array" ref="Y56">_xlfn.IFS(R56&gt;10,"Excelente",R56&gt;=5,"Bueno",R56&gt;=2,"Débil",R56&lt;2,"Deficiente")</f>
        <v>Débil</v>
      </c>
      <c r="Z56" t="str">
        <f>IF(AND(R56&lt;2,Q56&gt;=100),"Revisar","OK")</f>
        <v>OK</v>
      </c>
      <c r="AA56" s="55">
        <f>_xlfn.XLOOKUP(C56,'Preguntas de negocio'!$C$114:$C$119,'Preguntas de negocio'!$D$114:$D$119,0)</f>
        <v>4.5</v>
      </c>
      <c r="AB56" s="55">
        <f>VLOOKUP(C56,'Preguntas de negocio'!$C$121:$D$127,2,FALSE)</f>
        <v>0.35</v>
      </c>
    </row>
    <row r="57" spans="1:28" x14ac:dyDescent="0.3">
      <c r="A57" s="1">
        <v>45707</v>
      </c>
      <c r="B57" s="2" t="s">
        <v>2640</v>
      </c>
      <c r="C57" s="2" t="s">
        <v>2533</v>
      </c>
      <c r="D57" s="2" t="s">
        <v>2525</v>
      </c>
      <c r="E57" s="2" t="s">
        <v>2517</v>
      </c>
      <c r="F57" s="3">
        <v>39432</v>
      </c>
      <c r="G57" s="3">
        <v>195</v>
      </c>
      <c r="H57" s="3">
        <v>2</v>
      </c>
      <c r="I57" s="4">
        <v>359.51</v>
      </c>
      <c r="J57" s="4">
        <v>360.95</v>
      </c>
      <c r="K57" s="3">
        <v>1</v>
      </c>
      <c r="L57" s="2" t="s">
        <v>2523</v>
      </c>
      <c r="M57" s="2" t="s">
        <v>2519</v>
      </c>
      <c r="N57" s="8">
        <f>IFERROR(G57/F57,0)</f>
        <v>4.9452221545952524E-3</v>
      </c>
      <c r="O57" s="8">
        <f>IFERROR(H57/G57,0)</f>
        <v>1.0256410256410256E-2</v>
      </c>
      <c r="P57" s="4">
        <f>IFERROR(I57/G57,0)</f>
        <v>1.8436410256410256</v>
      </c>
      <c r="Q57" s="4">
        <f>IFERROR(I57/H57,0)</f>
        <v>179.755</v>
      </c>
      <c r="R57" s="12">
        <f>IFERROR(J57/I57,0)</f>
        <v>1.0040054518650385</v>
      </c>
      <c r="S57" s="7">
        <f>Tabla_nuevas_columnas[[#This Row],[ROAS]]</f>
        <v>1.0040054518650385</v>
      </c>
      <c r="T57" t="str">
        <f>_xlfn.CONCAT(C57,"-",D57)</f>
        <v>Paid Social-Francia</v>
      </c>
      <c r="U57">
        <f>YEAR(A57)</f>
        <v>2025</v>
      </c>
      <c r="V57">
        <f>MONTH(A57)</f>
        <v>2</v>
      </c>
      <c r="W57" t="str">
        <f>PROPER(TEXT(A57,"mmmm"))</f>
        <v>Febrero</v>
      </c>
      <c r="X57" t="str">
        <f>PROPER(TEXT(A57,"dddd"))</f>
        <v>Miércoles</v>
      </c>
      <c r="Y57" t="str" cm="1">
        <f t="array" ref="Y57">_xlfn.IFS(R57&gt;10,"Excelente",R57&gt;=5,"Bueno",R57&gt;=2,"Débil",R57&lt;2,"Deficiente")</f>
        <v>Deficiente</v>
      </c>
      <c r="Z57" t="str">
        <f>IF(AND(R57&lt;2,Q57&gt;=100),"Revisar","OK")</f>
        <v>Revisar</v>
      </c>
      <c r="AA57" s="55">
        <f>_xlfn.XLOOKUP(C57,'Preguntas de negocio'!$C$114:$C$119,'Preguntas de negocio'!$D$114:$D$119,0)</f>
        <v>6</v>
      </c>
      <c r="AB57" s="55">
        <f>VLOOKUP(C57,'Preguntas de negocio'!$C$121:$D$127,2,FALSE)</f>
        <v>0.8</v>
      </c>
    </row>
    <row r="58" spans="1:28" x14ac:dyDescent="0.3">
      <c r="A58" s="1">
        <v>45914</v>
      </c>
      <c r="B58" s="2" t="s">
        <v>2640</v>
      </c>
      <c r="C58" s="2" t="s">
        <v>2533</v>
      </c>
      <c r="D58" s="2" t="s">
        <v>2528</v>
      </c>
      <c r="E58" s="2" t="s">
        <v>2517</v>
      </c>
      <c r="F58" s="3">
        <v>142452</v>
      </c>
      <c r="G58" s="3">
        <v>8914</v>
      </c>
      <c r="H58" s="3">
        <v>761</v>
      </c>
      <c r="I58" s="4">
        <v>17944.189999999999</v>
      </c>
      <c r="J58" s="4">
        <v>61323.71</v>
      </c>
      <c r="K58" s="3">
        <v>450</v>
      </c>
      <c r="L58" s="2" t="s">
        <v>2536</v>
      </c>
      <c r="M58" s="2" t="s">
        <v>2519</v>
      </c>
      <c r="N58" s="8">
        <f>IFERROR(G58/F58,0)</f>
        <v>6.2575464015949225E-2</v>
      </c>
      <c r="O58" s="8">
        <f>IFERROR(H58/G58,0)</f>
        <v>8.5371326004038586E-2</v>
      </c>
      <c r="P58" s="4">
        <f>IFERROR(I58/G58,0)</f>
        <v>2.0130345523894997</v>
      </c>
      <c r="Q58" s="4">
        <f>IFERROR(I58/H58,0)</f>
        <v>23.579750328515111</v>
      </c>
      <c r="R58" s="12">
        <f>IFERROR(J58/I58,0)</f>
        <v>3.4174688297437781</v>
      </c>
      <c r="S58" s="7">
        <f>Tabla_nuevas_columnas[[#This Row],[ROAS]]</f>
        <v>3.4174688297437781</v>
      </c>
      <c r="T58" t="str">
        <f>_xlfn.CONCAT(C58,"-",D58)</f>
        <v>Paid Social-España</v>
      </c>
      <c r="U58">
        <f>YEAR(A58)</f>
        <v>2025</v>
      </c>
      <c r="V58">
        <f>MONTH(A58)</f>
        <v>9</v>
      </c>
      <c r="W58" t="str">
        <f>PROPER(TEXT(A58,"mmmm"))</f>
        <v>Septiembre</v>
      </c>
      <c r="X58" t="str">
        <f>PROPER(TEXT(A58,"dddd"))</f>
        <v>Domingo</v>
      </c>
      <c r="Y58" t="str" cm="1">
        <f t="array" ref="Y58">_xlfn.IFS(R58&gt;10,"Excelente",R58&gt;=5,"Bueno",R58&gt;=2,"Débil",R58&lt;2,"Deficiente")</f>
        <v>Débil</v>
      </c>
      <c r="Z58" t="str">
        <f>IF(AND(R58&lt;2,Q58&gt;=100),"Revisar","OK")</f>
        <v>OK</v>
      </c>
      <c r="AA58" s="55">
        <f>_xlfn.XLOOKUP(C58,'Preguntas de negocio'!$C$114:$C$119,'Preguntas de negocio'!$D$114:$D$119,0)</f>
        <v>6</v>
      </c>
      <c r="AB58" s="55">
        <f>VLOOKUP(C58,'Preguntas de negocio'!$C$121:$D$127,2,FALSE)</f>
        <v>0.8</v>
      </c>
    </row>
    <row r="59" spans="1:28" x14ac:dyDescent="0.3">
      <c r="A59" s="1">
        <v>45976</v>
      </c>
      <c r="B59" s="2" t="s">
        <v>2632</v>
      </c>
      <c r="C59" s="2" t="s">
        <v>2527</v>
      </c>
      <c r="D59" s="2" t="s">
        <v>2528</v>
      </c>
      <c r="E59" s="2" t="s">
        <v>2529</v>
      </c>
      <c r="F59" s="3">
        <v>102729</v>
      </c>
      <c r="G59" s="3">
        <v>8680</v>
      </c>
      <c r="H59" s="3">
        <v>476</v>
      </c>
      <c r="I59" s="4">
        <v>13309.01</v>
      </c>
      <c r="J59" s="4">
        <v>89911.75</v>
      </c>
      <c r="K59" s="3">
        <v>357</v>
      </c>
      <c r="L59" s="2" t="s">
        <v>2523</v>
      </c>
      <c r="M59" s="2" t="s">
        <v>2546</v>
      </c>
      <c r="N59" s="8">
        <f>IFERROR(G59/F59,0)</f>
        <v>8.4494154523065537E-2</v>
      </c>
      <c r="O59" s="8">
        <f>IFERROR(H59/G59,0)</f>
        <v>5.4838709677419356E-2</v>
      </c>
      <c r="P59" s="4">
        <f>IFERROR(I59/G59,0)</f>
        <v>1.5332960829493087</v>
      </c>
      <c r="Q59" s="4">
        <f>IFERROR(I59/H59,0)</f>
        <v>27.960105042016806</v>
      </c>
      <c r="R59" s="12">
        <f>IFERROR(J59/I59,0)</f>
        <v>6.7557053454764855</v>
      </c>
      <c r="S59" s="7">
        <f>Tabla_nuevas_columnas[[#This Row],[ROAS]]</f>
        <v>6.7557053454764855</v>
      </c>
      <c r="T59" t="str">
        <f>_xlfn.CONCAT(C59,"-",D59)</f>
        <v>Affiliate-España</v>
      </c>
      <c r="U59">
        <f>YEAR(A59)</f>
        <v>2025</v>
      </c>
      <c r="V59">
        <f>MONTH(A59)</f>
        <v>11</v>
      </c>
      <c r="W59" t="str">
        <f>PROPER(TEXT(A59,"mmmm"))</f>
        <v>Noviembre</v>
      </c>
      <c r="X59" t="str">
        <f>PROPER(TEXT(A59,"dddd"))</f>
        <v>Sábado</v>
      </c>
      <c r="Y59" t="str" cm="1">
        <f t="array" ref="Y59">_xlfn.IFS(R59&gt;10,"Excelente",R59&gt;=5,"Bueno",R59&gt;=2,"Débil",R59&lt;2,"Deficiente")</f>
        <v>Bueno</v>
      </c>
      <c r="Z59" t="str">
        <f>IF(AND(R59&lt;2,Q59&gt;=100),"Revisar","OK")</f>
        <v>OK</v>
      </c>
      <c r="AA59" s="55">
        <f>_xlfn.XLOOKUP(C59,'Preguntas de negocio'!$C$114:$C$119,'Preguntas de negocio'!$D$114:$D$119,0)</f>
        <v>4.5</v>
      </c>
      <c r="AB59" s="55">
        <f>VLOOKUP(C59,'Preguntas de negocio'!$C$121:$D$127,2,FALSE)</f>
        <v>0.35</v>
      </c>
    </row>
    <row r="60" spans="1:28" x14ac:dyDescent="0.3">
      <c r="A60" s="1">
        <v>46018</v>
      </c>
      <c r="B60" s="2" t="s">
        <v>2641</v>
      </c>
      <c r="C60" s="2" t="s">
        <v>2533</v>
      </c>
      <c r="D60" s="2" t="s">
        <v>2522</v>
      </c>
      <c r="E60" s="2" t="s">
        <v>2529</v>
      </c>
      <c r="F60" s="3">
        <v>7852</v>
      </c>
      <c r="G60" s="3">
        <v>278</v>
      </c>
      <c r="H60" s="3">
        <v>36</v>
      </c>
      <c r="I60" s="4">
        <v>151.88999999999999</v>
      </c>
      <c r="J60" s="4">
        <v>5039.9799999999996</v>
      </c>
      <c r="K60" s="3">
        <v>20</v>
      </c>
      <c r="L60" s="2" t="s">
        <v>2539</v>
      </c>
      <c r="M60" s="2" t="s">
        <v>2524</v>
      </c>
      <c r="N60" s="8">
        <f>IFERROR(G60/F60,0)</f>
        <v>3.5404992358634743E-2</v>
      </c>
      <c r="O60" s="8">
        <f>IFERROR(H60/G60,0)</f>
        <v>0.12949640287769784</v>
      </c>
      <c r="P60" s="4">
        <f>IFERROR(I60/G60,0)</f>
        <v>0.54636690647482011</v>
      </c>
      <c r="Q60" s="4">
        <f>IFERROR(I60/H60,0)</f>
        <v>4.2191666666666663</v>
      </c>
      <c r="R60" s="12">
        <f>IFERROR(J60/I60,0)</f>
        <v>33.181776285469745</v>
      </c>
      <c r="S60" s="7">
        <f>Tabla_nuevas_columnas[[#This Row],[ROAS]]</f>
        <v>33.181776285469745</v>
      </c>
      <c r="T60" t="str">
        <f>_xlfn.CONCAT(C60,"-",D60)</f>
        <v>Paid Social-Italia</v>
      </c>
      <c r="U60">
        <f>YEAR(A60)</f>
        <v>2025</v>
      </c>
      <c r="V60">
        <f>MONTH(A60)</f>
        <v>12</v>
      </c>
      <c r="W60" t="str">
        <f>PROPER(TEXT(A60,"mmmm"))</f>
        <v>Diciembre</v>
      </c>
      <c r="X60" t="str">
        <f>PROPER(TEXT(A60,"dddd"))</f>
        <v>Sábado</v>
      </c>
      <c r="Y60" t="str" cm="1">
        <f t="array" ref="Y60">_xlfn.IFS(R60&gt;10,"Excelente",R60&gt;=5,"Bueno",R60&gt;=2,"Débil",R60&lt;2,"Deficiente")</f>
        <v>Excelente</v>
      </c>
      <c r="Z60" t="str">
        <f>IF(AND(R60&lt;2,Q60&gt;=100),"Revisar","OK")</f>
        <v>OK</v>
      </c>
      <c r="AA60" s="55">
        <f>_xlfn.XLOOKUP(C60,'Preguntas de negocio'!$C$114:$C$119,'Preguntas de negocio'!$D$114:$D$119,0)</f>
        <v>6</v>
      </c>
      <c r="AB60" s="55">
        <f>VLOOKUP(C60,'Preguntas de negocio'!$C$121:$D$127,2,FALSE)</f>
        <v>0.8</v>
      </c>
    </row>
    <row r="61" spans="1:28" x14ac:dyDescent="0.3">
      <c r="A61" s="1">
        <v>45809</v>
      </c>
      <c r="B61" s="2" t="s">
        <v>2629</v>
      </c>
      <c r="C61" s="2" t="s">
        <v>2515</v>
      </c>
      <c r="D61" s="2" t="s">
        <v>2531</v>
      </c>
      <c r="E61" s="2" t="s">
        <v>2517</v>
      </c>
      <c r="F61" s="3">
        <v>143687</v>
      </c>
      <c r="G61" s="3">
        <v>8758</v>
      </c>
      <c r="H61" s="3">
        <v>590</v>
      </c>
      <c r="I61" s="4">
        <v>3260.05</v>
      </c>
      <c r="J61" s="4">
        <v>78308.19</v>
      </c>
      <c r="K61" s="3">
        <v>323</v>
      </c>
      <c r="L61" s="2" t="s">
        <v>2539</v>
      </c>
      <c r="M61" s="2" t="s">
        <v>2537</v>
      </c>
      <c r="N61" s="8">
        <f>IFERROR(G61/F61,0)</f>
        <v>6.0951930237251803E-2</v>
      </c>
      <c r="O61" s="8">
        <f>IFERROR(H61/G61,0)</f>
        <v>6.7366978762274488E-2</v>
      </c>
      <c r="P61" s="4">
        <f>IFERROR(I61/G61,0)</f>
        <v>0.37223681205754738</v>
      </c>
      <c r="Q61" s="4">
        <f>IFERROR(I61/H61,0)</f>
        <v>5.5255084745762719</v>
      </c>
      <c r="R61" s="12">
        <f>IFERROR(J61/I61,0)</f>
        <v>24.020548764589499</v>
      </c>
      <c r="S61" s="7">
        <f>Tabla_nuevas_columnas[[#This Row],[ROAS]]</f>
        <v>24.020548764589499</v>
      </c>
      <c r="T61" t="str">
        <f>_xlfn.CONCAT(C61,"-",D61)</f>
        <v>Email-Portugal</v>
      </c>
      <c r="U61">
        <f>YEAR(A61)</f>
        <v>2025</v>
      </c>
      <c r="V61">
        <f>MONTH(A61)</f>
        <v>6</v>
      </c>
      <c r="W61" t="str">
        <f>PROPER(TEXT(A61,"mmmm"))</f>
        <v>Junio</v>
      </c>
      <c r="X61" t="str">
        <f>PROPER(TEXT(A61,"dddd"))</f>
        <v>Domingo</v>
      </c>
      <c r="Y61" t="str" cm="1">
        <f t="array" ref="Y61">_xlfn.IFS(R61&gt;10,"Excelente",R61&gt;=5,"Bueno",R61&gt;=2,"Débil",R61&lt;2,"Deficiente")</f>
        <v>Excelente</v>
      </c>
      <c r="Z61" t="str">
        <f>IF(AND(R61&lt;2,Q61&gt;=100),"Revisar","OK")</f>
        <v>OK</v>
      </c>
      <c r="AA61" s="55">
        <f>_xlfn.XLOOKUP(C61,'Preguntas de negocio'!$C$114:$C$119,'Preguntas de negocio'!$D$114:$D$119,0)</f>
        <v>5.5</v>
      </c>
      <c r="AB61" s="55">
        <f>VLOOKUP(C61,'Preguntas de negocio'!$C$121:$D$127,2,FALSE)</f>
        <v>0.65</v>
      </c>
    </row>
    <row r="62" spans="1:28" x14ac:dyDescent="0.3">
      <c r="A62" s="1">
        <v>45882</v>
      </c>
      <c r="B62" s="2" t="s">
        <v>2642</v>
      </c>
      <c r="C62" s="2" t="s">
        <v>2541</v>
      </c>
      <c r="D62" s="2" t="s">
        <v>2528</v>
      </c>
      <c r="E62" s="2" t="s">
        <v>2517</v>
      </c>
      <c r="F62" s="3">
        <v>78011</v>
      </c>
      <c r="G62" s="3">
        <v>3428</v>
      </c>
      <c r="H62" s="3">
        <v>452</v>
      </c>
      <c r="I62" s="4">
        <v>7029.6</v>
      </c>
      <c r="J62" s="4">
        <v>14793.01</v>
      </c>
      <c r="K62" s="3">
        <v>343</v>
      </c>
      <c r="L62" s="2" t="s">
        <v>2523</v>
      </c>
      <c r="M62" s="2" t="s">
        <v>2526</v>
      </c>
      <c r="N62" s="8">
        <f>IFERROR(G62/F62,0)</f>
        <v>4.3942520926536E-2</v>
      </c>
      <c r="O62" s="8">
        <f>IFERROR(H62/G62,0)</f>
        <v>0.13185530921820304</v>
      </c>
      <c r="P62" s="4">
        <f>IFERROR(I62/G62,0)</f>
        <v>2.0506417736289384</v>
      </c>
      <c r="Q62" s="4">
        <f>IFERROR(I62/H62,0)</f>
        <v>15.552212389380532</v>
      </c>
      <c r="R62" s="12">
        <f>IFERROR(J62/I62,0)</f>
        <v>2.1043885854102653</v>
      </c>
      <c r="S62" s="7">
        <f>Tabla_nuevas_columnas[[#This Row],[ROAS]]</f>
        <v>2.1043885854102653</v>
      </c>
      <c r="T62" t="str">
        <f>_xlfn.CONCAT(C62,"-",D62)</f>
        <v>Display-España</v>
      </c>
      <c r="U62">
        <f>YEAR(A62)</f>
        <v>2025</v>
      </c>
      <c r="V62">
        <f>MONTH(A62)</f>
        <v>8</v>
      </c>
      <c r="W62" t="str">
        <f>PROPER(TEXT(A62,"mmmm"))</f>
        <v>Agosto</v>
      </c>
      <c r="X62" t="str">
        <f>PROPER(TEXT(A62,"dddd"))</f>
        <v>Miércoles</v>
      </c>
      <c r="Y62" t="str" cm="1">
        <f t="array" ref="Y62">_xlfn.IFS(R62&gt;10,"Excelente",R62&gt;=5,"Bueno",R62&gt;=2,"Débil",R62&lt;2,"Deficiente")</f>
        <v>Débil</v>
      </c>
      <c r="Z62" t="str">
        <f>IF(AND(R62&lt;2,Q62&gt;=100),"Revisar","OK")</f>
        <v>OK</v>
      </c>
      <c r="AA62" s="55">
        <f>_xlfn.XLOOKUP(C62,'Preguntas de negocio'!$C$114:$C$119,'Preguntas de negocio'!$D$114:$D$119,0)</f>
        <v>5</v>
      </c>
      <c r="AB62" s="55">
        <f>VLOOKUP(C62,'Preguntas de negocio'!$C$121:$D$127,2,FALSE)</f>
        <v>0.5</v>
      </c>
    </row>
    <row r="63" spans="1:28" x14ac:dyDescent="0.3">
      <c r="A63" s="1">
        <v>45702</v>
      </c>
      <c r="B63" s="2" t="s">
        <v>2637</v>
      </c>
      <c r="C63" s="2" t="s">
        <v>2543</v>
      </c>
      <c r="D63" s="2" t="s">
        <v>2525</v>
      </c>
      <c r="E63" s="2" t="s">
        <v>2529</v>
      </c>
      <c r="F63" s="3">
        <v>101430</v>
      </c>
      <c r="G63" s="3">
        <v>3059</v>
      </c>
      <c r="H63" s="3">
        <v>396</v>
      </c>
      <c r="I63" s="4">
        <v>6195.71</v>
      </c>
      <c r="J63" s="4">
        <v>57060.46</v>
      </c>
      <c r="K63" s="3">
        <v>334</v>
      </c>
      <c r="L63" s="2" t="s">
        <v>2539</v>
      </c>
      <c r="M63" s="2" t="s">
        <v>2537</v>
      </c>
      <c r="N63" s="8">
        <f>IFERROR(G63/F63,0)</f>
        <v>3.0158730158730159E-2</v>
      </c>
      <c r="O63" s="8">
        <f>IFERROR(H63/G63,0)</f>
        <v>0.12945406995750244</v>
      </c>
      <c r="P63" s="4">
        <f>IFERROR(I63/G63,0)</f>
        <v>2.0254037267080744</v>
      </c>
      <c r="Q63" s="4">
        <f>IFERROR(I63/H63,0)</f>
        <v>15.645732323232323</v>
      </c>
      <c r="R63" s="12">
        <f>IFERROR(J63/I63,0)</f>
        <v>9.2096724991970245</v>
      </c>
      <c r="S63" s="7">
        <f>Tabla_nuevas_columnas[[#This Row],[ROAS]]</f>
        <v>9.2096724991970245</v>
      </c>
      <c r="T63" t="str">
        <f>_xlfn.CONCAT(C63,"-",D63)</f>
        <v>Organic Social-Francia</v>
      </c>
      <c r="U63">
        <f>YEAR(A63)</f>
        <v>2025</v>
      </c>
      <c r="V63">
        <f>MONTH(A63)</f>
        <v>2</v>
      </c>
      <c r="W63" t="str">
        <f>PROPER(TEXT(A63,"mmmm"))</f>
        <v>Febrero</v>
      </c>
      <c r="X63" t="str">
        <f>PROPER(TEXT(A63,"dddd"))</f>
        <v>Viernes</v>
      </c>
      <c r="Y63" t="str" cm="1">
        <f t="array" ref="Y63">_xlfn.IFS(R63&gt;10,"Excelente",R63&gt;=5,"Bueno",R63&gt;=2,"Débil",R63&lt;2,"Deficiente")</f>
        <v>Bueno</v>
      </c>
      <c r="Z63" t="str">
        <f>IF(AND(R63&lt;2,Q63&gt;=100),"Revisar","OK")</f>
        <v>OK</v>
      </c>
      <c r="AA63" s="55">
        <f>_xlfn.XLOOKUP(C63,'Preguntas de negocio'!$C$114:$C$119,'Preguntas de negocio'!$D$114:$D$119,0)</f>
        <v>4</v>
      </c>
      <c r="AB63" s="55">
        <f>VLOOKUP(C63,'Preguntas de negocio'!$C$121:$D$127,2,FALSE)</f>
        <v>0.95</v>
      </c>
    </row>
    <row r="64" spans="1:28" x14ac:dyDescent="0.3">
      <c r="A64" s="1">
        <v>45869</v>
      </c>
      <c r="B64" s="2" t="s">
        <v>2615</v>
      </c>
      <c r="C64" s="2" t="s">
        <v>2541</v>
      </c>
      <c r="D64" s="2" t="s">
        <v>2525</v>
      </c>
      <c r="E64" s="2" t="s">
        <v>2529</v>
      </c>
      <c r="F64" s="3">
        <v>131405</v>
      </c>
      <c r="G64" s="3">
        <v>8184</v>
      </c>
      <c r="H64" s="3">
        <v>574</v>
      </c>
      <c r="I64" s="4">
        <v>10376.290000000001</v>
      </c>
      <c r="J64" s="4">
        <v>58970.85</v>
      </c>
      <c r="K64" s="3">
        <v>338</v>
      </c>
      <c r="L64" s="2" t="s">
        <v>2523</v>
      </c>
      <c r="M64" s="2" t="s">
        <v>2537</v>
      </c>
      <c r="N64" s="8">
        <f>IFERROR(G64/F64,0)</f>
        <v>6.2280735131844296E-2</v>
      </c>
      <c r="O64" s="8">
        <f>IFERROR(H64/G64,0)</f>
        <v>7.0136852394916904E-2</v>
      </c>
      <c r="P64" s="4">
        <f>IFERROR(I64/G64,0)</f>
        <v>1.2678751221896385</v>
      </c>
      <c r="Q64" s="4">
        <f>IFERROR(I64/H64,0)</f>
        <v>18.077160278745644</v>
      </c>
      <c r="R64" s="12">
        <f>IFERROR(J64/I64,0)</f>
        <v>5.6832307115549003</v>
      </c>
      <c r="S64" s="7">
        <f>Tabla_nuevas_columnas[[#This Row],[ROAS]]</f>
        <v>5.6832307115549003</v>
      </c>
      <c r="T64" t="str">
        <f>_xlfn.CONCAT(C64,"-",D64)</f>
        <v>Display-Francia</v>
      </c>
      <c r="U64">
        <f>YEAR(A64)</f>
        <v>2025</v>
      </c>
      <c r="V64">
        <f>MONTH(A64)</f>
        <v>7</v>
      </c>
      <c r="W64" t="str">
        <f>PROPER(TEXT(A64,"mmmm"))</f>
        <v>Julio</v>
      </c>
      <c r="X64" t="str">
        <f>PROPER(TEXT(A64,"dddd"))</f>
        <v>Jueves</v>
      </c>
      <c r="Y64" t="str" cm="1">
        <f t="array" ref="Y64">_xlfn.IFS(R64&gt;10,"Excelente",R64&gt;=5,"Bueno",R64&gt;=2,"Débil",R64&lt;2,"Deficiente")</f>
        <v>Bueno</v>
      </c>
      <c r="Z64" t="str">
        <f>IF(AND(R64&lt;2,Q64&gt;=100),"Revisar","OK")</f>
        <v>OK</v>
      </c>
      <c r="AA64" s="55">
        <f>_xlfn.XLOOKUP(C64,'Preguntas de negocio'!$C$114:$C$119,'Preguntas de negocio'!$D$114:$D$119,0)</f>
        <v>5</v>
      </c>
      <c r="AB64" s="55">
        <f>VLOOKUP(C64,'Preguntas de negocio'!$C$121:$D$127,2,FALSE)</f>
        <v>0.5</v>
      </c>
    </row>
    <row r="65" spans="1:28" x14ac:dyDescent="0.3">
      <c r="A65" s="1">
        <v>45884</v>
      </c>
      <c r="B65" s="2" t="s">
        <v>2641</v>
      </c>
      <c r="C65" s="2" t="s">
        <v>2521</v>
      </c>
      <c r="D65" s="2" t="s">
        <v>2528</v>
      </c>
      <c r="E65" s="2" t="s">
        <v>2529</v>
      </c>
      <c r="F65" s="3">
        <v>130442</v>
      </c>
      <c r="G65" s="3">
        <v>8546</v>
      </c>
      <c r="H65" s="3">
        <v>578</v>
      </c>
      <c r="I65" s="4">
        <v>13234.62</v>
      </c>
      <c r="J65" s="4">
        <v>74181.06</v>
      </c>
      <c r="K65" s="3">
        <v>477</v>
      </c>
      <c r="L65" s="2" t="s">
        <v>2536</v>
      </c>
      <c r="M65" s="2" t="s">
        <v>2526</v>
      </c>
      <c r="N65" s="8">
        <f>IFERROR(G65/F65,0)</f>
        <v>6.5515708130816766E-2</v>
      </c>
      <c r="O65" s="8">
        <f>IFERROR(H65/G65,0)</f>
        <v>6.7633980809735553E-2</v>
      </c>
      <c r="P65" s="4">
        <f>IFERROR(I65/G65,0)</f>
        <v>1.5486332787268899</v>
      </c>
      <c r="Q65" s="4">
        <f>IFERROR(I65/H65,0)</f>
        <v>22.897266435986161</v>
      </c>
      <c r="R65" s="12">
        <f>IFERROR(J65/I65,0)</f>
        <v>5.605076685239168</v>
      </c>
      <c r="S65" s="7">
        <f>Tabla_nuevas_columnas[[#This Row],[ROAS]]</f>
        <v>5.605076685239168</v>
      </c>
      <c r="T65" t="str">
        <f>_xlfn.CONCAT(C65,"-",D65)</f>
        <v>Paid Search-España</v>
      </c>
      <c r="U65">
        <f>YEAR(A65)</f>
        <v>2025</v>
      </c>
      <c r="V65">
        <f>MONTH(A65)</f>
        <v>8</v>
      </c>
      <c r="W65" t="str">
        <f>PROPER(TEXT(A65,"mmmm"))</f>
        <v>Agosto</v>
      </c>
      <c r="X65" t="str">
        <f>PROPER(TEXT(A65,"dddd"))</f>
        <v>Viernes</v>
      </c>
      <c r="Y65" t="str" cm="1">
        <f t="array" ref="Y65">_xlfn.IFS(R65&gt;10,"Excelente",R65&gt;=5,"Bueno",R65&gt;=2,"Débil",R65&lt;2,"Deficiente")</f>
        <v>Bueno</v>
      </c>
      <c r="Z65" t="str">
        <f>IF(AND(R65&lt;2,Q65&gt;=100),"Revisar","OK")</f>
        <v>OK</v>
      </c>
      <c r="AA65" s="55">
        <f>_xlfn.XLOOKUP(C65,'Preguntas de negocio'!$C$114:$C$119,'Preguntas de negocio'!$D$114:$D$119,0)</f>
        <v>5</v>
      </c>
      <c r="AB65" s="55">
        <f>VLOOKUP(C65,'Preguntas de negocio'!$C$121:$D$127,2,FALSE)</f>
        <v>1.1000000000000001</v>
      </c>
    </row>
    <row r="66" spans="1:28" x14ac:dyDescent="0.3">
      <c r="A66" s="1">
        <v>45798</v>
      </c>
      <c r="B66" s="2" t="s">
        <v>2640</v>
      </c>
      <c r="C66" s="2" t="s">
        <v>2533</v>
      </c>
      <c r="D66" s="2" t="s">
        <v>2528</v>
      </c>
      <c r="E66" s="2" t="s">
        <v>2517</v>
      </c>
      <c r="F66" s="3">
        <v>106661</v>
      </c>
      <c r="G66" s="3">
        <v>2841</v>
      </c>
      <c r="H66" s="3">
        <v>357</v>
      </c>
      <c r="I66" s="4">
        <v>1574.27</v>
      </c>
      <c r="J66" s="4">
        <v>69957.06</v>
      </c>
      <c r="K66" s="3">
        <v>212</v>
      </c>
      <c r="L66" s="2" t="s">
        <v>2539</v>
      </c>
      <c r="M66" s="2" t="s">
        <v>2519</v>
      </c>
      <c r="N66" s="8">
        <f>IFERROR(G66/F66,0)</f>
        <v>2.6635790026345151E-2</v>
      </c>
      <c r="O66" s="8">
        <f>IFERROR(H66/G66,0)</f>
        <v>0.12565997888067582</v>
      </c>
      <c r="P66" s="4">
        <f>IFERROR(I66/G66,0)</f>
        <v>0.55412530799014426</v>
      </c>
      <c r="Q66" s="4">
        <f>IFERROR(I66/H66,0)</f>
        <v>4.4097198879551822</v>
      </c>
      <c r="R66" s="12">
        <f>IFERROR(J66/I66,0)</f>
        <v>44.437777509575866</v>
      </c>
      <c r="S66" s="7">
        <f>Tabla_nuevas_columnas[[#This Row],[ROAS]]</f>
        <v>44.437777509575866</v>
      </c>
      <c r="T66" t="str">
        <f>_xlfn.CONCAT(C66,"-",D66)</f>
        <v>Paid Social-España</v>
      </c>
      <c r="U66">
        <f>YEAR(A66)</f>
        <v>2025</v>
      </c>
      <c r="V66">
        <f>MONTH(A66)</f>
        <v>5</v>
      </c>
      <c r="W66" t="str">
        <f>PROPER(TEXT(A66,"mmmm"))</f>
        <v>Mayo</v>
      </c>
      <c r="X66" t="str">
        <f>PROPER(TEXT(A66,"dddd"))</f>
        <v>Miércoles</v>
      </c>
      <c r="Y66" t="str" cm="1">
        <f t="array" ref="Y66">_xlfn.IFS(R66&gt;10,"Excelente",R66&gt;=5,"Bueno",R66&gt;=2,"Débil",R66&lt;2,"Deficiente")</f>
        <v>Excelente</v>
      </c>
      <c r="Z66" t="str">
        <f>IF(AND(R66&lt;2,Q66&gt;=100),"Revisar","OK")</f>
        <v>OK</v>
      </c>
      <c r="AA66" s="55">
        <f>_xlfn.XLOOKUP(C66,'Preguntas de negocio'!$C$114:$C$119,'Preguntas de negocio'!$D$114:$D$119,0)</f>
        <v>6</v>
      </c>
      <c r="AB66" s="55">
        <f>VLOOKUP(C66,'Preguntas de negocio'!$C$121:$D$127,2,FALSE)</f>
        <v>0.8</v>
      </c>
    </row>
    <row r="67" spans="1:28" x14ac:dyDescent="0.3">
      <c r="A67" s="1">
        <v>45678</v>
      </c>
      <c r="B67" s="2" t="s">
        <v>2642</v>
      </c>
      <c r="C67" s="2" t="s">
        <v>2527</v>
      </c>
      <c r="D67" s="2" t="s">
        <v>2528</v>
      </c>
      <c r="E67" s="2" t="s">
        <v>2529</v>
      </c>
      <c r="F67" s="3">
        <v>97055</v>
      </c>
      <c r="G67" s="3">
        <v>1101</v>
      </c>
      <c r="H67" s="3">
        <v>105</v>
      </c>
      <c r="I67" s="4">
        <v>1653.64</v>
      </c>
      <c r="J67" s="4">
        <v>9527.19</v>
      </c>
      <c r="K67" s="3">
        <v>72</v>
      </c>
      <c r="L67" s="2" t="s">
        <v>2518</v>
      </c>
      <c r="M67" s="2" t="s">
        <v>2526</v>
      </c>
      <c r="N67" s="8">
        <f>IFERROR(G67/F67,0)</f>
        <v>1.1344083251764463E-2</v>
      </c>
      <c r="O67" s="8">
        <f>IFERROR(H67/G67,0)</f>
        <v>9.5367847411444148E-2</v>
      </c>
      <c r="P67" s="4">
        <f>IFERROR(I67/G67,0)</f>
        <v>1.5019436875567667</v>
      </c>
      <c r="Q67" s="4">
        <f>IFERROR(I67/H67,0)</f>
        <v>15.748952380952382</v>
      </c>
      <c r="R67" s="12">
        <f>IFERROR(J67/I67,0)</f>
        <v>5.7613446699402528</v>
      </c>
      <c r="S67" s="7">
        <f>Tabla_nuevas_columnas[[#This Row],[ROAS]]</f>
        <v>5.7613446699402528</v>
      </c>
      <c r="T67" t="str">
        <f>_xlfn.CONCAT(C67,"-",D67)</f>
        <v>Affiliate-España</v>
      </c>
      <c r="U67">
        <f>YEAR(A67)</f>
        <v>2025</v>
      </c>
      <c r="V67">
        <f>MONTH(A67)</f>
        <v>1</v>
      </c>
      <c r="W67" t="str">
        <f>PROPER(TEXT(A67,"mmmm"))</f>
        <v>Enero</v>
      </c>
      <c r="X67" t="str">
        <f>PROPER(TEXT(A67,"dddd"))</f>
        <v>Martes</v>
      </c>
      <c r="Y67" t="str" cm="1">
        <f t="array" ref="Y67">_xlfn.IFS(R67&gt;10,"Excelente",R67&gt;=5,"Bueno",R67&gt;=2,"Débil",R67&lt;2,"Deficiente")</f>
        <v>Bueno</v>
      </c>
      <c r="Z67" t="str">
        <f>IF(AND(R67&lt;2,Q67&gt;=100),"Revisar","OK")</f>
        <v>OK</v>
      </c>
      <c r="AA67" s="55">
        <f>_xlfn.XLOOKUP(C67,'Preguntas de negocio'!$C$114:$C$119,'Preguntas de negocio'!$D$114:$D$119,0)</f>
        <v>4.5</v>
      </c>
      <c r="AB67" s="55">
        <f>VLOOKUP(C67,'Preguntas de negocio'!$C$121:$D$127,2,FALSE)</f>
        <v>0.35</v>
      </c>
    </row>
    <row r="68" spans="1:28" x14ac:dyDescent="0.3">
      <c r="A68" s="1">
        <v>45886</v>
      </c>
      <c r="B68" s="2" t="s">
        <v>2629</v>
      </c>
      <c r="C68" s="2" t="s">
        <v>2543</v>
      </c>
      <c r="D68" s="2" t="s">
        <v>2516</v>
      </c>
      <c r="E68" s="2" t="s">
        <v>2529</v>
      </c>
      <c r="F68" s="3">
        <v>143820</v>
      </c>
      <c r="G68" s="3">
        <v>12456</v>
      </c>
      <c r="H68" s="3">
        <v>1679</v>
      </c>
      <c r="I68" s="4">
        <v>13393.63</v>
      </c>
      <c r="J68" s="4">
        <v>46663.92</v>
      </c>
      <c r="K68" s="3">
        <v>1062</v>
      </c>
      <c r="L68" s="2" t="s">
        <v>2523</v>
      </c>
      <c r="M68" s="2" t="s">
        <v>2519</v>
      </c>
      <c r="N68" s="8">
        <f>IFERROR(G68/F68,0)</f>
        <v>8.6608260325406763E-2</v>
      </c>
      <c r="O68" s="8">
        <f>IFERROR(H68/G68,0)</f>
        <v>0.13479447655748233</v>
      </c>
      <c r="P68" s="4">
        <f>IFERROR(I68/G68,0)</f>
        <v>1.0752753692999357</v>
      </c>
      <c r="Q68" s="4">
        <f>IFERROR(I68/H68,0)</f>
        <v>7.9771471113758183</v>
      </c>
      <c r="R68" s="12">
        <f>IFERROR(J68/I68,0)</f>
        <v>3.4840383077627202</v>
      </c>
      <c r="S68" s="7">
        <f>Tabla_nuevas_columnas[[#This Row],[ROAS]]</f>
        <v>3.4840383077627202</v>
      </c>
      <c r="T68" t="str">
        <f>_xlfn.CONCAT(C68,"-",D68)</f>
        <v>Organic Social-México</v>
      </c>
      <c r="U68">
        <f>YEAR(A68)</f>
        <v>2025</v>
      </c>
      <c r="V68">
        <f>MONTH(A68)</f>
        <v>8</v>
      </c>
      <c r="W68" t="str">
        <f>PROPER(TEXT(A68,"mmmm"))</f>
        <v>Agosto</v>
      </c>
      <c r="X68" t="str">
        <f>PROPER(TEXT(A68,"dddd"))</f>
        <v>Domingo</v>
      </c>
      <c r="Y68" t="str" cm="1">
        <f t="array" ref="Y68">_xlfn.IFS(R68&gt;10,"Excelente",R68&gt;=5,"Bueno",R68&gt;=2,"Débil",R68&lt;2,"Deficiente")</f>
        <v>Débil</v>
      </c>
      <c r="Z68" t="str">
        <f>IF(AND(R68&lt;2,Q68&gt;=100),"Revisar","OK")</f>
        <v>OK</v>
      </c>
      <c r="AA68" s="55">
        <f>_xlfn.XLOOKUP(C68,'Preguntas de negocio'!$C$114:$C$119,'Preguntas de negocio'!$D$114:$D$119,0)</f>
        <v>4</v>
      </c>
      <c r="AB68" s="55">
        <f>VLOOKUP(C68,'Preguntas de negocio'!$C$121:$D$127,2,FALSE)</f>
        <v>0.95</v>
      </c>
    </row>
    <row r="69" spans="1:28" x14ac:dyDescent="0.3">
      <c r="A69" s="1">
        <v>45948</v>
      </c>
      <c r="B69" s="2" t="s">
        <v>2619</v>
      </c>
      <c r="C69" s="2" t="s">
        <v>2541</v>
      </c>
      <c r="D69" s="2" t="s">
        <v>2522</v>
      </c>
      <c r="E69" s="2" t="s">
        <v>2517</v>
      </c>
      <c r="F69" s="3">
        <v>156599</v>
      </c>
      <c r="G69" s="3">
        <v>4886</v>
      </c>
      <c r="H69" s="3">
        <v>403</v>
      </c>
      <c r="I69" s="4">
        <v>5879.31</v>
      </c>
      <c r="J69" s="4">
        <v>53974.45</v>
      </c>
      <c r="K69" s="3">
        <v>261</v>
      </c>
      <c r="L69" s="2" t="s">
        <v>2536</v>
      </c>
      <c r="M69" s="2" t="s">
        <v>2526</v>
      </c>
      <c r="N69" s="8">
        <f>IFERROR(G69/F69,0)</f>
        <v>3.120071009393419E-2</v>
      </c>
      <c r="O69" s="8">
        <f>IFERROR(H69/G69,0)</f>
        <v>8.2480556692591078E-2</v>
      </c>
      <c r="P69" s="4">
        <f>IFERROR(I69/G69,0)</f>
        <v>1.203297175603766</v>
      </c>
      <c r="Q69" s="4">
        <f>IFERROR(I69/H69,0)</f>
        <v>14.588858560794046</v>
      </c>
      <c r="R69" s="12">
        <f>IFERROR(J69/I69,0)</f>
        <v>9.1804055237774485</v>
      </c>
      <c r="S69" s="7">
        <f>Tabla_nuevas_columnas[[#This Row],[ROAS]]</f>
        <v>9.1804055237774485</v>
      </c>
      <c r="T69" t="str">
        <f>_xlfn.CONCAT(C69,"-",D69)</f>
        <v>Display-Italia</v>
      </c>
      <c r="U69">
        <f>YEAR(A69)</f>
        <v>2025</v>
      </c>
      <c r="V69">
        <f>MONTH(A69)</f>
        <v>10</v>
      </c>
      <c r="W69" t="str">
        <f>PROPER(TEXT(A69,"mmmm"))</f>
        <v>Octubre</v>
      </c>
      <c r="X69" t="str">
        <f>PROPER(TEXT(A69,"dddd"))</f>
        <v>Sábado</v>
      </c>
      <c r="Y69" t="str" cm="1">
        <f t="array" ref="Y69">_xlfn.IFS(R69&gt;10,"Excelente",R69&gt;=5,"Bueno",R69&gt;=2,"Débil",R69&lt;2,"Deficiente")</f>
        <v>Bueno</v>
      </c>
      <c r="Z69" t="str">
        <f>IF(AND(R69&lt;2,Q69&gt;=100),"Revisar","OK")</f>
        <v>OK</v>
      </c>
      <c r="AA69" s="55">
        <f>_xlfn.XLOOKUP(C69,'Preguntas de negocio'!$C$114:$C$119,'Preguntas de negocio'!$D$114:$D$119,0)</f>
        <v>5</v>
      </c>
      <c r="AB69" s="55">
        <f>VLOOKUP(C69,'Preguntas de negocio'!$C$121:$D$127,2,FALSE)</f>
        <v>0.5</v>
      </c>
    </row>
    <row r="70" spans="1:28" x14ac:dyDescent="0.3">
      <c r="A70" s="1">
        <v>45771</v>
      </c>
      <c r="B70" s="2" t="s">
        <v>2631</v>
      </c>
      <c r="C70" s="2" t="s">
        <v>2543</v>
      </c>
      <c r="D70" s="2" t="s">
        <v>2525</v>
      </c>
      <c r="E70" s="2" t="s">
        <v>2517</v>
      </c>
      <c r="F70" s="3">
        <v>146138</v>
      </c>
      <c r="G70" s="3">
        <v>7737</v>
      </c>
      <c r="H70" s="3">
        <v>949</v>
      </c>
      <c r="I70" s="4">
        <v>6548.8</v>
      </c>
      <c r="J70" s="4">
        <v>123026.44</v>
      </c>
      <c r="K70" s="3">
        <v>625</v>
      </c>
      <c r="L70" s="2" t="s">
        <v>2523</v>
      </c>
      <c r="M70" s="2" t="s">
        <v>2546</v>
      </c>
      <c r="N70" s="8">
        <f>IFERROR(G70/F70,0)</f>
        <v>5.2943108568613229E-2</v>
      </c>
      <c r="O70" s="8">
        <f>IFERROR(H70/G70,0)</f>
        <v>0.12265736073413468</v>
      </c>
      <c r="P70" s="4">
        <f>IFERROR(I70/G70,0)</f>
        <v>0.84642626340959026</v>
      </c>
      <c r="Q70" s="4">
        <f>IFERROR(I70/H70,0)</f>
        <v>6.900737618545838</v>
      </c>
      <c r="R70" s="12">
        <f>IFERROR(J70/I70,0)</f>
        <v>18.786104324456389</v>
      </c>
      <c r="S70" s="7">
        <f>Tabla_nuevas_columnas[[#This Row],[ROAS]]</f>
        <v>18.786104324456389</v>
      </c>
      <c r="T70" t="str">
        <f>_xlfn.CONCAT(C70,"-",D70)</f>
        <v>Organic Social-Francia</v>
      </c>
      <c r="U70">
        <f>YEAR(A70)</f>
        <v>2025</v>
      </c>
      <c r="V70">
        <f>MONTH(A70)</f>
        <v>4</v>
      </c>
      <c r="W70" t="str">
        <f>PROPER(TEXT(A70,"mmmm"))</f>
        <v>Abril</v>
      </c>
      <c r="X70" t="str">
        <f>PROPER(TEXT(A70,"dddd"))</f>
        <v>Jueves</v>
      </c>
      <c r="Y70" t="str" cm="1">
        <f t="array" ref="Y70">_xlfn.IFS(R70&gt;10,"Excelente",R70&gt;=5,"Bueno",R70&gt;=2,"Débil",R70&lt;2,"Deficiente")</f>
        <v>Excelente</v>
      </c>
      <c r="Z70" t="str">
        <f>IF(AND(R70&lt;2,Q70&gt;=100),"Revisar","OK")</f>
        <v>OK</v>
      </c>
      <c r="AA70" s="55">
        <f>_xlfn.XLOOKUP(C70,'Preguntas de negocio'!$C$114:$C$119,'Preguntas de negocio'!$D$114:$D$119,0)</f>
        <v>4</v>
      </c>
      <c r="AB70" s="55">
        <f>VLOOKUP(C70,'Preguntas de negocio'!$C$121:$D$127,2,FALSE)</f>
        <v>0.95</v>
      </c>
    </row>
    <row r="71" spans="1:28" x14ac:dyDescent="0.3">
      <c r="A71" s="1">
        <v>45998</v>
      </c>
      <c r="B71" s="2" t="s">
        <v>2643</v>
      </c>
      <c r="C71" s="2" t="s">
        <v>2543</v>
      </c>
      <c r="D71" s="2" t="s">
        <v>2528</v>
      </c>
      <c r="E71" s="2" t="s">
        <v>2529</v>
      </c>
      <c r="F71" s="3">
        <v>95481</v>
      </c>
      <c r="G71" s="3">
        <v>1518</v>
      </c>
      <c r="H71" s="3">
        <v>95</v>
      </c>
      <c r="I71" s="4">
        <v>1000.65</v>
      </c>
      <c r="J71" s="4">
        <v>2508.0500000000002</v>
      </c>
      <c r="K71" s="3">
        <v>48</v>
      </c>
      <c r="L71" s="2" t="s">
        <v>2518</v>
      </c>
      <c r="M71" s="2" t="s">
        <v>2537</v>
      </c>
      <c r="N71" s="8">
        <f>IFERROR(G71/F71,0)</f>
        <v>1.5898451000722656E-2</v>
      </c>
      <c r="O71" s="8">
        <f>IFERROR(H71/G71,0)</f>
        <v>6.2582345191040847E-2</v>
      </c>
      <c r="P71" s="4">
        <f>IFERROR(I71/G71,0)</f>
        <v>0.65918972332015813</v>
      </c>
      <c r="Q71" s="4">
        <f>IFERROR(I71/H71,0)</f>
        <v>10.533157894736842</v>
      </c>
      <c r="R71" s="12">
        <f>IFERROR(J71/I71,0)</f>
        <v>2.5064208264627994</v>
      </c>
      <c r="S71" s="7">
        <f>Tabla_nuevas_columnas[[#This Row],[ROAS]]</f>
        <v>2.5064208264627994</v>
      </c>
      <c r="T71" t="str">
        <f>_xlfn.CONCAT(C71,"-",D71)</f>
        <v>Organic Social-España</v>
      </c>
      <c r="U71">
        <f>YEAR(A71)</f>
        <v>2025</v>
      </c>
      <c r="V71">
        <f>MONTH(A71)</f>
        <v>12</v>
      </c>
      <c r="W71" t="str">
        <f>PROPER(TEXT(A71,"mmmm"))</f>
        <v>Diciembre</v>
      </c>
      <c r="X71" t="str">
        <f>PROPER(TEXT(A71,"dddd"))</f>
        <v>Domingo</v>
      </c>
      <c r="Y71" t="str" cm="1">
        <f t="array" ref="Y71">_xlfn.IFS(R71&gt;10,"Excelente",R71&gt;=5,"Bueno",R71&gt;=2,"Débil",R71&lt;2,"Deficiente")</f>
        <v>Débil</v>
      </c>
      <c r="Z71" t="str">
        <f>IF(AND(R71&lt;2,Q71&gt;=100),"Revisar","OK")</f>
        <v>OK</v>
      </c>
      <c r="AA71" s="55">
        <f>_xlfn.XLOOKUP(C71,'Preguntas de negocio'!$C$114:$C$119,'Preguntas de negocio'!$D$114:$D$119,0)</f>
        <v>4</v>
      </c>
      <c r="AB71" s="55">
        <f>VLOOKUP(C71,'Preguntas de negocio'!$C$121:$D$127,2,FALSE)</f>
        <v>0.95</v>
      </c>
    </row>
    <row r="72" spans="1:28" x14ac:dyDescent="0.3">
      <c r="A72" s="1">
        <v>45934</v>
      </c>
      <c r="B72" s="2" t="s">
        <v>2635</v>
      </c>
      <c r="C72" s="2" t="s">
        <v>2527</v>
      </c>
      <c r="D72" s="2" t="s">
        <v>2528</v>
      </c>
      <c r="E72" s="2" t="s">
        <v>2517</v>
      </c>
      <c r="F72" s="3">
        <v>83550</v>
      </c>
      <c r="G72" s="3">
        <v>7172</v>
      </c>
      <c r="H72" s="3">
        <v>217</v>
      </c>
      <c r="I72" s="4">
        <v>3758.29</v>
      </c>
      <c r="J72" s="4">
        <v>34404</v>
      </c>
      <c r="K72" s="3">
        <v>121</v>
      </c>
      <c r="L72" s="2" t="s">
        <v>2539</v>
      </c>
      <c r="M72" s="2" t="s">
        <v>2526</v>
      </c>
      <c r="N72" s="8">
        <f>IFERROR(G72/F72,0)</f>
        <v>8.5840813883901856E-2</v>
      </c>
      <c r="O72" s="8">
        <f>IFERROR(H72/G72,0)</f>
        <v>3.0256553262688231E-2</v>
      </c>
      <c r="P72" s="4">
        <f>IFERROR(I72/G72,0)</f>
        <v>0.52402258784160627</v>
      </c>
      <c r="Q72" s="4">
        <f>IFERROR(I72/H72,0)</f>
        <v>17.319308755760368</v>
      </c>
      <c r="R72" s="12">
        <f>IFERROR(J72/I72,0)</f>
        <v>9.1541631965601375</v>
      </c>
      <c r="S72" s="7">
        <f>Tabla_nuevas_columnas[[#This Row],[ROAS]]</f>
        <v>9.1541631965601375</v>
      </c>
      <c r="T72" t="str">
        <f>_xlfn.CONCAT(C72,"-",D72)</f>
        <v>Affiliate-España</v>
      </c>
      <c r="U72">
        <f>YEAR(A72)</f>
        <v>2025</v>
      </c>
      <c r="V72">
        <f>MONTH(A72)</f>
        <v>10</v>
      </c>
      <c r="W72" t="str">
        <f>PROPER(TEXT(A72,"mmmm"))</f>
        <v>Octubre</v>
      </c>
      <c r="X72" t="str">
        <f>PROPER(TEXT(A72,"dddd"))</f>
        <v>Sábado</v>
      </c>
      <c r="Y72" t="str" cm="1">
        <f t="array" ref="Y72">_xlfn.IFS(R72&gt;10,"Excelente",R72&gt;=5,"Bueno",R72&gt;=2,"Débil",R72&lt;2,"Deficiente")</f>
        <v>Bueno</v>
      </c>
      <c r="Z72" t="str">
        <f>IF(AND(R72&lt;2,Q72&gt;=100),"Revisar","OK")</f>
        <v>OK</v>
      </c>
      <c r="AA72" s="55">
        <f>_xlfn.XLOOKUP(C72,'Preguntas de negocio'!$C$114:$C$119,'Preguntas de negocio'!$D$114:$D$119,0)</f>
        <v>4.5</v>
      </c>
      <c r="AB72" s="55">
        <f>VLOOKUP(C72,'Preguntas de negocio'!$C$121:$D$127,2,FALSE)</f>
        <v>0.35</v>
      </c>
    </row>
    <row r="73" spans="1:28" x14ac:dyDescent="0.3">
      <c r="A73" s="1">
        <v>45829</v>
      </c>
      <c r="B73" s="2" t="s">
        <v>2627</v>
      </c>
      <c r="C73" s="2" t="s">
        <v>2515</v>
      </c>
      <c r="D73" s="2" t="s">
        <v>2522</v>
      </c>
      <c r="E73" s="2" t="s">
        <v>2534</v>
      </c>
      <c r="F73" s="3">
        <v>137916</v>
      </c>
      <c r="G73" s="3">
        <v>6514</v>
      </c>
      <c r="H73" s="3">
        <v>592</v>
      </c>
      <c r="I73" s="4">
        <v>4804.74</v>
      </c>
      <c r="J73" s="4">
        <v>20376.89</v>
      </c>
      <c r="K73" s="3">
        <v>450</v>
      </c>
      <c r="L73" s="2" t="s">
        <v>2518</v>
      </c>
      <c r="M73" s="2" t="s">
        <v>2524</v>
      </c>
      <c r="N73" s="8">
        <f>IFERROR(G73/F73,0)</f>
        <v>4.7231648249659211E-2</v>
      </c>
      <c r="O73" s="8">
        <f>IFERROR(H73/G73,0)</f>
        <v>9.088117899907891E-2</v>
      </c>
      <c r="P73" s="4">
        <f>IFERROR(I73/G73,0)</f>
        <v>0.73760208781086889</v>
      </c>
      <c r="Q73" s="4">
        <f>IFERROR(I73/H73,0)</f>
        <v>8.1161148648648638</v>
      </c>
      <c r="R73" s="12">
        <f>IFERROR(J73/I73,0)</f>
        <v>4.2409974317028603</v>
      </c>
      <c r="S73" s="7">
        <f>Tabla_nuevas_columnas[[#This Row],[ROAS]]</f>
        <v>4.2409974317028603</v>
      </c>
      <c r="T73" t="str">
        <f>_xlfn.CONCAT(C73,"-",D73)</f>
        <v>Email-Italia</v>
      </c>
      <c r="U73">
        <f>YEAR(A73)</f>
        <v>2025</v>
      </c>
      <c r="V73">
        <f>MONTH(A73)</f>
        <v>6</v>
      </c>
      <c r="W73" t="str">
        <f>PROPER(TEXT(A73,"mmmm"))</f>
        <v>Junio</v>
      </c>
      <c r="X73" t="str">
        <f>PROPER(TEXT(A73,"dddd"))</f>
        <v>Sábado</v>
      </c>
      <c r="Y73" t="str" cm="1">
        <f t="array" ref="Y73">_xlfn.IFS(R73&gt;10,"Excelente",R73&gt;=5,"Bueno",R73&gt;=2,"Débil",R73&lt;2,"Deficiente")</f>
        <v>Débil</v>
      </c>
      <c r="Z73" t="str">
        <f>IF(AND(R73&lt;2,Q73&gt;=100),"Revisar","OK")</f>
        <v>OK</v>
      </c>
      <c r="AA73" s="55">
        <f>_xlfn.XLOOKUP(C73,'Preguntas de negocio'!$C$114:$C$119,'Preguntas de negocio'!$D$114:$D$119,0)</f>
        <v>5.5</v>
      </c>
      <c r="AB73" s="55">
        <f>VLOOKUP(C73,'Preguntas de negocio'!$C$121:$D$127,2,FALSE)</f>
        <v>0.65</v>
      </c>
    </row>
    <row r="74" spans="1:28" x14ac:dyDescent="0.3">
      <c r="A74" s="1">
        <v>45949</v>
      </c>
      <c r="B74" s="2" t="s">
        <v>2618</v>
      </c>
      <c r="C74" s="2" t="s">
        <v>2515</v>
      </c>
      <c r="D74" s="2" t="s">
        <v>2525</v>
      </c>
      <c r="E74" s="2" t="s">
        <v>2529</v>
      </c>
      <c r="F74" s="3">
        <v>164370</v>
      </c>
      <c r="G74" s="3">
        <v>9643</v>
      </c>
      <c r="H74" s="3">
        <v>1013</v>
      </c>
      <c r="I74" s="4">
        <v>7211.11</v>
      </c>
      <c r="J74" s="4">
        <v>123210.79</v>
      </c>
      <c r="K74" s="3">
        <v>702</v>
      </c>
      <c r="L74" s="2" t="s">
        <v>2523</v>
      </c>
      <c r="M74" s="2" t="s">
        <v>2524</v>
      </c>
      <c r="N74" s="8">
        <f>IFERROR(G74/F74,0)</f>
        <v>5.866642331325668E-2</v>
      </c>
      <c r="O74" s="8">
        <f>IFERROR(H74/G74,0)</f>
        <v>0.10505029555117702</v>
      </c>
      <c r="P74" s="4">
        <f>IFERROR(I74/G74,0)</f>
        <v>0.74780773618168617</v>
      </c>
      <c r="Q74" s="4">
        <f>IFERROR(I74/H74,0)</f>
        <v>7.1185686080947681</v>
      </c>
      <c r="R74" s="12">
        <f>IFERROR(J74/I74,0)</f>
        <v>17.086244697418291</v>
      </c>
      <c r="S74" s="7">
        <f>Tabla_nuevas_columnas[[#This Row],[ROAS]]</f>
        <v>17.086244697418291</v>
      </c>
      <c r="T74" t="str">
        <f>_xlfn.CONCAT(C74,"-",D74)</f>
        <v>Email-Francia</v>
      </c>
      <c r="U74">
        <f>YEAR(A74)</f>
        <v>2025</v>
      </c>
      <c r="V74">
        <f>MONTH(A74)</f>
        <v>10</v>
      </c>
      <c r="W74" t="str">
        <f>PROPER(TEXT(A74,"mmmm"))</f>
        <v>Octubre</v>
      </c>
      <c r="X74" t="str">
        <f>PROPER(TEXT(A74,"dddd"))</f>
        <v>Domingo</v>
      </c>
      <c r="Y74" t="str" cm="1">
        <f t="array" ref="Y74">_xlfn.IFS(R74&gt;10,"Excelente",R74&gt;=5,"Bueno",R74&gt;=2,"Débil",R74&lt;2,"Deficiente")</f>
        <v>Excelente</v>
      </c>
      <c r="Z74" t="str">
        <f>IF(AND(R74&lt;2,Q74&gt;=100),"Revisar","OK")</f>
        <v>OK</v>
      </c>
      <c r="AA74" s="55">
        <f>_xlfn.XLOOKUP(C74,'Preguntas de negocio'!$C$114:$C$119,'Preguntas de negocio'!$D$114:$D$119,0)</f>
        <v>5.5</v>
      </c>
      <c r="AB74" s="55">
        <f>VLOOKUP(C74,'Preguntas de negocio'!$C$121:$D$127,2,FALSE)</f>
        <v>0.65</v>
      </c>
    </row>
    <row r="75" spans="1:28" x14ac:dyDescent="0.3">
      <c r="A75" s="1">
        <v>45855</v>
      </c>
      <c r="B75" s="2" t="s">
        <v>2635</v>
      </c>
      <c r="C75" s="2" t="s">
        <v>2533</v>
      </c>
      <c r="D75" s="2" t="s">
        <v>2528</v>
      </c>
      <c r="E75" s="2" t="s">
        <v>2517</v>
      </c>
      <c r="F75" s="3">
        <v>17033</v>
      </c>
      <c r="G75" s="3">
        <v>407</v>
      </c>
      <c r="H75" s="3">
        <v>36</v>
      </c>
      <c r="I75" s="4">
        <v>423.88</v>
      </c>
      <c r="J75" s="4">
        <v>1569.98</v>
      </c>
      <c r="K75" s="3">
        <v>19</v>
      </c>
      <c r="L75" s="2" t="s">
        <v>2536</v>
      </c>
      <c r="M75" s="2" t="s">
        <v>2537</v>
      </c>
      <c r="N75" s="8">
        <f>IFERROR(G75/F75,0)</f>
        <v>2.3894792461692009E-2</v>
      </c>
      <c r="O75" s="8">
        <f>IFERROR(H75/G75,0)</f>
        <v>8.8452088452088448E-2</v>
      </c>
      <c r="P75" s="4">
        <f>IFERROR(I75/G75,0)</f>
        <v>1.0414742014742016</v>
      </c>
      <c r="Q75" s="4">
        <f>IFERROR(I75/H75,0)</f>
        <v>11.774444444444445</v>
      </c>
      <c r="R75" s="12">
        <f>IFERROR(J75/I75,0)</f>
        <v>3.7038312730017928</v>
      </c>
      <c r="S75" s="7">
        <f>Tabla_nuevas_columnas[[#This Row],[ROAS]]</f>
        <v>3.7038312730017928</v>
      </c>
      <c r="T75" t="str">
        <f>_xlfn.CONCAT(C75,"-",D75)</f>
        <v>Paid Social-España</v>
      </c>
      <c r="U75">
        <f>YEAR(A75)</f>
        <v>2025</v>
      </c>
      <c r="V75">
        <f>MONTH(A75)</f>
        <v>7</v>
      </c>
      <c r="W75" t="str">
        <f>PROPER(TEXT(A75,"mmmm"))</f>
        <v>Julio</v>
      </c>
      <c r="X75" t="str">
        <f>PROPER(TEXT(A75,"dddd"))</f>
        <v>Jueves</v>
      </c>
      <c r="Y75" t="str" cm="1">
        <f t="array" ref="Y75">_xlfn.IFS(R75&gt;10,"Excelente",R75&gt;=5,"Bueno",R75&gt;=2,"Débil",R75&lt;2,"Deficiente")</f>
        <v>Débil</v>
      </c>
      <c r="Z75" t="str">
        <f>IF(AND(R75&lt;2,Q75&gt;=100),"Revisar","OK")</f>
        <v>OK</v>
      </c>
      <c r="AA75" s="55">
        <f>_xlfn.XLOOKUP(C75,'Preguntas de negocio'!$C$114:$C$119,'Preguntas de negocio'!$D$114:$D$119,0)</f>
        <v>6</v>
      </c>
      <c r="AB75" s="55">
        <f>VLOOKUP(C75,'Preguntas de negocio'!$C$121:$D$127,2,FALSE)</f>
        <v>0.8</v>
      </c>
    </row>
    <row r="76" spans="1:28" x14ac:dyDescent="0.3">
      <c r="A76" s="1">
        <v>45808</v>
      </c>
      <c r="B76" s="2" t="s">
        <v>2628</v>
      </c>
      <c r="C76" s="2" t="s">
        <v>2541</v>
      </c>
      <c r="D76" s="2" t="s">
        <v>2528</v>
      </c>
      <c r="E76" s="2" t="s">
        <v>2529</v>
      </c>
      <c r="F76" s="3">
        <v>165163</v>
      </c>
      <c r="G76" s="3">
        <v>6066</v>
      </c>
      <c r="H76" s="3">
        <v>257</v>
      </c>
      <c r="I76" s="4">
        <v>1640.69</v>
      </c>
      <c r="J76" s="4">
        <v>7248.36</v>
      </c>
      <c r="K76" s="3">
        <v>132</v>
      </c>
      <c r="L76" s="2" t="s">
        <v>2523</v>
      </c>
      <c r="M76" s="2" t="s">
        <v>2526</v>
      </c>
      <c r="N76" s="8">
        <f>IFERROR(G76/F76,0)</f>
        <v>3.672735418949765E-2</v>
      </c>
      <c r="O76" s="8">
        <f>IFERROR(H76/G76,0)</f>
        <v>4.236729310913287E-2</v>
      </c>
      <c r="P76" s="4">
        <f>IFERROR(I76/G76,0)</f>
        <v>0.27047312891526543</v>
      </c>
      <c r="Q76" s="4">
        <f>IFERROR(I76/H76,0)</f>
        <v>6.3840077821011674</v>
      </c>
      <c r="R76" s="12">
        <f>IFERROR(J76/I76,0)</f>
        <v>4.417872968080502</v>
      </c>
      <c r="S76" s="7">
        <f>Tabla_nuevas_columnas[[#This Row],[ROAS]]</f>
        <v>4.417872968080502</v>
      </c>
      <c r="T76" t="str">
        <f>_xlfn.CONCAT(C76,"-",D76)</f>
        <v>Display-España</v>
      </c>
      <c r="U76">
        <f>YEAR(A76)</f>
        <v>2025</v>
      </c>
      <c r="V76">
        <f>MONTH(A76)</f>
        <v>5</v>
      </c>
      <c r="W76" t="str">
        <f>PROPER(TEXT(A76,"mmmm"))</f>
        <v>Mayo</v>
      </c>
      <c r="X76" t="str">
        <f>PROPER(TEXT(A76,"dddd"))</f>
        <v>Sábado</v>
      </c>
      <c r="Y76" t="str" cm="1">
        <f t="array" ref="Y76">_xlfn.IFS(R76&gt;10,"Excelente",R76&gt;=5,"Bueno",R76&gt;=2,"Débil",R76&lt;2,"Deficiente")</f>
        <v>Débil</v>
      </c>
      <c r="Z76" t="str">
        <f>IF(AND(R76&lt;2,Q76&gt;=100),"Revisar","OK")</f>
        <v>OK</v>
      </c>
      <c r="AA76" s="55">
        <f>_xlfn.XLOOKUP(C76,'Preguntas de negocio'!$C$114:$C$119,'Preguntas de negocio'!$D$114:$D$119,0)</f>
        <v>5</v>
      </c>
      <c r="AB76" s="55">
        <f>VLOOKUP(C76,'Preguntas de negocio'!$C$121:$D$127,2,FALSE)</f>
        <v>0.5</v>
      </c>
    </row>
    <row r="77" spans="1:28" x14ac:dyDescent="0.3">
      <c r="A77" s="1">
        <v>45956</v>
      </c>
      <c r="B77" s="2" t="s">
        <v>2617</v>
      </c>
      <c r="C77" s="2" t="s">
        <v>2533</v>
      </c>
      <c r="D77" s="2" t="s">
        <v>2528</v>
      </c>
      <c r="E77" s="2" t="s">
        <v>2529</v>
      </c>
      <c r="F77" s="3">
        <v>164400</v>
      </c>
      <c r="G77" s="3">
        <v>8064</v>
      </c>
      <c r="H77" s="3">
        <v>247</v>
      </c>
      <c r="I77" s="4">
        <v>13717.53</v>
      </c>
      <c r="J77" s="4">
        <v>49833.79</v>
      </c>
      <c r="K77" s="3">
        <v>124</v>
      </c>
      <c r="L77" s="2" t="s">
        <v>2536</v>
      </c>
      <c r="M77" s="2" t="s">
        <v>2537</v>
      </c>
      <c r="N77" s="8">
        <f>IFERROR(G77/F77,0)</f>
        <v>4.9051094890510946E-2</v>
      </c>
      <c r="O77" s="8">
        <f>IFERROR(H77/G77,0)</f>
        <v>3.0629960317460316E-2</v>
      </c>
      <c r="P77" s="4">
        <f>IFERROR(I77/G77,0)</f>
        <v>1.7010825892857144</v>
      </c>
      <c r="Q77" s="4">
        <f>IFERROR(I77/H77,0)</f>
        <v>55.536558704453441</v>
      </c>
      <c r="R77" s="12">
        <f>IFERROR(J77/I77,0)</f>
        <v>3.6328544570341745</v>
      </c>
      <c r="S77" s="7">
        <f>Tabla_nuevas_columnas[[#This Row],[ROAS]]</f>
        <v>3.6328544570341745</v>
      </c>
      <c r="T77" t="str">
        <f>_xlfn.CONCAT(C77,"-",D77)</f>
        <v>Paid Social-España</v>
      </c>
      <c r="U77">
        <f>YEAR(A77)</f>
        <v>2025</v>
      </c>
      <c r="V77">
        <f>MONTH(A77)</f>
        <v>10</v>
      </c>
      <c r="W77" t="str">
        <f>PROPER(TEXT(A77,"mmmm"))</f>
        <v>Octubre</v>
      </c>
      <c r="X77" t="str">
        <f>PROPER(TEXT(A77,"dddd"))</f>
        <v>Domingo</v>
      </c>
      <c r="Y77" t="str" cm="1">
        <f t="array" ref="Y77">_xlfn.IFS(R77&gt;10,"Excelente",R77&gt;=5,"Bueno",R77&gt;=2,"Débil",R77&lt;2,"Deficiente")</f>
        <v>Débil</v>
      </c>
      <c r="Z77" t="str">
        <f>IF(AND(R77&lt;2,Q77&gt;=100),"Revisar","OK")</f>
        <v>OK</v>
      </c>
      <c r="AA77" s="55">
        <f>_xlfn.XLOOKUP(C77,'Preguntas de negocio'!$C$114:$C$119,'Preguntas de negocio'!$D$114:$D$119,0)</f>
        <v>6</v>
      </c>
      <c r="AB77" s="55">
        <f>VLOOKUP(C77,'Preguntas de negocio'!$C$121:$D$127,2,FALSE)</f>
        <v>0.8</v>
      </c>
    </row>
    <row r="78" spans="1:28" x14ac:dyDescent="0.3">
      <c r="A78" s="1">
        <v>46005</v>
      </c>
      <c r="B78" s="2" t="s">
        <v>2642</v>
      </c>
      <c r="C78" s="2" t="s">
        <v>2527</v>
      </c>
      <c r="D78" s="2" t="s">
        <v>2525</v>
      </c>
      <c r="E78" s="2" t="s">
        <v>2517</v>
      </c>
      <c r="F78" s="3">
        <v>5929</v>
      </c>
      <c r="G78" s="3">
        <v>440</v>
      </c>
      <c r="H78" s="3">
        <v>31</v>
      </c>
      <c r="I78" s="4">
        <v>184.05</v>
      </c>
      <c r="J78" s="4">
        <v>5250.9</v>
      </c>
      <c r="K78" s="3">
        <v>26</v>
      </c>
      <c r="L78" s="2" t="s">
        <v>2539</v>
      </c>
      <c r="M78" s="2" t="s">
        <v>2537</v>
      </c>
      <c r="N78" s="8">
        <f>IFERROR(G78/F78,0)</f>
        <v>7.4211502782931357E-2</v>
      </c>
      <c r="O78" s="8">
        <f>IFERROR(H78/G78,0)</f>
        <v>7.045454545454545E-2</v>
      </c>
      <c r="P78" s="4">
        <f>IFERROR(I78/G78,0)</f>
        <v>0.41829545454545458</v>
      </c>
      <c r="Q78" s="4">
        <f>IFERROR(I78/H78,0)</f>
        <v>5.9370967741935488</v>
      </c>
      <c r="R78" s="12">
        <f>IFERROR(J78/I78,0)</f>
        <v>28.529747351263239</v>
      </c>
      <c r="S78" s="7">
        <f>Tabla_nuevas_columnas[[#This Row],[ROAS]]</f>
        <v>28.529747351263239</v>
      </c>
      <c r="T78" t="str">
        <f>_xlfn.CONCAT(C78,"-",D78)</f>
        <v>Affiliate-Francia</v>
      </c>
      <c r="U78">
        <f>YEAR(A78)</f>
        <v>2025</v>
      </c>
      <c r="V78">
        <f>MONTH(A78)</f>
        <v>12</v>
      </c>
      <c r="W78" t="str">
        <f>PROPER(TEXT(A78,"mmmm"))</f>
        <v>Diciembre</v>
      </c>
      <c r="X78" t="str">
        <f>PROPER(TEXT(A78,"dddd"))</f>
        <v>Domingo</v>
      </c>
      <c r="Y78" t="str" cm="1">
        <f t="array" ref="Y78">_xlfn.IFS(R78&gt;10,"Excelente",R78&gt;=5,"Bueno",R78&gt;=2,"Débil",R78&lt;2,"Deficiente")</f>
        <v>Excelente</v>
      </c>
      <c r="Z78" t="str">
        <f>IF(AND(R78&lt;2,Q78&gt;=100),"Revisar","OK")</f>
        <v>OK</v>
      </c>
      <c r="AA78" s="55">
        <f>_xlfn.XLOOKUP(C78,'Preguntas de negocio'!$C$114:$C$119,'Preguntas de negocio'!$D$114:$D$119,0)</f>
        <v>4.5</v>
      </c>
      <c r="AB78" s="55">
        <f>VLOOKUP(C78,'Preguntas de negocio'!$C$121:$D$127,2,FALSE)</f>
        <v>0.35</v>
      </c>
    </row>
    <row r="79" spans="1:28" x14ac:dyDescent="0.3">
      <c r="A79" s="1">
        <v>45659</v>
      </c>
      <c r="B79" s="2" t="s">
        <v>2616</v>
      </c>
      <c r="C79" s="2" t="s">
        <v>2521</v>
      </c>
      <c r="D79" s="2" t="s">
        <v>2516</v>
      </c>
      <c r="E79" s="2" t="s">
        <v>2529</v>
      </c>
      <c r="F79" s="3">
        <v>120263</v>
      </c>
      <c r="G79" s="3">
        <v>727</v>
      </c>
      <c r="H79" s="3">
        <v>68</v>
      </c>
      <c r="I79" s="4">
        <v>600.79</v>
      </c>
      <c r="J79" s="4">
        <v>8622.59</v>
      </c>
      <c r="K79" s="3">
        <v>46</v>
      </c>
      <c r="L79" s="2" t="s">
        <v>2539</v>
      </c>
      <c r="M79" s="2" t="s">
        <v>2546</v>
      </c>
      <c r="N79" s="8">
        <f>IFERROR(G79/F79,0)</f>
        <v>6.0450845230869011E-3</v>
      </c>
      <c r="O79" s="8">
        <f>IFERROR(H79/G79,0)</f>
        <v>9.353507565337002E-2</v>
      </c>
      <c r="P79" s="4">
        <f>IFERROR(I79/G79,0)</f>
        <v>0.82639614855570831</v>
      </c>
      <c r="Q79" s="4">
        <f>IFERROR(I79/H79,0)</f>
        <v>8.8351470588235284</v>
      </c>
      <c r="R79" s="12">
        <f>IFERROR(J79/I79,0)</f>
        <v>14.352086419547597</v>
      </c>
      <c r="S79" s="7">
        <f>Tabla_nuevas_columnas[[#This Row],[ROAS]]</f>
        <v>14.352086419547597</v>
      </c>
      <c r="T79" t="str">
        <f>_xlfn.CONCAT(C79,"-",D79)</f>
        <v>Paid Search-México</v>
      </c>
      <c r="U79">
        <f>YEAR(A79)</f>
        <v>2025</v>
      </c>
      <c r="V79">
        <f>MONTH(A79)</f>
        <v>1</v>
      </c>
      <c r="W79" t="str">
        <f>PROPER(TEXT(A79,"mmmm"))</f>
        <v>Enero</v>
      </c>
      <c r="X79" t="str">
        <f>PROPER(TEXT(A79,"dddd"))</f>
        <v>Jueves</v>
      </c>
      <c r="Y79" t="str" cm="1">
        <f t="array" ref="Y79">_xlfn.IFS(R79&gt;10,"Excelente",R79&gt;=5,"Bueno",R79&gt;=2,"Débil",R79&lt;2,"Deficiente")</f>
        <v>Excelente</v>
      </c>
      <c r="Z79" t="str">
        <f>IF(AND(R79&lt;2,Q79&gt;=100),"Revisar","OK")</f>
        <v>OK</v>
      </c>
      <c r="AA79" s="55">
        <f>_xlfn.XLOOKUP(C79,'Preguntas de negocio'!$C$114:$C$119,'Preguntas de negocio'!$D$114:$D$119,0)</f>
        <v>5</v>
      </c>
      <c r="AB79" s="55">
        <f>VLOOKUP(C79,'Preguntas de negocio'!$C$121:$D$127,2,FALSE)</f>
        <v>1.1000000000000001</v>
      </c>
    </row>
    <row r="80" spans="1:28" x14ac:dyDescent="0.3">
      <c r="A80" s="1">
        <v>45690</v>
      </c>
      <c r="B80" s="2" t="s">
        <v>2623</v>
      </c>
      <c r="C80" s="2" t="s">
        <v>2541</v>
      </c>
      <c r="D80" s="2" t="s">
        <v>2516</v>
      </c>
      <c r="E80" s="2" t="s">
        <v>2517</v>
      </c>
      <c r="F80" s="3">
        <v>14379</v>
      </c>
      <c r="G80" s="3">
        <v>1204</v>
      </c>
      <c r="H80" s="3">
        <v>117</v>
      </c>
      <c r="I80" s="4">
        <v>2429.36</v>
      </c>
      <c r="J80" s="4">
        <v>6917.04</v>
      </c>
      <c r="K80" s="3">
        <v>54</v>
      </c>
      <c r="L80" s="2" t="s">
        <v>2536</v>
      </c>
      <c r="M80" s="2" t="s">
        <v>2524</v>
      </c>
      <c r="N80" s="8">
        <f>IFERROR(G80/F80,0)</f>
        <v>8.3733222059948542E-2</v>
      </c>
      <c r="O80" s="8">
        <f>IFERROR(H80/G80,0)</f>
        <v>9.7176079734219267E-2</v>
      </c>
      <c r="P80" s="4">
        <f>IFERROR(I80/G80,0)</f>
        <v>2.0177408637873757</v>
      </c>
      <c r="Q80" s="4">
        <f>IFERROR(I80/H80,0)</f>
        <v>20.763760683760683</v>
      </c>
      <c r="R80" s="12">
        <f>IFERROR(J80/I80,0)</f>
        <v>2.8472684163730362</v>
      </c>
      <c r="S80" s="7">
        <f>Tabla_nuevas_columnas[[#This Row],[ROAS]]</f>
        <v>2.8472684163730362</v>
      </c>
      <c r="T80" t="str">
        <f>_xlfn.CONCAT(C80,"-",D80)</f>
        <v>Display-México</v>
      </c>
      <c r="U80">
        <f>YEAR(A80)</f>
        <v>2025</v>
      </c>
      <c r="V80">
        <f>MONTH(A80)</f>
        <v>2</v>
      </c>
      <c r="W80" t="str">
        <f>PROPER(TEXT(A80,"mmmm"))</f>
        <v>Febrero</v>
      </c>
      <c r="X80" t="str">
        <f>PROPER(TEXT(A80,"dddd"))</f>
        <v>Domingo</v>
      </c>
      <c r="Y80" t="str" cm="1">
        <f t="array" ref="Y80">_xlfn.IFS(R80&gt;10,"Excelente",R80&gt;=5,"Bueno",R80&gt;=2,"Débil",R80&lt;2,"Deficiente")</f>
        <v>Débil</v>
      </c>
      <c r="Z80" t="str">
        <f>IF(AND(R80&lt;2,Q80&gt;=100),"Revisar","OK")</f>
        <v>OK</v>
      </c>
      <c r="AA80" s="55">
        <f>_xlfn.XLOOKUP(C80,'Preguntas de negocio'!$C$114:$C$119,'Preguntas de negocio'!$D$114:$D$119,0)</f>
        <v>5</v>
      </c>
      <c r="AB80" s="55">
        <f>VLOOKUP(C80,'Preguntas de negocio'!$C$121:$D$127,2,FALSE)</f>
        <v>0.5</v>
      </c>
    </row>
    <row r="81" spans="1:28" x14ac:dyDescent="0.3">
      <c r="A81" s="1">
        <v>45838</v>
      </c>
      <c r="B81" s="2" t="s">
        <v>2616</v>
      </c>
      <c r="C81" s="2" t="s">
        <v>2515</v>
      </c>
      <c r="D81" s="2" t="s">
        <v>2528</v>
      </c>
      <c r="E81" s="2" t="s">
        <v>2529</v>
      </c>
      <c r="F81" s="3">
        <v>139435</v>
      </c>
      <c r="G81" s="3">
        <v>7423</v>
      </c>
      <c r="H81" s="3">
        <v>294</v>
      </c>
      <c r="I81" s="4">
        <v>2712.89</v>
      </c>
      <c r="J81" s="4">
        <v>49981.84</v>
      </c>
      <c r="K81" s="3">
        <v>183</v>
      </c>
      <c r="L81" s="2" t="s">
        <v>2539</v>
      </c>
      <c r="M81" s="2" t="s">
        <v>2519</v>
      </c>
      <c r="N81" s="8">
        <f>IFERROR(G81/F81,0)</f>
        <v>5.3236274966830421E-2</v>
      </c>
      <c r="O81" s="8">
        <f>IFERROR(H81/G81,0)</f>
        <v>3.9606628047959044E-2</v>
      </c>
      <c r="P81" s="4">
        <f>IFERROR(I81/G81,0)</f>
        <v>0.36547083389465174</v>
      </c>
      <c r="Q81" s="4">
        <f>IFERROR(I81/H81,0)</f>
        <v>9.2275170068027208</v>
      </c>
      <c r="R81" s="12">
        <f>IFERROR(J81/I81,0)</f>
        <v>18.423835835584928</v>
      </c>
      <c r="S81" s="7">
        <f>Tabla_nuevas_columnas[[#This Row],[ROAS]]</f>
        <v>18.423835835584928</v>
      </c>
      <c r="T81" t="str">
        <f>_xlfn.CONCAT(C81,"-",D81)</f>
        <v>Email-España</v>
      </c>
      <c r="U81">
        <f>YEAR(A81)</f>
        <v>2025</v>
      </c>
      <c r="V81">
        <f>MONTH(A81)</f>
        <v>6</v>
      </c>
      <c r="W81" t="str">
        <f>PROPER(TEXT(A81,"mmmm"))</f>
        <v>Junio</v>
      </c>
      <c r="X81" t="str">
        <f>PROPER(TEXT(A81,"dddd"))</f>
        <v>Lunes</v>
      </c>
      <c r="Y81" t="str" cm="1">
        <f t="array" ref="Y81">_xlfn.IFS(R81&gt;10,"Excelente",R81&gt;=5,"Bueno",R81&gt;=2,"Débil",R81&lt;2,"Deficiente")</f>
        <v>Excelente</v>
      </c>
      <c r="Z81" t="str">
        <f>IF(AND(R81&lt;2,Q81&gt;=100),"Revisar","OK")</f>
        <v>OK</v>
      </c>
      <c r="AA81" s="55">
        <f>_xlfn.XLOOKUP(C81,'Preguntas de negocio'!$C$114:$C$119,'Preguntas de negocio'!$D$114:$D$119,0)</f>
        <v>5.5</v>
      </c>
      <c r="AB81" s="55">
        <f>VLOOKUP(C81,'Preguntas de negocio'!$C$121:$D$127,2,FALSE)</f>
        <v>0.65</v>
      </c>
    </row>
    <row r="82" spans="1:28" x14ac:dyDescent="0.3">
      <c r="A82" s="1">
        <v>45941</v>
      </c>
      <c r="B82" s="2" t="s">
        <v>2621</v>
      </c>
      <c r="C82" s="2" t="s">
        <v>2515</v>
      </c>
      <c r="D82" s="2" t="s">
        <v>2528</v>
      </c>
      <c r="E82" s="2" t="s">
        <v>2517</v>
      </c>
      <c r="F82" s="3">
        <v>82478</v>
      </c>
      <c r="G82" s="3">
        <v>5286</v>
      </c>
      <c r="H82" s="3">
        <v>368</v>
      </c>
      <c r="I82" s="4">
        <v>1588.16</v>
      </c>
      <c r="J82" s="4">
        <v>33465.74</v>
      </c>
      <c r="K82" s="3">
        <v>267</v>
      </c>
      <c r="L82" s="2" t="s">
        <v>2523</v>
      </c>
      <c r="M82" s="2" t="s">
        <v>2524</v>
      </c>
      <c r="N82" s="8">
        <f>IFERROR(G82/F82,0)</f>
        <v>6.4089817890831499E-2</v>
      </c>
      <c r="O82" s="8">
        <f>IFERROR(H82/G82,0)</f>
        <v>6.9617858494135446E-2</v>
      </c>
      <c r="P82" s="4">
        <f>IFERROR(I82/G82,0)</f>
        <v>0.30044646235338635</v>
      </c>
      <c r="Q82" s="4">
        <f>IFERROR(I82/H82,0)</f>
        <v>4.315652173913044</v>
      </c>
      <c r="R82" s="12">
        <f>IFERROR(J82/I82,0)</f>
        <v>21.072020451339913</v>
      </c>
      <c r="S82" s="7">
        <f>Tabla_nuevas_columnas[[#This Row],[ROAS]]</f>
        <v>21.072020451339913</v>
      </c>
      <c r="T82" t="str">
        <f>_xlfn.CONCAT(C82,"-",D82)</f>
        <v>Email-España</v>
      </c>
      <c r="U82">
        <f>YEAR(A82)</f>
        <v>2025</v>
      </c>
      <c r="V82">
        <f>MONTH(A82)</f>
        <v>10</v>
      </c>
      <c r="W82" t="str">
        <f>PROPER(TEXT(A82,"mmmm"))</f>
        <v>Octubre</v>
      </c>
      <c r="X82" t="str">
        <f>PROPER(TEXT(A82,"dddd"))</f>
        <v>Sábado</v>
      </c>
      <c r="Y82" t="str" cm="1">
        <f t="array" ref="Y82">_xlfn.IFS(R82&gt;10,"Excelente",R82&gt;=5,"Bueno",R82&gt;=2,"Débil",R82&lt;2,"Deficiente")</f>
        <v>Excelente</v>
      </c>
      <c r="Z82" t="str">
        <f>IF(AND(R82&lt;2,Q82&gt;=100),"Revisar","OK")</f>
        <v>OK</v>
      </c>
      <c r="AA82" s="55">
        <f>_xlfn.XLOOKUP(C82,'Preguntas de negocio'!$C$114:$C$119,'Preguntas de negocio'!$D$114:$D$119,0)</f>
        <v>5.5</v>
      </c>
      <c r="AB82" s="55">
        <f>VLOOKUP(C82,'Preguntas de negocio'!$C$121:$D$127,2,FALSE)</f>
        <v>0.65</v>
      </c>
    </row>
    <row r="83" spans="1:28" x14ac:dyDescent="0.3">
      <c r="A83" s="1">
        <v>45988</v>
      </c>
      <c r="B83" s="2" t="s">
        <v>2633</v>
      </c>
      <c r="C83" s="2" t="s">
        <v>2541</v>
      </c>
      <c r="D83" s="2" t="s">
        <v>2522</v>
      </c>
      <c r="E83" s="2" t="s">
        <v>2529</v>
      </c>
      <c r="F83" s="3">
        <v>7947</v>
      </c>
      <c r="G83" s="3">
        <v>546</v>
      </c>
      <c r="H83" s="3">
        <v>11</v>
      </c>
      <c r="I83" s="4">
        <v>681.04</v>
      </c>
      <c r="J83" s="4">
        <v>1400.69</v>
      </c>
      <c r="K83" s="3">
        <v>5</v>
      </c>
      <c r="L83" s="2" t="s">
        <v>2518</v>
      </c>
      <c r="M83" s="2" t="s">
        <v>2519</v>
      </c>
      <c r="N83" s="8">
        <f>IFERROR(G83/F83,0)</f>
        <v>6.870517176292941E-2</v>
      </c>
      <c r="O83" s="8">
        <f>IFERROR(H83/G83,0)</f>
        <v>2.0146520146520148E-2</v>
      </c>
      <c r="P83" s="4">
        <f>IFERROR(I83/G83,0)</f>
        <v>1.2473260073260073</v>
      </c>
      <c r="Q83" s="4">
        <f>IFERROR(I83/H83,0)</f>
        <v>61.912727272727267</v>
      </c>
      <c r="R83" s="12">
        <f>IFERROR(J83/I83,0)</f>
        <v>2.0566927052742865</v>
      </c>
      <c r="S83" s="7">
        <f>Tabla_nuevas_columnas[[#This Row],[ROAS]]</f>
        <v>2.0566927052742865</v>
      </c>
      <c r="T83" t="str">
        <f>_xlfn.CONCAT(C83,"-",D83)</f>
        <v>Display-Italia</v>
      </c>
      <c r="U83">
        <f>YEAR(A83)</f>
        <v>2025</v>
      </c>
      <c r="V83">
        <f>MONTH(A83)</f>
        <v>11</v>
      </c>
      <c r="W83" t="str">
        <f>PROPER(TEXT(A83,"mmmm"))</f>
        <v>Noviembre</v>
      </c>
      <c r="X83" t="str">
        <f>PROPER(TEXT(A83,"dddd"))</f>
        <v>Jueves</v>
      </c>
      <c r="Y83" t="str" cm="1">
        <f t="array" ref="Y83">_xlfn.IFS(R83&gt;10,"Excelente",R83&gt;=5,"Bueno",R83&gt;=2,"Débil",R83&lt;2,"Deficiente")</f>
        <v>Débil</v>
      </c>
      <c r="Z83" t="str">
        <f>IF(AND(R83&lt;2,Q83&gt;=100),"Revisar","OK")</f>
        <v>OK</v>
      </c>
      <c r="AA83" s="55">
        <f>_xlfn.XLOOKUP(C83,'Preguntas de negocio'!$C$114:$C$119,'Preguntas de negocio'!$D$114:$D$119,0)</f>
        <v>5</v>
      </c>
      <c r="AB83" s="55">
        <f>VLOOKUP(C83,'Preguntas de negocio'!$C$121:$D$127,2,FALSE)</f>
        <v>0.5</v>
      </c>
    </row>
    <row r="84" spans="1:28" x14ac:dyDescent="0.3">
      <c r="A84" s="1">
        <v>45678</v>
      </c>
      <c r="B84" s="2" t="s">
        <v>2616</v>
      </c>
      <c r="C84" s="2" t="s">
        <v>2543</v>
      </c>
      <c r="D84" s="2" t="s">
        <v>2525</v>
      </c>
      <c r="E84" s="2" t="s">
        <v>2529</v>
      </c>
      <c r="F84" s="3">
        <v>40689</v>
      </c>
      <c r="G84" s="3">
        <v>834</v>
      </c>
      <c r="H84" s="3">
        <v>91</v>
      </c>
      <c r="I84" s="4">
        <v>594.19000000000005</v>
      </c>
      <c r="J84" s="4">
        <v>8098.42</v>
      </c>
      <c r="K84" s="3">
        <v>48</v>
      </c>
      <c r="L84" s="2" t="s">
        <v>2518</v>
      </c>
      <c r="M84" s="2" t="s">
        <v>2524</v>
      </c>
      <c r="N84" s="8">
        <f>IFERROR(G84/F84,0)</f>
        <v>2.0496940204969401E-2</v>
      </c>
      <c r="O84" s="8">
        <f>IFERROR(H84/G84,0)</f>
        <v>0.10911270983213429</v>
      </c>
      <c r="P84" s="4">
        <f>IFERROR(I84/G84,0)</f>
        <v>0.71245803357314152</v>
      </c>
      <c r="Q84" s="4">
        <f>IFERROR(I84/H84,0)</f>
        <v>6.5295604395604405</v>
      </c>
      <c r="R84" s="12">
        <f>IFERROR(J84/I84,0)</f>
        <v>13.629344149177872</v>
      </c>
      <c r="S84" s="7">
        <f>Tabla_nuevas_columnas[[#This Row],[ROAS]]</f>
        <v>13.629344149177872</v>
      </c>
      <c r="T84" t="str">
        <f>_xlfn.CONCAT(C84,"-",D84)</f>
        <v>Organic Social-Francia</v>
      </c>
      <c r="U84">
        <f>YEAR(A84)</f>
        <v>2025</v>
      </c>
      <c r="V84">
        <f>MONTH(A84)</f>
        <v>1</v>
      </c>
      <c r="W84" t="str">
        <f>PROPER(TEXT(A84,"mmmm"))</f>
        <v>Enero</v>
      </c>
      <c r="X84" t="str">
        <f>PROPER(TEXT(A84,"dddd"))</f>
        <v>Martes</v>
      </c>
      <c r="Y84" t="str" cm="1">
        <f t="array" ref="Y84">_xlfn.IFS(R84&gt;10,"Excelente",R84&gt;=5,"Bueno",R84&gt;=2,"Débil",R84&lt;2,"Deficiente")</f>
        <v>Excelente</v>
      </c>
      <c r="Z84" t="str">
        <f>IF(AND(R84&lt;2,Q84&gt;=100),"Revisar","OK")</f>
        <v>OK</v>
      </c>
      <c r="AA84" s="55">
        <f>_xlfn.XLOOKUP(C84,'Preguntas de negocio'!$C$114:$C$119,'Preguntas de negocio'!$D$114:$D$119,0)</f>
        <v>4</v>
      </c>
      <c r="AB84" s="55">
        <f>VLOOKUP(C84,'Preguntas de negocio'!$C$121:$D$127,2,FALSE)</f>
        <v>0.95</v>
      </c>
    </row>
    <row r="85" spans="1:28" x14ac:dyDescent="0.3">
      <c r="A85" s="1">
        <v>45728</v>
      </c>
      <c r="B85" s="2" t="s">
        <v>2624</v>
      </c>
      <c r="C85" s="2" t="s">
        <v>2541</v>
      </c>
      <c r="D85" s="2" t="s">
        <v>2531</v>
      </c>
      <c r="E85" s="2" t="s">
        <v>2529</v>
      </c>
      <c r="F85" s="3">
        <v>19998</v>
      </c>
      <c r="G85" s="3">
        <v>92</v>
      </c>
      <c r="H85" s="3">
        <v>5</v>
      </c>
      <c r="I85" s="4">
        <v>190.04</v>
      </c>
      <c r="J85" s="4">
        <v>861.71</v>
      </c>
      <c r="K85" s="3">
        <v>2</v>
      </c>
      <c r="L85" s="2" t="s">
        <v>2523</v>
      </c>
      <c r="M85" s="2" t="s">
        <v>2537</v>
      </c>
      <c r="N85" s="8">
        <f>IFERROR(G85/F85,0)</f>
        <v>4.6004600460046001E-3</v>
      </c>
      <c r="O85" s="8">
        <f>IFERROR(H85/G85,0)</f>
        <v>5.434782608695652E-2</v>
      </c>
      <c r="P85" s="4">
        <f>IFERROR(I85/G85,0)</f>
        <v>2.0656521739130436</v>
      </c>
      <c r="Q85" s="4">
        <f>IFERROR(I85/H85,0)</f>
        <v>38.007999999999996</v>
      </c>
      <c r="R85" s="12">
        <f>IFERROR(J85/I85,0)</f>
        <v>4.5343611871185017</v>
      </c>
      <c r="S85" s="7">
        <f>Tabla_nuevas_columnas[[#This Row],[ROAS]]</f>
        <v>4.5343611871185017</v>
      </c>
      <c r="T85" t="str">
        <f>_xlfn.CONCAT(C85,"-",D85)</f>
        <v>Display-Portugal</v>
      </c>
      <c r="U85">
        <f>YEAR(A85)</f>
        <v>2025</v>
      </c>
      <c r="V85">
        <f>MONTH(A85)</f>
        <v>3</v>
      </c>
      <c r="W85" t="str">
        <f>PROPER(TEXT(A85,"mmmm"))</f>
        <v>Marzo</v>
      </c>
      <c r="X85" t="str">
        <f>PROPER(TEXT(A85,"dddd"))</f>
        <v>Miércoles</v>
      </c>
      <c r="Y85" t="str" cm="1">
        <f t="array" ref="Y85">_xlfn.IFS(R85&gt;10,"Excelente",R85&gt;=5,"Bueno",R85&gt;=2,"Débil",R85&lt;2,"Deficiente")</f>
        <v>Débil</v>
      </c>
      <c r="Z85" t="str">
        <f>IF(AND(R85&lt;2,Q85&gt;=100),"Revisar","OK")</f>
        <v>OK</v>
      </c>
      <c r="AA85" s="55">
        <f>_xlfn.XLOOKUP(C85,'Preguntas de negocio'!$C$114:$C$119,'Preguntas de negocio'!$D$114:$D$119,0)</f>
        <v>5</v>
      </c>
      <c r="AB85" s="55">
        <f>VLOOKUP(C85,'Preguntas de negocio'!$C$121:$D$127,2,FALSE)</f>
        <v>0.5</v>
      </c>
    </row>
    <row r="86" spans="1:28" x14ac:dyDescent="0.3">
      <c r="A86" s="1">
        <v>46019</v>
      </c>
      <c r="B86" s="2" t="s">
        <v>2625</v>
      </c>
      <c r="C86" s="2" t="s">
        <v>2541</v>
      </c>
      <c r="D86" s="2" t="s">
        <v>2522</v>
      </c>
      <c r="E86" s="2" t="s">
        <v>2534</v>
      </c>
      <c r="F86" s="3">
        <v>41090</v>
      </c>
      <c r="G86" s="3">
        <v>886</v>
      </c>
      <c r="H86" s="3">
        <v>74</v>
      </c>
      <c r="I86" s="4">
        <v>378.97</v>
      </c>
      <c r="J86" s="4">
        <v>3753.55</v>
      </c>
      <c r="K86" s="3">
        <v>64</v>
      </c>
      <c r="L86" s="2" t="s">
        <v>2523</v>
      </c>
      <c r="M86" s="2" t="s">
        <v>2519</v>
      </c>
      <c r="N86" s="8">
        <f>IFERROR(G86/F86,0)</f>
        <v>2.1562423947432467E-2</v>
      </c>
      <c r="O86" s="8">
        <f>IFERROR(H86/G86,0)</f>
        <v>8.35214446952596E-2</v>
      </c>
      <c r="P86" s="4">
        <f>IFERROR(I86/G86,0)</f>
        <v>0.42773137697516933</v>
      </c>
      <c r="Q86" s="4">
        <f>IFERROR(I86/H86,0)</f>
        <v>5.1212162162162169</v>
      </c>
      <c r="R86" s="12">
        <f>IFERROR(J86/I86,0)</f>
        <v>9.9046098635775923</v>
      </c>
      <c r="S86" s="7">
        <f>Tabla_nuevas_columnas[[#This Row],[ROAS]]</f>
        <v>9.9046098635775923</v>
      </c>
      <c r="T86" t="str">
        <f>_xlfn.CONCAT(C86,"-",D86)</f>
        <v>Display-Italia</v>
      </c>
      <c r="U86">
        <f>YEAR(A86)</f>
        <v>2025</v>
      </c>
      <c r="V86">
        <f>MONTH(A86)</f>
        <v>12</v>
      </c>
      <c r="W86" t="str">
        <f>PROPER(TEXT(A86,"mmmm"))</f>
        <v>Diciembre</v>
      </c>
      <c r="X86" t="str">
        <f>PROPER(TEXT(A86,"dddd"))</f>
        <v>Domingo</v>
      </c>
      <c r="Y86" t="str" cm="1">
        <f t="array" ref="Y86">_xlfn.IFS(R86&gt;10,"Excelente",R86&gt;=5,"Bueno",R86&gt;=2,"Débil",R86&lt;2,"Deficiente")</f>
        <v>Bueno</v>
      </c>
      <c r="Z86" t="str">
        <f>IF(AND(R86&lt;2,Q86&gt;=100),"Revisar","OK")</f>
        <v>OK</v>
      </c>
      <c r="AA86" s="55">
        <f>_xlfn.XLOOKUP(C86,'Preguntas de negocio'!$C$114:$C$119,'Preguntas de negocio'!$D$114:$D$119,0)</f>
        <v>5</v>
      </c>
      <c r="AB86" s="55">
        <f>VLOOKUP(C86,'Preguntas de negocio'!$C$121:$D$127,2,FALSE)</f>
        <v>0.5</v>
      </c>
    </row>
    <row r="87" spans="1:28" x14ac:dyDescent="0.3">
      <c r="A87" s="1">
        <v>45685</v>
      </c>
      <c r="B87" s="2" t="s">
        <v>2636</v>
      </c>
      <c r="C87" s="2" t="s">
        <v>2515</v>
      </c>
      <c r="D87" s="2" t="s">
        <v>2525</v>
      </c>
      <c r="E87" s="2" t="s">
        <v>2534</v>
      </c>
      <c r="F87" s="3">
        <v>93340</v>
      </c>
      <c r="G87" s="3">
        <v>3758</v>
      </c>
      <c r="H87" s="3">
        <v>325</v>
      </c>
      <c r="I87" s="4">
        <v>7207.83</v>
      </c>
      <c r="J87" s="4">
        <v>50159.42</v>
      </c>
      <c r="K87" s="3">
        <v>205</v>
      </c>
      <c r="L87" s="2" t="s">
        <v>2523</v>
      </c>
      <c r="M87" s="2" t="s">
        <v>2526</v>
      </c>
      <c r="N87" s="8">
        <f>IFERROR(G87/F87,0)</f>
        <v>4.0261409899292909E-2</v>
      </c>
      <c r="O87" s="8">
        <f>IFERROR(H87/G87,0)</f>
        <v>8.64821713677488E-2</v>
      </c>
      <c r="P87" s="4">
        <f>IFERROR(I87/G87,0)</f>
        <v>1.9179962746141563</v>
      </c>
      <c r="Q87" s="4">
        <f>IFERROR(I87/H87,0)</f>
        <v>22.17793846153846</v>
      </c>
      <c r="R87" s="12">
        <f>IFERROR(J87/I87,0)</f>
        <v>6.959018178841621</v>
      </c>
      <c r="S87" s="7">
        <f>Tabla_nuevas_columnas[[#This Row],[ROAS]]</f>
        <v>6.959018178841621</v>
      </c>
      <c r="T87" t="str">
        <f>_xlfn.CONCAT(C87,"-",D87)</f>
        <v>Email-Francia</v>
      </c>
      <c r="U87">
        <f>YEAR(A87)</f>
        <v>2025</v>
      </c>
      <c r="V87">
        <f>MONTH(A87)</f>
        <v>1</v>
      </c>
      <c r="W87" t="str">
        <f>PROPER(TEXT(A87,"mmmm"))</f>
        <v>Enero</v>
      </c>
      <c r="X87" t="str">
        <f>PROPER(TEXT(A87,"dddd"))</f>
        <v>Martes</v>
      </c>
      <c r="Y87" t="str" cm="1">
        <f t="array" ref="Y87">_xlfn.IFS(R87&gt;10,"Excelente",R87&gt;=5,"Bueno",R87&gt;=2,"Débil",R87&lt;2,"Deficiente")</f>
        <v>Bueno</v>
      </c>
      <c r="Z87" t="str">
        <f>IF(AND(R87&lt;2,Q87&gt;=100),"Revisar","OK")</f>
        <v>OK</v>
      </c>
      <c r="AA87" s="55">
        <f>_xlfn.XLOOKUP(C87,'Preguntas de negocio'!$C$114:$C$119,'Preguntas de negocio'!$D$114:$D$119,0)</f>
        <v>5.5</v>
      </c>
      <c r="AB87" s="55">
        <f>VLOOKUP(C87,'Preguntas de negocio'!$C$121:$D$127,2,FALSE)</f>
        <v>0.65</v>
      </c>
    </row>
    <row r="88" spans="1:28" x14ac:dyDescent="0.3">
      <c r="A88" s="1">
        <v>45970</v>
      </c>
      <c r="B88" s="2" t="s">
        <v>2638</v>
      </c>
      <c r="C88" s="2" t="s">
        <v>2515</v>
      </c>
      <c r="D88" s="2" t="s">
        <v>2522</v>
      </c>
      <c r="E88" s="2" t="s">
        <v>2529</v>
      </c>
      <c r="F88" s="3">
        <v>168209</v>
      </c>
      <c r="G88" s="3">
        <v>4760</v>
      </c>
      <c r="H88" s="3">
        <v>445</v>
      </c>
      <c r="I88" s="4">
        <v>9212.81</v>
      </c>
      <c r="J88" s="4">
        <v>49516.92</v>
      </c>
      <c r="K88" s="3">
        <v>299</v>
      </c>
      <c r="L88" s="2" t="s">
        <v>2518</v>
      </c>
      <c r="M88" s="2" t="s">
        <v>2519</v>
      </c>
      <c r="N88" s="8">
        <f>IFERROR(G88/F88,0)</f>
        <v>2.8298129113186573E-2</v>
      </c>
      <c r="O88" s="8">
        <f>IFERROR(H88/G88,0)</f>
        <v>9.3487394957983194E-2</v>
      </c>
      <c r="P88" s="4">
        <f>IFERROR(I88/G88,0)</f>
        <v>1.9354642857142856</v>
      </c>
      <c r="Q88" s="4">
        <f>IFERROR(I88/H88,0)</f>
        <v>20.702943820224718</v>
      </c>
      <c r="R88" s="12">
        <f>IFERROR(J88/I88,0)</f>
        <v>5.3747901020426996</v>
      </c>
      <c r="S88" s="7">
        <f>Tabla_nuevas_columnas[[#This Row],[ROAS]]</f>
        <v>5.3747901020426996</v>
      </c>
      <c r="T88" t="str">
        <f>_xlfn.CONCAT(C88,"-",D88)</f>
        <v>Email-Italia</v>
      </c>
      <c r="U88">
        <f>YEAR(A88)</f>
        <v>2025</v>
      </c>
      <c r="V88">
        <f>MONTH(A88)</f>
        <v>11</v>
      </c>
      <c r="W88" t="str">
        <f>PROPER(TEXT(A88,"mmmm"))</f>
        <v>Noviembre</v>
      </c>
      <c r="X88" t="str">
        <f>PROPER(TEXT(A88,"dddd"))</f>
        <v>Domingo</v>
      </c>
      <c r="Y88" t="str" cm="1">
        <f t="array" ref="Y88">_xlfn.IFS(R88&gt;10,"Excelente",R88&gt;=5,"Bueno",R88&gt;=2,"Débil",R88&lt;2,"Deficiente")</f>
        <v>Bueno</v>
      </c>
      <c r="Z88" t="str">
        <f>IF(AND(R88&lt;2,Q88&gt;=100),"Revisar","OK")</f>
        <v>OK</v>
      </c>
      <c r="AA88" s="55">
        <f>_xlfn.XLOOKUP(C88,'Preguntas de negocio'!$C$114:$C$119,'Preguntas de negocio'!$D$114:$D$119,0)</f>
        <v>5.5</v>
      </c>
      <c r="AB88" s="55">
        <f>VLOOKUP(C88,'Preguntas de negocio'!$C$121:$D$127,2,FALSE)</f>
        <v>0.65</v>
      </c>
    </row>
    <row r="89" spans="1:28" x14ac:dyDescent="0.3">
      <c r="A89" s="1">
        <v>45952</v>
      </c>
      <c r="B89" s="2" t="s">
        <v>2642</v>
      </c>
      <c r="C89" s="2" t="s">
        <v>2515</v>
      </c>
      <c r="D89" s="2" t="s">
        <v>2528</v>
      </c>
      <c r="E89" s="2" t="s">
        <v>2529</v>
      </c>
      <c r="F89" s="3">
        <v>167113</v>
      </c>
      <c r="G89" s="3">
        <v>6183</v>
      </c>
      <c r="H89" s="3">
        <v>317</v>
      </c>
      <c r="I89" s="4">
        <v>8053.02</v>
      </c>
      <c r="J89" s="4">
        <v>17412.28</v>
      </c>
      <c r="K89" s="3">
        <v>239</v>
      </c>
      <c r="L89" s="2" t="s">
        <v>2536</v>
      </c>
      <c r="M89" s="2" t="s">
        <v>2526</v>
      </c>
      <c r="N89" s="8">
        <f>IFERROR(G89/F89,0)</f>
        <v>3.699891690054035E-2</v>
      </c>
      <c r="O89" s="8">
        <f>IFERROR(H89/G89,0)</f>
        <v>5.1269610221575286E-2</v>
      </c>
      <c r="P89" s="4">
        <f>IFERROR(I89/G89,0)</f>
        <v>1.3024454148471616</v>
      </c>
      <c r="Q89" s="4">
        <f>IFERROR(I89/H89,0)</f>
        <v>25.403848580441643</v>
      </c>
      <c r="R89" s="12">
        <f>IFERROR(J89/I89,0)</f>
        <v>2.162204986452287</v>
      </c>
      <c r="S89" s="7">
        <f>Tabla_nuevas_columnas[[#This Row],[ROAS]]</f>
        <v>2.162204986452287</v>
      </c>
      <c r="T89" t="str">
        <f>_xlfn.CONCAT(C89,"-",D89)</f>
        <v>Email-España</v>
      </c>
      <c r="U89">
        <f>YEAR(A89)</f>
        <v>2025</v>
      </c>
      <c r="V89">
        <f>MONTH(A89)</f>
        <v>10</v>
      </c>
      <c r="W89" t="str">
        <f>PROPER(TEXT(A89,"mmmm"))</f>
        <v>Octubre</v>
      </c>
      <c r="X89" t="str">
        <f>PROPER(TEXT(A89,"dddd"))</f>
        <v>Miércoles</v>
      </c>
      <c r="Y89" t="str" cm="1">
        <f t="array" ref="Y89">_xlfn.IFS(R89&gt;10,"Excelente",R89&gt;=5,"Bueno",R89&gt;=2,"Débil",R89&lt;2,"Deficiente")</f>
        <v>Débil</v>
      </c>
      <c r="Z89" t="str">
        <f>IF(AND(R89&lt;2,Q89&gt;=100),"Revisar","OK")</f>
        <v>OK</v>
      </c>
      <c r="AA89" s="55">
        <f>_xlfn.XLOOKUP(C89,'Preguntas de negocio'!$C$114:$C$119,'Preguntas de negocio'!$D$114:$D$119,0)</f>
        <v>5.5</v>
      </c>
      <c r="AB89" s="55">
        <f>VLOOKUP(C89,'Preguntas de negocio'!$C$121:$D$127,2,FALSE)</f>
        <v>0.65</v>
      </c>
    </row>
    <row r="90" spans="1:28" x14ac:dyDescent="0.3">
      <c r="A90" s="1">
        <v>45662</v>
      </c>
      <c r="B90" s="2" t="s">
        <v>2626</v>
      </c>
      <c r="C90" s="2" t="s">
        <v>2527</v>
      </c>
      <c r="D90" s="2" t="s">
        <v>2528</v>
      </c>
      <c r="E90" s="2" t="s">
        <v>2529</v>
      </c>
      <c r="F90" s="3">
        <v>97811</v>
      </c>
      <c r="G90" s="3">
        <v>501</v>
      </c>
      <c r="H90" s="3">
        <v>33</v>
      </c>
      <c r="I90" s="4">
        <v>968.45</v>
      </c>
      <c r="J90" s="4">
        <v>3617.76</v>
      </c>
      <c r="K90" s="3">
        <v>26</v>
      </c>
      <c r="L90" s="2" t="s">
        <v>2539</v>
      </c>
      <c r="M90" s="2" t="s">
        <v>2524</v>
      </c>
      <c r="N90" s="8">
        <f>IFERROR(G90/F90,0)</f>
        <v>5.1221232785678503E-3</v>
      </c>
      <c r="O90" s="8">
        <f>IFERROR(H90/G90,0)</f>
        <v>6.5868263473053898E-2</v>
      </c>
      <c r="P90" s="4">
        <f>IFERROR(I90/G90,0)</f>
        <v>1.9330339321357286</v>
      </c>
      <c r="Q90" s="4">
        <f>IFERROR(I90/H90,0)</f>
        <v>29.346969696969698</v>
      </c>
      <c r="R90" s="12">
        <f>IFERROR(J90/I90,0)</f>
        <v>3.7356187722649596</v>
      </c>
      <c r="S90" s="7">
        <f>Tabla_nuevas_columnas[[#This Row],[ROAS]]</f>
        <v>3.7356187722649596</v>
      </c>
      <c r="T90" t="str">
        <f>_xlfn.CONCAT(C90,"-",D90)</f>
        <v>Affiliate-España</v>
      </c>
      <c r="U90">
        <f>YEAR(A90)</f>
        <v>2025</v>
      </c>
      <c r="V90">
        <f>MONTH(A90)</f>
        <v>1</v>
      </c>
      <c r="W90" t="str">
        <f>PROPER(TEXT(A90,"mmmm"))</f>
        <v>Enero</v>
      </c>
      <c r="X90" t="str">
        <f>PROPER(TEXT(A90,"dddd"))</f>
        <v>Domingo</v>
      </c>
      <c r="Y90" t="str" cm="1">
        <f t="array" ref="Y90">_xlfn.IFS(R90&gt;10,"Excelente",R90&gt;=5,"Bueno",R90&gt;=2,"Débil",R90&lt;2,"Deficiente")</f>
        <v>Débil</v>
      </c>
      <c r="Z90" t="str">
        <f>IF(AND(R90&lt;2,Q90&gt;=100),"Revisar","OK")</f>
        <v>OK</v>
      </c>
      <c r="AA90" s="55">
        <f>_xlfn.XLOOKUP(C90,'Preguntas de negocio'!$C$114:$C$119,'Preguntas de negocio'!$D$114:$D$119,0)</f>
        <v>4.5</v>
      </c>
      <c r="AB90" s="55">
        <f>VLOOKUP(C90,'Preguntas de negocio'!$C$121:$D$127,2,FALSE)</f>
        <v>0.35</v>
      </c>
    </row>
    <row r="91" spans="1:28" x14ac:dyDescent="0.3">
      <c r="A91" s="1">
        <v>45745</v>
      </c>
      <c r="B91" s="2" t="s">
        <v>2642</v>
      </c>
      <c r="C91" s="2" t="s">
        <v>2527</v>
      </c>
      <c r="D91" s="2" t="s">
        <v>2528</v>
      </c>
      <c r="E91" s="2" t="s">
        <v>2517</v>
      </c>
      <c r="F91" s="3">
        <v>56013</v>
      </c>
      <c r="G91" s="3">
        <v>824</v>
      </c>
      <c r="H91" s="3">
        <v>113</v>
      </c>
      <c r="I91" s="4">
        <v>864.84</v>
      </c>
      <c r="J91" s="4">
        <v>8343.14</v>
      </c>
      <c r="K91" s="3">
        <v>65</v>
      </c>
      <c r="L91" s="2" t="s">
        <v>2523</v>
      </c>
      <c r="M91" s="2" t="s">
        <v>2546</v>
      </c>
      <c r="N91" s="8">
        <f>IFERROR(G91/F91,0)</f>
        <v>1.4710870690732509E-2</v>
      </c>
      <c r="O91" s="8">
        <f>IFERROR(H91/G91,0)</f>
        <v>0.13713592233009708</v>
      </c>
      <c r="P91" s="4">
        <f>IFERROR(I91/G91,0)</f>
        <v>1.0495631067961166</v>
      </c>
      <c r="Q91" s="4">
        <f>IFERROR(I91/H91,0)</f>
        <v>7.6534513274336282</v>
      </c>
      <c r="R91" s="12">
        <f>IFERROR(J91/I91,0)</f>
        <v>9.6470329771980943</v>
      </c>
      <c r="S91" s="7">
        <f>Tabla_nuevas_columnas[[#This Row],[ROAS]]</f>
        <v>9.6470329771980943</v>
      </c>
      <c r="T91" t="str">
        <f>_xlfn.CONCAT(C91,"-",D91)</f>
        <v>Affiliate-España</v>
      </c>
      <c r="U91">
        <f>YEAR(A91)</f>
        <v>2025</v>
      </c>
      <c r="V91">
        <f>MONTH(A91)</f>
        <v>3</v>
      </c>
      <c r="W91" t="str">
        <f>PROPER(TEXT(A91,"mmmm"))</f>
        <v>Marzo</v>
      </c>
      <c r="X91" t="str">
        <f>PROPER(TEXT(A91,"dddd"))</f>
        <v>Sábado</v>
      </c>
      <c r="Y91" t="str" cm="1">
        <f t="array" ref="Y91">_xlfn.IFS(R91&gt;10,"Excelente",R91&gt;=5,"Bueno",R91&gt;=2,"Débil",R91&lt;2,"Deficiente")</f>
        <v>Bueno</v>
      </c>
      <c r="Z91" t="str">
        <f>IF(AND(R91&lt;2,Q91&gt;=100),"Revisar","OK")</f>
        <v>OK</v>
      </c>
      <c r="AA91" s="55">
        <f>_xlfn.XLOOKUP(C91,'Preguntas de negocio'!$C$114:$C$119,'Preguntas de negocio'!$D$114:$D$119,0)</f>
        <v>4.5</v>
      </c>
      <c r="AB91" s="55">
        <f>VLOOKUP(C91,'Preguntas de negocio'!$C$121:$D$127,2,FALSE)</f>
        <v>0.35</v>
      </c>
    </row>
    <row r="92" spans="1:28" x14ac:dyDescent="0.3">
      <c r="A92" s="1">
        <v>45834</v>
      </c>
      <c r="B92" s="2" t="s">
        <v>2640</v>
      </c>
      <c r="C92" s="2" t="s">
        <v>2533</v>
      </c>
      <c r="D92" s="2" t="s">
        <v>2522</v>
      </c>
      <c r="E92" s="2" t="s">
        <v>2529</v>
      </c>
      <c r="F92" s="3">
        <v>168186</v>
      </c>
      <c r="G92" s="3">
        <v>12846</v>
      </c>
      <c r="H92" s="3">
        <v>248</v>
      </c>
      <c r="I92" s="4">
        <v>11843.19</v>
      </c>
      <c r="J92" s="4">
        <v>16511.03</v>
      </c>
      <c r="K92" s="3">
        <v>193</v>
      </c>
      <c r="L92" s="2" t="s">
        <v>2539</v>
      </c>
      <c r="M92" s="2" t="s">
        <v>2526</v>
      </c>
      <c r="N92" s="8">
        <f>IFERROR(G92/F92,0)</f>
        <v>7.6379722450144488E-2</v>
      </c>
      <c r="O92" s="8">
        <f>IFERROR(H92/G92,0)</f>
        <v>1.9305620426591934E-2</v>
      </c>
      <c r="P92" s="4">
        <f>IFERROR(I92/G92,0)</f>
        <v>0.92193601120971513</v>
      </c>
      <c r="Q92" s="4">
        <f>IFERROR(I92/H92,0)</f>
        <v>47.754798387096777</v>
      </c>
      <c r="R92" s="12">
        <f>IFERROR(J92/I92,0)</f>
        <v>1.3941370526015371</v>
      </c>
      <c r="S92" s="7">
        <f>Tabla_nuevas_columnas[[#This Row],[ROAS]]</f>
        <v>1.3941370526015371</v>
      </c>
      <c r="T92" t="str">
        <f>_xlfn.CONCAT(C92,"-",D92)</f>
        <v>Paid Social-Italia</v>
      </c>
      <c r="U92">
        <f>YEAR(A92)</f>
        <v>2025</v>
      </c>
      <c r="V92">
        <f>MONTH(A92)</f>
        <v>6</v>
      </c>
      <c r="W92" t="str">
        <f>PROPER(TEXT(A92,"mmmm"))</f>
        <v>Junio</v>
      </c>
      <c r="X92" t="str">
        <f>PROPER(TEXT(A92,"dddd"))</f>
        <v>Jueves</v>
      </c>
      <c r="Y92" t="str" cm="1">
        <f t="array" ref="Y92">_xlfn.IFS(R92&gt;10,"Excelente",R92&gt;=5,"Bueno",R92&gt;=2,"Débil",R92&lt;2,"Deficiente")</f>
        <v>Deficiente</v>
      </c>
      <c r="Z92" t="str">
        <f>IF(AND(R92&lt;2,Q92&gt;=100),"Revisar","OK")</f>
        <v>OK</v>
      </c>
      <c r="AA92" s="55">
        <f>_xlfn.XLOOKUP(C92,'Preguntas de negocio'!$C$114:$C$119,'Preguntas de negocio'!$D$114:$D$119,0)</f>
        <v>6</v>
      </c>
      <c r="AB92" s="55">
        <f>VLOOKUP(C92,'Preguntas de negocio'!$C$121:$D$127,2,FALSE)</f>
        <v>0.8</v>
      </c>
    </row>
    <row r="93" spans="1:28" x14ac:dyDescent="0.3">
      <c r="A93" s="1">
        <v>45770</v>
      </c>
      <c r="B93" s="2" t="s">
        <v>2627</v>
      </c>
      <c r="C93" s="2" t="s">
        <v>2527</v>
      </c>
      <c r="D93" s="2" t="s">
        <v>2531</v>
      </c>
      <c r="E93" s="2" t="s">
        <v>2529</v>
      </c>
      <c r="F93" s="3">
        <v>156107</v>
      </c>
      <c r="G93" s="3">
        <v>10929</v>
      </c>
      <c r="H93" s="3">
        <v>151</v>
      </c>
      <c r="I93" s="4">
        <v>14137.01</v>
      </c>
      <c r="J93" s="4">
        <v>25165.32</v>
      </c>
      <c r="K93" s="3">
        <v>106</v>
      </c>
      <c r="L93" s="2" t="s">
        <v>2523</v>
      </c>
      <c r="M93" s="2" t="s">
        <v>2519</v>
      </c>
      <c r="N93" s="8">
        <f>IFERROR(G93/F93,0)</f>
        <v>7.0009672852594698E-2</v>
      </c>
      <c r="O93" s="8">
        <f>IFERROR(H93/G93,0)</f>
        <v>1.3816451642419252E-2</v>
      </c>
      <c r="P93" s="4">
        <f>IFERROR(I93/G93,0)</f>
        <v>1.2935318876383932</v>
      </c>
      <c r="Q93" s="4">
        <f>IFERROR(I93/H93,0)</f>
        <v>93.622582781456956</v>
      </c>
      <c r="R93" s="12">
        <f>IFERROR(J93/I93,0)</f>
        <v>1.7801020159142562</v>
      </c>
      <c r="S93" s="7">
        <f>Tabla_nuevas_columnas[[#This Row],[ROAS]]</f>
        <v>1.7801020159142562</v>
      </c>
      <c r="T93" t="str">
        <f>_xlfn.CONCAT(C93,"-",D93)</f>
        <v>Affiliate-Portugal</v>
      </c>
      <c r="U93">
        <f>YEAR(A93)</f>
        <v>2025</v>
      </c>
      <c r="V93">
        <f>MONTH(A93)</f>
        <v>4</v>
      </c>
      <c r="W93" t="str">
        <f>PROPER(TEXT(A93,"mmmm"))</f>
        <v>Abril</v>
      </c>
      <c r="X93" t="str">
        <f>PROPER(TEXT(A93,"dddd"))</f>
        <v>Miércoles</v>
      </c>
      <c r="Y93" t="str" cm="1">
        <f t="array" ref="Y93">_xlfn.IFS(R93&gt;10,"Excelente",R93&gt;=5,"Bueno",R93&gt;=2,"Débil",R93&lt;2,"Deficiente")</f>
        <v>Deficiente</v>
      </c>
      <c r="Z93" t="str">
        <f>IF(AND(R93&lt;2,Q93&gt;=100),"Revisar","OK")</f>
        <v>OK</v>
      </c>
      <c r="AA93" s="55">
        <f>_xlfn.XLOOKUP(C93,'Preguntas de negocio'!$C$114:$C$119,'Preguntas de negocio'!$D$114:$D$119,0)</f>
        <v>4.5</v>
      </c>
      <c r="AB93" s="55">
        <f>VLOOKUP(C93,'Preguntas de negocio'!$C$121:$D$127,2,FALSE)</f>
        <v>0.35</v>
      </c>
    </row>
    <row r="94" spans="1:28" x14ac:dyDescent="0.3">
      <c r="A94" s="1">
        <v>45963</v>
      </c>
      <c r="B94" s="2" t="s">
        <v>2617</v>
      </c>
      <c r="C94" s="2" t="s">
        <v>2533</v>
      </c>
      <c r="D94" s="2" t="s">
        <v>2525</v>
      </c>
      <c r="E94" s="2" t="s">
        <v>2529</v>
      </c>
      <c r="F94" s="3">
        <v>107920</v>
      </c>
      <c r="G94" s="3">
        <v>2646</v>
      </c>
      <c r="H94" s="3">
        <v>80</v>
      </c>
      <c r="I94" s="4">
        <v>313.33999999999997</v>
      </c>
      <c r="J94" s="4">
        <v>16240.95</v>
      </c>
      <c r="K94" s="3">
        <v>70</v>
      </c>
      <c r="L94" s="2" t="s">
        <v>2536</v>
      </c>
      <c r="M94" s="2" t="s">
        <v>2526</v>
      </c>
      <c r="N94" s="8">
        <f>IFERROR(G94/F94,0)</f>
        <v>2.4518161601186063E-2</v>
      </c>
      <c r="O94" s="8">
        <f>IFERROR(H94/G94,0)</f>
        <v>3.0234315948601664E-2</v>
      </c>
      <c r="P94" s="4">
        <f>IFERROR(I94/G94,0)</f>
        <v>0.11842025699168555</v>
      </c>
      <c r="Q94" s="4">
        <f>IFERROR(I94/H94,0)</f>
        <v>3.9167499999999995</v>
      </c>
      <c r="R94" s="12">
        <f>IFERROR(J94/I94,0)</f>
        <v>51.831716346460723</v>
      </c>
      <c r="S94" s="7">
        <f>Tabla_nuevas_columnas[[#This Row],[ROAS]]</f>
        <v>51.831716346460723</v>
      </c>
      <c r="T94" t="str">
        <f>_xlfn.CONCAT(C94,"-",D94)</f>
        <v>Paid Social-Francia</v>
      </c>
      <c r="U94">
        <f>YEAR(A94)</f>
        <v>2025</v>
      </c>
      <c r="V94">
        <f>MONTH(A94)</f>
        <v>11</v>
      </c>
      <c r="W94" t="str">
        <f>PROPER(TEXT(A94,"mmmm"))</f>
        <v>Noviembre</v>
      </c>
      <c r="X94" t="str">
        <f>PROPER(TEXT(A94,"dddd"))</f>
        <v>Domingo</v>
      </c>
      <c r="Y94" t="str" cm="1">
        <f t="array" ref="Y94">_xlfn.IFS(R94&gt;10,"Excelente",R94&gt;=5,"Bueno",R94&gt;=2,"Débil",R94&lt;2,"Deficiente")</f>
        <v>Excelente</v>
      </c>
      <c r="Z94" t="str">
        <f>IF(AND(R94&lt;2,Q94&gt;=100),"Revisar","OK")</f>
        <v>OK</v>
      </c>
      <c r="AA94" s="55">
        <f>_xlfn.XLOOKUP(C94,'Preguntas de negocio'!$C$114:$C$119,'Preguntas de negocio'!$D$114:$D$119,0)</f>
        <v>6</v>
      </c>
      <c r="AB94" s="55">
        <f>VLOOKUP(C94,'Preguntas de negocio'!$C$121:$D$127,2,FALSE)</f>
        <v>0.8</v>
      </c>
    </row>
    <row r="95" spans="1:28" x14ac:dyDescent="0.3">
      <c r="A95" s="1">
        <v>45830</v>
      </c>
      <c r="B95" s="2" t="s">
        <v>2630</v>
      </c>
      <c r="C95" s="2" t="s">
        <v>2521</v>
      </c>
      <c r="D95" s="2" t="s">
        <v>2528</v>
      </c>
      <c r="E95" s="2" t="s">
        <v>2534</v>
      </c>
      <c r="F95" s="3">
        <v>149923</v>
      </c>
      <c r="G95" s="3">
        <v>13315</v>
      </c>
      <c r="H95" s="3">
        <v>1463</v>
      </c>
      <c r="I95" s="4">
        <v>10768.8</v>
      </c>
      <c r="J95" s="4">
        <v>89544.3</v>
      </c>
      <c r="K95" s="3">
        <v>1298</v>
      </c>
      <c r="L95" s="2" t="s">
        <v>2539</v>
      </c>
      <c r="M95" s="2" t="s">
        <v>2524</v>
      </c>
      <c r="N95" s="8">
        <f>IFERROR(G95/F95,0)</f>
        <v>8.8812256958572061E-2</v>
      </c>
      <c r="O95" s="8">
        <f>IFERROR(H95/G95,0)</f>
        <v>0.10987607960946301</v>
      </c>
      <c r="P95" s="4">
        <f>IFERROR(I95/G95,0)</f>
        <v>0.80877206158467885</v>
      </c>
      <c r="Q95" s="4">
        <f>IFERROR(I95/H95,0)</f>
        <v>7.3607655502392335</v>
      </c>
      <c r="R95" s="12">
        <f>IFERROR(J95/I95,0)</f>
        <v>8.3151604635613996</v>
      </c>
      <c r="S95" s="7">
        <f>Tabla_nuevas_columnas[[#This Row],[ROAS]]</f>
        <v>8.3151604635613996</v>
      </c>
      <c r="T95" t="str">
        <f>_xlfn.CONCAT(C95,"-",D95)</f>
        <v>Paid Search-España</v>
      </c>
      <c r="U95">
        <f>YEAR(A95)</f>
        <v>2025</v>
      </c>
      <c r="V95">
        <f>MONTH(A95)</f>
        <v>6</v>
      </c>
      <c r="W95" t="str">
        <f>PROPER(TEXT(A95,"mmmm"))</f>
        <v>Junio</v>
      </c>
      <c r="X95" t="str">
        <f>PROPER(TEXT(A95,"dddd"))</f>
        <v>Domingo</v>
      </c>
      <c r="Y95" t="str" cm="1">
        <f t="array" ref="Y95">_xlfn.IFS(R95&gt;10,"Excelente",R95&gt;=5,"Bueno",R95&gt;=2,"Débil",R95&lt;2,"Deficiente")</f>
        <v>Bueno</v>
      </c>
      <c r="Z95" t="str">
        <f>IF(AND(R95&lt;2,Q95&gt;=100),"Revisar","OK")</f>
        <v>OK</v>
      </c>
      <c r="AA95" s="55">
        <f>_xlfn.XLOOKUP(C95,'Preguntas de negocio'!$C$114:$C$119,'Preguntas de negocio'!$D$114:$D$119,0)</f>
        <v>5</v>
      </c>
      <c r="AB95" s="55">
        <f>VLOOKUP(C95,'Preguntas de negocio'!$C$121:$D$127,2,FALSE)</f>
        <v>1.1000000000000001</v>
      </c>
    </row>
    <row r="96" spans="1:28" x14ac:dyDescent="0.3">
      <c r="A96" s="1">
        <v>45888</v>
      </c>
      <c r="B96" s="2" t="s">
        <v>2618</v>
      </c>
      <c r="C96" s="2" t="s">
        <v>2521</v>
      </c>
      <c r="D96" s="2" t="s">
        <v>2531</v>
      </c>
      <c r="E96" s="2" t="s">
        <v>2517</v>
      </c>
      <c r="F96" s="3">
        <v>153656</v>
      </c>
      <c r="G96" s="3">
        <v>6271</v>
      </c>
      <c r="H96" s="3">
        <v>500</v>
      </c>
      <c r="I96" s="4">
        <v>12777.65</v>
      </c>
      <c r="J96" s="4">
        <v>13674.92</v>
      </c>
      <c r="K96" s="3">
        <v>260</v>
      </c>
      <c r="L96" s="2" t="s">
        <v>2536</v>
      </c>
      <c r="M96" s="2" t="s">
        <v>2526</v>
      </c>
      <c r="N96" s="8">
        <f>IFERROR(G96/F96,0)</f>
        <v>4.0811943562242929E-2</v>
      </c>
      <c r="O96" s="8">
        <f>IFERROR(H96/G96,0)</f>
        <v>7.9732100143517781E-2</v>
      </c>
      <c r="P96" s="4">
        <f>IFERROR(I96/G96,0)</f>
        <v>2.0375777387976397</v>
      </c>
      <c r="Q96" s="4">
        <f>IFERROR(I96/H96,0)</f>
        <v>25.555299999999999</v>
      </c>
      <c r="R96" s="12">
        <f>IFERROR(J96/I96,0)</f>
        <v>1.0702218326531092</v>
      </c>
      <c r="S96" s="7">
        <f>Tabla_nuevas_columnas[[#This Row],[ROAS]]</f>
        <v>1.0702218326531092</v>
      </c>
      <c r="T96" t="str">
        <f>_xlfn.CONCAT(C96,"-",D96)</f>
        <v>Paid Search-Portugal</v>
      </c>
      <c r="U96">
        <f>YEAR(A96)</f>
        <v>2025</v>
      </c>
      <c r="V96">
        <f>MONTH(A96)</f>
        <v>8</v>
      </c>
      <c r="W96" t="str">
        <f>PROPER(TEXT(A96,"mmmm"))</f>
        <v>Agosto</v>
      </c>
      <c r="X96" t="str">
        <f>PROPER(TEXT(A96,"dddd"))</f>
        <v>Martes</v>
      </c>
      <c r="Y96" t="str" cm="1">
        <f t="array" ref="Y96">_xlfn.IFS(R96&gt;10,"Excelente",R96&gt;=5,"Bueno",R96&gt;=2,"Débil",R96&lt;2,"Deficiente")</f>
        <v>Deficiente</v>
      </c>
      <c r="Z96" t="str">
        <f>IF(AND(R96&lt;2,Q96&gt;=100),"Revisar","OK")</f>
        <v>OK</v>
      </c>
      <c r="AA96" s="55">
        <f>_xlfn.XLOOKUP(C96,'Preguntas de negocio'!$C$114:$C$119,'Preguntas de negocio'!$D$114:$D$119,0)</f>
        <v>5</v>
      </c>
      <c r="AB96" s="55">
        <f>VLOOKUP(C96,'Preguntas de negocio'!$C$121:$D$127,2,FALSE)</f>
        <v>1.1000000000000001</v>
      </c>
    </row>
    <row r="97" spans="1:28" x14ac:dyDescent="0.3">
      <c r="A97" s="1">
        <v>45826</v>
      </c>
      <c r="B97" s="2" t="s">
        <v>2626</v>
      </c>
      <c r="C97" s="2" t="s">
        <v>2527</v>
      </c>
      <c r="D97" s="2" t="s">
        <v>2528</v>
      </c>
      <c r="E97" s="2" t="s">
        <v>2517</v>
      </c>
      <c r="F97" s="3">
        <v>50750</v>
      </c>
      <c r="G97" s="3">
        <v>742</v>
      </c>
      <c r="H97" s="3">
        <v>33</v>
      </c>
      <c r="I97" s="4">
        <v>121.99</v>
      </c>
      <c r="J97" s="4">
        <v>1482.78</v>
      </c>
      <c r="K97" s="3">
        <v>22</v>
      </c>
      <c r="L97" s="2" t="s">
        <v>2539</v>
      </c>
      <c r="M97" s="2" t="s">
        <v>2546</v>
      </c>
      <c r="N97" s="8">
        <f>IFERROR(G97/F97,0)</f>
        <v>1.4620689655172414E-2</v>
      </c>
      <c r="O97" s="8">
        <f>IFERROR(H97/G97,0)</f>
        <v>4.4474393530997303E-2</v>
      </c>
      <c r="P97" s="4">
        <f>IFERROR(I97/G97,0)</f>
        <v>0.16440700808625336</v>
      </c>
      <c r="Q97" s="4">
        <f>IFERROR(I97/H97,0)</f>
        <v>3.6966666666666663</v>
      </c>
      <c r="R97" s="12">
        <f>IFERROR(J97/I97,0)</f>
        <v>12.154930732027216</v>
      </c>
      <c r="S97" s="7">
        <f>Tabla_nuevas_columnas[[#This Row],[ROAS]]</f>
        <v>12.154930732027216</v>
      </c>
      <c r="T97" t="str">
        <f>_xlfn.CONCAT(C97,"-",D97)</f>
        <v>Affiliate-España</v>
      </c>
      <c r="U97">
        <f>YEAR(A97)</f>
        <v>2025</v>
      </c>
      <c r="V97">
        <f>MONTH(A97)</f>
        <v>6</v>
      </c>
      <c r="W97" t="str">
        <f>PROPER(TEXT(A97,"mmmm"))</f>
        <v>Junio</v>
      </c>
      <c r="X97" t="str">
        <f>PROPER(TEXT(A97,"dddd"))</f>
        <v>Miércoles</v>
      </c>
      <c r="Y97" t="str" cm="1">
        <f t="array" ref="Y97">_xlfn.IFS(R97&gt;10,"Excelente",R97&gt;=5,"Bueno",R97&gt;=2,"Débil",R97&lt;2,"Deficiente")</f>
        <v>Excelente</v>
      </c>
      <c r="Z97" t="str">
        <f>IF(AND(R97&lt;2,Q97&gt;=100),"Revisar","OK")</f>
        <v>OK</v>
      </c>
      <c r="AA97" s="55">
        <f>_xlfn.XLOOKUP(C97,'Preguntas de negocio'!$C$114:$C$119,'Preguntas de negocio'!$D$114:$D$119,0)</f>
        <v>4.5</v>
      </c>
      <c r="AB97" s="55">
        <f>VLOOKUP(C97,'Preguntas de negocio'!$C$121:$D$127,2,FALSE)</f>
        <v>0.35</v>
      </c>
    </row>
    <row r="98" spans="1:28" x14ac:dyDescent="0.3">
      <c r="A98" s="1">
        <v>45854</v>
      </c>
      <c r="B98" s="2" t="s">
        <v>2618</v>
      </c>
      <c r="C98" s="2" t="s">
        <v>2521</v>
      </c>
      <c r="D98" s="2" t="s">
        <v>2531</v>
      </c>
      <c r="E98" s="2" t="s">
        <v>2529</v>
      </c>
      <c r="F98" s="3">
        <v>14125</v>
      </c>
      <c r="G98" s="3">
        <v>603</v>
      </c>
      <c r="H98" s="3">
        <v>7</v>
      </c>
      <c r="I98" s="4">
        <v>544.15</v>
      </c>
      <c r="J98" s="4">
        <v>785.17</v>
      </c>
      <c r="K98" s="3">
        <v>5</v>
      </c>
      <c r="L98" s="2" t="s">
        <v>2518</v>
      </c>
      <c r="M98" s="2" t="s">
        <v>2526</v>
      </c>
      <c r="N98" s="8">
        <f>IFERROR(G98/F98,0)</f>
        <v>4.2690265486725665E-2</v>
      </c>
      <c r="O98" s="8">
        <f>IFERROR(H98/G98,0)</f>
        <v>1.1608623548922056E-2</v>
      </c>
      <c r="P98" s="4">
        <f>IFERROR(I98/G98,0)</f>
        <v>0.90240464344941951</v>
      </c>
      <c r="Q98" s="4">
        <f>IFERROR(I98/H98,0)</f>
        <v>77.73571428571428</v>
      </c>
      <c r="R98" s="12">
        <f>IFERROR(J98/I98,0)</f>
        <v>1.4429293393365801</v>
      </c>
      <c r="S98" s="7">
        <f>Tabla_nuevas_columnas[[#This Row],[ROAS]]</f>
        <v>1.4429293393365801</v>
      </c>
      <c r="T98" t="str">
        <f>_xlfn.CONCAT(C98,"-",D98)</f>
        <v>Paid Search-Portugal</v>
      </c>
      <c r="U98">
        <f>YEAR(A98)</f>
        <v>2025</v>
      </c>
      <c r="V98">
        <f>MONTH(A98)</f>
        <v>7</v>
      </c>
      <c r="W98" t="str">
        <f>PROPER(TEXT(A98,"mmmm"))</f>
        <v>Julio</v>
      </c>
      <c r="X98" t="str">
        <f>PROPER(TEXT(A98,"dddd"))</f>
        <v>Miércoles</v>
      </c>
      <c r="Y98" t="str" cm="1">
        <f t="array" ref="Y98">_xlfn.IFS(R98&gt;10,"Excelente",R98&gt;=5,"Bueno",R98&gt;=2,"Débil",R98&lt;2,"Deficiente")</f>
        <v>Deficiente</v>
      </c>
      <c r="Z98" t="str">
        <f>IF(AND(R98&lt;2,Q98&gt;=100),"Revisar","OK")</f>
        <v>OK</v>
      </c>
      <c r="AA98" s="55">
        <f>_xlfn.XLOOKUP(C98,'Preguntas de negocio'!$C$114:$C$119,'Preguntas de negocio'!$D$114:$D$119,0)</f>
        <v>5</v>
      </c>
      <c r="AB98" s="55">
        <f>VLOOKUP(C98,'Preguntas de negocio'!$C$121:$D$127,2,FALSE)</f>
        <v>1.1000000000000001</v>
      </c>
    </row>
    <row r="99" spans="1:28" x14ac:dyDescent="0.3">
      <c r="A99" s="1">
        <v>45930</v>
      </c>
      <c r="B99" s="2" t="s">
        <v>2625</v>
      </c>
      <c r="C99" s="2" t="s">
        <v>2533</v>
      </c>
      <c r="D99" s="2" t="s">
        <v>2528</v>
      </c>
      <c r="E99" s="2" t="s">
        <v>2517</v>
      </c>
      <c r="F99" s="3">
        <v>4605</v>
      </c>
      <c r="G99" s="3">
        <v>133</v>
      </c>
      <c r="H99" s="3">
        <v>16</v>
      </c>
      <c r="I99" s="4">
        <v>71.819999999999993</v>
      </c>
      <c r="J99" s="4">
        <v>2255.3200000000002</v>
      </c>
      <c r="K99" s="3">
        <v>10</v>
      </c>
      <c r="L99" s="2" t="s">
        <v>2539</v>
      </c>
      <c r="M99" s="2" t="s">
        <v>2524</v>
      </c>
      <c r="N99" s="8">
        <f>IFERROR(G99/F99,0)</f>
        <v>2.8881650380021717E-2</v>
      </c>
      <c r="O99" s="8">
        <f>IFERROR(H99/G99,0)</f>
        <v>0.12030075187969924</v>
      </c>
      <c r="P99" s="4">
        <f>IFERROR(I99/G99,0)</f>
        <v>0.53999999999999992</v>
      </c>
      <c r="Q99" s="4">
        <f>IFERROR(I99/H99,0)</f>
        <v>4.4887499999999996</v>
      </c>
      <c r="R99" s="12">
        <f>IFERROR(J99/I99,0)</f>
        <v>31.402394876079093</v>
      </c>
      <c r="S99" s="7">
        <f>Tabla_nuevas_columnas[[#This Row],[ROAS]]</f>
        <v>31.402394876079093</v>
      </c>
      <c r="T99" t="str">
        <f>_xlfn.CONCAT(C99,"-",D99)</f>
        <v>Paid Social-España</v>
      </c>
      <c r="U99">
        <f>YEAR(A99)</f>
        <v>2025</v>
      </c>
      <c r="V99">
        <f>MONTH(A99)</f>
        <v>9</v>
      </c>
      <c r="W99" t="str">
        <f>PROPER(TEXT(A99,"mmmm"))</f>
        <v>Septiembre</v>
      </c>
      <c r="X99" t="str">
        <f>PROPER(TEXT(A99,"dddd"))</f>
        <v>Martes</v>
      </c>
      <c r="Y99" t="str" cm="1">
        <f t="array" ref="Y99">_xlfn.IFS(R99&gt;10,"Excelente",R99&gt;=5,"Bueno",R99&gt;=2,"Débil",R99&lt;2,"Deficiente")</f>
        <v>Excelente</v>
      </c>
      <c r="Z99" t="str">
        <f>IF(AND(R99&lt;2,Q99&gt;=100),"Revisar","OK")</f>
        <v>OK</v>
      </c>
      <c r="AA99" s="55">
        <f>_xlfn.XLOOKUP(C99,'Preguntas de negocio'!$C$114:$C$119,'Preguntas de negocio'!$D$114:$D$119,0)</f>
        <v>6</v>
      </c>
      <c r="AB99" s="55">
        <f>VLOOKUP(C99,'Preguntas de negocio'!$C$121:$D$127,2,FALSE)</f>
        <v>0.8</v>
      </c>
    </row>
    <row r="100" spans="1:28" x14ac:dyDescent="0.3">
      <c r="A100" s="1">
        <v>45922</v>
      </c>
      <c r="B100" s="2" t="s">
        <v>2641</v>
      </c>
      <c r="C100" s="2" t="s">
        <v>2527</v>
      </c>
      <c r="D100" s="2" t="s">
        <v>2528</v>
      </c>
      <c r="E100" s="2" t="s">
        <v>2529</v>
      </c>
      <c r="F100" s="3">
        <v>110457</v>
      </c>
      <c r="G100" s="3">
        <v>2756</v>
      </c>
      <c r="H100" s="3">
        <v>71</v>
      </c>
      <c r="I100" s="4">
        <v>3572.7</v>
      </c>
      <c r="J100" s="4">
        <v>10415.200000000001</v>
      </c>
      <c r="K100" s="3">
        <v>38</v>
      </c>
      <c r="L100" s="2" t="s">
        <v>2536</v>
      </c>
      <c r="M100" s="2" t="s">
        <v>2537</v>
      </c>
      <c r="N100" s="8">
        <f>IFERROR(G100/F100,0)</f>
        <v>2.4950885865087771E-2</v>
      </c>
      <c r="O100" s="8">
        <f>IFERROR(H100/G100,0)</f>
        <v>2.5761973875181421E-2</v>
      </c>
      <c r="P100" s="4">
        <f>IFERROR(I100/G100,0)</f>
        <v>1.2963352685050797</v>
      </c>
      <c r="Q100" s="4">
        <f>IFERROR(I100/H100,0)</f>
        <v>50.319718309859155</v>
      </c>
      <c r="R100" s="12">
        <f>IFERROR(J100/I100,0)</f>
        <v>2.915218182327092</v>
      </c>
      <c r="S100" s="7">
        <f>Tabla_nuevas_columnas[[#This Row],[ROAS]]</f>
        <v>2.915218182327092</v>
      </c>
      <c r="T100" t="str">
        <f>_xlfn.CONCAT(C100,"-",D100)</f>
        <v>Affiliate-España</v>
      </c>
      <c r="U100">
        <f>YEAR(A100)</f>
        <v>2025</v>
      </c>
      <c r="V100">
        <f>MONTH(A100)</f>
        <v>9</v>
      </c>
      <c r="W100" t="str">
        <f>PROPER(TEXT(A100,"mmmm"))</f>
        <v>Septiembre</v>
      </c>
      <c r="X100" t="str">
        <f>PROPER(TEXT(A100,"dddd"))</f>
        <v>Lunes</v>
      </c>
      <c r="Y100" t="str" cm="1">
        <f t="array" ref="Y100">_xlfn.IFS(R100&gt;10,"Excelente",R100&gt;=5,"Bueno",R100&gt;=2,"Débil",R100&lt;2,"Deficiente")</f>
        <v>Débil</v>
      </c>
      <c r="Z100" t="str">
        <f>IF(AND(R100&lt;2,Q100&gt;=100),"Revisar","OK")</f>
        <v>OK</v>
      </c>
      <c r="AA100" s="55">
        <f>_xlfn.XLOOKUP(C100,'Preguntas de negocio'!$C$114:$C$119,'Preguntas de negocio'!$D$114:$D$119,0)</f>
        <v>4.5</v>
      </c>
      <c r="AB100" s="55">
        <f>VLOOKUP(C100,'Preguntas de negocio'!$C$121:$D$127,2,FALSE)</f>
        <v>0.35</v>
      </c>
    </row>
    <row r="101" spans="1:28" x14ac:dyDescent="0.3">
      <c r="A101" s="1">
        <v>46012</v>
      </c>
      <c r="B101" s="2" t="s">
        <v>2616</v>
      </c>
      <c r="C101" s="2" t="s">
        <v>2515</v>
      </c>
      <c r="D101" s="2" t="s">
        <v>2522</v>
      </c>
      <c r="E101" s="2" t="s">
        <v>2517</v>
      </c>
      <c r="F101" s="3">
        <v>9726</v>
      </c>
      <c r="G101" s="3">
        <v>296</v>
      </c>
      <c r="H101" s="3">
        <v>26</v>
      </c>
      <c r="I101" s="4">
        <v>102.51</v>
      </c>
      <c r="J101" s="4">
        <v>2620.52</v>
      </c>
      <c r="K101" s="3">
        <v>22</v>
      </c>
      <c r="L101" s="2" t="s">
        <v>2536</v>
      </c>
      <c r="M101" s="2" t="s">
        <v>2526</v>
      </c>
      <c r="N101" s="8">
        <f>IFERROR(G101/F101,0)</f>
        <v>3.0433888546164918E-2</v>
      </c>
      <c r="O101" s="8">
        <f>IFERROR(H101/G101,0)</f>
        <v>8.7837837837837843E-2</v>
      </c>
      <c r="P101" s="4">
        <f>IFERROR(I101/G101,0)</f>
        <v>0.3463175675675676</v>
      </c>
      <c r="Q101" s="4">
        <f>IFERROR(I101/H101,0)</f>
        <v>3.9426923076923077</v>
      </c>
      <c r="R101" s="12">
        <f>IFERROR(J101/I101,0)</f>
        <v>25.563554775143889</v>
      </c>
      <c r="S101" s="7">
        <f>Tabla_nuevas_columnas[[#This Row],[ROAS]]</f>
        <v>25.563554775143889</v>
      </c>
      <c r="T101" t="str">
        <f>_xlfn.CONCAT(C101,"-",D101)</f>
        <v>Email-Italia</v>
      </c>
      <c r="U101">
        <f>YEAR(A101)</f>
        <v>2025</v>
      </c>
      <c r="V101">
        <f>MONTH(A101)</f>
        <v>12</v>
      </c>
      <c r="W101" t="str">
        <f>PROPER(TEXT(A101,"mmmm"))</f>
        <v>Diciembre</v>
      </c>
      <c r="X101" t="str">
        <f>PROPER(TEXT(A101,"dddd"))</f>
        <v>Domingo</v>
      </c>
      <c r="Y101" t="str" cm="1">
        <f t="array" ref="Y101">_xlfn.IFS(R101&gt;10,"Excelente",R101&gt;=5,"Bueno",R101&gt;=2,"Débil",R101&lt;2,"Deficiente")</f>
        <v>Excelente</v>
      </c>
      <c r="Z101" t="str">
        <f>IF(AND(R101&lt;2,Q101&gt;=100),"Revisar","OK")</f>
        <v>OK</v>
      </c>
      <c r="AA101" s="55">
        <f>_xlfn.XLOOKUP(C101,'Preguntas de negocio'!$C$114:$C$119,'Preguntas de negocio'!$D$114:$D$119,0)</f>
        <v>5.5</v>
      </c>
      <c r="AB101" s="55">
        <f>VLOOKUP(C101,'Preguntas de negocio'!$C$121:$D$127,2,FALSE)</f>
        <v>0.65</v>
      </c>
    </row>
    <row r="102" spans="1:28" x14ac:dyDescent="0.3">
      <c r="A102" s="1">
        <v>45672</v>
      </c>
      <c r="B102" s="2" t="s">
        <v>2634</v>
      </c>
      <c r="C102" s="2" t="s">
        <v>2541</v>
      </c>
      <c r="D102" s="2" t="s">
        <v>2528</v>
      </c>
      <c r="E102" s="2" t="s">
        <v>2517</v>
      </c>
      <c r="F102" s="3">
        <v>164689</v>
      </c>
      <c r="G102" s="3">
        <v>8202</v>
      </c>
      <c r="H102" s="3">
        <v>215</v>
      </c>
      <c r="I102" s="4">
        <v>17165.28</v>
      </c>
      <c r="J102" s="4">
        <v>9987.1</v>
      </c>
      <c r="K102" s="3">
        <v>156</v>
      </c>
      <c r="L102" s="2" t="s">
        <v>2539</v>
      </c>
      <c r="M102" s="2" t="s">
        <v>2524</v>
      </c>
      <c r="N102" s="8">
        <f>IFERROR(G102/F102,0)</f>
        <v>4.9802961946456656E-2</v>
      </c>
      <c r="O102" s="8">
        <f>IFERROR(H102/G102,0)</f>
        <v>2.6213118751524017E-2</v>
      </c>
      <c r="P102" s="4">
        <f>IFERROR(I102/G102,0)</f>
        <v>2.0928163862472564</v>
      </c>
      <c r="Q102" s="4">
        <f>IFERROR(I102/H102,0)</f>
        <v>79.838511627906968</v>
      </c>
      <c r="R102" s="12">
        <f>IFERROR(J102/I102,0)</f>
        <v>0.58181981301790597</v>
      </c>
      <c r="S102" s="7">
        <f>Tabla_nuevas_columnas[[#This Row],[ROAS]]</f>
        <v>0.58181981301790597</v>
      </c>
      <c r="T102" t="str">
        <f>_xlfn.CONCAT(C102,"-",D102)</f>
        <v>Display-España</v>
      </c>
      <c r="U102">
        <f>YEAR(A102)</f>
        <v>2025</v>
      </c>
      <c r="V102">
        <f>MONTH(A102)</f>
        <v>1</v>
      </c>
      <c r="W102" t="str">
        <f>PROPER(TEXT(A102,"mmmm"))</f>
        <v>Enero</v>
      </c>
      <c r="X102" t="str">
        <f>PROPER(TEXT(A102,"dddd"))</f>
        <v>Miércoles</v>
      </c>
      <c r="Y102" t="str" cm="1">
        <f t="array" ref="Y102">_xlfn.IFS(R102&gt;10,"Excelente",R102&gt;=5,"Bueno",R102&gt;=2,"Débil",R102&lt;2,"Deficiente")</f>
        <v>Deficiente</v>
      </c>
      <c r="Z102" t="str">
        <f>IF(AND(R102&lt;2,Q102&gt;=100),"Revisar","OK")</f>
        <v>OK</v>
      </c>
      <c r="AA102" s="55">
        <f>_xlfn.XLOOKUP(C102,'Preguntas de negocio'!$C$114:$C$119,'Preguntas de negocio'!$D$114:$D$119,0)</f>
        <v>5</v>
      </c>
      <c r="AB102" s="55">
        <f>VLOOKUP(C102,'Preguntas de negocio'!$C$121:$D$127,2,FALSE)</f>
        <v>0.5</v>
      </c>
    </row>
    <row r="103" spans="1:28" x14ac:dyDescent="0.3">
      <c r="A103" s="1">
        <v>45969</v>
      </c>
      <c r="B103" s="2" t="s">
        <v>2624</v>
      </c>
      <c r="C103" s="2" t="s">
        <v>2515</v>
      </c>
      <c r="D103" s="2" t="s">
        <v>2525</v>
      </c>
      <c r="E103" s="2" t="s">
        <v>2517</v>
      </c>
      <c r="F103" s="3">
        <v>24391</v>
      </c>
      <c r="G103" s="3">
        <v>1360</v>
      </c>
      <c r="H103" s="3">
        <v>179</v>
      </c>
      <c r="I103" s="4">
        <v>2162.02</v>
      </c>
      <c r="J103" s="4">
        <v>9403.73</v>
      </c>
      <c r="K103" s="3">
        <v>102</v>
      </c>
      <c r="L103" s="2" t="s">
        <v>2539</v>
      </c>
      <c r="M103" s="2" t="s">
        <v>2519</v>
      </c>
      <c r="N103" s="8">
        <f>IFERROR(G103/F103,0)</f>
        <v>5.57582714935837E-2</v>
      </c>
      <c r="O103" s="8">
        <f>IFERROR(H103/G103,0)</f>
        <v>0.13161764705882353</v>
      </c>
      <c r="P103" s="4">
        <f>IFERROR(I103/G103,0)</f>
        <v>1.5897205882352941</v>
      </c>
      <c r="Q103" s="4">
        <f>IFERROR(I103/H103,0)</f>
        <v>12.078324022346369</v>
      </c>
      <c r="R103" s="12">
        <f>IFERROR(J103/I103,0)</f>
        <v>4.3495111053551767</v>
      </c>
      <c r="S103" s="7">
        <f>Tabla_nuevas_columnas[[#This Row],[ROAS]]</f>
        <v>4.3495111053551767</v>
      </c>
      <c r="T103" t="str">
        <f>_xlfn.CONCAT(C103,"-",D103)</f>
        <v>Email-Francia</v>
      </c>
      <c r="U103">
        <f>YEAR(A103)</f>
        <v>2025</v>
      </c>
      <c r="V103">
        <f>MONTH(A103)</f>
        <v>11</v>
      </c>
      <c r="W103" t="str">
        <f>PROPER(TEXT(A103,"mmmm"))</f>
        <v>Noviembre</v>
      </c>
      <c r="X103" t="str">
        <f>PROPER(TEXT(A103,"dddd"))</f>
        <v>Sábado</v>
      </c>
      <c r="Y103" t="str" cm="1">
        <f t="array" ref="Y103">_xlfn.IFS(R103&gt;10,"Excelente",R103&gt;=5,"Bueno",R103&gt;=2,"Débil",R103&lt;2,"Deficiente")</f>
        <v>Débil</v>
      </c>
      <c r="Z103" t="str">
        <f>IF(AND(R103&lt;2,Q103&gt;=100),"Revisar","OK")</f>
        <v>OK</v>
      </c>
      <c r="AA103" s="55">
        <f>_xlfn.XLOOKUP(C103,'Preguntas de negocio'!$C$114:$C$119,'Preguntas de negocio'!$D$114:$D$119,0)</f>
        <v>5.5</v>
      </c>
      <c r="AB103" s="55">
        <f>VLOOKUP(C103,'Preguntas de negocio'!$C$121:$D$127,2,FALSE)</f>
        <v>0.65</v>
      </c>
    </row>
    <row r="104" spans="1:28" x14ac:dyDescent="0.3">
      <c r="A104" s="1">
        <v>46008</v>
      </c>
      <c r="B104" s="2" t="s">
        <v>2616</v>
      </c>
      <c r="C104" s="2" t="s">
        <v>2527</v>
      </c>
      <c r="D104" s="2" t="s">
        <v>2516</v>
      </c>
      <c r="E104" s="2" t="s">
        <v>2517</v>
      </c>
      <c r="F104" s="3">
        <v>150402</v>
      </c>
      <c r="G104" s="3">
        <v>7857</v>
      </c>
      <c r="H104" s="3">
        <v>646</v>
      </c>
      <c r="I104" s="4">
        <v>8959.44</v>
      </c>
      <c r="J104" s="4">
        <v>13290.32</v>
      </c>
      <c r="K104" s="3">
        <v>314</v>
      </c>
      <c r="L104" s="2" t="s">
        <v>2523</v>
      </c>
      <c r="M104" s="2" t="s">
        <v>2524</v>
      </c>
      <c r="N104" s="8">
        <f>IFERROR(G104/F104,0)</f>
        <v>5.2239996808553076E-2</v>
      </c>
      <c r="O104" s="8">
        <f>IFERROR(H104/G104,0)</f>
        <v>8.2219676721394935E-2</v>
      </c>
      <c r="P104" s="4">
        <f>IFERROR(I104/G104,0)</f>
        <v>1.1403130966017565</v>
      </c>
      <c r="Q104" s="4">
        <f>IFERROR(I104/H104,0)</f>
        <v>13.869102167182664</v>
      </c>
      <c r="R104" s="12">
        <f>IFERROR(J104/I104,0)</f>
        <v>1.4833873545668033</v>
      </c>
      <c r="S104" s="7">
        <f>Tabla_nuevas_columnas[[#This Row],[ROAS]]</f>
        <v>1.4833873545668033</v>
      </c>
      <c r="T104" t="str">
        <f>_xlfn.CONCAT(C104,"-",D104)</f>
        <v>Affiliate-México</v>
      </c>
      <c r="U104">
        <f>YEAR(A104)</f>
        <v>2025</v>
      </c>
      <c r="V104">
        <f>MONTH(A104)</f>
        <v>12</v>
      </c>
      <c r="W104" t="str">
        <f>PROPER(TEXT(A104,"mmmm"))</f>
        <v>Diciembre</v>
      </c>
      <c r="X104" t="str">
        <f>PROPER(TEXT(A104,"dddd"))</f>
        <v>Miércoles</v>
      </c>
      <c r="Y104" t="str" cm="1">
        <f t="array" ref="Y104">_xlfn.IFS(R104&gt;10,"Excelente",R104&gt;=5,"Bueno",R104&gt;=2,"Débil",R104&lt;2,"Deficiente")</f>
        <v>Deficiente</v>
      </c>
      <c r="Z104" t="str">
        <f>IF(AND(R104&lt;2,Q104&gt;=100),"Revisar","OK")</f>
        <v>OK</v>
      </c>
      <c r="AA104" s="55">
        <f>_xlfn.XLOOKUP(C104,'Preguntas de negocio'!$C$114:$C$119,'Preguntas de negocio'!$D$114:$D$119,0)</f>
        <v>4.5</v>
      </c>
      <c r="AB104" s="55">
        <f>VLOOKUP(C104,'Preguntas de negocio'!$C$121:$D$127,2,FALSE)</f>
        <v>0.35</v>
      </c>
    </row>
    <row r="105" spans="1:28" x14ac:dyDescent="0.3">
      <c r="A105" s="1">
        <v>45801</v>
      </c>
      <c r="B105" s="2" t="s">
        <v>2642</v>
      </c>
      <c r="C105" s="2" t="s">
        <v>2527</v>
      </c>
      <c r="D105" s="2" t="s">
        <v>2528</v>
      </c>
      <c r="E105" s="2" t="s">
        <v>2517</v>
      </c>
      <c r="F105" s="3">
        <v>58465</v>
      </c>
      <c r="G105" s="3">
        <v>354</v>
      </c>
      <c r="H105" s="3">
        <v>14</v>
      </c>
      <c r="I105" s="4">
        <v>204.68</v>
      </c>
      <c r="J105" s="4">
        <v>2616.19</v>
      </c>
      <c r="K105" s="3">
        <v>8</v>
      </c>
      <c r="L105" s="2" t="s">
        <v>2539</v>
      </c>
      <c r="M105" s="2" t="s">
        <v>2519</v>
      </c>
      <c r="N105" s="8">
        <f>IFERROR(G105/F105,0)</f>
        <v>6.0549046438039857E-3</v>
      </c>
      <c r="O105" s="8">
        <f>IFERROR(H105/G105,0)</f>
        <v>3.954802259887006E-2</v>
      </c>
      <c r="P105" s="4">
        <f>IFERROR(I105/G105,0)</f>
        <v>0.57819209039548025</v>
      </c>
      <c r="Q105" s="4">
        <f>IFERROR(I105/H105,0)</f>
        <v>14.620000000000001</v>
      </c>
      <c r="R105" s="12">
        <f>IFERROR(J105/I105,0)</f>
        <v>12.781854602306039</v>
      </c>
      <c r="S105" s="7">
        <f>Tabla_nuevas_columnas[[#This Row],[ROAS]]</f>
        <v>12.781854602306039</v>
      </c>
      <c r="T105" t="str">
        <f>_xlfn.CONCAT(C105,"-",D105)</f>
        <v>Affiliate-España</v>
      </c>
      <c r="U105">
        <f>YEAR(A105)</f>
        <v>2025</v>
      </c>
      <c r="V105">
        <f>MONTH(A105)</f>
        <v>5</v>
      </c>
      <c r="W105" t="str">
        <f>PROPER(TEXT(A105,"mmmm"))</f>
        <v>Mayo</v>
      </c>
      <c r="X105" t="str">
        <f>PROPER(TEXT(A105,"dddd"))</f>
        <v>Sábado</v>
      </c>
      <c r="Y105" t="str" cm="1">
        <f t="array" ref="Y105">_xlfn.IFS(R105&gt;10,"Excelente",R105&gt;=5,"Bueno",R105&gt;=2,"Débil",R105&lt;2,"Deficiente")</f>
        <v>Excelente</v>
      </c>
      <c r="Z105" t="str">
        <f>IF(AND(R105&lt;2,Q105&gt;=100),"Revisar","OK")</f>
        <v>OK</v>
      </c>
      <c r="AA105" s="55">
        <f>_xlfn.XLOOKUP(C105,'Preguntas de negocio'!$C$114:$C$119,'Preguntas de negocio'!$D$114:$D$119,0)</f>
        <v>4.5</v>
      </c>
      <c r="AB105" s="55">
        <f>VLOOKUP(C105,'Preguntas de negocio'!$C$121:$D$127,2,FALSE)</f>
        <v>0.35</v>
      </c>
    </row>
    <row r="106" spans="1:28" x14ac:dyDescent="0.3">
      <c r="A106" s="1">
        <v>45705</v>
      </c>
      <c r="B106" s="2" t="s">
        <v>2618</v>
      </c>
      <c r="C106" s="2" t="s">
        <v>2533</v>
      </c>
      <c r="D106" s="2" t="s">
        <v>2525</v>
      </c>
      <c r="E106" s="2" t="s">
        <v>2534</v>
      </c>
      <c r="F106" s="3">
        <v>71713</v>
      </c>
      <c r="G106" s="3">
        <v>1171</v>
      </c>
      <c r="H106" s="3">
        <v>163</v>
      </c>
      <c r="I106" s="4">
        <v>946.06</v>
      </c>
      <c r="J106" s="4">
        <v>24678.32</v>
      </c>
      <c r="K106" s="3">
        <v>138</v>
      </c>
      <c r="L106" s="2" t="s">
        <v>2539</v>
      </c>
      <c r="M106" s="2" t="s">
        <v>2546</v>
      </c>
      <c r="N106" s="8">
        <f>IFERROR(G106/F106,0)</f>
        <v>1.6328978009565908E-2</v>
      </c>
      <c r="O106" s="8">
        <f>IFERROR(H106/G106,0)</f>
        <v>0.13919726729291204</v>
      </c>
      <c r="P106" s="4">
        <f>IFERROR(I106/G106,0)</f>
        <v>0.80790777113578138</v>
      </c>
      <c r="Q106" s="4">
        <f>IFERROR(I106/H106,0)</f>
        <v>5.8040490797546012</v>
      </c>
      <c r="R106" s="12">
        <f>IFERROR(J106/I106,0)</f>
        <v>26.085364564615354</v>
      </c>
      <c r="S106" s="7">
        <f>Tabla_nuevas_columnas[[#This Row],[ROAS]]</f>
        <v>26.085364564615354</v>
      </c>
      <c r="T106" t="str">
        <f>_xlfn.CONCAT(C106,"-",D106)</f>
        <v>Paid Social-Francia</v>
      </c>
      <c r="U106">
        <f>YEAR(A106)</f>
        <v>2025</v>
      </c>
      <c r="V106">
        <f>MONTH(A106)</f>
        <v>2</v>
      </c>
      <c r="W106" t="str">
        <f>PROPER(TEXT(A106,"mmmm"))</f>
        <v>Febrero</v>
      </c>
      <c r="X106" t="str">
        <f>PROPER(TEXT(A106,"dddd"))</f>
        <v>Lunes</v>
      </c>
      <c r="Y106" t="str" cm="1">
        <f t="array" ref="Y106">_xlfn.IFS(R106&gt;10,"Excelente",R106&gt;=5,"Bueno",R106&gt;=2,"Débil",R106&lt;2,"Deficiente")</f>
        <v>Excelente</v>
      </c>
      <c r="Z106" t="str">
        <f>IF(AND(R106&lt;2,Q106&gt;=100),"Revisar","OK")</f>
        <v>OK</v>
      </c>
      <c r="AA106" s="55">
        <f>_xlfn.XLOOKUP(C106,'Preguntas de negocio'!$C$114:$C$119,'Preguntas de negocio'!$D$114:$D$119,0)</f>
        <v>6</v>
      </c>
      <c r="AB106" s="55">
        <f>VLOOKUP(C106,'Preguntas de negocio'!$C$121:$D$127,2,FALSE)</f>
        <v>0.8</v>
      </c>
    </row>
    <row r="107" spans="1:28" x14ac:dyDescent="0.3">
      <c r="A107" s="1">
        <v>45823</v>
      </c>
      <c r="B107" s="2" t="s">
        <v>2615</v>
      </c>
      <c r="C107" s="2" t="s">
        <v>2543</v>
      </c>
      <c r="D107" s="2" t="s">
        <v>2522</v>
      </c>
      <c r="E107" s="2" t="s">
        <v>2534</v>
      </c>
      <c r="F107" s="3">
        <v>163297</v>
      </c>
      <c r="G107" s="3">
        <v>9413</v>
      </c>
      <c r="H107" s="3">
        <v>744</v>
      </c>
      <c r="I107" s="4">
        <v>8149.36</v>
      </c>
      <c r="J107" s="4">
        <v>37371.14</v>
      </c>
      <c r="K107" s="3">
        <v>559</v>
      </c>
      <c r="L107" s="2" t="s">
        <v>2523</v>
      </c>
      <c r="M107" s="2" t="s">
        <v>2524</v>
      </c>
      <c r="N107" s="8">
        <f>IFERROR(G107/F107,0)</f>
        <v>5.7643434968186802E-2</v>
      </c>
      <c r="O107" s="8">
        <f>IFERROR(H107/G107,0)</f>
        <v>7.903962604908106E-2</v>
      </c>
      <c r="P107" s="4">
        <f>IFERROR(I107/G107,0)</f>
        <v>0.86575586954212258</v>
      </c>
      <c r="Q107" s="4">
        <f>IFERROR(I107/H107,0)</f>
        <v>10.953440860215053</v>
      </c>
      <c r="R107" s="12">
        <f>IFERROR(J107/I107,0)</f>
        <v>4.5857760609422087</v>
      </c>
      <c r="S107" s="7">
        <f>Tabla_nuevas_columnas[[#This Row],[ROAS]]</f>
        <v>4.5857760609422087</v>
      </c>
      <c r="T107" t="str">
        <f>_xlfn.CONCAT(C107,"-",D107)</f>
        <v>Organic Social-Italia</v>
      </c>
      <c r="U107">
        <f>YEAR(A107)</f>
        <v>2025</v>
      </c>
      <c r="V107">
        <f>MONTH(A107)</f>
        <v>6</v>
      </c>
      <c r="W107" t="str">
        <f>PROPER(TEXT(A107,"mmmm"))</f>
        <v>Junio</v>
      </c>
      <c r="X107" t="str">
        <f>PROPER(TEXT(A107,"dddd"))</f>
        <v>Domingo</v>
      </c>
      <c r="Y107" t="str" cm="1">
        <f t="array" ref="Y107">_xlfn.IFS(R107&gt;10,"Excelente",R107&gt;=5,"Bueno",R107&gt;=2,"Débil",R107&lt;2,"Deficiente")</f>
        <v>Débil</v>
      </c>
      <c r="Z107" t="str">
        <f>IF(AND(R107&lt;2,Q107&gt;=100),"Revisar","OK")</f>
        <v>OK</v>
      </c>
      <c r="AA107" s="55">
        <f>_xlfn.XLOOKUP(C107,'Preguntas de negocio'!$C$114:$C$119,'Preguntas de negocio'!$D$114:$D$119,0)</f>
        <v>4</v>
      </c>
      <c r="AB107" s="55">
        <f>VLOOKUP(C107,'Preguntas de negocio'!$C$121:$D$127,2,FALSE)</f>
        <v>0.95</v>
      </c>
    </row>
    <row r="108" spans="1:28" x14ac:dyDescent="0.3">
      <c r="A108" s="1">
        <v>45916</v>
      </c>
      <c r="B108" s="2" t="s">
        <v>2617</v>
      </c>
      <c r="C108" s="2" t="s">
        <v>2521</v>
      </c>
      <c r="D108" s="2" t="s">
        <v>2516</v>
      </c>
      <c r="E108" s="2" t="s">
        <v>2529</v>
      </c>
      <c r="F108" s="3">
        <v>126504</v>
      </c>
      <c r="G108" s="3">
        <v>7015</v>
      </c>
      <c r="H108" s="3">
        <v>797</v>
      </c>
      <c r="I108" s="4">
        <v>8333.2900000000009</v>
      </c>
      <c r="J108" s="4">
        <v>17445.59</v>
      </c>
      <c r="K108" s="3">
        <v>397</v>
      </c>
      <c r="L108" s="2" t="s">
        <v>2539</v>
      </c>
      <c r="M108" s="2" t="s">
        <v>2537</v>
      </c>
      <c r="N108" s="8">
        <f>IFERROR(G108/F108,0)</f>
        <v>5.5452792006576865E-2</v>
      </c>
      <c r="O108" s="8">
        <f>IFERROR(H108/G108,0)</f>
        <v>0.11361368496079829</v>
      </c>
      <c r="P108" s="4">
        <f>IFERROR(I108/G108,0)</f>
        <v>1.1879244476122595</v>
      </c>
      <c r="Q108" s="4">
        <f>IFERROR(I108/H108,0)</f>
        <v>10.455821831869512</v>
      </c>
      <c r="R108" s="12">
        <f>IFERROR(J108/I108,0)</f>
        <v>2.0934816861047674</v>
      </c>
      <c r="S108" s="7">
        <f>Tabla_nuevas_columnas[[#This Row],[ROAS]]</f>
        <v>2.0934816861047674</v>
      </c>
      <c r="T108" t="str">
        <f>_xlfn.CONCAT(C108,"-",D108)</f>
        <v>Paid Search-México</v>
      </c>
      <c r="U108">
        <f>YEAR(A108)</f>
        <v>2025</v>
      </c>
      <c r="V108">
        <f>MONTH(A108)</f>
        <v>9</v>
      </c>
      <c r="W108" t="str">
        <f>PROPER(TEXT(A108,"mmmm"))</f>
        <v>Septiembre</v>
      </c>
      <c r="X108" t="str">
        <f>PROPER(TEXT(A108,"dddd"))</f>
        <v>Martes</v>
      </c>
      <c r="Y108" t="str" cm="1">
        <f t="array" ref="Y108">_xlfn.IFS(R108&gt;10,"Excelente",R108&gt;=5,"Bueno",R108&gt;=2,"Débil",R108&lt;2,"Deficiente")</f>
        <v>Débil</v>
      </c>
      <c r="Z108" t="str">
        <f>IF(AND(R108&lt;2,Q108&gt;=100),"Revisar","OK")</f>
        <v>OK</v>
      </c>
      <c r="AA108" s="55">
        <f>_xlfn.XLOOKUP(C108,'Preguntas de negocio'!$C$114:$C$119,'Preguntas de negocio'!$D$114:$D$119,0)</f>
        <v>5</v>
      </c>
      <c r="AB108" s="55">
        <f>VLOOKUP(C108,'Preguntas de negocio'!$C$121:$D$127,2,FALSE)</f>
        <v>1.1000000000000001</v>
      </c>
    </row>
    <row r="109" spans="1:28" x14ac:dyDescent="0.3">
      <c r="A109" s="1">
        <v>45940</v>
      </c>
      <c r="B109" s="2" t="s">
        <v>2631</v>
      </c>
      <c r="C109" s="2" t="s">
        <v>2533</v>
      </c>
      <c r="D109" s="2" t="s">
        <v>2516</v>
      </c>
      <c r="E109" s="2" t="s">
        <v>2517</v>
      </c>
      <c r="F109" s="3">
        <v>31074</v>
      </c>
      <c r="G109" s="3">
        <v>2691</v>
      </c>
      <c r="H109" s="3">
        <v>22</v>
      </c>
      <c r="I109" s="4">
        <v>598.20000000000005</v>
      </c>
      <c r="J109" s="4">
        <v>2082.5</v>
      </c>
      <c r="K109" s="3">
        <v>11</v>
      </c>
      <c r="L109" s="2" t="s">
        <v>2523</v>
      </c>
      <c r="M109" s="2" t="s">
        <v>2546</v>
      </c>
      <c r="N109" s="8">
        <f>IFERROR(G109/F109,0)</f>
        <v>8.6599729677543924E-2</v>
      </c>
      <c r="O109" s="8">
        <f>IFERROR(H109/G109,0)</f>
        <v>8.175399479747306E-3</v>
      </c>
      <c r="P109" s="4">
        <f>IFERROR(I109/G109,0)</f>
        <v>0.22229654403567448</v>
      </c>
      <c r="Q109" s="4">
        <f>IFERROR(I109/H109,0)</f>
        <v>27.190909090909091</v>
      </c>
      <c r="R109" s="12">
        <f>IFERROR(J109/I109,0)</f>
        <v>3.4812771648278167</v>
      </c>
      <c r="S109" s="7">
        <f>Tabla_nuevas_columnas[[#This Row],[ROAS]]</f>
        <v>3.4812771648278167</v>
      </c>
      <c r="T109" t="str">
        <f>_xlfn.CONCAT(C109,"-",D109)</f>
        <v>Paid Social-México</v>
      </c>
      <c r="U109">
        <f>YEAR(A109)</f>
        <v>2025</v>
      </c>
      <c r="V109">
        <f>MONTH(A109)</f>
        <v>10</v>
      </c>
      <c r="W109" t="str">
        <f>PROPER(TEXT(A109,"mmmm"))</f>
        <v>Octubre</v>
      </c>
      <c r="X109" t="str">
        <f>PROPER(TEXT(A109,"dddd"))</f>
        <v>Viernes</v>
      </c>
      <c r="Y109" t="str" cm="1">
        <f t="array" ref="Y109">_xlfn.IFS(R109&gt;10,"Excelente",R109&gt;=5,"Bueno",R109&gt;=2,"Débil",R109&lt;2,"Deficiente")</f>
        <v>Débil</v>
      </c>
      <c r="Z109" t="str">
        <f>IF(AND(R109&lt;2,Q109&gt;=100),"Revisar","OK")</f>
        <v>OK</v>
      </c>
      <c r="AA109" s="55">
        <f>_xlfn.XLOOKUP(C109,'Preguntas de negocio'!$C$114:$C$119,'Preguntas de negocio'!$D$114:$D$119,0)</f>
        <v>6</v>
      </c>
      <c r="AB109" s="55">
        <f>VLOOKUP(C109,'Preguntas de negocio'!$C$121:$D$127,2,FALSE)</f>
        <v>0.8</v>
      </c>
    </row>
    <row r="110" spans="1:28" x14ac:dyDescent="0.3">
      <c r="A110" s="1">
        <v>45769</v>
      </c>
      <c r="B110" s="2" t="s">
        <v>2622</v>
      </c>
      <c r="C110" s="2" t="s">
        <v>2515</v>
      </c>
      <c r="D110" s="2" t="s">
        <v>2528</v>
      </c>
      <c r="E110" s="2" t="s">
        <v>2534</v>
      </c>
      <c r="F110" s="3">
        <v>5691</v>
      </c>
      <c r="G110" s="3">
        <v>424</v>
      </c>
      <c r="H110" s="3">
        <v>56</v>
      </c>
      <c r="I110" s="4">
        <v>640.21</v>
      </c>
      <c r="J110" s="4">
        <v>9464.19</v>
      </c>
      <c r="K110" s="3">
        <v>30</v>
      </c>
      <c r="L110" s="2" t="s">
        <v>2523</v>
      </c>
      <c r="M110" s="2" t="s">
        <v>2537</v>
      </c>
      <c r="N110" s="8">
        <f>IFERROR(G110/F110,0)</f>
        <v>7.4503602178878928E-2</v>
      </c>
      <c r="O110" s="8">
        <f>IFERROR(H110/G110,0)</f>
        <v>0.13207547169811321</v>
      </c>
      <c r="P110" s="4">
        <f>IFERROR(I110/G110,0)</f>
        <v>1.5099292452830189</v>
      </c>
      <c r="Q110" s="4">
        <f>IFERROR(I110/H110,0)</f>
        <v>11.432321428571429</v>
      </c>
      <c r="R110" s="12">
        <f>IFERROR(J110/I110,0)</f>
        <v>14.78294622077131</v>
      </c>
      <c r="S110" s="7">
        <f>Tabla_nuevas_columnas[[#This Row],[ROAS]]</f>
        <v>14.78294622077131</v>
      </c>
      <c r="T110" t="str">
        <f>_xlfn.CONCAT(C110,"-",D110)</f>
        <v>Email-España</v>
      </c>
      <c r="U110">
        <f>YEAR(A110)</f>
        <v>2025</v>
      </c>
      <c r="V110">
        <f>MONTH(A110)</f>
        <v>4</v>
      </c>
      <c r="W110" t="str">
        <f>PROPER(TEXT(A110,"mmmm"))</f>
        <v>Abril</v>
      </c>
      <c r="X110" t="str">
        <f>PROPER(TEXT(A110,"dddd"))</f>
        <v>Martes</v>
      </c>
      <c r="Y110" t="str" cm="1">
        <f t="array" ref="Y110">_xlfn.IFS(R110&gt;10,"Excelente",R110&gt;=5,"Bueno",R110&gt;=2,"Débil",R110&lt;2,"Deficiente")</f>
        <v>Excelente</v>
      </c>
      <c r="Z110" t="str">
        <f>IF(AND(R110&lt;2,Q110&gt;=100),"Revisar","OK")</f>
        <v>OK</v>
      </c>
      <c r="AA110" s="55">
        <f>_xlfn.XLOOKUP(C110,'Preguntas de negocio'!$C$114:$C$119,'Preguntas de negocio'!$D$114:$D$119,0)</f>
        <v>5.5</v>
      </c>
      <c r="AB110" s="55">
        <f>VLOOKUP(C110,'Preguntas de negocio'!$C$121:$D$127,2,FALSE)</f>
        <v>0.65</v>
      </c>
    </row>
    <row r="111" spans="1:28" x14ac:dyDescent="0.3">
      <c r="A111" s="1">
        <v>45956</v>
      </c>
      <c r="B111" s="2" t="s">
        <v>2622</v>
      </c>
      <c r="C111" s="2" t="s">
        <v>2543</v>
      </c>
      <c r="D111" s="2" t="s">
        <v>2531</v>
      </c>
      <c r="E111" s="2" t="s">
        <v>2517</v>
      </c>
      <c r="F111" s="3">
        <v>102137</v>
      </c>
      <c r="G111" s="3">
        <v>5209</v>
      </c>
      <c r="H111" s="3">
        <v>416</v>
      </c>
      <c r="I111" s="4">
        <v>3330.71</v>
      </c>
      <c r="J111" s="4">
        <v>80667.89</v>
      </c>
      <c r="K111" s="3">
        <v>320</v>
      </c>
      <c r="L111" s="2" t="s">
        <v>2518</v>
      </c>
      <c r="M111" s="2" t="s">
        <v>2546</v>
      </c>
      <c r="N111" s="8">
        <f>IFERROR(G111/F111,0)</f>
        <v>5.1000127280025849E-2</v>
      </c>
      <c r="O111" s="8">
        <f>IFERROR(H111/G111,0)</f>
        <v>7.9861777692455366E-2</v>
      </c>
      <c r="P111" s="4">
        <f>IFERROR(I111/G111,0)</f>
        <v>0.63941447494720671</v>
      </c>
      <c r="Q111" s="4">
        <f>IFERROR(I111/H111,0)</f>
        <v>8.0065144230769238</v>
      </c>
      <c r="R111" s="12">
        <f>IFERROR(J111/I111,0)</f>
        <v>24.219427689591708</v>
      </c>
      <c r="S111" s="7">
        <f>Tabla_nuevas_columnas[[#This Row],[ROAS]]</f>
        <v>24.219427689591708</v>
      </c>
      <c r="T111" t="str">
        <f>_xlfn.CONCAT(C111,"-",D111)</f>
        <v>Organic Social-Portugal</v>
      </c>
      <c r="U111">
        <f>YEAR(A111)</f>
        <v>2025</v>
      </c>
      <c r="V111">
        <f>MONTH(A111)</f>
        <v>10</v>
      </c>
      <c r="W111" t="str">
        <f>PROPER(TEXT(A111,"mmmm"))</f>
        <v>Octubre</v>
      </c>
      <c r="X111" t="str">
        <f>PROPER(TEXT(A111,"dddd"))</f>
        <v>Domingo</v>
      </c>
      <c r="Y111" t="str" cm="1">
        <f t="array" ref="Y111">_xlfn.IFS(R111&gt;10,"Excelente",R111&gt;=5,"Bueno",R111&gt;=2,"Débil",R111&lt;2,"Deficiente")</f>
        <v>Excelente</v>
      </c>
      <c r="Z111" t="str">
        <f>IF(AND(R111&lt;2,Q111&gt;=100),"Revisar","OK")</f>
        <v>OK</v>
      </c>
      <c r="AA111" s="55">
        <f>_xlfn.XLOOKUP(C111,'Preguntas de negocio'!$C$114:$C$119,'Preguntas de negocio'!$D$114:$D$119,0)</f>
        <v>4</v>
      </c>
      <c r="AB111" s="55">
        <f>VLOOKUP(C111,'Preguntas de negocio'!$C$121:$D$127,2,FALSE)</f>
        <v>0.95</v>
      </c>
    </row>
    <row r="112" spans="1:28" x14ac:dyDescent="0.3">
      <c r="A112" s="1">
        <v>45998</v>
      </c>
      <c r="B112" s="2" t="s">
        <v>2622</v>
      </c>
      <c r="C112" s="2" t="s">
        <v>2515</v>
      </c>
      <c r="D112" s="2" t="s">
        <v>2522</v>
      </c>
      <c r="E112" s="2" t="s">
        <v>2529</v>
      </c>
      <c r="F112" s="3">
        <v>132147</v>
      </c>
      <c r="G112" s="3">
        <v>3443</v>
      </c>
      <c r="H112" s="3">
        <v>468</v>
      </c>
      <c r="I112" s="4">
        <v>3993.42</v>
      </c>
      <c r="J112" s="4">
        <v>84664.15</v>
      </c>
      <c r="K112" s="3">
        <v>312</v>
      </c>
      <c r="L112" s="2" t="s">
        <v>2536</v>
      </c>
      <c r="M112" s="2" t="s">
        <v>2537</v>
      </c>
      <c r="N112" s="8">
        <f>IFERROR(G112/F112,0)</f>
        <v>2.6054318297047983E-2</v>
      </c>
      <c r="O112" s="8">
        <f>IFERROR(H112/G112,0)</f>
        <v>0.13592796979378449</v>
      </c>
      <c r="P112" s="4">
        <f>IFERROR(I112/G112,0)</f>
        <v>1.1598663955852455</v>
      </c>
      <c r="Q112" s="4">
        <f>IFERROR(I112/H112,0)</f>
        <v>8.5329487179487185</v>
      </c>
      <c r="R112" s="12">
        <f>IFERROR(J112/I112,0)</f>
        <v>21.200913001888104</v>
      </c>
      <c r="S112" s="7">
        <f>Tabla_nuevas_columnas[[#This Row],[ROAS]]</f>
        <v>21.200913001888104</v>
      </c>
      <c r="T112" t="str">
        <f>_xlfn.CONCAT(C112,"-",D112)</f>
        <v>Email-Italia</v>
      </c>
      <c r="U112">
        <f>YEAR(A112)</f>
        <v>2025</v>
      </c>
      <c r="V112">
        <f>MONTH(A112)</f>
        <v>12</v>
      </c>
      <c r="W112" t="str">
        <f>PROPER(TEXT(A112,"mmmm"))</f>
        <v>Diciembre</v>
      </c>
      <c r="X112" t="str">
        <f>PROPER(TEXT(A112,"dddd"))</f>
        <v>Domingo</v>
      </c>
      <c r="Y112" t="str" cm="1">
        <f t="array" ref="Y112">_xlfn.IFS(R112&gt;10,"Excelente",R112&gt;=5,"Bueno",R112&gt;=2,"Débil",R112&lt;2,"Deficiente")</f>
        <v>Excelente</v>
      </c>
      <c r="Z112" t="str">
        <f>IF(AND(R112&lt;2,Q112&gt;=100),"Revisar","OK")</f>
        <v>OK</v>
      </c>
      <c r="AA112" s="55">
        <f>_xlfn.XLOOKUP(C112,'Preguntas de negocio'!$C$114:$C$119,'Preguntas de negocio'!$D$114:$D$119,0)</f>
        <v>5.5</v>
      </c>
      <c r="AB112" s="55">
        <f>VLOOKUP(C112,'Preguntas de negocio'!$C$121:$D$127,2,FALSE)</f>
        <v>0.65</v>
      </c>
    </row>
    <row r="113" spans="1:28" x14ac:dyDescent="0.3">
      <c r="A113" s="1">
        <v>45861</v>
      </c>
      <c r="B113" s="2" t="s">
        <v>2624</v>
      </c>
      <c r="C113" s="2" t="s">
        <v>2521</v>
      </c>
      <c r="D113" s="2" t="s">
        <v>2528</v>
      </c>
      <c r="E113" s="2" t="s">
        <v>2529</v>
      </c>
      <c r="F113" s="3">
        <v>133955</v>
      </c>
      <c r="G113" s="3">
        <v>3696</v>
      </c>
      <c r="H113" s="3">
        <v>153</v>
      </c>
      <c r="I113" s="4">
        <v>3680.78</v>
      </c>
      <c r="J113" s="4">
        <v>3128.82</v>
      </c>
      <c r="K113" s="3">
        <v>79</v>
      </c>
      <c r="L113" s="2" t="s">
        <v>2536</v>
      </c>
      <c r="M113" s="2" t="s">
        <v>2524</v>
      </c>
      <c r="N113" s="8">
        <f>IFERROR(G113/F113,0)</f>
        <v>2.7591355305886304E-2</v>
      </c>
      <c r="O113" s="8">
        <f>IFERROR(H113/G113,0)</f>
        <v>4.1396103896103896E-2</v>
      </c>
      <c r="P113" s="4">
        <f>IFERROR(I113/G113,0)</f>
        <v>0.99588203463203473</v>
      </c>
      <c r="Q113" s="4">
        <f>IFERROR(I113/H113,0)</f>
        <v>24.057385620915035</v>
      </c>
      <c r="R113" s="12">
        <f>IFERROR(J113/I113,0)</f>
        <v>0.85004265400268419</v>
      </c>
      <c r="S113" s="7">
        <f>Tabla_nuevas_columnas[[#This Row],[ROAS]]</f>
        <v>0.85004265400268419</v>
      </c>
      <c r="T113" t="str">
        <f>_xlfn.CONCAT(C113,"-",D113)</f>
        <v>Paid Search-España</v>
      </c>
      <c r="U113">
        <f>YEAR(A113)</f>
        <v>2025</v>
      </c>
      <c r="V113">
        <f>MONTH(A113)</f>
        <v>7</v>
      </c>
      <c r="W113" t="str">
        <f>PROPER(TEXT(A113,"mmmm"))</f>
        <v>Julio</v>
      </c>
      <c r="X113" t="str">
        <f>PROPER(TEXT(A113,"dddd"))</f>
        <v>Miércoles</v>
      </c>
      <c r="Y113" t="str" cm="1">
        <f t="array" ref="Y113">_xlfn.IFS(R113&gt;10,"Excelente",R113&gt;=5,"Bueno",R113&gt;=2,"Débil",R113&lt;2,"Deficiente")</f>
        <v>Deficiente</v>
      </c>
      <c r="Z113" t="str">
        <f>IF(AND(R113&lt;2,Q113&gt;=100),"Revisar","OK")</f>
        <v>OK</v>
      </c>
      <c r="AA113" s="55">
        <f>_xlfn.XLOOKUP(C113,'Preguntas de negocio'!$C$114:$C$119,'Preguntas de negocio'!$D$114:$D$119,0)</f>
        <v>5</v>
      </c>
      <c r="AB113" s="55">
        <f>VLOOKUP(C113,'Preguntas de negocio'!$C$121:$D$127,2,FALSE)</f>
        <v>1.1000000000000001</v>
      </c>
    </row>
    <row r="114" spans="1:28" x14ac:dyDescent="0.3">
      <c r="A114" s="1">
        <v>46018</v>
      </c>
      <c r="B114" s="2" t="s">
        <v>2616</v>
      </c>
      <c r="C114" s="2" t="s">
        <v>2533</v>
      </c>
      <c r="D114" s="2" t="s">
        <v>2528</v>
      </c>
      <c r="E114" s="2" t="s">
        <v>2517</v>
      </c>
      <c r="F114" s="3">
        <v>64939</v>
      </c>
      <c r="G114" s="3">
        <v>1976</v>
      </c>
      <c r="H114" s="3">
        <v>196</v>
      </c>
      <c r="I114" s="4">
        <v>3152.73</v>
      </c>
      <c r="J114" s="4">
        <v>26300.52</v>
      </c>
      <c r="K114" s="3">
        <v>151</v>
      </c>
      <c r="L114" s="2" t="s">
        <v>2518</v>
      </c>
      <c r="M114" s="2" t="s">
        <v>2524</v>
      </c>
      <c r="N114" s="8">
        <f>IFERROR(G114/F114,0)</f>
        <v>3.0428556029504613E-2</v>
      </c>
      <c r="O114" s="8">
        <f>IFERROR(H114/G114,0)</f>
        <v>9.9190283400809723E-2</v>
      </c>
      <c r="P114" s="4">
        <f>IFERROR(I114/G114,0)</f>
        <v>1.5955111336032388</v>
      </c>
      <c r="Q114" s="4">
        <f>IFERROR(I114/H114,0)</f>
        <v>16.085357142857141</v>
      </c>
      <c r="R114" s="12">
        <f>IFERROR(J114/I114,0)</f>
        <v>8.3421415725418928</v>
      </c>
      <c r="S114" s="7">
        <f>Tabla_nuevas_columnas[[#This Row],[ROAS]]</f>
        <v>8.3421415725418928</v>
      </c>
      <c r="T114" t="str">
        <f>_xlfn.CONCAT(C114,"-",D114)</f>
        <v>Paid Social-España</v>
      </c>
      <c r="U114">
        <f>YEAR(A114)</f>
        <v>2025</v>
      </c>
      <c r="V114">
        <f>MONTH(A114)</f>
        <v>12</v>
      </c>
      <c r="W114" t="str">
        <f>PROPER(TEXT(A114,"mmmm"))</f>
        <v>Diciembre</v>
      </c>
      <c r="X114" t="str">
        <f>PROPER(TEXT(A114,"dddd"))</f>
        <v>Sábado</v>
      </c>
      <c r="Y114" t="str" cm="1">
        <f t="array" ref="Y114">_xlfn.IFS(R114&gt;10,"Excelente",R114&gt;=5,"Bueno",R114&gt;=2,"Débil",R114&lt;2,"Deficiente")</f>
        <v>Bueno</v>
      </c>
      <c r="Z114" t="str">
        <f>IF(AND(R114&lt;2,Q114&gt;=100),"Revisar","OK")</f>
        <v>OK</v>
      </c>
      <c r="AA114" s="55">
        <f>_xlfn.XLOOKUP(C114,'Preguntas de negocio'!$C$114:$C$119,'Preguntas de negocio'!$D$114:$D$119,0)</f>
        <v>6</v>
      </c>
      <c r="AB114" s="55">
        <f>VLOOKUP(C114,'Preguntas de negocio'!$C$121:$D$127,2,FALSE)</f>
        <v>0.8</v>
      </c>
    </row>
    <row r="115" spans="1:28" x14ac:dyDescent="0.3">
      <c r="A115" s="1">
        <v>45864</v>
      </c>
      <c r="B115" s="2" t="s">
        <v>2644</v>
      </c>
      <c r="C115" s="2" t="s">
        <v>2543</v>
      </c>
      <c r="D115" s="2" t="s">
        <v>2516</v>
      </c>
      <c r="E115" s="2" t="s">
        <v>2529</v>
      </c>
      <c r="F115" s="3">
        <v>114954</v>
      </c>
      <c r="G115" s="3">
        <v>5234</v>
      </c>
      <c r="H115" s="3">
        <v>528</v>
      </c>
      <c r="I115" s="4">
        <v>10691.29</v>
      </c>
      <c r="J115" s="4">
        <v>19430.849999999999</v>
      </c>
      <c r="K115" s="3">
        <v>406</v>
      </c>
      <c r="L115" s="2" t="s">
        <v>2536</v>
      </c>
      <c r="M115" s="2" t="s">
        <v>2546</v>
      </c>
      <c r="N115" s="8">
        <f>IFERROR(G115/F115,0)</f>
        <v>4.5531255980653128E-2</v>
      </c>
      <c r="O115" s="8">
        <f>IFERROR(H115/G115,0)</f>
        <v>0.10087886893389378</v>
      </c>
      <c r="P115" s="4">
        <f>IFERROR(I115/G115,0)</f>
        <v>2.042661444401987</v>
      </c>
      <c r="Q115" s="4">
        <f>IFERROR(I115/H115,0)</f>
        <v>20.248655303030304</v>
      </c>
      <c r="R115" s="12">
        <f>IFERROR(J115/I115,0)</f>
        <v>1.8174467253250073</v>
      </c>
      <c r="S115" s="7">
        <f>Tabla_nuevas_columnas[[#This Row],[ROAS]]</f>
        <v>1.8174467253250073</v>
      </c>
      <c r="T115" t="str">
        <f>_xlfn.CONCAT(C115,"-",D115)</f>
        <v>Organic Social-México</v>
      </c>
      <c r="U115">
        <f>YEAR(A115)</f>
        <v>2025</v>
      </c>
      <c r="V115">
        <f>MONTH(A115)</f>
        <v>7</v>
      </c>
      <c r="W115" t="str">
        <f>PROPER(TEXT(A115,"mmmm"))</f>
        <v>Julio</v>
      </c>
      <c r="X115" t="str">
        <f>PROPER(TEXT(A115,"dddd"))</f>
        <v>Sábado</v>
      </c>
      <c r="Y115" t="str" cm="1">
        <f t="array" ref="Y115">_xlfn.IFS(R115&gt;10,"Excelente",R115&gt;=5,"Bueno",R115&gt;=2,"Débil",R115&lt;2,"Deficiente")</f>
        <v>Deficiente</v>
      </c>
      <c r="Z115" t="str">
        <f>IF(AND(R115&lt;2,Q115&gt;=100),"Revisar","OK")</f>
        <v>OK</v>
      </c>
      <c r="AA115" s="55">
        <f>_xlfn.XLOOKUP(C115,'Preguntas de negocio'!$C$114:$C$119,'Preguntas de negocio'!$D$114:$D$119,0)</f>
        <v>4</v>
      </c>
      <c r="AB115" s="55">
        <f>VLOOKUP(C115,'Preguntas de negocio'!$C$121:$D$127,2,FALSE)</f>
        <v>0.95</v>
      </c>
    </row>
    <row r="116" spans="1:28" x14ac:dyDescent="0.3">
      <c r="A116" s="1">
        <v>45857</v>
      </c>
      <c r="B116" s="2" t="s">
        <v>2635</v>
      </c>
      <c r="C116" s="2" t="s">
        <v>2521</v>
      </c>
      <c r="D116" s="2" t="s">
        <v>2528</v>
      </c>
      <c r="E116" s="2" t="s">
        <v>2529</v>
      </c>
      <c r="F116" s="3">
        <v>87216</v>
      </c>
      <c r="G116" s="3">
        <v>2108</v>
      </c>
      <c r="H116" s="3">
        <v>210</v>
      </c>
      <c r="I116" s="4">
        <v>2454.09</v>
      </c>
      <c r="J116" s="4">
        <v>45379.1</v>
      </c>
      <c r="K116" s="3">
        <v>115</v>
      </c>
      <c r="L116" s="2" t="s">
        <v>2536</v>
      </c>
      <c r="M116" s="2" t="s">
        <v>2526</v>
      </c>
      <c r="N116" s="8">
        <f>IFERROR(G116/F116,0)</f>
        <v>2.4169877086773071E-2</v>
      </c>
      <c r="O116" s="8">
        <f>IFERROR(H116/G116,0)</f>
        <v>9.962049335863378E-2</v>
      </c>
      <c r="P116" s="4">
        <f>IFERROR(I116/G116,0)</f>
        <v>1.1641793168880457</v>
      </c>
      <c r="Q116" s="4">
        <f>IFERROR(I116/H116,0)</f>
        <v>11.686142857142858</v>
      </c>
      <c r="R116" s="12">
        <f>IFERROR(J116/I116,0)</f>
        <v>18.491212628713697</v>
      </c>
      <c r="S116" s="7">
        <f>Tabla_nuevas_columnas[[#This Row],[ROAS]]</f>
        <v>18.491212628713697</v>
      </c>
      <c r="T116" t="str">
        <f>_xlfn.CONCAT(C116,"-",D116)</f>
        <v>Paid Search-España</v>
      </c>
      <c r="U116">
        <f>YEAR(A116)</f>
        <v>2025</v>
      </c>
      <c r="V116">
        <f>MONTH(A116)</f>
        <v>7</v>
      </c>
      <c r="W116" t="str">
        <f>PROPER(TEXT(A116,"mmmm"))</f>
        <v>Julio</v>
      </c>
      <c r="X116" t="str">
        <f>PROPER(TEXT(A116,"dddd"))</f>
        <v>Sábado</v>
      </c>
      <c r="Y116" t="str" cm="1">
        <f t="array" ref="Y116">_xlfn.IFS(R116&gt;10,"Excelente",R116&gt;=5,"Bueno",R116&gt;=2,"Débil",R116&lt;2,"Deficiente")</f>
        <v>Excelente</v>
      </c>
      <c r="Z116" t="str">
        <f>IF(AND(R116&lt;2,Q116&gt;=100),"Revisar","OK")</f>
        <v>OK</v>
      </c>
      <c r="AA116" s="55">
        <f>_xlfn.XLOOKUP(C116,'Preguntas de negocio'!$C$114:$C$119,'Preguntas de negocio'!$D$114:$D$119,0)</f>
        <v>5</v>
      </c>
      <c r="AB116" s="55">
        <f>VLOOKUP(C116,'Preguntas de negocio'!$C$121:$D$127,2,FALSE)</f>
        <v>1.1000000000000001</v>
      </c>
    </row>
    <row r="117" spans="1:28" x14ac:dyDescent="0.3">
      <c r="A117" s="1">
        <v>45960</v>
      </c>
      <c r="B117" s="2" t="s">
        <v>2632</v>
      </c>
      <c r="C117" s="2" t="s">
        <v>2515</v>
      </c>
      <c r="D117" s="2" t="s">
        <v>2528</v>
      </c>
      <c r="E117" s="2" t="s">
        <v>2517</v>
      </c>
      <c r="F117" s="3">
        <v>110960</v>
      </c>
      <c r="G117" s="3">
        <v>5601</v>
      </c>
      <c r="H117" s="3">
        <v>36</v>
      </c>
      <c r="I117" s="4">
        <v>1946.95</v>
      </c>
      <c r="J117" s="4">
        <v>1679.45</v>
      </c>
      <c r="K117" s="3">
        <v>21</v>
      </c>
      <c r="L117" s="2" t="s">
        <v>2539</v>
      </c>
      <c r="M117" s="2" t="s">
        <v>2546</v>
      </c>
      <c r="N117" s="8">
        <f>IFERROR(G117/F117,0)</f>
        <v>5.0477649603460704E-2</v>
      </c>
      <c r="O117" s="8">
        <f>IFERROR(H117/G117,0)</f>
        <v>6.427423674343867E-3</v>
      </c>
      <c r="P117" s="4">
        <f>IFERROR(I117/G117,0)</f>
        <v>0.34760757007677201</v>
      </c>
      <c r="Q117" s="4">
        <f>IFERROR(I117/H117,0)</f>
        <v>54.081944444444446</v>
      </c>
      <c r="R117" s="12">
        <f>IFERROR(J117/I117,0)</f>
        <v>0.86260561390893453</v>
      </c>
      <c r="S117" s="7">
        <f>Tabla_nuevas_columnas[[#This Row],[ROAS]]</f>
        <v>0.86260561390893453</v>
      </c>
      <c r="T117" t="str">
        <f>_xlfn.CONCAT(C117,"-",D117)</f>
        <v>Email-España</v>
      </c>
      <c r="U117">
        <f>YEAR(A117)</f>
        <v>2025</v>
      </c>
      <c r="V117">
        <f>MONTH(A117)</f>
        <v>10</v>
      </c>
      <c r="W117" t="str">
        <f>PROPER(TEXT(A117,"mmmm"))</f>
        <v>Octubre</v>
      </c>
      <c r="X117" t="str">
        <f>PROPER(TEXT(A117,"dddd"))</f>
        <v>Jueves</v>
      </c>
      <c r="Y117" t="str" cm="1">
        <f t="array" ref="Y117">_xlfn.IFS(R117&gt;10,"Excelente",R117&gt;=5,"Bueno",R117&gt;=2,"Débil",R117&lt;2,"Deficiente")</f>
        <v>Deficiente</v>
      </c>
      <c r="Z117" t="str">
        <f>IF(AND(R117&lt;2,Q117&gt;=100),"Revisar","OK")</f>
        <v>OK</v>
      </c>
      <c r="AA117" s="55">
        <f>_xlfn.XLOOKUP(C117,'Preguntas de negocio'!$C$114:$C$119,'Preguntas de negocio'!$D$114:$D$119,0)</f>
        <v>5.5</v>
      </c>
      <c r="AB117" s="55">
        <f>VLOOKUP(C117,'Preguntas de negocio'!$C$121:$D$127,2,FALSE)</f>
        <v>0.65</v>
      </c>
    </row>
    <row r="118" spans="1:28" x14ac:dyDescent="0.3">
      <c r="A118" s="1">
        <v>45959</v>
      </c>
      <c r="B118" s="2" t="s">
        <v>2631</v>
      </c>
      <c r="C118" s="2" t="s">
        <v>2541</v>
      </c>
      <c r="D118" s="2" t="s">
        <v>2531</v>
      </c>
      <c r="E118" s="2" t="s">
        <v>2517</v>
      </c>
      <c r="F118" s="3">
        <v>116461</v>
      </c>
      <c r="G118" s="3">
        <v>2968</v>
      </c>
      <c r="H118" s="3">
        <v>241</v>
      </c>
      <c r="I118" s="4">
        <v>4277.7700000000004</v>
      </c>
      <c r="J118" s="4">
        <v>39297.040000000001</v>
      </c>
      <c r="K118" s="3">
        <v>188</v>
      </c>
      <c r="L118" s="2" t="s">
        <v>2518</v>
      </c>
      <c r="M118" s="2" t="s">
        <v>2519</v>
      </c>
      <c r="N118" s="8">
        <f>IFERROR(G118/F118,0)</f>
        <v>2.5484926284335529E-2</v>
      </c>
      <c r="O118" s="8">
        <f>IFERROR(H118/G118,0)</f>
        <v>8.1199460916442048E-2</v>
      </c>
      <c r="P118" s="4">
        <f>IFERROR(I118/G118,0)</f>
        <v>1.4412971698113208</v>
      </c>
      <c r="Q118" s="4">
        <f>IFERROR(I118/H118,0)</f>
        <v>17.75008298755187</v>
      </c>
      <c r="R118" s="12">
        <f>IFERROR(J118/I118,0)</f>
        <v>9.1863377413932952</v>
      </c>
      <c r="S118" s="7">
        <f>Tabla_nuevas_columnas[[#This Row],[ROAS]]</f>
        <v>9.1863377413932952</v>
      </c>
      <c r="T118" t="str">
        <f>_xlfn.CONCAT(C118,"-",D118)</f>
        <v>Display-Portugal</v>
      </c>
      <c r="U118">
        <f>YEAR(A118)</f>
        <v>2025</v>
      </c>
      <c r="V118">
        <f>MONTH(A118)</f>
        <v>10</v>
      </c>
      <c r="W118" t="str">
        <f>PROPER(TEXT(A118,"mmmm"))</f>
        <v>Octubre</v>
      </c>
      <c r="X118" t="str">
        <f>PROPER(TEXT(A118,"dddd"))</f>
        <v>Miércoles</v>
      </c>
      <c r="Y118" t="str" cm="1">
        <f t="array" ref="Y118">_xlfn.IFS(R118&gt;10,"Excelente",R118&gt;=5,"Bueno",R118&gt;=2,"Débil",R118&lt;2,"Deficiente")</f>
        <v>Bueno</v>
      </c>
      <c r="Z118" t="str">
        <f>IF(AND(R118&lt;2,Q118&gt;=100),"Revisar","OK")</f>
        <v>OK</v>
      </c>
      <c r="AA118" s="55">
        <f>_xlfn.XLOOKUP(C118,'Preguntas de negocio'!$C$114:$C$119,'Preguntas de negocio'!$D$114:$D$119,0)</f>
        <v>5</v>
      </c>
      <c r="AB118" s="55">
        <f>VLOOKUP(C118,'Preguntas de negocio'!$C$121:$D$127,2,FALSE)</f>
        <v>0.5</v>
      </c>
    </row>
    <row r="119" spans="1:28" x14ac:dyDescent="0.3">
      <c r="A119" s="1">
        <v>45868</v>
      </c>
      <c r="B119" s="2" t="s">
        <v>2638</v>
      </c>
      <c r="C119" s="2" t="s">
        <v>2515</v>
      </c>
      <c r="D119" s="2" t="s">
        <v>2531</v>
      </c>
      <c r="E119" s="2" t="s">
        <v>2517</v>
      </c>
      <c r="F119" s="3">
        <v>135208</v>
      </c>
      <c r="G119" s="3">
        <v>1566</v>
      </c>
      <c r="H119" s="3">
        <v>197</v>
      </c>
      <c r="I119" s="4">
        <v>488.54</v>
      </c>
      <c r="J119" s="4">
        <v>28752.400000000001</v>
      </c>
      <c r="K119" s="3">
        <v>136</v>
      </c>
      <c r="L119" s="2" t="s">
        <v>2536</v>
      </c>
      <c r="M119" s="2" t="s">
        <v>2519</v>
      </c>
      <c r="N119" s="8">
        <f>IFERROR(G119/F119,0)</f>
        <v>1.1582154902076799E-2</v>
      </c>
      <c r="O119" s="8">
        <f>IFERROR(H119/G119,0)</f>
        <v>0.12579821200510855</v>
      </c>
      <c r="P119" s="4">
        <f>IFERROR(I119/G119,0)</f>
        <v>0.3119667943805875</v>
      </c>
      <c r="Q119" s="4">
        <f>IFERROR(I119/H119,0)</f>
        <v>2.4798984771573607</v>
      </c>
      <c r="R119" s="12">
        <f>IFERROR(J119/I119,0)</f>
        <v>58.853727432758831</v>
      </c>
      <c r="S119" s="7">
        <f>Tabla_nuevas_columnas[[#This Row],[ROAS]]</f>
        <v>58.853727432758831</v>
      </c>
      <c r="T119" t="str">
        <f>_xlfn.CONCAT(C119,"-",D119)</f>
        <v>Email-Portugal</v>
      </c>
      <c r="U119">
        <f>YEAR(A119)</f>
        <v>2025</v>
      </c>
      <c r="V119">
        <f>MONTH(A119)</f>
        <v>7</v>
      </c>
      <c r="W119" t="str">
        <f>PROPER(TEXT(A119,"mmmm"))</f>
        <v>Julio</v>
      </c>
      <c r="X119" t="str">
        <f>PROPER(TEXT(A119,"dddd"))</f>
        <v>Miércoles</v>
      </c>
      <c r="Y119" t="str" cm="1">
        <f t="array" ref="Y119">_xlfn.IFS(R119&gt;10,"Excelente",R119&gt;=5,"Bueno",R119&gt;=2,"Débil",R119&lt;2,"Deficiente")</f>
        <v>Excelente</v>
      </c>
      <c r="Z119" t="str">
        <f>IF(AND(R119&lt;2,Q119&gt;=100),"Revisar","OK")</f>
        <v>OK</v>
      </c>
      <c r="AA119" s="55">
        <f>_xlfn.XLOOKUP(C119,'Preguntas de negocio'!$C$114:$C$119,'Preguntas de negocio'!$D$114:$D$119,0)</f>
        <v>5.5</v>
      </c>
      <c r="AB119" s="55">
        <f>VLOOKUP(C119,'Preguntas de negocio'!$C$121:$D$127,2,FALSE)</f>
        <v>0.65</v>
      </c>
    </row>
    <row r="120" spans="1:28" x14ac:dyDescent="0.3">
      <c r="A120" s="1">
        <v>45982</v>
      </c>
      <c r="B120" s="2" t="s">
        <v>2631</v>
      </c>
      <c r="C120" s="2" t="s">
        <v>2533</v>
      </c>
      <c r="D120" s="2" t="s">
        <v>2528</v>
      </c>
      <c r="E120" s="2" t="s">
        <v>2529</v>
      </c>
      <c r="F120" s="3">
        <v>73777</v>
      </c>
      <c r="G120" s="3">
        <v>4368</v>
      </c>
      <c r="H120" s="3">
        <v>392</v>
      </c>
      <c r="I120" s="4">
        <v>2832.11</v>
      </c>
      <c r="J120" s="4">
        <v>44982.77</v>
      </c>
      <c r="K120" s="3">
        <v>352</v>
      </c>
      <c r="L120" s="2" t="s">
        <v>2523</v>
      </c>
      <c r="M120" s="2" t="s">
        <v>2546</v>
      </c>
      <c r="N120" s="8">
        <f>IFERROR(G120/F120,0)</f>
        <v>5.9205443430879544E-2</v>
      </c>
      <c r="O120" s="8">
        <f>IFERROR(H120/G120,0)</f>
        <v>8.9743589743589744E-2</v>
      </c>
      <c r="P120" s="4">
        <f>IFERROR(I120/G120,0)</f>
        <v>0.64837683150183156</v>
      </c>
      <c r="Q120" s="4">
        <f>IFERROR(I120/H120,0)</f>
        <v>7.2247704081632653</v>
      </c>
      <c r="R120" s="12">
        <f>IFERROR(J120/I120,0)</f>
        <v>15.883129539459977</v>
      </c>
      <c r="S120" s="7">
        <f>Tabla_nuevas_columnas[[#This Row],[ROAS]]</f>
        <v>15.883129539459977</v>
      </c>
      <c r="T120" t="str">
        <f>_xlfn.CONCAT(C120,"-",D120)</f>
        <v>Paid Social-España</v>
      </c>
      <c r="U120">
        <f>YEAR(A120)</f>
        <v>2025</v>
      </c>
      <c r="V120">
        <f>MONTH(A120)</f>
        <v>11</v>
      </c>
      <c r="W120" t="str">
        <f>PROPER(TEXT(A120,"mmmm"))</f>
        <v>Noviembre</v>
      </c>
      <c r="X120" t="str">
        <f>PROPER(TEXT(A120,"dddd"))</f>
        <v>Viernes</v>
      </c>
      <c r="Y120" t="str" cm="1">
        <f t="array" ref="Y120">_xlfn.IFS(R120&gt;10,"Excelente",R120&gt;=5,"Bueno",R120&gt;=2,"Débil",R120&lt;2,"Deficiente")</f>
        <v>Excelente</v>
      </c>
      <c r="Z120" t="str">
        <f>IF(AND(R120&lt;2,Q120&gt;=100),"Revisar","OK")</f>
        <v>OK</v>
      </c>
      <c r="AA120" s="55">
        <f>_xlfn.XLOOKUP(C120,'Preguntas de negocio'!$C$114:$C$119,'Preguntas de negocio'!$D$114:$D$119,0)</f>
        <v>6</v>
      </c>
      <c r="AB120" s="55">
        <f>VLOOKUP(C120,'Preguntas de negocio'!$C$121:$D$127,2,FALSE)</f>
        <v>0.8</v>
      </c>
    </row>
    <row r="121" spans="1:28" x14ac:dyDescent="0.3">
      <c r="A121" s="1">
        <v>45783</v>
      </c>
      <c r="B121" s="2" t="s">
        <v>2642</v>
      </c>
      <c r="C121" s="2" t="s">
        <v>2521</v>
      </c>
      <c r="D121" s="2" t="s">
        <v>2528</v>
      </c>
      <c r="E121" s="2" t="s">
        <v>2529</v>
      </c>
      <c r="F121" s="3">
        <v>4291</v>
      </c>
      <c r="G121" s="3">
        <v>45</v>
      </c>
      <c r="H121" s="3">
        <v>62</v>
      </c>
      <c r="I121" s="4">
        <v>24.22</v>
      </c>
      <c r="J121" s="4">
        <v>345.27</v>
      </c>
      <c r="K121" s="3">
        <v>3</v>
      </c>
      <c r="L121" s="2" t="s">
        <v>2536</v>
      </c>
      <c r="M121" s="2" t="s">
        <v>2537</v>
      </c>
      <c r="N121" s="8">
        <f>IFERROR(G121/F121,0)</f>
        <v>1.0487065951992542E-2</v>
      </c>
      <c r="O121" s="8">
        <f>IFERROR(H121/G121,0)</f>
        <v>1.3777777777777778</v>
      </c>
      <c r="P121" s="4">
        <f>IFERROR(I121/G121,0)</f>
        <v>0.53822222222222216</v>
      </c>
      <c r="Q121" s="4">
        <f>IFERROR(I121/H121,0)</f>
        <v>0.39064516129032256</v>
      </c>
      <c r="R121" s="12">
        <f>IFERROR(J121/I121,0)</f>
        <v>14.255573905862923</v>
      </c>
      <c r="S121" s="7">
        <f>Tabla_nuevas_columnas[[#This Row],[ROAS]]</f>
        <v>14.255573905862923</v>
      </c>
      <c r="T121" t="str">
        <f>_xlfn.CONCAT(C121,"-",D121)</f>
        <v>Paid Search-España</v>
      </c>
      <c r="U121">
        <f>YEAR(A121)</f>
        <v>2025</v>
      </c>
      <c r="V121">
        <f>MONTH(A121)</f>
        <v>5</v>
      </c>
      <c r="W121" t="str">
        <f>PROPER(TEXT(A121,"mmmm"))</f>
        <v>Mayo</v>
      </c>
      <c r="X121" t="str">
        <f>PROPER(TEXT(A121,"dddd"))</f>
        <v>Martes</v>
      </c>
      <c r="Y121" t="str" cm="1">
        <f t="array" ref="Y121">_xlfn.IFS(R121&gt;10,"Excelente",R121&gt;=5,"Bueno",R121&gt;=2,"Débil",R121&lt;2,"Deficiente")</f>
        <v>Excelente</v>
      </c>
      <c r="Z121" t="str">
        <f>IF(AND(R121&lt;2,Q121&gt;=100),"Revisar","OK")</f>
        <v>OK</v>
      </c>
      <c r="AA121" s="55">
        <f>_xlfn.XLOOKUP(C121,'Preguntas de negocio'!$C$114:$C$119,'Preguntas de negocio'!$D$114:$D$119,0)</f>
        <v>5</v>
      </c>
      <c r="AB121" s="55">
        <f>VLOOKUP(C121,'Preguntas de negocio'!$C$121:$D$127,2,FALSE)</f>
        <v>1.1000000000000001</v>
      </c>
    </row>
    <row r="122" spans="1:28" x14ac:dyDescent="0.3">
      <c r="A122" s="1">
        <v>45806</v>
      </c>
      <c r="B122" s="2" t="s">
        <v>2622</v>
      </c>
      <c r="C122" s="2" t="s">
        <v>2541</v>
      </c>
      <c r="D122" s="2" t="s">
        <v>2531</v>
      </c>
      <c r="E122" s="2" t="s">
        <v>2529</v>
      </c>
      <c r="F122" s="3">
        <v>113389</v>
      </c>
      <c r="G122" s="3">
        <v>8082</v>
      </c>
      <c r="H122" s="3">
        <v>55</v>
      </c>
      <c r="I122" s="4">
        <v>8745.5499999999993</v>
      </c>
      <c r="J122" s="4">
        <v>6590.93</v>
      </c>
      <c r="K122" s="3">
        <v>32</v>
      </c>
      <c r="L122" s="2" t="s">
        <v>2523</v>
      </c>
      <c r="M122" s="2" t="s">
        <v>2546</v>
      </c>
      <c r="N122" s="8">
        <f>IFERROR(G122/F122,0)</f>
        <v>7.127675524080819E-2</v>
      </c>
      <c r="O122" s="8">
        <f>IFERROR(H122/G122,0)</f>
        <v>6.8052462261816386E-3</v>
      </c>
      <c r="P122" s="4">
        <f>IFERROR(I122/G122,0)</f>
        <v>1.0821022024251421</v>
      </c>
      <c r="Q122" s="4">
        <f>IFERROR(I122/H122,0)</f>
        <v>159.01</v>
      </c>
      <c r="R122" s="12">
        <f>IFERROR(J122/I122,0)</f>
        <v>0.75363241877297604</v>
      </c>
      <c r="S122" s="7">
        <f>Tabla_nuevas_columnas[[#This Row],[ROAS]]</f>
        <v>0.75363241877297604</v>
      </c>
      <c r="T122" t="str">
        <f>_xlfn.CONCAT(C122,"-",D122)</f>
        <v>Display-Portugal</v>
      </c>
      <c r="U122">
        <f>YEAR(A122)</f>
        <v>2025</v>
      </c>
      <c r="V122">
        <f>MONTH(A122)</f>
        <v>5</v>
      </c>
      <c r="W122" t="str">
        <f>PROPER(TEXT(A122,"mmmm"))</f>
        <v>Mayo</v>
      </c>
      <c r="X122" t="str">
        <f>PROPER(TEXT(A122,"dddd"))</f>
        <v>Jueves</v>
      </c>
      <c r="Y122" t="str" cm="1">
        <f t="array" ref="Y122">_xlfn.IFS(R122&gt;10,"Excelente",R122&gt;=5,"Bueno",R122&gt;=2,"Débil",R122&lt;2,"Deficiente")</f>
        <v>Deficiente</v>
      </c>
      <c r="Z122" t="str">
        <f>IF(AND(R122&lt;2,Q122&gt;=100),"Revisar","OK")</f>
        <v>Revisar</v>
      </c>
      <c r="AA122" s="55">
        <f>_xlfn.XLOOKUP(C122,'Preguntas de negocio'!$C$114:$C$119,'Preguntas de negocio'!$D$114:$D$119,0)</f>
        <v>5</v>
      </c>
      <c r="AB122" s="55">
        <f>VLOOKUP(C122,'Preguntas de negocio'!$C$121:$D$127,2,FALSE)</f>
        <v>0.5</v>
      </c>
    </row>
    <row r="123" spans="1:28" x14ac:dyDescent="0.3">
      <c r="A123" s="1">
        <v>45781</v>
      </c>
      <c r="B123" s="2" t="s">
        <v>2644</v>
      </c>
      <c r="C123" s="2" t="s">
        <v>2543</v>
      </c>
      <c r="D123" s="2" t="s">
        <v>2522</v>
      </c>
      <c r="E123" s="2" t="s">
        <v>2529</v>
      </c>
      <c r="F123" s="3">
        <v>111620</v>
      </c>
      <c r="G123" s="3">
        <v>690</v>
      </c>
      <c r="H123" s="3">
        <v>41</v>
      </c>
      <c r="I123" s="4">
        <v>603.36</v>
      </c>
      <c r="J123" s="4">
        <v>6363.86</v>
      </c>
      <c r="K123" s="3">
        <v>23</v>
      </c>
      <c r="L123" s="2" t="s">
        <v>2536</v>
      </c>
      <c r="M123" s="2" t="s">
        <v>2524</v>
      </c>
      <c r="N123" s="8">
        <f>IFERROR(G123/F123,0)</f>
        <v>6.1816878695574269E-3</v>
      </c>
      <c r="O123" s="8">
        <f>IFERROR(H123/G123,0)</f>
        <v>5.9420289855072465E-2</v>
      </c>
      <c r="P123" s="4">
        <f>IFERROR(I123/G123,0)</f>
        <v>0.87443478260869567</v>
      </c>
      <c r="Q123" s="4">
        <f>IFERROR(I123/H123,0)</f>
        <v>14.71609756097561</v>
      </c>
      <c r="R123" s="12">
        <f>IFERROR(J123/I123,0)</f>
        <v>10.547368072129409</v>
      </c>
      <c r="S123" s="7">
        <f>Tabla_nuevas_columnas[[#This Row],[ROAS]]</f>
        <v>10.547368072129409</v>
      </c>
      <c r="T123" t="str">
        <f>_xlfn.CONCAT(C123,"-",D123)</f>
        <v>Organic Social-Italia</v>
      </c>
      <c r="U123">
        <f>YEAR(A123)</f>
        <v>2025</v>
      </c>
      <c r="V123">
        <f>MONTH(A123)</f>
        <v>5</v>
      </c>
      <c r="W123" t="str">
        <f>PROPER(TEXT(A123,"mmmm"))</f>
        <v>Mayo</v>
      </c>
      <c r="X123" t="str">
        <f>PROPER(TEXT(A123,"dddd"))</f>
        <v>Domingo</v>
      </c>
      <c r="Y123" t="str" cm="1">
        <f t="array" ref="Y123">_xlfn.IFS(R123&gt;10,"Excelente",R123&gt;=5,"Bueno",R123&gt;=2,"Débil",R123&lt;2,"Deficiente")</f>
        <v>Excelente</v>
      </c>
      <c r="Z123" t="str">
        <f>IF(AND(R123&lt;2,Q123&gt;=100),"Revisar","OK")</f>
        <v>OK</v>
      </c>
      <c r="AA123" s="55">
        <f>_xlfn.XLOOKUP(C123,'Preguntas de negocio'!$C$114:$C$119,'Preguntas de negocio'!$D$114:$D$119,0)</f>
        <v>4</v>
      </c>
      <c r="AB123" s="55">
        <f>VLOOKUP(C123,'Preguntas de negocio'!$C$121:$D$127,2,FALSE)</f>
        <v>0.95</v>
      </c>
    </row>
    <row r="124" spans="1:28" x14ac:dyDescent="0.3">
      <c r="A124" s="1">
        <v>45775</v>
      </c>
      <c r="B124" s="2" t="s">
        <v>2624</v>
      </c>
      <c r="C124" s="2" t="s">
        <v>2515</v>
      </c>
      <c r="D124" s="2" t="s">
        <v>2531</v>
      </c>
      <c r="E124" s="2" t="s">
        <v>2529</v>
      </c>
      <c r="F124" s="3">
        <v>152550</v>
      </c>
      <c r="G124" s="3">
        <v>9882</v>
      </c>
      <c r="H124" s="3">
        <v>276</v>
      </c>
      <c r="I124" s="4">
        <v>1384.37</v>
      </c>
      <c r="J124" s="4">
        <v>21403.25</v>
      </c>
      <c r="K124" s="3">
        <v>242</v>
      </c>
      <c r="L124" s="2" t="s">
        <v>2518</v>
      </c>
      <c r="M124" s="2" t="s">
        <v>2537</v>
      </c>
      <c r="N124" s="8">
        <f>IFERROR(G124/F124,0)</f>
        <v>6.4778761061946896E-2</v>
      </c>
      <c r="O124" s="8">
        <f>IFERROR(H124/G124,0)</f>
        <v>2.7929568913175471E-2</v>
      </c>
      <c r="P124" s="4">
        <f>IFERROR(I124/G124,0)</f>
        <v>0.14009006274033595</v>
      </c>
      <c r="Q124" s="4">
        <f>IFERROR(I124/H124,0)</f>
        <v>5.0158333333333331</v>
      </c>
      <c r="R124" s="12">
        <f>IFERROR(J124/I124,0)</f>
        <v>15.46064274724243</v>
      </c>
      <c r="S124" s="7">
        <f>Tabla_nuevas_columnas[[#This Row],[ROAS]]</f>
        <v>15.46064274724243</v>
      </c>
      <c r="T124" t="str">
        <f>_xlfn.CONCAT(C124,"-",D124)</f>
        <v>Email-Portugal</v>
      </c>
      <c r="U124">
        <f>YEAR(A124)</f>
        <v>2025</v>
      </c>
      <c r="V124">
        <f>MONTH(A124)</f>
        <v>4</v>
      </c>
      <c r="W124" t="str">
        <f>PROPER(TEXT(A124,"mmmm"))</f>
        <v>Abril</v>
      </c>
      <c r="X124" t="str">
        <f>PROPER(TEXT(A124,"dddd"))</f>
        <v>Lunes</v>
      </c>
      <c r="Y124" t="str" cm="1">
        <f t="array" ref="Y124">_xlfn.IFS(R124&gt;10,"Excelente",R124&gt;=5,"Bueno",R124&gt;=2,"Débil",R124&lt;2,"Deficiente")</f>
        <v>Excelente</v>
      </c>
      <c r="Z124" t="str">
        <f>IF(AND(R124&lt;2,Q124&gt;=100),"Revisar","OK")</f>
        <v>OK</v>
      </c>
      <c r="AA124" s="55">
        <f>_xlfn.XLOOKUP(C124,'Preguntas de negocio'!$C$114:$C$119,'Preguntas de negocio'!$D$114:$D$119,0)</f>
        <v>5.5</v>
      </c>
      <c r="AB124" s="55">
        <f>VLOOKUP(C124,'Preguntas de negocio'!$C$121:$D$127,2,FALSE)</f>
        <v>0.65</v>
      </c>
    </row>
    <row r="125" spans="1:28" x14ac:dyDescent="0.3">
      <c r="A125" s="1">
        <v>45698</v>
      </c>
      <c r="B125" s="2" t="s">
        <v>2619</v>
      </c>
      <c r="C125" s="2" t="s">
        <v>2515</v>
      </c>
      <c r="D125" s="2" t="s">
        <v>2525</v>
      </c>
      <c r="E125" s="2" t="s">
        <v>2534</v>
      </c>
      <c r="F125" s="3">
        <v>112119</v>
      </c>
      <c r="G125" s="3">
        <v>6380</v>
      </c>
      <c r="H125" s="3">
        <v>601</v>
      </c>
      <c r="I125" s="4">
        <v>1706.79</v>
      </c>
      <c r="J125" s="4">
        <v>54102.23</v>
      </c>
      <c r="K125" s="3">
        <v>475</v>
      </c>
      <c r="L125" s="2" t="s">
        <v>2518</v>
      </c>
      <c r="M125" s="2" t="s">
        <v>2526</v>
      </c>
      <c r="N125" s="8">
        <f>IFERROR(G125/F125,0)</f>
        <v>5.6903825399798429E-2</v>
      </c>
      <c r="O125" s="8">
        <f>IFERROR(H125/G125,0)</f>
        <v>9.4200626959247649E-2</v>
      </c>
      <c r="P125" s="4">
        <f>IFERROR(I125/G125,0)</f>
        <v>0.26752194357366771</v>
      </c>
      <c r="Q125" s="4">
        <f>IFERROR(I125/H125,0)</f>
        <v>2.8399168053244592</v>
      </c>
      <c r="R125" s="12">
        <f>IFERROR(J125/I125,0)</f>
        <v>31.698234697883162</v>
      </c>
      <c r="S125" s="7">
        <f>Tabla_nuevas_columnas[[#This Row],[ROAS]]</f>
        <v>31.698234697883162</v>
      </c>
      <c r="T125" t="str">
        <f>_xlfn.CONCAT(C125,"-",D125)</f>
        <v>Email-Francia</v>
      </c>
      <c r="U125">
        <f>YEAR(A125)</f>
        <v>2025</v>
      </c>
      <c r="V125">
        <f>MONTH(A125)</f>
        <v>2</v>
      </c>
      <c r="W125" t="str">
        <f>PROPER(TEXT(A125,"mmmm"))</f>
        <v>Febrero</v>
      </c>
      <c r="X125" t="str">
        <f>PROPER(TEXT(A125,"dddd"))</f>
        <v>Lunes</v>
      </c>
      <c r="Y125" t="str" cm="1">
        <f t="array" ref="Y125">_xlfn.IFS(R125&gt;10,"Excelente",R125&gt;=5,"Bueno",R125&gt;=2,"Débil",R125&lt;2,"Deficiente")</f>
        <v>Excelente</v>
      </c>
      <c r="Z125" t="str">
        <f>IF(AND(R125&lt;2,Q125&gt;=100),"Revisar","OK")</f>
        <v>OK</v>
      </c>
      <c r="AA125" s="55">
        <f>_xlfn.XLOOKUP(C125,'Preguntas de negocio'!$C$114:$C$119,'Preguntas de negocio'!$D$114:$D$119,0)</f>
        <v>5.5</v>
      </c>
      <c r="AB125" s="55">
        <f>VLOOKUP(C125,'Preguntas de negocio'!$C$121:$D$127,2,FALSE)</f>
        <v>0.65</v>
      </c>
    </row>
    <row r="126" spans="1:28" x14ac:dyDescent="0.3">
      <c r="A126" s="1">
        <v>45803</v>
      </c>
      <c r="B126" s="2" t="s">
        <v>2625</v>
      </c>
      <c r="C126" s="2" t="s">
        <v>2543</v>
      </c>
      <c r="D126" s="2" t="s">
        <v>2528</v>
      </c>
      <c r="E126" s="2" t="s">
        <v>2517</v>
      </c>
      <c r="F126" s="3">
        <v>63469</v>
      </c>
      <c r="G126" s="3">
        <v>4281</v>
      </c>
      <c r="H126" s="3">
        <v>215</v>
      </c>
      <c r="I126" s="4">
        <v>5713.43</v>
      </c>
      <c r="J126" s="4">
        <v>27455.77</v>
      </c>
      <c r="K126" s="3">
        <v>160</v>
      </c>
      <c r="L126" s="2" t="s">
        <v>2539</v>
      </c>
      <c r="M126" s="2" t="s">
        <v>2519</v>
      </c>
      <c r="N126" s="8">
        <f>IFERROR(G126/F126,0)</f>
        <v>6.7450251303786096E-2</v>
      </c>
      <c r="O126" s="8">
        <f>IFERROR(H126/G126,0)</f>
        <v>5.0221910768512033E-2</v>
      </c>
      <c r="P126" s="4">
        <f>IFERROR(I126/G126,0)</f>
        <v>1.3346017285680916</v>
      </c>
      <c r="Q126" s="4">
        <f>IFERROR(I126/H126,0)</f>
        <v>26.574093023255816</v>
      </c>
      <c r="R126" s="12">
        <f>IFERROR(J126/I126,0)</f>
        <v>4.8054793705357373</v>
      </c>
      <c r="S126" s="7">
        <f>Tabla_nuevas_columnas[[#This Row],[ROAS]]</f>
        <v>4.8054793705357373</v>
      </c>
      <c r="T126" t="str">
        <f>_xlfn.CONCAT(C126,"-",D126)</f>
        <v>Organic Social-España</v>
      </c>
      <c r="U126">
        <f>YEAR(A126)</f>
        <v>2025</v>
      </c>
      <c r="V126">
        <f>MONTH(A126)</f>
        <v>5</v>
      </c>
      <c r="W126" t="str">
        <f>PROPER(TEXT(A126,"mmmm"))</f>
        <v>Mayo</v>
      </c>
      <c r="X126" t="str">
        <f>PROPER(TEXT(A126,"dddd"))</f>
        <v>Lunes</v>
      </c>
      <c r="Y126" t="str" cm="1">
        <f t="array" ref="Y126">_xlfn.IFS(R126&gt;10,"Excelente",R126&gt;=5,"Bueno",R126&gt;=2,"Débil",R126&lt;2,"Deficiente")</f>
        <v>Débil</v>
      </c>
      <c r="Z126" t="str">
        <f>IF(AND(R126&lt;2,Q126&gt;=100),"Revisar","OK")</f>
        <v>OK</v>
      </c>
      <c r="AA126" s="55">
        <f>_xlfn.XLOOKUP(C126,'Preguntas de negocio'!$C$114:$C$119,'Preguntas de negocio'!$D$114:$D$119,0)</f>
        <v>4</v>
      </c>
      <c r="AB126" s="55">
        <f>VLOOKUP(C126,'Preguntas de negocio'!$C$121:$D$127,2,FALSE)</f>
        <v>0.95</v>
      </c>
    </row>
    <row r="127" spans="1:28" x14ac:dyDescent="0.3">
      <c r="A127" s="1">
        <v>45710</v>
      </c>
      <c r="B127" s="2" t="s">
        <v>2640</v>
      </c>
      <c r="C127" s="2" t="s">
        <v>2521</v>
      </c>
      <c r="D127" s="2" t="s">
        <v>2528</v>
      </c>
      <c r="E127" s="2" t="s">
        <v>2517</v>
      </c>
      <c r="F127" s="3">
        <v>147884</v>
      </c>
      <c r="G127" s="3">
        <v>3787</v>
      </c>
      <c r="H127" s="3">
        <v>390</v>
      </c>
      <c r="I127" s="4">
        <v>6465.2</v>
      </c>
      <c r="J127" s="4">
        <v>66488.03</v>
      </c>
      <c r="K127" s="3">
        <v>176</v>
      </c>
      <c r="L127" s="2" t="s">
        <v>2518</v>
      </c>
      <c r="M127" s="2" t="s">
        <v>2524</v>
      </c>
      <c r="N127" s="8">
        <f>IFERROR(G127/F127,0)</f>
        <v>2.5607908901571504E-2</v>
      </c>
      <c r="O127" s="8">
        <f>IFERROR(H127/G127,0)</f>
        <v>0.10298389226300501</v>
      </c>
      <c r="P127" s="4">
        <f>IFERROR(I127/G127,0)</f>
        <v>1.7072088724584102</v>
      </c>
      <c r="Q127" s="4">
        <f>IFERROR(I127/H127,0)</f>
        <v>16.577435897435898</v>
      </c>
      <c r="R127" s="12">
        <f>IFERROR(J127/I127,0)</f>
        <v>10.283986574274579</v>
      </c>
      <c r="S127" s="7">
        <f>Tabla_nuevas_columnas[[#This Row],[ROAS]]</f>
        <v>10.283986574274579</v>
      </c>
      <c r="T127" t="str">
        <f>_xlfn.CONCAT(C127,"-",D127)</f>
        <v>Paid Search-España</v>
      </c>
      <c r="U127">
        <f>YEAR(A127)</f>
        <v>2025</v>
      </c>
      <c r="V127">
        <f>MONTH(A127)</f>
        <v>2</v>
      </c>
      <c r="W127" t="str">
        <f>PROPER(TEXT(A127,"mmmm"))</f>
        <v>Febrero</v>
      </c>
      <c r="X127" t="str">
        <f>PROPER(TEXT(A127,"dddd"))</f>
        <v>Sábado</v>
      </c>
      <c r="Y127" t="str" cm="1">
        <f t="array" ref="Y127">_xlfn.IFS(R127&gt;10,"Excelente",R127&gt;=5,"Bueno",R127&gt;=2,"Débil",R127&lt;2,"Deficiente")</f>
        <v>Excelente</v>
      </c>
      <c r="Z127" t="str">
        <f>IF(AND(R127&lt;2,Q127&gt;=100),"Revisar","OK")</f>
        <v>OK</v>
      </c>
      <c r="AA127" s="55">
        <f>_xlfn.XLOOKUP(C127,'Preguntas de negocio'!$C$114:$C$119,'Preguntas de negocio'!$D$114:$D$119,0)</f>
        <v>5</v>
      </c>
      <c r="AB127" s="55">
        <f>VLOOKUP(C127,'Preguntas de negocio'!$C$121:$D$127,2,FALSE)</f>
        <v>1.1000000000000001</v>
      </c>
    </row>
    <row r="128" spans="1:28" x14ac:dyDescent="0.3">
      <c r="A128" s="1">
        <v>46008</v>
      </c>
      <c r="B128" s="2" t="s">
        <v>2621</v>
      </c>
      <c r="C128" s="2" t="s">
        <v>2527</v>
      </c>
      <c r="D128" s="2" t="s">
        <v>2522</v>
      </c>
      <c r="E128" s="2" t="s">
        <v>2517</v>
      </c>
      <c r="F128" s="3">
        <v>133022</v>
      </c>
      <c r="G128" s="3">
        <v>10526</v>
      </c>
      <c r="H128" s="3">
        <v>1091</v>
      </c>
      <c r="I128" s="4">
        <v>1592.72</v>
      </c>
      <c r="J128" s="4">
        <v>21694.43</v>
      </c>
      <c r="K128" s="3">
        <v>846</v>
      </c>
      <c r="L128" s="2" t="s">
        <v>2539</v>
      </c>
      <c r="M128" s="2" t="s">
        <v>2546</v>
      </c>
      <c r="N128" s="8">
        <f>IFERROR(G128/F128,0)</f>
        <v>7.9129768008299378E-2</v>
      </c>
      <c r="O128" s="8">
        <f>IFERROR(H128/G128,0)</f>
        <v>0.1036481094432833</v>
      </c>
      <c r="P128" s="4">
        <f>IFERROR(I128/G128,0)</f>
        <v>0.15131293938818166</v>
      </c>
      <c r="Q128" s="4">
        <f>IFERROR(I128/H128,0)</f>
        <v>1.4598716773602201</v>
      </c>
      <c r="R128" s="12">
        <f>IFERROR(J128/I128,0)</f>
        <v>13.620994273946456</v>
      </c>
      <c r="S128" s="7">
        <f>Tabla_nuevas_columnas[[#This Row],[ROAS]]</f>
        <v>13.620994273946456</v>
      </c>
      <c r="T128" t="str">
        <f>_xlfn.CONCAT(C128,"-",D128)</f>
        <v>Affiliate-Italia</v>
      </c>
      <c r="U128">
        <f>YEAR(A128)</f>
        <v>2025</v>
      </c>
      <c r="V128">
        <f>MONTH(A128)</f>
        <v>12</v>
      </c>
      <c r="W128" t="str">
        <f>PROPER(TEXT(A128,"mmmm"))</f>
        <v>Diciembre</v>
      </c>
      <c r="X128" t="str">
        <f>PROPER(TEXT(A128,"dddd"))</f>
        <v>Miércoles</v>
      </c>
      <c r="Y128" t="str" cm="1">
        <f t="array" ref="Y128">_xlfn.IFS(R128&gt;10,"Excelente",R128&gt;=5,"Bueno",R128&gt;=2,"Débil",R128&lt;2,"Deficiente")</f>
        <v>Excelente</v>
      </c>
      <c r="Z128" t="str">
        <f>IF(AND(R128&lt;2,Q128&gt;=100),"Revisar","OK")</f>
        <v>OK</v>
      </c>
      <c r="AA128" s="55">
        <f>_xlfn.XLOOKUP(C128,'Preguntas de negocio'!$C$114:$C$119,'Preguntas de negocio'!$D$114:$D$119,0)</f>
        <v>4.5</v>
      </c>
      <c r="AB128" s="55">
        <f>VLOOKUP(C128,'Preguntas de negocio'!$C$121:$D$127,2,FALSE)</f>
        <v>0.35</v>
      </c>
    </row>
    <row r="129" spans="1:28" x14ac:dyDescent="0.3">
      <c r="A129" s="1">
        <v>46019</v>
      </c>
      <c r="B129" s="2" t="s">
        <v>2625</v>
      </c>
      <c r="C129" s="2" t="s">
        <v>2533</v>
      </c>
      <c r="D129" s="2" t="s">
        <v>2516</v>
      </c>
      <c r="E129" s="2" t="s">
        <v>2517</v>
      </c>
      <c r="F129" s="3">
        <v>100094</v>
      </c>
      <c r="G129" s="3">
        <v>1969</v>
      </c>
      <c r="H129" s="3">
        <v>134</v>
      </c>
      <c r="I129" s="4">
        <v>2790.29</v>
      </c>
      <c r="J129" s="4">
        <v>23430.25</v>
      </c>
      <c r="K129" s="3">
        <v>106</v>
      </c>
      <c r="L129" s="2" t="s">
        <v>2518</v>
      </c>
      <c r="M129" s="2" t="s">
        <v>2524</v>
      </c>
      <c r="N129" s="8">
        <f>IFERROR(G129/F129,0)</f>
        <v>1.9671508781745159E-2</v>
      </c>
      <c r="O129" s="8">
        <f>IFERROR(H129/G129,0)</f>
        <v>6.80548501777552E-2</v>
      </c>
      <c r="P129" s="4">
        <f>IFERROR(I129/G129,0)</f>
        <v>1.4171102082275266</v>
      </c>
      <c r="Q129" s="4">
        <f>IFERROR(I129/H129,0)</f>
        <v>20.823059701492536</v>
      </c>
      <c r="R129" s="12">
        <f>IFERROR(J129/I129,0)</f>
        <v>8.3970662547620503</v>
      </c>
      <c r="S129" s="7">
        <f>Tabla_nuevas_columnas[[#This Row],[ROAS]]</f>
        <v>8.3970662547620503</v>
      </c>
      <c r="T129" t="str">
        <f>_xlfn.CONCAT(C129,"-",D129)</f>
        <v>Paid Social-México</v>
      </c>
      <c r="U129">
        <f>YEAR(A129)</f>
        <v>2025</v>
      </c>
      <c r="V129">
        <f>MONTH(A129)</f>
        <v>12</v>
      </c>
      <c r="W129" t="str">
        <f>PROPER(TEXT(A129,"mmmm"))</f>
        <v>Diciembre</v>
      </c>
      <c r="X129" t="str">
        <f>PROPER(TEXT(A129,"dddd"))</f>
        <v>Domingo</v>
      </c>
      <c r="Y129" t="str" cm="1">
        <f t="array" ref="Y129">_xlfn.IFS(R129&gt;10,"Excelente",R129&gt;=5,"Bueno",R129&gt;=2,"Débil",R129&lt;2,"Deficiente")</f>
        <v>Bueno</v>
      </c>
      <c r="Z129" t="str">
        <f>IF(AND(R129&lt;2,Q129&gt;=100),"Revisar","OK")</f>
        <v>OK</v>
      </c>
      <c r="AA129" s="55">
        <f>_xlfn.XLOOKUP(C129,'Preguntas de negocio'!$C$114:$C$119,'Preguntas de negocio'!$D$114:$D$119,0)</f>
        <v>6</v>
      </c>
      <c r="AB129" s="55">
        <f>VLOOKUP(C129,'Preguntas de negocio'!$C$121:$D$127,2,FALSE)</f>
        <v>0.8</v>
      </c>
    </row>
    <row r="130" spans="1:28" x14ac:dyDescent="0.3">
      <c r="A130" s="1">
        <v>45935</v>
      </c>
      <c r="B130" s="2" t="s">
        <v>2628</v>
      </c>
      <c r="C130" s="2" t="s">
        <v>2645</v>
      </c>
      <c r="D130" s="2" t="s">
        <v>2522</v>
      </c>
      <c r="E130" s="2" t="s">
        <v>2529</v>
      </c>
      <c r="F130" s="3">
        <v>103365</v>
      </c>
      <c r="G130" s="3">
        <v>6169</v>
      </c>
      <c r="H130" s="3">
        <v>521</v>
      </c>
      <c r="I130" s="4">
        <v>12257.09</v>
      </c>
      <c r="J130" s="4">
        <v>70918.399999999994</v>
      </c>
      <c r="K130" s="3">
        <v>364</v>
      </c>
      <c r="L130" s="2" t="s">
        <v>2536</v>
      </c>
      <c r="M130" s="2" t="s">
        <v>2526</v>
      </c>
      <c r="N130" s="8">
        <f>IFERROR(G130/F130,0)</f>
        <v>5.9681710443573746E-2</v>
      </c>
      <c r="O130" s="8">
        <f>IFERROR(H130/G130,0)</f>
        <v>8.4454530718106657E-2</v>
      </c>
      <c r="P130" s="4">
        <f>IFERROR(I130/G130,0)</f>
        <v>1.9868844221105528</v>
      </c>
      <c r="Q130" s="4">
        <f>IFERROR(I130/H130,0)</f>
        <v>23.526084452975049</v>
      </c>
      <c r="R130" s="12">
        <f>IFERROR(J130/I130,0)</f>
        <v>5.7859084007704924</v>
      </c>
      <c r="S130" s="7">
        <f>Tabla_nuevas_columnas[[#This Row],[ROAS]]</f>
        <v>5.7859084007704924</v>
      </c>
      <c r="T130" t="str">
        <f>_xlfn.CONCAT(C130,"-",D130)</f>
        <v>Por identificar-Italia</v>
      </c>
      <c r="U130">
        <f>YEAR(A130)</f>
        <v>2025</v>
      </c>
      <c r="V130">
        <f>MONTH(A130)</f>
        <v>10</v>
      </c>
      <c r="W130" t="str">
        <f>PROPER(TEXT(A130,"mmmm"))</f>
        <v>Octubre</v>
      </c>
      <c r="X130" t="str">
        <f>PROPER(TEXT(A130,"dddd"))</f>
        <v>Domingo</v>
      </c>
      <c r="Y130" t="str" cm="1">
        <f t="array" ref="Y130">_xlfn.IFS(R130&gt;10,"Excelente",R130&gt;=5,"Bueno",R130&gt;=2,"Débil",R130&lt;2,"Deficiente")</f>
        <v>Bueno</v>
      </c>
      <c r="Z130" t="str">
        <f>IF(AND(R130&lt;2,Q130&gt;=100),"Revisar","OK")</f>
        <v>OK</v>
      </c>
      <c r="AA130" s="55">
        <f>_xlfn.XLOOKUP(C130,'Preguntas de negocio'!$C$114:$C$119,'Preguntas de negocio'!$D$114:$D$119,0)</f>
        <v>0</v>
      </c>
      <c r="AB130" s="55">
        <f>VLOOKUP(C130,'Preguntas de negocio'!$C$121:$D$127,2,FALSE)</f>
        <v>0</v>
      </c>
    </row>
    <row r="131" spans="1:28" x14ac:dyDescent="0.3">
      <c r="A131" s="1">
        <v>45766</v>
      </c>
      <c r="B131" s="2" t="s">
        <v>2638</v>
      </c>
      <c r="C131" s="2" t="s">
        <v>2533</v>
      </c>
      <c r="D131" s="2" t="s">
        <v>2522</v>
      </c>
      <c r="E131" s="2" t="s">
        <v>2534</v>
      </c>
      <c r="F131" s="3">
        <v>31914</v>
      </c>
      <c r="G131" s="3">
        <v>856</v>
      </c>
      <c r="H131" s="3">
        <v>66</v>
      </c>
      <c r="I131" s="4">
        <v>892.79</v>
      </c>
      <c r="J131" s="4">
        <v>4847.6400000000003</v>
      </c>
      <c r="K131" s="3">
        <v>36</v>
      </c>
      <c r="L131" s="2" t="s">
        <v>2523</v>
      </c>
      <c r="M131" s="2" t="s">
        <v>2537</v>
      </c>
      <c r="N131" s="8">
        <f>IFERROR(G131/F131,0)</f>
        <v>2.6822084351695179E-2</v>
      </c>
      <c r="O131" s="8">
        <f>IFERROR(H131/G131,0)</f>
        <v>7.7102803738317752E-2</v>
      </c>
      <c r="P131" s="4">
        <f>IFERROR(I131/G131,0)</f>
        <v>1.0429789719626168</v>
      </c>
      <c r="Q131" s="4">
        <f>IFERROR(I131/H131,0)</f>
        <v>13.527121212121212</v>
      </c>
      <c r="R131" s="12">
        <f>IFERROR(J131/I131,0)</f>
        <v>5.4297651183368991</v>
      </c>
      <c r="S131" s="7">
        <f>Tabla_nuevas_columnas[[#This Row],[ROAS]]</f>
        <v>5.4297651183368991</v>
      </c>
      <c r="T131" t="str">
        <f>_xlfn.CONCAT(C131,"-",D131)</f>
        <v>Paid Social-Italia</v>
      </c>
      <c r="U131">
        <f>YEAR(A131)</f>
        <v>2025</v>
      </c>
      <c r="V131">
        <f>MONTH(A131)</f>
        <v>4</v>
      </c>
      <c r="W131" t="str">
        <f>PROPER(TEXT(A131,"mmmm"))</f>
        <v>Abril</v>
      </c>
      <c r="X131" t="str">
        <f>PROPER(TEXT(A131,"dddd"))</f>
        <v>Sábado</v>
      </c>
      <c r="Y131" t="str" cm="1">
        <f t="array" ref="Y131">_xlfn.IFS(R131&gt;10,"Excelente",R131&gt;=5,"Bueno",R131&gt;=2,"Débil",R131&lt;2,"Deficiente")</f>
        <v>Bueno</v>
      </c>
      <c r="Z131" t="str">
        <f>IF(AND(R131&lt;2,Q131&gt;=100),"Revisar","OK")</f>
        <v>OK</v>
      </c>
      <c r="AA131" s="55">
        <f>_xlfn.XLOOKUP(C131,'Preguntas de negocio'!$C$114:$C$119,'Preguntas de negocio'!$D$114:$D$119,0)</f>
        <v>6</v>
      </c>
      <c r="AB131" s="55">
        <f>VLOOKUP(C131,'Preguntas de negocio'!$C$121:$D$127,2,FALSE)</f>
        <v>0.8</v>
      </c>
    </row>
    <row r="132" spans="1:28" x14ac:dyDescent="0.3">
      <c r="A132" s="1">
        <v>45665</v>
      </c>
      <c r="B132" s="2" t="s">
        <v>2621</v>
      </c>
      <c r="C132" s="2" t="s">
        <v>2533</v>
      </c>
      <c r="D132" s="2" t="s">
        <v>2525</v>
      </c>
      <c r="E132" s="2" t="s">
        <v>2529</v>
      </c>
      <c r="F132" s="3">
        <v>138819</v>
      </c>
      <c r="G132" s="3">
        <v>2950</v>
      </c>
      <c r="H132" s="3">
        <v>187</v>
      </c>
      <c r="I132" s="4">
        <v>4263.57</v>
      </c>
      <c r="J132" s="4">
        <v>24624.94</v>
      </c>
      <c r="K132" s="3">
        <v>89</v>
      </c>
      <c r="L132" s="2" t="s">
        <v>2539</v>
      </c>
      <c r="M132" s="2" t="s">
        <v>2524</v>
      </c>
      <c r="N132" s="8">
        <f>IFERROR(G132/F132,0)</f>
        <v>2.1250693348893162E-2</v>
      </c>
      <c r="O132" s="8">
        <f>IFERROR(H132/G132,0)</f>
        <v>6.3389830508474576E-2</v>
      </c>
      <c r="P132" s="4">
        <f>IFERROR(I132/G132,0)</f>
        <v>1.4452779661016948</v>
      </c>
      <c r="Q132" s="4">
        <f>IFERROR(I132/H132,0)</f>
        <v>22.799839572192511</v>
      </c>
      <c r="R132" s="12">
        <f>IFERROR(J132/I132,0)</f>
        <v>5.7756621798164449</v>
      </c>
      <c r="S132" s="7">
        <f>Tabla_nuevas_columnas[[#This Row],[ROAS]]</f>
        <v>5.7756621798164449</v>
      </c>
      <c r="T132" t="str">
        <f>_xlfn.CONCAT(C132,"-",D132)</f>
        <v>Paid Social-Francia</v>
      </c>
      <c r="U132">
        <f>YEAR(A132)</f>
        <v>2025</v>
      </c>
      <c r="V132">
        <f>MONTH(A132)</f>
        <v>1</v>
      </c>
      <c r="W132" t="str">
        <f>PROPER(TEXT(A132,"mmmm"))</f>
        <v>Enero</v>
      </c>
      <c r="X132" t="str">
        <f>PROPER(TEXT(A132,"dddd"))</f>
        <v>Miércoles</v>
      </c>
      <c r="Y132" t="str" cm="1">
        <f t="array" ref="Y132">_xlfn.IFS(R132&gt;10,"Excelente",R132&gt;=5,"Bueno",R132&gt;=2,"Débil",R132&lt;2,"Deficiente")</f>
        <v>Bueno</v>
      </c>
      <c r="Z132" t="str">
        <f>IF(AND(R132&lt;2,Q132&gt;=100),"Revisar","OK")</f>
        <v>OK</v>
      </c>
      <c r="AA132" s="55">
        <f>_xlfn.XLOOKUP(C132,'Preguntas de negocio'!$C$114:$C$119,'Preguntas de negocio'!$D$114:$D$119,0)</f>
        <v>6</v>
      </c>
      <c r="AB132" s="55">
        <f>VLOOKUP(C132,'Preguntas de negocio'!$C$121:$D$127,2,FALSE)</f>
        <v>0.8</v>
      </c>
    </row>
    <row r="133" spans="1:28" x14ac:dyDescent="0.3">
      <c r="A133" s="1">
        <v>45916</v>
      </c>
      <c r="B133" s="2" t="s">
        <v>2615</v>
      </c>
      <c r="C133" s="2" t="s">
        <v>2533</v>
      </c>
      <c r="D133" s="2" t="s">
        <v>2531</v>
      </c>
      <c r="E133" s="2" t="s">
        <v>2529</v>
      </c>
      <c r="F133" s="3">
        <v>36595</v>
      </c>
      <c r="G133" s="3">
        <v>1891</v>
      </c>
      <c r="H133" s="3">
        <v>109</v>
      </c>
      <c r="I133" s="4">
        <v>2139.31</v>
      </c>
      <c r="J133" s="4">
        <v>19247.150000000001</v>
      </c>
      <c r="K133" s="3">
        <v>79</v>
      </c>
      <c r="L133" s="2" t="s">
        <v>2536</v>
      </c>
      <c r="M133" s="2" t="s">
        <v>2546</v>
      </c>
      <c r="N133" s="8">
        <f>IFERROR(G133/F133,0)</f>
        <v>5.1673725918841375E-2</v>
      </c>
      <c r="O133" s="8">
        <f>IFERROR(H133/G133,0)</f>
        <v>5.7641459545214171E-2</v>
      </c>
      <c r="P133" s="4">
        <f>IFERROR(I133/G133,0)</f>
        <v>1.1313114754098361</v>
      </c>
      <c r="Q133" s="4">
        <f>IFERROR(I133/H133,0)</f>
        <v>19.626697247706421</v>
      </c>
      <c r="R133" s="12">
        <f>IFERROR(J133/I133,0)</f>
        <v>8.9968961955022895</v>
      </c>
      <c r="S133" s="7">
        <f>Tabla_nuevas_columnas[[#This Row],[ROAS]]</f>
        <v>8.9968961955022895</v>
      </c>
      <c r="T133" t="str">
        <f>_xlfn.CONCAT(C133,"-",D133)</f>
        <v>Paid Social-Portugal</v>
      </c>
      <c r="U133">
        <f>YEAR(A133)</f>
        <v>2025</v>
      </c>
      <c r="V133">
        <f>MONTH(A133)</f>
        <v>9</v>
      </c>
      <c r="W133" t="str">
        <f>PROPER(TEXT(A133,"mmmm"))</f>
        <v>Septiembre</v>
      </c>
      <c r="X133" t="str">
        <f>PROPER(TEXT(A133,"dddd"))</f>
        <v>Martes</v>
      </c>
      <c r="Y133" t="str" cm="1">
        <f t="array" ref="Y133">_xlfn.IFS(R133&gt;10,"Excelente",R133&gt;=5,"Bueno",R133&gt;=2,"Débil",R133&lt;2,"Deficiente")</f>
        <v>Bueno</v>
      </c>
      <c r="Z133" t="str">
        <f>IF(AND(R133&lt;2,Q133&gt;=100),"Revisar","OK")</f>
        <v>OK</v>
      </c>
      <c r="AA133" s="55">
        <f>_xlfn.XLOOKUP(C133,'Preguntas de negocio'!$C$114:$C$119,'Preguntas de negocio'!$D$114:$D$119,0)</f>
        <v>6</v>
      </c>
      <c r="AB133" s="55">
        <f>VLOOKUP(C133,'Preguntas de negocio'!$C$121:$D$127,2,FALSE)</f>
        <v>0.8</v>
      </c>
    </row>
    <row r="134" spans="1:28" x14ac:dyDescent="0.3">
      <c r="A134" s="1">
        <v>45836</v>
      </c>
      <c r="B134" s="2" t="s">
        <v>2619</v>
      </c>
      <c r="C134" s="2" t="s">
        <v>2543</v>
      </c>
      <c r="D134" s="2" t="s">
        <v>2528</v>
      </c>
      <c r="E134" s="2" t="s">
        <v>2517</v>
      </c>
      <c r="F134" s="3">
        <v>164535</v>
      </c>
      <c r="G134" s="3">
        <v>3912</v>
      </c>
      <c r="H134" s="3">
        <v>539</v>
      </c>
      <c r="I134" s="4">
        <v>4300.55</v>
      </c>
      <c r="J134" s="4">
        <v>58327.65</v>
      </c>
      <c r="K134" s="3">
        <v>249</v>
      </c>
      <c r="L134" s="2" t="s">
        <v>2536</v>
      </c>
      <c r="M134" s="2" t="s">
        <v>2546</v>
      </c>
      <c r="N134" s="8">
        <f>IFERROR(G134/F134,0)</f>
        <v>2.3776096271310054E-2</v>
      </c>
      <c r="O134" s="8">
        <f>IFERROR(H134/G134,0)</f>
        <v>0.13778118609406953</v>
      </c>
      <c r="P134" s="4">
        <f>IFERROR(I134/G134,0)</f>
        <v>1.0993225971370144</v>
      </c>
      <c r="Q134" s="4">
        <f>IFERROR(I134/H134,0)</f>
        <v>7.9787569573283861</v>
      </c>
      <c r="R134" s="12">
        <f>IFERROR(J134/I134,0)</f>
        <v>13.562834986222692</v>
      </c>
      <c r="S134" s="7">
        <f>Tabla_nuevas_columnas[[#This Row],[ROAS]]</f>
        <v>13.562834986222692</v>
      </c>
      <c r="T134" t="str">
        <f>_xlfn.CONCAT(C134,"-",D134)</f>
        <v>Organic Social-España</v>
      </c>
      <c r="U134">
        <f>YEAR(A134)</f>
        <v>2025</v>
      </c>
      <c r="V134">
        <f>MONTH(A134)</f>
        <v>6</v>
      </c>
      <c r="W134" t="str">
        <f>PROPER(TEXT(A134,"mmmm"))</f>
        <v>Junio</v>
      </c>
      <c r="X134" t="str">
        <f>PROPER(TEXT(A134,"dddd"))</f>
        <v>Sábado</v>
      </c>
      <c r="Y134" t="str" cm="1">
        <f t="array" ref="Y134">_xlfn.IFS(R134&gt;10,"Excelente",R134&gt;=5,"Bueno",R134&gt;=2,"Débil",R134&lt;2,"Deficiente")</f>
        <v>Excelente</v>
      </c>
      <c r="Z134" t="str">
        <f>IF(AND(R134&lt;2,Q134&gt;=100),"Revisar","OK")</f>
        <v>OK</v>
      </c>
      <c r="AA134" s="55">
        <f>_xlfn.XLOOKUP(C134,'Preguntas de negocio'!$C$114:$C$119,'Preguntas de negocio'!$D$114:$D$119,0)</f>
        <v>4</v>
      </c>
      <c r="AB134" s="55">
        <f>VLOOKUP(C134,'Preguntas de negocio'!$C$121:$D$127,2,FALSE)</f>
        <v>0.95</v>
      </c>
    </row>
    <row r="135" spans="1:28" x14ac:dyDescent="0.3">
      <c r="A135" s="1">
        <v>45870</v>
      </c>
      <c r="B135" s="2" t="s">
        <v>2636</v>
      </c>
      <c r="C135" s="2" t="s">
        <v>2521</v>
      </c>
      <c r="D135" s="2" t="s">
        <v>2528</v>
      </c>
      <c r="E135" s="2" t="s">
        <v>2517</v>
      </c>
      <c r="F135" s="3">
        <v>27241</v>
      </c>
      <c r="G135" s="3">
        <v>1316</v>
      </c>
      <c r="H135" s="3">
        <v>88</v>
      </c>
      <c r="I135" s="4">
        <v>664.57</v>
      </c>
      <c r="J135" s="4">
        <v>4930.3900000000003</v>
      </c>
      <c r="K135" s="3">
        <v>46</v>
      </c>
      <c r="L135" s="2" t="s">
        <v>2518</v>
      </c>
      <c r="M135" s="2" t="s">
        <v>2526</v>
      </c>
      <c r="N135" s="8">
        <f>IFERROR(G135/F135,0)</f>
        <v>4.8309533423883118E-2</v>
      </c>
      <c r="O135" s="8">
        <f>IFERROR(H135/G135,0)</f>
        <v>6.6869300911854099E-2</v>
      </c>
      <c r="P135" s="4">
        <f>IFERROR(I135/G135,0)</f>
        <v>0.50499240121580546</v>
      </c>
      <c r="Q135" s="4">
        <f>IFERROR(I135/H135,0)</f>
        <v>7.5519318181818189</v>
      </c>
      <c r="R135" s="12">
        <f>IFERROR(J135/I135,0)</f>
        <v>7.4189174955234209</v>
      </c>
      <c r="S135" s="7">
        <f>Tabla_nuevas_columnas[[#This Row],[ROAS]]</f>
        <v>7.4189174955234209</v>
      </c>
      <c r="T135" t="str">
        <f>_xlfn.CONCAT(C135,"-",D135)</f>
        <v>Paid Search-España</v>
      </c>
      <c r="U135">
        <f>YEAR(A135)</f>
        <v>2025</v>
      </c>
      <c r="V135">
        <f>MONTH(A135)</f>
        <v>8</v>
      </c>
      <c r="W135" t="str">
        <f>PROPER(TEXT(A135,"mmmm"))</f>
        <v>Agosto</v>
      </c>
      <c r="X135" t="str">
        <f>PROPER(TEXT(A135,"dddd"))</f>
        <v>Viernes</v>
      </c>
      <c r="Y135" t="str" cm="1">
        <f t="array" ref="Y135">_xlfn.IFS(R135&gt;10,"Excelente",R135&gt;=5,"Bueno",R135&gt;=2,"Débil",R135&lt;2,"Deficiente")</f>
        <v>Bueno</v>
      </c>
      <c r="Z135" t="str">
        <f>IF(AND(R135&lt;2,Q135&gt;=100),"Revisar","OK")</f>
        <v>OK</v>
      </c>
      <c r="AA135" s="55">
        <f>_xlfn.XLOOKUP(C135,'Preguntas de negocio'!$C$114:$C$119,'Preguntas de negocio'!$D$114:$D$119,0)</f>
        <v>5</v>
      </c>
      <c r="AB135" s="55">
        <f>VLOOKUP(C135,'Preguntas de negocio'!$C$121:$D$127,2,FALSE)</f>
        <v>1.1000000000000001</v>
      </c>
    </row>
    <row r="136" spans="1:28" x14ac:dyDescent="0.3">
      <c r="A136" s="1">
        <v>45805</v>
      </c>
      <c r="B136" s="2" t="s">
        <v>2638</v>
      </c>
      <c r="C136" s="2" t="s">
        <v>2521</v>
      </c>
      <c r="D136" s="2" t="s">
        <v>2528</v>
      </c>
      <c r="E136" s="2" t="s">
        <v>2517</v>
      </c>
      <c r="F136" s="3">
        <v>68241</v>
      </c>
      <c r="G136" s="3">
        <v>5400</v>
      </c>
      <c r="H136" s="3">
        <v>76</v>
      </c>
      <c r="I136" s="4">
        <v>5656.65</v>
      </c>
      <c r="J136" s="4">
        <v>7573.44</v>
      </c>
      <c r="K136" s="3">
        <v>55</v>
      </c>
      <c r="L136" s="2" t="s">
        <v>2523</v>
      </c>
      <c r="M136" s="2" t="s">
        <v>2537</v>
      </c>
      <c r="N136" s="8">
        <f>IFERROR(G136/F136,0)</f>
        <v>7.9131314019431132E-2</v>
      </c>
      <c r="O136" s="8">
        <f>IFERROR(H136/G136,0)</f>
        <v>1.4074074074074074E-2</v>
      </c>
      <c r="P136" s="4">
        <f>IFERROR(I136/G136,0)</f>
        <v>1.0475277777777776</v>
      </c>
      <c r="Q136" s="4">
        <f>IFERROR(I136/H136,0)</f>
        <v>74.429605263157896</v>
      </c>
      <c r="R136" s="12">
        <f>IFERROR(J136/I136,0)</f>
        <v>1.3388560367001672</v>
      </c>
      <c r="S136" s="7">
        <f>Tabla_nuevas_columnas[[#This Row],[ROAS]]</f>
        <v>1.3388560367001672</v>
      </c>
      <c r="T136" t="str">
        <f>_xlfn.CONCAT(C136,"-",D136)</f>
        <v>Paid Search-España</v>
      </c>
      <c r="U136">
        <f>YEAR(A136)</f>
        <v>2025</v>
      </c>
      <c r="V136">
        <f>MONTH(A136)</f>
        <v>5</v>
      </c>
      <c r="W136" t="str">
        <f>PROPER(TEXT(A136,"mmmm"))</f>
        <v>Mayo</v>
      </c>
      <c r="X136" t="str">
        <f>PROPER(TEXT(A136,"dddd"))</f>
        <v>Miércoles</v>
      </c>
      <c r="Y136" t="str" cm="1">
        <f t="array" ref="Y136">_xlfn.IFS(R136&gt;10,"Excelente",R136&gt;=5,"Bueno",R136&gt;=2,"Débil",R136&lt;2,"Deficiente")</f>
        <v>Deficiente</v>
      </c>
      <c r="Z136" t="str">
        <f>IF(AND(R136&lt;2,Q136&gt;=100),"Revisar","OK")</f>
        <v>OK</v>
      </c>
      <c r="AA136" s="55">
        <f>_xlfn.XLOOKUP(C136,'Preguntas de negocio'!$C$114:$C$119,'Preguntas de negocio'!$D$114:$D$119,0)</f>
        <v>5</v>
      </c>
      <c r="AB136" s="55">
        <f>VLOOKUP(C136,'Preguntas de negocio'!$C$121:$D$127,2,FALSE)</f>
        <v>1.1000000000000001</v>
      </c>
    </row>
    <row r="137" spans="1:28" x14ac:dyDescent="0.3">
      <c r="A137" s="1">
        <v>45728</v>
      </c>
      <c r="B137" s="2" t="s">
        <v>2639</v>
      </c>
      <c r="C137" s="2" t="s">
        <v>2543</v>
      </c>
      <c r="D137" s="2" t="s">
        <v>2531</v>
      </c>
      <c r="E137" s="2" t="s">
        <v>2517</v>
      </c>
      <c r="F137" s="3">
        <v>116273</v>
      </c>
      <c r="G137" s="3">
        <v>7385</v>
      </c>
      <c r="H137" s="3">
        <v>510</v>
      </c>
      <c r="I137" s="4">
        <v>13188.13</v>
      </c>
      <c r="J137" s="4">
        <v>90766.58</v>
      </c>
      <c r="K137" s="3">
        <v>315</v>
      </c>
      <c r="L137" s="2" t="s">
        <v>2536</v>
      </c>
      <c r="M137" s="2" t="s">
        <v>2519</v>
      </c>
      <c r="N137" s="8">
        <f>IFERROR(G137/F137,0)</f>
        <v>6.3514315447266351E-2</v>
      </c>
      <c r="O137" s="8">
        <f>IFERROR(H137/G137,0)</f>
        <v>6.905890318212593E-2</v>
      </c>
      <c r="P137" s="4">
        <f>IFERROR(I137/G137,0)</f>
        <v>1.7857995937711577</v>
      </c>
      <c r="Q137" s="4">
        <f>IFERROR(I137/H137,0)</f>
        <v>25.859078431372549</v>
      </c>
      <c r="R137" s="12">
        <f>IFERROR(J137/I137,0)</f>
        <v>6.8824450471749978</v>
      </c>
      <c r="S137" s="7">
        <f>Tabla_nuevas_columnas[[#This Row],[ROAS]]</f>
        <v>6.8824450471749978</v>
      </c>
      <c r="T137" t="str">
        <f>_xlfn.CONCAT(C137,"-",D137)</f>
        <v>Organic Social-Portugal</v>
      </c>
      <c r="U137">
        <f>YEAR(A137)</f>
        <v>2025</v>
      </c>
      <c r="V137">
        <f>MONTH(A137)</f>
        <v>3</v>
      </c>
      <c r="W137" t="str">
        <f>PROPER(TEXT(A137,"mmmm"))</f>
        <v>Marzo</v>
      </c>
      <c r="X137" t="str">
        <f>PROPER(TEXT(A137,"dddd"))</f>
        <v>Miércoles</v>
      </c>
      <c r="Y137" t="str" cm="1">
        <f t="array" ref="Y137">_xlfn.IFS(R137&gt;10,"Excelente",R137&gt;=5,"Bueno",R137&gt;=2,"Débil",R137&lt;2,"Deficiente")</f>
        <v>Bueno</v>
      </c>
      <c r="Z137" t="str">
        <f>IF(AND(R137&lt;2,Q137&gt;=100),"Revisar","OK")</f>
        <v>OK</v>
      </c>
      <c r="AA137" s="55">
        <f>_xlfn.XLOOKUP(C137,'Preguntas de negocio'!$C$114:$C$119,'Preguntas de negocio'!$D$114:$D$119,0)</f>
        <v>4</v>
      </c>
      <c r="AB137" s="55">
        <f>VLOOKUP(C137,'Preguntas de negocio'!$C$121:$D$127,2,FALSE)</f>
        <v>0.95</v>
      </c>
    </row>
    <row r="138" spans="1:28" x14ac:dyDescent="0.3">
      <c r="A138" s="1">
        <v>46005</v>
      </c>
      <c r="B138" s="2" t="s">
        <v>2635</v>
      </c>
      <c r="C138" s="2" t="s">
        <v>2527</v>
      </c>
      <c r="D138" s="2" t="s">
        <v>2516</v>
      </c>
      <c r="E138" s="2" t="s">
        <v>2517</v>
      </c>
      <c r="F138" s="3">
        <v>50511</v>
      </c>
      <c r="G138" s="3">
        <v>290</v>
      </c>
      <c r="H138" s="3">
        <v>34</v>
      </c>
      <c r="I138" s="4">
        <v>552.38</v>
      </c>
      <c r="J138" s="4">
        <v>3612.1</v>
      </c>
      <c r="K138" s="3">
        <v>30</v>
      </c>
      <c r="L138" s="2" t="s">
        <v>2523</v>
      </c>
      <c r="M138" s="2" t="s">
        <v>2537</v>
      </c>
      <c r="N138" s="8">
        <f>IFERROR(G138/F138,0)</f>
        <v>5.7413236720714302E-3</v>
      </c>
      <c r="O138" s="8">
        <f>IFERROR(H138/G138,0)</f>
        <v>0.11724137931034483</v>
      </c>
      <c r="P138" s="4">
        <f>IFERROR(I138/G138,0)</f>
        <v>1.9047586206896552</v>
      </c>
      <c r="Q138" s="4">
        <f>IFERROR(I138/H138,0)</f>
        <v>16.246470588235294</v>
      </c>
      <c r="R138" s="12">
        <f>IFERROR(J138/I138,0)</f>
        <v>6.5391578261341827</v>
      </c>
      <c r="S138" s="7">
        <f>Tabla_nuevas_columnas[[#This Row],[ROAS]]</f>
        <v>6.5391578261341827</v>
      </c>
      <c r="T138" t="str">
        <f>_xlfn.CONCAT(C138,"-",D138)</f>
        <v>Affiliate-México</v>
      </c>
      <c r="U138">
        <f>YEAR(A138)</f>
        <v>2025</v>
      </c>
      <c r="V138">
        <f>MONTH(A138)</f>
        <v>12</v>
      </c>
      <c r="W138" t="str">
        <f>PROPER(TEXT(A138,"mmmm"))</f>
        <v>Diciembre</v>
      </c>
      <c r="X138" t="str">
        <f>PROPER(TEXT(A138,"dddd"))</f>
        <v>Domingo</v>
      </c>
      <c r="Y138" t="str" cm="1">
        <f t="array" ref="Y138">_xlfn.IFS(R138&gt;10,"Excelente",R138&gt;=5,"Bueno",R138&gt;=2,"Débil",R138&lt;2,"Deficiente")</f>
        <v>Bueno</v>
      </c>
      <c r="Z138" t="str">
        <f>IF(AND(R138&lt;2,Q138&gt;=100),"Revisar","OK")</f>
        <v>OK</v>
      </c>
      <c r="AA138" s="55">
        <f>_xlfn.XLOOKUP(C138,'Preguntas de negocio'!$C$114:$C$119,'Preguntas de negocio'!$D$114:$D$119,0)</f>
        <v>4.5</v>
      </c>
      <c r="AB138" s="55">
        <f>VLOOKUP(C138,'Preguntas de negocio'!$C$121:$D$127,2,FALSE)</f>
        <v>0.35</v>
      </c>
    </row>
    <row r="139" spans="1:28" x14ac:dyDescent="0.3">
      <c r="A139" s="1">
        <v>45917</v>
      </c>
      <c r="B139" s="2" t="s">
        <v>2634</v>
      </c>
      <c r="C139" s="2" t="s">
        <v>2515</v>
      </c>
      <c r="D139" s="2" t="s">
        <v>2531</v>
      </c>
      <c r="E139" s="2" t="s">
        <v>2517</v>
      </c>
      <c r="F139" s="3">
        <v>82692</v>
      </c>
      <c r="G139" s="3">
        <v>6137</v>
      </c>
      <c r="H139" s="3">
        <v>337</v>
      </c>
      <c r="I139" s="4">
        <v>2284.7199999999998</v>
      </c>
      <c r="J139" s="4">
        <v>73323.360000000001</v>
      </c>
      <c r="K139" s="3">
        <v>266</v>
      </c>
      <c r="L139" s="2" t="s">
        <v>2518</v>
      </c>
      <c r="M139" s="2" t="s">
        <v>2526</v>
      </c>
      <c r="N139" s="8">
        <f>IFERROR(G139/F139,0)</f>
        <v>7.4215159870362313E-2</v>
      </c>
      <c r="O139" s="8">
        <f>IFERROR(H139/G139,0)</f>
        <v>5.4912823855303897E-2</v>
      </c>
      <c r="P139" s="4">
        <f>IFERROR(I139/G139,0)</f>
        <v>0.37228613328988103</v>
      </c>
      <c r="Q139" s="4">
        <f>IFERROR(I139/H139,0)</f>
        <v>6.7795845697329371</v>
      </c>
      <c r="R139" s="12">
        <f>IFERROR(J139/I139,0)</f>
        <v>32.09293042473476</v>
      </c>
      <c r="S139" s="7">
        <f>Tabla_nuevas_columnas[[#This Row],[ROAS]]</f>
        <v>32.09293042473476</v>
      </c>
      <c r="T139" t="str">
        <f>_xlfn.CONCAT(C139,"-",D139)</f>
        <v>Email-Portugal</v>
      </c>
      <c r="U139">
        <f>YEAR(A139)</f>
        <v>2025</v>
      </c>
      <c r="V139">
        <f>MONTH(A139)</f>
        <v>9</v>
      </c>
      <c r="W139" t="str">
        <f>PROPER(TEXT(A139,"mmmm"))</f>
        <v>Septiembre</v>
      </c>
      <c r="X139" t="str">
        <f>PROPER(TEXT(A139,"dddd"))</f>
        <v>Miércoles</v>
      </c>
      <c r="Y139" t="str" cm="1">
        <f t="array" ref="Y139">_xlfn.IFS(R139&gt;10,"Excelente",R139&gt;=5,"Bueno",R139&gt;=2,"Débil",R139&lt;2,"Deficiente")</f>
        <v>Excelente</v>
      </c>
      <c r="Z139" t="str">
        <f>IF(AND(R139&lt;2,Q139&gt;=100),"Revisar","OK")</f>
        <v>OK</v>
      </c>
      <c r="AA139" s="55">
        <f>_xlfn.XLOOKUP(C139,'Preguntas de negocio'!$C$114:$C$119,'Preguntas de negocio'!$D$114:$D$119,0)</f>
        <v>5.5</v>
      </c>
      <c r="AB139" s="55">
        <f>VLOOKUP(C139,'Preguntas de negocio'!$C$121:$D$127,2,FALSE)</f>
        <v>0.65</v>
      </c>
    </row>
    <row r="140" spans="1:28" x14ac:dyDescent="0.3">
      <c r="A140" s="1">
        <v>45729</v>
      </c>
      <c r="B140" s="2" t="s">
        <v>2643</v>
      </c>
      <c r="C140" s="2" t="s">
        <v>2515</v>
      </c>
      <c r="D140" s="2" t="s">
        <v>2528</v>
      </c>
      <c r="E140" s="2" t="s">
        <v>2517</v>
      </c>
      <c r="F140" s="3">
        <v>24708</v>
      </c>
      <c r="G140" s="3">
        <v>1803</v>
      </c>
      <c r="H140" s="3">
        <v>151</v>
      </c>
      <c r="I140" s="4">
        <v>947.2</v>
      </c>
      <c r="J140" s="4">
        <v>30738.35</v>
      </c>
      <c r="K140" s="3">
        <v>127</v>
      </c>
      <c r="L140" s="2" t="s">
        <v>2523</v>
      </c>
      <c r="M140" s="2" t="s">
        <v>2526</v>
      </c>
      <c r="N140" s="8">
        <f>IFERROR(G140/F140,0)</f>
        <v>7.2972316658572123E-2</v>
      </c>
      <c r="O140" s="8">
        <f>IFERROR(H140/G140,0)</f>
        <v>8.3749306711037155E-2</v>
      </c>
      <c r="P140" s="4">
        <f>IFERROR(I140/G140,0)</f>
        <v>0.52534664448141988</v>
      </c>
      <c r="Q140" s="4">
        <f>IFERROR(I140/H140,0)</f>
        <v>6.2728476821192052</v>
      </c>
      <c r="R140" s="12">
        <f>IFERROR(J140/I140,0)</f>
        <v>32.451805320945944</v>
      </c>
      <c r="S140" s="7">
        <f>Tabla_nuevas_columnas[[#This Row],[ROAS]]</f>
        <v>32.451805320945944</v>
      </c>
      <c r="T140" t="str">
        <f>_xlfn.CONCAT(C140,"-",D140)</f>
        <v>Email-España</v>
      </c>
      <c r="U140">
        <f>YEAR(A140)</f>
        <v>2025</v>
      </c>
      <c r="V140">
        <f>MONTH(A140)</f>
        <v>3</v>
      </c>
      <c r="W140" t="str">
        <f>PROPER(TEXT(A140,"mmmm"))</f>
        <v>Marzo</v>
      </c>
      <c r="X140" t="str">
        <f>PROPER(TEXT(A140,"dddd"))</f>
        <v>Jueves</v>
      </c>
      <c r="Y140" t="str" cm="1">
        <f t="array" ref="Y140">_xlfn.IFS(R140&gt;10,"Excelente",R140&gt;=5,"Bueno",R140&gt;=2,"Débil",R140&lt;2,"Deficiente")</f>
        <v>Excelente</v>
      </c>
      <c r="Z140" t="str">
        <f>IF(AND(R140&lt;2,Q140&gt;=100),"Revisar","OK")</f>
        <v>OK</v>
      </c>
      <c r="AA140" s="55">
        <f>_xlfn.XLOOKUP(C140,'Preguntas de negocio'!$C$114:$C$119,'Preguntas de negocio'!$D$114:$D$119,0)</f>
        <v>5.5</v>
      </c>
      <c r="AB140" s="55">
        <f>VLOOKUP(C140,'Preguntas de negocio'!$C$121:$D$127,2,FALSE)</f>
        <v>0.65</v>
      </c>
    </row>
    <row r="141" spans="1:28" x14ac:dyDescent="0.3">
      <c r="A141" s="1">
        <v>45701</v>
      </c>
      <c r="B141" s="2" t="s">
        <v>2633</v>
      </c>
      <c r="C141" s="2" t="s">
        <v>2515</v>
      </c>
      <c r="D141" s="2" t="s">
        <v>2528</v>
      </c>
      <c r="E141" s="2" t="s">
        <v>2529</v>
      </c>
      <c r="F141" s="3">
        <v>109330</v>
      </c>
      <c r="G141" s="3">
        <v>9561</v>
      </c>
      <c r="H141" s="3">
        <v>959</v>
      </c>
      <c r="I141" s="4">
        <v>11031.29</v>
      </c>
      <c r="J141" s="4">
        <v>171417.69</v>
      </c>
      <c r="K141" s="3">
        <v>634</v>
      </c>
      <c r="L141" s="2" t="s">
        <v>2536</v>
      </c>
      <c r="M141" s="2" t="s">
        <v>2537</v>
      </c>
      <c r="N141" s="8">
        <f>IFERROR(G141/F141,0)</f>
        <v>8.7450836915759625E-2</v>
      </c>
      <c r="O141" s="8">
        <f>IFERROR(H141/G141,0)</f>
        <v>0.10030331555276645</v>
      </c>
      <c r="P141" s="4">
        <f>IFERROR(I141/G141,0)</f>
        <v>1.1537799393368895</v>
      </c>
      <c r="Q141" s="4">
        <f>IFERROR(I141/H141,0)</f>
        <v>11.502909280500523</v>
      </c>
      <c r="R141" s="12">
        <f>IFERROR(J141/I141,0)</f>
        <v>15.5392243336908</v>
      </c>
      <c r="S141" s="7">
        <f>Tabla_nuevas_columnas[[#This Row],[ROAS]]</f>
        <v>15.5392243336908</v>
      </c>
      <c r="T141" t="str">
        <f>_xlfn.CONCAT(C141,"-",D141)</f>
        <v>Email-España</v>
      </c>
      <c r="U141">
        <f>YEAR(A141)</f>
        <v>2025</v>
      </c>
      <c r="V141">
        <f>MONTH(A141)</f>
        <v>2</v>
      </c>
      <c r="W141" t="str">
        <f>PROPER(TEXT(A141,"mmmm"))</f>
        <v>Febrero</v>
      </c>
      <c r="X141" t="str">
        <f>PROPER(TEXT(A141,"dddd"))</f>
        <v>Jueves</v>
      </c>
      <c r="Y141" t="str" cm="1">
        <f t="array" ref="Y141">_xlfn.IFS(R141&gt;10,"Excelente",R141&gt;=5,"Bueno",R141&gt;=2,"Débil",R141&lt;2,"Deficiente")</f>
        <v>Excelente</v>
      </c>
      <c r="Z141" t="str">
        <f>IF(AND(R141&lt;2,Q141&gt;=100),"Revisar","OK")</f>
        <v>OK</v>
      </c>
      <c r="AA141" s="55">
        <f>_xlfn.XLOOKUP(C141,'Preguntas de negocio'!$C$114:$C$119,'Preguntas de negocio'!$D$114:$D$119,0)</f>
        <v>5.5</v>
      </c>
      <c r="AB141" s="55">
        <f>VLOOKUP(C141,'Preguntas de negocio'!$C$121:$D$127,2,FALSE)</f>
        <v>0.65</v>
      </c>
    </row>
    <row r="142" spans="1:28" x14ac:dyDescent="0.3">
      <c r="A142" s="1">
        <v>45664</v>
      </c>
      <c r="B142" s="2" t="s">
        <v>2625</v>
      </c>
      <c r="C142" s="2" t="s">
        <v>2543</v>
      </c>
      <c r="D142" s="2" t="s">
        <v>2528</v>
      </c>
      <c r="E142" s="2" t="s">
        <v>2529</v>
      </c>
      <c r="F142" s="3">
        <v>127287</v>
      </c>
      <c r="G142" s="3">
        <v>2984</v>
      </c>
      <c r="H142" s="3">
        <v>355</v>
      </c>
      <c r="I142" s="4">
        <v>5481.3</v>
      </c>
      <c r="J142" s="4">
        <v>36120.639999999999</v>
      </c>
      <c r="K142" s="3">
        <v>300</v>
      </c>
      <c r="L142" s="2" t="s">
        <v>2518</v>
      </c>
      <c r="M142" s="2" t="s">
        <v>2526</v>
      </c>
      <c r="N142" s="8">
        <f>IFERROR(G142/F142,0)</f>
        <v>2.3443085311147249E-2</v>
      </c>
      <c r="O142" s="8">
        <f>IFERROR(H142/G142,0)</f>
        <v>0.11896782841823056</v>
      </c>
      <c r="P142" s="4">
        <f>IFERROR(I142/G142,0)</f>
        <v>1.8368967828418232</v>
      </c>
      <c r="Q142" s="4">
        <f>IFERROR(I142/H142,0)</f>
        <v>15.440281690140846</v>
      </c>
      <c r="R142" s="12">
        <f>IFERROR(J142/I142,0)</f>
        <v>6.5897943918413509</v>
      </c>
      <c r="S142" s="7">
        <f>Tabla_nuevas_columnas[[#This Row],[ROAS]]</f>
        <v>6.5897943918413509</v>
      </c>
      <c r="T142" t="str">
        <f>_xlfn.CONCAT(C142,"-",D142)</f>
        <v>Organic Social-España</v>
      </c>
      <c r="U142">
        <f>YEAR(A142)</f>
        <v>2025</v>
      </c>
      <c r="V142">
        <f>MONTH(A142)</f>
        <v>1</v>
      </c>
      <c r="W142" t="str">
        <f>PROPER(TEXT(A142,"mmmm"))</f>
        <v>Enero</v>
      </c>
      <c r="X142" t="str">
        <f>PROPER(TEXT(A142,"dddd"))</f>
        <v>Martes</v>
      </c>
      <c r="Y142" t="str" cm="1">
        <f t="array" ref="Y142">_xlfn.IFS(R142&gt;10,"Excelente",R142&gt;=5,"Bueno",R142&gt;=2,"Débil",R142&lt;2,"Deficiente")</f>
        <v>Bueno</v>
      </c>
      <c r="Z142" t="str">
        <f>IF(AND(R142&lt;2,Q142&gt;=100),"Revisar","OK")</f>
        <v>OK</v>
      </c>
      <c r="AA142" s="55">
        <f>_xlfn.XLOOKUP(C142,'Preguntas de negocio'!$C$114:$C$119,'Preguntas de negocio'!$D$114:$D$119,0)</f>
        <v>4</v>
      </c>
      <c r="AB142" s="55">
        <f>VLOOKUP(C142,'Preguntas de negocio'!$C$121:$D$127,2,FALSE)</f>
        <v>0.95</v>
      </c>
    </row>
    <row r="143" spans="1:28" x14ac:dyDescent="0.3">
      <c r="A143" s="1">
        <v>45727</v>
      </c>
      <c r="B143" s="2" t="s">
        <v>2634</v>
      </c>
      <c r="C143" s="2" t="s">
        <v>2533</v>
      </c>
      <c r="D143" s="2" t="s">
        <v>2528</v>
      </c>
      <c r="E143" s="2" t="s">
        <v>2517</v>
      </c>
      <c r="F143" s="3">
        <v>3205</v>
      </c>
      <c r="G143" s="3">
        <v>93</v>
      </c>
      <c r="H143" s="3">
        <v>5</v>
      </c>
      <c r="I143" s="4">
        <v>104.64</v>
      </c>
      <c r="J143" s="4">
        <v>308.27</v>
      </c>
      <c r="K143" s="3">
        <v>3</v>
      </c>
      <c r="L143" s="2" t="s">
        <v>2523</v>
      </c>
      <c r="M143" s="2" t="s">
        <v>2645</v>
      </c>
      <c r="N143" s="8">
        <f>IFERROR(G143/F143,0)</f>
        <v>2.9017160686427457E-2</v>
      </c>
      <c r="O143" s="8">
        <f>IFERROR(H143/G143,0)</f>
        <v>5.3763440860215055E-2</v>
      </c>
      <c r="P143" s="4">
        <f>IFERROR(I143/G143,0)</f>
        <v>1.1251612903225807</v>
      </c>
      <c r="Q143" s="4">
        <f>IFERROR(I143/H143,0)</f>
        <v>20.928000000000001</v>
      </c>
      <c r="R143" s="12">
        <f>IFERROR(J143/I143,0)</f>
        <v>2.9460053516819569</v>
      </c>
      <c r="S143" s="7">
        <f>Tabla_nuevas_columnas[[#This Row],[ROAS]]</f>
        <v>2.9460053516819569</v>
      </c>
      <c r="T143" t="str">
        <f>_xlfn.CONCAT(C143,"-",D143)</f>
        <v>Paid Social-España</v>
      </c>
      <c r="U143">
        <f>YEAR(A143)</f>
        <v>2025</v>
      </c>
      <c r="V143">
        <f>MONTH(A143)</f>
        <v>3</v>
      </c>
      <c r="W143" t="str">
        <f>PROPER(TEXT(A143,"mmmm"))</f>
        <v>Marzo</v>
      </c>
      <c r="X143" t="str">
        <f>PROPER(TEXT(A143,"dddd"))</f>
        <v>Martes</v>
      </c>
      <c r="Y143" t="str" cm="1">
        <f t="array" ref="Y143">_xlfn.IFS(R143&gt;10,"Excelente",R143&gt;=5,"Bueno",R143&gt;=2,"Débil",R143&lt;2,"Deficiente")</f>
        <v>Débil</v>
      </c>
      <c r="Z143" t="str">
        <f>IF(AND(R143&lt;2,Q143&gt;=100),"Revisar","OK")</f>
        <v>OK</v>
      </c>
      <c r="AA143" s="55">
        <f>_xlfn.XLOOKUP(C143,'Preguntas de negocio'!$C$114:$C$119,'Preguntas de negocio'!$D$114:$D$119,0)</f>
        <v>6</v>
      </c>
      <c r="AB143" s="55">
        <f>VLOOKUP(C143,'Preguntas de negocio'!$C$121:$D$127,2,FALSE)</f>
        <v>0.8</v>
      </c>
    </row>
    <row r="144" spans="1:28" x14ac:dyDescent="0.3">
      <c r="A144" s="1">
        <v>45747</v>
      </c>
      <c r="B144" s="2" t="s">
        <v>2618</v>
      </c>
      <c r="C144" s="2" t="s">
        <v>2541</v>
      </c>
      <c r="D144" s="2" t="s">
        <v>2516</v>
      </c>
      <c r="E144" s="2" t="s">
        <v>2529</v>
      </c>
      <c r="F144" s="3">
        <v>143186</v>
      </c>
      <c r="G144" s="3">
        <v>4151</v>
      </c>
      <c r="H144" s="3">
        <v>383</v>
      </c>
      <c r="I144" s="4">
        <v>5318.8</v>
      </c>
      <c r="J144" s="4">
        <v>26849.63</v>
      </c>
      <c r="K144" s="3">
        <v>300</v>
      </c>
      <c r="L144" s="2" t="s">
        <v>2536</v>
      </c>
      <c r="M144" s="2" t="s">
        <v>2537</v>
      </c>
      <c r="N144" s="8">
        <f>IFERROR(G144/F144,0)</f>
        <v>2.8990264411325128E-2</v>
      </c>
      <c r="O144" s="8">
        <f>IFERROR(H144/G144,0)</f>
        <v>9.2266923632859557E-2</v>
      </c>
      <c r="P144" s="4">
        <f>IFERROR(I144/G144,0)</f>
        <v>1.2813298000481812</v>
      </c>
      <c r="Q144" s="4">
        <f>IFERROR(I144/H144,0)</f>
        <v>13.887206266318538</v>
      </c>
      <c r="R144" s="12">
        <f>IFERROR(J144/I144,0)</f>
        <v>5.0480615928404902</v>
      </c>
      <c r="S144" s="7">
        <f>Tabla_nuevas_columnas[[#This Row],[ROAS]]</f>
        <v>5.0480615928404902</v>
      </c>
      <c r="T144" t="str">
        <f>_xlfn.CONCAT(C144,"-",D144)</f>
        <v>Display-México</v>
      </c>
      <c r="U144">
        <f>YEAR(A144)</f>
        <v>2025</v>
      </c>
      <c r="V144">
        <f>MONTH(A144)</f>
        <v>3</v>
      </c>
      <c r="W144" t="str">
        <f>PROPER(TEXT(A144,"mmmm"))</f>
        <v>Marzo</v>
      </c>
      <c r="X144" t="str">
        <f>PROPER(TEXT(A144,"dddd"))</f>
        <v>Lunes</v>
      </c>
      <c r="Y144" t="str" cm="1">
        <f t="array" ref="Y144">_xlfn.IFS(R144&gt;10,"Excelente",R144&gt;=5,"Bueno",R144&gt;=2,"Débil",R144&lt;2,"Deficiente")</f>
        <v>Bueno</v>
      </c>
      <c r="Z144" t="str">
        <f>IF(AND(R144&lt;2,Q144&gt;=100),"Revisar","OK")</f>
        <v>OK</v>
      </c>
      <c r="AA144" s="55">
        <f>_xlfn.XLOOKUP(C144,'Preguntas de negocio'!$C$114:$C$119,'Preguntas de negocio'!$D$114:$D$119,0)</f>
        <v>5</v>
      </c>
      <c r="AB144" s="55">
        <f>VLOOKUP(C144,'Preguntas de negocio'!$C$121:$D$127,2,FALSE)</f>
        <v>0.5</v>
      </c>
    </row>
    <row r="145" spans="1:28" x14ac:dyDescent="0.3">
      <c r="A145" s="1">
        <v>45939</v>
      </c>
      <c r="B145" s="2" t="s">
        <v>2628</v>
      </c>
      <c r="C145" s="2" t="s">
        <v>2541</v>
      </c>
      <c r="D145" s="2" t="s">
        <v>2528</v>
      </c>
      <c r="E145" s="2" t="s">
        <v>2517</v>
      </c>
      <c r="F145" s="3">
        <v>159308</v>
      </c>
      <c r="G145" s="3">
        <v>10535</v>
      </c>
      <c r="H145" s="3">
        <v>140</v>
      </c>
      <c r="I145" s="4">
        <v>8913.76</v>
      </c>
      <c r="J145" s="4">
        <v>18838.45</v>
      </c>
      <c r="K145" s="3">
        <v>96</v>
      </c>
      <c r="L145" s="2" t="s">
        <v>2539</v>
      </c>
      <c r="M145" s="2" t="s">
        <v>2519</v>
      </c>
      <c r="N145" s="8">
        <f>IFERROR(G145/F145,0)</f>
        <v>6.6129761217264674E-2</v>
      </c>
      <c r="O145" s="8">
        <f>IFERROR(H145/G145,0)</f>
        <v>1.3289036544850499E-2</v>
      </c>
      <c r="P145" s="4">
        <f>IFERROR(I145/G145,0)</f>
        <v>0.84610915994304703</v>
      </c>
      <c r="Q145" s="4">
        <f>IFERROR(I145/H145,0)</f>
        <v>63.669714285714285</v>
      </c>
      <c r="R145" s="12">
        <f>IFERROR(J145/I145,0)</f>
        <v>2.1134122973918976</v>
      </c>
      <c r="S145" s="7">
        <f>Tabla_nuevas_columnas[[#This Row],[ROAS]]</f>
        <v>2.1134122973918976</v>
      </c>
      <c r="T145" t="str">
        <f>_xlfn.CONCAT(C145,"-",D145)</f>
        <v>Display-España</v>
      </c>
      <c r="U145">
        <f>YEAR(A145)</f>
        <v>2025</v>
      </c>
      <c r="V145">
        <f>MONTH(A145)</f>
        <v>10</v>
      </c>
      <c r="W145" t="str">
        <f>PROPER(TEXT(A145,"mmmm"))</f>
        <v>Octubre</v>
      </c>
      <c r="X145" t="str">
        <f>PROPER(TEXT(A145,"dddd"))</f>
        <v>Jueves</v>
      </c>
      <c r="Y145" t="str" cm="1">
        <f t="array" ref="Y145">_xlfn.IFS(R145&gt;10,"Excelente",R145&gt;=5,"Bueno",R145&gt;=2,"Débil",R145&lt;2,"Deficiente")</f>
        <v>Débil</v>
      </c>
      <c r="Z145" t="str">
        <f>IF(AND(R145&lt;2,Q145&gt;=100),"Revisar","OK")</f>
        <v>OK</v>
      </c>
      <c r="AA145" s="55">
        <f>_xlfn.XLOOKUP(C145,'Preguntas de negocio'!$C$114:$C$119,'Preguntas de negocio'!$D$114:$D$119,0)</f>
        <v>5</v>
      </c>
      <c r="AB145" s="55">
        <f>VLOOKUP(C145,'Preguntas de negocio'!$C$121:$D$127,2,FALSE)</f>
        <v>0.5</v>
      </c>
    </row>
    <row r="146" spans="1:28" x14ac:dyDescent="0.3">
      <c r="A146" s="1">
        <v>45725</v>
      </c>
      <c r="B146" s="2" t="s">
        <v>2626</v>
      </c>
      <c r="C146" s="2" t="s">
        <v>2527</v>
      </c>
      <c r="D146" s="2" t="s">
        <v>2525</v>
      </c>
      <c r="E146" s="2" t="s">
        <v>2529</v>
      </c>
      <c r="F146" s="3">
        <v>171401</v>
      </c>
      <c r="G146" s="3">
        <v>8378</v>
      </c>
      <c r="H146" s="3">
        <v>241</v>
      </c>
      <c r="I146" s="4">
        <v>17294.599999999999</v>
      </c>
      <c r="J146" s="4">
        <v>30380.080000000002</v>
      </c>
      <c r="K146" s="3">
        <v>180</v>
      </c>
      <c r="L146" s="2" t="s">
        <v>2539</v>
      </c>
      <c r="M146" s="2" t="s">
        <v>2526</v>
      </c>
      <c r="N146" s="8">
        <f>IFERROR(G146/F146,0)</f>
        <v>4.8879528124106626E-2</v>
      </c>
      <c r="O146" s="8">
        <f>IFERROR(H146/G146,0)</f>
        <v>2.8765815230365241E-2</v>
      </c>
      <c r="P146" s="4">
        <f>IFERROR(I146/G146,0)</f>
        <v>2.064287419431845</v>
      </c>
      <c r="Q146" s="4">
        <f>IFERROR(I146/H146,0)</f>
        <v>71.761825726141069</v>
      </c>
      <c r="R146" s="12">
        <f>IFERROR(J146/I146,0)</f>
        <v>1.7566222982896398</v>
      </c>
      <c r="S146" s="7">
        <f>Tabla_nuevas_columnas[[#This Row],[ROAS]]</f>
        <v>1.7566222982896398</v>
      </c>
      <c r="T146" t="str">
        <f>_xlfn.CONCAT(C146,"-",D146)</f>
        <v>Affiliate-Francia</v>
      </c>
      <c r="U146">
        <f>YEAR(A146)</f>
        <v>2025</v>
      </c>
      <c r="V146">
        <f>MONTH(A146)</f>
        <v>3</v>
      </c>
      <c r="W146" t="str">
        <f>PROPER(TEXT(A146,"mmmm"))</f>
        <v>Marzo</v>
      </c>
      <c r="X146" t="str">
        <f>PROPER(TEXT(A146,"dddd"))</f>
        <v>Domingo</v>
      </c>
      <c r="Y146" t="str" cm="1">
        <f t="array" ref="Y146">_xlfn.IFS(R146&gt;10,"Excelente",R146&gt;=5,"Bueno",R146&gt;=2,"Débil",R146&lt;2,"Deficiente")</f>
        <v>Deficiente</v>
      </c>
      <c r="Z146" t="str">
        <f>IF(AND(R146&lt;2,Q146&gt;=100),"Revisar","OK")</f>
        <v>OK</v>
      </c>
      <c r="AA146" s="55">
        <f>_xlfn.XLOOKUP(C146,'Preguntas de negocio'!$C$114:$C$119,'Preguntas de negocio'!$D$114:$D$119,0)</f>
        <v>4.5</v>
      </c>
      <c r="AB146" s="55">
        <f>VLOOKUP(C146,'Preguntas de negocio'!$C$121:$D$127,2,FALSE)</f>
        <v>0.35</v>
      </c>
    </row>
    <row r="147" spans="1:28" x14ac:dyDescent="0.3">
      <c r="A147" s="1">
        <v>45988</v>
      </c>
      <c r="B147" s="2" t="s">
        <v>2637</v>
      </c>
      <c r="C147" s="2" t="s">
        <v>2645</v>
      </c>
      <c r="D147" s="2" t="s">
        <v>2528</v>
      </c>
      <c r="E147" s="2" t="s">
        <v>2529</v>
      </c>
      <c r="F147" s="3">
        <v>56296</v>
      </c>
      <c r="G147" s="3">
        <v>2915</v>
      </c>
      <c r="H147" s="3">
        <v>404</v>
      </c>
      <c r="I147" s="4">
        <v>5926.51</v>
      </c>
      <c r="J147" s="4">
        <v>75911.75</v>
      </c>
      <c r="K147" s="3">
        <v>296</v>
      </c>
      <c r="L147" s="2" t="s">
        <v>2518</v>
      </c>
      <c r="M147" s="2" t="s">
        <v>2546</v>
      </c>
      <c r="N147" s="8">
        <f>IFERROR(G147/F147,0)</f>
        <v>5.1779877788830468E-2</v>
      </c>
      <c r="O147" s="8">
        <f>IFERROR(H147/G147,0)</f>
        <v>0.13859348198970842</v>
      </c>
      <c r="P147" s="4">
        <f>IFERROR(I147/G147,0)</f>
        <v>2.0331080617495711</v>
      </c>
      <c r="Q147" s="4">
        <f>IFERROR(I147/H147,0)</f>
        <v>14.669579207920792</v>
      </c>
      <c r="R147" s="12">
        <f>IFERROR(J147/I147,0)</f>
        <v>12.808845340681108</v>
      </c>
      <c r="S147" s="7">
        <f>Tabla_nuevas_columnas[[#This Row],[ROAS]]</f>
        <v>12.808845340681108</v>
      </c>
      <c r="T147" t="str">
        <f>_xlfn.CONCAT(C147,"-",D147)</f>
        <v>Por identificar-España</v>
      </c>
      <c r="U147">
        <f>YEAR(A147)</f>
        <v>2025</v>
      </c>
      <c r="V147">
        <f>MONTH(A147)</f>
        <v>11</v>
      </c>
      <c r="W147" t="str">
        <f>PROPER(TEXT(A147,"mmmm"))</f>
        <v>Noviembre</v>
      </c>
      <c r="X147" t="str">
        <f>PROPER(TEXT(A147,"dddd"))</f>
        <v>Jueves</v>
      </c>
      <c r="Y147" t="str" cm="1">
        <f t="array" ref="Y147">_xlfn.IFS(R147&gt;10,"Excelente",R147&gt;=5,"Bueno",R147&gt;=2,"Débil",R147&lt;2,"Deficiente")</f>
        <v>Excelente</v>
      </c>
      <c r="Z147" t="str">
        <f>IF(AND(R147&lt;2,Q147&gt;=100),"Revisar","OK")</f>
        <v>OK</v>
      </c>
      <c r="AA147" s="55">
        <f>_xlfn.XLOOKUP(C147,'Preguntas de negocio'!$C$114:$C$119,'Preguntas de negocio'!$D$114:$D$119,0)</f>
        <v>0</v>
      </c>
      <c r="AB147" s="55">
        <f>VLOOKUP(C147,'Preguntas de negocio'!$C$121:$D$127,2,FALSE)</f>
        <v>0</v>
      </c>
    </row>
    <row r="148" spans="1:28" x14ac:dyDescent="0.3">
      <c r="A148" s="1">
        <v>45832</v>
      </c>
      <c r="B148" s="2" t="s">
        <v>2642</v>
      </c>
      <c r="C148" s="2" t="s">
        <v>2515</v>
      </c>
      <c r="D148" s="2" t="s">
        <v>2528</v>
      </c>
      <c r="E148" s="2" t="s">
        <v>2517</v>
      </c>
      <c r="F148" s="3">
        <v>65635</v>
      </c>
      <c r="G148" s="3">
        <v>1596</v>
      </c>
      <c r="H148" s="3">
        <v>219</v>
      </c>
      <c r="I148" s="4">
        <v>1057.81</v>
      </c>
      <c r="J148" s="4">
        <v>17550.599999999999</v>
      </c>
      <c r="K148" s="3">
        <v>136</v>
      </c>
      <c r="L148" s="2" t="s">
        <v>2539</v>
      </c>
      <c r="M148" s="2" t="s">
        <v>2524</v>
      </c>
      <c r="N148" s="8">
        <f>IFERROR(G148/F148,0)</f>
        <v>2.4316294659861355E-2</v>
      </c>
      <c r="O148" s="8">
        <f>IFERROR(H148/G148,0)</f>
        <v>0.13721804511278196</v>
      </c>
      <c r="P148" s="4">
        <f>IFERROR(I148/G148,0)</f>
        <v>0.66278822055137843</v>
      </c>
      <c r="Q148" s="4">
        <f>IFERROR(I148/H148,0)</f>
        <v>4.8301826484018262</v>
      </c>
      <c r="R148" s="12">
        <f>IFERROR(J148/I148,0)</f>
        <v>16.591448369745038</v>
      </c>
      <c r="S148" s="7">
        <f>Tabla_nuevas_columnas[[#This Row],[ROAS]]</f>
        <v>16.591448369745038</v>
      </c>
      <c r="T148" t="str">
        <f>_xlfn.CONCAT(C148,"-",D148)</f>
        <v>Email-España</v>
      </c>
      <c r="U148">
        <f>YEAR(A148)</f>
        <v>2025</v>
      </c>
      <c r="V148">
        <f>MONTH(A148)</f>
        <v>6</v>
      </c>
      <c r="W148" t="str">
        <f>PROPER(TEXT(A148,"mmmm"))</f>
        <v>Junio</v>
      </c>
      <c r="X148" t="str">
        <f>PROPER(TEXT(A148,"dddd"))</f>
        <v>Martes</v>
      </c>
      <c r="Y148" t="str" cm="1">
        <f t="array" ref="Y148">_xlfn.IFS(R148&gt;10,"Excelente",R148&gt;=5,"Bueno",R148&gt;=2,"Débil",R148&lt;2,"Deficiente")</f>
        <v>Excelente</v>
      </c>
      <c r="Z148" t="str">
        <f>IF(AND(R148&lt;2,Q148&gt;=100),"Revisar","OK")</f>
        <v>OK</v>
      </c>
      <c r="AA148" s="55">
        <f>_xlfn.XLOOKUP(C148,'Preguntas de negocio'!$C$114:$C$119,'Preguntas de negocio'!$D$114:$D$119,0)</f>
        <v>5.5</v>
      </c>
      <c r="AB148" s="55">
        <f>VLOOKUP(C148,'Preguntas de negocio'!$C$121:$D$127,2,FALSE)</f>
        <v>0.65</v>
      </c>
    </row>
    <row r="149" spans="1:28" x14ac:dyDescent="0.3">
      <c r="A149" s="1">
        <v>45812</v>
      </c>
      <c r="B149" s="2" t="s">
        <v>2618</v>
      </c>
      <c r="C149" s="2" t="s">
        <v>2541</v>
      </c>
      <c r="D149" s="2" t="s">
        <v>2516</v>
      </c>
      <c r="E149" s="2" t="s">
        <v>2529</v>
      </c>
      <c r="F149" s="3">
        <v>126856</v>
      </c>
      <c r="G149" s="3">
        <v>551</v>
      </c>
      <c r="H149" s="3">
        <v>48</v>
      </c>
      <c r="I149" s="4">
        <v>226.62</v>
      </c>
      <c r="J149" s="4">
        <v>1452.3</v>
      </c>
      <c r="K149" s="3">
        <v>28</v>
      </c>
      <c r="L149" s="2" t="s">
        <v>2523</v>
      </c>
      <c r="M149" s="2" t="s">
        <v>2526</v>
      </c>
      <c r="N149" s="8">
        <f>IFERROR(G149/F149,0)</f>
        <v>4.3435075991675601E-3</v>
      </c>
      <c r="O149" s="8">
        <f>IFERROR(H149/G149,0)</f>
        <v>8.7114337568058073E-2</v>
      </c>
      <c r="P149" s="4">
        <f>IFERROR(I149/G149,0)</f>
        <v>0.41128856624319421</v>
      </c>
      <c r="Q149" s="4">
        <f>IFERROR(I149/H149,0)</f>
        <v>4.7212500000000004</v>
      </c>
      <c r="R149" s="12">
        <f>IFERROR(J149/I149,0)</f>
        <v>6.4085252846174212</v>
      </c>
      <c r="S149" s="7">
        <f>Tabla_nuevas_columnas[[#This Row],[ROAS]]</f>
        <v>6.4085252846174212</v>
      </c>
      <c r="T149" t="str">
        <f>_xlfn.CONCAT(C149,"-",D149)</f>
        <v>Display-México</v>
      </c>
      <c r="U149">
        <f>YEAR(A149)</f>
        <v>2025</v>
      </c>
      <c r="V149">
        <f>MONTH(A149)</f>
        <v>6</v>
      </c>
      <c r="W149" t="str">
        <f>PROPER(TEXT(A149,"mmmm"))</f>
        <v>Junio</v>
      </c>
      <c r="X149" t="str">
        <f>PROPER(TEXT(A149,"dddd"))</f>
        <v>Miércoles</v>
      </c>
      <c r="Y149" t="str" cm="1">
        <f t="array" ref="Y149">_xlfn.IFS(R149&gt;10,"Excelente",R149&gt;=5,"Bueno",R149&gt;=2,"Débil",R149&lt;2,"Deficiente")</f>
        <v>Bueno</v>
      </c>
      <c r="Z149" t="str">
        <f>IF(AND(R149&lt;2,Q149&gt;=100),"Revisar","OK")</f>
        <v>OK</v>
      </c>
      <c r="AA149" s="55">
        <f>_xlfn.XLOOKUP(C149,'Preguntas de negocio'!$C$114:$C$119,'Preguntas de negocio'!$D$114:$D$119,0)</f>
        <v>5</v>
      </c>
      <c r="AB149" s="55">
        <f>VLOOKUP(C149,'Preguntas de negocio'!$C$121:$D$127,2,FALSE)</f>
        <v>0.5</v>
      </c>
    </row>
    <row r="150" spans="1:28" x14ac:dyDescent="0.3">
      <c r="A150" s="1">
        <v>45901</v>
      </c>
      <c r="B150" s="2" t="s">
        <v>2622</v>
      </c>
      <c r="C150" s="2" t="s">
        <v>2541</v>
      </c>
      <c r="D150" s="2" t="s">
        <v>2528</v>
      </c>
      <c r="E150" s="2" t="s">
        <v>2517</v>
      </c>
      <c r="F150" s="3">
        <v>151546</v>
      </c>
      <c r="G150" s="3">
        <v>706</v>
      </c>
      <c r="H150" s="3">
        <v>14</v>
      </c>
      <c r="I150" s="4">
        <v>852.88</v>
      </c>
      <c r="J150" s="4">
        <v>1939.33</v>
      </c>
      <c r="K150" s="3">
        <v>7</v>
      </c>
      <c r="L150" s="2" t="s">
        <v>2523</v>
      </c>
      <c r="M150" s="2" t="s">
        <v>2524</v>
      </c>
      <c r="N150" s="8">
        <f>IFERROR(G150/F150,0)</f>
        <v>4.6586514985548942E-3</v>
      </c>
      <c r="O150" s="8">
        <f>IFERROR(H150/G150,0)</f>
        <v>1.9830028328611898E-2</v>
      </c>
      <c r="P150" s="4">
        <f>IFERROR(I150/G150,0)</f>
        <v>1.2080453257790369</v>
      </c>
      <c r="Q150" s="4">
        <f>IFERROR(I150/H150,0)</f>
        <v>60.92</v>
      </c>
      <c r="R150" s="12">
        <f>IFERROR(J150/I150,0)</f>
        <v>2.2738603320514024</v>
      </c>
      <c r="S150" s="7">
        <f>Tabla_nuevas_columnas[[#This Row],[ROAS]]</f>
        <v>2.2738603320514024</v>
      </c>
      <c r="T150" t="str">
        <f>_xlfn.CONCAT(C150,"-",D150)</f>
        <v>Display-España</v>
      </c>
      <c r="U150">
        <f>YEAR(A150)</f>
        <v>2025</v>
      </c>
      <c r="V150">
        <f>MONTH(A150)</f>
        <v>9</v>
      </c>
      <c r="W150" t="str">
        <f>PROPER(TEXT(A150,"mmmm"))</f>
        <v>Septiembre</v>
      </c>
      <c r="X150" t="str">
        <f>PROPER(TEXT(A150,"dddd"))</f>
        <v>Lunes</v>
      </c>
      <c r="Y150" t="str" cm="1">
        <f t="array" ref="Y150">_xlfn.IFS(R150&gt;10,"Excelente",R150&gt;=5,"Bueno",R150&gt;=2,"Débil",R150&lt;2,"Deficiente")</f>
        <v>Débil</v>
      </c>
      <c r="Z150" t="str">
        <f>IF(AND(R150&lt;2,Q150&gt;=100),"Revisar","OK")</f>
        <v>OK</v>
      </c>
      <c r="AA150" s="55">
        <f>_xlfn.XLOOKUP(C150,'Preguntas de negocio'!$C$114:$C$119,'Preguntas de negocio'!$D$114:$D$119,0)</f>
        <v>5</v>
      </c>
      <c r="AB150" s="55">
        <f>VLOOKUP(C150,'Preguntas de negocio'!$C$121:$D$127,2,FALSE)</f>
        <v>0.5</v>
      </c>
    </row>
    <row r="151" spans="1:28" x14ac:dyDescent="0.3">
      <c r="A151" s="1">
        <v>45880</v>
      </c>
      <c r="B151" s="2" t="s">
        <v>2633</v>
      </c>
      <c r="C151" s="2" t="s">
        <v>2533</v>
      </c>
      <c r="D151" s="2" t="s">
        <v>2528</v>
      </c>
      <c r="E151" s="2" t="s">
        <v>2529</v>
      </c>
      <c r="F151" s="3">
        <v>150117</v>
      </c>
      <c r="G151" s="3">
        <v>8309</v>
      </c>
      <c r="H151" s="3">
        <v>450</v>
      </c>
      <c r="I151" s="4">
        <v>7578.69</v>
      </c>
      <c r="J151" s="4">
        <v>81946.09</v>
      </c>
      <c r="K151" s="3">
        <v>226</v>
      </c>
      <c r="L151" s="2" t="s">
        <v>2539</v>
      </c>
      <c r="M151" s="2" t="s">
        <v>2519</v>
      </c>
      <c r="N151" s="8">
        <f>IFERROR(G151/F151,0)</f>
        <v>5.5350160208370802E-2</v>
      </c>
      <c r="O151" s="8">
        <f>IFERROR(H151/G151,0)</f>
        <v>5.4158141773980019E-2</v>
      </c>
      <c r="P151" s="4">
        <f>IFERROR(I151/G151,0)</f>
        <v>0.91210614995787698</v>
      </c>
      <c r="Q151" s="4">
        <f>IFERROR(I151/H151,0)</f>
        <v>16.841533333333331</v>
      </c>
      <c r="R151" s="12">
        <f>IFERROR(J151/I151,0)</f>
        <v>10.812698500664363</v>
      </c>
      <c r="S151" s="7">
        <f>Tabla_nuevas_columnas[[#This Row],[ROAS]]</f>
        <v>10.812698500664363</v>
      </c>
      <c r="T151" t="str">
        <f>_xlfn.CONCAT(C151,"-",D151)</f>
        <v>Paid Social-España</v>
      </c>
      <c r="U151">
        <f>YEAR(A151)</f>
        <v>2025</v>
      </c>
      <c r="V151">
        <f>MONTH(A151)</f>
        <v>8</v>
      </c>
      <c r="W151" t="str">
        <f>PROPER(TEXT(A151,"mmmm"))</f>
        <v>Agosto</v>
      </c>
      <c r="X151" t="str">
        <f>PROPER(TEXT(A151,"dddd"))</f>
        <v>Lunes</v>
      </c>
      <c r="Y151" t="str" cm="1">
        <f t="array" ref="Y151">_xlfn.IFS(R151&gt;10,"Excelente",R151&gt;=5,"Bueno",R151&gt;=2,"Débil",R151&lt;2,"Deficiente")</f>
        <v>Excelente</v>
      </c>
      <c r="Z151" t="str">
        <f>IF(AND(R151&lt;2,Q151&gt;=100),"Revisar","OK")</f>
        <v>OK</v>
      </c>
      <c r="AA151" s="55">
        <f>_xlfn.XLOOKUP(C151,'Preguntas de negocio'!$C$114:$C$119,'Preguntas de negocio'!$D$114:$D$119,0)</f>
        <v>6</v>
      </c>
      <c r="AB151" s="55">
        <f>VLOOKUP(C151,'Preguntas de negocio'!$C$121:$D$127,2,FALSE)</f>
        <v>0.8</v>
      </c>
    </row>
    <row r="152" spans="1:28" x14ac:dyDescent="0.3">
      <c r="A152" s="1">
        <v>45666</v>
      </c>
      <c r="B152" s="2" t="s">
        <v>2623</v>
      </c>
      <c r="C152" s="2" t="s">
        <v>2543</v>
      </c>
      <c r="D152" s="2" t="s">
        <v>2522</v>
      </c>
      <c r="E152" s="2" t="s">
        <v>2529</v>
      </c>
      <c r="F152" s="3">
        <v>78280</v>
      </c>
      <c r="G152" s="3">
        <v>3635</v>
      </c>
      <c r="H152" s="3">
        <v>303</v>
      </c>
      <c r="I152" s="4">
        <v>7526.87</v>
      </c>
      <c r="J152" s="4">
        <v>66167.11</v>
      </c>
      <c r="K152" s="3">
        <v>228</v>
      </c>
      <c r="L152" s="2" t="s">
        <v>2536</v>
      </c>
      <c r="M152" s="2" t="s">
        <v>2519</v>
      </c>
      <c r="N152" s="8">
        <f>IFERROR(G152/F152,0)</f>
        <v>4.6435871231476751E-2</v>
      </c>
      <c r="O152" s="8">
        <f>IFERROR(H152/G152,0)</f>
        <v>8.3356258596973862E-2</v>
      </c>
      <c r="P152" s="4">
        <f>IFERROR(I152/G152,0)</f>
        <v>2.0706657496561212</v>
      </c>
      <c r="Q152" s="4">
        <f>IFERROR(I152/H152,0)</f>
        <v>24.841155115511551</v>
      </c>
      <c r="R152" s="12">
        <f>IFERROR(J152/I152,0)</f>
        <v>8.7907868742252759</v>
      </c>
      <c r="S152" s="7">
        <f>Tabla_nuevas_columnas[[#This Row],[ROAS]]</f>
        <v>8.7907868742252759</v>
      </c>
      <c r="T152" t="str">
        <f>_xlfn.CONCAT(C152,"-",D152)</f>
        <v>Organic Social-Italia</v>
      </c>
      <c r="U152">
        <f>YEAR(A152)</f>
        <v>2025</v>
      </c>
      <c r="V152">
        <f>MONTH(A152)</f>
        <v>1</v>
      </c>
      <c r="W152" t="str">
        <f>PROPER(TEXT(A152,"mmmm"))</f>
        <v>Enero</v>
      </c>
      <c r="X152" t="str">
        <f>PROPER(TEXT(A152,"dddd"))</f>
        <v>Jueves</v>
      </c>
      <c r="Y152" t="str" cm="1">
        <f t="array" ref="Y152">_xlfn.IFS(R152&gt;10,"Excelente",R152&gt;=5,"Bueno",R152&gt;=2,"Débil",R152&lt;2,"Deficiente")</f>
        <v>Bueno</v>
      </c>
      <c r="Z152" t="str">
        <f>IF(AND(R152&lt;2,Q152&gt;=100),"Revisar","OK")</f>
        <v>OK</v>
      </c>
      <c r="AA152" s="55">
        <f>_xlfn.XLOOKUP(C152,'Preguntas de negocio'!$C$114:$C$119,'Preguntas de negocio'!$D$114:$D$119,0)</f>
        <v>4</v>
      </c>
      <c r="AB152" s="55">
        <f>VLOOKUP(C152,'Preguntas de negocio'!$C$121:$D$127,2,FALSE)</f>
        <v>0.95</v>
      </c>
    </row>
    <row r="153" spans="1:28" x14ac:dyDescent="0.3">
      <c r="A153" s="1">
        <v>45939</v>
      </c>
      <c r="B153" s="2" t="s">
        <v>2620</v>
      </c>
      <c r="C153" s="2" t="s">
        <v>2527</v>
      </c>
      <c r="D153" s="2" t="s">
        <v>2516</v>
      </c>
      <c r="E153" s="2" t="s">
        <v>2517</v>
      </c>
      <c r="F153" s="3">
        <v>62151</v>
      </c>
      <c r="G153" s="3">
        <v>3252</v>
      </c>
      <c r="H153" s="3">
        <v>101</v>
      </c>
      <c r="I153" s="4">
        <v>5983.42</v>
      </c>
      <c r="J153" s="4">
        <v>20425.59</v>
      </c>
      <c r="K153" s="3">
        <v>81</v>
      </c>
      <c r="L153" s="2" t="s">
        <v>2523</v>
      </c>
      <c r="M153" s="2" t="s">
        <v>2537</v>
      </c>
      <c r="N153" s="8">
        <f>IFERROR(G153/F153,0)</f>
        <v>5.2324178211130952E-2</v>
      </c>
      <c r="O153" s="8">
        <f>IFERROR(H153/G153,0)</f>
        <v>3.105781057810578E-2</v>
      </c>
      <c r="P153" s="4">
        <f>IFERROR(I153/G153,0)</f>
        <v>1.8399200492004921</v>
      </c>
      <c r="Q153" s="4">
        <f>IFERROR(I153/H153,0)</f>
        <v>59.241782178217825</v>
      </c>
      <c r="R153" s="12">
        <f>IFERROR(J153/I153,0)</f>
        <v>3.4136981859872781</v>
      </c>
      <c r="S153" s="7">
        <f>Tabla_nuevas_columnas[[#This Row],[ROAS]]</f>
        <v>3.4136981859872781</v>
      </c>
      <c r="T153" t="str">
        <f>_xlfn.CONCAT(C153,"-",D153)</f>
        <v>Affiliate-México</v>
      </c>
      <c r="U153">
        <f>YEAR(A153)</f>
        <v>2025</v>
      </c>
      <c r="V153">
        <f>MONTH(A153)</f>
        <v>10</v>
      </c>
      <c r="W153" t="str">
        <f>PROPER(TEXT(A153,"mmmm"))</f>
        <v>Octubre</v>
      </c>
      <c r="X153" t="str">
        <f>PROPER(TEXT(A153,"dddd"))</f>
        <v>Jueves</v>
      </c>
      <c r="Y153" t="str" cm="1">
        <f t="array" ref="Y153">_xlfn.IFS(R153&gt;10,"Excelente",R153&gt;=5,"Bueno",R153&gt;=2,"Débil",R153&lt;2,"Deficiente")</f>
        <v>Débil</v>
      </c>
      <c r="Z153" t="str">
        <f>IF(AND(R153&lt;2,Q153&gt;=100),"Revisar","OK")</f>
        <v>OK</v>
      </c>
      <c r="AA153" s="55">
        <f>_xlfn.XLOOKUP(C153,'Preguntas de negocio'!$C$114:$C$119,'Preguntas de negocio'!$D$114:$D$119,0)</f>
        <v>4.5</v>
      </c>
      <c r="AB153" s="55">
        <f>VLOOKUP(C153,'Preguntas de negocio'!$C$121:$D$127,2,FALSE)</f>
        <v>0.35</v>
      </c>
    </row>
    <row r="154" spans="1:28" x14ac:dyDescent="0.3">
      <c r="A154" s="1">
        <v>45984</v>
      </c>
      <c r="B154" s="2" t="s">
        <v>2631</v>
      </c>
      <c r="C154" s="2" t="s">
        <v>2515</v>
      </c>
      <c r="D154" s="2" t="s">
        <v>2528</v>
      </c>
      <c r="E154" s="2" t="s">
        <v>2517</v>
      </c>
      <c r="F154" s="3">
        <v>84202</v>
      </c>
      <c r="G154" s="3">
        <v>5175</v>
      </c>
      <c r="H154" s="3">
        <v>523</v>
      </c>
      <c r="I154" s="4">
        <v>8691.2900000000009</v>
      </c>
      <c r="J154" s="4">
        <v>70646.539999999994</v>
      </c>
      <c r="K154" s="3">
        <v>315</v>
      </c>
      <c r="L154" s="2" t="s">
        <v>2523</v>
      </c>
      <c r="M154" s="2" t="s">
        <v>2526</v>
      </c>
      <c r="N154" s="8">
        <f>IFERROR(G154/F154,0)</f>
        <v>6.1459347758960593E-2</v>
      </c>
      <c r="O154" s="8">
        <f>IFERROR(H154/G154,0)</f>
        <v>0.10106280193236715</v>
      </c>
      <c r="P154" s="4">
        <f>IFERROR(I154/G154,0)</f>
        <v>1.6794763285024157</v>
      </c>
      <c r="Q154" s="4">
        <f>IFERROR(I154/H154,0)</f>
        <v>16.618145315487574</v>
      </c>
      <c r="R154" s="12">
        <f>IFERROR(J154/I154,0)</f>
        <v>8.128429726772433</v>
      </c>
      <c r="S154" s="7">
        <f>Tabla_nuevas_columnas[[#This Row],[ROAS]]</f>
        <v>8.128429726772433</v>
      </c>
      <c r="T154" t="str">
        <f>_xlfn.CONCAT(C154,"-",D154)</f>
        <v>Email-España</v>
      </c>
      <c r="U154">
        <f>YEAR(A154)</f>
        <v>2025</v>
      </c>
      <c r="V154">
        <f>MONTH(A154)</f>
        <v>11</v>
      </c>
      <c r="W154" t="str">
        <f>PROPER(TEXT(A154,"mmmm"))</f>
        <v>Noviembre</v>
      </c>
      <c r="X154" t="str">
        <f>PROPER(TEXT(A154,"dddd"))</f>
        <v>Domingo</v>
      </c>
      <c r="Y154" t="str" cm="1">
        <f t="array" ref="Y154">_xlfn.IFS(R154&gt;10,"Excelente",R154&gt;=5,"Bueno",R154&gt;=2,"Débil",R154&lt;2,"Deficiente")</f>
        <v>Bueno</v>
      </c>
      <c r="Z154" t="str">
        <f>IF(AND(R154&lt;2,Q154&gt;=100),"Revisar","OK")</f>
        <v>OK</v>
      </c>
      <c r="AA154" s="55">
        <f>_xlfn.XLOOKUP(C154,'Preguntas de negocio'!$C$114:$C$119,'Preguntas de negocio'!$D$114:$D$119,0)</f>
        <v>5.5</v>
      </c>
      <c r="AB154" s="55">
        <f>VLOOKUP(C154,'Preguntas de negocio'!$C$121:$D$127,2,FALSE)</f>
        <v>0.65</v>
      </c>
    </row>
    <row r="155" spans="1:28" x14ac:dyDescent="0.3">
      <c r="A155" s="1">
        <v>45873</v>
      </c>
      <c r="B155" s="2" t="s">
        <v>2619</v>
      </c>
      <c r="C155" s="2" t="s">
        <v>2527</v>
      </c>
      <c r="D155" s="2" t="s">
        <v>2645</v>
      </c>
      <c r="E155" s="2" t="s">
        <v>2529</v>
      </c>
      <c r="F155" s="3">
        <v>70993</v>
      </c>
      <c r="G155" s="3">
        <v>5324</v>
      </c>
      <c r="H155" s="3">
        <v>363</v>
      </c>
      <c r="I155" s="4">
        <v>6370.38</v>
      </c>
      <c r="J155" s="4">
        <v>10725.48</v>
      </c>
      <c r="K155" s="3">
        <v>322</v>
      </c>
      <c r="L155" s="2" t="s">
        <v>2523</v>
      </c>
      <c r="M155" s="2" t="s">
        <v>2524</v>
      </c>
      <c r="N155" s="8">
        <f>IFERROR(G155/F155,0)</f>
        <v>7.4993309199498537E-2</v>
      </c>
      <c r="O155" s="8">
        <f>IFERROR(H155/G155,0)</f>
        <v>6.8181818181818177E-2</v>
      </c>
      <c r="P155" s="4">
        <f>IFERROR(I155/G155,0)</f>
        <v>1.1965401953418482</v>
      </c>
      <c r="Q155" s="4">
        <f>IFERROR(I155/H155,0)</f>
        <v>17.549256198347109</v>
      </c>
      <c r="R155" s="12">
        <f>IFERROR(J155/I155,0)</f>
        <v>1.6836483851826736</v>
      </c>
      <c r="S155" s="7">
        <f>Tabla_nuevas_columnas[[#This Row],[ROAS]]</f>
        <v>1.6836483851826736</v>
      </c>
      <c r="T155" t="str">
        <f>_xlfn.CONCAT(C155,"-",D155)</f>
        <v>Affiliate-Por identificar</v>
      </c>
      <c r="U155">
        <f>YEAR(A155)</f>
        <v>2025</v>
      </c>
      <c r="V155">
        <f>MONTH(A155)</f>
        <v>8</v>
      </c>
      <c r="W155" t="str">
        <f>PROPER(TEXT(A155,"mmmm"))</f>
        <v>Agosto</v>
      </c>
      <c r="X155" t="str">
        <f>PROPER(TEXT(A155,"dddd"))</f>
        <v>Lunes</v>
      </c>
      <c r="Y155" t="str" cm="1">
        <f t="array" ref="Y155">_xlfn.IFS(R155&gt;10,"Excelente",R155&gt;=5,"Bueno",R155&gt;=2,"Débil",R155&lt;2,"Deficiente")</f>
        <v>Deficiente</v>
      </c>
      <c r="Z155" t="str">
        <f>IF(AND(R155&lt;2,Q155&gt;=100),"Revisar","OK")</f>
        <v>OK</v>
      </c>
      <c r="AA155" s="55">
        <f>_xlfn.XLOOKUP(C155,'Preguntas de negocio'!$C$114:$C$119,'Preguntas de negocio'!$D$114:$D$119,0)</f>
        <v>4.5</v>
      </c>
      <c r="AB155" s="55">
        <f>VLOOKUP(C155,'Preguntas de negocio'!$C$121:$D$127,2,FALSE)</f>
        <v>0.35</v>
      </c>
    </row>
    <row r="156" spans="1:28" x14ac:dyDescent="0.3">
      <c r="A156" s="1">
        <v>45943</v>
      </c>
      <c r="B156" s="2" t="s">
        <v>2643</v>
      </c>
      <c r="C156" s="2" t="s">
        <v>2543</v>
      </c>
      <c r="D156" s="2" t="s">
        <v>2525</v>
      </c>
      <c r="E156" s="2" t="s">
        <v>2529</v>
      </c>
      <c r="F156" s="3">
        <v>5365</v>
      </c>
      <c r="G156" s="3">
        <v>283</v>
      </c>
      <c r="H156" s="3">
        <v>20</v>
      </c>
      <c r="I156" s="4">
        <v>429.12</v>
      </c>
      <c r="J156" s="4">
        <v>1588.92</v>
      </c>
      <c r="K156" s="3">
        <v>9</v>
      </c>
      <c r="L156" s="2" t="s">
        <v>2518</v>
      </c>
      <c r="M156" s="2" t="s">
        <v>2524</v>
      </c>
      <c r="N156" s="8">
        <f>IFERROR(G156/F156,0)</f>
        <v>5.2749301025163092E-2</v>
      </c>
      <c r="O156" s="8">
        <f>IFERROR(H156/G156,0)</f>
        <v>7.0671378091872794E-2</v>
      </c>
      <c r="P156" s="4">
        <f>IFERROR(I156/G156,0)</f>
        <v>1.5163250883392225</v>
      </c>
      <c r="Q156" s="4">
        <f>IFERROR(I156/H156,0)</f>
        <v>21.456</v>
      </c>
      <c r="R156" s="12">
        <f>IFERROR(J156/I156,0)</f>
        <v>3.7027404921700224</v>
      </c>
      <c r="S156" s="7">
        <f>Tabla_nuevas_columnas[[#This Row],[ROAS]]</f>
        <v>3.7027404921700224</v>
      </c>
      <c r="T156" t="str">
        <f>_xlfn.CONCAT(C156,"-",D156)</f>
        <v>Organic Social-Francia</v>
      </c>
      <c r="U156">
        <f>YEAR(A156)</f>
        <v>2025</v>
      </c>
      <c r="V156">
        <f>MONTH(A156)</f>
        <v>10</v>
      </c>
      <c r="W156" t="str">
        <f>PROPER(TEXT(A156,"mmmm"))</f>
        <v>Octubre</v>
      </c>
      <c r="X156" t="str">
        <f>PROPER(TEXT(A156,"dddd"))</f>
        <v>Lunes</v>
      </c>
      <c r="Y156" t="str" cm="1">
        <f t="array" ref="Y156">_xlfn.IFS(R156&gt;10,"Excelente",R156&gt;=5,"Bueno",R156&gt;=2,"Débil",R156&lt;2,"Deficiente")</f>
        <v>Débil</v>
      </c>
      <c r="Z156" t="str">
        <f>IF(AND(R156&lt;2,Q156&gt;=100),"Revisar","OK")</f>
        <v>OK</v>
      </c>
      <c r="AA156" s="55">
        <f>_xlfn.XLOOKUP(C156,'Preguntas de negocio'!$C$114:$C$119,'Preguntas de negocio'!$D$114:$D$119,0)</f>
        <v>4</v>
      </c>
      <c r="AB156" s="55">
        <f>VLOOKUP(C156,'Preguntas de negocio'!$C$121:$D$127,2,FALSE)</f>
        <v>0.95</v>
      </c>
    </row>
    <row r="157" spans="1:28" x14ac:dyDescent="0.3">
      <c r="A157" s="1">
        <v>45766</v>
      </c>
      <c r="B157" s="2" t="s">
        <v>2634</v>
      </c>
      <c r="C157" s="2" t="s">
        <v>2515</v>
      </c>
      <c r="D157" s="2" t="s">
        <v>2528</v>
      </c>
      <c r="E157" s="2" t="s">
        <v>2529</v>
      </c>
      <c r="F157" s="3">
        <v>76473</v>
      </c>
      <c r="G157" s="3">
        <v>1429</v>
      </c>
      <c r="H157" s="3">
        <v>67</v>
      </c>
      <c r="I157" s="4">
        <v>837.55</v>
      </c>
      <c r="J157" s="4">
        <v>10003.66</v>
      </c>
      <c r="K157" s="3">
        <v>37</v>
      </c>
      <c r="L157" s="2" t="s">
        <v>2539</v>
      </c>
      <c r="M157" s="2" t="s">
        <v>2519</v>
      </c>
      <c r="N157" s="8">
        <f>IFERROR(G157/F157,0)</f>
        <v>1.8686333738705162E-2</v>
      </c>
      <c r="O157" s="8">
        <f>IFERROR(H157/G157,0)</f>
        <v>4.6885934219734082E-2</v>
      </c>
      <c r="P157" s="4">
        <f>IFERROR(I157/G157,0)</f>
        <v>0.58610916724982498</v>
      </c>
      <c r="Q157" s="4">
        <f>IFERROR(I157/H157,0)</f>
        <v>12.500746268656716</v>
      </c>
      <c r="R157" s="12">
        <f>IFERROR(J157/I157,0)</f>
        <v>11.943955584741209</v>
      </c>
      <c r="S157" s="7">
        <f>Tabla_nuevas_columnas[[#This Row],[ROAS]]</f>
        <v>11.943955584741209</v>
      </c>
      <c r="T157" t="str">
        <f>_xlfn.CONCAT(C157,"-",D157)</f>
        <v>Email-España</v>
      </c>
      <c r="U157">
        <f>YEAR(A157)</f>
        <v>2025</v>
      </c>
      <c r="V157">
        <f>MONTH(A157)</f>
        <v>4</v>
      </c>
      <c r="W157" t="str">
        <f>PROPER(TEXT(A157,"mmmm"))</f>
        <v>Abril</v>
      </c>
      <c r="X157" t="str">
        <f>PROPER(TEXT(A157,"dddd"))</f>
        <v>Sábado</v>
      </c>
      <c r="Y157" t="str" cm="1">
        <f t="array" ref="Y157">_xlfn.IFS(R157&gt;10,"Excelente",R157&gt;=5,"Bueno",R157&gt;=2,"Débil",R157&lt;2,"Deficiente")</f>
        <v>Excelente</v>
      </c>
      <c r="Z157" t="str">
        <f>IF(AND(R157&lt;2,Q157&gt;=100),"Revisar","OK")</f>
        <v>OK</v>
      </c>
      <c r="AA157" s="55">
        <f>_xlfn.XLOOKUP(C157,'Preguntas de negocio'!$C$114:$C$119,'Preguntas de negocio'!$D$114:$D$119,0)</f>
        <v>5.5</v>
      </c>
      <c r="AB157" s="55">
        <f>VLOOKUP(C157,'Preguntas de negocio'!$C$121:$D$127,2,FALSE)</f>
        <v>0.65</v>
      </c>
    </row>
    <row r="158" spans="1:28" x14ac:dyDescent="0.3">
      <c r="A158" s="1">
        <v>45682</v>
      </c>
      <c r="B158" s="2" t="s">
        <v>2629</v>
      </c>
      <c r="C158" s="2" t="s">
        <v>2515</v>
      </c>
      <c r="D158" s="2" t="s">
        <v>2525</v>
      </c>
      <c r="E158" s="2" t="s">
        <v>2529</v>
      </c>
      <c r="F158" s="3">
        <v>89336</v>
      </c>
      <c r="G158" s="3">
        <v>2284</v>
      </c>
      <c r="H158" s="3">
        <v>258</v>
      </c>
      <c r="I158" s="4">
        <v>1750.33</v>
      </c>
      <c r="J158" s="4">
        <v>51761.79</v>
      </c>
      <c r="K158" s="3">
        <v>131</v>
      </c>
      <c r="L158" s="2" t="s">
        <v>2518</v>
      </c>
      <c r="M158" s="2" t="s">
        <v>2546</v>
      </c>
      <c r="N158" s="8">
        <f>IFERROR(G158/F158,0)</f>
        <v>2.5566401002955135E-2</v>
      </c>
      <c r="O158" s="8">
        <f>IFERROR(H158/G158,0)</f>
        <v>0.11295971978984239</v>
      </c>
      <c r="P158" s="4">
        <f>IFERROR(I158/G158,0)</f>
        <v>0.76634413309982485</v>
      </c>
      <c r="Q158" s="4">
        <f>IFERROR(I158/H158,0)</f>
        <v>6.78422480620155</v>
      </c>
      <c r="R158" s="12">
        <f>IFERROR(J158/I158,0)</f>
        <v>29.572589168899579</v>
      </c>
      <c r="S158" s="7">
        <f>Tabla_nuevas_columnas[[#This Row],[ROAS]]</f>
        <v>29.572589168899579</v>
      </c>
      <c r="T158" t="str">
        <f>_xlfn.CONCAT(C158,"-",D158)</f>
        <v>Email-Francia</v>
      </c>
      <c r="U158">
        <f>YEAR(A158)</f>
        <v>2025</v>
      </c>
      <c r="V158">
        <f>MONTH(A158)</f>
        <v>1</v>
      </c>
      <c r="W158" t="str">
        <f>PROPER(TEXT(A158,"mmmm"))</f>
        <v>Enero</v>
      </c>
      <c r="X158" t="str">
        <f>PROPER(TEXT(A158,"dddd"))</f>
        <v>Sábado</v>
      </c>
      <c r="Y158" t="str" cm="1">
        <f t="array" ref="Y158">_xlfn.IFS(R158&gt;10,"Excelente",R158&gt;=5,"Bueno",R158&gt;=2,"Débil",R158&lt;2,"Deficiente")</f>
        <v>Excelente</v>
      </c>
      <c r="Z158" t="str">
        <f>IF(AND(R158&lt;2,Q158&gt;=100),"Revisar","OK")</f>
        <v>OK</v>
      </c>
      <c r="AA158" s="55">
        <f>_xlfn.XLOOKUP(C158,'Preguntas de negocio'!$C$114:$C$119,'Preguntas de negocio'!$D$114:$D$119,0)</f>
        <v>5.5</v>
      </c>
      <c r="AB158" s="55">
        <f>VLOOKUP(C158,'Preguntas de negocio'!$C$121:$D$127,2,FALSE)</f>
        <v>0.65</v>
      </c>
    </row>
    <row r="159" spans="1:28" x14ac:dyDescent="0.3">
      <c r="A159" s="1">
        <v>45672</v>
      </c>
      <c r="B159" s="2" t="s">
        <v>2628</v>
      </c>
      <c r="C159" s="2" t="s">
        <v>2541</v>
      </c>
      <c r="D159" s="2" t="s">
        <v>2528</v>
      </c>
      <c r="E159" s="2" t="s">
        <v>2517</v>
      </c>
      <c r="F159" s="3">
        <v>45075</v>
      </c>
      <c r="G159" s="3">
        <v>3575</v>
      </c>
      <c r="H159" s="3">
        <v>175</v>
      </c>
      <c r="I159" s="4">
        <v>5975.28</v>
      </c>
      <c r="J159" s="4">
        <v>36336.83</v>
      </c>
      <c r="K159" s="3">
        <v>128</v>
      </c>
      <c r="L159" s="2" t="s">
        <v>2523</v>
      </c>
      <c r="M159" s="2" t="s">
        <v>2526</v>
      </c>
      <c r="N159" s="8">
        <f>IFERROR(G159/F159,0)</f>
        <v>7.9312257348863005E-2</v>
      </c>
      <c r="O159" s="8">
        <f>IFERROR(H159/G159,0)</f>
        <v>4.8951048951048952E-2</v>
      </c>
      <c r="P159" s="4">
        <f>IFERROR(I159/G159,0)</f>
        <v>1.671406993006993</v>
      </c>
      <c r="Q159" s="4">
        <f>IFERROR(I159/H159,0)</f>
        <v>34.144457142857142</v>
      </c>
      <c r="R159" s="12">
        <f>IFERROR(J159/I159,0)</f>
        <v>6.0811928478665438</v>
      </c>
      <c r="S159" s="7">
        <f>Tabla_nuevas_columnas[[#This Row],[ROAS]]</f>
        <v>6.0811928478665438</v>
      </c>
      <c r="T159" t="str">
        <f>_xlfn.CONCAT(C159,"-",D159)</f>
        <v>Display-España</v>
      </c>
      <c r="U159">
        <f>YEAR(A159)</f>
        <v>2025</v>
      </c>
      <c r="V159">
        <f>MONTH(A159)</f>
        <v>1</v>
      </c>
      <c r="W159" t="str">
        <f>PROPER(TEXT(A159,"mmmm"))</f>
        <v>Enero</v>
      </c>
      <c r="X159" t="str">
        <f>PROPER(TEXT(A159,"dddd"))</f>
        <v>Miércoles</v>
      </c>
      <c r="Y159" t="str" cm="1">
        <f t="array" ref="Y159">_xlfn.IFS(R159&gt;10,"Excelente",R159&gt;=5,"Bueno",R159&gt;=2,"Débil",R159&lt;2,"Deficiente")</f>
        <v>Bueno</v>
      </c>
      <c r="Z159" t="str">
        <f>IF(AND(R159&lt;2,Q159&gt;=100),"Revisar","OK")</f>
        <v>OK</v>
      </c>
      <c r="AA159" s="55">
        <f>_xlfn.XLOOKUP(C159,'Preguntas de negocio'!$C$114:$C$119,'Preguntas de negocio'!$D$114:$D$119,0)</f>
        <v>5</v>
      </c>
      <c r="AB159" s="55">
        <f>VLOOKUP(C159,'Preguntas de negocio'!$C$121:$D$127,2,FALSE)</f>
        <v>0.5</v>
      </c>
    </row>
    <row r="160" spans="1:28" x14ac:dyDescent="0.3">
      <c r="A160" s="1">
        <v>46017</v>
      </c>
      <c r="B160" s="2" t="s">
        <v>2644</v>
      </c>
      <c r="C160" s="2" t="s">
        <v>2533</v>
      </c>
      <c r="D160" s="2" t="s">
        <v>2525</v>
      </c>
      <c r="E160" s="2" t="s">
        <v>2517</v>
      </c>
      <c r="F160" s="3">
        <v>10749</v>
      </c>
      <c r="G160" s="3">
        <v>592</v>
      </c>
      <c r="H160" s="3">
        <v>55</v>
      </c>
      <c r="I160" s="4">
        <v>794.7</v>
      </c>
      <c r="J160" s="4">
        <v>5606.04</v>
      </c>
      <c r="K160" s="3">
        <v>48</v>
      </c>
      <c r="L160" s="2" t="s">
        <v>2523</v>
      </c>
      <c r="M160" s="2" t="s">
        <v>2519</v>
      </c>
      <c r="N160" s="8">
        <f>IFERROR(G160/F160,0)</f>
        <v>5.5074890687505818E-2</v>
      </c>
      <c r="O160" s="8">
        <f>IFERROR(H160/G160,0)</f>
        <v>9.29054054054054E-2</v>
      </c>
      <c r="P160" s="4">
        <f>IFERROR(I160/G160,0)</f>
        <v>1.3423986486486488</v>
      </c>
      <c r="Q160" s="4">
        <f>IFERROR(I160/H160,0)</f>
        <v>14.449090909090909</v>
      </c>
      <c r="R160" s="12">
        <f>IFERROR(J160/I160,0)</f>
        <v>7.0542846357115891</v>
      </c>
      <c r="S160" s="7">
        <f>Tabla_nuevas_columnas[[#This Row],[ROAS]]</f>
        <v>7.0542846357115891</v>
      </c>
      <c r="T160" t="str">
        <f>_xlfn.CONCAT(C160,"-",D160)</f>
        <v>Paid Social-Francia</v>
      </c>
      <c r="U160">
        <f>YEAR(A160)</f>
        <v>2025</v>
      </c>
      <c r="V160">
        <f>MONTH(A160)</f>
        <v>12</v>
      </c>
      <c r="W160" t="str">
        <f>PROPER(TEXT(A160,"mmmm"))</f>
        <v>Diciembre</v>
      </c>
      <c r="X160" t="str">
        <f>PROPER(TEXT(A160,"dddd"))</f>
        <v>Viernes</v>
      </c>
      <c r="Y160" t="str" cm="1">
        <f t="array" ref="Y160">_xlfn.IFS(R160&gt;10,"Excelente",R160&gt;=5,"Bueno",R160&gt;=2,"Débil",R160&lt;2,"Deficiente")</f>
        <v>Bueno</v>
      </c>
      <c r="Z160" t="str">
        <f>IF(AND(R160&lt;2,Q160&gt;=100),"Revisar","OK")</f>
        <v>OK</v>
      </c>
      <c r="AA160" s="55">
        <f>_xlfn.XLOOKUP(C160,'Preguntas de negocio'!$C$114:$C$119,'Preguntas de negocio'!$D$114:$D$119,0)</f>
        <v>6</v>
      </c>
      <c r="AB160" s="55">
        <f>VLOOKUP(C160,'Preguntas de negocio'!$C$121:$D$127,2,FALSE)</f>
        <v>0.8</v>
      </c>
    </row>
    <row r="161" spans="1:28" x14ac:dyDescent="0.3">
      <c r="A161" s="1">
        <v>45915</v>
      </c>
      <c r="B161" s="2" t="s">
        <v>2631</v>
      </c>
      <c r="C161" s="2" t="s">
        <v>2527</v>
      </c>
      <c r="D161" s="2" t="s">
        <v>2516</v>
      </c>
      <c r="E161" s="2" t="s">
        <v>2517</v>
      </c>
      <c r="F161" s="3">
        <v>174829</v>
      </c>
      <c r="G161" s="3">
        <v>11184</v>
      </c>
      <c r="H161" s="3">
        <v>699</v>
      </c>
      <c r="I161" s="4">
        <v>23368.09</v>
      </c>
      <c r="J161" s="4">
        <v>152960.56</v>
      </c>
      <c r="K161" s="3">
        <v>468</v>
      </c>
      <c r="L161" s="2" t="s">
        <v>2518</v>
      </c>
      <c r="M161" s="2" t="s">
        <v>2537</v>
      </c>
      <c r="N161" s="8">
        <f>IFERROR(G161/F161,0)</f>
        <v>6.397108031276276E-2</v>
      </c>
      <c r="O161" s="8">
        <f>IFERROR(H161/G161,0)</f>
        <v>6.25E-2</v>
      </c>
      <c r="P161" s="4">
        <f>IFERROR(I161/G161,0)</f>
        <v>2.0894214949928469</v>
      </c>
      <c r="Q161" s="4">
        <f>IFERROR(I161/H161,0)</f>
        <v>33.43074391988555</v>
      </c>
      <c r="R161" s="12">
        <f>IFERROR(J161/I161,0)</f>
        <v>6.5457022803318541</v>
      </c>
      <c r="S161" s="7">
        <f>Tabla_nuevas_columnas[[#This Row],[ROAS]]</f>
        <v>6.5457022803318541</v>
      </c>
      <c r="T161" t="str">
        <f>_xlfn.CONCAT(C161,"-",D161)</f>
        <v>Affiliate-México</v>
      </c>
      <c r="U161">
        <f>YEAR(A161)</f>
        <v>2025</v>
      </c>
      <c r="V161">
        <f>MONTH(A161)</f>
        <v>9</v>
      </c>
      <c r="W161" t="str">
        <f>PROPER(TEXT(A161,"mmmm"))</f>
        <v>Septiembre</v>
      </c>
      <c r="X161" t="str">
        <f>PROPER(TEXT(A161,"dddd"))</f>
        <v>Lunes</v>
      </c>
      <c r="Y161" t="str" cm="1">
        <f t="array" ref="Y161">_xlfn.IFS(R161&gt;10,"Excelente",R161&gt;=5,"Bueno",R161&gt;=2,"Débil",R161&lt;2,"Deficiente")</f>
        <v>Bueno</v>
      </c>
      <c r="Z161" t="str">
        <f>IF(AND(R161&lt;2,Q161&gt;=100),"Revisar","OK")</f>
        <v>OK</v>
      </c>
      <c r="AA161" s="55">
        <f>_xlfn.XLOOKUP(C161,'Preguntas de negocio'!$C$114:$C$119,'Preguntas de negocio'!$D$114:$D$119,0)</f>
        <v>4.5</v>
      </c>
      <c r="AB161" s="55">
        <f>VLOOKUP(C161,'Preguntas de negocio'!$C$121:$D$127,2,FALSE)</f>
        <v>0.35</v>
      </c>
    </row>
    <row r="162" spans="1:28" x14ac:dyDescent="0.3">
      <c r="A162" s="1">
        <v>45723</v>
      </c>
      <c r="B162" s="2" t="s">
        <v>2624</v>
      </c>
      <c r="C162" s="2" t="s">
        <v>2515</v>
      </c>
      <c r="D162" s="2" t="s">
        <v>2522</v>
      </c>
      <c r="E162" s="2" t="s">
        <v>2529</v>
      </c>
      <c r="F162" s="3">
        <v>150839</v>
      </c>
      <c r="G162" s="3">
        <v>2552</v>
      </c>
      <c r="H162" s="3">
        <v>228</v>
      </c>
      <c r="I162" s="4">
        <v>2408.91</v>
      </c>
      <c r="J162" s="4">
        <v>48203.95</v>
      </c>
      <c r="K162" s="3">
        <v>117</v>
      </c>
      <c r="L162" s="2" t="s">
        <v>2523</v>
      </c>
      <c r="M162" s="2" t="s">
        <v>2524</v>
      </c>
      <c r="N162" s="8">
        <f>IFERROR(G162/F162,0)</f>
        <v>1.69187013968536E-2</v>
      </c>
      <c r="O162" s="8">
        <f>IFERROR(H162/G162,0)</f>
        <v>8.9341692789968646E-2</v>
      </c>
      <c r="P162" s="4">
        <f>IFERROR(I162/G162,0)</f>
        <v>0.94393025078369897</v>
      </c>
      <c r="Q162" s="4">
        <f>IFERROR(I162/H162,0)</f>
        <v>10.565394736842105</v>
      </c>
      <c r="R162" s="12">
        <f>IFERROR(J162/I162,0)</f>
        <v>20.010689481964871</v>
      </c>
      <c r="S162" s="7">
        <f>Tabla_nuevas_columnas[[#This Row],[ROAS]]</f>
        <v>20.010689481964871</v>
      </c>
      <c r="T162" t="str">
        <f>_xlfn.CONCAT(C162,"-",D162)</f>
        <v>Email-Italia</v>
      </c>
      <c r="U162">
        <f>YEAR(A162)</f>
        <v>2025</v>
      </c>
      <c r="V162">
        <f>MONTH(A162)</f>
        <v>3</v>
      </c>
      <c r="W162" t="str">
        <f>PROPER(TEXT(A162,"mmmm"))</f>
        <v>Marzo</v>
      </c>
      <c r="X162" t="str">
        <f>PROPER(TEXT(A162,"dddd"))</f>
        <v>Viernes</v>
      </c>
      <c r="Y162" t="str" cm="1">
        <f t="array" ref="Y162">_xlfn.IFS(R162&gt;10,"Excelente",R162&gt;=5,"Bueno",R162&gt;=2,"Débil",R162&lt;2,"Deficiente")</f>
        <v>Excelente</v>
      </c>
      <c r="Z162" t="str">
        <f>IF(AND(R162&lt;2,Q162&gt;=100),"Revisar","OK")</f>
        <v>OK</v>
      </c>
      <c r="AA162" s="55">
        <f>_xlfn.XLOOKUP(C162,'Preguntas de negocio'!$C$114:$C$119,'Preguntas de negocio'!$D$114:$D$119,0)</f>
        <v>5.5</v>
      </c>
      <c r="AB162" s="55">
        <f>VLOOKUP(C162,'Preguntas de negocio'!$C$121:$D$127,2,FALSE)</f>
        <v>0.65</v>
      </c>
    </row>
    <row r="163" spans="1:28" x14ac:dyDescent="0.3">
      <c r="A163" s="1">
        <v>45939</v>
      </c>
      <c r="B163" s="2" t="s">
        <v>2620</v>
      </c>
      <c r="C163" s="2" t="s">
        <v>2515</v>
      </c>
      <c r="D163" s="2" t="s">
        <v>2528</v>
      </c>
      <c r="E163" s="2" t="s">
        <v>2529</v>
      </c>
      <c r="F163" s="3">
        <v>31736</v>
      </c>
      <c r="G163" s="3">
        <v>664</v>
      </c>
      <c r="H163" s="3">
        <v>53</v>
      </c>
      <c r="I163" s="4">
        <v>135.88999999999999</v>
      </c>
      <c r="J163" s="4">
        <v>5370.7</v>
      </c>
      <c r="K163" s="3">
        <v>46</v>
      </c>
      <c r="L163" s="2" t="s">
        <v>2539</v>
      </c>
      <c r="M163" s="2" t="s">
        <v>2526</v>
      </c>
      <c r="N163" s="8">
        <f>IFERROR(G163/F163,0)</f>
        <v>2.0922611545248299E-2</v>
      </c>
      <c r="O163" s="8">
        <f>IFERROR(H163/G163,0)</f>
        <v>7.9819277108433728E-2</v>
      </c>
      <c r="P163" s="4">
        <f>IFERROR(I163/G163,0)</f>
        <v>0.20465361445783131</v>
      </c>
      <c r="Q163" s="4">
        <f>IFERROR(I163/H163,0)</f>
        <v>2.563962264150943</v>
      </c>
      <c r="R163" s="12">
        <f>IFERROR(J163/I163,0)</f>
        <v>39.522407829862388</v>
      </c>
      <c r="S163" s="7">
        <f>Tabla_nuevas_columnas[[#This Row],[ROAS]]</f>
        <v>39.522407829862388</v>
      </c>
      <c r="T163" t="str">
        <f>_xlfn.CONCAT(C163,"-",D163)</f>
        <v>Email-España</v>
      </c>
      <c r="U163">
        <f>YEAR(A163)</f>
        <v>2025</v>
      </c>
      <c r="V163">
        <f>MONTH(A163)</f>
        <v>10</v>
      </c>
      <c r="W163" t="str">
        <f>PROPER(TEXT(A163,"mmmm"))</f>
        <v>Octubre</v>
      </c>
      <c r="X163" t="str">
        <f>PROPER(TEXT(A163,"dddd"))</f>
        <v>Jueves</v>
      </c>
      <c r="Y163" t="str" cm="1">
        <f t="array" ref="Y163">_xlfn.IFS(R163&gt;10,"Excelente",R163&gt;=5,"Bueno",R163&gt;=2,"Débil",R163&lt;2,"Deficiente")</f>
        <v>Excelente</v>
      </c>
      <c r="Z163" t="str">
        <f>IF(AND(R163&lt;2,Q163&gt;=100),"Revisar","OK")</f>
        <v>OK</v>
      </c>
      <c r="AA163" s="55">
        <f>_xlfn.XLOOKUP(C163,'Preguntas de negocio'!$C$114:$C$119,'Preguntas de negocio'!$D$114:$D$119,0)</f>
        <v>5.5</v>
      </c>
      <c r="AB163" s="55">
        <f>VLOOKUP(C163,'Preguntas de negocio'!$C$121:$D$127,2,FALSE)</f>
        <v>0.65</v>
      </c>
    </row>
    <row r="164" spans="1:28" x14ac:dyDescent="0.3">
      <c r="A164" s="1">
        <v>45962</v>
      </c>
      <c r="B164" s="2" t="s">
        <v>2616</v>
      </c>
      <c r="C164" s="2" t="s">
        <v>2521</v>
      </c>
      <c r="D164" s="2" t="s">
        <v>2516</v>
      </c>
      <c r="E164" s="2" t="s">
        <v>2517</v>
      </c>
      <c r="F164" s="3">
        <v>72086</v>
      </c>
      <c r="G164" s="3">
        <v>3771</v>
      </c>
      <c r="H164" s="3">
        <v>308</v>
      </c>
      <c r="I164" s="4">
        <v>4287.62</v>
      </c>
      <c r="J164" s="4">
        <v>18299.27</v>
      </c>
      <c r="K164" s="3">
        <v>147</v>
      </c>
      <c r="L164" s="2" t="s">
        <v>2518</v>
      </c>
      <c r="M164" s="2" t="s">
        <v>2546</v>
      </c>
      <c r="N164" s="8">
        <f>IFERROR(G164/F164,0)</f>
        <v>5.2312515606359071E-2</v>
      </c>
      <c r="O164" s="8">
        <f>IFERROR(H164/G164,0)</f>
        <v>8.1675948024396705E-2</v>
      </c>
      <c r="P164" s="4">
        <f>IFERROR(I164/G164,0)</f>
        <v>1.136998143728454</v>
      </c>
      <c r="Q164" s="4">
        <f>IFERROR(I164/H164,0)</f>
        <v>13.920844155844156</v>
      </c>
      <c r="R164" s="12">
        <f>IFERROR(J164/I164,0)</f>
        <v>4.2679318596330837</v>
      </c>
      <c r="S164" s="7">
        <f>Tabla_nuevas_columnas[[#This Row],[ROAS]]</f>
        <v>4.2679318596330837</v>
      </c>
      <c r="T164" t="str">
        <f>_xlfn.CONCAT(C164,"-",D164)</f>
        <v>Paid Search-México</v>
      </c>
      <c r="U164">
        <f>YEAR(A164)</f>
        <v>2025</v>
      </c>
      <c r="V164">
        <f>MONTH(A164)</f>
        <v>11</v>
      </c>
      <c r="W164" t="str">
        <f>PROPER(TEXT(A164,"mmmm"))</f>
        <v>Noviembre</v>
      </c>
      <c r="X164" t="str">
        <f>PROPER(TEXT(A164,"dddd"))</f>
        <v>Sábado</v>
      </c>
      <c r="Y164" t="str" cm="1">
        <f t="array" ref="Y164">_xlfn.IFS(R164&gt;10,"Excelente",R164&gt;=5,"Bueno",R164&gt;=2,"Débil",R164&lt;2,"Deficiente")</f>
        <v>Débil</v>
      </c>
      <c r="Z164" t="str">
        <f>IF(AND(R164&lt;2,Q164&gt;=100),"Revisar","OK")</f>
        <v>OK</v>
      </c>
      <c r="AA164" s="55">
        <f>_xlfn.XLOOKUP(C164,'Preguntas de negocio'!$C$114:$C$119,'Preguntas de negocio'!$D$114:$D$119,0)</f>
        <v>5</v>
      </c>
      <c r="AB164" s="55">
        <f>VLOOKUP(C164,'Preguntas de negocio'!$C$121:$D$127,2,FALSE)</f>
        <v>1.1000000000000001</v>
      </c>
    </row>
    <row r="165" spans="1:28" x14ac:dyDescent="0.3">
      <c r="A165" s="1">
        <v>45883</v>
      </c>
      <c r="B165" s="2" t="s">
        <v>2623</v>
      </c>
      <c r="C165" s="2" t="s">
        <v>2543</v>
      </c>
      <c r="D165" s="2" t="s">
        <v>2528</v>
      </c>
      <c r="E165" s="2" t="s">
        <v>2529</v>
      </c>
      <c r="F165" s="3">
        <v>171399</v>
      </c>
      <c r="G165" s="3">
        <v>13578</v>
      </c>
      <c r="H165" s="3">
        <v>577</v>
      </c>
      <c r="I165" s="4">
        <v>18535.46</v>
      </c>
      <c r="J165" s="4">
        <v>103508.43</v>
      </c>
      <c r="K165" s="3">
        <v>334</v>
      </c>
      <c r="L165" s="2" t="s">
        <v>2523</v>
      </c>
      <c r="M165" s="2" t="s">
        <v>2526</v>
      </c>
      <c r="N165" s="8">
        <f>IFERROR(G165/F165,0)</f>
        <v>7.9218665219750406E-2</v>
      </c>
      <c r="O165" s="8">
        <f>IFERROR(H165/G165,0)</f>
        <v>4.2495212844306969E-2</v>
      </c>
      <c r="P165" s="4">
        <f>IFERROR(I165/G165,0)</f>
        <v>1.3651097363381941</v>
      </c>
      <c r="Q165" s="4">
        <f>IFERROR(I165/H165,0)</f>
        <v>32.123847487001733</v>
      </c>
      <c r="R165" s="12">
        <f>IFERROR(J165/I165,0)</f>
        <v>5.5843464365060269</v>
      </c>
      <c r="S165" s="7">
        <f>Tabla_nuevas_columnas[[#This Row],[ROAS]]</f>
        <v>5.5843464365060269</v>
      </c>
      <c r="T165" t="str">
        <f>_xlfn.CONCAT(C165,"-",D165)</f>
        <v>Organic Social-España</v>
      </c>
      <c r="U165">
        <f>YEAR(A165)</f>
        <v>2025</v>
      </c>
      <c r="V165">
        <f>MONTH(A165)</f>
        <v>8</v>
      </c>
      <c r="W165" t="str">
        <f>PROPER(TEXT(A165,"mmmm"))</f>
        <v>Agosto</v>
      </c>
      <c r="X165" t="str">
        <f>PROPER(TEXT(A165,"dddd"))</f>
        <v>Jueves</v>
      </c>
      <c r="Y165" t="str" cm="1">
        <f t="array" ref="Y165">_xlfn.IFS(R165&gt;10,"Excelente",R165&gt;=5,"Bueno",R165&gt;=2,"Débil",R165&lt;2,"Deficiente")</f>
        <v>Bueno</v>
      </c>
      <c r="Z165" t="str">
        <f>IF(AND(R165&lt;2,Q165&gt;=100),"Revisar","OK")</f>
        <v>OK</v>
      </c>
      <c r="AA165" s="55">
        <f>_xlfn.XLOOKUP(C165,'Preguntas de negocio'!$C$114:$C$119,'Preguntas de negocio'!$D$114:$D$119,0)</f>
        <v>4</v>
      </c>
      <c r="AB165" s="55">
        <f>VLOOKUP(C165,'Preguntas de negocio'!$C$121:$D$127,2,FALSE)</f>
        <v>0.95</v>
      </c>
    </row>
    <row r="166" spans="1:28" x14ac:dyDescent="0.3">
      <c r="A166" s="1">
        <v>45895</v>
      </c>
      <c r="B166" s="2" t="s">
        <v>2644</v>
      </c>
      <c r="C166" s="2" t="s">
        <v>2543</v>
      </c>
      <c r="D166" s="2" t="s">
        <v>2528</v>
      </c>
      <c r="E166" s="2" t="s">
        <v>2529</v>
      </c>
      <c r="F166" s="3">
        <v>117579</v>
      </c>
      <c r="G166" s="3">
        <v>7543</v>
      </c>
      <c r="H166" s="3">
        <v>562</v>
      </c>
      <c r="I166" s="4">
        <v>5372.17</v>
      </c>
      <c r="J166" s="4">
        <v>49258.16</v>
      </c>
      <c r="K166" s="3">
        <v>446</v>
      </c>
      <c r="L166" s="2" t="s">
        <v>2523</v>
      </c>
      <c r="M166" s="2" t="s">
        <v>2546</v>
      </c>
      <c r="N166" s="8">
        <f>IFERROR(G166/F166,0)</f>
        <v>6.4152612286207569E-2</v>
      </c>
      <c r="O166" s="8">
        <f>IFERROR(H166/G166,0)</f>
        <v>7.4506164655972429E-2</v>
      </c>
      <c r="P166" s="4">
        <f>IFERROR(I166/G166,0)</f>
        <v>0.71220601882540102</v>
      </c>
      <c r="Q166" s="4">
        <f>IFERROR(I166/H166,0)</f>
        <v>9.5590213523131666</v>
      </c>
      <c r="R166" s="12">
        <f>IFERROR(J166/I166,0)</f>
        <v>9.1691364941913616</v>
      </c>
      <c r="S166" s="7">
        <f>Tabla_nuevas_columnas[[#This Row],[ROAS]]</f>
        <v>9.1691364941913616</v>
      </c>
      <c r="T166" t="str">
        <f>_xlfn.CONCAT(C166,"-",D166)</f>
        <v>Organic Social-España</v>
      </c>
      <c r="U166">
        <f>YEAR(A166)</f>
        <v>2025</v>
      </c>
      <c r="V166">
        <f>MONTH(A166)</f>
        <v>8</v>
      </c>
      <c r="W166" t="str">
        <f>PROPER(TEXT(A166,"mmmm"))</f>
        <v>Agosto</v>
      </c>
      <c r="X166" t="str">
        <f>PROPER(TEXT(A166,"dddd"))</f>
        <v>Martes</v>
      </c>
      <c r="Y166" t="str" cm="1">
        <f t="array" ref="Y166">_xlfn.IFS(R166&gt;10,"Excelente",R166&gt;=5,"Bueno",R166&gt;=2,"Débil",R166&lt;2,"Deficiente")</f>
        <v>Bueno</v>
      </c>
      <c r="Z166" t="str">
        <f>IF(AND(R166&lt;2,Q166&gt;=100),"Revisar","OK")</f>
        <v>OK</v>
      </c>
      <c r="AA166" s="55">
        <f>_xlfn.XLOOKUP(C166,'Preguntas de negocio'!$C$114:$C$119,'Preguntas de negocio'!$D$114:$D$119,0)</f>
        <v>4</v>
      </c>
      <c r="AB166" s="55">
        <f>VLOOKUP(C166,'Preguntas de negocio'!$C$121:$D$127,2,FALSE)</f>
        <v>0.95</v>
      </c>
    </row>
    <row r="167" spans="1:28" x14ac:dyDescent="0.3">
      <c r="A167" s="1">
        <v>45870</v>
      </c>
      <c r="B167" s="2" t="s">
        <v>2627</v>
      </c>
      <c r="C167" s="2" t="s">
        <v>2515</v>
      </c>
      <c r="D167" s="2" t="s">
        <v>2522</v>
      </c>
      <c r="E167" s="2" t="s">
        <v>2529</v>
      </c>
      <c r="F167" s="3">
        <v>88446</v>
      </c>
      <c r="G167" s="3">
        <v>4732</v>
      </c>
      <c r="H167" s="3">
        <v>194</v>
      </c>
      <c r="I167" s="4">
        <v>1292.18</v>
      </c>
      <c r="J167" s="4">
        <v>9438.83</v>
      </c>
      <c r="K167" s="3">
        <v>166</v>
      </c>
      <c r="L167" s="2" t="s">
        <v>2518</v>
      </c>
      <c r="M167" s="2" t="s">
        <v>2546</v>
      </c>
      <c r="N167" s="8">
        <f>IFERROR(G167/F167,0)</f>
        <v>5.3501571580399337E-2</v>
      </c>
      <c r="O167" s="8">
        <f>IFERROR(H167/G167,0)</f>
        <v>4.0997464074387154E-2</v>
      </c>
      <c r="P167" s="4">
        <f>IFERROR(I167/G167,0)</f>
        <v>0.27307269653423499</v>
      </c>
      <c r="Q167" s="4">
        <f>IFERROR(I167/H167,0)</f>
        <v>6.660721649484536</v>
      </c>
      <c r="R167" s="12">
        <f>IFERROR(J167/I167,0)</f>
        <v>7.3045783095234409</v>
      </c>
      <c r="S167" s="7">
        <f>Tabla_nuevas_columnas[[#This Row],[ROAS]]</f>
        <v>7.3045783095234409</v>
      </c>
      <c r="T167" t="str">
        <f>_xlfn.CONCAT(C167,"-",D167)</f>
        <v>Email-Italia</v>
      </c>
      <c r="U167">
        <f>YEAR(A167)</f>
        <v>2025</v>
      </c>
      <c r="V167">
        <f>MONTH(A167)</f>
        <v>8</v>
      </c>
      <c r="W167" t="str">
        <f>PROPER(TEXT(A167,"mmmm"))</f>
        <v>Agosto</v>
      </c>
      <c r="X167" t="str">
        <f>PROPER(TEXT(A167,"dddd"))</f>
        <v>Viernes</v>
      </c>
      <c r="Y167" t="str" cm="1">
        <f t="array" ref="Y167">_xlfn.IFS(R167&gt;10,"Excelente",R167&gt;=5,"Bueno",R167&gt;=2,"Débil",R167&lt;2,"Deficiente")</f>
        <v>Bueno</v>
      </c>
      <c r="Z167" t="str">
        <f>IF(AND(R167&lt;2,Q167&gt;=100),"Revisar","OK")</f>
        <v>OK</v>
      </c>
      <c r="AA167" s="55">
        <f>_xlfn.XLOOKUP(C167,'Preguntas de negocio'!$C$114:$C$119,'Preguntas de negocio'!$D$114:$D$119,0)</f>
        <v>5.5</v>
      </c>
      <c r="AB167" s="55">
        <f>VLOOKUP(C167,'Preguntas de negocio'!$C$121:$D$127,2,FALSE)</f>
        <v>0.65</v>
      </c>
    </row>
    <row r="168" spans="1:28" x14ac:dyDescent="0.3">
      <c r="A168" s="1">
        <v>45770</v>
      </c>
      <c r="B168" s="2" t="s">
        <v>2625</v>
      </c>
      <c r="C168" s="2" t="s">
        <v>2543</v>
      </c>
      <c r="D168" s="2" t="s">
        <v>2528</v>
      </c>
      <c r="E168" s="2" t="s">
        <v>2534</v>
      </c>
      <c r="F168" s="3">
        <v>179028</v>
      </c>
      <c r="G168" s="3">
        <v>1943</v>
      </c>
      <c r="H168" s="3">
        <v>40</v>
      </c>
      <c r="I168" s="4">
        <v>1129.0899999999999</v>
      </c>
      <c r="J168" s="4">
        <v>4721.6000000000004</v>
      </c>
      <c r="K168" s="3">
        <v>35</v>
      </c>
      <c r="L168" s="2" t="s">
        <v>2523</v>
      </c>
      <c r="M168" s="2" t="s">
        <v>2524</v>
      </c>
      <c r="N168" s="8">
        <f>IFERROR(G168/F168,0)</f>
        <v>1.0853050919409255E-2</v>
      </c>
      <c r="O168" s="8">
        <f>IFERROR(H168/G168,0)</f>
        <v>2.0586721564590838E-2</v>
      </c>
      <c r="P168" s="4">
        <f>IFERROR(I168/G168,0)</f>
        <v>0.5811065362840967</v>
      </c>
      <c r="Q168" s="4">
        <f>IFERROR(I168/H168,0)</f>
        <v>28.227249999999998</v>
      </c>
      <c r="R168" s="12">
        <f>IFERROR(J168/I168,0)</f>
        <v>4.1817747035223061</v>
      </c>
      <c r="S168" s="7">
        <f>Tabla_nuevas_columnas[[#This Row],[ROAS]]</f>
        <v>4.1817747035223061</v>
      </c>
      <c r="T168" t="str">
        <f>_xlfn.CONCAT(C168,"-",D168)</f>
        <v>Organic Social-España</v>
      </c>
      <c r="U168">
        <f>YEAR(A168)</f>
        <v>2025</v>
      </c>
      <c r="V168">
        <f>MONTH(A168)</f>
        <v>4</v>
      </c>
      <c r="W168" t="str">
        <f>PROPER(TEXT(A168,"mmmm"))</f>
        <v>Abril</v>
      </c>
      <c r="X168" t="str">
        <f>PROPER(TEXT(A168,"dddd"))</f>
        <v>Miércoles</v>
      </c>
      <c r="Y168" t="str" cm="1">
        <f t="array" ref="Y168">_xlfn.IFS(R168&gt;10,"Excelente",R168&gt;=5,"Bueno",R168&gt;=2,"Débil",R168&lt;2,"Deficiente")</f>
        <v>Débil</v>
      </c>
      <c r="Z168" t="str">
        <f>IF(AND(R168&lt;2,Q168&gt;=100),"Revisar","OK")</f>
        <v>OK</v>
      </c>
      <c r="AA168" s="55">
        <f>_xlfn.XLOOKUP(C168,'Preguntas de negocio'!$C$114:$C$119,'Preguntas de negocio'!$D$114:$D$119,0)</f>
        <v>4</v>
      </c>
      <c r="AB168" s="55">
        <f>VLOOKUP(C168,'Preguntas de negocio'!$C$121:$D$127,2,FALSE)</f>
        <v>0.95</v>
      </c>
    </row>
    <row r="169" spans="1:28" x14ac:dyDescent="0.3">
      <c r="A169" s="1">
        <v>45923</v>
      </c>
      <c r="B169" s="2" t="s">
        <v>2630</v>
      </c>
      <c r="C169" s="2" t="s">
        <v>2541</v>
      </c>
      <c r="D169" s="2" t="s">
        <v>2528</v>
      </c>
      <c r="E169" s="2" t="s">
        <v>2529</v>
      </c>
      <c r="F169" s="3">
        <v>70005</v>
      </c>
      <c r="G169" s="3">
        <v>6221</v>
      </c>
      <c r="H169" s="3">
        <v>224</v>
      </c>
      <c r="I169" s="4">
        <v>2607.3200000000002</v>
      </c>
      <c r="J169" s="4">
        <v>23165.439999999999</v>
      </c>
      <c r="K169" s="3">
        <v>111</v>
      </c>
      <c r="L169" s="2" t="s">
        <v>2536</v>
      </c>
      <c r="M169" s="2" t="s">
        <v>2519</v>
      </c>
      <c r="N169" s="8">
        <f>IFERROR(G169/F169,0)</f>
        <v>8.8865081065638174E-2</v>
      </c>
      <c r="O169" s="8">
        <f>IFERROR(H169/G169,0)</f>
        <v>3.6007072817874942E-2</v>
      </c>
      <c r="P169" s="4">
        <f>IFERROR(I169/G169,0)</f>
        <v>0.41911589776563257</v>
      </c>
      <c r="Q169" s="4">
        <f>IFERROR(I169/H169,0)</f>
        <v>11.639821428571429</v>
      </c>
      <c r="R169" s="12">
        <f>IFERROR(J169/I169,0)</f>
        <v>8.8847705690133925</v>
      </c>
      <c r="S169" s="7">
        <f>Tabla_nuevas_columnas[[#This Row],[ROAS]]</f>
        <v>8.8847705690133925</v>
      </c>
      <c r="T169" t="str">
        <f>_xlfn.CONCAT(C169,"-",D169)</f>
        <v>Display-España</v>
      </c>
      <c r="U169">
        <f>YEAR(A169)</f>
        <v>2025</v>
      </c>
      <c r="V169">
        <f>MONTH(A169)</f>
        <v>9</v>
      </c>
      <c r="W169" t="str">
        <f>PROPER(TEXT(A169,"mmmm"))</f>
        <v>Septiembre</v>
      </c>
      <c r="X169" t="str">
        <f>PROPER(TEXT(A169,"dddd"))</f>
        <v>Martes</v>
      </c>
      <c r="Y169" t="str" cm="1">
        <f t="array" ref="Y169">_xlfn.IFS(R169&gt;10,"Excelente",R169&gt;=5,"Bueno",R169&gt;=2,"Débil",R169&lt;2,"Deficiente")</f>
        <v>Bueno</v>
      </c>
      <c r="Z169" t="str">
        <f>IF(AND(R169&lt;2,Q169&gt;=100),"Revisar","OK")</f>
        <v>OK</v>
      </c>
      <c r="AA169" s="55">
        <f>_xlfn.XLOOKUP(C169,'Preguntas de negocio'!$C$114:$C$119,'Preguntas de negocio'!$D$114:$D$119,0)</f>
        <v>5</v>
      </c>
      <c r="AB169" s="55">
        <f>VLOOKUP(C169,'Preguntas de negocio'!$C$121:$D$127,2,FALSE)</f>
        <v>0.5</v>
      </c>
    </row>
    <row r="170" spans="1:28" x14ac:dyDescent="0.3">
      <c r="A170" s="1">
        <v>45957</v>
      </c>
      <c r="B170" s="2" t="s">
        <v>2643</v>
      </c>
      <c r="C170" s="2" t="s">
        <v>2533</v>
      </c>
      <c r="D170" s="2" t="s">
        <v>2528</v>
      </c>
      <c r="E170" s="2" t="s">
        <v>2517</v>
      </c>
      <c r="F170" s="3">
        <v>10697</v>
      </c>
      <c r="G170" s="3">
        <v>849</v>
      </c>
      <c r="H170" s="3">
        <v>95</v>
      </c>
      <c r="I170" s="4">
        <v>1430.54</v>
      </c>
      <c r="J170" s="4">
        <v>20479.18</v>
      </c>
      <c r="K170" s="3">
        <v>60</v>
      </c>
      <c r="L170" s="2" t="s">
        <v>2536</v>
      </c>
      <c r="M170" s="2" t="s">
        <v>2519</v>
      </c>
      <c r="N170" s="8">
        <f>IFERROR(G170/F170,0)</f>
        <v>7.9368047116013835E-2</v>
      </c>
      <c r="O170" s="8">
        <f>IFERROR(H170/G170,0)</f>
        <v>0.11189634864546526</v>
      </c>
      <c r="P170" s="4">
        <f>IFERROR(I170/G170,0)</f>
        <v>1.6849705535924617</v>
      </c>
      <c r="Q170" s="4">
        <f>IFERROR(I170/H170,0)</f>
        <v>15.058315789473683</v>
      </c>
      <c r="R170" s="12">
        <f>IFERROR(J170/I170,0)</f>
        <v>14.315698966823717</v>
      </c>
      <c r="S170" s="7">
        <f>Tabla_nuevas_columnas[[#This Row],[ROAS]]</f>
        <v>14.315698966823717</v>
      </c>
      <c r="T170" t="str">
        <f>_xlfn.CONCAT(C170,"-",D170)</f>
        <v>Paid Social-España</v>
      </c>
      <c r="U170">
        <f>YEAR(A170)</f>
        <v>2025</v>
      </c>
      <c r="V170">
        <f>MONTH(A170)</f>
        <v>10</v>
      </c>
      <c r="W170" t="str">
        <f>PROPER(TEXT(A170,"mmmm"))</f>
        <v>Octubre</v>
      </c>
      <c r="X170" t="str">
        <f>PROPER(TEXT(A170,"dddd"))</f>
        <v>Lunes</v>
      </c>
      <c r="Y170" t="str" cm="1">
        <f t="array" ref="Y170">_xlfn.IFS(R170&gt;10,"Excelente",R170&gt;=5,"Bueno",R170&gt;=2,"Débil",R170&lt;2,"Deficiente")</f>
        <v>Excelente</v>
      </c>
      <c r="Z170" t="str">
        <f>IF(AND(R170&lt;2,Q170&gt;=100),"Revisar","OK")</f>
        <v>OK</v>
      </c>
      <c r="AA170" s="55">
        <f>_xlfn.XLOOKUP(C170,'Preguntas de negocio'!$C$114:$C$119,'Preguntas de negocio'!$D$114:$D$119,0)</f>
        <v>6</v>
      </c>
      <c r="AB170" s="55">
        <f>VLOOKUP(C170,'Preguntas de negocio'!$C$121:$D$127,2,FALSE)</f>
        <v>0.8</v>
      </c>
    </row>
    <row r="171" spans="1:28" x14ac:dyDescent="0.3">
      <c r="A171" s="1">
        <v>45957</v>
      </c>
      <c r="B171" s="2" t="s">
        <v>2622</v>
      </c>
      <c r="C171" s="2" t="s">
        <v>2527</v>
      </c>
      <c r="D171" s="2" t="s">
        <v>2531</v>
      </c>
      <c r="E171" s="2" t="s">
        <v>2529</v>
      </c>
      <c r="F171" s="3">
        <v>35777</v>
      </c>
      <c r="G171" s="3">
        <v>2832</v>
      </c>
      <c r="H171" s="3">
        <v>350</v>
      </c>
      <c r="I171" s="4">
        <v>5404.25</v>
      </c>
      <c r="J171" s="4">
        <v>74096.95</v>
      </c>
      <c r="K171" s="3">
        <v>256</v>
      </c>
      <c r="L171" s="2" t="s">
        <v>2523</v>
      </c>
      <c r="M171" s="2" t="s">
        <v>2526</v>
      </c>
      <c r="N171" s="8">
        <f>IFERROR(G171/F171,0)</f>
        <v>7.9157000307460104E-2</v>
      </c>
      <c r="O171" s="8">
        <f>IFERROR(H171/G171,0)</f>
        <v>0.12358757062146893</v>
      </c>
      <c r="P171" s="4">
        <f>IFERROR(I171/G171,0)</f>
        <v>1.9082803672316384</v>
      </c>
      <c r="Q171" s="4">
        <f>IFERROR(I171/H171,0)</f>
        <v>15.440714285714286</v>
      </c>
      <c r="R171" s="12">
        <f>IFERROR(J171/I171,0)</f>
        <v>13.710866447703197</v>
      </c>
      <c r="S171" s="7">
        <f>Tabla_nuevas_columnas[[#This Row],[ROAS]]</f>
        <v>13.710866447703197</v>
      </c>
      <c r="T171" t="str">
        <f>_xlfn.CONCAT(C171,"-",D171)</f>
        <v>Affiliate-Portugal</v>
      </c>
      <c r="U171">
        <f>YEAR(A171)</f>
        <v>2025</v>
      </c>
      <c r="V171">
        <f>MONTH(A171)</f>
        <v>10</v>
      </c>
      <c r="W171" t="str">
        <f>PROPER(TEXT(A171,"mmmm"))</f>
        <v>Octubre</v>
      </c>
      <c r="X171" t="str">
        <f>PROPER(TEXT(A171,"dddd"))</f>
        <v>Lunes</v>
      </c>
      <c r="Y171" t="str" cm="1">
        <f t="array" ref="Y171">_xlfn.IFS(R171&gt;10,"Excelente",R171&gt;=5,"Bueno",R171&gt;=2,"Débil",R171&lt;2,"Deficiente")</f>
        <v>Excelente</v>
      </c>
      <c r="Z171" t="str">
        <f>IF(AND(R171&lt;2,Q171&gt;=100),"Revisar","OK")</f>
        <v>OK</v>
      </c>
      <c r="AA171" s="55">
        <f>_xlfn.XLOOKUP(C171,'Preguntas de negocio'!$C$114:$C$119,'Preguntas de negocio'!$D$114:$D$119,0)</f>
        <v>4.5</v>
      </c>
      <c r="AB171" s="55">
        <f>VLOOKUP(C171,'Preguntas de negocio'!$C$121:$D$127,2,FALSE)</f>
        <v>0.35</v>
      </c>
    </row>
    <row r="172" spans="1:28" x14ac:dyDescent="0.3">
      <c r="A172" s="1">
        <v>46001</v>
      </c>
      <c r="B172" s="2" t="s">
        <v>2636</v>
      </c>
      <c r="C172" s="2" t="s">
        <v>2533</v>
      </c>
      <c r="D172" s="2" t="s">
        <v>2528</v>
      </c>
      <c r="E172" s="2" t="s">
        <v>2529</v>
      </c>
      <c r="F172" s="3">
        <v>51515</v>
      </c>
      <c r="G172" s="3">
        <v>4161</v>
      </c>
      <c r="H172" s="3">
        <v>480</v>
      </c>
      <c r="I172" s="4">
        <v>3643.84</v>
      </c>
      <c r="J172" s="4">
        <v>88068.72</v>
      </c>
      <c r="K172" s="3">
        <v>338</v>
      </c>
      <c r="L172" s="2" t="s">
        <v>2523</v>
      </c>
      <c r="M172" s="2" t="s">
        <v>2526</v>
      </c>
      <c r="N172" s="8">
        <f>IFERROR(G172/F172,0)</f>
        <v>8.0772590507619146E-2</v>
      </c>
      <c r="O172" s="8">
        <f>IFERROR(H172/G172,0)</f>
        <v>0.11535688536409516</v>
      </c>
      <c r="P172" s="4">
        <f>IFERROR(I172/G172,0)</f>
        <v>0.87571256909396789</v>
      </c>
      <c r="Q172" s="4">
        <f>IFERROR(I172/H172,0)</f>
        <v>7.5913333333333339</v>
      </c>
      <c r="R172" s="12">
        <f>IFERROR(J172/I172,0)</f>
        <v>24.169206112233248</v>
      </c>
      <c r="S172" s="7">
        <f>Tabla_nuevas_columnas[[#This Row],[ROAS]]</f>
        <v>24.169206112233248</v>
      </c>
      <c r="T172" t="str">
        <f>_xlfn.CONCAT(C172,"-",D172)</f>
        <v>Paid Social-España</v>
      </c>
      <c r="U172">
        <f>YEAR(A172)</f>
        <v>2025</v>
      </c>
      <c r="V172">
        <f>MONTH(A172)</f>
        <v>12</v>
      </c>
      <c r="W172" t="str">
        <f>PROPER(TEXT(A172,"mmmm"))</f>
        <v>Diciembre</v>
      </c>
      <c r="X172" t="str">
        <f>PROPER(TEXT(A172,"dddd"))</f>
        <v>Miércoles</v>
      </c>
      <c r="Y172" t="str" cm="1">
        <f t="array" ref="Y172">_xlfn.IFS(R172&gt;10,"Excelente",R172&gt;=5,"Bueno",R172&gt;=2,"Débil",R172&lt;2,"Deficiente")</f>
        <v>Excelente</v>
      </c>
      <c r="Z172" t="str">
        <f>IF(AND(R172&lt;2,Q172&gt;=100),"Revisar","OK")</f>
        <v>OK</v>
      </c>
      <c r="AA172" s="55">
        <f>_xlfn.XLOOKUP(C172,'Preguntas de negocio'!$C$114:$C$119,'Preguntas de negocio'!$D$114:$D$119,0)</f>
        <v>6</v>
      </c>
      <c r="AB172" s="55">
        <f>VLOOKUP(C172,'Preguntas de negocio'!$C$121:$D$127,2,FALSE)</f>
        <v>0.8</v>
      </c>
    </row>
    <row r="173" spans="1:28" x14ac:dyDescent="0.3">
      <c r="A173" s="1">
        <v>45864</v>
      </c>
      <c r="B173" s="2" t="s">
        <v>2634</v>
      </c>
      <c r="C173" s="2" t="s">
        <v>2515</v>
      </c>
      <c r="D173" s="2" t="s">
        <v>2528</v>
      </c>
      <c r="E173" s="2" t="s">
        <v>2517</v>
      </c>
      <c r="F173" s="3">
        <v>83878</v>
      </c>
      <c r="G173" s="3">
        <v>5628</v>
      </c>
      <c r="H173" s="3">
        <v>435</v>
      </c>
      <c r="I173" s="4">
        <v>9012.74</v>
      </c>
      <c r="J173" s="4">
        <v>76121.440000000002</v>
      </c>
      <c r="K173" s="3">
        <v>200</v>
      </c>
      <c r="L173" s="2" t="s">
        <v>2523</v>
      </c>
      <c r="M173" s="2" t="s">
        <v>2546</v>
      </c>
      <c r="N173" s="8">
        <f>IFERROR(G173/F173,0)</f>
        <v>6.7097451059872679E-2</v>
      </c>
      <c r="O173" s="8">
        <f>IFERROR(H173/G173,0)</f>
        <v>7.7292110874200431E-2</v>
      </c>
      <c r="P173" s="4">
        <f>IFERROR(I173/G173,0)</f>
        <v>1.6014108031272209</v>
      </c>
      <c r="Q173" s="4">
        <f>IFERROR(I173/H173,0)</f>
        <v>20.718942528735631</v>
      </c>
      <c r="R173" s="12">
        <f>IFERROR(J173/I173,0)</f>
        <v>8.4459820210058218</v>
      </c>
      <c r="S173" s="7">
        <f>Tabla_nuevas_columnas[[#This Row],[ROAS]]</f>
        <v>8.4459820210058218</v>
      </c>
      <c r="T173" t="str">
        <f>_xlfn.CONCAT(C173,"-",D173)</f>
        <v>Email-España</v>
      </c>
      <c r="U173">
        <f>YEAR(A173)</f>
        <v>2025</v>
      </c>
      <c r="V173">
        <f>MONTH(A173)</f>
        <v>7</v>
      </c>
      <c r="W173" t="str">
        <f>PROPER(TEXT(A173,"mmmm"))</f>
        <v>Julio</v>
      </c>
      <c r="X173" t="str">
        <f>PROPER(TEXT(A173,"dddd"))</f>
        <v>Sábado</v>
      </c>
      <c r="Y173" t="str" cm="1">
        <f t="array" ref="Y173">_xlfn.IFS(R173&gt;10,"Excelente",R173&gt;=5,"Bueno",R173&gt;=2,"Débil",R173&lt;2,"Deficiente")</f>
        <v>Bueno</v>
      </c>
      <c r="Z173" t="str">
        <f>IF(AND(R173&lt;2,Q173&gt;=100),"Revisar","OK")</f>
        <v>OK</v>
      </c>
      <c r="AA173" s="55">
        <f>_xlfn.XLOOKUP(C173,'Preguntas de negocio'!$C$114:$C$119,'Preguntas de negocio'!$D$114:$D$119,0)</f>
        <v>5.5</v>
      </c>
      <c r="AB173" s="55">
        <f>VLOOKUP(C173,'Preguntas de negocio'!$C$121:$D$127,2,FALSE)</f>
        <v>0.65</v>
      </c>
    </row>
    <row r="174" spans="1:28" x14ac:dyDescent="0.3">
      <c r="A174" s="1">
        <v>45815</v>
      </c>
      <c r="B174" s="2" t="s">
        <v>2644</v>
      </c>
      <c r="C174" s="2" t="s">
        <v>2541</v>
      </c>
      <c r="D174" s="2" t="s">
        <v>2525</v>
      </c>
      <c r="E174" s="2" t="s">
        <v>2529</v>
      </c>
      <c r="F174" s="3">
        <v>37780</v>
      </c>
      <c r="G174" s="3">
        <v>2981</v>
      </c>
      <c r="H174" s="3">
        <v>208</v>
      </c>
      <c r="I174" s="4">
        <v>5424.77</v>
      </c>
      <c r="J174" s="4">
        <v>10400.280000000001</v>
      </c>
      <c r="K174" s="3">
        <v>108</v>
      </c>
      <c r="L174" s="2" t="s">
        <v>2539</v>
      </c>
      <c r="M174" s="2" t="s">
        <v>2537</v>
      </c>
      <c r="N174" s="8">
        <f>IFERROR(G174/F174,0)</f>
        <v>7.8904182106934881E-2</v>
      </c>
      <c r="O174" s="8">
        <f>IFERROR(H174/G174,0)</f>
        <v>6.9775243206977519E-2</v>
      </c>
      <c r="P174" s="4">
        <f>IFERROR(I174/G174,0)</f>
        <v>1.8197819523649783</v>
      </c>
      <c r="Q174" s="4">
        <f>IFERROR(I174/H174,0)</f>
        <v>26.080625000000001</v>
      </c>
      <c r="R174" s="12">
        <f>IFERROR(J174/I174,0)</f>
        <v>1.9171835856635395</v>
      </c>
      <c r="S174" s="7">
        <f>Tabla_nuevas_columnas[[#This Row],[ROAS]]</f>
        <v>1.9171835856635395</v>
      </c>
      <c r="T174" t="str">
        <f>_xlfn.CONCAT(C174,"-",D174)</f>
        <v>Display-Francia</v>
      </c>
      <c r="U174">
        <f>YEAR(A174)</f>
        <v>2025</v>
      </c>
      <c r="V174">
        <f>MONTH(A174)</f>
        <v>6</v>
      </c>
      <c r="W174" t="str">
        <f>PROPER(TEXT(A174,"mmmm"))</f>
        <v>Junio</v>
      </c>
      <c r="X174" t="str">
        <f>PROPER(TEXT(A174,"dddd"))</f>
        <v>Sábado</v>
      </c>
      <c r="Y174" t="str" cm="1">
        <f t="array" ref="Y174">_xlfn.IFS(R174&gt;10,"Excelente",R174&gt;=5,"Bueno",R174&gt;=2,"Débil",R174&lt;2,"Deficiente")</f>
        <v>Deficiente</v>
      </c>
      <c r="Z174" t="str">
        <f>IF(AND(R174&lt;2,Q174&gt;=100),"Revisar","OK")</f>
        <v>OK</v>
      </c>
      <c r="AA174" s="55">
        <f>_xlfn.XLOOKUP(C174,'Preguntas de negocio'!$C$114:$C$119,'Preguntas de negocio'!$D$114:$D$119,0)</f>
        <v>5</v>
      </c>
      <c r="AB174" s="55">
        <f>VLOOKUP(C174,'Preguntas de negocio'!$C$121:$D$127,2,FALSE)</f>
        <v>0.5</v>
      </c>
    </row>
    <row r="175" spans="1:28" x14ac:dyDescent="0.3">
      <c r="A175" s="1">
        <v>45959</v>
      </c>
      <c r="B175" s="2" t="s">
        <v>2632</v>
      </c>
      <c r="C175" s="2" t="s">
        <v>2543</v>
      </c>
      <c r="D175" s="2" t="s">
        <v>2531</v>
      </c>
      <c r="E175" s="2" t="s">
        <v>2517</v>
      </c>
      <c r="F175" s="3">
        <v>140142</v>
      </c>
      <c r="G175" s="3">
        <v>720</v>
      </c>
      <c r="H175" s="3">
        <v>86</v>
      </c>
      <c r="I175" s="4">
        <v>654.98</v>
      </c>
      <c r="J175" s="4">
        <v>7203.58</v>
      </c>
      <c r="K175" s="3">
        <v>63</v>
      </c>
      <c r="L175" s="2" t="s">
        <v>2518</v>
      </c>
      <c r="M175" s="2" t="s">
        <v>2524</v>
      </c>
      <c r="N175" s="8">
        <f>IFERROR(G175/F175,0)</f>
        <v>5.1376461018110206E-3</v>
      </c>
      <c r="O175" s="8">
        <f>IFERROR(H175/G175,0)</f>
        <v>0.11944444444444445</v>
      </c>
      <c r="P175" s="4">
        <f>IFERROR(I175/G175,0)</f>
        <v>0.90969444444444447</v>
      </c>
      <c r="Q175" s="4">
        <f>IFERROR(I175/H175,0)</f>
        <v>7.616046511627907</v>
      </c>
      <c r="R175" s="12">
        <f>IFERROR(J175/I175,0)</f>
        <v>10.998167882988794</v>
      </c>
      <c r="S175" s="7">
        <f>Tabla_nuevas_columnas[[#This Row],[ROAS]]</f>
        <v>10.998167882988794</v>
      </c>
      <c r="T175" t="str">
        <f>_xlfn.CONCAT(C175,"-",D175)</f>
        <v>Organic Social-Portugal</v>
      </c>
      <c r="U175">
        <f>YEAR(A175)</f>
        <v>2025</v>
      </c>
      <c r="V175">
        <f>MONTH(A175)</f>
        <v>10</v>
      </c>
      <c r="W175" t="str">
        <f>PROPER(TEXT(A175,"mmmm"))</f>
        <v>Octubre</v>
      </c>
      <c r="X175" t="str">
        <f>PROPER(TEXT(A175,"dddd"))</f>
        <v>Miércoles</v>
      </c>
      <c r="Y175" t="str" cm="1">
        <f t="array" ref="Y175">_xlfn.IFS(R175&gt;10,"Excelente",R175&gt;=5,"Bueno",R175&gt;=2,"Débil",R175&lt;2,"Deficiente")</f>
        <v>Excelente</v>
      </c>
      <c r="Z175" t="str">
        <f>IF(AND(R175&lt;2,Q175&gt;=100),"Revisar","OK")</f>
        <v>OK</v>
      </c>
      <c r="AA175" s="55">
        <f>_xlfn.XLOOKUP(C175,'Preguntas de negocio'!$C$114:$C$119,'Preguntas de negocio'!$D$114:$D$119,0)</f>
        <v>4</v>
      </c>
      <c r="AB175" s="55">
        <f>VLOOKUP(C175,'Preguntas de negocio'!$C$121:$D$127,2,FALSE)</f>
        <v>0.95</v>
      </c>
    </row>
    <row r="176" spans="1:28" x14ac:dyDescent="0.3">
      <c r="A176" s="1">
        <v>46012</v>
      </c>
      <c r="B176" s="2" t="s">
        <v>2615</v>
      </c>
      <c r="C176" s="2" t="s">
        <v>2521</v>
      </c>
      <c r="D176" s="2" t="s">
        <v>2522</v>
      </c>
      <c r="E176" s="2" t="s">
        <v>2529</v>
      </c>
      <c r="F176" s="3">
        <v>76778</v>
      </c>
      <c r="G176" s="3">
        <v>1269</v>
      </c>
      <c r="H176" s="3">
        <v>61</v>
      </c>
      <c r="I176" s="4">
        <v>1272.3599999999999</v>
      </c>
      <c r="J176" s="4">
        <v>3268.91</v>
      </c>
      <c r="K176" s="3">
        <v>41</v>
      </c>
      <c r="L176" s="2" t="s">
        <v>2523</v>
      </c>
      <c r="M176" s="2" t="s">
        <v>2524</v>
      </c>
      <c r="N176" s="8">
        <f>IFERROR(G176/F176,0)</f>
        <v>1.6528172132642162E-2</v>
      </c>
      <c r="O176" s="8">
        <f>IFERROR(H176/G176,0)</f>
        <v>4.8069345941686367E-2</v>
      </c>
      <c r="P176" s="4">
        <f>IFERROR(I176/G176,0)</f>
        <v>1.0026477541371157</v>
      </c>
      <c r="Q176" s="4">
        <f>IFERROR(I176/H176,0)</f>
        <v>20.858360655737702</v>
      </c>
      <c r="R176" s="12">
        <f>IFERROR(J176/I176,0)</f>
        <v>2.5691706749662044</v>
      </c>
      <c r="S176" s="7">
        <f>Tabla_nuevas_columnas[[#This Row],[ROAS]]</f>
        <v>2.5691706749662044</v>
      </c>
      <c r="T176" t="str">
        <f>_xlfn.CONCAT(C176,"-",D176)</f>
        <v>Paid Search-Italia</v>
      </c>
      <c r="U176">
        <f>YEAR(A176)</f>
        <v>2025</v>
      </c>
      <c r="V176">
        <f>MONTH(A176)</f>
        <v>12</v>
      </c>
      <c r="W176" t="str">
        <f>PROPER(TEXT(A176,"mmmm"))</f>
        <v>Diciembre</v>
      </c>
      <c r="X176" t="str">
        <f>PROPER(TEXT(A176,"dddd"))</f>
        <v>Domingo</v>
      </c>
      <c r="Y176" t="str" cm="1">
        <f t="array" ref="Y176">_xlfn.IFS(R176&gt;10,"Excelente",R176&gt;=5,"Bueno",R176&gt;=2,"Débil",R176&lt;2,"Deficiente")</f>
        <v>Débil</v>
      </c>
      <c r="Z176" t="str">
        <f>IF(AND(R176&lt;2,Q176&gt;=100),"Revisar","OK")</f>
        <v>OK</v>
      </c>
      <c r="AA176" s="55">
        <f>_xlfn.XLOOKUP(C176,'Preguntas de negocio'!$C$114:$C$119,'Preguntas de negocio'!$D$114:$D$119,0)</f>
        <v>5</v>
      </c>
      <c r="AB176" s="55">
        <f>VLOOKUP(C176,'Preguntas de negocio'!$C$121:$D$127,2,FALSE)</f>
        <v>1.1000000000000001</v>
      </c>
    </row>
    <row r="177" spans="1:28" x14ac:dyDescent="0.3">
      <c r="A177" s="1">
        <v>45792</v>
      </c>
      <c r="B177" s="2" t="s">
        <v>2629</v>
      </c>
      <c r="C177" s="2" t="s">
        <v>2543</v>
      </c>
      <c r="D177" s="2" t="s">
        <v>2528</v>
      </c>
      <c r="E177" s="2" t="s">
        <v>2517</v>
      </c>
      <c r="F177" s="3">
        <v>118268</v>
      </c>
      <c r="G177" s="3">
        <v>1755</v>
      </c>
      <c r="H177" s="3">
        <v>147</v>
      </c>
      <c r="I177" s="4">
        <v>2369.2199999999998</v>
      </c>
      <c r="J177" s="4">
        <v>27133.4</v>
      </c>
      <c r="K177" s="3">
        <v>94</v>
      </c>
      <c r="L177" s="2" t="s">
        <v>2518</v>
      </c>
      <c r="M177" s="2" t="s">
        <v>2524</v>
      </c>
      <c r="N177" s="8">
        <f>IFERROR(G177/F177,0)</f>
        <v>1.4839178814218555E-2</v>
      </c>
      <c r="O177" s="8">
        <f>IFERROR(H177/G177,0)</f>
        <v>8.3760683760683755E-2</v>
      </c>
      <c r="P177" s="4">
        <f>IFERROR(I177/G177,0)</f>
        <v>1.3499829059829058</v>
      </c>
      <c r="Q177" s="4">
        <f>IFERROR(I177/H177,0)</f>
        <v>16.117142857142856</v>
      </c>
      <c r="R177" s="12">
        <f>IFERROR(J177/I177,0)</f>
        <v>11.452461147550672</v>
      </c>
      <c r="S177" s="7">
        <f>Tabla_nuevas_columnas[[#This Row],[ROAS]]</f>
        <v>11.452461147550672</v>
      </c>
      <c r="T177" t="str">
        <f>_xlfn.CONCAT(C177,"-",D177)</f>
        <v>Organic Social-España</v>
      </c>
      <c r="U177">
        <f>YEAR(A177)</f>
        <v>2025</v>
      </c>
      <c r="V177">
        <f>MONTH(A177)</f>
        <v>5</v>
      </c>
      <c r="W177" t="str">
        <f>PROPER(TEXT(A177,"mmmm"))</f>
        <v>Mayo</v>
      </c>
      <c r="X177" t="str">
        <f>PROPER(TEXT(A177,"dddd"))</f>
        <v>Jueves</v>
      </c>
      <c r="Y177" t="str" cm="1">
        <f t="array" ref="Y177">_xlfn.IFS(R177&gt;10,"Excelente",R177&gt;=5,"Bueno",R177&gt;=2,"Débil",R177&lt;2,"Deficiente")</f>
        <v>Excelente</v>
      </c>
      <c r="Z177" t="str">
        <f>IF(AND(R177&lt;2,Q177&gt;=100),"Revisar","OK")</f>
        <v>OK</v>
      </c>
      <c r="AA177" s="55">
        <f>_xlfn.XLOOKUP(C177,'Preguntas de negocio'!$C$114:$C$119,'Preguntas de negocio'!$D$114:$D$119,0)</f>
        <v>4</v>
      </c>
      <c r="AB177" s="55">
        <f>VLOOKUP(C177,'Preguntas de negocio'!$C$121:$D$127,2,FALSE)</f>
        <v>0.95</v>
      </c>
    </row>
    <row r="178" spans="1:28" x14ac:dyDescent="0.3">
      <c r="A178" s="1">
        <v>45749</v>
      </c>
      <c r="B178" s="2" t="s">
        <v>2637</v>
      </c>
      <c r="C178" s="2" t="s">
        <v>2541</v>
      </c>
      <c r="D178" s="2" t="s">
        <v>2531</v>
      </c>
      <c r="E178" s="2" t="s">
        <v>2529</v>
      </c>
      <c r="F178" s="3">
        <v>84649</v>
      </c>
      <c r="G178" s="3">
        <v>4760</v>
      </c>
      <c r="H178" s="3">
        <v>341</v>
      </c>
      <c r="I178" s="4">
        <v>4437.7299999999996</v>
      </c>
      <c r="J178" s="4">
        <v>12820.09</v>
      </c>
      <c r="K178" s="3">
        <v>243</v>
      </c>
      <c r="L178" s="2" t="s">
        <v>2518</v>
      </c>
      <c r="M178" s="2" t="s">
        <v>2524</v>
      </c>
      <c r="N178" s="8">
        <f>IFERROR(G178/F178,0)</f>
        <v>5.6232205932733995E-2</v>
      </c>
      <c r="O178" s="8">
        <f>IFERROR(H178/G178,0)</f>
        <v>7.1638655462184869E-2</v>
      </c>
      <c r="P178" s="4">
        <f>IFERROR(I178/G178,0)</f>
        <v>0.93229621848739486</v>
      </c>
      <c r="Q178" s="4">
        <f>IFERROR(I178/H178,0)</f>
        <v>13.013870967741934</v>
      </c>
      <c r="R178" s="12">
        <f>IFERROR(J178/I178,0)</f>
        <v>2.8888846324584869</v>
      </c>
      <c r="S178" s="7">
        <f>Tabla_nuevas_columnas[[#This Row],[ROAS]]</f>
        <v>2.8888846324584869</v>
      </c>
      <c r="T178" t="str">
        <f>_xlfn.CONCAT(C178,"-",D178)</f>
        <v>Display-Portugal</v>
      </c>
      <c r="U178">
        <f>YEAR(A178)</f>
        <v>2025</v>
      </c>
      <c r="V178">
        <f>MONTH(A178)</f>
        <v>4</v>
      </c>
      <c r="W178" t="str">
        <f>PROPER(TEXT(A178,"mmmm"))</f>
        <v>Abril</v>
      </c>
      <c r="X178" t="str">
        <f>PROPER(TEXT(A178,"dddd"))</f>
        <v>Miércoles</v>
      </c>
      <c r="Y178" t="str" cm="1">
        <f t="array" ref="Y178">_xlfn.IFS(R178&gt;10,"Excelente",R178&gt;=5,"Bueno",R178&gt;=2,"Débil",R178&lt;2,"Deficiente")</f>
        <v>Débil</v>
      </c>
      <c r="Z178" t="str">
        <f>IF(AND(R178&lt;2,Q178&gt;=100),"Revisar","OK")</f>
        <v>OK</v>
      </c>
      <c r="AA178" s="55">
        <f>_xlfn.XLOOKUP(C178,'Preguntas de negocio'!$C$114:$C$119,'Preguntas de negocio'!$D$114:$D$119,0)</f>
        <v>5</v>
      </c>
      <c r="AB178" s="55">
        <f>VLOOKUP(C178,'Preguntas de negocio'!$C$121:$D$127,2,FALSE)</f>
        <v>0.5</v>
      </c>
    </row>
    <row r="179" spans="1:28" x14ac:dyDescent="0.3">
      <c r="A179" s="1">
        <v>45879</v>
      </c>
      <c r="B179" s="2" t="s">
        <v>2641</v>
      </c>
      <c r="C179" s="2" t="s">
        <v>2645</v>
      </c>
      <c r="D179" s="2" t="s">
        <v>2528</v>
      </c>
      <c r="E179" s="2" t="s">
        <v>2517</v>
      </c>
      <c r="F179" s="3">
        <v>149611</v>
      </c>
      <c r="G179" s="3">
        <v>8402</v>
      </c>
      <c r="H179" s="3">
        <v>717</v>
      </c>
      <c r="I179" s="4">
        <v>3182.49</v>
      </c>
      <c r="J179" s="4">
        <v>130126.07</v>
      </c>
      <c r="K179" s="3">
        <v>519</v>
      </c>
      <c r="L179" s="2" t="s">
        <v>2518</v>
      </c>
      <c r="M179" s="2" t="s">
        <v>2546</v>
      </c>
      <c r="N179" s="8">
        <f>IFERROR(G179/F179,0)</f>
        <v>5.6158972268081891E-2</v>
      </c>
      <c r="O179" s="8">
        <f>IFERROR(H179/G179,0)</f>
        <v>8.533682456557963E-2</v>
      </c>
      <c r="P179" s="4">
        <f>IFERROR(I179/G179,0)</f>
        <v>0.37877767198286122</v>
      </c>
      <c r="Q179" s="4">
        <f>IFERROR(I179/H179,0)</f>
        <v>4.4386192468619248</v>
      </c>
      <c r="R179" s="12">
        <f>IFERROR(J179/I179,0)</f>
        <v>40.888131620209336</v>
      </c>
      <c r="S179" s="7">
        <f>Tabla_nuevas_columnas[[#This Row],[ROAS]]</f>
        <v>40.888131620209336</v>
      </c>
      <c r="T179" t="str">
        <f>_xlfn.CONCAT(C179,"-",D179)</f>
        <v>Por identificar-España</v>
      </c>
      <c r="U179">
        <f>YEAR(A179)</f>
        <v>2025</v>
      </c>
      <c r="V179">
        <f>MONTH(A179)</f>
        <v>8</v>
      </c>
      <c r="W179" t="str">
        <f>PROPER(TEXT(A179,"mmmm"))</f>
        <v>Agosto</v>
      </c>
      <c r="X179" t="str">
        <f>PROPER(TEXT(A179,"dddd"))</f>
        <v>Domingo</v>
      </c>
      <c r="Y179" t="str" cm="1">
        <f t="array" ref="Y179">_xlfn.IFS(R179&gt;10,"Excelente",R179&gt;=5,"Bueno",R179&gt;=2,"Débil",R179&lt;2,"Deficiente")</f>
        <v>Excelente</v>
      </c>
      <c r="Z179" t="str">
        <f>IF(AND(R179&lt;2,Q179&gt;=100),"Revisar","OK")</f>
        <v>OK</v>
      </c>
      <c r="AA179" s="55">
        <f>_xlfn.XLOOKUP(C179,'Preguntas de negocio'!$C$114:$C$119,'Preguntas de negocio'!$D$114:$D$119,0)</f>
        <v>0</v>
      </c>
      <c r="AB179" s="55">
        <f>VLOOKUP(C179,'Preguntas de negocio'!$C$121:$D$127,2,FALSE)</f>
        <v>0</v>
      </c>
    </row>
    <row r="180" spans="1:28" x14ac:dyDescent="0.3">
      <c r="A180" s="1">
        <v>45888</v>
      </c>
      <c r="B180" s="2" t="s">
        <v>2621</v>
      </c>
      <c r="C180" s="2" t="s">
        <v>2527</v>
      </c>
      <c r="D180" s="2" t="s">
        <v>2531</v>
      </c>
      <c r="E180" s="2" t="s">
        <v>2517</v>
      </c>
      <c r="F180" s="3">
        <v>102417</v>
      </c>
      <c r="G180" s="3">
        <v>7999</v>
      </c>
      <c r="H180" s="3">
        <v>1066</v>
      </c>
      <c r="I180" s="4">
        <v>10019.24</v>
      </c>
      <c r="J180" s="4">
        <v>171998.5</v>
      </c>
      <c r="K180" s="3">
        <v>772</v>
      </c>
      <c r="L180" s="2" t="s">
        <v>2539</v>
      </c>
      <c r="M180" s="2" t="s">
        <v>2546</v>
      </c>
      <c r="N180" s="8">
        <f>IFERROR(G180/F180,0)</f>
        <v>7.8102268178134496E-2</v>
      </c>
      <c r="O180" s="8">
        <f>IFERROR(H180/G180,0)</f>
        <v>0.13326665833229154</v>
      </c>
      <c r="P180" s="4">
        <f>IFERROR(I180/G180,0)</f>
        <v>1.2525615701962745</v>
      </c>
      <c r="Q180" s="4">
        <f>IFERROR(I180/H180,0)</f>
        <v>9.3989118198874291</v>
      </c>
      <c r="R180" s="12">
        <f>IFERROR(J180/I180,0)</f>
        <v>17.166821036326109</v>
      </c>
      <c r="S180" s="7">
        <f>Tabla_nuevas_columnas[[#This Row],[ROAS]]</f>
        <v>17.166821036326109</v>
      </c>
      <c r="T180" t="str">
        <f>_xlfn.CONCAT(C180,"-",D180)</f>
        <v>Affiliate-Portugal</v>
      </c>
      <c r="U180">
        <f>YEAR(A180)</f>
        <v>2025</v>
      </c>
      <c r="V180">
        <f>MONTH(A180)</f>
        <v>8</v>
      </c>
      <c r="W180" t="str">
        <f>PROPER(TEXT(A180,"mmmm"))</f>
        <v>Agosto</v>
      </c>
      <c r="X180" t="str">
        <f>PROPER(TEXT(A180,"dddd"))</f>
        <v>Martes</v>
      </c>
      <c r="Y180" t="str" cm="1">
        <f t="array" ref="Y180">_xlfn.IFS(R180&gt;10,"Excelente",R180&gt;=5,"Bueno",R180&gt;=2,"Débil",R180&lt;2,"Deficiente")</f>
        <v>Excelente</v>
      </c>
      <c r="Z180" t="str">
        <f>IF(AND(R180&lt;2,Q180&gt;=100),"Revisar","OK")</f>
        <v>OK</v>
      </c>
      <c r="AA180" s="55">
        <f>_xlfn.XLOOKUP(C180,'Preguntas de negocio'!$C$114:$C$119,'Preguntas de negocio'!$D$114:$D$119,0)</f>
        <v>4.5</v>
      </c>
      <c r="AB180" s="55">
        <f>VLOOKUP(C180,'Preguntas de negocio'!$C$121:$D$127,2,FALSE)</f>
        <v>0.35</v>
      </c>
    </row>
    <row r="181" spans="1:28" x14ac:dyDescent="0.3">
      <c r="A181" s="1">
        <v>45978</v>
      </c>
      <c r="B181" s="2" t="s">
        <v>2627</v>
      </c>
      <c r="C181" s="2" t="s">
        <v>2527</v>
      </c>
      <c r="D181" s="2" t="s">
        <v>2528</v>
      </c>
      <c r="E181" s="2" t="s">
        <v>2517</v>
      </c>
      <c r="F181" s="3">
        <v>63443</v>
      </c>
      <c r="G181" s="3">
        <v>2659</v>
      </c>
      <c r="H181" s="3">
        <v>27</v>
      </c>
      <c r="I181" s="4">
        <v>1559.63</v>
      </c>
      <c r="J181" s="4">
        <v>4827.67</v>
      </c>
      <c r="K181" s="3">
        <v>19</v>
      </c>
      <c r="L181" s="2" t="s">
        <v>2518</v>
      </c>
      <c r="M181" s="2" t="s">
        <v>2524</v>
      </c>
      <c r="N181" s="8">
        <f>IFERROR(G181/F181,0)</f>
        <v>4.1911637217659947E-2</v>
      </c>
      <c r="O181" s="8">
        <f>IFERROR(H181/G181,0)</f>
        <v>1.0154193305754042E-2</v>
      </c>
      <c r="P181" s="4">
        <f>IFERROR(I181/G181,0)</f>
        <v>0.58654757427604365</v>
      </c>
      <c r="Q181" s="4">
        <f>IFERROR(I181/H181,0)</f>
        <v>57.764074074074081</v>
      </c>
      <c r="R181" s="12">
        <f>IFERROR(J181/I181,0)</f>
        <v>3.0953944204715218</v>
      </c>
      <c r="S181" s="7">
        <f>Tabla_nuevas_columnas[[#This Row],[ROAS]]</f>
        <v>3.0953944204715218</v>
      </c>
      <c r="T181" t="str">
        <f>_xlfn.CONCAT(C181,"-",D181)</f>
        <v>Affiliate-España</v>
      </c>
      <c r="U181">
        <f>YEAR(A181)</f>
        <v>2025</v>
      </c>
      <c r="V181">
        <f>MONTH(A181)</f>
        <v>11</v>
      </c>
      <c r="W181" t="str">
        <f>PROPER(TEXT(A181,"mmmm"))</f>
        <v>Noviembre</v>
      </c>
      <c r="X181" t="str">
        <f>PROPER(TEXT(A181,"dddd"))</f>
        <v>Lunes</v>
      </c>
      <c r="Y181" t="str" cm="1">
        <f t="array" ref="Y181">_xlfn.IFS(R181&gt;10,"Excelente",R181&gt;=5,"Bueno",R181&gt;=2,"Débil",R181&lt;2,"Deficiente")</f>
        <v>Débil</v>
      </c>
      <c r="Z181" t="str">
        <f>IF(AND(R181&lt;2,Q181&gt;=100),"Revisar","OK")</f>
        <v>OK</v>
      </c>
      <c r="AA181" s="55">
        <f>_xlfn.XLOOKUP(C181,'Preguntas de negocio'!$C$114:$C$119,'Preguntas de negocio'!$D$114:$D$119,0)</f>
        <v>4.5</v>
      </c>
      <c r="AB181" s="55">
        <f>VLOOKUP(C181,'Preguntas de negocio'!$C$121:$D$127,2,FALSE)</f>
        <v>0.35</v>
      </c>
    </row>
    <row r="182" spans="1:28" x14ac:dyDescent="0.3">
      <c r="A182" s="1">
        <v>45731</v>
      </c>
      <c r="B182" s="2" t="s">
        <v>2642</v>
      </c>
      <c r="C182" s="2" t="s">
        <v>2543</v>
      </c>
      <c r="D182" s="2" t="s">
        <v>2531</v>
      </c>
      <c r="E182" s="2" t="s">
        <v>2534</v>
      </c>
      <c r="F182" s="3">
        <v>54129</v>
      </c>
      <c r="G182" s="3">
        <v>1124</v>
      </c>
      <c r="H182" s="3">
        <v>67</v>
      </c>
      <c r="I182" s="4">
        <v>1833.71</v>
      </c>
      <c r="J182" s="4">
        <v>10818.44</v>
      </c>
      <c r="K182" s="3">
        <v>30</v>
      </c>
      <c r="L182" s="2" t="s">
        <v>2518</v>
      </c>
      <c r="M182" s="2" t="s">
        <v>2537</v>
      </c>
      <c r="N182" s="8">
        <f>IFERROR(G182/F182,0)</f>
        <v>2.076520903766927E-2</v>
      </c>
      <c r="O182" s="8">
        <f>IFERROR(H182/G182,0)</f>
        <v>5.9608540925266906E-2</v>
      </c>
      <c r="P182" s="4">
        <f>IFERROR(I182/G182,0)</f>
        <v>1.631414590747331</v>
      </c>
      <c r="Q182" s="4">
        <f>IFERROR(I182/H182,0)</f>
        <v>27.368805970149253</v>
      </c>
      <c r="R182" s="12">
        <f>IFERROR(J182/I182,0)</f>
        <v>5.8997551412164411</v>
      </c>
      <c r="S182" s="7">
        <f>Tabla_nuevas_columnas[[#This Row],[ROAS]]</f>
        <v>5.8997551412164411</v>
      </c>
      <c r="T182" t="str">
        <f>_xlfn.CONCAT(C182,"-",D182)</f>
        <v>Organic Social-Portugal</v>
      </c>
      <c r="U182">
        <f>YEAR(A182)</f>
        <v>2025</v>
      </c>
      <c r="V182">
        <f>MONTH(A182)</f>
        <v>3</v>
      </c>
      <c r="W182" t="str">
        <f>PROPER(TEXT(A182,"mmmm"))</f>
        <v>Marzo</v>
      </c>
      <c r="X182" t="str">
        <f>PROPER(TEXT(A182,"dddd"))</f>
        <v>Sábado</v>
      </c>
      <c r="Y182" t="str" cm="1">
        <f t="array" ref="Y182">_xlfn.IFS(R182&gt;10,"Excelente",R182&gt;=5,"Bueno",R182&gt;=2,"Débil",R182&lt;2,"Deficiente")</f>
        <v>Bueno</v>
      </c>
      <c r="Z182" t="str">
        <f>IF(AND(R182&lt;2,Q182&gt;=100),"Revisar","OK")</f>
        <v>OK</v>
      </c>
      <c r="AA182" s="55">
        <f>_xlfn.XLOOKUP(C182,'Preguntas de negocio'!$C$114:$C$119,'Preguntas de negocio'!$D$114:$D$119,0)</f>
        <v>4</v>
      </c>
      <c r="AB182" s="55">
        <f>VLOOKUP(C182,'Preguntas de negocio'!$C$121:$D$127,2,FALSE)</f>
        <v>0.95</v>
      </c>
    </row>
    <row r="183" spans="1:28" x14ac:dyDescent="0.3">
      <c r="A183" s="1">
        <v>45885</v>
      </c>
      <c r="B183" s="2" t="s">
        <v>2619</v>
      </c>
      <c r="C183" s="2" t="s">
        <v>2521</v>
      </c>
      <c r="D183" s="2" t="s">
        <v>2516</v>
      </c>
      <c r="E183" s="2" t="s">
        <v>2529</v>
      </c>
      <c r="F183" s="3">
        <v>34490</v>
      </c>
      <c r="G183" s="3">
        <v>3056</v>
      </c>
      <c r="H183" s="3">
        <v>414</v>
      </c>
      <c r="I183" s="4">
        <v>3242.33</v>
      </c>
      <c r="J183" s="4">
        <v>41365.42</v>
      </c>
      <c r="K183" s="3">
        <v>227</v>
      </c>
      <c r="L183" s="2" t="s">
        <v>2539</v>
      </c>
      <c r="M183" s="2" t="s">
        <v>2519</v>
      </c>
      <c r="N183" s="8">
        <f>IFERROR(G183/F183,0)</f>
        <v>8.8605392867497829E-2</v>
      </c>
      <c r="O183" s="8">
        <f>IFERROR(H183/G183,0)</f>
        <v>0.13547120418848169</v>
      </c>
      <c r="P183" s="4">
        <f>IFERROR(I183/G183,0)</f>
        <v>1.0609718586387433</v>
      </c>
      <c r="Q183" s="4">
        <f>IFERROR(I183/H183,0)</f>
        <v>7.8317149758454105</v>
      </c>
      <c r="R183" s="12">
        <f>IFERROR(J183/I183,0)</f>
        <v>12.75793025386065</v>
      </c>
      <c r="S183" s="7">
        <f>Tabla_nuevas_columnas[[#This Row],[ROAS]]</f>
        <v>12.75793025386065</v>
      </c>
      <c r="T183" t="str">
        <f>_xlfn.CONCAT(C183,"-",D183)</f>
        <v>Paid Search-México</v>
      </c>
      <c r="U183">
        <f>YEAR(A183)</f>
        <v>2025</v>
      </c>
      <c r="V183">
        <f>MONTH(A183)</f>
        <v>8</v>
      </c>
      <c r="W183" t="str">
        <f>PROPER(TEXT(A183,"mmmm"))</f>
        <v>Agosto</v>
      </c>
      <c r="X183" t="str">
        <f>PROPER(TEXT(A183,"dddd"))</f>
        <v>Sábado</v>
      </c>
      <c r="Y183" t="str" cm="1">
        <f t="array" ref="Y183">_xlfn.IFS(R183&gt;10,"Excelente",R183&gt;=5,"Bueno",R183&gt;=2,"Débil",R183&lt;2,"Deficiente")</f>
        <v>Excelente</v>
      </c>
      <c r="Z183" t="str">
        <f>IF(AND(R183&lt;2,Q183&gt;=100),"Revisar","OK")</f>
        <v>OK</v>
      </c>
      <c r="AA183" s="55">
        <f>_xlfn.XLOOKUP(C183,'Preguntas de negocio'!$C$114:$C$119,'Preguntas de negocio'!$D$114:$D$119,0)</f>
        <v>5</v>
      </c>
      <c r="AB183" s="55">
        <f>VLOOKUP(C183,'Preguntas de negocio'!$C$121:$D$127,2,FALSE)</f>
        <v>1.1000000000000001</v>
      </c>
    </row>
    <row r="184" spans="1:28" x14ac:dyDescent="0.3">
      <c r="A184" s="1">
        <v>45689</v>
      </c>
      <c r="B184" s="2" t="s">
        <v>2639</v>
      </c>
      <c r="C184" s="2" t="s">
        <v>2521</v>
      </c>
      <c r="D184" s="2" t="s">
        <v>2528</v>
      </c>
      <c r="E184" s="2" t="s">
        <v>2529</v>
      </c>
      <c r="F184" s="3">
        <v>1442</v>
      </c>
      <c r="G184" s="3">
        <v>113</v>
      </c>
      <c r="H184" s="3">
        <v>13</v>
      </c>
      <c r="I184" s="4">
        <v>147.84</v>
      </c>
      <c r="J184" s="4">
        <v>2250.66</v>
      </c>
      <c r="K184" s="3">
        <v>6</v>
      </c>
      <c r="L184" s="2" t="s">
        <v>2523</v>
      </c>
      <c r="M184" s="2" t="s">
        <v>2524</v>
      </c>
      <c r="N184" s="8">
        <f>IFERROR(G184/F184,0)</f>
        <v>7.8363384188626914E-2</v>
      </c>
      <c r="O184" s="8">
        <f>IFERROR(H184/G184,0)</f>
        <v>0.11504424778761062</v>
      </c>
      <c r="P184" s="4">
        <f>IFERROR(I184/G184,0)</f>
        <v>1.3083185840707965</v>
      </c>
      <c r="Q184" s="4">
        <f>IFERROR(I184/H184,0)</f>
        <v>11.372307692307693</v>
      </c>
      <c r="R184" s="12">
        <f>IFERROR(J184/I184,0)</f>
        <v>15.223620129870129</v>
      </c>
      <c r="S184" s="7">
        <f>Tabla_nuevas_columnas[[#This Row],[ROAS]]</f>
        <v>15.223620129870129</v>
      </c>
      <c r="T184" t="str">
        <f>_xlfn.CONCAT(C184,"-",D184)</f>
        <v>Paid Search-España</v>
      </c>
      <c r="U184">
        <f>YEAR(A184)</f>
        <v>2025</v>
      </c>
      <c r="V184">
        <f>MONTH(A184)</f>
        <v>2</v>
      </c>
      <c r="W184" t="str">
        <f>PROPER(TEXT(A184,"mmmm"))</f>
        <v>Febrero</v>
      </c>
      <c r="X184" t="str">
        <f>PROPER(TEXT(A184,"dddd"))</f>
        <v>Sábado</v>
      </c>
      <c r="Y184" t="str" cm="1">
        <f t="array" ref="Y184">_xlfn.IFS(R184&gt;10,"Excelente",R184&gt;=5,"Bueno",R184&gt;=2,"Débil",R184&lt;2,"Deficiente")</f>
        <v>Excelente</v>
      </c>
      <c r="Z184" t="str">
        <f>IF(AND(R184&lt;2,Q184&gt;=100),"Revisar","OK")</f>
        <v>OK</v>
      </c>
      <c r="AA184" s="55">
        <f>_xlfn.XLOOKUP(C184,'Preguntas de negocio'!$C$114:$C$119,'Preguntas de negocio'!$D$114:$D$119,0)</f>
        <v>5</v>
      </c>
      <c r="AB184" s="55">
        <f>VLOOKUP(C184,'Preguntas de negocio'!$C$121:$D$127,2,FALSE)</f>
        <v>1.1000000000000001</v>
      </c>
    </row>
    <row r="185" spans="1:28" x14ac:dyDescent="0.3">
      <c r="A185" s="1">
        <v>45865</v>
      </c>
      <c r="B185" s="2" t="s">
        <v>2635</v>
      </c>
      <c r="C185" s="2" t="s">
        <v>2515</v>
      </c>
      <c r="D185" s="2" t="s">
        <v>2531</v>
      </c>
      <c r="E185" s="2" t="s">
        <v>2529</v>
      </c>
      <c r="F185" s="3">
        <v>175538</v>
      </c>
      <c r="G185" s="3">
        <v>9664</v>
      </c>
      <c r="H185" s="3">
        <v>942</v>
      </c>
      <c r="I185" s="4">
        <v>10330.530000000001</v>
      </c>
      <c r="J185" s="4">
        <v>27823.85</v>
      </c>
      <c r="K185" s="3">
        <v>443</v>
      </c>
      <c r="L185" s="2" t="s">
        <v>2536</v>
      </c>
      <c r="M185" s="2" t="s">
        <v>2524</v>
      </c>
      <c r="N185" s="8">
        <f>IFERROR(G185/F185,0)</f>
        <v>5.5053606626485431E-2</v>
      </c>
      <c r="O185" s="8">
        <f>IFERROR(H185/G185,0)</f>
        <v>9.7475165562913912E-2</v>
      </c>
      <c r="P185" s="4">
        <f>IFERROR(I185/G185,0)</f>
        <v>1.0689704056291391</v>
      </c>
      <c r="Q185" s="4">
        <f>IFERROR(I185/H185,0)</f>
        <v>10.966592356687899</v>
      </c>
      <c r="R185" s="12">
        <f>IFERROR(J185/I185,0)</f>
        <v>2.6933613280247961</v>
      </c>
      <c r="S185" s="7">
        <f>Tabla_nuevas_columnas[[#This Row],[ROAS]]</f>
        <v>2.6933613280247961</v>
      </c>
      <c r="T185" t="str">
        <f>_xlfn.CONCAT(C185,"-",D185)</f>
        <v>Email-Portugal</v>
      </c>
      <c r="U185">
        <f>YEAR(A185)</f>
        <v>2025</v>
      </c>
      <c r="V185">
        <f>MONTH(A185)</f>
        <v>7</v>
      </c>
      <c r="W185" t="str">
        <f>PROPER(TEXT(A185,"mmmm"))</f>
        <v>Julio</v>
      </c>
      <c r="X185" t="str">
        <f>PROPER(TEXT(A185,"dddd"))</f>
        <v>Domingo</v>
      </c>
      <c r="Y185" t="str" cm="1">
        <f t="array" ref="Y185">_xlfn.IFS(R185&gt;10,"Excelente",R185&gt;=5,"Bueno",R185&gt;=2,"Débil",R185&lt;2,"Deficiente")</f>
        <v>Débil</v>
      </c>
      <c r="Z185" t="str">
        <f>IF(AND(R185&lt;2,Q185&gt;=100),"Revisar","OK")</f>
        <v>OK</v>
      </c>
      <c r="AA185" s="55">
        <f>_xlfn.XLOOKUP(C185,'Preguntas de negocio'!$C$114:$C$119,'Preguntas de negocio'!$D$114:$D$119,0)</f>
        <v>5.5</v>
      </c>
      <c r="AB185" s="55">
        <f>VLOOKUP(C185,'Preguntas de negocio'!$C$121:$D$127,2,FALSE)</f>
        <v>0.65</v>
      </c>
    </row>
    <row r="186" spans="1:28" x14ac:dyDescent="0.3">
      <c r="A186" s="1">
        <v>45920</v>
      </c>
      <c r="B186" s="2" t="s">
        <v>2633</v>
      </c>
      <c r="C186" s="2" t="s">
        <v>2541</v>
      </c>
      <c r="D186" s="2" t="s">
        <v>2516</v>
      </c>
      <c r="E186" s="2" t="s">
        <v>2529</v>
      </c>
      <c r="F186" s="3">
        <v>106994</v>
      </c>
      <c r="G186" s="3">
        <v>2689</v>
      </c>
      <c r="H186" s="3">
        <v>356</v>
      </c>
      <c r="I186" s="4">
        <v>2763.42</v>
      </c>
      <c r="J186" s="4">
        <v>30823.62</v>
      </c>
      <c r="K186" s="3">
        <v>265</v>
      </c>
      <c r="L186" s="2" t="s">
        <v>2523</v>
      </c>
      <c r="M186" s="2" t="s">
        <v>2546</v>
      </c>
      <c r="N186" s="8">
        <f>IFERROR(G186/F186,0)</f>
        <v>2.5132250406564853E-2</v>
      </c>
      <c r="O186" s="8">
        <f>IFERROR(H186/G186,0)</f>
        <v>0.13239122350316102</v>
      </c>
      <c r="P186" s="4">
        <f>IFERROR(I186/G186,0)</f>
        <v>1.0276757158795091</v>
      </c>
      <c r="Q186" s="4">
        <f>IFERROR(I186/H186,0)</f>
        <v>7.7624157303370787</v>
      </c>
      <c r="R186" s="12">
        <f>IFERROR(J186/I186,0)</f>
        <v>11.154156805697287</v>
      </c>
      <c r="S186" s="7">
        <f>Tabla_nuevas_columnas[[#This Row],[ROAS]]</f>
        <v>11.154156805697287</v>
      </c>
      <c r="T186" t="str">
        <f>_xlfn.CONCAT(C186,"-",D186)</f>
        <v>Display-México</v>
      </c>
      <c r="U186">
        <f>YEAR(A186)</f>
        <v>2025</v>
      </c>
      <c r="V186">
        <f>MONTH(A186)</f>
        <v>9</v>
      </c>
      <c r="W186" t="str">
        <f>PROPER(TEXT(A186,"mmmm"))</f>
        <v>Septiembre</v>
      </c>
      <c r="X186" t="str">
        <f>PROPER(TEXT(A186,"dddd"))</f>
        <v>Sábado</v>
      </c>
      <c r="Y186" t="str" cm="1">
        <f t="array" ref="Y186">_xlfn.IFS(R186&gt;10,"Excelente",R186&gt;=5,"Bueno",R186&gt;=2,"Débil",R186&lt;2,"Deficiente")</f>
        <v>Excelente</v>
      </c>
      <c r="Z186" t="str">
        <f>IF(AND(R186&lt;2,Q186&gt;=100),"Revisar","OK")</f>
        <v>OK</v>
      </c>
      <c r="AA186" s="55">
        <f>_xlfn.XLOOKUP(C186,'Preguntas de negocio'!$C$114:$C$119,'Preguntas de negocio'!$D$114:$D$119,0)</f>
        <v>5</v>
      </c>
      <c r="AB186" s="55">
        <f>VLOOKUP(C186,'Preguntas de negocio'!$C$121:$D$127,2,FALSE)</f>
        <v>0.5</v>
      </c>
    </row>
    <row r="187" spans="1:28" x14ac:dyDescent="0.3">
      <c r="A187" s="1">
        <v>46014</v>
      </c>
      <c r="B187" s="2" t="s">
        <v>2639</v>
      </c>
      <c r="C187" s="2" t="s">
        <v>2527</v>
      </c>
      <c r="D187" s="2" t="s">
        <v>2528</v>
      </c>
      <c r="E187" s="2" t="s">
        <v>2529</v>
      </c>
      <c r="F187" s="3">
        <v>30052</v>
      </c>
      <c r="G187" s="3">
        <v>1317</v>
      </c>
      <c r="H187" s="3">
        <v>166</v>
      </c>
      <c r="I187" s="4">
        <v>2716.37</v>
      </c>
      <c r="J187" s="4">
        <v>31158.799999999999</v>
      </c>
      <c r="K187" s="3">
        <v>124</v>
      </c>
      <c r="L187" s="2" t="s">
        <v>2523</v>
      </c>
      <c r="M187" s="2" t="s">
        <v>2537</v>
      </c>
      <c r="N187" s="8">
        <f>IFERROR(G187/F187,0)</f>
        <v>4.3824038333555172E-2</v>
      </c>
      <c r="O187" s="8">
        <f>IFERROR(H187/G187,0)</f>
        <v>0.12604403948367501</v>
      </c>
      <c r="P187" s="4">
        <f>IFERROR(I187/G187,0)</f>
        <v>2.0625436598329534</v>
      </c>
      <c r="Q187" s="4">
        <f>IFERROR(I187/H187,0)</f>
        <v>16.36367469879518</v>
      </c>
      <c r="R187" s="12">
        <f>IFERROR(J187/I187,0)</f>
        <v>11.47074956651708</v>
      </c>
      <c r="S187" s="7">
        <f>Tabla_nuevas_columnas[[#This Row],[ROAS]]</f>
        <v>11.47074956651708</v>
      </c>
      <c r="T187" t="str">
        <f>_xlfn.CONCAT(C187,"-",D187)</f>
        <v>Affiliate-España</v>
      </c>
      <c r="U187">
        <f>YEAR(A187)</f>
        <v>2025</v>
      </c>
      <c r="V187">
        <f>MONTH(A187)</f>
        <v>12</v>
      </c>
      <c r="W187" t="str">
        <f>PROPER(TEXT(A187,"mmmm"))</f>
        <v>Diciembre</v>
      </c>
      <c r="X187" t="str">
        <f>PROPER(TEXT(A187,"dddd"))</f>
        <v>Martes</v>
      </c>
      <c r="Y187" t="str" cm="1">
        <f t="array" ref="Y187">_xlfn.IFS(R187&gt;10,"Excelente",R187&gt;=5,"Bueno",R187&gt;=2,"Débil",R187&lt;2,"Deficiente")</f>
        <v>Excelente</v>
      </c>
      <c r="Z187" t="str">
        <f>IF(AND(R187&lt;2,Q187&gt;=100),"Revisar","OK")</f>
        <v>OK</v>
      </c>
      <c r="AA187" s="55">
        <f>_xlfn.XLOOKUP(C187,'Preguntas de negocio'!$C$114:$C$119,'Preguntas de negocio'!$D$114:$D$119,0)</f>
        <v>4.5</v>
      </c>
      <c r="AB187" s="55">
        <f>VLOOKUP(C187,'Preguntas de negocio'!$C$121:$D$127,2,FALSE)</f>
        <v>0.35</v>
      </c>
    </row>
    <row r="188" spans="1:28" x14ac:dyDescent="0.3">
      <c r="A188" s="1">
        <v>45936</v>
      </c>
      <c r="B188" s="2" t="s">
        <v>2630</v>
      </c>
      <c r="C188" s="2" t="s">
        <v>2543</v>
      </c>
      <c r="D188" s="2" t="s">
        <v>2525</v>
      </c>
      <c r="E188" s="2" t="s">
        <v>2517</v>
      </c>
      <c r="F188" s="3">
        <v>83548</v>
      </c>
      <c r="G188" s="3">
        <v>638</v>
      </c>
      <c r="H188" s="3">
        <v>21</v>
      </c>
      <c r="I188" s="4">
        <v>1269.7</v>
      </c>
      <c r="J188" s="4">
        <v>1766.04</v>
      </c>
      <c r="K188" s="3">
        <v>12</v>
      </c>
      <c r="L188" s="2" t="s">
        <v>2523</v>
      </c>
      <c r="M188" s="2" t="s">
        <v>2537</v>
      </c>
      <c r="N188" s="8">
        <f>IFERROR(G188/F188,0)</f>
        <v>7.6363288169674914E-3</v>
      </c>
      <c r="O188" s="8">
        <f>IFERROR(H188/G188,0)</f>
        <v>3.2915360501567396E-2</v>
      </c>
      <c r="P188" s="4">
        <f>IFERROR(I188/G188,0)</f>
        <v>1.9901253918495299</v>
      </c>
      <c r="Q188" s="4">
        <f>IFERROR(I188/H188,0)</f>
        <v>60.461904761904762</v>
      </c>
      <c r="R188" s="12">
        <f>IFERROR(J188/I188,0)</f>
        <v>1.3909112388753249</v>
      </c>
      <c r="S188" s="7">
        <f>Tabla_nuevas_columnas[[#This Row],[ROAS]]</f>
        <v>1.3909112388753249</v>
      </c>
      <c r="T188" t="str">
        <f>_xlfn.CONCAT(C188,"-",D188)</f>
        <v>Organic Social-Francia</v>
      </c>
      <c r="U188">
        <f>YEAR(A188)</f>
        <v>2025</v>
      </c>
      <c r="V188">
        <f>MONTH(A188)</f>
        <v>10</v>
      </c>
      <c r="W188" t="str">
        <f>PROPER(TEXT(A188,"mmmm"))</f>
        <v>Octubre</v>
      </c>
      <c r="X188" t="str">
        <f>PROPER(TEXT(A188,"dddd"))</f>
        <v>Lunes</v>
      </c>
      <c r="Y188" t="str" cm="1">
        <f t="array" ref="Y188">_xlfn.IFS(R188&gt;10,"Excelente",R188&gt;=5,"Bueno",R188&gt;=2,"Débil",R188&lt;2,"Deficiente")</f>
        <v>Deficiente</v>
      </c>
      <c r="Z188" t="str">
        <f>IF(AND(R188&lt;2,Q188&gt;=100),"Revisar","OK")</f>
        <v>OK</v>
      </c>
      <c r="AA188" s="55">
        <f>_xlfn.XLOOKUP(C188,'Preguntas de negocio'!$C$114:$C$119,'Preguntas de negocio'!$D$114:$D$119,0)</f>
        <v>4</v>
      </c>
      <c r="AB188" s="55">
        <f>VLOOKUP(C188,'Preguntas de negocio'!$C$121:$D$127,2,FALSE)</f>
        <v>0.95</v>
      </c>
    </row>
    <row r="189" spans="1:28" x14ac:dyDescent="0.3">
      <c r="A189" s="1">
        <v>45859</v>
      </c>
      <c r="B189" s="2" t="s">
        <v>2640</v>
      </c>
      <c r="C189" s="2" t="s">
        <v>2533</v>
      </c>
      <c r="D189" s="2" t="s">
        <v>2522</v>
      </c>
      <c r="E189" s="2" t="s">
        <v>2517</v>
      </c>
      <c r="F189" s="3">
        <v>58384</v>
      </c>
      <c r="G189" s="3">
        <v>5247</v>
      </c>
      <c r="H189" s="3">
        <v>264</v>
      </c>
      <c r="I189" s="4">
        <v>2724.49</v>
      </c>
      <c r="J189" s="4">
        <v>45380.79</v>
      </c>
      <c r="K189" s="3">
        <v>147</v>
      </c>
      <c r="L189" s="2" t="s">
        <v>2523</v>
      </c>
      <c r="M189" s="2" t="s">
        <v>2519</v>
      </c>
      <c r="N189" s="8">
        <f>IFERROR(G189/F189,0)</f>
        <v>8.9870512469169633E-2</v>
      </c>
      <c r="O189" s="8">
        <f>IFERROR(H189/G189,0)</f>
        <v>5.0314465408805034E-2</v>
      </c>
      <c r="P189" s="4">
        <f>IFERROR(I189/G189,0)</f>
        <v>0.51924718886983035</v>
      </c>
      <c r="Q189" s="4">
        <f>IFERROR(I189/H189,0)</f>
        <v>10.320037878787877</v>
      </c>
      <c r="R189" s="12">
        <f>IFERROR(J189/I189,0)</f>
        <v>16.656618302875035</v>
      </c>
      <c r="S189" s="7">
        <f>Tabla_nuevas_columnas[[#This Row],[ROAS]]</f>
        <v>16.656618302875035</v>
      </c>
      <c r="T189" t="str">
        <f>_xlfn.CONCAT(C189,"-",D189)</f>
        <v>Paid Social-Italia</v>
      </c>
      <c r="U189">
        <f>YEAR(A189)</f>
        <v>2025</v>
      </c>
      <c r="V189">
        <f>MONTH(A189)</f>
        <v>7</v>
      </c>
      <c r="W189" t="str">
        <f>PROPER(TEXT(A189,"mmmm"))</f>
        <v>Julio</v>
      </c>
      <c r="X189" t="str">
        <f>PROPER(TEXT(A189,"dddd"))</f>
        <v>Lunes</v>
      </c>
      <c r="Y189" t="str" cm="1">
        <f t="array" ref="Y189">_xlfn.IFS(R189&gt;10,"Excelente",R189&gt;=5,"Bueno",R189&gt;=2,"Débil",R189&lt;2,"Deficiente")</f>
        <v>Excelente</v>
      </c>
      <c r="Z189" t="str">
        <f>IF(AND(R189&lt;2,Q189&gt;=100),"Revisar","OK")</f>
        <v>OK</v>
      </c>
      <c r="AA189" s="55">
        <f>_xlfn.XLOOKUP(C189,'Preguntas de negocio'!$C$114:$C$119,'Preguntas de negocio'!$D$114:$D$119,0)</f>
        <v>6</v>
      </c>
      <c r="AB189" s="55">
        <f>VLOOKUP(C189,'Preguntas de negocio'!$C$121:$D$127,2,FALSE)</f>
        <v>0.8</v>
      </c>
    </row>
    <row r="190" spans="1:28" x14ac:dyDescent="0.3">
      <c r="A190" s="1">
        <v>45956</v>
      </c>
      <c r="B190" s="2" t="s">
        <v>2628</v>
      </c>
      <c r="C190" s="2" t="s">
        <v>2541</v>
      </c>
      <c r="D190" s="2" t="s">
        <v>2531</v>
      </c>
      <c r="E190" s="2" t="s">
        <v>2517</v>
      </c>
      <c r="F190" s="3">
        <v>67410</v>
      </c>
      <c r="G190" s="3">
        <v>5920</v>
      </c>
      <c r="H190" s="3">
        <v>597</v>
      </c>
      <c r="I190" s="4">
        <v>4375.7700000000004</v>
      </c>
      <c r="J190" s="4">
        <v>115873.52</v>
      </c>
      <c r="K190" s="3">
        <v>470</v>
      </c>
      <c r="L190" s="2" t="s">
        <v>2536</v>
      </c>
      <c r="M190" s="2" t="s">
        <v>2546</v>
      </c>
      <c r="N190" s="8">
        <f>IFERROR(G190/F190,0)</f>
        <v>8.7820798101171937E-2</v>
      </c>
      <c r="O190" s="8">
        <f>IFERROR(H190/G190,0)</f>
        <v>0.10084459459459459</v>
      </c>
      <c r="P190" s="4">
        <f>IFERROR(I190/G190,0)</f>
        <v>0.7391503378378379</v>
      </c>
      <c r="Q190" s="4">
        <f>IFERROR(I190/H190,0)</f>
        <v>7.3295979899497494</v>
      </c>
      <c r="R190" s="12">
        <f>IFERROR(J190/I190,0)</f>
        <v>26.480715394090637</v>
      </c>
      <c r="S190" s="7">
        <f>Tabla_nuevas_columnas[[#This Row],[ROAS]]</f>
        <v>26.480715394090637</v>
      </c>
      <c r="T190" t="str">
        <f>_xlfn.CONCAT(C190,"-",D190)</f>
        <v>Display-Portugal</v>
      </c>
      <c r="U190">
        <f>YEAR(A190)</f>
        <v>2025</v>
      </c>
      <c r="V190">
        <f>MONTH(A190)</f>
        <v>10</v>
      </c>
      <c r="W190" t="str">
        <f>PROPER(TEXT(A190,"mmmm"))</f>
        <v>Octubre</v>
      </c>
      <c r="X190" t="str">
        <f>PROPER(TEXT(A190,"dddd"))</f>
        <v>Domingo</v>
      </c>
      <c r="Y190" t="str" cm="1">
        <f t="array" ref="Y190">_xlfn.IFS(R190&gt;10,"Excelente",R190&gt;=5,"Bueno",R190&gt;=2,"Débil",R190&lt;2,"Deficiente")</f>
        <v>Excelente</v>
      </c>
      <c r="Z190" t="str">
        <f>IF(AND(R190&lt;2,Q190&gt;=100),"Revisar","OK")</f>
        <v>OK</v>
      </c>
      <c r="AA190" s="55">
        <f>_xlfn.XLOOKUP(C190,'Preguntas de negocio'!$C$114:$C$119,'Preguntas de negocio'!$D$114:$D$119,0)</f>
        <v>5</v>
      </c>
      <c r="AB190" s="55">
        <f>VLOOKUP(C190,'Preguntas de negocio'!$C$121:$D$127,2,FALSE)</f>
        <v>0.5</v>
      </c>
    </row>
    <row r="191" spans="1:28" x14ac:dyDescent="0.3">
      <c r="A191" s="1">
        <v>45918</v>
      </c>
      <c r="B191" s="2" t="s">
        <v>2634</v>
      </c>
      <c r="C191" s="2" t="s">
        <v>2533</v>
      </c>
      <c r="D191" s="2" t="s">
        <v>2528</v>
      </c>
      <c r="E191" s="2" t="s">
        <v>2517</v>
      </c>
      <c r="F191" s="3">
        <v>143658</v>
      </c>
      <c r="G191" s="3">
        <v>3330</v>
      </c>
      <c r="H191" s="3">
        <v>139</v>
      </c>
      <c r="I191" s="4">
        <v>5711.52</v>
      </c>
      <c r="J191" s="4">
        <v>19409.71</v>
      </c>
      <c r="K191" s="3">
        <v>97</v>
      </c>
      <c r="L191" s="2" t="s">
        <v>2539</v>
      </c>
      <c r="M191" s="2" t="s">
        <v>2524</v>
      </c>
      <c r="N191" s="8">
        <f>IFERROR(G191/F191,0)</f>
        <v>2.3180052624984338E-2</v>
      </c>
      <c r="O191" s="8">
        <f>IFERROR(H191/G191,0)</f>
        <v>4.1741741741741743E-2</v>
      </c>
      <c r="P191" s="4">
        <f>IFERROR(I191/G191,0)</f>
        <v>1.7151711711711712</v>
      </c>
      <c r="Q191" s="4">
        <f>IFERROR(I191/H191,0)</f>
        <v>41.090071942446045</v>
      </c>
      <c r="R191" s="12">
        <f>IFERROR(J191/I191,0)</f>
        <v>3.3983440485194829</v>
      </c>
      <c r="S191" s="7">
        <f>Tabla_nuevas_columnas[[#This Row],[ROAS]]</f>
        <v>3.3983440485194829</v>
      </c>
      <c r="T191" t="str">
        <f>_xlfn.CONCAT(C191,"-",D191)</f>
        <v>Paid Social-España</v>
      </c>
      <c r="U191">
        <f>YEAR(A191)</f>
        <v>2025</v>
      </c>
      <c r="V191">
        <f>MONTH(A191)</f>
        <v>9</v>
      </c>
      <c r="W191" t="str">
        <f>PROPER(TEXT(A191,"mmmm"))</f>
        <v>Septiembre</v>
      </c>
      <c r="X191" t="str">
        <f>PROPER(TEXT(A191,"dddd"))</f>
        <v>Jueves</v>
      </c>
      <c r="Y191" t="str" cm="1">
        <f t="array" ref="Y191">_xlfn.IFS(R191&gt;10,"Excelente",R191&gt;=5,"Bueno",R191&gt;=2,"Débil",R191&lt;2,"Deficiente")</f>
        <v>Débil</v>
      </c>
      <c r="Z191" t="str">
        <f>IF(AND(R191&lt;2,Q191&gt;=100),"Revisar","OK")</f>
        <v>OK</v>
      </c>
      <c r="AA191" s="55">
        <f>_xlfn.XLOOKUP(C191,'Preguntas de negocio'!$C$114:$C$119,'Preguntas de negocio'!$D$114:$D$119,0)</f>
        <v>6</v>
      </c>
      <c r="AB191" s="55">
        <f>VLOOKUP(C191,'Preguntas de negocio'!$C$121:$D$127,2,FALSE)</f>
        <v>0.8</v>
      </c>
    </row>
    <row r="192" spans="1:28" x14ac:dyDescent="0.3">
      <c r="A192" s="1">
        <v>45920</v>
      </c>
      <c r="B192" s="2" t="s">
        <v>2641</v>
      </c>
      <c r="C192" s="2" t="s">
        <v>2543</v>
      </c>
      <c r="D192" s="2" t="s">
        <v>2516</v>
      </c>
      <c r="E192" s="2" t="s">
        <v>2529</v>
      </c>
      <c r="F192" s="3">
        <v>37343</v>
      </c>
      <c r="G192" s="3">
        <v>575</v>
      </c>
      <c r="H192" s="3">
        <v>32</v>
      </c>
      <c r="I192" s="4">
        <v>394.15</v>
      </c>
      <c r="J192" s="4">
        <v>3013.09</v>
      </c>
      <c r="K192" s="3">
        <v>21</v>
      </c>
      <c r="L192" s="2" t="s">
        <v>2518</v>
      </c>
      <c r="M192" s="2" t="s">
        <v>2537</v>
      </c>
      <c r="N192" s="8">
        <f>IFERROR(G192/F192,0)</f>
        <v>1.5397798784243365E-2</v>
      </c>
      <c r="O192" s="8">
        <f>IFERROR(H192/G192,0)</f>
        <v>5.565217391304348E-2</v>
      </c>
      <c r="P192" s="4">
        <f>IFERROR(I192/G192,0)</f>
        <v>0.6854782608695652</v>
      </c>
      <c r="Q192" s="4">
        <f>IFERROR(I192/H192,0)</f>
        <v>12.317187499999999</v>
      </c>
      <c r="R192" s="12">
        <f>IFERROR(J192/I192,0)</f>
        <v>7.6445261956108093</v>
      </c>
      <c r="S192" s="7">
        <f>Tabla_nuevas_columnas[[#This Row],[ROAS]]</f>
        <v>7.6445261956108093</v>
      </c>
      <c r="T192" t="str">
        <f>_xlfn.CONCAT(C192,"-",D192)</f>
        <v>Organic Social-México</v>
      </c>
      <c r="U192">
        <f>YEAR(A192)</f>
        <v>2025</v>
      </c>
      <c r="V192">
        <f>MONTH(A192)</f>
        <v>9</v>
      </c>
      <c r="W192" t="str">
        <f>PROPER(TEXT(A192,"mmmm"))</f>
        <v>Septiembre</v>
      </c>
      <c r="X192" t="str">
        <f>PROPER(TEXT(A192,"dddd"))</f>
        <v>Sábado</v>
      </c>
      <c r="Y192" t="str" cm="1">
        <f t="array" ref="Y192">_xlfn.IFS(R192&gt;10,"Excelente",R192&gt;=5,"Bueno",R192&gt;=2,"Débil",R192&lt;2,"Deficiente")</f>
        <v>Bueno</v>
      </c>
      <c r="Z192" t="str">
        <f>IF(AND(R192&lt;2,Q192&gt;=100),"Revisar","OK")</f>
        <v>OK</v>
      </c>
      <c r="AA192" s="55">
        <f>_xlfn.XLOOKUP(C192,'Preguntas de negocio'!$C$114:$C$119,'Preguntas de negocio'!$D$114:$D$119,0)</f>
        <v>4</v>
      </c>
      <c r="AB192" s="55">
        <f>VLOOKUP(C192,'Preguntas de negocio'!$C$121:$D$127,2,FALSE)</f>
        <v>0.95</v>
      </c>
    </row>
    <row r="193" spans="1:28" x14ac:dyDescent="0.3">
      <c r="A193" s="1">
        <v>45883</v>
      </c>
      <c r="B193" s="2" t="s">
        <v>2617</v>
      </c>
      <c r="C193" s="2" t="s">
        <v>2541</v>
      </c>
      <c r="D193" s="2" t="s">
        <v>2528</v>
      </c>
      <c r="E193" s="2" t="s">
        <v>2529</v>
      </c>
      <c r="F193" s="3">
        <v>99860</v>
      </c>
      <c r="G193" s="3">
        <v>4250</v>
      </c>
      <c r="H193" s="3">
        <v>534</v>
      </c>
      <c r="I193" s="4">
        <v>7379.33</v>
      </c>
      <c r="J193" s="4">
        <v>73696.14</v>
      </c>
      <c r="K193" s="3">
        <v>344</v>
      </c>
      <c r="L193" s="2" t="s">
        <v>2539</v>
      </c>
      <c r="M193" s="2" t="s">
        <v>2537</v>
      </c>
      <c r="N193" s="8">
        <f>IFERROR(G193/F193,0)</f>
        <v>4.2559583416783495E-2</v>
      </c>
      <c r="O193" s="8">
        <f>IFERROR(H193/G193,0)</f>
        <v>0.12564705882352942</v>
      </c>
      <c r="P193" s="4">
        <f>IFERROR(I193/G193,0)</f>
        <v>1.7363129411764706</v>
      </c>
      <c r="Q193" s="4">
        <f>IFERROR(I193/H193,0)</f>
        <v>13.818970037453184</v>
      </c>
      <c r="R193" s="12">
        <f>IFERROR(J193/I193,0)</f>
        <v>9.9868334930135934</v>
      </c>
      <c r="S193" s="7">
        <f>Tabla_nuevas_columnas[[#This Row],[ROAS]]</f>
        <v>9.9868334930135934</v>
      </c>
      <c r="T193" t="str">
        <f>_xlfn.CONCAT(C193,"-",D193)</f>
        <v>Display-España</v>
      </c>
      <c r="U193">
        <f>YEAR(A193)</f>
        <v>2025</v>
      </c>
      <c r="V193">
        <f>MONTH(A193)</f>
        <v>8</v>
      </c>
      <c r="W193" t="str">
        <f>PROPER(TEXT(A193,"mmmm"))</f>
        <v>Agosto</v>
      </c>
      <c r="X193" t="str">
        <f>PROPER(TEXT(A193,"dddd"))</f>
        <v>Jueves</v>
      </c>
      <c r="Y193" t="str" cm="1">
        <f t="array" ref="Y193">_xlfn.IFS(R193&gt;10,"Excelente",R193&gt;=5,"Bueno",R193&gt;=2,"Débil",R193&lt;2,"Deficiente")</f>
        <v>Bueno</v>
      </c>
      <c r="Z193" t="str">
        <f>IF(AND(R193&lt;2,Q193&gt;=100),"Revisar","OK")</f>
        <v>OK</v>
      </c>
      <c r="AA193" s="55">
        <f>_xlfn.XLOOKUP(C193,'Preguntas de negocio'!$C$114:$C$119,'Preguntas de negocio'!$D$114:$D$119,0)</f>
        <v>5</v>
      </c>
      <c r="AB193" s="55">
        <f>VLOOKUP(C193,'Preguntas de negocio'!$C$121:$D$127,2,FALSE)</f>
        <v>0.5</v>
      </c>
    </row>
    <row r="194" spans="1:28" x14ac:dyDescent="0.3">
      <c r="A194" s="1">
        <v>45751</v>
      </c>
      <c r="B194" s="2" t="s">
        <v>2625</v>
      </c>
      <c r="C194" s="2" t="s">
        <v>2533</v>
      </c>
      <c r="D194" s="2" t="s">
        <v>2528</v>
      </c>
      <c r="E194" s="2" t="s">
        <v>2529</v>
      </c>
      <c r="F194" s="3">
        <v>68867</v>
      </c>
      <c r="G194" s="3">
        <v>1547</v>
      </c>
      <c r="H194" s="3">
        <v>131</v>
      </c>
      <c r="I194" s="4">
        <v>1695.16</v>
      </c>
      <c r="J194" s="4">
        <v>21946.34</v>
      </c>
      <c r="K194" s="3">
        <v>94</v>
      </c>
      <c r="L194" s="2" t="s">
        <v>2523</v>
      </c>
      <c r="M194" s="2" t="s">
        <v>2519</v>
      </c>
      <c r="N194" s="8">
        <f>IFERROR(G194/F194,0)</f>
        <v>2.2463589237225377E-2</v>
      </c>
      <c r="O194" s="8">
        <f>IFERROR(H194/G194,0)</f>
        <v>8.4680025856496449E-2</v>
      </c>
      <c r="P194" s="4">
        <f>IFERROR(I194/G194,0)</f>
        <v>1.0957724628312864</v>
      </c>
      <c r="Q194" s="4">
        <f>IFERROR(I194/H194,0)</f>
        <v>12.940152671755726</v>
      </c>
      <c r="R194" s="12">
        <f>IFERROR(J194/I194,0)</f>
        <v>12.94647112956889</v>
      </c>
      <c r="S194" s="7">
        <f>Tabla_nuevas_columnas[[#This Row],[ROAS]]</f>
        <v>12.94647112956889</v>
      </c>
      <c r="T194" t="str">
        <f>_xlfn.CONCAT(C194,"-",D194)</f>
        <v>Paid Social-España</v>
      </c>
      <c r="U194">
        <f>YEAR(A194)</f>
        <v>2025</v>
      </c>
      <c r="V194">
        <f>MONTH(A194)</f>
        <v>4</v>
      </c>
      <c r="W194" t="str">
        <f>PROPER(TEXT(A194,"mmmm"))</f>
        <v>Abril</v>
      </c>
      <c r="X194" t="str">
        <f>PROPER(TEXT(A194,"dddd"))</f>
        <v>Viernes</v>
      </c>
      <c r="Y194" t="str" cm="1">
        <f t="array" ref="Y194">_xlfn.IFS(R194&gt;10,"Excelente",R194&gt;=5,"Bueno",R194&gt;=2,"Débil",R194&lt;2,"Deficiente")</f>
        <v>Excelente</v>
      </c>
      <c r="Z194" t="str">
        <f>IF(AND(R194&lt;2,Q194&gt;=100),"Revisar","OK")</f>
        <v>OK</v>
      </c>
      <c r="AA194" s="55">
        <f>_xlfn.XLOOKUP(C194,'Preguntas de negocio'!$C$114:$C$119,'Preguntas de negocio'!$D$114:$D$119,0)</f>
        <v>6</v>
      </c>
      <c r="AB194" s="55">
        <f>VLOOKUP(C194,'Preguntas de negocio'!$C$121:$D$127,2,FALSE)</f>
        <v>0.8</v>
      </c>
    </row>
    <row r="195" spans="1:28" x14ac:dyDescent="0.3">
      <c r="A195" s="1">
        <v>45882</v>
      </c>
      <c r="B195" s="2" t="s">
        <v>2622</v>
      </c>
      <c r="C195" s="2" t="s">
        <v>2527</v>
      </c>
      <c r="D195" s="2" t="s">
        <v>2525</v>
      </c>
      <c r="E195" s="2" t="s">
        <v>2534</v>
      </c>
      <c r="F195" s="3">
        <v>66906</v>
      </c>
      <c r="G195" s="3">
        <v>4300</v>
      </c>
      <c r="H195" s="3">
        <v>84</v>
      </c>
      <c r="I195" s="4">
        <v>6004.22</v>
      </c>
      <c r="J195" s="4">
        <v>8643.41</v>
      </c>
      <c r="K195" s="3">
        <v>75</v>
      </c>
      <c r="L195" s="2" t="s">
        <v>2539</v>
      </c>
      <c r="M195" s="2" t="s">
        <v>2519</v>
      </c>
      <c r="N195" s="8">
        <f>IFERROR(G195/F195,0)</f>
        <v>6.4269273308821331E-2</v>
      </c>
      <c r="O195" s="8">
        <f>IFERROR(H195/G195,0)</f>
        <v>1.9534883720930232E-2</v>
      </c>
      <c r="P195" s="4">
        <f>IFERROR(I195/G195,0)</f>
        <v>1.3963302325581395</v>
      </c>
      <c r="Q195" s="4">
        <f>IFERROR(I195/H195,0)</f>
        <v>71.478809523809531</v>
      </c>
      <c r="R195" s="12">
        <f>IFERROR(J195/I195,0)</f>
        <v>1.4395558457218423</v>
      </c>
      <c r="S195" s="7">
        <f>Tabla_nuevas_columnas[[#This Row],[ROAS]]</f>
        <v>1.4395558457218423</v>
      </c>
      <c r="T195" t="str">
        <f>_xlfn.CONCAT(C195,"-",D195)</f>
        <v>Affiliate-Francia</v>
      </c>
      <c r="U195">
        <f>YEAR(A195)</f>
        <v>2025</v>
      </c>
      <c r="V195">
        <f>MONTH(A195)</f>
        <v>8</v>
      </c>
      <c r="W195" t="str">
        <f>PROPER(TEXT(A195,"mmmm"))</f>
        <v>Agosto</v>
      </c>
      <c r="X195" t="str">
        <f>PROPER(TEXT(A195,"dddd"))</f>
        <v>Miércoles</v>
      </c>
      <c r="Y195" t="str" cm="1">
        <f t="array" ref="Y195">_xlfn.IFS(R195&gt;10,"Excelente",R195&gt;=5,"Bueno",R195&gt;=2,"Débil",R195&lt;2,"Deficiente")</f>
        <v>Deficiente</v>
      </c>
      <c r="Z195" t="str">
        <f>IF(AND(R195&lt;2,Q195&gt;=100),"Revisar","OK")</f>
        <v>OK</v>
      </c>
      <c r="AA195" s="55">
        <f>_xlfn.XLOOKUP(C195,'Preguntas de negocio'!$C$114:$C$119,'Preguntas de negocio'!$D$114:$D$119,0)</f>
        <v>4.5</v>
      </c>
      <c r="AB195" s="55">
        <f>VLOOKUP(C195,'Preguntas de negocio'!$C$121:$D$127,2,FALSE)</f>
        <v>0.35</v>
      </c>
    </row>
    <row r="196" spans="1:28" x14ac:dyDescent="0.3">
      <c r="A196" s="1">
        <v>45781</v>
      </c>
      <c r="B196" s="2" t="s">
        <v>2625</v>
      </c>
      <c r="C196" s="2" t="s">
        <v>2527</v>
      </c>
      <c r="D196" s="2" t="s">
        <v>2528</v>
      </c>
      <c r="E196" s="2" t="s">
        <v>2529</v>
      </c>
      <c r="F196" s="3">
        <v>168910</v>
      </c>
      <c r="G196" s="3">
        <v>3675</v>
      </c>
      <c r="H196" s="3">
        <v>120</v>
      </c>
      <c r="I196" s="4">
        <v>7407.12</v>
      </c>
      <c r="J196" s="4">
        <v>14522.13</v>
      </c>
      <c r="K196" s="3">
        <v>54</v>
      </c>
      <c r="L196" s="2" t="s">
        <v>2518</v>
      </c>
      <c r="M196" s="2" t="s">
        <v>2519</v>
      </c>
      <c r="N196" s="8">
        <f>IFERROR(G196/F196,0)</f>
        <v>2.1757148777455451E-2</v>
      </c>
      <c r="O196" s="8">
        <f>IFERROR(H196/G196,0)</f>
        <v>3.2653061224489799E-2</v>
      </c>
      <c r="P196" s="4">
        <f>IFERROR(I196/G196,0)</f>
        <v>2.0155428571428571</v>
      </c>
      <c r="Q196" s="4">
        <f>IFERROR(I196/H196,0)</f>
        <v>61.725999999999999</v>
      </c>
      <c r="R196" s="12">
        <f>IFERROR(J196/I196,0)</f>
        <v>1.9605636198684508</v>
      </c>
      <c r="S196" s="7">
        <f>Tabla_nuevas_columnas[[#This Row],[ROAS]]</f>
        <v>1.9605636198684508</v>
      </c>
      <c r="T196" t="str">
        <f>_xlfn.CONCAT(C196,"-",D196)</f>
        <v>Affiliate-España</v>
      </c>
      <c r="U196">
        <f>YEAR(A196)</f>
        <v>2025</v>
      </c>
      <c r="V196">
        <f>MONTH(A196)</f>
        <v>5</v>
      </c>
      <c r="W196" t="str">
        <f>PROPER(TEXT(A196,"mmmm"))</f>
        <v>Mayo</v>
      </c>
      <c r="X196" t="str">
        <f>PROPER(TEXT(A196,"dddd"))</f>
        <v>Domingo</v>
      </c>
      <c r="Y196" t="str" cm="1">
        <f t="array" ref="Y196">_xlfn.IFS(R196&gt;10,"Excelente",R196&gt;=5,"Bueno",R196&gt;=2,"Débil",R196&lt;2,"Deficiente")</f>
        <v>Deficiente</v>
      </c>
      <c r="Z196" t="str">
        <f>IF(AND(R196&lt;2,Q196&gt;=100),"Revisar","OK")</f>
        <v>OK</v>
      </c>
      <c r="AA196" s="55">
        <f>_xlfn.XLOOKUP(C196,'Preguntas de negocio'!$C$114:$C$119,'Preguntas de negocio'!$D$114:$D$119,0)</f>
        <v>4.5</v>
      </c>
      <c r="AB196" s="55">
        <f>VLOOKUP(C196,'Preguntas de negocio'!$C$121:$D$127,2,FALSE)</f>
        <v>0.35</v>
      </c>
    </row>
    <row r="197" spans="1:28" x14ac:dyDescent="0.3">
      <c r="A197" s="1">
        <v>45713</v>
      </c>
      <c r="B197" s="2" t="s">
        <v>2635</v>
      </c>
      <c r="C197" s="2" t="s">
        <v>2533</v>
      </c>
      <c r="D197" s="2" t="s">
        <v>2645</v>
      </c>
      <c r="E197" s="2" t="s">
        <v>2529</v>
      </c>
      <c r="F197" s="3">
        <v>30501</v>
      </c>
      <c r="G197" s="3">
        <v>330</v>
      </c>
      <c r="H197" s="3">
        <v>18</v>
      </c>
      <c r="I197" s="4">
        <v>68.59</v>
      </c>
      <c r="J197" s="4">
        <v>1006.33</v>
      </c>
      <c r="K197" s="3">
        <v>11</v>
      </c>
      <c r="L197" s="2" t="s">
        <v>2523</v>
      </c>
      <c r="M197" s="2" t="s">
        <v>2524</v>
      </c>
      <c r="N197" s="8">
        <f>IFERROR(G197/F197,0)</f>
        <v>1.0819317399429526E-2</v>
      </c>
      <c r="O197" s="8">
        <f>IFERROR(H197/G197,0)</f>
        <v>5.4545454545454543E-2</v>
      </c>
      <c r="P197" s="4">
        <f>IFERROR(I197/G197,0)</f>
        <v>0.20784848484848487</v>
      </c>
      <c r="Q197" s="4">
        <f>IFERROR(I197/H197,0)</f>
        <v>3.8105555555555557</v>
      </c>
      <c r="R197" s="12">
        <f>IFERROR(J197/I197,0)</f>
        <v>14.671672255430821</v>
      </c>
      <c r="S197" s="7">
        <f>Tabla_nuevas_columnas[[#This Row],[ROAS]]</f>
        <v>14.671672255430821</v>
      </c>
      <c r="T197" t="str">
        <f>_xlfn.CONCAT(C197,"-",D197)</f>
        <v>Paid Social-Por identificar</v>
      </c>
      <c r="U197">
        <f>YEAR(A197)</f>
        <v>2025</v>
      </c>
      <c r="V197">
        <f>MONTH(A197)</f>
        <v>2</v>
      </c>
      <c r="W197" t="str">
        <f>PROPER(TEXT(A197,"mmmm"))</f>
        <v>Febrero</v>
      </c>
      <c r="X197" t="str">
        <f>PROPER(TEXT(A197,"dddd"))</f>
        <v>Martes</v>
      </c>
      <c r="Y197" t="str" cm="1">
        <f t="array" ref="Y197">_xlfn.IFS(R197&gt;10,"Excelente",R197&gt;=5,"Bueno",R197&gt;=2,"Débil",R197&lt;2,"Deficiente")</f>
        <v>Excelente</v>
      </c>
      <c r="Z197" t="str">
        <f>IF(AND(R197&lt;2,Q197&gt;=100),"Revisar","OK")</f>
        <v>OK</v>
      </c>
      <c r="AA197" s="55">
        <f>_xlfn.XLOOKUP(C197,'Preguntas de negocio'!$C$114:$C$119,'Preguntas de negocio'!$D$114:$D$119,0)</f>
        <v>6</v>
      </c>
      <c r="AB197" s="55">
        <f>VLOOKUP(C197,'Preguntas de negocio'!$C$121:$D$127,2,FALSE)</f>
        <v>0.8</v>
      </c>
    </row>
    <row r="198" spans="1:28" x14ac:dyDescent="0.3">
      <c r="A198" s="1">
        <v>45667</v>
      </c>
      <c r="B198" s="2" t="s">
        <v>2637</v>
      </c>
      <c r="C198" s="2" t="s">
        <v>2533</v>
      </c>
      <c r="D198" s="2" t="s">
        <v>2516</v>
      </c>
      <c r="E198" s="2" t="s">
        <v>2529</v>
      </c>
      <c r="F198" s="3">
        <v>26787</v>
      </c>
      <c r="G198" s="3">
        <v>192</v>
      </c>
      <c r="H198" s="3">
        <v>25</v>
      </c>
      <c r="I198" s="4">
        <v>164</v>
      </c>
      <c r="J198" s="4">
        <v>5048.43</v>
      </c>
      <c r="K198" s="3">
        <v>15</v>
      </c>
      <c r="L198" s="2" t="s">
        <v>2523</v>
      </c>
      <c r="M198" s="2" t="s">
        <v>2526</v>
      </c>
      <c r="N198" s="8">
        <f>IFERROR(G198/F198,0)</f>
        <v>7.1676559525142795E-3</v>
      </c>
      <c r="O198" s="8">
        <f>IFERROR(H198/G198,0)</f>
        <v>0.13020833333333334</v>
      </c>
      <c r="P198" s="4">
        <f>IFERROR(I198/G198,0)</f>
        <v>0.85416666666666663</v>
      </c>
      <c r="Q198" s="4">
        <f>IFERROR(I198/H198,0)</f>
        <v>6.56</v>
      </c>
      <c r="R198" s="12">
        <f>IFERROR(J198/I198,0)</f>
        <v>30.783109756097563</v>
      </c>
      <c r="S198" s="7">
        <f>Tabla_nuevas_columnas[[#This Row],[ROAS]]</f>
        <v>30.783109756097563</v>
      </c>
      <c r="T198" t="str">
        <f>_xlfn.CONCAT(C198,"-",D198)</f>
        <v>Paid Social-México</v>
      </c>
      <c r="U198">
        <f>YEAR(A198)</f>
        <v>2025</v>
      </c>
      <c r="V198">
        <f>MONTH(A198)</f>
        <v>1</v>
      </c>
      <c r="W198" t="str">
        <f>PROPER(TEXT(A198,"mmmm"))</f>
        <v>Enero</v>
      </c>
      <c r="X198" t="str">
        <f>PROPER(TEXT(A198,"dddd"))</f>
        <v>Viernes</v>
      </c>
      <c r="Y198" t="str" cm="1">
        <f t="array" ref="Y198">_xlfn.IFS(R198&gt;10,"Excelente",R198&gt;=5,"Bueno",R198&gt;=2,"Débil",R198&lt;2,"Deficiente")</f>
        <v>Excelente</v>
      </c>
      <c r="Z198" t="str">
        <f>IF(AND(R198&lt;2,Q198&gt;=100),"Revisar","OK")</f>
        <v>OK</v>
      </c>
      <c r="AA198" s="55">
        <f>_xlfn.XLOOKUP(C198,'Preguntas de negocio'!$C$114:$C$119,'Preguntas de negocio'!$D$114:$D$119,0)</f>
        <v>6</v>
      </c>
      <c r="AB198" s="55">
        <f>VLOOKUP(C198,'Preguntas de negocio'!$C$121:$D$127,2,FALSE)</f>
        <v>0.8</v>
      </c>
    </row>
    <row r="199" spans="1:28" x14ac:dyDescent="0.3">
      <c r="A199" s="1">
        <v>45708</v>
      </c>
      <c r="B199" s="2" t="s">
        <v>2619</v>
      </c>
      <c r="C199" s="2" t="s">
        <v>2541</v>
      </c>
      <c r="D199" s="2" t="s">
        <v>2522</v>
      </c>
      <c r="E199" s="2" t="s">
        <v>2534</v>
      </c>
      <c r="F199" s="3">
        <v>102524</v>
      </c>
      <c r="G199" s="3">
        <v>5804</v>
      </c>
      <c r="H199" s="3">
        <v>515</v>
      </c>
      <c r="I199" s="4">
        <v>11138.51</v>
      </c>
      <c r="J199" s="4">
        <v>104492.16</v>
      </c>
      <c r="K199" s="3">
        <v>339</v>
      </c>
      <c r="L199" s="2" t="s">
        <v>2539</v>
      </c>
      <c r="M199" s="2" t="s">
        <v>2546</v>
      </c>
      <c r="N199" s="8">
        <f>IFERROR(G199/F199,0)</f>
        <v>5.661113495376692E-2</v>
      </c>
      <c r="O199" s="8">
        <f>IFERROR(H199/G199,0)</f>
        <v>8.8731909028256381E-2</v>
      </c>
      <c r="P199" s="4">
        <f>IFERROR(I199/G199,0)</f>
        <v>1.9191092350103378</v>
      </c>
      <c r="Q199" s="4">
        <f>IFERROR(I199/H199,0)</f>
        <v>21.628174757281553</v>
      </c>
      <c r="R199" s="12">
        <f>IFERROR(J199/I199,0)</f>
        <v>9.3811613941182443</v>
      </c>
      <c r="S199" s="7">
        <f>Tabla_nuevas_columnas[[#This Row],[ROAS]]</f>
        <v>9.3811613941182443</v>
      </c>
      <c r="T199" t="str">
        <f>_xlfn.CONCAT(C199,"-",D199)</f>
        <v>Display-Italia</v>
      </c>
      <c r="U199">
        <f>YEAR(A199)</f>
        <v>2025</v>
      </c>
      <c r="V199">
        <f>MONTH(A199)</f>
        <v>2</v>
      </c>
      <c r="W199" t="str">
        <f>PROPER(TEXT(A199,"mmmm"))</f>
        <v>Febrero</v>
      </c>
      <c r="X199" t="str">
        <f>PROPER(TEXT(A199,"dddd"))</f>
        <v>Jueves</v>
      </c>
      <c r="Y199" t="str" cm="1">
        <f t="array" ref="Y199">_xlfn.IFS(R199&gt;10,"Excelente",R199&gt;=5,"Bueno",R199&gt;=2,"Débil",R199&lt;2,"Deficiente")</f>
        <v>Bueno</v>
      </c>
      <c r="Z199" t="str">
        <f>IF(AND(R199&lt;2,Q199&gt;=100),"Revisar","OK")</f>
        <v>OK</v>
      </c>
      <c r="AA199" s="55">
        <f>_xlfn.XLOOKUP(C199,'Preguntas de negocio'!$C$114:$C$119,'Preguntas de negocio'!$D$114:$D$119,0)</f>
        <v>5</v>
      </c>
      <c r="AB199" s="55">
        <f>VLOOKUP(C199,'Preguntas de negocio'!$C$121:$D$127,2,FALSE)</f>
        <v>0.5</v>
      </c>
    </row>
    <row r="200" spans="1:28" x14ac:dyDescent="0.3">
      <c r="A200" s="1">
        <v>45668</v>
      </c>
      <c r="B200" s="2" t="s">
        <v>2634</v>
      </c>
      <c r="C200" s="2" t="s">
        <v>2527</v>
      </c>
      <c r="D200" s="2" t="s">
        <v>2522</v>
      </c>
      <c r="E200" s="2" t="s">
        <v>2517</v>
      </c>
      <c r="F200" s="3">
        <v>162716</v>
      </c>
      <c r="G200" s="3">
        <v>6461</v>
      </c>
      <c r="H200" s="3">
        <v>529</v>
      </c>
      <c r="I200" s="4">
        <v>9589.81</v>
      </c>
      <c r="J200" s="4">
        <v>94859.64</v>
      </c>
      <c r="K200" s="3">
        <v>265</v>
      </c>
      <c r="L200" s="2" t="s">
        <v>2518</v>
      </c>
      <c r="M200" s="2" t="s">
        <v>2537</v>
      </c>
      <c r="N200" s="8">
        <f>IFERROR(G200/F200,0)</f>
        <v>3.9707219941493156E-2</v>
      </c>
      <c r="O200" s="8">
        <f>IFERROR(H200/G200,0)</f>
        <v>8.187587060826497E-2</v>
      </c>
      <c r="P200" s="4">
        <f>IFERROR(I200/G200,0)</f>
        <v>1.4842609503172883</v>
      </c>
      <c r="Q200" s="4">
        <f>IFERROR(I200/H200,0)</f>
        <v>18.128185255198488</v>
      </c>
      <c r="R200" s="12">
        <f>IFERROR(J200/I200,0)</f>
        <v>9.8917121402822374</v>
      </c>
      <c r="S200" s="7">
        <f>Tabla_nuevas_columnas[[#This Row],[ROAS]]</f>
        <v>9.8917121402822374</v>
      </c>
      <c r="T200" t="str">
        <f>_xlfn.CONCAT(C200,"-",D200)</f>
        <v>Affiliate-Italia</v>
      </c>
      <c r="U200">
        <f>YEAR(A200)</f>
        <v>2025</v>
      </c>
      <c r="V200">
        <f>MONTH(A200)</f>
        <v>1</v>
      </c>
      <c r="W200" t="str">
        <f>PROPER(TEXT(A200,"mmmm"))</f>
        <v>Enero</v>
      </c>
      <c r="X200" t="str">
        <f>PROPER(TEXT(A200,"dddd"))</f>
        <v>Sábado</v>
      </c>
      <c r="Y200" t="str" cm="1">
        <f t="array" ref="Y200">_xlfn.IFS(R200&gt;10,"Excelente",R200&gt;=5,"Bueno",R200&gt;=2,"Débil",R200&lt;2,"Deficiente")</f>
        <v>Bueno</v>
      </c>
      <c r="Z200" t="str">
        <f>IF(AND(R200&lt;2,Q200&gt;=100),"Revisar","OK")</f>
        <v>OK</v>
      </c>
      <c r="AA200" s="55">
        <f>_xlfn.XLOOKUP(C200,'Preguntas de negocio'!$C$114:$C$119,'Preguntas de negocio'!$D$114:$D$119,0)</f>
        <v>4.5</v>
      </c>
      <c r="AB200" s="55">
        <f>VLOOKUP(C200,'Preguntas de negocio'!$C$121:$D$127,2,FALSE)</f>
        <v>0.35</v>
      </c>
    </row>
    <row r="201" spans="1:28" x14ac:dyDescent="0.3">
      <c r="A201" s="1">
        <v>45760</v>
      </c>
      <c r="B201" s="2" t="s">
        <v>2626</v>
      </c>
      <c r="C201" s="2" t="s">
        <v>2541</v>
      </c>
      <c r="D201" s="2" t="s">
        <v>2528</v>
      </c>
      <c r="E201" s="2" t="s">
        <v>2529</v>
      </c>
      <c r="F201" s="3">
        <v>123237</v>
      </c>
      <c r="G201" s="3">
        <v>2084</v>
      </c>
      <c r="H201" s="3">
        <v>136</v>
      </c>
      <c r="I201" s="4">
        <v>3356.46</v>
      </c>
      <c r="J201" s="4">
        <v>26452.87</v>
      </c>
      <c r="K201" s="3">
        <v>95</v>
      </c>
      <c r="L201" s="2" t="s">
        <v>2523</v>
      </c>
      <c r="M201" s="2" t="s">
        <v>2645</v>
      </c>
      <c r="N201" s="8">
        <f>IFERROR(G201/F201,0)</f>
        <v>1.6910505773428435E-2</v>
      </c>
      <c r="O201" s="8">
        <f>IFERROR(H201/G201,0)</f>
        <v>6.5259117082533583E-2</v>
      </c>
      <c r="P201" s="4">
        <f>IFERROR(I201/G201,0)</f>
        <v>1.6105854126679462</v>
      </c>
      <c r="Q201" s="4">
        <f>IFERROR(I201/H201,0)</f>
        <v>24.67985294117647</v>
      </c>
      <c r="R201" s="12">
        <f>IFERROR(J201/I201,0)</f>
        <v>7.8811813636986585</v>
      </c>
      <c r="S201" s="7">
        <f>Tabla_nuevas_columnas[[#This Row],[ROAS]]</f>
        <v>7.8811813636986585</v>
      </c>
      <c r="T201" t="str">
        <f>_xlfn.CONCAT(C201,"-",D201)</f>
        <v>Display-España</v>
      </c>
      <c r="U201">
        <f>YEAR(A201)</f>
        <v>2025</v>
      </c>
      <c r="V201">
        <f>MONTH(A201)</f>
        <v>4</v>
      </c>
      <c r="W201" t="str">
        <f>PROPER(TEXT(A201,"mmmm"))</f>
        <v>Abril</v>
      </c>
      <c r="X201" t="str">
        <f>PROPER(TEXT(A201,"dddd"))</f>
        <v>Domingo</v>
      </c>
      <c r="Y201" t="str" cm="1">
        <f t="array" ref="Y201">_xlfn.IFS(R201&gt;10,"Excelente",R201&gt;=5,"Bueno",R201&gt;=2,"Débil",R201&lt;2,"Deficiente")</f>
        <v>Bueno</v>
      </c>
      <c r="Z201" t="str">
        <f>IF(AND(R201&lt;2,Q201&gt;=100),"Revisar","OK")</f>
        <v>OK</v>
      </c>
      <c r="AA201" s="55">
        <f>_xlfn.XLOOKUP(C201,'Preguntas de negocio'!$C$114:$C$119,'Preguntas de negocio'!$D$114:$D$119,0)</f>
        <v>5</v>
      </c>
      <c r="AB201" s="55">
        <f>VLOOKUP(C201,'Preguntas de negocio'!$C$121:$D$127,2,FALSE)</f>
        <v>0.5</v>
      </c>
    </row>
    <row r="202" spans="1:28" x14ac:dyDescent="0.3">
      <c r="A202" s="1">
        <v>45789</v>
      </c>
      <c r="B202" s="2" t="s">
        <v>2620</v>
      </c>
      <c r="C202" s="2" t="s">
        <v>2527</v>
      </c>
      <c r="D202" s="2" t="s">
        <v>2528</v>
      </c>
      <c r="E202" s="2" t="s">
        <v>2529</v>
      </c>
      <c r="F202" s="3">
        <v>56944</v>
      </c>
      <c r="G202" s="3">
        <v>1611</v>
      </c>
      <c r="H202" s="3">
        <v>125</v>
      </c>
      <c r="I202" s="4">
        <v>1852.91</v>
      </c>
      <c r="J202" s="4">
        <v>25417.85</v>
      </c>
      <c r="K202" s="3">
        <v>66</v>
      </c>
      <c r="L202" s="2" t="s">
        <v>2536</v>
      </c>
      <c r="M202" s="2" t="s">
        <v>2526</v>
      </c>
      <c r="N202" s="8">
        <f>IFERROR(G202/F202,0)</f>
        <v>2.8290952514751333E-2</v>
      </c>
      <c r="O202" s="8">
        <f>IFERROR(H202/G202,0)</f>
        <v>7.7591558038485414E-2</v>
      </c>
      <c r="P202" s="4">
        <f>IFERROR(I202/G202,0)</f>
        <v>1.1501613904407202</v>
      </c>
      <c r="Q202" s="4">
        <f>IFERROR(I202/H202,0)</f>
        <v>14.82328</v>
      </c>
      <c r="R202" s="12">
        <f>IFERROR(J202/I202,0)</f>
        <v>13.717800648709327</v>
      </c>
      <c r="S202" s="7">
        <f>Tabla_nuevas_columnas[[#This Row],[ROAS]]</f>
        <v>13.717800648709327</v>
      </c>
      <c r="T202" t="str">
        <f>_xlfn.CONCAT(C202,"-",D202)</f>
        <v>Affiliate-España</v>
      </c>
      <c r="U202">
        <f>YEAR(A202)</f>
        <v>2025</v>
      </c>
      <c r="V202">
        <f>MONTH(A202)</f>
        <v>5</v>
      </c>
      <c r="W202" t="str">
        <f>PROPER(TEXT(A202,"mmmm"))</f>
        <v>Mayo</v>
      </c>
      <c r="X202" t="str">
        <f>PROPER(TEXT(A202,"dddd"))</f>
        <v>Lunes</v>
      </c>
      <c r="Y202" t="str" cm="1">
        <f t="array" ref="Y202">_xlfn.IFS(R202&gt;10,"Excelente",R202&gt;=5,"Bueno",R202&gt;=2,"Débil",R202&lt;2,"Deficiente")</f>
        <v>Excelente</v>
      </c>
      <c r="Z202" t="str">
        <f>IF(AND(R202&lt;2,Q202&gt;=100),"Revisar","OK")</f>
        <v>OK</v>
      </c>
      <c r="AA202" s="55">
        <f>_xlfn.XLOOKUP(C202,'Preguntas de negocio'!$C$114:$C$119,'Preguntas de negocio'!$D$114:$D$119,0)</f>
        <v>4.5</v>
      </c>
      <c r="AB202" s="55">
        <f>VLOOKUP(C202,'Preguntas de negocio'!$C$121:$D$127,2,FALSE)</f>
        <v>0.35</v>
      </c>
    </row>
    <row r="203" spans="1:28" x14ac:dyDescent="0.3">
      <c r="A203" s="1">
        <v>45705</v>
      </c>
      <c r="B203" s="2" t="s">
        <v>2617</v>
      </c>
      <c r="C203" s="2" t="s">
        <v>2543</v>
      </c>
      <c r="D203" s="2" t="s">
        <v>2522</v>
      </c>
      <c r="E203" s="2" t="s">
        <v>2529</v>
      </c>
      <c r="F203" s="3">
        <v>116462</v>
      </c>
      <c r="G203" s="3">
        <v>3489</v>
      </c>
      <c r="H203" s="3">
        <v>365</v>
      </c>
      <c r="I203" s="4">
        <v>2433.89</v>
      </c>
      <c r="J203" s="4">
        <v>58568.78</v>
      </c>
      <c r="K203" s="3">
        <v>236</v>
      </c>
      <c r="L203" s="2" t="s">
        <v>2539</v>
      </c>
      <c r="M203" s="2" t="s">
        <v>2526</v>
      </c>
      <c r="N203" s="8">
        <f>IFERROR(G203/F203,0)</f>
        <v>2.9958269650186328E-2</v>
      </c>
      <c r="O203" s="8">
        <f>IFERROR(H203/G203,0)</f>
        <v>0.10461450272284323</v>
      </c>
      <c r="P203" s="4">
        <f>IFERROR(I203/G203,0)</f>
        <v>0.69758956721123533</v>
      </c>
      <c r="Q203" s="4">
        <f>IFERROR(I203/H203,0)</f>
        <v>6.6681917808219175</v>
      </c>
      <c r="R203" s="12">
        <f>IFERROR(J203/I203,0)</f>
        <v>24.063856624580406</v>
      </c>
      <c r="S203" s="7">
        <f>Tabla_nuevas_columnas[[#This Row],[ROAS]]</f>
        <v>24.063856624580406</v>
      </c>
      <c r="T203" t="str">
        <f>_xlfn.CONCAT(C203,"-",D203)</f>
        <v>Organic Social-Italia</v>
      </c>
      <c r="U203">
        <f>YEAR(A203)</f>
        <v>2025</v>
      </c>
      <c r="V203">
        <f>MONTH(A203)</f>
        <v>2</v>
      </c>
      <c r="W203" t="str">
        <f>PROPER(TEXT(A203,"mmmm"))</f>
        <v>Febrero</v>
      </c>
      <c r="X203" t="str">
        <f>PROPER(TEXT(A203,"dddd"))</f>
        <v>Lunes</v>
      </c>
      <c r="Y203" t="str" cm="1">
        <f t="array" ref="Y203">_xlfn.IFS(R203&gt;10,"Excelente",R203&gt;=5,"Bueno",R203&gt;=2,"Débil",R203&lt;2,"Deficiente")</f>
        <v>Excelente</v>
      </c>
      <c r="Z203" t="str">
        <f>IF(AND(R203&lt;2,Q203&gt;=100),"Revisar","OK")</f>
        <v>OK</v>
      </c>
      <c r="AA203" s="55">
        <f>_xlfn.XLOOKUP(C203,'Preguntas de negocio'!$C$114:$C$119,'Preguntas de negocio'!$D$114:$D$119,0)</f>
        <v>4</v>
      </c>
      <c r="AB203" s="55">
        <f>VLOOKUP(C203,'Preguntas de negocio'!$C$121:$D$127,2,FALSE)</f>
        <v>0.95</v>
      </c>
    </row>
    <row r="204" spans="1:28" x14ac:dyDescent="0.3">
      <c r="A204" s="1">
        <v>45781</v>
      </c>
      <c r="B204" s="2" t="s">
        <v>2642</v>
      </c>
      <c r="C204" s="2" t="s">
        <v>2543</v>
      </c>
      <c r="D204" s="2" t="s">
        <v>2528</v>
      </c>
      <c r="E204" s="2" t="s">
        <v>2529</v>
      </c>
      <c r="F204" s="3">
        <v>173404</v>
      </c>
      <c r="G204" s="3">
        <v>2979</v>
      </c>
      <c r="H204" s="3">
        <v>385</v>
      </c>
      <c r="I204" s="4">
        <v>6171.73</v>
      </c>
      <c r="J204" s="4">
        <v>52827.09</v>
      </c>
      <c r="K204" s="3">
        <v>229</v>
      </c>
      <c r="L204" s="2" t="s">
        <v>2536</v>
      </c>
      <c r="M204" s="2" t="s">
        <v>2537</v>
      </c>
      <c r="N204" s="8">
        <f>IFERROR(G204/F204,0)</f>
        <v>1.7179534497474107E-2</v>
      </c>
      <c r="O204" s="8">
        <f>IFERROR(H204/G204,0)</f>
        <v>0.12923799932863378</v>
      </c>
      <c r="P204" s="4">
        <f>IFERROR(I204/G204,0)</f>
        <v>2.0717455521987245</v>
      </c>
      <c r="Q204" s="4">
        <f>IFERROR(I204/H204,0)</f>
        <v>16.030467532467533</v>
      </c>
      <c r="R204" s="12">
        <f>IFERROR(J204/I204,0)</f>
        <v>8.5595270693954539</v>
      </c>
      <c r="S204" s="7">
        <f>Tabla_nuevas_columnas[[#This Row],[ROAS]]</f>
        <v>8.5595270693954539</v>
      </c>
      <c r="T204" t="str">
        <f>_xlfn.CONCAT(C204,"-",D204)</f>
        <v>Organic Social-España</v>
      </c>
      <c r="U204">
        <f>YEAR(A204)</f>
        <v>2025</v>
      </c>
      <c r="V204">
        <f>MONTH(A204)</f>
        <v>5</v>
      </c>
      <c r="W204" t="str">
        <f>PROPER(TEXT(A204,"mmmm"))</f>
        <v>Mayo</v>
      </c>
      <c r="X204" t="str">
        <f>PROPER(TEXT(A204,"dddd"))</f>
        <v>Domingo</v>
      </c>
      <c r="Y204" t="str" cm="1">
        <f t="array" ref="Y204">_xlfn.IFS(R204&gt;10,"Excelente",R204&gt;=5,"Bueno",R204&gt;=2,"Débil",R204&lt;2,"Deficiente")</f>
        <v>Bueno</v>
      </c>
      <c r="Z204" t="str">
        <f>IF(AND(R204&lt;2,Q204&gt;=100),"Revisar","OK")</f>
        <v>OK</v>
      </c>
      <c r="AA204" s="55">
        <f>_xlfn.XLOOKUP(C204,'Preguntas de negocio'!$C$114:$C$119,'Preguntas de negocio'!$D$114:$D$119,0)</f>
        <v>4</v>
      </c>
      <c r="AB204" s="55">
        <f>VLOOKUP(C204,'Preguntas de negocio'!$C$121:$D$127,2,FALSE)</f>
        <v>0.95</v>
      </c>
    </row>
    <row r="205" spans="1:28" x14ac:dyDescent="0.3">
      <c r="A205" s="1">
        <v>45991</v>
      </c>
      <c r="B205" s="2" t="s">
        <v>2618</v>
      </c>
      <c r="C205" s="2" t="s">
        <v>2527</v>
      </c>
      <c r="D205" s="2" t="s">
        <v>2531</v>
      </c>
      <c r="E205" s="2" t="s">
        <v>2529</v>
      </c>
      <c r="F205" s="3">
        <v>47889</v>
      </c>
      <c r="G205" s="3">
        <v>2842</v>
      </c>
      <c r="H205" s="3">
        <v>171</v>
      </c>
      <c r="I205" s="4">
        <v>765.45</v>
      </c>
      <c r="J205" s="4">
        <v>37602.879999999997</v>
      </c>
      <c r="K205" s="3">
        <v>89</v>
      </c>
      <c r="L205" s="2" t="s">
        <v>2523</v>
      </c>
      <c r="M205" s="2" t="s">
        <v>2519</v>
      </c>
      <c r="N205" s="8">
        <f>IFERROR(G205/F205,0)</f>
        <v>5.9345569963874793E-2</v>
      </c>
      <c r="O205" s="8">
        <f>IFERROR(H205/G205,0)</f>
        <v>6.01688951442646E-2</v>
      </c>
      <c r="P205" s="4">
        <f>IFERROR(I205/G205,0)</f>
        <v>0.26933497536945816</v>
      </c>
      <c r="Q205" s="4">
        <f>IFERROR(I205/H205,0)</f>
        <v>4.4763157894736842</v>
      </c>
      <c r="R205" s="12">
        <f>IFERROR(J205/I205,0)</f>
        <v>49.125194330132594</v>
      </c>
      <c r="S205" s="7">
        <f>Tabla_nuevas_columnas[[#This Row],[ROAS]]</f>
        <v>49.125194330132594</v>
      </c>
      <c r="T205" t="str">
        <f>_xlfn.CONCAT(C205,"-",D205)</f>
        <v>Affiliate-Portugal</v>
      </c>
      <c r="U205">
        <f>YEAR(A205)</f>
        <v>2025</v>
      </c>
      <c r="V205">
        <f>MONTH(A205)</f>
        <v>11</v>
      </c>
      <c r="W205" t="str">
        <f>PROPER(TEXT(A205,"mmmm"))</f>
        <v>Noviembre</v>
      </c>
      <c r="X205" t="str">
        <f>PROPER(TEXT(A205,"dddd"))</f>
        <v>Domingo</v>
      </c>
      <c r="Y205" t="str" cm="1">
        <f t="array" ref="Y205">_xlfn.IFS(R205&gt;10,"Excelente",R205&gt;=5,"Bueno",R205&gt;=2,"Débil",R205&lt;2,"Deficiente")</f>
        <v>Excelente</v>
      </c>
      <c r="Z205" t="str">
        <f>IF(AND(R205&lt;2,Q205&gt;=100),"Revisar","OK")</f>
        <v>OK</v>
      </c>
      <c r="AA205" s="55">
        <f>_xlfn.XLOOKUP(C205,'Preguntas de negocio'!$C$114:$C$119,'Preguntas de negocio'!$D$114:$D$119,0)</f>
        <v>4.5</v>
      </c>
      <c r="AB205" s="55">
        <f>VLOOKUP(C205,'Preguntas de negocio'!$C$121:$D$127,2,FALSE)</f>
        <v>0.35</v>
      </c>
    </row>
    <row r="206" spans="1:28" x14ac:dyDescent="0.3">
      <c r="A206" s="1">
        <v>46012</v>
      </c>
      <c r="B206" s="2" t="s">
        <v>2622</v>
      </c>
      <c r="C206" s="2" t="s">
        <v>2533</v>
      </c>
      <c r="D206" s="2" t="s">
        <v>2525</v>
      </c>
      <c r="E206" s="2" t="s">
        <v>2529</v>
      </c>
      <c r="F206" s="3">
        <v>82416</v>
      </c>
      <c r="G206" s="3">
        <v>1753</v>
      </c>
      <c r="H206" s="3">
        <v>88</v>
      </c>
      <c r="I206" s="4">
        <v>2333.33</v>
      </c>
      <c r="J206" s="4">
        <v>1550.34</v>
      </c>
      <c r="K206" s="3">
        <v>46</v>
      </c>
      <c r="L206" s="2" t="s">
        <v>2523</v>
      </c>
      <c r="M206" s="2" t="s">
        <v>2537</v>
      </c>
      <c r="N206" s="8">
        <f>IFERROR(G206/F206,0)</f>
        <v>2.1270141720054359E-2</v>
      </c>
      <c r="O206" s="8">
        <f>IFERROR(H206/G206,0)</f>
        <v>5.0199657729606391E-2</v>
      </c>
      <c r="P206" s="4">
        <f>IFERROR(I206/G206,0)</f>
        <v>1.3310496292070735</v>
      </c>
      <c r="Q206" s="4">
        <f>IFERROR(I206/H206,0)</f>
        <v>26.515113636363637</v>
      </c>
      <c r="R206" s="12">
        <f>IFERROR(J206/I206,0)</f>
        <v>0.66443237776053965</v>
      </c>
      <c r="S206" s="7">
        <f>Tabla_nuevas_columnas[[#This Row],[ROAS]]</f>
        <v>0.66443237776053965</v>
      </c>
      <c r="T206" t="str">
        <f>_xlfn.CONCAT(C206,"-",D206)</f>
        <v>Paid Social-Francia</v>
      </c>
      <c r="U206">
        <f>YEAR(A206)</f>
        <v>2025</v>
      </c>
      <c r="V206">
        <f>MONTH(A206)</f>
        <v>12</v>
      </c>
      <c r="W206" t="str">
        <f>PROPER(TEXT(A206,"mmmm"))</f>
        <v>Diciembre</v>
      </c>
      <c r="X206" t="str">
        <f>PROPER(TEXT(A206,"dddd"))</f>
        <v>Domingo</v>
      </c>
      <c r="Y206" t="str" cm="1">
        <f t="array" ref="Y206">_xlfn.IFS(R206&gt;10,"Excelente",R206&gt;=5,"Bueno",R206&gt;=2,"Débil",R206&lt;2,"Deficiente")</f>
        <v>Deficiente</v>
      </c>
      <c r="Z206" t="str">
        <f>IF(AND(R206&lt;2,Q206&gt;=100),"Revisar","OK")</f>
        <v>OK</v>
      </c>
      <c r="AA206" s="55">
        <f>_xlfn.XLOOKUP(C206,'Preguntas de negocio'!$C$114:$C$119,'Preguntas de negocio'!$D$114:$D$119,0)</f>
        <v>6</v>
      </c>
      <c r="AB206" s="55">
        <f>VLOOKUP(C206,'Preguntas de negocio'!$C$121:$D$127,2,FALSE)</f>
        <v>0.8</v>
      </c>
    </row>
    <row r="207" spans="1:28" x14ac:dyDescent="0.3">
      <c r="A207" s="1">
        <v>45992</v>
      </c>
      <c r="B207" s="2" t="s">
        <v>2629</v>
      </c>
      <c r="C207" s="2" t="s">
        <v>2543</v>
      </c>
      <c r="D207" s="2" t="s">
        <v>2516</v>
      </c>
      <c r="E207" s="2" t="s">
        <v>2529</v>
      </c>
      <c r="F207" s="3">
        <v>37983</v>
      </c>
      <c r="G207" s="3">
        <v>383</v>
      </c>
      <c r="H207" s="3">
        <v>22</v>
      </c>
      <c r="I207" s="4">
        <v>536.04</v>
      </c>
      <c r="J207" s="4">
        <v>1977.36</v>
      </c>
      <c r="K207" s="3">
        <v>13</v>
      </c>
      <c r="L207" s="2" t="s">
        <v>2539</v>
      </c>
      <c r="M207" s="2" t="s">
        <v>2526</v>
      </c>
      <c r="N207" s="8">
        <f>IFERROR(G207/F207,0)</f>
        <v>1.0083458389279414E-2</v>
      </c>
      <c r="O207" s="8">
        <f>IFERROR(H207/G207,0)</f>
        <v>5.7441253263707574E-2</v>
      </c>
      <c r="P207" s="4">
        <f>IFERROR(I207/G207,0)</f>
        <v>1.3995822454308093</v>
      </c>
      <c r="Q207" s="4">
        <f>IFERROR(I207/H207,0)</f>
        <v>24.365454545454543</v>
      </c>
      <c r="R207" s="12">
        <f>IFERROR(J207/I207,0)</f>
        <v>3.6888291918513545</v>
      </c>
      <c r="S207" s="7">
        <f>Tabla_nuevas_columnas[[#This Row],[ROAS]]</f>
        <v>3.6888291918513545</v>
      </c>
      <c r="T207" t="str">
        <f>_xlfn.CONCAT(C207,"-",D207)</f>
        <v>Organic Social-México</v>
      </c>
      <c r="U207">
        <f>YEAR(A207)</f>
        <v>2025</v>
      </c>
      <c r="V207">
        <f>MONTH(A207)</f>
        <v>12</v>
      </c>
      <c r="W207" t="str">
        <f>PROPER(TEXT(A207,"mmmm"))</f>
        <v>Diciembre</v>
      </c>
      <c r="X207" t="str">
        <f>PROPER(TEXT(A207,"dddd"))</f>
        <v>Lunes</v>
      </c>
      <c r="Y207" t="str" cm="1">
        <f t="array" ref="Y207">_xlfn.IFS(R207&gt;10,"Excelente",R207&gt;=5,"Bueno",R207&gt;=2,"Débil",R207&lt;2,"Deficiente")</f>
        <v>Débil</v>
      </c>
      <c r="Z207" t="str">
        <f>IF(AND(R207&lt;2,Q207&gt;=100),"Revisar","OK")</f>
        <v>OK</v>
      </c>
      <c r="AA207" s="55">
        <f>_xlfn.XLOOKUP(C207,'Preguntas de negocio'!$C$114:$C$119,'Preguntas de negocio'!$D$114:$D$119,0)</f>
        <v>4</v>
      </c>
      <c r="AB207" s="55">
        <f>VLOOKUP(C207,'Preguntas de negocio'!$C$121:$D$127,2,FALSE)</f>
        <v>0.95</v>
      </c>
    </row>
    <row r="208" spans="1:28" x14ac:dyDescent="0.3">
      <c r="A208" s="1">
        <v>45902</v>
      </c>
      <c r="B208" s="2" t="s">
        <v>2634</v>
      </c>
      <c r="C208" s="2" t="s">
        <v>2521</v>
      </c>
      <c r="D208" s="2" t="s">
        <v>2528</v>
      </c>
      <c r="E208" s="2" t="s">
        <v>2517</v>
      </c>
      <c r="F208" s="3">
        <v>144326</v>
      </c>
      <c r="G208" s="3">
        <v>995</v>
      </c>
      <c r="H208" s="3">
        <v>80</v>
      </c>
      <c r="I208" s="4">
        <v>182.06</v>
      </c>
      <c r="J208" s="4">
        <v>7814.33</v>
      </c>
      <c r="K208" s="3">
        <v>65</v>
      </c>
      <c r="L208" s="2" t="s">
        <v>2523</v>
      </c>
      <c r="M208" s="2" t="s">
        <v>2519</v>
      </c>
      <c r="N208" s="8">
        <f>IFERROR(G208/F208,0)</f>
        <v>6.8941147125258099E-3</v>
      </c>
      <c r="O208" s="8">
        <f>IFERROR(H208/G208,0)</f>
        <v>8.0402010050251257E-2</v>
      </c>
      <c r="P208" s="4">
        <f>IFERROR(I208/G208,0)</f>
        <v>0.1829748743718593</v>
      </c>
      <c r="Q208" s="4">
        <f>IFERROR(I208/H208,0)</f>
        <v>2.2757499999999999</v>
      </c>
      <c r="R208" s="12">
        <f>IFERROR(J208/I208,0)</f>
        <v>42.921729100296602</v>
      </c>
      <c r="S208" s="7">
        <f>Tabla_nuevas_columnas[[#This Row],[ROAS]]</f>
        <v>42.921729100296602</v>
      </c>
      <c r="T208" t="str">
        <f>_xlfn.CONCAT(C208,"-",D208)</f>
        <v>Paid Search-España</v>
      </c>
      <c r="U208">
        <f>YEAR(A208)</f>
        <v>2025</v>
      </c>
      <c r="V208">
        <f>MONTH(A208)</f>
        <v>9</v>
      </c>
      <c r="W208" t="str">
        <f>PROPER(TEXT(A208,"mmmm"))</f>
        <v>Septiembre</v>
      </c>
      <c r="X208" t="str">
        <f>PROPER(TEXT(A208,"dddd"))</f>
        <v>Martes</v>
      </c>
      <c r="Y208" t="str" cm="1">
        <f t="array" ref="Y208">_xlfn.IFS(R208&gt;10,"Excelente",R208&gt;=5,"Bueno",R208&gt;=2,"Débil",R208&lt;2,"Deficiente")</f>
        <v>Excelente</v>
      </c>
      <c r="Z208" t="str">
        <f>IF(AND(R208&lt;2,Q208&gt;=100),"Revisar","OK")</f>
        <v>OK</v>
      </c>
      <c r="AA208" s="55">
        <f>_xlfn.XLOOKUP(C208,'Preguntas de negocio'!$C$114:$C$119,'Preguntas de negocio'!$D$114:$D$119,0)</f>
        <v>5</v>
      </c>
      <c r="AB208" s="55">
        <f>VLOOKUP(C208,'Preguntas de negocio'!$C$121:$D$127,2,FALSE)</f>
        <v>1.1000000000000001</v>
      </c>
    </row>
    <row r="209" spans="1:28" x14ac:dyDescent="0.3">
      <c r="A209" s="1">
        <v>45869</v>
      </c>
      <c r="B209" s="2" t="s">
        <v>2628</v>
      </c>
      <c r="C209" s="2" t="s">
        <v>2521</v>
      </c>
      <c r="D209" s="2" t="s">
        <v>2528</v>
      </c>
      <c r="E209" s="2" t="s">
        <v>2517</v>
      </c>
      <c r="F209" s="3">
        <v>31320</v>
      </c>
      <c r="G209" s="3">
        <v>2400</v>
      </c>
      <c r="H209" s="3">
        <v>307</v>
      </c>
      <c r="I209" s="4">
        <v>1348.17</v>
      </c>
      <c r="J209" s="4">
        <v>41922.46</v>
      </c>
      <c r="K209" s="3">
        <v>239</v>
      </c>
      <c r="L209" s="2" t="s">
        <v>2518</v>
      </c>
      <c r="M209" s="2" t="s">
        <v>2524</v>
      </c>
      <c r="N209" s="8">
        <f>IFERROR(G209/F209,0)</f>
        <v>7.662835249042145E-2</v>
      </c>
      <c r="O209" s="8">
        <f>IFERROR(H209/G209,0)</f>
        <v>0.12791666666666668</v>
      </c>
      <c r="P209" s="4">
        <f>IFERROR(I209/G209,0)</f>
        <v>0.5617375</v>
      </c>
      <c r="Q209" s="4">
        <f>IFERROR(I209/H209,0)</f>
        <v>4.3914332247557004</v>
      </c>
      <c r="R209" s="12">
        <f>IFERROR(J209/I209,0)</f>
        <v>31.095826194025975</v>
      </c>
      <c r="S209" s="7">
        <f>Tabla_nuevas_columnas[[#This Row],[ROAS]]</f>
        <v>31.095826194025975</v>
      </c>
      <c r="T209" t="str">
        <f>_xlfn.CONCAT(C209,"-",D209)</f>
        <v>Paid Search-España</v>
      </c>
      <c r="U209">
        <f>YEAR(A209)</f>
        <v>2025</v>
      </c>
      <c r="V209">
        <f>MONTH(A209)</f>
        <v>7</v>
      </c>
      <c r="W209" t="str">
        <f>PROPER(TEXT(A209,"mmmm"))</f>
        <v>Julio</v>
      </c>
      <c r="X209" t="str">
        <f>PROPER(TEXT(A209,"dddd"))</f>
        <v>Jueves</v>
      </c>
      <c r="Y209" t="str" cm="1">
        <f t="array" ref="Y209">_xlfn.IFS(R209&gt;10,"Excelente",R209&gt;=5,"Bueno",R209&gt;=2,"Débil",R209&lt;2,"Deficiente")</f>
        <v>Excelente</v>
      </c>
      <c r="Z209" t="str">
        <f>IF(AND(R209&lt;2,Q209&gt;=100),"Revisar","OK")</f>
        <v>OK</v>
      </c>
      <c r="AA209" s="55">
        <f>_xlfn.XLOOKUP(C209,'Preguntas de negocio'!$C$114:$C$119,'Preguntas de negocio'!$D$114:$D$119,0)</f>
        <v>5</v>
      </c>
      <c r="AB209" s="55">
        <f>VLOOKUP(C209,'Preguntas de negocio'!$C$121:$D$127,2,FALSE)</f>
        <v>1.1000000000000001</v>
      </c>
    </row>
    <row r="210" spans="1:28" x14ac:dyDescent="0.3">
      <c r="A210" s="1">
        <v>45888</v>
      </c>
      <c r="B210" s="2" t="s">
        <v>2631</v>
      </c>
      <c r="C210" s="2" t="s">
        <v>2527</v>
      </c>
      <c r="D210" s="2" t="s">
        <v>2516</v>
      </c>
      <c r="E210" s="2" t="s">
        <v>2529</v>
      </c>
      <c r="F210" s="3">
        <v>12248</v>
      </c>
      <c r="G210" s="3">
        <v>627</v>
      </c>
      <c r="H210" s="3">
        <v>5</v>
      </c>
      <c r="I210" s="4">
        <v>989.53</v>
      </c>
      <c r="J210" s="4">
        <v>737.79</v>
      </c>
      <c r="K210" s="3">
        <v>3</v>
      </c>
      <c r="L210" s="2" t="s">
        <v>2536</v>
      </c>
      <c r="M210" s="2" t="s">
        <v>2519</v>
      </c>
      <c r="N210" s="8">
        <f>IFERROR(G210/F210,0)</f>
        <v>5.1192031352057479E-2</v>
      </c>
      <c r="O210" s="8">
        <f>IFERROR(H210/G210,0)</f>
        <v>7.9744816586921844E-3</v>
      </c>
      <c r="P210" s="4">
        <f>IFERROR(I210/G210,0)</f>
        <v>1.5781977671451355</v>
      </c>
      <c r="Q210" s="4">
        <f>IFERROR(I210/H210,0)</f>
        <v>197.90600000000001</v>
      </c>
      <c r="R210" s="12">
        <f>IFERROR(J210/I210,0)</f>
        <v>0.74559639424777413</v>
      </c>
      <c r="S210" s="7">
        <f>Tabla_nuevas_columnas[[#This Row],[ROAS]]</f>
        <v>0.74559639424777413</v>
      </c>
      <c r="T210" t="str">
        <f>_xlfn.CONCAT(C210,"-",D210)</f>
        <v>Affiliate-México</v>
      </c>
      <c r="U210">
        <f>YEAR(A210)</f>
        <v>2025</v>
      </c>
      <c r="V210">
        <f>MONTH(A210)</f>
        <v>8</v>
      </c>
      <c r="W210" t="str">
        <f>PROPER(TEXT(A210,"mmmm"))</f>
        <v>Agosto</v>
      </c>
      <c r="X210" t="str">
        <f>PROPER(TEXT(A210,"dddd"))</f>
        <v>Martes</v>
      </c>
      <c r="Y210" t="str" cm="1">
        <f t="array" ref="Y210">_xlfn.IFS(R210&gt;10,"Excelente",R210&gt;=5,"Bueno",R210&gt;=2,"Débil",R210&lt;2,"Deficiente")</f>
        <v>Deficiente</v>
      </c>
      <c r="Z210" t="str">
        <f>IF(AND(R210&lt;2,Q210&gt;=100),"Revisar","OK")</f>
        <v>Revisar</v>
      </c>
      <c r="AA210" s="55">
        <f>_xlfn.XLOOKUP(C210,'Preguntas de negocio'!$C$114:$C$119,'Preguntas de negocio'!$D$114:$D$119,0)</f>
        <v>4.5</v>
      </c>
      <c r="AB210" s="55">
        <f>VLOOKUP(C210,'Preguntas de negocio'!$C$121:$D$127,2,FALSE)</f>
        <v>0.35</v>
      </c>
    </row>
    <row r="211" spans="1:28" x14ac:dyDescent="0.3">
      <c r="A211" s="1">
        <v>45749</v>
      </c>
      <c r="B211" s="2" t="s">
        <v>2635</v>
      </c>
      <c r="C211" s="2" t="s">
        <v>2543</v>
      </c>
      <c r="D211" s="2" t="s">
        <v>2525</v>
      </c>
      <c r="E211" s="2" t="s">
        <v>2517</v>
      </c>
      <c r="F211" s="3">
        <v>80445</v>
      </c>
      <c r="G211" s="3">
        <v>2334</v>
      </c>
      <c r="H211" s="3">
        <v>60</v>
      </c>
      <c r="I211" s="4">
        <v>679.7</v>
      </c>
      <c r="J211" s="4">
        <v>7450.56</v>
      </c>
      <c r="K211" s="3">
        <v>27</v>
      </c>
      <c r="L211" s="2" t="s">
        <v>2536</v>
      </c>
      <c r="M211" s="2" t="s">
        <v>2526</v>
      </c>
      <c r="N211" s="8">
        <f>IFERROR(G211/F211,0)</f>
        <v>2.9013611784449004E-2</v>
      </c>
      <c r="O211" s="8">
        <f>IFERROR(H211/G211,0)</f>
        <v>2.570694087403599E-2</v>
      </c>
      <c r="P211" s="4">
        <f>IFERROR(I211/G211,0)</f>
        <v>0.29121679520137106</v>
      </c>
      <c r="Q211" s="4">
        <f>IFERROR(I211/H211,0)</f>
        <v>11.328333333333335</v>
      </c>
      <c r="R211" s="12">
        <f>IFERROR(J211/I211,0)</f>
        <v>10.961541856701485</v>
      </c>
      <c r="S211" s="7">
        <f>Tabla_nuevas_columnas[[#This Row],[ROAS]]</f>
        <v>10.961541856701485</v>
      </c>
      <c r="T211" t="str">
        <f>_xlfn.CONCAT(C211,"-",D211)</f>
        <v>Organic Social-Francia</v>
      </c>
      <c r="U211">
        <f>YEAR(A211)</f>
        <v>2025</v>
      </c>
      <c r="V211">
        <f>MONTH(A211)</f>
        <v>4</v>
      </c>
      <c r="W211" t="str">
        <f>PROPER(TEXT(A211,"mmmm"))</f>
        <v>Abril</v>
      </c>
      <c r="X211" t="str">
        <f>PROPER(TEXT(A211,"dddd"))</f>
        <v>Miércoles</v>
      </c>
      <c r="Y211" t="str" cm="1">
        <f t="array" ref="Y211">_xlfn.IFS(R211&gt;10,"Excelente",R211&gt;=5,"Bueno",R211&gt;=2,"Débil",R211&lt;2,"Deficiente")</f>
        <v>Excelente</v>
      </c>
      <c r="Z211" t="str">
        <f>IF(AND(R211&lt;2,Q211&gt;=100),"Revisar","OK")</f>
        <v>OK</v>
      </c>
      <c r="AA211" s="55">
        <f>_xlfn.XLOOKUP(C211,'Preguntas de negocio'!$C$114:$C$119,'Preguntas de negocio'!$D$114:$D$119,0)</f>
        <v>4</v>
      </c>
      <c r="AB211" s="55">
        <f>VLOOKUP(C211,'Preguntas de negocio'!$C$121:$D$127,2,FALSE)</f>
        <v>0.95</v>
      </c>
    </row>
    <row r="212" spans="1:28" x14ac:dyDescent="0.3">
      <c r="A212" s="1">
        <v>45833</v>
      </c>
      <c r="B212" s="2" t="s">
        <v>2634</v>
      </c>
      <c r="C212" s="2" t="s">
        <v>2521</v>
      </c>
      <c r="D212" s="2" t="s">
        <v>2528</v>
      </c>
      <c r="E212" s="2" t="s">
        <v>2529</v>
      </c>
      <c r="F212" s="3">
        <v>135678</v>
      </c>
      <c r="G212" s="3">
        <v>5225</v>
      </c>
      <c r="H212" s="3">
        <v>280</v>
      </c>
      <c r="I212" s="4">
        <v>2721.65</v>
      </c>
      <c r="J212" s="4">
        <v>56654.18</v>
      </c>
      <c r="K212" s="3">
        <v>133</v>
      </c>
      <c r="L212" s="2" t="s">
        <v>2523</v>
      </c>
      <c r="M212" s="2" t="s">
        <v>2524</v>
      </c>
      <c r="N212" s="8">
        <f>IFERROR(G212/F212,0)</f>
        <v>3.8510296437152668E-2</v>
      </c>
      <c r="O212" s="8">
        <f>IFERROR(H212/G212,0)</f>
        <v>5.3588516746411484E-2</v>
      </c>
      <c r="P212" s="4">
        <f>IFERROR(I212/G212,0)</f>
        <v>0.52088995215311007</v>
      </c>
      <c r="Q212" s="4">
        <f>IFERROR(I212/H212,0)</f>
        <v>9.7201785714285709</v>
      </c>
      <c r="R212" s="12">
        <f>IFERROR(J212/I212,0)</f>
        <v>20.816115224220599</v>
      </c>
      <c r="S212" s="7">
        <f>Tabla_nuevas_columnas[[#This Row],[ROAS]]</f>
        <v>20.816115224220599</v>
      </c>
      <c r="T212" t="str">
        <f>_xlfn.CONCAT(C212,"-",D212)</f>
        <v>Paid Search-España</v>
      </c>
      <c r="U212">
        <f>YEAR(A212)</f>
        <v>2025</v>
      </c>
      <c r="V212">
        <f>MONTH(A212)</f>
        <v>6</v>
      </c>
      <c r="W212" t="str">
        <f>PROPER(TEXT(A212,"mmmm"))</f>
        <v>Junio</v>
      </c>
      <c r="X212" t="str">
        <f>PROPER(TEXT(A212,"dddd"))</f>
        <v>Miércoles</v>
      </c>
      <c r="Y212" t="str" cm="1">
        <f t="array" ref="Y212">_xlfn.IFS(R212&gt;10,"Excelente",R212&gt;=5,"Bueno",R212&gt;=2,"Débil",R212&lt;2,"Deficiente")</f>
        <v>Excelente</v>
      </c>
      <c r="Z212" t="str">
        <f>IF(AND(R212&lt;2,Q212&gt;=100),"Revisar","OK")</f>
        <v>OK</v>
      </c>
      <c r="AA212" s="55">
        <f>_xlfn.XLOOKUP(C212,'Preguntas de negocio'!$C$114:$C$119,'Preguntas de negocio'!$D$114:$D$119,0)</f>
        <v>5</v>
      </c>
      <c r="AB212" s="55">
        <f>VLOOKUP(C212,'Preguntas de negocio'!$C$121:$D$127,2,FALSE)</f>
        <v>1.1000000000000001</v>
      </c>
    </row>
    <row r="213" spans="1:28" x14ac:dyDescent="0.3">
      <c r="A213" s="1">
        <v>45769</v>
      </c>
      <c r="B213" s="2" t="s">
        <v>2621</v>
      </c>
      <c r="C213" s="2" t="s">
        <v>2533</v>
      </c>
      <c r="D213" s="2" t="s">
        <v>2516</v>
      </c>
      <c r="E213" s="2" t="s">
        <v>2529</v>
      </c>
      <c r="F213" s="3">
        <v>90317</v>
      </c>
      <c r="G213" s="3">
        <v>1013</v>
      </c>
      <c r="H213" s="3">
        <v>121</v>
      </c>
      <c r="I213" s="4">
        <v>1931.04</v>
      </c>
      <c r="J213" s="4">
        <v>17672.45</v>
      </c>
      <c r="K213" s="3">
        <v>102</v>
      </c>
      <c r="L213" s="2" t="s">
        <v>2518</v>
      </c>
      <c r="M213" s="2" t="s">
        <v>2526</v>
      </c>
      <c r="N213" s="8">
        <f>IFERROR(G213/F213,0)</f>
        <v>1.121605013452617E-2</v>
      </c>
      <c r="O213" s="8">
        <f>IFERROR(H213/G213,0)</f>
        <v>0.1194471865745311</v>
      </c>
      <c r="P213" s="4">
        <f>IFERROR(I213/G213,0)</f>
        <v>1.906258637709773</v>
      </c>
      <c r="Q213" s="4">
        <f>IFERROR(I213/H213,0)</f>
        <v>15.95900826446281</v>
      </c>
      <c r="R213" s="12">
        <f>IFERROR(J213/I213,0)</f>
        <v>9.1517783163476683</v>
      </c>
      <c r="S213" s="7">
        <f>Tabla_nuevas_columnas[[#This Row],[ROAS]]</f>
        <v>9.1517783163476683</v>
      </c>
      <c r="T213" t="str">
        <f>_xlfn.CONCAT(C213,"-",D213)</f>
        <v>Paid Social-México</v>
      </c>
      <c r="U213">
        <f>YEAR(A213)</f>
        <v>2025</v>
      </c>
      <c r="V213">
        <f>MONTH(A213)</f>
        <v>4</v>
      </c>
      <c r="W213" t="str">
        <f>PROPER(TEXT(A213,"mmmm"))</f>
        <v>Abril</v>
      </c>
      <c r="X213" t="str">
        <f>PROPER(TEXT(A213,"dddd"))</f>
        <v>Martes</v>
      </c>
      <c r="Y213" t="str" cm="1">
        <f t="array" ref="Y213">_xlfn.IFS(R213&gt;10,"Excelente",R213&gt;=5,"Bueno",R213&gt;=2,"Débil",R213&lt;2,"Deficiente")</f>
        <v>Bueno</v>
      </c>
      <c r="Z213" t="str">
        <f>IF(AND(R213&lt;2,Q213&gt;=100),"Revisar","OK")</f>
        <v>OK</v>
      </c>
      <c r="AA213" s="55">
        <f>_xlfn.XLOOKUP(C213,'Preguntas de negocio'!$C$114:$C$119,'Preguntas de negocio'!$D$114:$D$119,0)</f>
        <v>6</v>
      </c>
      <c r="AB213" s="55">
        <f>VLOOKUP(C213,'Preguntas de negocio'!$C$121:$D$127,2,FALSE)</f>
        <v>0.8</v>
      </c>
    </row>
    <row r="214" spans="1:28" x14ac:dyDescent="0.3">
      <c r="A214" s="1">
        <v>45714</v>
      </c>
      <c r="B214" s="2" t="s">
        <v>2629</v>
      </c>
      <c r="C214" s="2" t="s">
        <v>2543</v>
      </c>
      <c r="D214" s="2" t="s">
        <v>2528</v>
      </c>
      <c r="E214" s="2" t="s">
        <v>2529</v>
      </c>
      <c r="F214" s="3">
        <v>178817</v>
      </c>
      <c r="G214" s="3">
        <v>1545</v>
      </c>
      <c r="H214" s="3">
        <v>206</v>
      </c>
      <c r="I214" s="4">
        <v>167.94</v>
      </c>
      <c r="J214" s="4">
        <v>22360.62</v>
      </c>
      <c r="K214" s="3">
        <v>157</v>
      </c>
      <c r="L214" s="2" t="s">
        <v>2536</v>
      </c>
      <c r="M214" s="2" t="s">
        <v>2519</v>
      </c>
      <c r="N214" s="8">
        <f>IFERROR(G214/F214,0)</f>
        <v>8.6401181095757118E-3</v>
      </c>
      <c r="O214" s="8">
        <f>IFERROR(H214/G214,0)</f>
        <v>0.13333333333333333</v>
      </c>
      <c r="P214" s="4">
        <f>IFERROR(I214/G214,0)</f>
        <v>0.1086990291262136</v>
      </c>
      <c r="Q214" s="4">
        <f>IFERROR(I214/H214,0)</f>
        <v>0.8152427184466019</v>
      </c>
      <c r="R214" s="12">
        <f>IFERROR(J214/I214,0)</f>
        <v>133.14648088603073</v>
      </c>
      <c r="S214" s="7">
        <f>Tabla_nuevas_columnas[[#This Row],[ROAS]]</f>
        <v>133.14648088603073</v>
      </c>
      <c r="T214" t="str">
        <f>_xlfn.CONCAT(C214,"-",D214)</f>
        <v>Organic Social-España</v>
      </c>
      <c r="U214">
        <f>YEAR(A214)</f>
        <v>2025</v>
      </c>
      <c r="V214">
        <f>MONTH(A214)</f>
        <v>2</v>
      </c>
      <c r="W214" t="str">
        <f>PROPER(TEXT(A214,"mmmm"))</f>
        <v>Febrero</v>
      </c>
      <c r="X214" t="str">
        <f>PROPER(TEXT(A214,"dddd"))</f>
        <v>Miércoles</v>
      </c>
      <c r="Y214" t="str" cm="1">
        <f t="array" ref="Y214">_xlfn.IFS(R214&gt;10,"Excelente",R214&gt;=5,"Bueno",R214&gt;=2,"Débil",R214&lt;2,"Deficiente")</f>
        <v>Excelente</v>
      </c>
      <c r="Z214" t="str">
        <f>IF(AND(R214&lt;2,Q214&gt;=100),"Revisar","OK")</f>
        <v>OK</v>
      </c>
      <c r="AA214" s="55">
        <f>_xlfn.XLOOKUP(C214,'Preguntas de negocio'!$C$114:$C$119,'Preguntas de negocio'!$D$114:$D$119,0)</f>
        <v>4</v>
      </c>
      <c r="AB214" s="55">
        <f>VLOOKUP(C214,'Preguntas de negocio'!$C$121:$D$127,2,FALSE)</f>
        <v>0.95</v>
      </c>
    </row>
    <row r="215" spans="1:28" x14ac:dyDescent="0.3">
      <c r="A215" s="1">
        <v>45776</v>
      </c>
      <c r="B215" s="2" t="s">
        <v>2620</v>
      </c>
      <c r="C215" s="2" t="s">
        <v>2541</v>
      </c>
      <c r="D215" s="2" t="s">
        <v>2525</v>
      </c>
      <c r="E215" s="2" t="s">
        <v>2534</v>
      </c>
      <c r="F215" s="3">
        <v>164988</v>
      </c>
      <c r="G215" s="3">
        <v>6517</v>
      </c>
      <c r="H215" s="3">
        <v>757</v>
      </c>
      <c r="I215" s="4">
        <v>4155.5600000000004</v>
      </c>
      <c r="J215" s="4">
        <v>158050.64000000001</v>
      </c>
      <c r="K215" s="3">
        <v>540</v>
      </c>
      <c r="L215" s="2" t="s">
        <v>2536</v>
      </c>
      <c r="M215" s="2" t="s">
        <v>2537</v>
      </c>
      <c r="N215" s="8">
        <f>IFERROR(G215/F215,0)</f>
        <v>3.9499842412781538E-2</v>
      </c>
      <c r="O215" s="8">
        <f>IFERROR(H215/G215,0)</f>
        <v>0.11615774129200553</v>
      </c>
      <c r="P215" s="4">
        <f>IFERROR(I215/G215,0)</f>
        <v>0.63764922510357536</v>
      </c>
      <c r="Q215" s="4">
        <f>IFERROR(I215/H215,0)</f>
        <v>5.4895112285336864</v>
      </c>
      <c r="R215" s="12">
        <f>IFERROR(J215/I215,0)</f>
        <v>38.033535793009847</v>
      </c>
      <c r="S215" s="7">
        <f>Tabla_nuevas_columnas[[#This Row],[ROAS]]</f>
        <v>38.033535793009847</v>
      </c>
      <c r="T215" t="str">
        <f>_xlfn.CONCAT(C215,"-",D215)</f>
        <v>Display-Francia</v>
      </c>
      <c r="U215">
        <f>YEAR(A215)</f>
        <v>2025</v>
      </c>
      <c r="V215">
        <f>MONTH(A215)</f>
        <v>4</v>
      </c>
      <c r="W215" t="str">
        <f>PROPER(TEXT(A215,"mmmm"))</f>
        <v>Abril</v>
      </c>
      <c r="X215" t="str">
        <f>PROPER(TEXT(A215,"dddd"))</f>
        <v>Martes</v>
      </c>
      <c r="Y215" t="str" cm="1">
        <f t="array" ref="Y215">_xlfn.IFS(R215&gt;10,"Excelente",R215&gt;=5,"Bueno",R215&gt;=2,"Débil",R215&lt;2,"Deficiente")</f>
        <v>Excelente</v>
      </c>
      <c r="Z215" t="str">
        <f>IF(AND(R215&lt;2,Q215&gt;=100),"Revisar","OK")</f>
        <v>OK</v>
      </c>
      <c r="AA215" s="55">
        <f>_xlfn.XLOOKUP(C215,'Preguntas de negocio'!$C$114:$C$119,'Preguntas de negocio'!$D$114:$D$119,0)</f>
        <v>5</v>
      </c>
      <c r="AB215" s="55">
        <f>VLOOKUP(C215,'Preguntas de negocio'!$C$121:$D$127,2,FALSE)</f>
        <v>0.5</v>
      </c>
    </row>
    <row r="216" spans="1:28" x14ac:dyDescent="0.3">
      <c r="A216" s="1">
        <v>45973</v>
      </c>
      <c r="B216" s="2" t="s">
        <v>2623</v>
      </c>
      <c r="C216" s="2" t="s">
        <v>2543</v>
      </c>
      <c r="D216" s="2" t="s">
        <v>2531</v>
      </c>
      <c r="E216" s="2" t="s">
        <v>2517</v>
      </c>
      <c r="F216" s="3">
        <v>149825</v>
      </c>
      <c r="G216" s="3">
        <v>10305</v>
      </c>
      <c r="H216" s="3">
        <v>129</v>
      </c>
      <c r="I216" s="4">
        <v>8002.67</v>
      </c>
      <c r="J216" s="4">
        <v>26250.15</v>
      </c>
      <c r="K216" s="3">
        <v>81</v>
      </c>
      <c r="L216" s="2" t="s">
        <v>2523</v>
      </c>
      <c r="M216" s="2" t="s">
        <v>2519</v>
      </c>
      <c r="N216" s="8">
        <f>IFERROR(G216/F216,0)</f>
        <v>6.8780243617553818E-2</v>
      </c>
      <c r="O216" s="8">
        <f>IFERROR(H216/G216,0)</f>
        <v>1.2518195050946142E-2</v>
      </c>
      <c r="P216" s="4">
        <f>IFERROR(I216/G216,0)</f>
        <v>0.77658127122755949</v>
      </c>
      <c r="Q216" s="4">
        <f>IFERROR(I216/H216,0)</f>
        <v>62.036201550387595</v>
      </c>
      <c r="R216" s="12">
        <f>IFERROR(J216/I216,0)</f>
        <v>3.2801739919301935</v>
      </c>
      <c r="S216" s="7">
        <f>Tabla_nuevas_columnas[[#This Row],[ROAS]]</f>
        <v>3.2801739919301935</v>
      </c>
      <c r="T216" t="str">
        <f>_xlfn.CONCAT(C216,"-",D216)</f>
        <v>Organic Social-Portugal</v>
      </c>
      <c r="U216">
        <f>YEAR(A216)</f>
        <v>2025</v>
      </c>
      <c r="V216">
        <f>MONTH(A216)</f>
        <v>11</v>
      </c>
      <c r="W216" t="str">
        <f>PROPER(TEXT(A216,"mmmm"))</f>
        <v>Noviembre</v>
      </c>
      <c r="X216" t="str">
        <f>PROPER(TEXT(A216,"dddd"))</f>
        <v>Miércoles</v>
      </c>
      <c r="Y216" t="str" cm="1">
        <f t="array" ref="Y216">_xlfn.IFS(R216&gt;10,"Excelente",R216&gt;=5,"Bueno",R216&gt;=2,"Débil",R216&lt;2,"Deficiente")</f>
        <v>Débil</v>
      </c>
      <c r="Z216" t="str">
        <f>IF(AND(R216&lt;2,Q216&gt;=100),"Revisar","OK")</f>
        <v>OK</v>
      </c>
      <c r="AA216" s="55">
        <f>_xlfn.XLOOKUP(C216,'Preguntas de negocio'!$C$114:$C$119,'Preguntas de negocio'!$D$114:$D$119,0)</f>
        <v>4</v>
      </c>
      <c r="AB216" s="55">
        <f>VLOOKUP(C216,'Preguntas de negocio'!$C$121:$D$127,2,FALSE)</f>
        <v>0.95</v>
      </c>
    </row>
    <row r="217" spans="1:28" x14ac:dyDescent="0.3">
      <c r="A217" s="1">
        <v>45675</v>
      </c>
      <c r="B217" s="2" t="s">
        <v>2629</v>
      </c>
      <c r="C217" s="2" t="s">
        <v>2541</v>
      </c>
      <c r="D217" s="2" t="s">
        <v>2525</v>
      </c>
      <c r="E217" s="2" t="s">
        <v>2529</v>
      </c>
      <c r="F217" s="3">
        <v>173964</v>
      </c>
      <c r="G217" s="3">
        <v>1011</v>
      </c>
      <c r="H217" s="3">
        <v>27</v>
      </c>
      <c r="I217" s="4">
        <v>488.79</v>
      </c>
      <c r="J217" s="4">
        <v>1056.6300000000001</v>
      </c>
      <c r="K217" s="3">
        <v>18</v>
      </c>
      <c r="L217" s="2" t="s">
        <v>2518</v>
      </c>
      <c r="M217" s="2" t="s">
        <v>2526</v>
      </c>
      <c r="N217" s="8">
        <f>IFERROR(G217/F217,0)</f>
        <v>5.8115472166655174E-3</v>
      </c>
      <c r="O217" s="8">
        <f>IFERROR(H217/G217,0)</f>
        <v>2.6706231454005934E-2</v>
      </c>
      <c r="P217" s="4">
        <f>IFERROR(I217/G217,0)</f>
        <v>0.48347181008902079</v>
      </c>
      <c r="Q217" s="4">
        <f>IFERROR(I217/H217,0)</f>
        <v>18.103333333333335</v>
      </c>
      <c r="R217" s="12">
        <f>IFERROR(J217/I217,0)</f>
        <v>2.1617258945559445</v>
      </c>
      <c r="S217" s="7">
        <f>Tabla_nuevas_columnas[[#This Row],[ROAS]]</f>
        <v>2.1617258945559445</v>
      </c>
      <c r="T217" t="str">
        <f>_xlfn.CONCAT(C217,"-",D217)</f>
        <v>Display-Francia</v>
      </c>
      <c r="U217">
        <f>YEAR(A217)</f>
        <v>2025</v>
      </c>
      <c r="V217">
        <f>MONTH(A217)</f>
        <v>1</v>
      </c>
      <c r="W217" t="str">
        <f>PROPER(TEXT(A217,"mmmm"))</f>
        <v>Enero</v>
      </c>
      <c r="X217" t="str">
        <f>PROPER(TEXT(A217,"dddd"))</f>
        <v>Sábado</v>
      </c>
      <c r="Y217" t="str" cm="1">
        <f t="array" ref="Y217">_xlfn.IFS(R217&gt;10,"Excelente",R217&gt;=5,"Bueno",R217&gt;=2,"Débil",R217&lt;2,"Deficiente")</f>
        <v>Débil</v>
      </c>
      <c r="Z217" t="str">
        <f>IF(AND(R217&lt;2,Q217&gt;=100),"Revisar","OK")</f>
        <v>OK</v>
      </c>
      <c r="AA217" s="55">
        <f>_xlfn.XLOOKUP(C217,'Preguntas de negocio'!$C$114:$C$119,'Preguntas de negocio'!$D$114:$D$119,0)</f>
        <v>5</v>
      </c>
      <c r="AB217" s="55">
        <f>VLOOKUP(C217,'Preguntas de negocio'!$C$121:$D$127,2,FALSE)</f>
        <v>0.5</v>
      </c>
    </row>
    <row r="218" spans="1:28" x14ac:dyDescent="0.3">
      <c r="A218" s="1">
        <v>45837</v>
      </c>
      <c r="B218" s="2" t="s">
        <v>2643</v>
      </c>
      <c r="C218" s="2" t="s">
        <v>2521</v>
      </c>
      <c r="D218" s="2" t="s">
        <v>2516</v>
      </c>
      <c r="E218" s="2" t="s">
        <v>2517</v>
      </c>
      <c r="F218" s="3">
        <v>65653</v>
      </c>
      <c r="G218" s="3">
        <v>1899</v>
      </c>
      <c r="H218" s="3">
        <v>84</v>
      </c>
      <c r="I218" s="4">
        <v>3409.3</v>
      </c>
      <c r="J218" s="4">
        <v>9517.7199999999993</v>
      </c>
      <c r="K218" s="3">
        <v>62</v>
      </c>
      <c r="L218" s="2" t="s">
        <v>2518</v>
      </c>
      <c r="M218" s="2" t="s">
        <v>2519</v>
      </c>
      <c r="N218" s="8">
        <f>IFERROR(G218/F218,0)</f>
        <v>2.8924801608456584E-2</v>
      </c>
      <c r="O218" s="8">
        <f>IFERROR(H218/G218,0)</f>
        <v>4.4233807266982623E-2</v>
      </c>
      <c r="P218" s="4">
        <f>IFERROR(I218/G218,0)</f>
        <v>1.7953133228014746</v>
      </c>
      <c r="Q218" s="4">
        <f>IFERROR(I218/H218,0)</f>
        <v>40.586904761904762</v>
      </c>
      <c r="R218" s="12">
        <f>IFERROR(J218/I218,0)</f>
        <v>2.7916933094770182</v>
      </c>
      <c r="S218" s="7">
        <f>Tabla_nuevas_columnas[[#This Row],[ROAS]]</f>
        <v>2.7916933094770182</v>
      </c>
      <c r="T218" t="str">
        <f>_xlfn.CONCAT(C218,"-",D218)</f>
        <v>Paid Search-México</v>
      </c>
      <c r="U218">
        <f>YEAR(A218)</f>
        <v>2025</v>
      </c>
      <c r="V218">
        <f>MONTH(A218)</f>
        <v>6</v>
      </c>
      <c r="W218" t="str">
        <f>PROPER(TEXT(A218,"mmmm"))</f>
        <v>Junio</v>
      </c>
      <c r="X218" t="str">
        <f>PROPER(TEXT(A218,"dddd"))</f>
        <v>Domingo</v>
      </c>
      <c r="Y218" t="str" cm="1">
        <f t="array" ref="Y218">_xlfn.IFS(R218&gt;10,"Excelente",R218&gt;=5,"Bueno",R218&gt;=2,"Débil",R218&lt;2,"Deficiente")</f>
        <v>Débil</v>
      </c>
      <c r="Z218" t="str">
        <f>IF(AND(R218&lt;2,Q218&gt;=100),"Revisar","OK")</f>
        <v>OK</v>
      </c>
      <c r="AA218" s="55">
        <f>_xlfn.XLOOKUP(C218,'Preguntas de negocio'!$C$114:$C$119,'Preguntas de negocio'!$D$114:$D$119,0)</f>
        <v>5</v>
      </c>
      <c r="AB218" s="55">
        <f>VLOOKUP(C218,'Preguntas de negocio'!$C$121:$D$127,2,FALSE)</f>
        <v>1.1000000000000001</v>
      </c>
    </row>
    <row r="219" spans="1:28" x14ac:dyDescent="0.3">
      <c r="A219" s="1">
        <v>45696</v>
      </c>
      <c r="B219" s="2" t="s">
        <v>2637</v>
      </c>
      <c r="C219" s="2" t="s">
        <v>2515</v>
      </c>
      <c r="D219" s="2" t="s">
        <v>2528</v>
      </c>
      <c r="E219" s="2" t="s">
        <v>2529</v>
      </c>
      <c r="F219" s="3">
        <v>142845</v>
      </c>
      <c r="G219" s="3">
        <v>973</v>
      </c>
      <c r="H219" s="3">
        <v>105</v>
      </c>
      <c r="I219" s="4">
        <v>294.36</v>
      </c>
      <c r="J219" s="4">
        <v>12444.54</v>
      </c>
      <c r="K219" s="3">
        <v>72</v>
      </c>
      <c r="L219" s="2" t="s">
        <v>2536</v>
      </c>
      <c r="M219" s="2" t="s">
        <v>2524</v>
      </c>
      <c r="N219" s="8">
        <f>IFERROR(G219/F219,0)</f>
        <v>6.811578984213658E-3</v>
      </c>
      <c r="O219" s="8">
        <f>IFERROR(H219/G219,0)</f>
        <v>0.1079136690647482</v>
      </c>
      <c r="P219" s="4">
        <f>IFERROR(I219/G219,0)</f>
        <v>0.30252826310380271</v>
      </c>
      <c r="Q219" s="4">
        <f>IFERROR(I219/H219,0)</f>
        <v>2.8034285714285714</v>
      </c>
      <c r="R219" s="12">
        <f>IFERROR(J219/I219,0)</f>
        <v>42.27660008153282</v>
      </c>
      <c r="S219" s="7">
        <f>Tabla_nuevas_columnas[[#This Row],[ROAS]]</f>
        <v>42.27660008153282</v>
      </c>
      <c r="T219" t="str">
        <f>_xlfn.CONCAT(C219,"-",D219)</f>
        <v>Email-España</v>
      </c>
      <c r="U219">
        <f>YEAR(A219)</f>
        <v>2025</v>
      </c>
      <c r="V219">
        <f>MONTH(A219)</f>
        <v>2</v>
      </c>
      <c r="W219" t="str">
        <f>PROPER(TEXT(A219,"mmmm"))</f>
        <v>Febrero</v>
      </c>
      <c r="X219" t="str">
        <f>PROPER(TEXT(A219,"dddd"))</f>
        <v>Sábado</v>
      </c>
      <c r="Y219" t="str" cm="1">
        <f t="array" ref="Y219">_xlfn.IFS(R219&gt;10,"Excelente",R219&gt;=5,"Bueno",R219&gt;=2,"Débil",R219&lt;2,"Deficiente")</f>
        <v>Excelente</v>
      </c>
      <c r="Z219" t="str">
        <f>IF(AND(R219&lt;2,Q219&gt;=100),"Revisar","OK")</f>
        <v>OK</v>
      </c>
      <c r="AA219" s="55">
        <f>_xlfn.XLOOKUP(C219,'Preguntas de negocio'!$C$114:$C$119,'Preguntas de negocio'!$D$114:$D$119,0)</f>
        <v>5.5</v>
      </c>
      <c r="AB219" s="55">
        <f>VLOOKUP(C219,'Preguntas de negocio'!$C$121:$D$127,2,FALSE)</f>
        <v>0.65</v>
      </c>
    </row>
    <row r="220" spans="1:28" x14ac:dyDescent="0.3">
      <c r="A220" s="1">
        <v>45908</v>
      </c>
      <c r="B220" s="2" t="s">
        <v>2620</v>
      </c>
      <c r="C220" s="2" t="s">
        <v>2527</v>
      </c>
      <c r="D220" s="2" t="s">
        <v>2528</v>
      </c>
      <c r="E220" s="2" t="s">
        <v>2529</v>
      </c>
      <c r="F220" s="3">
        <v>56509</v>
      </c>
      <c r="G220" s="3">
        <v>2680</v>
      </c>
      <c r="H220" s="3">
        <v>36</v>
      </c>
      <c r="I220" s="4">
        <v>365.91</v>
      </c>
      <c r="J220" s="4">
        <v>6581.37</v>
      </c>
      <c r="K220" s="3">
        <v>18</v>
      </c>
      <c r="L220" s="2" t="s">
        <v>2518</v>
      </c>
      <c r="M220" s="2" t="s">
        <v>2524</v>
      </c>
      <c r="N220" s="8">
        <f>IFERROR(G220/F220,0)</f>
        <v>4.7426073722769822E-2</v>
      </c>
      <c r="O220" s="8">
        <f>IFERROR(H220/G220,0)</f>
        <v>1.3432835820895522E-2</v>
      </c>
      <c r="P220" s="4">
        <f>IFERROR(I220/G220,0)</f>
        <v>0.13653358208955224</v>
      </c>
      <c r="Q220" s="4">
        <f>IFERROR(I220/H220,0)</f>
        <v>10.164166666666667</v>
      </c>
      <c r="R220" s="12">
        <f>IFERROR(J220/I220,0)</f>
        <v>17.986308108551281</v>
      </c>
      <c r="S220" s="7">
        <f>Tabla_nuevas_columnas[[#This Row],[ROAS]]</f>
        <v>17.986308108551281</v>
      </c>
      <c r="T220" t="str">
        <f>_xlfn.CONCAT(C220,"-",D220)</f>
        <v>Affiliate-España</v>
      </c>
      <c r="U220">
        <f>YEAR(A220)</f>
        <v>2025</v>
      </c>
      <c r="V220">
        <f>MONTH(A220)</f>
        <v>9</v>
      </c>
      <c r="W220" t="str">
        <f>PROPER(TEXT(A220,"mmmm"))</f>
        <v>Septiembre</v>
      </c>
      <c r="X220" t="str">
        <f>PROPER(TEXT(A220,"dddd"))</f>
        <v>Lunes</v>
      </c>
      <c r="Y220" t="str" cm="1">
        <f t="array" ref="Y220">_xlfn.IFS(R220&gt;10,"Excelente",R220&gt;=5,"Bueno",R220&gt;=2,"Débil",R220&lt;2,"Deficiente")</f>
        <v>Excelente</v>
      </c>
      <c r="Z220" t="str">
        <f>IF(AND(R220&lt;2,Q220&gt;=100),"Revisar","OK")</f>
        <v>OK</v>
      </c>
      <c r="AA220" s="55">
        <f>_xlfn.XLOOKUP(C220,'Preguntas de negocio'!$C$114:$C$119,'Preguntas de negocio'!$D$114:$D$119,0)</f>
        <v>4.5</v>
      </c>
      <c r="AB220" s="55">
        <f>VLOOKUP(C220,'Preguntas de negocio'!$C$121:$D$127,2,FALSE)</f>
        <v>0.35</v>
      </c>
    </row>
    <row r="221" spans="1:28" x14ac:dyDescent="0.3">
      <c r="A221" s="1">
        <v>45767</v>
      </c>
      <c r="B221" s="2" t="s">
        <v>2640</v>
      </c>
      <c r="C221" s="2" t="s">
        <v>2527</v>
      </c>
      <c r="D221" s="2" t="s">
        <v>2522</v>
      </c>
      <c r="E221" s="2" t="s">
        <v>2529</v>
      </c>
      <c r="F221" s="3">
        <v>123953</v>
      </c>
      <c r="G221" s="3">
        <v>5037</v>
      </c>
      <c r="H221" s="3">
        <v>123</v>
      </c>
      <c r="I221" s="4">
        <v>3732.75</v>
      </c>
      <c r="J221" s="4">
        <v>9020.39</v>
      </c>
      <c r="K221" s="3">
        <v>86</v>
      </c>
      <c r="L221" s="2" t="s">
        <v>2523</v>
      </c>
      <c r="M221" s="2" t="s">
        <v>2537</v>
      </c>
      <c r="N221" s="8">
        <f>IFERROR(G221/F221,0)</f>
        <v>4.0636370237106E-2</v>
      </c>
      <c r="O221" s="8">
        <f>IFERROR(H221/G221,0)</f>
        <v>2.4419297200714712E-2</v>
      </c>
      <c r="P221" s="4">
        <f>IFERROR(I221/G221,0)</f>
        <v>0.74106611078022633</v>
      </c>
      <c r="Q221" s="4">
        <f>IFERROR(I221/H221,0)</f>
        <v>30.347560975609756</v>
      </c>
      <c r="R221" s="12">
        <f>IFERROR(J221/I221,0)</f>
        <v>2.4165534793382895</v>
      </c>
      <c r="S221" s="7">
        <f>Tabla_nuevas_columnas[[#This Row],[ROAS]]</f>
        <v>2.4165534793382895</v>
      </c>
      <c r="T221" t="str">
        <f>_xlfn.CONCAT(C221,"-",D221)</f>
        <v>Affiliate-Italia</v>
      </c>
      <c r="U221">
        <f>YEAR(A221)</f>
        <v>2025</v>
      </c>
      <c r="V221">
        <f>MONTH(A221)</f>
        <v>4</v>
      </c>
      <c r="W221" t="str">
        <f>PROPER(TEXT(A221,"mmmm"))</f>
        <v>Abril</v>
      </c>
      <c r="X221" t="str">
        <f>PROPER(TEXT(A221,"dddd"))</f>
        <v>Domingo</v>
      </c>
      <c r="Y221" t="str" cm="1">
        <f t="array" ref="Y221">_xlfn.IFS(R221&gt;10,"Excelente",R221&gt;=5,"Bueno",R221&gt;=2,"Débil",R221&lt;2,"Deficiente")</f>
        <v>Débil</v>
      </c>
      <c r="Z221" t="str">
        <f>IF(AND(R221&lt;2,Q221&gt;=100),"Revisar","OK")</f>
        <v>OK</v>
      </c>
      <c r="AA221" s="55">
        <f>_xlfn.XLOOKUP(C221,'Preguntas de negocio'!$C$114:$C$119,'Preguntas de negocio'!$D$114:$D$119,0)</f>
        <v>4.5</v>
      </c>
      <c r="AB221" s="55">
        <f>VLOOKUP(C221,'Preguntas de negocio'!$C$121:$D$127,2,FALSE)</f>
        <v>0.35</v>
      </c>
    </row>
    <row r="222" spans="1:28" x14ac:dyDescent="0.3">
      <c r="A222" s="1">
        <v>45820</v>
      </c>
      <c r="B222" s="2" t="s">
        <v>2639</v>
      </c>
      <c r="C222" s="2" t="s">
        <v>2515</v>
      </c>
      <c r="D222" s="2" t="s">
        <v>2528</v>
      </c>
      <c r="E222" s="2" t="s">
        <v>2529</v>
      </c>
      <c r="F222" s="3">
        <v>57863</v>
      </c>
      <c r="G222" s="3">
        <v>3291</v>
      </c>
      <c r="H222" s="3">
        <v>204</v>
      </c>
      <c r="I222" s="4">
        <v>1506.27</v>
      </c>
      <c r="J222" s="4">
        <v>4955.18</v>
      </c>
      <c r="K222" s="3">
        <v>166</v>
      </c>
      <c r="L222" s="2" t="s">
        <v>2539</v>
      </c>
      <c r="M222" s="2" t="s">
        <v>2537</v>
      </c>
      <c r="N222" s="8">
        <f>IFERROR(G222/F222,0)</f>
        <v>5.6875723692169436E-2</v>
      </c>
      <c r="O222" s="8">
        <f>IFERROR(H222/G222,0)</f>
        <v>6.1987237921604377E-2</v>
      </c>
      <c r="P222" s="4">
        <f>IFERROR(I222/G222,0)</f>
        <v>0.45769371011850501</v>
      </c>
      <c r="Q222" s="4">
        <f>IFERROR(I222/H222,0)</f>
        <v>7.3836764705882354</v>
      </c>
      <c r="R222" s="12">
        <f>IFERROR(J222/I222,0)</f>
        <v>3.2897023773958192</v>
      </c>
      <c r="S222" s="7">
        <f>Tabla_nuevas_columnas[[#This Row],[ROAS]]</f>
        <v>3.2897023773958192</v>
      </c>
      <c r="T222" t="str">
        <f>_xlfn.CONCAT(C222,"-",D222)</f>
        <v>Email-España</v>
      </c>
      <c r="U222">
        <f>YEAR(A222)</f>
        <v>2025</v>
      </c>
      <c r="V222">
        <f>MONTH(A222)</f>
        <v>6</v>
      </c>
      <c r="W222" t="str">
        <f>PROPER(TEXT(A222,"mmmm"))</f>
        <v>Junio</v>
      </c>
      <c r="X222" t="str">
        <f>PROPER(TEXT(A222,"dddd"))</f>
        <v>Jueves</v>
      </c>
      <c r="Y222" t="str" cm="1">
        <f t="array" ref="Y222">_xlfn.IFS(R222&gt;10,"Excelente",R222&gt;=5,"Bueno",R222&gt;=2,"Débil",R222&lt;2,"Deficiente")</f>
        <v>Débil</v>
      </c>
      <c r="Z222" t="str">
        <f>IF(AND(R222&lt;2,Q222&gt;=100),"Revisar","OK")</f>
        <v>OK</v>
      </c>
      <c r="AA222" s="55">
        <f>_xlfn.XLOOKUP(C222,'Preguntas de negocio'!$C$114:$C$119,'Preguntas de negocio'!$D$114:$D$119,0)</f>
        <v>5.5</v>
      </c>
      <c r="AB222" s="55">
        <f>VLOOKUP(C222,'Preguntas de negocio'!$C$121:$D$127,2,FALSE)</f>
        <v>0.65</v>
      </c>
    </row>
    <row r="223" spans="1:28" x14ac:dyDescent="0.3">
      <c r="A223" s="1">
        <v>45939</v>
      </c>
      <c r="B223" s="2" t="s">
        <v>2628</v>
      </c>
      <c r="C223" s="2" t="s">
        <v>2543</v>
      </c>
      <c r="D223" s="2" t="s">
        <v>2528</v>
      </c>
      <c r="E223" s="2" t="s">
        <v>2529</v>
      </c>
      <c r="F223" s="3">
        <v>29715</v>
      </c>
      <c r="G223" s="3">
        <v>2249</v>
      </c>
      <c r="H223" s="3">
        <v>89</v>
      </c>
      <c r="I223" s="4">
        <v>1855.71</v>
      </c>
      <c r="J223" s="4">
        <v>14720.55</v>
      </c>
      <c r="K223" s="3">
        <v>79</v>
      </c>
      <c r="L223" s="2" t="s">
        <v>2518</v>
      </c>
      <c r="M223" s="2" t="s">
        <v>2526</v>
      </c>
      <c r="N223" s="8">
        <f>IFERROR(G223/F223,0)</f>
        <v>7.5685680632677096E-2</v>
      </c>
      <c r="O223" s="8">
        <f>IFERROR(H223/G223,0)</f>
        <v>3.9573143619386394E-2</v>
      </c>
      <c r="P223" s="4">
        <f>IFERROR(I223/G223,0)</f>
        <v>0.82512672298799472</v>
      </c>
      <c r="Q223" s="4">
        <f>IFERROR(I223/H223,0)</f>
        <v>20.85067415730337</v>
      </c>
      <c r="R223" s="12">
        <f>IFERROR(J223/I223,0)</f>
        <v>7.9325702830722467</v>
      </c>
      <c r="S223" s="7">
        <f>Tabla_nuevas_columnas[[#This Row],[ROAS]]</f>
        <v>7.9325702830722467</v>
      </c>
      <c r="T223" t="str">
        <f>_xlfn.CONCAT(C223,"-",D223)</f>
        <v>Organic Social-España</v>
      </c>
      <c r="U223">
        <f>YEAR(A223)</f>
        <v>2025</v>
      </c>
      <c r="V223">
        <f>MONTH(A223)</f>
        <v>10</v>
      </c>
      <c r="W223" t="str">
        <f>PROPER(TEXT(A223,"mmmm"))</f>
        <v>Octubre</v>
      </c>
      <c r="X223" t="str">
        <f>PROPER(TEXT(A223,"dddd"))</f>
        <v>Jueves</v>
      </c>
      <c r="Y223" t="str" cm="1">
        <f t="array" ref="Y223">_xlfn.IFS(R223&gt;10,"Excelente",R223&gt;=5,"Bueno",R223&gt;=2,"Débil",R223&lt;2,"Deficiente")</f>
        <v>Bueno</v>
      </c>
      <c r="Z223" t="str">
        <f>IF(AND(R223&lt;2,Q223&gt;=100),"Revisar","OK")</f>
        <v>OK</v>
      </c>
      <c r="AA223" s="55">
        <f>_xlfn.XLOOKUP(C223,'Preguntas de negocio'!$C$114:$C$119,'Preguntas de negocio'!$D$114:$D$119,0)</f>
        <v>4</v>
      </c>
      <c r="AB223" s="55">
        <f>VLOOKUP(C223,'Preguntas de negocio'!$C$121:$D$127,2,FALSE)</f>
        <v>0.95</v>
      </c>
    </row>
    <row r="224" spans="1:28" x14ac:dyDescent="0.3">
      <c r="A224" s="1">
        <v>45953</v>
      </c>
      <c r="B224" s="2" t="s">
        <v>2624</v>
      </c>
      <c r="C224" s="2" t="s">
        <v>2521</v>
      </c>
      <c r="D224" s="2" t="s">
        <v>2531</v>
      </c>
      <c r="E224" s="2" t="s">
        <v>2529</v>
      </c>
      <c r="F224" s="3">
        <v>36403</v>
      </c>
      <c r="G224" s="3">
        <v>350</v>
      </c>
      <c r="H224" s="3">
        <v>43</v>
      </c>
      <c r="I224" s="4">
        <v>570.22</v>
      </c>
      <c r="J224" s="4">
        <v>5881.42</v>
      </c>
      <c r="K224" s="3">
        <v>33</v>
      </c>
      <c r="L224" s="2" t="s">
        <v>2539</v>
      </c>
      <c r="M224" s="2" t="s">
        <v>2537</v>
      </c>
      <c r="N224" s="8">
        <f>IFERROR(G224/F224,0)</f>
        <v>9.6145922039392352E-3</v>
      </c>
      <c r="O224" s="8">
        <f>IFERROR(H224/G224,0)</f>
        <v>0.12285714285714286</v>
      </c>
      <c r="P224" s="4">
        <f>IFERROR(I224/G224,0)</f>
        <v>1.6292</v>
      </c>
      <c r="Q224" s="4">
        <f>IFERROR(I224/H224,0)</f>
        <v>13.26093023255814</v>
      </c>
      <c r="R224" s="12">
        <f>IFERROR(J224/I224,0)</f>
        <v>10.314299743958472</v>
      </c>
      <c r="S224" s="7">
        <f>Tabla_nuevas_columnas[[#This Row],[ROAS]]</f>
        <v>10.314299743958472</v>
      </c>
      <c r="T224" t="str">
        <f>_xlfn.CONCAT(C224,"-",D224)</f>
        <v>Paid Search-Portugal</v>
      </c>
      <c r="U224">
        <f>YEAR(A224)</f>
        <v>2025</v>
      </c>
      <c r="V224">
        <f>MONTH(A224)</f>
        <v>10</v>
      </c>
      <c r="W224" t="str">
        <f>PROPER(TEXT(A224,"mmmm"))</f>
        <v>Octubre</v>
      </c>
      <c r="X224" t="str">
        <f>PROPER(TEXT(A224,"dddd"))</f>
        <v>Jueves</v>
      </c>
      <c r="Y224" t="str" cm="1">
        <f t="array" ref="Y224">_xlfn.IFS(R224&gt;10,"Excelente",R224&gt;=5,"Bueno",R224&gt;=2,"Débil",R224&lt;2,"Deficiente")</f>
        <v>Excelente</v>
      </c>
      <c r="Z224" t="str">
        <f>IF(AND(R224&lt;2,Q224&gt;=100),"Revisar","OK")</f>
        <v>OK</v>
      </c>
      <c r="AA224" s="55">
        <f>_xlfn.XLOOKUP(C224,'Preguntas de negocio'!$C$114:$C$119,'Preguntas de negocio'!$D$114:$D$119,0)</f>
        <v>5</v>
      </c>
      <c r="AB224" s="55">
        <f>VLOOKUP(C224,'Preguntas de negocio'!$C$121:$D$127,2,FALSE)</f>
        <v>1.1000000000000001</v>
      </c>
    </row>
    <row r="225" spans="1:28" x14ac:dyDescent="0.3">
      <c r="A225" s="1">
        <v>45882</v>
      </c>
      <c r="B225" s="2" t="s">
        <v>2624</v>
      </c>
      <c r="C225" s="2" t="s">
        <v>2515</v>
      </c>
      <c r="D225" s="2" t="s">
        <v>2528</v>
      </c>
      <c r="E225" s="2" t="s">
        <v>2517</v>
      </c>
      <c r="F225" s="3">
        <v>119718</v>
      </c>
      <c r="G225" s="3">
        <v>9551</v>
      </c>
      <c r="H225" s="3">
        <v>804</v>
      </c>
      <c r="I225" s="4">
        <v>9584.7800000000007</v>
      </c>
      <c r="J225" s="4">
        <v>90520.69</v>
      </c>
      <c r="K225" s="3">
        <v>548</v>
      </c>
      <c r="L225" s="2" t="s">
        <v>2523</v>
      </c>
      <c r="M225" s="2" t="s">
        <v>2519</v>
      </c>
      <c r="N225" s="8">
        <f>IFERROR(G225/F225,0)</f>
        <v>7.9779147663676303E-2</v>
      </c>
      <c r="O225" s="8">
        <f>IFERROR(H225/G225,0)</f>
        <v>8.4179667050570617E-2</v>
      </c>
      <c r="P225" s="4">
        <f>IFERROR(I225/G225,0)</f>
        <v>1.0035368024290652</v>
      </c>
      <c r="Q225" s="4">
        <f>IFERROR(I225/H225,0)</f>
        <v>11.921368159203981</v>
      </c>
      <c r="R225" s="12">
        <f>IFERROR(J225/I225,0)</f>
        <v>9.4442115520648358</v>
      </c>
      <c r="S225" s="7">
        <f>Tabla_nuevas_columnas[[#This Row],[ROAS]]</f>
        <v>9.4442115520648358</v>
      </c>
      <c r="T225" t="str">
        <f>_xlfn.CONCAT(C225,"-",D225)</f>
        <v>Email-España</v>
      </c>
      <c r="U225">
        <f>YEAR(A225)</f>
        <v>2025</v>
      </c>
      <c r="V225">
        <f>MONTH(A225)</f>
        <v>8</v>
      </c>
      <c r="W225" t="str">
        <f>PROPER(TEXT(A225,"mmmm"))</f>
        <v>Agosto</v>
      </c>
      <c r="X225" t="str">
        <f>PROPER(TEXT(A225,"dddd"))</f>
        <v>Miércoles</v>
      </c>
      <c r="Y225" t="str" cm="1">
        <f t="array" ref="Y225">_xlfn.IFS(R225&gt;10,"Excelente",R225&gt;=5,"Bueno",R225&gt;=2,"Débil",R225&lt;2,"Deficiente")</f>
        <v>Bueno</v>
      </c>
      <c r="Z225" t="str">
        <f>IF(AND(R225&lt;2,Q225&gt;=100),"Revisar","OK")</f>
        <v>OK</v>
      </c>
      <c r="AA225" s="55">
        <f>_xlfn.XLOOKUP(C225,'Preguntas de negocio'!$C$114:$C$119,'Preguntas de negocio'!$D$114:$D$119,0)</f>
        <v>5.5</v>
      </c>
      <c r="AB225" s="55">
        <f>VLOOKUP(C225,'Preguntas de negocio'!$C$121:$D$127,2,FALSE)</f>
        <v>0.65</v>
      </c>
    </row>
    <row r="226" spans="1:28" x14ac:dyDescent="0.3">
      <c r="A226" s="1">
        <v>45738</v>
      </c>
      <c r="B226" s="2" t="s">
        <v>2641</v>
      </c>
      <c r="C226" s="2" t="s">
        <v>2515</v>
      </c>
      <c r="D226" s="2" t="s">
        <v>2522</v>
      </c>
      <c r="E226" s="2" t="s">
        <v>2529</v>
      </c>
      <c r="F226" s="3">
        <v>48427</v>
      </c>
      <c r="G226" s="3">
        <v>1976</v>
      </c>
      <c r="H226" s="3">
        <v>110</v>
      </c>
      <c r="I226" s="4">
        <v>2829.49</v>
      </c>
      <c r="J226" s="4">
        <v>21159.55</v>
      </c>
      <c r="K226" s="3">
        <v>62</v>
      </c>
      <c r="L226" s="2" t="s">
        <v>2523</v>
      </c>
      <c r="M226" s="2" t="s">
        <v>2524</v>
      </c>
      <c r="N226" s="8">
        <f>IFERROR(G226/F226,0)</f>
        <v>4.0803683895347637E-2</v>
      </c>
      <c r="O226" s="8">
        <f>IFERROR(H226/G226,0)</f>
        <v>5.5668016194331982E-2</v>
      </c>
      <c r="P226" s="4">
        <f>IFERROR(I226/G226,0)</f>
        <v>1.4319281376518218</v>
      </c>
      <c r="Q226" s="4">
        <f>IFERROR(I226/H226,0)</f>
        <v>25.722636363636362</v>
      </c>
      <c r="R226" s="12">
        <f>IFERROR(J226/I226,0)</f>
        <v>7.4782204566900754</v>
      </c>
      <c r="S226" s="7">
        <f>Tabla_nuevas_columnas[[#This Row],[ROAS]]</f>
        <v>7.4782204566900754</v>
      </c>
      <c r="T226" t="str">
        <f>_xlfn.CONCAT(C226,"-",D226)</f>
        <v>Email-Italia</v>
      </c>
      <c r="U226">
        <f>YEAR(A226)</f>
        <v>2025</v>
      </c>
      <c r="V226">
        <f>MONTH(A226)</f>
        <v>3</v>
      </c>
      <c r="W226" t="str">
        <f>PROPER(TEXT(A226,"mmmm"))</f>
        <v>Marzo</v>
      </c>
      <c r="X226" t="str">
        <f>PROPER(TEXT(A226,"dddd"))</f>
        <v>Sábado</v>
      </c>
      <c r="Y226" t="str" cm="1">
        <f t="array" ref="Y226">_xlfn.IFS(R226&gt;10,"Excelente",R226&gt;=5,"Bueno",R226&gt;=2,"Débil",R226&lt;2,"Deficiente")</f>
        <v>Bueno</v>
      </c>
      <c r="Z226" t="str">
        <f>IF(AND(R226&lt;2,Q226&gt;=100),"Revisar","OK")</f>
        <v>OK</v>
      </c>
      <c r="AA226" s="55">
        <f>_xlfn.XLOOKUP(C226,'Preguntas de negocio'!$C$114:$C$119,'Preguntas de negocio'!$D$114:$D$119,0)</f>
        <v>5.5</v>
      </c>
      <c r="AB226" s="55">
        <f>VLOOKUP(C226,'Preguntas de negocio'!$C$121:$D$127,2,FALSE)</f>
        <v>0.65</v>
      </c>
    </row>
    <row r="227" spans="1:28" x14ac:dyDescent="0.3">
      <c r="A227" s="1">
        <v>45997</v>
      </c>
      <c r="B227" s="2" t="s">
        <v>2635</v>
      </c>
      <c r="C227" s="2" t="s">
        <v>2527</v>
      </c>
      <c r="D227" s="2" t="s">
        <v>2528</v>
      </c>
      <c r="E227" s="2" t="s">
        <v>2529</v>
      </c>
      <c r="F227" s="3">
        <v>171020</v>
      </c>
      <c r="G227" s="3">
        <v>8884</v>
      </c>
      <c r="H227" s="3">
        <v>662</v>
      </c>
      <c r="I227" s="4">
        <v>17801.39</v>
      </c>
      <c r="J227" s="4">
        <v>80424.039999999994</v>
      </c>
      <c r="K227" s="3">
        <v>303</v>
      </c>
      <c r="L227" s="2" t="s">
        <v>2536</v>
      </c>
      <c r="M227" s="2" t="s">
        <v>2645</v>
      </c>
      <c r="N227" s="8">
        <f>IFERROR(G227/F227,0)</f>
        <v>5.1947140685299965E-2</v>
      </c>
      <c r="O227" s="8">
        <f>IFERROR(H227/G227,0)</f>
        <v>7.4515983791085094E-2</v>
      </c>
      <c r="P227" s="4">
        <f>IFERROR(I227/G227,0)</f>
        <v>2.0037584421431789</v>
      </c>
      <c r="Q227" s="4">
        <f>IFERROR(I227/H227,0)</f>
        <v>26.890317220543807</v>
      </c>
      <c r="R227" s="12">
        <f>IFERROR(J227/I227,0)</f>
        <v>4.5178516958507169</v>
      </c>
      <c r="S227" s="7">
        <f>Tabla_nuevas_columnas[[#This Row],[ROAS]]</f>
        <v>4.5178516958507169</v>
      </c>
      <c r="T227" t="str">
        <f>_xlfn.CONCAT(C227,"-",D227)</f>
        <v>Affiliate-España</v>
      </c>
      <c r="U227">
        <f>YEAR(A227)</f>
        <v>2025</v>
      </c>
      <c r="V227">
        <f>MONTH(A227)</f>
        <v>12</v>
      </c>
      <c r="W227" t="str">
        <f>PROPER(TEXT(A227,"mmmm"))</f>
        <v>Diciembre</v>
      </c>
      <c r="X227" t="str">
        <f>PROPER(TEXT(A227,"dddd"))</f>
        <v>Sábado</v>
      </c>
      <c r="Y227" t="str" cm="1">
        <f t="array" ref="Y227">_xlfn.IFS(R227&gt;10,"Excelente",R227&gt;=5,"Bueno",R227&gt;=2,"Débil",R227&lt;2,"Deficiente")</f>
        <v>Débil</v>
      </c>
      <c r="Z227" t="str">
        <f>IF(AND(R227&lt;2,Q227&gt;=100),"Revisar","OK")</f>
        <v>OK</v>
      </c>
      <c r="AA227" s="55">
        <f>_xlfn.XLOOKUP(C227,'Preguntas de negocio'!$C$114:$C$119,'Preguntas de negocio'!$D$114:$D$119,0)</f>
        <v>4.5</v>
      </c>
      <c r="AB227" s="55">
        <f>VLOOKUP(C227,'Preguntas de negocio'!$C$121:$D$127,2,FALSE)</f>
        <v>0.35</v>
      </c>
    </row>
    <row r="228" spans="1:28" x14ac:dyDescent="0.3">
      <c r="A228" s="1">
        <v>46003</v>
      </c>
      <c r="B228" s="2" t="s">
        <v>2631</v>
      </c>
      <c r="C228" s="2" t="s">
        <v>2521</v>
      </c>
      <c r="D228" s="2" t="s">
        <v>2522</v>
      </c>
      <c r="E228" s="2" t="s">
        <v>2517</v>
      </c>
      <c r="F228" s="3">
        <v>57275</v>
      </c>
      <c r="G228" s="3">
        <v>258</v>
      </c>
      <c r="H228" s="3">
        <v>31</v>
      </c>
      <c r="I228" s="4">
        <v>203.76</v>
      </c>
      <c r="J228" s="4">
        <v>6572.26</v>
      </c>
      <c r="K228" s="3">
        <v>17</v>
      </c>
      <c r="L228" s="2" t="s">
        <v>2523</v>
      </c>
      <c r="M228" s="2" t="s">
        <v>2519</v>
      </c>
      <c r="N228" s="8">
        <f>IFERROR(G228/F228,0)</f>
        <v>4.5045831514622433E-3</v>
      </c>
      <c r="O228" s="8">
        <f>IFERROR(H228/G228,0)</f>
        <v>0.12015503875968993</v>
      </c>
      <c r="P228" s="4">
        <f>IFERROR(I228/G228,0)</f>
        <v>0.7897674418604651</v>
      </c>
      <c r="Q228" s="4">
        <f>IFERROR(I228/H228,0)</f>
        <v>6.572903225806451</v>
      </c>
      <c r="R228" s="12">
        <f>IFERROR(J228/I228,0)</f>
        <v>32.254907734589715</v>
      </c>
      <c r="S228" s="7">
        <f>Tabla_nuevas_columnas[[#This Row],[ROAS]]</f>
        <v>32.254907734589715</v>
      </c>
      <c r="T228" t="str">
        <f>_xlfn.CONCAT(C228,"-",D228)</f>
        <v>Paid Search-Italia</v>
      </c>
      <c r="U228">
        <f>YEAR(A228)</f>
        <v>2025</v>
      </c>
      <c r="V228">
        <f>MONTH(A228)</f>
        <v>12</v>
      </c>
      <c r="W228" t="str">
        <f>PROPER(TEXT(A228,"mmmm"))</f>
        <v>Diciembre</v>
      </c>
      <c r="X228" t="str">
        <f>PROPER(TEXT(A228,"dddd"))</f>
        <v>Viernes</v>
      </c>
      <c r="Y228" t="str" cm="1">
        <f t="array" ref="Y228">_xlfn.IFS(R228&gt;10,"Excelente",R228&gt;=5,"Bueno",R228&gt;=2,"Débil",R228&lt;2,"Deficiente")</f>
        <v>Excelente</v>
      </c>
      <c r="Z228" t="str">
        <f>IF(AND(R228&lt;2,Q228&gt;=100),"Revisar","OK")</f>
        <v>OK</v>
      </c>
      <c r="AA228" s="55">
        <f>_xlfn.XLOOKUP(C228,'Preguntas de negocio'!$C$114:$C$119,'Preguntas de negocio'!$D$114:$D$119,0)</f>
        <v>5</v>
      </c>
      <c r="AB228" s="55">
        <f>VLOOKUP(C228,'Preguntas de negocio'!$C$121:$D$127,2,FALSE)</f>
        <v>1.1000000000000001</v>
      </c>
    </row>
    <row r="229" spans="1:28" x14ac:dyDescent="0.3">
      <c r="A229" s="1">
        <v>45769</v>
      </c>
      <c r="B229" s="2" t="s">
        <v>2618</v>
      </c>
      <c r="C229" s="2" t="s">
        <v>2541</v>
      </c>
      <c r="D229" s="2" t="s">
        <v>2525</v>
      </c>
      <c r="E229" s="2" t="s">
        <v>2534</v>
      </c>
      <c r="F229" s="3">
        <v>179090</v>
      </c>
      <c r="G229" s="3">
        <v>3073</v>
      </c>
      <c r="H229" s="3">
        <v>427</v>
      </c>
      <c r="I229" s="4">
        <v>6449.94</v>
      </c>
      <c r="J229" s="4">
        <v>27932.82</v>
      </c>
      <c r="K229" s="3">
        <v>363</v>
      </c>
      <c r="L229" s="2" t="s">
        <v>2518</v>
      </c>
      <c r="M229" s="2" t="s">
        <v>2546</v>
      </c>
      <c r="N229" s="8">
        <f>IFERROR(G229/F229,0)</f>
        <v>1.71589703501033E-2</v>
      </c>
      <c r="O229" s="8">
        <f>IFERROR(H229/G229,0)</f>
        <v>0.13895216400911162</v>
      </c>
      <c r="P229" s="4">
        <f>IFERROR(I229/G229,0)</f>
        <v>2.0989066059225512</v>
      </c>
      <c r="Q229" s="4">
        <f>IFERROR(I229/H229,0)</f>
        <v>15.105245901639343</v>
      </c>
      <c r="R229" s="12">
        <f>IFERROR(J229/I229,0)</f>
        <v>4.330710053116773</v>
      </c>
      <c r="S229" s="7">
        <f>Tabla_nuevas_columnas[[#This Row],[ROAS]]</f>
        <v>4.330710053116773</v>
      </c>
      <c r="T229" t="str">
        <f>_xlfn.CONCAT(C229,"-",D229)</f>
        <v>Display-Francia</v>
      </c>
      <c r="U229">
        <f>YEAR(A229)</f>
        <v>2025</v>
      </c>
      <c r="V229">
        <f>MONTH(A229)</f>
        <v>4</v>
      </c>
      <c r="W229" t="str">
        <f>PROPER(TEXT(A229,"mmmm"))</f>
        <v>Abril</v>
      </c>
      <c r="X229" t="str">
        <f>PROPER(TEXT(A229,"dddd"))</f>
        <v>Martes</v>
      </c>
      <c r="Y229" t="str" cm="1">
        <f t="array" ref="Y229">_xlfn.IFS(R229&gt;10,"Excelente",R229&gt;=5,"Bueno",R229&gt;=2,"Débil",R229&lt;2,"Deficiente")</f>
        <v>Débil</v>
      </c>
      <c r="Z229" t="str">
        <f>IF(AND(R229&lt;2,Q229&gt;=100),"Revisar","OK")</f>
        <v>OK</v>
      </c>
      <c r="AA229" s="55">
        <f>_xlfn.XLOOKUP(C229,'Preguntas de negocio'!$C$114:$C$119,'Preguntas de negocio'!$D$114:$D$119,0)</f>
        <v>5</v>
      </c>
      <c r="AB229" s="55">
        <f>VLOOKUP(C229,'Preguntas de negocio'!$C$121:$D$127,2,FALSE)</f>
        <v>0.5</v>
      </c>
    </row>
    <row r="230" spans="1:28" x14ac:dyDescent="0.3">
      <c r="A230" s="1">
        <v>45988</v>
      </c>
      <c r="B230" s="2" t="s">
        <v>2630</v>
      </c>
      <c r="C230" s="2" t="s">
        <v>2515</v>
      </c>
      <c r="D230" s="2" t="s">
        <v>2525</v>
      </c>
      <c r="E230" s="2" t="s">
        <v>2517</v>
      </c>
      <c r="F230" s="3">
        <v>158182</v>
      </c>
      <c r="G230" s="3">
        <v>14182</v>
      </c>
      <c r="H230" s="3">
        <v>1715</v>
      </c>
      <c r="I230" s="4">
        <v>15077.58</v>
      </c>
      <c r="J230" s="4">
        <v>315910.33</v>
      </c>
      <c r="K230" s="3">
        <v>1019</v>
      </c>
      <c r="L230" s="2" t="s">
        <v>2518</v>
      </c>
      <c r="M230" s="2" t="s">
        <v>2546</v>
      </c>
      <c r="N230" s="8">
        <f>IFERROR(G230/F230,0)</f>
        <v>8.9656218785955422E-2</v>
      </c>
      <c r="O230" s="8">
        <f>IFERROR(H230/G230,0)</f>
        <v>0.1209279368213228</v>
      </c>
      <c r="P230" s="4">
        <f>IFERROR(I230/G230,0)</f>
        <v>1.0631490621915103</v>
      </c>
      <c r="Q230" s="4">
        <f>IFERROR(I230/H230,0)</f>
        <v>8.7915918367346944</v>
      </c>
      <c r="R230" s="12">
        <f>IFERROR(J230/I230,0)</f>
        <v>20.95232325081346</v>
      </c>
      <c r="S230" s="7">
        <f>Tabla_nuevas_columnas[[#This Row],[ROAS]]</f>
        <v>20.95232325081346</v>
      </c>
      <c r="T230" t="str">
        <f>_xlfn.CONCAT(C230,"-",D230)</f>
        <v>Email-Francia</v>
      </c>
      <c r="U230">
        <f>YEAR(A230)</f>
        <v>2025</v>
      </c>
      <c r="V230">
        <f>MONTH(A230)</f>
        <v>11</v>
      </c>
      <c r="W230" t="str">
        <f>PROPER(TEXT(A230,"mmmm"))</f>
        <v>Noviembre</v>
      </c>
      <c r="X230" t="str">
        <f>PROPER(TEXT(A230,"dddd"))</f>
        <v>Jueves</v>
      </c>
      <c r="Y230" t="str" cm="1">
        <f t="array" ref="Y230">_xlfn.IFS(R230&gt;10,"Excelente",R230&gt;=5,"Bueno",R230&gt;=2,"Débil",R230&lt;2,"Deficiente")</f>
        <v>Excelente</v>
      </c>
      <c r="Z230" t="str">
        <f>IF(AND(R230&lt;2,Q230&gt;=100),"Revisar","OK")</f>
        <v>OK</v>
      </c>
      <c r="AA230" s="55">
        <f>_xlfn.XLOOKUP(C230,'Preguntas de negocio'!$C$114:$C$119,'Preguntas de negocio'!$D$114:$D$119,0)</f>
        <v>5.5</v>
      </c>
      <c r="AB230" s="55">
        <f>VLOOKUP(C230,'Preguntas de negocio'!$C$121:$D$127,2,FALSE)</f>
        <v>0.65</v>
      </c>
    </row>
    <row r="231" spans="1:28" x14ac:dyDescent="0.3">
      <c r="A231" s="1">
        <v>45727</v>
      </c>
      <c r="B231" s="2" t="s">
        <v>2618</v>
      </c>
      <c r="C231" s="2" t="s">
        <v>2533</v>
      </c>
      <c r="D231" s="2" t="s">
        <v>2522</v>
      </c>
      <c r="E231" s="2" t="s">
        <v>2529</v>
      </c>
      <c r="F231" s="3">
        <v>141359</v>
      </c>
      <c r="G231" s="3">
        <v>4614</v>
      </c>
      <c r="H231" s="3">
        <v>46</v>
      </c>
      <c r="I231" s="4">
        <v>6446.03</v>
      </c>
      <c r="J231" s="4">
        <v>3828.59</v>
      </c>
      <c r="K231" s="3">
        <v>25</v>
      </c>
      <c r="L231" s="2" t="s">
        <v>2539</v>
      </c>
      <c r="M231" s="2" t="s">
        <v>2537</v>
      </c>
      <c r="N231" s="8">
        <f>IFERROR(G231/F231,0)</f>
        <v>3.264029881365884E-2</v>
      </c>
      <c r="O231" s="8">
        <f>IFERROR(H231/G231,0)</f>
        <v>9.9696575639358475E-3</v>
      </c>
      <c r="P231" s="4">
        <f>IFERROR(I231/G231,0)</f>
        <v>1.3970589510186389</v>
      </c>
      <c r="Q231" s="4">
        <f>IFERROR(I231/H231,0)</f>
        <v>140.13108695652173</v>
      </c>
      <c r="R231" s="12">
        <f>IFERROR(J231/I231,0)</f>
        <v>0.59394542066977662</v>
      </c>
      <c r="S231" s="7">
        <f>Tabla_nuevas_columnas[[#This Row],[ROAS]]</f>
        <v>0.59394542066977662</v>
      </c>
      <c r="T231" t="str">
        <f>_xlfn.CONCAT(C231,"-",D231)</f>
        <v>Paid Social-Italia</v>
      </c>
      <c r="U231">
        <f>YEAR(A231)</f>
        <v>2025</v>
      </c>
      <c r="V231">
        <f>MONTH(A231)</f>
        <v>3</v>
      </c>
      <c r="W231" t="str">
        <f>PROPER(TEXT(A231,"mmmm"))</f>
        <v>Marzo</v>
      </c>
      <c r="X231" t="str">
        <f>PROPER(TEXT(A231,"dddd"))</f>
        <v>Martes</v>
      </c>
      <c r="Y231" t="str" cm="1">
        <f t="array" ref="Y231">_xlfn.IFS(R231&gt;10,"Excelente",R231&gt;=5,"Bueno",R231&gt;=2,"Débil",R231&lt;2,"Deficiente")</f>
        <v>Deficiente</v>
      </c>
      <c r="Z231" t="str">
        <f>IF(AND(R231&lt;2,Q231&gt;=100),"Revisar","OK")</f>
        <v>Revisar</v>
      </c>
      <c r="AA231" s="55">
        <f>_xlfn.XLOOKUP(C231,'Preguntas de negocio'!$C$114:$C$119,'Preguntas de negocio'!$D$114:$D$119,0)</f>
        <v>6</v>
      </c>
      <c r="AB231" s="55">
        <f>VLOOKUP(C231,'Preguntas de negocio'!$C$121:$D$127,2,FALSE)</f>
        <v>0.8</v>
      </c>
    </row>
    <row r="232" spans="1:28" x14ac:dyDescent="0.3">
      <c r="A232" s="1">
        <v>45772</v>
      </c>
      <c r="B232" s="2" t="s">
        <v>2629</v>
      </c>
      <c r="C232" s="2" t="s">
        <v>2527</v>
      </c>
      <c r="D232" s="2" t="s">
        <v>2531</v>
      </c>
      <c r="E232" s="2" t="s">
        <v>2529</v>
      </c>
      <c r="F232" s="3">
        <v>43152</v>
      </c>
      <c r="G232" s="3">
        <v>1650</v>
      </c>
      <c r="H232" s="3">
        <v>56</v>
      </c>
      <c r="I232" s="4">
        <v>2605.81</v>
      </c>
      <c r="J232" s="4">
        <v>10686.11</v>
      </c>
      <c r="K232" s="3">
        <v>27</v>
      </c>
      <c r="L232" s="2" t="s">
        <v>2536</v>
      </c>
      <c r="M232" s="2" t="s">
        <v>2519</v>
      </c>
      <c r="N232" s="8">
        <f>IFERROR(G232/F232,0)</f>
        <v>3.8236929922135704E-2</v>
      </c>
      <c r="O232" s="8">
        <f>IFERROR(H232/G232,0)</f>
        <v>3.3939393939393943E-2</v>
      </c>
      <c r="P232" s="4">
        <f>IFERROR(I232/G232,0)</f>
        <v>1.5792787878787879</v>
      </c>
      <c r="Q232" s="4">
        <f>IFERROR(I232/H232,0)</f>
        <v>46.532321428571429</v>
      </c>
      <c r="R232" s="12">
        <f>IFERROR(J232/I232,0)</f>
        <v>4.1008784216807825</v>
      </c>
      <c r="S232" s="7">
        <f>Tabla_nuevas_columnas[[#This Row],[ROAS]]</f>
        <v>4.1008784216807825</v>
      </c>
      <c r="T232" t="str">
        <f>_xlfn.CONCAT(C232,"-",D232)</f>
        <v>Affiliate-Portugal</v>
      </c>
      <c r="U232">
        <f>YEAR(A232)</f>
        <v>2025</v>
      </c>
      <c r="V232">
        <f>MONTH(A232)</f>
        <v>4</v>
      </c>
      <c r="W232" t="str">
        <f>PROPER(TEXT(A232,"mmmm"))</f>
        <v>Abril</v>
      </c>
      <c r="X232" t="str">
        <f>PROPER(TEXT(A232,"dddd"))</f>
        <v>Viernes</v>
      </c>
      <c r="Y232" t="str" cm="1">
        <f t="array" ref="Y232">_xlfn.IFS(R232&gt;10,"Excelente",R232&gt;=5,"Bueno",R232&gt;=2,"Débil",R232&lt;2,"Deficiente")</f>
        <v>Débil</v>
      </c>
      <c r="Z232" t="str">
        <f>IF(AND(R232&lt;2,Q232&gt;=100),"Revisar","OK")</f>
        <v>OK</v>
      </c>
      <c r="AA232" s="55">
        <f>_xlfn.XLOOKUP(C232,'Preguntas de negocio'!$C$114:$C$119,'Preguntas de negocio'!$D$114:$D$119,0)</f>
        <v>4.5</v>
      </c>
      <c r="AB232" s="55">
        <f>VLOOKUP(C232,'Preguntas de negocio'!$C$121:$D$127,2,FALSE)</f>
        <v>0.35</v>
      </c>
    </row>
    <row r="233" spans="1:28" x14ac:dyDescent="0.3">
      <c r="A233" s="1">
        <v>45937</v>
      </c>
      <c r="B233" s="2" t="s">
        <v>2628</v>
      </c>
      <c r="C233" s="2" t="s">
        <v>2527</v>
      </c>
      <c r="D233" s="2" t="s">
        <v>2528</v>
      </c>
      <c r="E233" s="2" t="s">
        <v>2534</v>
      </c>
      <c r="F233" s="3">
        <v>169243</v>
      </c>
      <c r="G233" s="3">
        <v>14397</v>
      </c>
      <c r="H233" s="3">
        <v>230</v>
      </c>
      <c r="I233" s="4">
        <v>13347.12</v>
      </c>
      <c r="J233" s="4">
        <v>36945.81</v>
      </c>
      <c r="K233" s="3">
        <v>124</v>
      </c>
      <c r="L233" s="2" t="s">
        <v>2539</v>
      </c>
      <c r="M233" s="2" t="s">
        <v>2526</v>
      </c>
      <c r="N233" s="8">
        <f>IFERROR(G233/F233,0)</f>
        <v>8.5067033791648691E-2</v>
      </c>
      <c r="O233" s="8">
        <f>IFERROR(H233/G233,0)</f>
        <v>1.5975550461901786E-2</v>
      </c>
      <c r="P233" s="4">
        <f>IFERROR(I233/G233,0)</f>
        <v>0.92707647426547202</v>
      </c>
      <c r="Q233" s="4">
        <f>IFERROR(I233/H233,0)</f>
        <v>58.030956521739135</v>
      </c>
      <c r="R233" s="12">
        <f>IFERROR(J233/I233,0)</f>
        <v>2.7680735619369568</v>
      </c>
      <c r="S233" s="7">
        <f>Tabla_nuevas_columnas[[#This Row],[ROAS]]</f>
        <v>2.7680735619369568</v>
      </c>
      <c r="T233" t="str">
        <f>_xlfn.CONCAT(C233,"-",D233)</f>
        <v>Affiliate-España</v>
      </c>
      <c r="U233">
        <f>YEAR(A233)</f>
        <v>2025</v>
      </c>
      <c r="V233">
        <f>MONTH(A233)</f>
        <v>10</v>
      </c>
      <c r="W233" t="str">
        <f>PROPER(TEXT(A233,"mmmm"))</f>
        <v>Octubre</v>
      </c>
      <c r="X233" t="str">
        <f>PROPER(TEXT(A233,"dddd"))</f>
        <v>Martes</v>
      </c>
      <c r="Y233" t="str" cm="1">
        <f t="array" ref="Y233">_xlfn.IFS(R233&gt;10,"Excelente",R233&gt;=5,"Bueno",R233&gt;=2,"Débil",R233&lt;2,"Deficiente")</f>
        <v>Débil</v>
      </c>
      <c r="Z233" t="str">
        <f>IF(AND(R233&lt;2,Q233&gt;=100),"Revisar","OK")</f>
        <v>OK</v>
      </c>
      <c r="AA233" s="55">
        <f>_xlfn.XLOOKUP(C233,'Preguntas de negocio'!$C$114:$C$119,'Preguntas de negocio'!$D$114:$D$119,0)</f>
        <v>4.5</v>
      </c>
      <c r="AB233" s="55">
        <f>VLOOKUP(C233,'Preguntas de negocio'!$C$121:$D$127,2,FALSE)</f>
        <v>0.35</v>
      </c>
    </row>
    <row r="234" spans="1:28" x14ac:dyDescent="0.3">
      <c r="A234" s="1">
        <v>45815</v>
      </c>
      <c r="B234" s="2" t="s">
        <v>2616</v>
      </c>
      <c r="C234" s="2" t="s">
        <v>2515</v>
      </c>
      <c r="D234" s="2" t="s">
        <v>2528</v>
      </c>
      <c r="E234" s="2" t="s">
        <v>2529</v>
      </c>
      <c r="F234" s="3">
        <v>144883</v>
      </c>
      <c r="G234" s="3">
        <v>1547</v>
      </c>
      <c r="H234" s="3">
        <v>181</v>
      </c>
      <c r="I234" s="4">
        <v>1961.74</v>
      </c>
      <c r="J234" s="4">
        <v>4464.3999999999996</v>
      </c>
      <c r="K234" s="3">
        <v>154</v>
      </c>
      <c r="L234" s="2" t="s">
        <v>2518</v>
      </c>
      <c r="M234" s="2" t="s">
        <v>2537</v>
      </c>
      <c r="N234" s="8">
        <f>IFERROR(G234/F234,0)</f>
        <v>1.0677581220709123E-2</v>
      </c>
      <c r="O234" s="8">
        <f>IFERROR(H234/G234,0)</f>
        <v>0.11700064641241112</v>
      </c>
      <c r="P234" s="4">
        <f>IFERROR(I234/G234,0)</f>
        <v>1.2680930833872011</v>
      </c>
      <c r="Q234" s="4">
        <f>IFERROR(I234/H234,0)</f>
        <v>10.838342541436464</v>
      </c>
      <c r="R234" s="12">
        <f>IFERROR(J234/I234,0)</f>
        <v>2.2757348068551386</v>
      </c>
      <c r="S234" s="7">
        <f>Tabla_nuevas_columnas[[#This Row],[ROAS]]</f>
        <v>2.2757348068551386</v>
      </c>
      <c r="T234" t="str">
        <f>_xlfn.CONCAT(C234,"-",D234)</f>
        <v>Email-España</v>
      </c>
      <c r="U234">
        <f>YEAR(A234)</f>
        <v>2025</v>
      </c>
      <c r="V234">
        <f>MONTH(A234)</f>
        <v>6</v>
      </c>
      <c r="W234" t="str">
        <f>PROPER(TEXT(A234,"mmmm"))</f>
        <v>Junio</v>
      </c>
      <c r="X234" t="str">
        <f>PROPER(TEXT(A234,"dddd"))</f>
        <v>Sábado</v>
      </c>
      <c r="Y234" t="str" cm="1">
        <f t="array" ref="Y234">_xlfn.IFS(R234&gt;10,"Excelente",R234&gt;=5,"Bueno",R234&gt;=2,"Débil",R234&lt;2,"Deficiente")</f>
        <v>Débil</v>
      </c>
      <c r="Z234" t="str">
        <f>IF(AND(R234&lt;2,Q234&gt;=100),"Revisar","OK")</f>
        <v>OK</v>
      </c>
      <c r="AA234" s="55">
        <f>_xlfn.XLOOKUP(C234,'Preguntas de negocio'!$C$114:$C$119,'Preguntas de negocio'!$D$114:$D$119,0)</f>
        <v>5.5</v>
      </c>
      <c r="AB234" s="55">
        <f>VLOOKUP(C234,'Preguntas de negocio'!$C$121:$D$127,2,FALSE)</f>
        <v>0.65</v>
      </c>
    </row>
    <row r="235" spans="1:28" x14ac:dyDescent="0.3">
      <c r="A235" s="1">
        <v>45948</v>
      </c>
      <c r="B235" s="2" t="s">
        <v>2634</v>
      </c>
      <c r="C235" s="2" t="s">
        <v>2541</v>
      </c>
      <c r="D235" s="2" t="s">
        <v>2531</v>
      </c>
      <c r="E235" s="2" t="s">
        <v>2529</v>
      </c>
      <c r="F235" s="3">
        <v>25762</v>
      </c>
      <c r="G235" s="3">
        <v>254</v>
      </c>
      <c r="H235" s="3">
        <v>32</v>
      </c>
      <c r="I235" s="4">
        <v>113.98</v>
      </c>
      <c r="J235" s="4">
        <v>6748.92</v>
      </c>
      <c r="K235" s="3">
        <v>21</v>
      </c>
      <c r="L235" s="2" t="s">
        <v>2539</v>
      </c>
      <c r="M235" s="2" t="s">
        <v>2546</v>
      </c>
      <c r="N235" s="8">
        <f>IFERROR(G235/F235,0)</f>
        <v>9.8594829593975624E-3</v>
      </c>
      <c r="O235" s="8">
        <f>IFERROR(H235/G235,0)</f>
        <v>0.12598425196850394</v>
      </c>
      <c r="P235" s="4">
        <f>IFERROR(I235/G235,0)</f>
        <v>0.44874015748031498</v>
      </c>
      <c r="Q235" s="4">
        <f>IFERROR(I235/H235,0)</f>
        <v>3.5618750000000001</v>
      </c>
      <c r="R235" s="12">
        <f>IFERROR(J235/I235,0)</f>
        <v>59.211440603614669</v>
      </c>
      <c r="S235" s="7">
        <f>Tabla_nuevas_columnas[[#This Row],[ROAS]]</f>
        <v>59.211440603614669</v>
      </c>
      <c r="T235" t="str">
        <f>_xlfn.CONCAT(C235,"-",D235)</f>
        <v>Display-Portugal</v>
      </c>
      <c r="U235">
        <f>YEAR(A235)</f>
        <v>2025</v>
      </c>
      <c r="V235">
        <f>MONTH(A235)</f>
        <v>10</v>
      </c>
      <c r="W235" t="str">
        <f>PROPER(TEXT(A235,"mmmm"))</f>
        <v>Octubre</v>
      </c>
      <c r="X235" t="str">
        <f>PROPER(TEXT(A235,"dddd"))</f>
        <v>Sábado</v>
      </c>
      <c r="Y235" t="str" cm="1">
        <f t="array" ref="Y235">_xlfn.IFS(R235&gt;10,"Excelente",R235&gt;=5,"Bueno",R235&gt;=2,"Débil",R235&lt;2,"Deficiente")</f>
        <v>Excelente</v>
      </c>
      <c r="Z235" t="str">
        <f>IF(AND(R235&lt;2,Q235&gt;=100),"Revisar","OK")</f>
        <v>OK</v>
      </c>
      <c r="AA235" s="55">
        <f>_xlfn.XLOOKUP(C235,'Preguntas de negocio'!$C$114:$C$119,'Preguntas de negocio'!$D$114:$D$119,0)</f>
        <v>5</v>
      </c>
      <c r="AB235" s="55">
        <f>VLOOKUP(C235,'Preguntas de negocio'!$C$121:$D$127,2,FALSE)</f>
        <v>0.5</v>
      </c>
    </row>
    <row r="236" spans="1:28" x14ac:dyDescent="0.3">
      <c r="A236" s="1">
        <v>45716</v>
      </c>
      <c r="B236" s="2" t="s">
        <v>2627</v>
      </c>
      <c r="C236" s="2" t="s">
        <v>2515</v>
      </c>
      <c r="D236" s="2" t="s">
        <v>2528</v>
      </c>
      <c r="E236" s="2" t="s">
        <v>2529</v>
      </c>
      <c r="F236" s="3">
        <v>162056</v>
      </c>
      <c r="G236" s="3">
        <v>4802</v>
      </c>
      <c r="H236" s="3">
        <v>403</v>
      </c>
      <c r="I236" s="4">
        <v>1479.31</v>
      </c>
      <c r="J236" s="4">
        <v>10907.97</v>
      </c>
      <c r="K236" s="3">
        <v>331</v>
      </c>
      <c r="L236" s="2" t="s">
        <v>2536</v>
      </c>
      <c r="M236" s="2" t="s">
        <v>2524</v>
      </c>
      <c r="N236" s="8">
        <f>IFERROR(G236/F236,0)</f>
        <v>2.9631732240706917E-2</v>
      </c>
      <c r="O236" s="8">
        <f>IFERROR(H236/G236,0)</f>
        <v>8.3923365264473138E-2</v>
      </c>
      <c r="P236" s="4">
        <f>IFERROR(I236/G236,0)</f>
        <v>0.30806122448979589</v>
      </c>
      <c r="Q236" s="4">
        <f>IFERROR(I236/H236,0)</f>
        <v>3.6707444168734491</v>
      </c>
      <c r="R236" s="12">
        <f>IFERROR(J236/I236,0)</f>
        <v>7.3736877327943429</v>
      </c>
      <c r="S236" s="7">
        <f>Tabla_nuevas_columnas[[#This Row],[ROAS]]</f>
        <v>7.3736877327943429</v>
      </c>
      <c r="T236" t="str">
        <f>_xlfn.CONCAT(C236,"-",D236)</f>
        <v>Email-España</v>
      </c>
      <c r="U236">
        <f>YEAR(A236)</f>
        <v>2025</v>
      </c>
      <c r="V236">
        <f>MONTH(A236)</f>
        <v>2</v>
      </c>
      <c r="W236" t="str">
        <f>PROPER(TEXT(A236,"mmmm"))</f>
        <v>Febrero</v>
      </c>
      <c r="X236" t="str">
        <f>PROPER(TEXT(A236,"dddd"))</f>
        <v>Viernes</v>
      </c>
      <c r="Y236" t="str" cm="1">
        <f t="array" ref="Y236">_xlfn.IFS(R236&gt;10,"Excelente",R236&gt;=5,"Bueno",R236&gt;=2,"Débil",R236&lt;2,"Deficiente")</f>
        <v>Bueno</v>
      </c>
      <c r="Z236" t="str">
        <f>IF(AND(R236&lt;2,Q236&gt;=100),"Revisar","OK")</f>
        <v>OK</v>
      </c>
      <c r="AA236" s="55">
        <f>_xlfn.XLOOKUP(C236,'Preguntas de negocio'!$C$114:$C$119,'Preguntas de negocio'!$D$114:$D$119,0)</f>
        <v>5.5</v>
      </c>
      <c r="AB236" s="55">
        <f>VLOOKUP(C236,'Preguntas de negocio'!$C$121:$D$127,2,FALSE)</f>
        <v>0.65</v>
      </c>
    </row>
    <row r="237" spans="1:28" x14ac:dyDescent="0.3">
      <c r="A237" s="1">
        <v>45872</v>
      </c>
      <c r="B237" s="2" t="s">
        <v>2625</v>
      </c>
      <c r="C237" s="2" t="s">
        <v>2515</v>
      </c>
      <c r="D237" s="2" t="s">
        <v>2525</v>
      </c>
      <c r="E237" s="2" t="s">
        <v>2529</v>
      </c>
      <c r="F237" s="3">
        <v>82909</v>
      </c>
      <c r="G237" s="3">
        <v>3126</v>
      </c>
      <c r="H237" s="3">
        <v>241</v>
      </c>
      <c r="I237" s="4">
        <v>5614.73</v>
      </c>
      <c r="J237" s="4">
        <v>47297.66</v>
      </c>
      <c r="K237" s="3">
        <v>122</v>
      </c>
      <c r="L237" s="2" t="s">
        <v>2539</v>
      </c>
      <c r="M237" s="2" t="s">
        <v>2519</v>
      </c>
      <c r="N237" s="8">
        <f>IFERROR(G237/F237,0)</f>
        <v>3.770398871051394E-2</v>
      </c>
      <c r="O237" s="8">
        <f>IFERROR(H237/G237,0)</f>
        <v>7.7095329494561743E-2</v>
      </c>
      <c r="P237" s="4">
        <f>IFERROR(I237/G237,0)</f>
        <v>1.7961388355726167</v>
      </c>
      <c r="Q237" s="4">
        <f>IFERROR(I237/H237,0)</f>
        <v>23.297634854771783</v>
      </c>
      <c r="R237" s="12">
        <f>IFERROR(J237/I237,0)</f>
        <v>8.4238529724492555</v>
      </c>
      <c r="S237" s="7">
        <f>Tabla_nuevas_columnas[[#This Row],[ROAS]]</f>
        <v>8.4238529724492555</v>
      </c>
      <c r="T237" t="str">
        <f>_xlfn.CONCAT(C237,"-",D237)</f>
        <v>Email-Francia</v>
      </c>
      <c r="U237">
        <f>YEAR(A237)</f>
        <v>2025</v>
      </c>
      <c r="V237">
        <f>MONTH(A237)</f>
        <v>8</v>
      </c>
      <c r="W237" t="str">
        <f>PROPER(TEXT(A237,"mmmm"))</f>
        <v>Agosto</v>
      </c>
      <c r="X237" t="str">
        <f>PROPER(TEXT(A237,"dddd"))</f>
        <v>Domingo</v>
      </c>
      <c r="Y237" t="str" cm="1">
        <f t="array" ref="Y237">_xlfn.IFS(R237&gt;10,"Excelente",R237&gt;=5,"Bueno",R237&gt;=2,"Débil",R237&lt;2,"Deficiente")</f>
        <v>Bueno</v>
      </c>
      <c r="Z237" t="str">
        <f>IF(AND(R237&lt;2,Q237&gt;=100),"Revisar","OK")</f>
        <v>OK</v>
      </c>
      <c r="AA237" s="55">
        <f>_xlfn.XLOOKUP(C237,'Preguntas de negocio'!$C$114:$C$119,'Preguntas de negocio'!$D$114:$D$119,0)</f>
        <v>5.5</v>
      </c>
      <c r="AB237" s="55">
        <f>VLOOKUP(C237,'Preguntas de negocio'!$C$121:$D$127,2,FALSE)</f>
        <v>0.65</v>
      </c>
    </row>
    <row r="238" spans="1:28" x14ac:dyDescent="0.3">
      <c r="A238" s="1">
        <v>45672</v>
      </c>
      <c r="B238" s="2" t="s">
        <v>2636</v>
      </c>
      <c r="C238" s="2" t="s">
        <v>2521</v>
      </c>
      <c r="D238" s="2" t="s">
        <v>2528</v>
      </c>
      <c r="E238" s="2" t="s">
        <v>2534</v>
      </c>
      <c r="F238" s="3">
        <v>4521</v>
      </c>
      <c r="G238" s="3">
        <v>190</v>
      </c>
      <c r="H238" s="3">
        <v>8</v>
      </c>
      <c r="I238" s="4">
        <v>24.97</v>
      </c>
      <c r="J238" s="4">
        <v>726.07</v>
      </c>
      <c r="K238" s="3">
        <v>4</v>
      </c>
      <c r="L238" s="2" t="s">
        <v>2518</v>
      </c>
      <c r="M238" s="2" t="s">
        <v>2526</v>
      </c>
      <c r="N238" s="8">
        <f>IFERROR(G238/F238,0)</f>
        <v>4.2026100420261003E-2</v>
      </c>
      <c r="O238" s="8">
        <f>IFERROR(H238/G238,0)</f>
        <v>4.2105263157894736E-2</v>
      </c>
      <c r="P238" s="4">
        <f>IFERROR(I238/G238,0)</f>
        <v>0.13142105263157894</v>
      </c>
      <c r="Q238" s="4">
        <f>IFERROR(I238/H238,0)</f>
        <v>3.1212499999999999</v>
      </c>
      <c r="R238" s="12">
        <f>IFERROR(J238/I238,0)</f>
        <v>29.077693231878257</v>
      </c>
      <c r="S238" s="7">
        <f>Tabla_nuevas_columnas[[#This Row],[ROAS]]</f>
        <v>29.077693231878257</v>
      </c>
      <c r="T238" t="str">
        <f>_xlfn.CONCAT(C238,"-",D238)</f>
        <v>Paid Search-España</v>
      </c>
      <c r="U238">
        <f>YEAR(A238)</f>
        <v>2025</v>
      </c>
      <c r="V238">
        <f>MONTH(A238)</f>
        <v>1</v>
      </c>
      <c r="W238" t="str">
        <f>PROPER(TEXT(A238,"mmmm"))</f>
        <v>Enero</v>
      </c>
      <c r="X238" t="str">
        <f>PROPER(TEXT(A238,"dddd"))</f>
        <v>Miércoles</v>
      </c>
      <c r="Y238" t="str" cm="1">
        <f t="array" ref="Y238">_xlfn.IFS(R238&gt;10,"Excelente",R238&gt;=5,"Bueno",R238&gt;=2,"Débil",R238&lt;2,"Deficiente")</f>
        <v>Excelente</v>
      </c>
      <c r="Z238" t="str">
        <f>IF(AND(R238&lt;2,Q238&gt;=100),"Revisar","OK")</f>
        <v>OK</v>
      </c>
      <c r="AA238" s="55">
        <f>_xlfn.XLOOKUP(C238,'Preguntas de negocio'!$C$114:$C$119,'Preguntas de negocio'!$D$114:$D$119,0)</f>
        <v>5</v>
      </c>
      <c r="AB238" s="55">
        <f>VLOOKUP(C238,'Preguntas de negocio'!$C$121:$D$127,2,FALSE)</f>
        <v>1.1000000000000001</v>
      </c>
    </row>
    <row r="239" spans="1:28" x14ac:dyDescent="0.3">
      <c r="A239" s="1">
        <v>45970</v>
      </c>
      <c r="B239" s="2" t="s">
        <v>2640</v>
      </c>
      <c r="C239" s="2" t="s">
        <v>2515</v>
      </c>
      <c r="D239" s="2" t="s">
        <v>2528</v>
      </c>
      <c r="E239" s="2" t="s">
        <v>2517</v>
      </c>
      <c r="F239" s="3">
        <v>73351</v>
      </c>
      <c r="G239" s="3">
        <v>2461</v>
      </c>
      <c r="H239" s="3">
        <v>341</v>
      </c>
      <c r="I239" s="4">
        <v>563.62</v>
      </c>
      <c r="J239" s="4">
        <v>41037.68</v>
      </c>
      <c r="K239" s="3">
        <v>187</v>
      </c>
      <c r="L239" s="2" t="s">
        <v>2539</v>
      </c>
      <c r="M239" s="2" t="s">
        <v>2524</v>
      </c>
      <c r="N239" s="8">
        <f>IFERROR(G239/F239,0)</f>
        <v>3.3551008166214501E-2</v>
      </c>
      <c r="O239" s="8">
        <f>IFERROR(H239/G239,0)</f>
        <v>0.13856156034132466</v>
      </c>
      <c r="P239" s="4">
        <f>IFERROR(I239/G239,0)</f>
        <v>0.22902072328321821</v>
      </c>
      <c r="Q239" s="4">
        <f>IFERROR(I239/H239,0)</f>
        <v>1.6528445747800586</v>
      </c>
      <c r="R239" s="12">
        <f>IFERROR(J239/I239,0)</f>
        <v>72.810900961640826</v>
      </c>
      <c r="S239" s="7">
        <f>Tabla_nuevas_columnas[[#This Row],[ROAS]]</f>
        <v>72.810900961640826</v>
      </c>
      <c r="T239" t="str">
        <f>_xlfn.CONCAT(C239,"-",D239)</f>
        <v>Email-España</v>
      </c>
      <c r="U239">
        <f>YEAR(A239)</f>
        <v>2025</v>
      </c>
      <c r="V239">
        <f>MONTH(A239)</f>
        <v>11</v>
      </c>
      <c r="W239" t="str">
        <f>PROPER(TEXT(A239,"mmmm"))</f>
        <v>Noviembre</v>
      </c>
      <c r="X239" t="str">
        <f>PROPER(TEXT(A239,"dddd"))</f>
        <v>Domingo</v>
      </c>
      <c r="Y239" t="str" cm="1">
        <f t="array" ref="Y239">_xlfn.IFS(R239&gt;10,"Excelente",R239&gt;=5,"Bueno",R239&gt;=2,"Débil",R239&lt;2,"Deficiente")</f>
        <v>Excelente</v>
      </c>
      <c r="Z239" t="str">
        <f>IF(AND(R239&lt;2,Q239&gt;=100),"Revisar","OK")</f>
        <v>OK</v>
      </c>
      <c r="AA239" s="55">
        <f>_xlfn.XLOOKUP(C239,'Preguntas de negocio'!$C$114:$C$119,'Preguntas de negocio'!$D$114:$D$119,0)</f>
        <v>5.5</v>
      </c>
      <c r="AB239" s="55">
        <f>VLOOKUP(C239,'Preguntas de negocio'!$C$121:$D$127,2,FALSE)</f>
        <v>0.65</v>
      </c>
    </row>
    <row r="240" spans="1:28" x14ac:dyDescent="0.3">
      <c r="A240" s="1">
        <v>45695</v>
      </c>
      <c r="B240" s="2" t="s">
        <v>2640</v>
      </c>
      <c r="C240" s="2" t="s">
        <v>2527</v>
      </c>
      <c r="D240" s="2" t="s">
        <v>2531</v>
      </c>
      <c r="E240" s="2" t="s">
        <v>2529</v>
      </c>
      <c r="F240" s="3">
        <v>88432</v>
      </c>
      <c r="G240" s="3">
        <v>1168</v>
      </c>
      <c r="H240" s="3">
        <v>132</v>
      </c>
      <c r="I240" s="4">
        <v>1704.43</v>
      </c>
      <c r="J240" s="4">
        <v>8742.64</v>
      </c>
      <c r="K240" s="3">
        <v>102</v>
      </c>
      <c r="L240" s="2" t="s">
        <v>2523</v>
      </c>
      <c r="M240" s="2" t="s">
        <v>2546</v>
      </c>
      <c r="N240" s="8">
        <f>IFERROR(G240/F240,0)</f>
        <v>1.3207888547132261E-2</v>
      </c>
      <c r="O240" s="8">
        <f>IFERROR(H240/G240,0)</f>
        <v>0.11301369863013698</v>
      </c>
      <c r="P240" s="4">
        <f>IFERROR(I240/G240,0)</f>
        <v>1.4592722602739727</v>
      </c>
      <c r="Q240" s="4">
        <f>IFERROR(I240/H240,0)</f>
        <v>12.912348484848485</v>
      </c>
      <c r="R240" s="12">
        <f>IFERROR(J240/I240,0)</f>
        <v>5.1293628955134558</v>
      </c>
      <c r="S240" s="7">
        <f>Tabla_nuevas_columnas[[#This Row],[ROAS]]</f>
        <v>5.1293628955134558</v>
      </c>
      <c r="T240" t="str">
        <f>_xlfn.CONCAT(C240,"-",D240)</f>
        <v>Affiliate-Portugal</v>
      </c>
      <c r="U240">
        <f>YEAR(A240)</f>
        <v>2025</v>
      </c>
      <c r="V240">
        <f>MONTH(A240)</f>
        <v>2</v>
      </c>
      <c r="W240" t="str">
        <f>PROPER(TEXT(A240,"mmmm"))</f>
        <v>Febrero</v>
      </c>
      <c r="X240" t="str">
        <f>PROPER(TEXT(A240,"dddd"))</f>
        <v>Viernes</v>
      </c>
      <c r="Y240" t="str" cm="1">
        <f t="array" ref="Y240">_xlfn.IFS(R240&gt;10,"Excelente",R240&gt;=5,"Bueno",R240&gt;=2,"Débil",R240&lt;2,"Deficiente")</f>
        <v>Bueno</v>
      </c>
      <c r="Z240" t="str">
        <f>IF(AND(R240&lt;2,Q240&gt;=100),"Revisar","OK")</f>
        <v>OK</v>
      </c>
      <c r="AA240" s="55">
        <f>_xlfn.XLOOKUP(C240,'Preguntas de negocio'!$C$114:$C$119,'Preguntas de negocio'!$D$114:$D$119,0)</f>
        <v>4.5</v>
      </c>
      <c r="AB240" s="55">
        <f>VLOOKUP(C240,'Preguntas de negocio'!$C$121:$D$127,2,FALSE)</f>
        <v>0.35</v>
      </c>
    </row>
    <row r="241" spans="1:28" x14ac:dyDescent="0.3">
      <c r="A241" s="1">
        <v>45666</v>
      </c>
      <c r="B241" s="2" t="s">
        <v>2635</v>
      </c>
      <c r="C241" s="2" t="s">
        <v>2543</v>
      </c>
      <c r="D241" s="2" t="s">
        <v>2528</v>
      </c>
      <c r="E241" s="2" t="s">
        <v>2529</v>
      </c>
      <c r="F241" s="3">
        <v>32995</v>
      </c>
      <c r="G241" s="3">
        <v>1206</v>
      </c>
      <c r="H241" s="3">
        <v>33</v>
      </c>
      <c r="I241" s="4">
        <v>466.06</v>
      </c>
      <c r="J241" s="4">
        <v>3024.19</v>
      </c>
      <c r="K241" s="3">
        <v>18</v>
      </c>
      <c r="L241" s="2" t="s">
        <v>2539</v>
      </c>
      <c r="M241" s="2" t="s">
        <v>2546</v>
      </c>
      <c r="N241" s="8">
        <f>IFERROR(G241/F241,0)</f>
        <v>3.655099257463252E-2</v>
      </c>
      <c r="O241" s="8">
        <f>IFERROR(H241/G241,0)</f>
        <v>2.736318407960199E-2</v>
      </c>
      <c r="P241" s="4">
        <f>IFERROR(I241/G241,0)</f>
        <v>0.38645107794361527</v>
      </c>
      <c r="Q241" s="4">
        <f>IFERROR(I241/H241,0)</f>
        <v>14.123030303030303</v>
      </c>
      <c r="R241" s="12">
        <f>IFERROR(J241/I241,0)</f>
        <v>6.4888426382869158</v>
      </c>
      <c r="S241" s="7">
        <f>Tabla_nuevas_columnas[[#This Row],[ROAS]]</f>
        <v>6.4888426382869158</v>
      </c>
      <c r="T241" t="str">
        <f>_xlfn.CONCAT(C241,"-",D241)</f>
        <v>Organic Social-España</v>
      </c>
      <c r="U241">
        <f>YEAR(A241)</f>
        <v>2025</v>
      </c>
      <c r="V241">
        <f>MONTH(A241)</f>
        <v>1</v>
      </c>
      <c r="W241" t="str">
        <f>PROPER(TEXT(A241,"mmmm"))</f>
        <v>Enero</v>
      </c>
      <c r="X241" t="str">
        <f>PROPER(TEXT(A241,"dddd"))</f>
        <v>Jueves</v>
      </c>
      <c r="Y241" t="str" cm="1">
        <f t="array" ref="Y241">_xlfn.IFS(R241&gt;10,"Excelente",R241&gt;=5,"Bueno",R241&gt;=2,"Débil",R241&lt;2,"Deficiente")</f>
        <v>Bueno</v>
      </c>
      <c r="Z241" t="str">
        <f>IF(AND(R241&lt;2,Q241&gt;=100),"Revisar","OK")</f>
        <v>OK</v>
      </c>
      <c r="AA241" s="55">
        <f>_xlfn.XLOOKUP(C241,'Preguntas de negocio'!$C$114:$C$119,'Preguntas de negocio'!$D$114:$D$119,0)</f>
        <v>4</v>
      </c>
      <c r="AB241" s="55">
        <f>VLOOKUP(C241,'Preguntas de negocio'!$C$121:$D$127,2,FALSE)</f>
        <v>0.95</v>
      </c>
    </row>
    <row r="242" spans="1:28" x14ac:dyDescent="0.3">
      <c r="A242" s="1">
        <v>45829</v>
      </c>
      <c r="B242" s="2" t="s">
        <v>2628</v>
      </c>
      <c r="C242" s="2" t="s">
        <v>2527</v>
      </c>
      <c r="D242" s="2" t="s">
        <v>2528</v>
      </c>
      <c r="E242" s="2" t="s">
        <v>2529</v>
      </c>
      <c r="F242" s="3">
        <v>126344</v>
      </c>
      <c r="G242" s="3">
        <v>1283</v>
      </c>
      <c r="H242" s="3">
        <v>94</v>
      </c>
      <c r="I242" s="4">
        <v>815.77</v>
      </c>
      <c r="J242" s="4">
        <v>15005.56</v>
      </c>
      <c r="K242" s="3">
        <v>56</v>
      </c>
      <c r="L242" s="2" t="s">
        <v>2523</v>
      </c>
      <c r="M242" s="2" t="s">
        <v>2537</v>
      </c>
      <c r="N242" s="8">
        <f>IFERROR(G242/F242,0)</f>
        <v>1.0154815424555182E-2</v>
      </c>
      <c r="O242" s="8">
        <f>IFERROR(H242/G242,0)</f>
        <v>7.3265783320342948E-2</v>
      </c>
      <c r="P242" s="4">
        <f>IFERROR(I242/G242,0)</f>
        <v>0.63583008573655497</v>
      </c>
      <c r="Q242" s="4">
        <f>IFERROR(I242/H242,0)</f>
        <v>8.6784042553191494</v>
      </c>
      <c r="R242" s="12">
        <f>IFERROR(J242/I242,0)</f>
        <v>18.394351349032203</v>
      </c>
      <c r="S242" s="7">
        <f>Tabla_nuevas_columnas[[#This Row],[ROAS]]</f>
        <v>18.394351349032203</v>
      </c>
      <c r="T242" t="str">
        <f>_xlfn.CONCAT(C242,"-",D242)</f>
        <v>Affiliate-España</v>
      </c>
      <c r="U242">
        <f>YEAR(A242)</f>
        <v>2025</v>
      </c>
      <c r="V242">
        <f>MONTH(A242)</f>
        <v>6</v>
      </c>
      <c r="W242" t="str">
        <f>PROPER(TEXT(A242,"mmmm"))</f>
        <v>Junio</v>
      </c>
      <c r="X242" t="str">
        <f>PROPER(TEXT(A242,"dddd"))</f>
        <v>Sábado</v>
      </c>
      <c r="Y242" t="str" cm="1">
        <f t="array" ref="Y242">_xlfn.IFS(R242&gt;10,"Excelente",R242&gt;=5,"Bueno",R242&gt;=2,"Débil",R242&lt;2,"Deficiente")</f>
        <v>Excelente</v>
      </c>
      <c r="Z242" t="str">
        <f>IF(AND(R242&lt;2,Q242&gt;=100),"Revisar","OK")</f>
        <v>OK</v>
      </c>
      <c r="AA242" s="55">
        <f>_xlfn.XLOOKUP(C242,'Preguntas de negocio'!$C$114:$C$119,'Preguntas de negocio'!$D$114:$D$119,0)</f>
        <v>4.5</v>
      </c>
      <c r="AB242" s="55">
        <f>VLOOKUP(C242,'Preguntas de negocio'!$C$121:$D$127,2,FALSE)</f>
        <v>0.35</v>
      </c>
    </row>
    <row r="243" spans="1:28" x14ac:dyDescent="0.3">
      <c r="A243" s="1">
        <v>45892</v>
      </c>
      <c r="B243" s="2" t="s">
        <v>2638</v>
      </c>
      <c r="C243" s="2" t="s">
        <v>2541</v>
      </c>
      <c r="D243" s="2" t="s">
        <v>2516</v>
      </c>
      <c r="E243" s="2" t="s">
        <v>2529</v>
      </c>
      <c r="F243" s="3">
        <v>87265</v>
      </c>
      <c r="G243" s="3">
        <v>2441</v>
      </c>
      <c r="H243" s="3">
        <v>40</v>
      </c>
      <c r="I243" s="4">
        <v>3749.31</v>
      </c>
      <c r="J243" s="4">
        <v>2624.65</v>
      </c>
      <c r="K243" s="3">
        <v>27</v>
      </c>
      <c r="L243" s="2" t="s">
        <v>2523</v>
      </c>
      <c r="M243" s="2" t="s">
        <v>2537</v>
      </c>
      <c r="N243" s="8">
        <f>IFERROR(G243/F243,0)</f>
        <v>2.7972268377929297E-2</v>
      </c>
      <c r="O243" s="8">
        <f>IFERROR(H243/G243,0)</f>
        <v>1.6386726751331421E-2</v>
      </c>
      <c r="P243" s="4">
        <f>IFERROR(I243/G243,0)</f>
        <v>1.5359729619008602</v>
      </c>
      <c r="Q243" s="4">
        <f>IFERROR(I243/H243,0)</f>
        <v>93.732749999999996</v>
      </c>
      <c r="R243" s="12">
        <f>IFERROR(J243/I243,0)</f>
        <v>0.70003547319373438</v>
      </c>
      <c r="S243" s="7">
        <f>Tabla_nuevas_columnas[[#This Row],[ROAS]]</f>
        <v>0.70003547319373438</v>
      </c>
      <c r="T243" t="str">
        <f>_xlfn.CONCAT(C243,"-",D243)</f>
        <v>Display-México</v>
      </c>
      <c r="U243">
        <f>YEAR(A243)</f>
        <v>2025</v>
      </c>
      <c r="V243">
        <f>MONTH(A243)</f>
        <v>8</v>
      </c>
      <c r="W243" t="str">
        <f>PROPER(TEXT(A243,"mmmm"))</f>
        <v>Agosto</v>
      </c>
      <c r="X243" t="str">
        <f>PROPER(TEXT(A243,"dddd"))</f>
        <v>Sábado</v>
      </c>
      <c r="Y243" t="str" cm="1">
        <f t="array" ref="Y243">_xlfn.IFS(R243&gt;10,"Excelente",R243&gt;=5,"Bueno",R243&gt;=2,"Débil",R243&lt;2,"Deficiente")</f>
        <v>Deficiente</v>
      </c>
      <c r="Z243" t="str">
        <f>IF(AND(R243&lt;2,Q243&gt;=100),"Revisar","OK")</f>
        <v>OK</v>
      </c>
      <c r="AA243" s="55">
        <f>_xlfn.XLOOKUP(C243,'Preguntas de negocio'!$C$114:$C$119,'Preguntas de negocio'!$D$114:$D$119,0)</f>
        <v>5</v>
      </c>
      <c r="AB243" s="55">
        <f>VLOOKUP(C243,'Preguntas de negocio'!$C$121:$D$127,2,FALSE)</f>
        <v>0.5</v>
      </c>
    </row>
    <row r="244" spans="1:28" x14ac:dyDescent="0.3">
      <c r="A244" s="1">
        <v>45979</v>
      </c>
      <c r="B244" s="2" t="s">
        <v>2641</v>
      </c>
      <c r="C244" s="2" t="s">
        <v>2533</v>
      </c>
      <c r="D244" s="2" t="s">
        <v>2525</v>
      </c>
      <c r="E244" s="2" t="s">
        <v>2517</v>
      </c>
      <c r="F244" s="3">
        <v>96295</v>
      </c>
      <c r="G244" s="3">
        <v>1424</v>
      </c>
      <c r="H244" s="3">
        <v>81</v>
      </c>
      <c r="I244" s="4">
        <v>323.29000000000002</v>
      </c>
      <c r="J244" s="4">
        <v>16529.73</v>
      </c>
      <c r="K244" s="3">
        <v>39</v>
      </c>
      <c r="L244" s="2" t="s">
        <v>2518</v>
      </c>
      <c r="M244" s="2" t="s">
        <v>2546</v>
      </c>
      <c r="N244" s="8">
        <f>IFERROR(G244/F244,0)</f>
        <v>1.4787891375460823E-2</v>
      </c>
      <c r="O244" s="8">
        <f>IFERROR(H244/G244,0)</f>
        <v>5.6882022471910113E-2</v>
      </c>
      <c r="P244" s="4">
        <f>IFERROR(I244/G244,0)</f>
        <v>0.2270294943820225</v>
      </c>
      <c r="Q244" s="4">
        <f>IFERROR(I244/H244,0)</f>
        <v>3.9912345679012349</v>
      </c>
      <c r="R244" s="12">
        <f>IFERROR(J244/I244,0)</f>
        <v>51.129728726530352</v>
      </c>
      <c r="S244" s="7">
        <f>Tabla_nuevas_columnas[[#This Row],[ROAS]]</f>
        <v>51.129728726530352</v>
      </c>
      <c r="T244" t="str">
        <f>_xlfn.CONCAT(C244,"-",D244)</f>
        <v>Paid Social-Francia</v>
      </c>
      <c r="U244">
        <f>YEAR(A244)</f>
        <v>2025</v>
      </c>
      <c r="V244">
        <f>MONTH(A244)</f>
        <v>11</v>
      </c>
      <c r="W244" t="str">
        <f>PROPER(TEXT(A244,"mmmm"))</f>
        <v>Noviembre</v>
      </c>
      <c r="X244" t="str">
        <f>PROPER(TEXT(A244,"dddd"))</f>
        <v>Martes</v>
      </c>
      <c r="Y244" t="str" cm="1">
        <f t="array" ref="Y244">_xlfn.IFS(R244&gt;10,"Excelente",R244&gt;=5,"Bueno",R244&gt;=2,"Débil",R244&lt;2,"Deficiente")</f>
        <v>Excelente</v>
      </c>
      <c r="Z244" t="str">
        <f>IF(AND(R244&lt;2,Q244&gt;=100),"Revisar","OK")</f>
        <v>OK</v>
      </c>
      <c r="AA244" s="55">
        <f>_xlfn.XLOOKUP(C244,'Preguntas de negocio'!$C$114:$C$119,'Preguntas de negocio'!$D$114:$D$119,0)</f>
        <v>6</v>
      </c>
      <c r="AB244" s="55">
        <f>VLOOKUP(C244,'Preguntas de negocio'!$C$121:$D$127,2,FALSE)</f>
        <v>0.8</v>
      </c>
    </row>
    <row r="245" spans="1:28" x14ac:dyDescent="0.3">
      <c r="A245" s="1">
        <v>45721</v>
      </c>
      <c r="B245" s="2" t="s">
        <v>2616</v>
      </c>
      <c r="C245" s="2" t="s">
        <v>2527</v>
      </c>
      <c r="D245" s="2" t="s">
        <v>2528</v>
      </c>
      <c r="E245" s="2" t="s">
        <v>2517</v>
      </c>
      <c r="F245" s="3">
        <v>43556</v>
      </c>
      <c r="G245" s="3">
        <v>2837</v>
      </c>
      <c r="H245" s="3">
        <v>206</v>
      </c>
      <c r="I245" s="4">
        <v>4174.68</v>
      </c>
      <c r="J245" s="4">
        <v>23271.79</v>
      </c>
      <c r="K245" s="3">
        <v>174</v>
      </c>
      <c r="L245" s="2" t="s">
        <v>2539</v>
      </c>
      <c r="M245" s="2" t="s">
        <v>2546</v>
      </c>
      <c r="N245" s="8">
        <f>IFERROR(G245/F245,0)</f>
        <v>6.5134539443475067E-2</v>
      </c>
      <c r="O245" s="8">
        <f>IFERROR(H245/G245,0)</f>
        <v>7.2611913993655269E-2</v>
      </c>
      <c r="P245" s="4">
        <f>IFERROR(I245/G245,0)</f>
        <v>1.4715121607331689</v>
      </c>
      <c r="Q245" s="4">
        <f>IFERROR(I245/H245,0)</f>
        <v>20.265436893203884</v>
      </c>
      <c r="R245" s="12">
        <f>IFERROR(J245/I245,0)</f>
        <v>5.5745087048588156</v>
      </c>
      <c r="S245" s="7">
        <f>Tabla_nuevas_columnas[[#This Row],[ROAS]]</f>
        <v>5.5745087048588156</v>
      </c>
      <c r="T245" t="str">
        <f>_xlfn.CONCAT(C245,"-",D245)</f>
        <v>Affiliate-España</v>
      </c>
      <c r="U245">
        <f>YEAR(A245)</f>
        <v>2025</v>
      </c>
      <c r="V245">
        <f>MONTH(A245)</f>
        <v>3</v>
      </c>
      <c r="W245" t="str">
        <f>PROPER(TEXT(A245,"mmmm"))</f>
        <v>Marzo</v>
      </c>
      <c r="X245" t="str">
        <f>PROPER(TEXT(A245,"dddd"))</f>
        <v>Miércoles</v>
      </c>
      <c r="Y245" t="str" cm="1">
        <f t="array" ref="Y245">_xlfn.IFS(R245&gt;10,"Excelente",R245&gt;=5,"Bueno",R245&gt;=2,"Débil",R245&lt;2,"Deficiente")</f>
        <v>Bueno</v>
      </c>
      <c r="Z245" t="str">
        <f>IF(AND(R245&lt;2,Q245&gt;=100),"Revisar","OK")</f>
        <v>OK</v>
      </c>
      <c r="AA245" s="55">
        <f>_xlfn.XLOOKUP(C245,'Preguntas de negocio'!$C$114:$C$119,'Preguntas de negocio'!$D$114:$D$119,0)</f>
        <v>4.5</v>
      </c>
      <c r="AB245" s="55">
        <f>VLOOKUP(C245,'Preguntas de negocio'!$C$121:$D$127,2,FALSE)</f>
        <v>0.35</v>
      </c>
    </row>
    <row r="246" spans="1:28" x14ac:dyDescent="0.3">
      <c r="A246" s="1">
        <v>45875</v>
      </c>
      <c r="B246" s="2" t="s">
        <v>2642</v>
      </c>
      <c r="C246" s="2" t="s">
        <v>2527</v>
      </c>
      <c r="D246" s="2" t="s">
        <v>2528</v>
      </c>
      <c r="E246" s="2" t="s">
        <v>2517</v>
      </c>
      <c r="F246" s="3">
        <v>42915</v>
      </c>
      <c r="G246" s="3">
        <v>2250</v>
      </c>
      <c r="H246" s="3">
        <v>58</v>
      </c>
      <c r="I246" s="4">
        <v>386.61</v>
      </c>
      <c r="J246" s="4">
        <v>12032.29</v>
      </c>
      <c r="K246" s="3">
        <v>44</v>
      </c>
      <c r="L246" s="2" t="s">
        <v>2536</v>
      </c>
      <c r="M246" s="2" t="s">
        <v>2537</v>
      </c>
      <c r="N246" s="8">
        <f>IFERROR(G246/F246,0)</f>
        <v>5.2429220552254456E-2</v>
      </c>
      <c r="O246" s="8">
        <f>IFERROR(H246/G246,0)</f>
        <v>2.5777777777777778E-2</v>
      </c>
      <c r="P246" s="4">
        <f>IFERROR(I246/G246,0)</f>
        <v>0.17182666666666668</v>
      </c>
      <c r="Q246" s="4">
        <f>IFERROR(I246/H246,0)</f>
        <v>6.6656896551724136</v>
      </c>
      <c r="R246" s="12">
        <f>IFERROR(J246/I246,0)</f>
        <v>31.122552443030447</v>
      </c>
      <c r="S246" s="7">
        <f>Tabla_nuevas_columnas[[#This Row],[ROAS]]</f>
        <v>31.122552443030447</v>
      </c>
      <c r="T246" t="str">
        <f>_xlfn.CONCAT(C246,"-",D246)</f>
        <v>Affiliate-España</v>
      </c>
      <c r="U246">
        <f>YEAR(A246)</f>
        <v>2025</v>
      </c>
      <c r="V246">
        <f>MONTH(A246)</f>
        <v>8</v>
      </c>
      <c r="W246" t="str">
        <f>PROPER(TEXT(A246,"mmmm"))</f>
        <v>Agosto</v>
      </c>
      <c r="X246" t="str">
        <f>PROPER(TEXT(A246,"dddd"))</f>
        <v>Miércoles</v>
      </c>
      <c r="Y246" t="str" cm="1">
        <f t="array" ref="Y246">_xlfn.IFS(R246&gt;10,"Excelente",R246&gt;=5,"Bueno",R246&gt;=2,"Débil",R246&lt;2,"Deficiente")</f>
        <v>Excelente</v>
      </c>
      <c r="Z246" t="str">
        <f>IF(AND(R246&lt;2,Q246&gt;=100),"Revisar","OK")</f>
        <v>OK</v>
      </c>
      <c r="AA246" s="55">
        <f>_xlfn.XLOOKUP(C246,'Preguntas de negocio'!$C$114:$C$119,'Preguntas de negocio'!$D$114:$D$119,0)</f>
        <v>4.5</v>
      </c>
      <c r="AB246" s="55">
        <f>VLOOKUP(C246,'Preguntas de negocio'!$C$121:$D$127,2,FALSE)</f>
        <v>0.35</v>
      </c>
    </row>
    <row r="247" spans="1:28" x14ac:dyDescent="0.3">
      <c r="A247" s="1">
        <v>45965</v>
      </c>
      <c r="B247" s="2" t="s">
        <v>2626</v>
      </c>
      <c r="C247" s="2" t="s">
        <v>2533</v>
      </c>
      <c r="D247" s="2" t="s">
        <v>2531</v>
      </c>
      <c r="E247" s="2" t="s">
        <v>2529</v>
      </c>
      <c r="F247" s="3">
        <v>175749</v>
      </c>
      <c r="G247" s="3">
        <v>1470</v>
      </c>
      <c r="H247" s="3">
        <v>166</v>
      </c>
      <c r="I247" s="4">
        <v>1907.79</v>
      </c>
      <c r="J247" s="4">
        <v>12739.89</v>
      </c>
      <c r="K247" s="3">
        <v>77</v>
      </c>
      <c r="L247" s="2" t="s">
        <v>2536</v>
      </c>
      <c r="M247" s="2" t="s">
        <v>2546</v>
      </c>
      <c r="N247" s="8">
        <f>IFERROR(G247/F247,0)</f>
        <v>8.3642012187836057E-3</v>
      </c>
      <c r="O247" s="8">
        <f>IFERROR(H247/G247,0)</f>
        <v>0.11292517006802721</v>
      </c>
      <c r="P247" s="4">
        <f>IFERROR(I247/G247,0)</f>
        <v>1.2978163265306122</v>
      </c>
      <c r="Q247" s="4">
        <f>IFERROR(I247/H247,0)</f>
        <v>11.492710843373494</v>
      </c>
      <c r="R247" s="12">
        <f>IFERROR(J247/I247,0)</f>
        <v>6.6778261758369633</v>
      </c>
      <c r="S247" s="7">
        <f>Tabla_nuevas_columnas[[#This Row],[ROAS]]</f>
        <v>6.6778261758369633</v>
      </c>
      <c r="T247" t="str">
        <f>_xlfn.CONCAT(C247,"-",D247)</f>
        <v>Paid Social-Portugal</v>
      </c>
      <c r="U247">
        <f>YEAR(A247)</f>
        <v>2025</v>
      </c>
      <c r="V247">
        <f>MONTH(A247)</f>
        <v>11</v>
      </c>
      <c r="W247" t="str">
        <f>PROPER(TEXT(A247,"mmmm"))</f>
        <v>Noviembre</v>
      </c>
      <c r="X247" t="str">
        <f>PROPER(TEXT(A247,"dddd"))</f>
        <v>Martes</v>
      </c>
      <c r="Y247" t="str" cm="1">
        <f t="array" ref="Y247">_xlfn.IFS(R247&gt;10,"Excelente",R247&gt;=5,"Bueno",R247&gt;=2,"Débil",R247&lt;2,"Deficiente")</f>
        <v>Bueno</v>
      </c>
      <c r="Z247" t="str">
        <f>IF(AND(R247&lt;2,Q247&gt;=100),"Revisar","OK")</f>
        <v>OK</v>
      </c>
      <c r="AA247" s="55">
        <f>_xlfn.XLOOKUP(C247,'Preguntas de negocio'!$C$114:$C$119,'Preguntas de negocio'!$D$114:$D$119,0)</f>
        <v>6</v>
      </c>
      <c r="AB247" s="55">
        <f>VLOOKUP(C247,'Preguntas de negocio'!$C$121:$D$127,2,FALSE)</f>
        <v>0.8</v>
      </c>
    </row>
    <row r="248" spans="1:28" x14ac:dyDescent="0.3">
      <c r="A248" s="1">
        <v>45804</v>
      </c>
      <c r="B248" s="2" t="s">
        <v>2638</v>
      </c>
      <c r="C248" s="2" t="s">
        <v>2533</v>
      </c>
      <c r="D248" s="2" t="s">
        <v>2528</v>
      </c>
      <c r="E248" s="2" t="s">
        <v>2529</v>
      </c>
      <c r="F248" s="3">
        <v>141863</v>
      </c>
      <c r="G248" s="3">
        <v>11654</v>
      </c>
      <c r="H248" s="3">
        <v>142</v>
      </c>
      <c r="I248" s="4">
        <v>7848.74</v>
      </c>
      <c r="J248" s="4">
        <v>19458.05</v>
      </c>
      <c r="K248" s="3">
        <v>98</v>
      </c>
      <c r="L248" s="2" t="s">
        <v>2539</v>
      </c>
      <c r="M248" s="2" t="s">
        <v>2519</v>
      </c>
      <c r="N248" s="8">
        <f>IFERROR(G248/F248,0)</f>
        <v>8.2149679620478908E-2</v>
      </c>
      <c r="O248" s="8">
        <f>IFERROR(H248/G248,0)</f>
        <v>1.2184657628282134E-2</v>
      </c>
      <c r="P248" s="4">
        <f>IFERROR(I248/G248,0)</f>
        <v>0.67348035009438822</v>
      </c>
      <c r="Q248" s="4">
        <f>IFERROR(I248/H248,0)</f>
        <v>55.272816901408447</v>
      </c>
      <c r="R248" s="12">
        <f>IFERROR(J248/I248,0)</f>
        <v>2.4791304081929075</v>
      </c>
      <c r="S248" s="7">
        <f>Tabla_nuevas_columnas[[#This Row],[ROAS]]</f>
        <v>2.4791304081929075</v>
      </c>
      <c r="T248" t="str">
        <f>_xlfn.CONCAT(C248,"-",D248)</f>
        <v>Paid Social-España</v>
      </c>
      <c r="U248">
        <f>YEAR(A248)</f>
        <v>2025</v>
      </c>
      <c r="V248">
        <f>MONTH(A248)</f>
        <v>5</v>
      </c>
      <c r="W248" t="str">
        <f>PROPER(TEXT(A248,"mmmm"))</f>
        <v>Mayo</v>
      </c>
      <c r="X248" t="str">
        <f>PROPER(TEXT(A248,"dddd"))</f>
        <v>Martes</v>
      </c>
      <c r="Y248" t="str" cm="1">
        <f t="array" ref="Y248">_xlfn.IFS(R248&gt;10,"Excelente",R248&gt;=5,"Bueno",R248&gt;=2,"Débil",R248&lt;2,"Deficiente")</f>
        <v>Débil</v>
      </c>
      <c r="Z248" t="str">
        <f>IF(AND(R248&lt;2,Q248&gt;=100),"Revisar","OK")</f>
        <v>OK</v>
      </c>
      <c r="AA248" s="55">
        <f>_xlfn.XLOOKUP(C248,'Preguntas de negocio'!$C$114:$C$119,'Preguntas de negocio'!$D$114:$D$119,0)</f>
        <v>6</v>
      </c>
      <c r="AB248" s="55">
        <f>VLOOKUP(C248,'Preguntas de negocio'!$C$121:$D$127,2,FALSE)</f>
        <v>0.8</v>
      </c>
    </row>
    <row r="249" spans="1:28" x14ac:dyDescent="0.3">
      <c r="A249" s="1">
        <v>45758</v>
      </c>
      <c r="B249" s="2" t="s">
        <v>2639</v>
      </c>
      <c r="C249" s="2" t="s">
        <v>2541</v>
      </c>
      <c r="D249" s="2" t="s">
        <v>2525</v>
      </c>
      <c r="E249" s="2" t="s">
        <v>2534</v>
      </c>
      <c r="F249" s="3">
        <v>119882</v>
      </c>
      <c r="G249" s="3">
        <v>4931</v>
      </c>
      <c r="H249" s="3">
        <v>486</v>
      </c>
      <c r="I249" s="4">
        <v>9281.2900000000009</v>
      </c>
      <c r="J249" s="4">
        <v>71734.789999999994</v>
      </c>
      <c r="K249" s="3">
        <v>429</v>
      </c>
      <c r="L249" s="2" t="s">
        <v>2536</v>
      </c>
      <c r="M249" s="2" t="s">
        <v>2519</v>
      </c>
      <c r="N249" s="8">
        <f>IFERROR(G249/F249,0)</f>
        <v>4.1132113244690613E-2</v>
      </c>
      <c r="O249" s="8">
        <f>IFERROR(H249/G249,0)</f>
        <v>9.8560129791117418E-2</v>
      </c>
      <c r="P249" s="4">
        <f>IFERROR(I249/G249,0)</f>
        <v>1.882232812816873</v>
      </c>
      <c r="Q249" s="4">
        <f>IFERROR(I249/H249,0)</f>
        <v>19.097304526748974</v>
      </c>
      <c r="R249" s="12">
        <f>IFERROR(J249/I249,0)</f>
        <v>7.7289676327320862</v>
      </c>
      <c r="S249" s="7">
        <f>Tabla_nuevas_columnas[[#This Row],[ROAS]]</f>
        <v>7.7289676327320862</v>
      </c>
      <c r="T249" t="str">
        <f>_xlfn.CONCAT(C249,"-",D249)</f>
        <v>Display-Francia</v>
      </c>
      <c r="U249">
        <f>YEAR(A249)</f>
        <v>2025</v>
      </c>
      <c r="V249">
        <f>MONTH(A249)</f>
        <v>4</v>
      </c>
      <c r="W249" t="str">
        <f>PROPER(TEXT(A249,"mmmm"))</f>
        <v>Abril</v>
      </c>
      <c r="X249" t="str">
        <f>PROPER(TEXT(A249,"dddd"))</f>
        <v>Viernes</v>
      </c>
      <c r="Y249" t="str" cm="1">
        <f t="array" ref="Y249">_xlfn.IFS(R249&gt;10,"Excelente",R249&gt;=5,"Bueno",R249&gt;=2,"Débil",R249&lt;2,"Deficiente")</f>
        <v>Bueno</v>
      </c>
      <c r="Z249" t="str">
        <f>IF(AND(R249&lt;2,Q249&gt;=100),"Revisar","OK")</f>
        <v>OK</v>
      </c>
      <c r="AA249" s="55">
        <f>_xlfn.XLOOKUP(C249,'Preguntas de negocio'!$C$114:$C$119,'Preguntas de negocio'!$D$114:$D$119,0)</f>
        <v>5</v>
      </c>
      <c r="AB249" s="55">
        <f>VLOOKUP(C249,'Preguntas de negocio'!$C$121:$D$127,2,FALSE)</f>
        <v>0.5</v>
      </c>
    </row>
    <row r="250" spans="1:28" x14ac:dyDescent="0.3">
      <c r="A250" s="1">
        <v>45973</v>
      </c>
      <c r="B250" s="2" t="s">
        <v>2641</v>
      </c>
      <c r="C250" s="2" t="s">
        <v>2541</v>
      </c>
      <c r="D250" s="2" t="s">
        <v>2528</v>
      </c>
      <c r="E250" s="2" t="s">
        <v>2529</v>
      </c>
      <c r="F250" s="3">
        <v>145941</v>
      </c>
      <c r="G250" s="3">
        <v>9341</v>
      </c>
      <c r="H250" s="3">
        <v>580</v>
      </c>
      <c r="I250" s="4">
        <v>9501.42</v>
      </c>
      <c r="J250" s="4">
        <v>101929.86</v>
      </c>
      <c r="K250" s="3">
        <v>447</v>
      </c>
      <c r="L250" s="2" t="s">
        <v>2523</v>
      </c>
      <c r="M250" s="2" t="s">
        <v>2645</v>
      </c>
      <c r="N250" s="8">
        <f>IFERROR(G250/F250,0)</f>
        <v>6.4005317217231628E-2</v>
      </c>
      <c r="O250" s="8">
        <f>IFERROR(H250/G250,0)</f>
        <v>6.2091853120650894E-2</v>
      </c>
      <c r="P250" s="4">
        <f>IFERROR(I250/G250,0)</f>
        <v>1.0171737501338187</v>
      </c>
      <c r="Q250" s="4">
        <f>IFERROR(I250/H250,0)</f>
        <v>16.381758620689656</v>
      </c>
      <c r="R250" s="12">
        <f>IFERROR(J250/I250,0)</f>
        <v>10.727855415295819</v>
      </c>
      <c r="S250" s="7">
        <f>Tabla_nuevas_columnas[[#This Row],[ROAS]]</f>
        <v>10.727855415295819</v>
      </c>
      <c r="T250" t="str">
        <f>_xlfn.CONCAT(C250,"-",D250)</f>
        <v>Display-España</v>
      </c>
      <c r="U250">
        <f>YEAR(A250)</f>
        <v>2025</v>
      </c>
      <c r="V250">
        <f>MONTH(A250)</f>
        <v>11</v>
      </c>
      <c r="W250" t="str">
        <f>PROPER(TEXT(A250,"mmmm"))</f>
        <v>Noviembre</v>
      </c>
      <c r="X250" t="str">
        <f>PROPER(TEXT(A250,"dddd"))</f>
        <v>Miércoles</v>
      </c>
      <c r="Y250" t="str" cm="1">
        <f t="array" ref="Y250">_xlfn.IFS(R250&gt;10,"Excelente",R250&gt;=5,"Bueno",R250&gt;=2,"Débil",R250&lt;2,"Deficiente")</f>
        <v>Excelente</v>
      </c>
      <c r="Z250" t="str">
        <f>IF(AND(R250&lt;2,Q250&gt;=100),"Revisar","OK")</f>
        <v>OK</v>
      </c>
      <c r="AA250" s="55">
        <f>_xlfn.XLOOKUP(C250,'Preguntas de negocio'!$C$114:$C$119,'Preguntas de negocio'!$D$114:$D$119,0)</f>
        <v>5</v>
      </c>
      <c r="AB250" s="55">
        <f>VLOOKUP(C250,'Preguntas de negocio'!$C$121:$D$127,2,FALSE)</f>
        <v>0.5</v>
      </c>
    </row>
    <row r="251" spans="1:28" x14ac:dyDescent="0.3">
      <c r="A251" s="1">
        <v>45941</v>
      </c>
      <c r="B251" s="2" t="s">
        <v>2631</v>
      </c>
      <c r="C251" s="2" t="s">
        <v>2527</v>
      </c>
      <c r="D251" s="2" t="s">
        <v>2528</v>
      </c>
      <c r="E251" s="2" t="s">
        <v>2529</v>
      </c>
      <c r="F251" s="3">
        <v>105170</v>
      </c>
      <c r="G251" s="3">
        <v>9344</v>
      </c>
      <c r="H251" s="3">
        <v>1266</v>
      </c>
      <c r="I251" s="4">
        <v>19197.38</v>
      </c>
      <c r="J251" s="4">
        <v>90011.98</v>
      </c>
      <c r="K251" s="3">
        <v>682</v>
      </c>
      <c r="L251" s="2" t="s">
        <v>2536</v>
      </c>
      <c r="M251" s="2" t="s">
        <v>2524</v>
      </c>
      <c r="N251" s="8">
        <f>IFERROR(G251/F251,0)</f>
        <v>8.8846629266901206E-2</v>
      </c>
      <c r="O251" s="8">
        <f>IFERROR(H251/G251,0)</f>
        <v>0.13548801369863014</v>
      </c>
      <c r="P251" s="4">
        <f>IFERROR(I251/G251,0)</f>
        <v>2.0545141267123288</v>
      </c>
      <c r="Q251" s="4">
        <f>IFERROR(I251/H251,0)</f>
        <v>15.163807266982623</v>
      </c>
      <c r="R251" s="12">
        <f>IFERROR(J251/I251,0)</f>
        <v>4.6887637792240398</v>
      </c>
      <c r="S251" s="7">
        <f>Tabla_nuevas_columnas[[#This Row],[ROAS]]</f>
        <v>4.6887637792240398</v>
      </c>
      <c r="T251" t="str">
        <f>_xlfn.CONCAT(C251,"-",D251)</f>
        <v>Affiliate-España</v>
      </c>
      <c r="U251">
        <f>YEAR(A251)</f>
        <v>2025</v>
      </c>
      <c r="V251">
        <f>MONTH(A251)</f>
        <v>10</v>
      </c>
      <c r="W251" t="str">
        <f>PROPER(TEXT(A251,"mmmm"))</f>
        <v>Octubre</v>
      </c>
      <c r="X251" t="str">
        <f>PROPER(TEXT(A251,"dddd"))</f>
        <v>Sábado</v>
      </c>
      <c r="Y251" t="str" cm="1">
        <f t="array" ref="Y251">_xlfn.IFS(R251&gt;10,"Excelente",R251&gt;=5,"Bueno",R251&gt;=2,"Débil",R251&lt;2,"Deficiente")</f>
        <v>Débil</v>
      </c>
      <c r="Z251" t="str">
        <f>IF(AND(R251&lt;2,Q251&gt;=100),"Revisar","OK")</f>
        <v>OK</v>
      </c>
      <c r="AA251" s="55">
        <f>_xlfn.XLOOKUP(C251,'Preguntas de negocio'!$C$114:$C$119,'Preguntas de negocio'!$D$114:$D$119,0)</f>
        <v>4.5</v>
      </c>
      <c r="AB251" s="55">
        <f>VLOOKUP(C251,'Preguntas de negocio'!$C$121:$D$127,2,FALSE)</f>
        <v>0.35</v>
      </c>
    </row>
    <row r="252" spans="1:28" x14ac:dyDescent="0.3">
      <c r="A252" s="1">
        <v>45972</v>
      </c>
      <c r="B252" s="2" t="s">
        <v>2622</v>
      </c>
      <c r="C252" s="2" t="s">
        <v>2543</v>
      </c>
      <c r="D252" s="2" t="s">
        <v>2531</v>
      </c>
      <c r="E252" s="2" t="s">
        <v>2529</v>
      </c>
      <c r="F252" s="3">
        <v>162076</v>
      </c>
      <c r="G252" s="3">
        <v>13171</v>
      </c>
      <c r="H252" s="3">
        <v>1842</v>
      </c>
      <c r="I252" s="4">
        <v>22835.83</v>
      </c>
      <c r="J252" s="4">
        <v>158650.9</v>
      </c>
      <c r="K252" s="3">
        <v>1459</v>
      </c>
      <c r="L252" s="2" t="s">
        <v>2523</v>
      </c>
      <c r="M252" s="2" t="s">
        <v>2537</v>
      </c>
      <c r="N252" s="8">
        <f>IFERROR(G252/F252,0)</f>
        <v>8.1264345122041517E-2</v>
      </c>
      <c r="O252" s="8">
        <f>IFERROR(H252/G252,0)</f>
        <v>0.1398527067041227</v>
      </c>
      <c r="P252" s="4">
        <f>IFERROR(I252/G252,0)</f>
        <v>1.7337962189659102</v>
      </c>
      <c r="Q252" s="4">
        <f>IFERROR(I252/H252,0)</f>
        <v>12.397301845819761</v>
      </c>
      <c r="R252" s="12">
        <f>IFERROR(J252/I252,0)</f>
        <v>6.9474549425179637</v>
      </c>
      <c r="S252" s="7">
        <f>Tabla_nuevas_columnas[[#This Row],[ROAS]]</f>
        <v>6.9474549425179637</v>
      </c>
      <c r="T252" t="str">
        <f>_xlfn.CONCAT(C252,"-",D252)</f>
        <v>Organic Social-Portugal</v>
      </c>
      <c r="U252">
        <f>YEAR(A252)</f>
        <v>2025</v>
      </c>
      <c r="V252">
        <f>MONTH(A252)</f>
        <v>11</v>
      </c>
      <c r="W252" t="str">
        <f>PROPER(TEXT(A252,"mmmm"))</f>
        <v>Noviembre</v>
      </c>
      <c r="X252" t="str">
        <f>PROPER(TEXT(A252,"dddd"))</f>
        <v>Martes</v>
      </c>
      <c r="Y252" t="str" cm="1">
        <f t="array" ref="Y252">_xlfn.IFS(R252&gt;10,"Excelente",R252&gt;=5,"Bueno",R252&gt;=2,"Débil",R252&lt;2,"Deficiente")</f>
        <v>Bueno</v>
      </c>
      <c r="Z252" t="str">
        <f>IF(AND(R252&lt;2,Q252&gt;=100),"Revisar","OK")</f>
        <v>OK</v>
      </c>
      <c r="AA252" s="55">
        <f>_xlfn.XLOOKUP(C252,'Preguntas de negocio'!$C$114:$C$119,'Preguntas de negocio'!$D$114:$D$119,0)</f>
        <v>4</v>
      </c>
      <c r="AB252" s="55">
        <f>VLOOKUP(C252,'Preguntas de negocio'!$C$121:$D$127,2,FALSE)</f>
        <v>0.95</v>
      </c>
    </row>
    <row r="253" spans="1:28" x14ac:dyDescent="0.3">
      <c r="A253" s="1">
        <v>45866</v>
      </c>
      <c r="B253" s="2" t="s">
        <v>2618</v>
      </c>
      <c r="C253" s="2" t="s">
        <v>2533</v>
      </c>
      <c r="D253" s="2" t="s">
        <v>2525</v>
      </c>
      <c r="E253" s="2" t="s">
        <v>2517</v>
      </c>
      <c r="F253" s="3">
        <v>134055</v>
      </c>
      <c r="G253" s="3">
        <v>4008</v>
      </c>
      <c r="H253" s="3">
        <v>396</v>
      </c>
      <c r="I253" s="4">
        <v>4745.12</v>
      </c>
      <c r="J253" s="4">
        <v>20132.45</v>
      </c>
      <c r="K253" s="3">
        <v>335</v>
      </c>
      <c r="L253" s="2" t="s">
        <v>2536</v>
      </c>
      <c r="M253" s="2" t="s">
        <v>2526</v>
      </c>
      <c r="N253" s="8">
        <f>IFERROR(G253/F253,0)</f>
        <v>2.9898176121741078E-2</v>
      </c>
      <c r="O253" s="8">
        <f>IFERROR(H253/G253,0)</f>
        <v>9.880239520958084E-2</v>
      </c>
      <c r="P253" s="4">
        <f>IFERROR(I253/G253,0)</f>
        <v>1.1839121756487025</v>
      </c>
      <c r="Q253" s="4">
        <f>IFERROR(I253/H253,0)</f>
        <v>11.982626262626262</v>
      </c>
      <c r="R253" s="12">
        <f>IFERROR(J253/I253,0)</f>
        <v>4.2427694136291603</v>
      </c>
      <c r="S253" s="7">
        <f>Tabla_nuevas_columnas[[#This Row],[ROAS]]</f>
        <v>4.2427694136291603</v>
      </c>
      <c r="T253" t="str">
        <f>_xlfn.CONCAT(C253,"-",D253)</f>
        <v>Paid Social-Francia</v>
      </c>
      <c r="U253">
        <f>YEAR(A253)</f>
        <v>2025</v>
      </c>
      <c r="V253">
        <f>MONTH(A253)</f>
        <v>7</v>
      </c>
      <c r="W253" t="str">
        <f>PROPER(TEXT(A253,"mmmm"))</f>
        <v>Julio</v>
      </c>
      <c r="X253" t="str">
        <f>PROPER(TEXT(A253,"dddd"))</f>
        <v>Lunes</v>
      </c>
      <c r="Y253" t="str" cm="1">
        <f t="array" ref="Y253">_xlfn.IFS(R253&gt;10,"Excelente",R253&gt;=5,"Bueno",R253&gt;=2,"Débil",R253&lt;2,"Deficiente")</f>
        <v>Débil</v>
      </c>
      <c r="Z253" t="str">
        <f>IF(AND(R253&lt;2,Q253&gt;=100),"Revisar","OK")</f>
        <v>OK</v>
      </c>
      <c r="AA253" s="55">
        <f>_xlfn.XLOOKUP(C253,'Preguntas de negocio'!$C$114:$C$119,'Preguntas de negocio'!$D$114:$D$119,0)</f>
        <v>6</v>
      </c>
      <c r="AB253" s="55">
        <f>VLOOKUP(C253,'Preguntas de negocio'!$C$121:$D$127,2,FALSE)</f>
        <v>0.8</v>
      </c>
    </row>
    <row r="254" spans="1:28" x14ac:dyDescent="0.3">
      <c r="A254" s="1">
        <v>46008</v>
      </c>
      <c r="B254" s="2" t="s">
        <v>2627</v>
      </c>
      <c r="C254" s="2" t="s">
        <v>2515</v>
      </c>
      <c r="D254" s="2" t="s">
        <v>2528</v>
      </c>
      <c r="E254" s="2" t="s">
        <v>2517</v>
      </c>
      <c r="F254" s="3">
        <v>68066</v>
      </c>
      <c r="G254" s="3">
        <v>5586</v>
      </c>
      <c r="H254" s="3">
        <v>127</v>
      </c>
      <c r="I254" s="4">
        <v>809.41</v>
      </c>
      <c r="J254" s="4">
        <v>17865.96</v>
      </c>
      <c r="K254" s="3">
        <v>104</v>
      </c>
      <c r="L254" s="2" t="s">
        <v>2536</v>
      </c>
      <c r="M254" s="2" t="s">
        <v>2524</v>
      </c>
      <c r="N254" s="8">
        <f>IFERROR(G254/F254,0)</f>
        <v>8.2067405165574592E-2</v>
      </c>
      <c r="O254" s="8">
        <f>IFERROR(H254/G254,0)</f>
        <v>2.2735409953455066E-2</v>
      </c>
      <c r="P254" s="4">
        <f>IFERROR(I254/G254,0)</f>
        <v>0.14489974937343358</v>
      </c>
      <c r="Q254" s="4">
        <f>IFERROR(I254/H254,0)</f>
        <v>6.3733070866141732</v>
      </c>
      <c r="R254" s="12">
        <f>IFERROR(J254/I254,0)</f>
        <v>22.072818472714694</v>
      </c>
      <c r="S254" s="7">
        <f>Tabla_nuevas_columnas[[#This Row],[ROAS]]</f>
        <v>22.072818472714694</v>
      </c>
      <c r="T254" t="str">
        <f>_xlfn.CONCAT(C254,"-",D254)</f>
        <v>Email-España</v>
      </c>
      <c r="U254">
        <f>YEAR(A254)</f>
        <v>2025</v>
      </c>
      <c r="V254">
        <f>MONTH(A254)</f>
        <v>12</v>
      </c>
      <c r="W254" t="str">
        <f>PROPER(TEXT(A254,"mmmm"))</f>
        <v>Diciembre</v>
      </c>
      <c r="X254" t="str">
        <f>PROPER(TEXT(A254,"dddd"))</f>
        <v>Miércoles</v>
      </c>
      <c r="Y254" t="str" cm="1">
        <f t="array" ref="Y254">_xlfn.IFS(R254&gt;10,"Excelente",R254&gt;=5,"Bueno",R254&gt;=2,"Débil",R254&lt;2,"Deficiente")</f>
        <v>Excelente</v>
      </c>
      <c r="Z254" t="str">
        <f>IF(AND(R254&lt;2,Q254&gt;=100),"Revisar","OK")</f>
        <v>OK</v>
      </c>
      <c r="AA254" s="55">
        <f>_xlfn.XLOOKUP(C254,'Preguntas de negocio'!$C$114:$C$119,'Preguntas de negocio'!$D$114:$D$119,0)</f>
        <v>5.5</v>
      </c>
      <c r="AB254" s="55">
        <f>VLOOKUP(C254,'Preguntas de negocio'!$C$121:$D$127,2,FALSE)</f>
        <v>0.65</v>
      </c>
    </row>
    <row r="255" spans="1:28" x14ac:dyDescent="0.3">
      <c r="A255" s="1">
        <v>45872</v>
      </c>
      <c r="B255" s="2" t="s">
        <v>2642</v>
      </c>
      <c r="C255" s="2" t="s">
        <v>2521</v>
      </c>
      <c r="D255" s="2" t="s">
        <v>2528</v>
      </c>
      <c r="E255" s="2" t="s">
        <v>2529</v>
      </c>
      <c r="F255" s="3">
        <v>152106</v>
      </c>
      <c r="G255" s="3">
        <v>9448</v>
      </c>
      <c r="H255" s="3">
        <v>723</v>
      </c>
      <c r="I255" s="4">
        <v>14822.38</v>
      </c>
      <c r="J255" s="4">
        <v>97549.7</v>
      </c>
      <c r="K255" s="3">
        <v>604</v>
      </c>
      <c r="L255" s="2" t="s">
        <v>2539</v>
      </c>
      <c r="M255" s="2" t="s">
        <v>2546</v>
      </c>
      <c r="N255" s="8">
        <f>IFERROR(G255/F255,0)</f>
        <v>6.2114577991663707E-2</v>
      </c>
      <c r="O255" s="8">
        <f>IFERROR(H255/G255,0)</f>
        <v>7.6524132091447927E-2</v>
      </c>
      <c r="P255" s="4">
        <f>IFERROR(I255/G255,0)</f>
        <v>1.5688378492802708</v>
      </c>
      <c r="Q255" s="4">
        <f>IFERROR(I255/H255,0)</f>
        <v>20.501217150760716</v>
      </c>
      <c r="R255" s="12">
        <f>IFERROR(J255/I255,0)</f>
        <v>6.581244037732132</v>
      </c>
      <c r="S255" s="7">
        <f>Tabla_nuevas_columnas[[#This Row],[ROAS]]</f>
        <v>6.581244037732132</v>
      </c>
      <c r="T255" t="str">
        <f>_xlfn.CONCAT(C255,"-",D255)</f>
        <v>Paid Search-España</v>
      </c>
      <c r="U255">
        <f>YEAR(A255)</f>
        <v>2025</v>
      </c>
      <c r="V255">
        <f>MONTH(A255)</f>
        <v>8</v>
      </c>
      <c r="W255" t="str">
        <f>PROPER(TEXT(A255,"mmmm"))</f>
        <v>Agosto</v>
      </c>
      <c r="X255" t="str">
        <f>PROPER(TEXT(A255,"dddd"))</f>
        <v>Domingo</v>
      </c>
      <c r="Y255" t="str" cm="1">
        <f t="array" ref="Y255">_xlfn.IFS(R255&gt;10,"Excelente",R255&gt;=5,"Bueno",R255&gt;=2,"Débil",R255&lt;2,"Deficiente")</f>
        <v>Bueno</v>
      </c>
      <c r="Z255" t="str">
        <f>IF(AND(R255&lt;2,Q255&gt;=100),"Revisar","OK")</f>
        <v>OK</v>
      </c>
      <c r="AA255" s="55">
        <f>_xlfn.XLOOKUP(C255,'Preguntas de negocio'!$C$114:$C$119,'Preguntas de negocio'!$D$114:$D$119,0)</f>
        <v>5</v>
      </c>
      <c r="AB255" s="55">
        <f>VLOOKUP(C255,'Preguntas de negocio'!$C$121:$D$127,2,FALSE)</f>
        <v>1.1000000000000001</v>
      </c>
    </row>
    <row r="256" spans="1:28" x14ac:dyDescent="0.3">
      <c r="A256" s="1">
        <v>45817</v>
      </c>
      <c r="B256" s="2" t="s">
        <v>2635</v>
      </c>
      <c r="C256" s="2" t="s">
        <v>2541</v>
      </c>
      <c r="D256" s="2" t="s">
        <v>2528</v>
      </c>
      <c r="E256" s="2" t="s">
        <v>2517</v>
      </c>
      <c r="F256" s="3">
        <v>117875</v>
      </c>
      <c r="G256" s="3">
        <v>7713</v>
      </c>
      <c r="H256" s="3">
        <v>567</v>
      </c>
      <c r="I256" s="4">
        <v>11000.89</v>
      </c>
      <c r="J256" s="4">
        <v>52777.88</v>
      </c>
      <c r="K256" s="3">
        <v>450</v>
      </c>
      <c r="L256" s="2" t="s">
        <v>2518</v>
      </c>
      <c r="M256" s="2" t="s">
        <v>2524</v>
      </c>
      <c r="N256" s="8">
        <f>IFERROR(G256/F256,0)</f>
        <v>6.5433722163308589E-2</v>
      </c>
      <c r="O256" s="8">
        <f>IFERROR(H256/G256,0)</f>
        <v>7.3512252042006995E-2</v>
      </c>
      <c r="P256" s="4">
        <f>IFERROR(I256/G256,0)</f>
        <v>1.4262790094645403</v>
      </c>
      <c r="Q256" s="4">
        <f>IFERROR(I256/H256,0)</f>
        <v>19.401922398589065</v>
      </c>
      <c r="R256" s="12">
        <f>IFERROR(J256/I256,0)</f>
        <v>4.7976009213799973</v>
      </c>
      <c r="S256" s="7">
        <f>Tabla_nuevas_columnas[[#This Row],[ROAS]]</f>
        <v>4.7976009213799973</v>
      </c>
      <c r="T256" t="str">
        <f>_xlfn.CONCAT(C256,"-",D256)</f>
        <v>Display-España</v>
      </c>
      <c r="U256">
        <f>YEAR(A256)</f>
        <v>2025</v>
      </c>
      <c r="V256">
        <f>MONTH(A256)</f>
        <v>6</v>
      </c>
      <c r="W256" t="str">
        <f>PROPER(TEXT(A256,"mmmm"))</f>
        <v>Junio</v>
      </c>
      <c r="X256" t="str">
        <f>PROPER(TEXT(A256,"dddd"))</f>
        <v>Lunes</v>
      </c>
      <c r="Y256" t="str" cm="1">
        <f t="array" ref="Y256">_xlfn.IFS(R256&gt;10,"Excelente",R256&gt;=5,"Bueno",R256&gt;=2,"Débil",R256&lt;2,"Deficiente")</f>
        <v>Débil</v>
      </c>
      <c r="Z256" t="str">
        <f>IF(AND(R256&lt;2,Q256&gt;=100),"Revisar","OK")</f>
        <v>OK</v>
      </c>
      <c r="AA256" s="55">
        <f>_xlfn.XLOOKUP(C256,'Preguntas de negocio'!$C$114:$C$119,'Preguntas de negocio'!$D$114:$D$119,0)</f>
        <v>5</v>
      </c>
      <c r="AB256" s="55">
        <f>VLOOKUP(C256,'Preguntas de negocio'!$C$121:$D$127,2,FALSE)</f>
        <v>0.5</v>
      </c>
    </row>
    <row r="257" spans="1:28" x14ac:dyDescent="0.3">
      <c r="A257" s="1">
        <v>45688</v>
      </c>
      <c r="B257" s="2" t="s">
        <v>2631</v>
      </c>
      <c r="C257" s="2" t="s">
        <v>2515</v>
      </c>
      <c r="D257" s="2" t="s">
        <v>2528</v>
      </c>
      <c r="E257" s="2" t="s">
        <v>2529</v>
      </c>
      <c r="F257" s="3">
        <v>90544</v>
      </c>
      <c r="G257" s="3">
        <v>2948</v>
      </c>
      <c r="H257" s="3">
        <v>219</v>
      </c>
      <c r="I257" s="4">
        <v>4556.2700000000004</v>
      </c>
      <c r="J257" s="4">
        <v>10935.12</v>
      </c>
      <c r="K257" s="3">
        <v>125</v>
      </c>
      <c r="L257" s="2" t="s">
        <v>2539</v>
      </c>
      <c r="M257" s="2" t="s">
        <v>2537</v>
      </c>
      <c r="N257" s="8">
        <f>IFERROR(G257/F257,0)</f>
        <v>3.2558755963951226E-2</v>
      </c>
      <c r="O257" s="8">
        <f>IFERROR(H257/G257,0)</f>
        <v>7.4287652645861596E-2</v>
      </c>
      <c r="P257" s="4">
        <f>IFERROR(I257/G257,0)</f>
        <v>1.5455461329715063</v>
      </c>
      <c r="Q257" s="4">
        <f>IFERROR(I257/H257,0)</f>
        <v>20.80488584474886</v>
      </c>
      <c r="R257" s="12">
        <f>IFERROR(J257/I257,0)</f>
        <v>2.40001580239977</v>
      </c>
      <c r="S257" s="7">
        <f>Tabla_nuevas_columnas[[#This Row],[ROAS]]</f>
        <v>2.40001580239977</v>
      </c>
      <c r="T257" t="str">
        <f>_xlfn.CONCAT(C257,"-",D257)</f>
        <v>Email-España</v>
      </c>
      <c r="U257">
        <f>YEAR(A257)</f>
        <v>2025</v>
      </c>
      <c r="V257">
        <f>MONTH(A257)</f>
        <v>1</v>
      </c>
      <c r="W257" t="str">
        <f>PROPER(TEXT(A257,"mmmm"))</f>
        <v>Enero</v>
      </c>
      <c r="X257" t="str">
        <f>PROPER(TEXT(A257,"dddd"))</f>
        <v>Viernes</v>
      </c>
      <c r="Y257" t="str" cm="1">
        <f t="array" ref="Y257">_xlfn.IFS(R257&gt;10,"Excelente",R257&gt;=5,"Bueno",R257&gt;=2,"Débil",R257&lt;2,"Deficiente")</f>
        <v>Débil</v>
      </c>
      <c r="Z257" t="str">
        <f>IF(AND(R257&lt;2,Q257&gt;=100),"Revisar","OK")</f>
        <v>OK</v>
      </c>
      <c r="AA257" s="55">
        <f>_xlfn.XLOOKUP(C257,'Preguntas de negocio'!$C$114:$C$119,'Preguntas de negocio'!$D$114:$D$119,0)</f>
        <v>5.5</v>
      </c>
      <c r="AB257" s="55">
        <f>VLOOKUP(C257,'Preguntas de negocio'!$C$121:$D$127,2,FALSE)</f>
        <v>0.65</v>
      </c>
    </row>
    <row r="258" spans="1:28" x14ac:dyDescent="0.3">
      <c r="A258" s="1">
        <v>45704</v>
      </c>
      <c r="B258" s="2" t="s">
        <v>2637</v>
      </c>
      <c r="C258" s="2" t="s">
        <v>2515</v>
      </c>
      <c r="D258" s="2" t="s">
        <v>2528</v>
      </c>
      <c r="E258" s="2" t="s">
        <v>2517</v>
      </c>
      <c r="F258" s="3">
        <v>120504</v>
      </c>
      <c r="G258" s="3">
        <v>8297</v>
      </c>
      <c r="H258" s="3">
        <v>403</v>
      </c>
      <c r="I258" s="4">
        <v>12221.54</v>
      </c>
      <c r="J258" s="4">
        <v>84257.06</v>
      </c>
      <c r="K258" s="3">
        <v>335</v>
      </c>
      <c r="L258" s="2" t="s">
        <v>2536</v>
      </c>
      <c r="M258" s="2" t="s">
        <v>2546</v>
      </c>
      <c r="N258" s="8">
        <f>IFERROR(G258/F258,0)</f>
        <v>6.8852486224523668E-2</v>
      </c>
      <c r="O258" s="8">
        <f>IFERROR(H258/G258,0)</f>
        <v>4.8571772929974687E-2</v>
      </c>
      <c r="P258" s="4">
        <f>IFERROR(I258/G258,0)</f>
        <v>1.4730071110039775</v>
      </c>
      <c r="Q258" s="4">
        <f>IFERROR(I258/H258,0)</f>
        <v>30.326401985111666</v>
      </c>
      <c r="R258" s="12">
        <f>IFERROR(J258/I258,0)</f>
        <v>6.894144273143973</v>
      </c>
      <c r="S258" s="7">
        <f>Tabla_nuevas_columnas[[#This Row],[ROAS]]</f>
        <v>6.894144273143973</v>
      </c>
      <c r="T258" t="str">
        <f>_xlfn.CONCAT(C258,"-",D258)</f>
        <v>Email-España</v>
      </c>
      <c r="U258">
        <f>YEAR(A258)</f>
        <v>2025</v>
      </c>
      <c r="V258">
        <f>MONTH(A258)</f>
        <v>2</v>
      </c>
      <c r="W258" t="str">
        <f>PROPER(TEXT(A258,"mmmm"))</f>
        <v>Febrero</v>
      </c>
      <c r="X258" t="str">
        <f>PROPER(TEXT(A258,"dddd"))</f>
        <v>Domingo</v>
      </c>
      <c r="Y258" t="str" cm="1">
        <f t="array" ref="Y258">_xlfn.IFS(R258&gt;10,"Excelente",R258&gt;=5,"Bueno",R258&gt;=2,"Débil",R258&lt;2,"Deficiente")</f>
        <v>Bueno</v>
      </c>
      <c r="Z258" t="str">
        <f>IF(AND(R258&lt;2,Q258&gt;=100),"Revisar","OK")</f>
        <v>OK</v>
      </c>
      <c r="AA258" s="55">
        <f>_xlfn.XLOOKUP(C258,'Preguntas de negocio'!$C$114:$C$119,'Preguntas de negocio'!$D$114:$D$119,0)</f>
        <v>5.5</v>
      </c>
      <c r="AB258" s="55">
        <f>VLOOKUP(C258,'Preguntas de negocio'!$C$121:$D$127,2,FALSE)</f>
        <v>0.65</v>
      </c>
    </row>
    <row r="259" spans="1:28" x14ac:dyDescent="0.3">
      <c r="A259" s="1">
        <v>45659</v>
      </c>
      <c r="B259" s="2" t="s">
        <v>2642</v>
      </c>
      <c r="C259" s="2" t="s">
        <v>2515</v>
      </c>
      <c r="D259" s="2" t="s">
        <v>2528</v>
      </c>
      <c r="E259" s="2" t="s">
        <v>2517</v>
      </c>
      <c r="F259" s="3">
        <v>157816</v>
      </c>
      <c r="G259" s="3">
        <v>11236</v>
      </c>
      <c r="H259" s="3">
        <v>1114</v>
      </c>
      <c r="I259" s="4">
        <v>16322.36</v>
      </c>
      <c r="J259" s="4">
        <v>32644.32</v>
      </c>
      <c r="K259" s="3">
        <v>718</v>
      </c>
      <c r="L259" s="2" t="s">
        <v>2539</v>
      </c>
      <c r="M259" s="2" t="s">
        <v>2524</v>
      </c>
      <c r="N259" s="8">
        <f>IFERROR(G259/F259,0)</f>
        <v>7.1196836822628881E-2</v>
      </c>
      <c r="O259" s="8">
        <f>IFERROR(H259/G259,0)</f>
        <v>9.9145603417586325E-2</v>
      </c>
      <c r="P259" s="4">
        <f>IFERROR(I259/G259,0)</f>
        <v>1.452684229263083</v>
      </c>
      <c r="Q259" s="4">
        <f>IFERROR(I259/H259,0)</f>
        <v>14.652028725314183</v>
      </c>
      <c r="R259" s="12">
        <f>IFERROR(J259/I259,0)</f>
        <v>1.9999754937398757</v>
      </c>
      <c r="S259" s="7">
        <f>Tabla_nuevas_columnas[[#This Row],[ROAS]]</f>
        <v>1.9999754937398757</v>
      </c>
      <c r="T259" t="str">
        <f>_xlfn.CONCAT(C259,"-",D259)</f>
        <v>Email-España</v>
      </c>
      <c r="U259">
        <f>YEAR(A259)</f>
        <v>2025</v>
      </c>
      <c r="V259">
        <f>MONTH(A259)</f>
        <v>1</v>
      </c>
      <c r="W259" t="str">
        <f>PROPER(TEXT(A259,"mmmm"))</f>
        <v>Enero</v>
      </c>
      <c r="X259" t="str">
        <f>PROPER(TEXT(A259,"dddd"))</f>
        <v>Jueves</v>
      </c>
      <c r="Y259" t="str" cm="1">
        <f t="array" ref="Y259">_xlfn.IFS(R259&gt;10,"Excelente",R259&gt;=5,"Bueno",R259&gt;=2,"Débil",R259&lt;2,"Deficiente")</f>
        <v>Deficiente</v>
      </c>
      <c r="Z259" t="str">
        <f>IF(AND(R259&lt;2,Q259&gt;=100),"Revisar","OK")</f>
        <v>OK</v>
      </c>
      <c r="AA259" s="55">
        <f>_xlfn.XLOOKUP(C259,'Preguntas de negocio'!$C$114:$C$119,'Preguntas de negocio'!$D$114:$D$119,0)</f>
        <v>5.5</v>
      </c>
      <c r="AB259" s="55">
        <f>VLOOKUP(C259,'Preguntas de negocio'!$C$121:$D$127,2,FALSE)</f>
        <v>0.65</v>
      </c>
    </row>
    <row r="260" spans="1:28" x14ac:dyDescent="0.3">
      <c r="A260" s="1">
        <v>45952</v>
      </c>
      <c r="B260" s="2" t="s">
        <v>2630</v>
      </c>
      <c r="C260" s="2" t="s">
        <v>2515</v>
      </c>
      <c r="D260" s="2" t="s">
        <v>2528</v>
      </c>
      <c r="E260" s="2" t="s">
        <v>2529</v>
      </c>
      <c r="F260" s="3">
        <v>38138</v>
      </c>
      <c r="G260" s="3">
        <v>3238</v>
      </c>
      <c r="H260" s="3">
        <v>289</v>
      </c>
      <c r="I260" s="4">
        <v>1553.98</v>
      </c>
      <c r="J260" s="4">
        <v>54085.79</v>
      </c>
      <c r="K260" s="3">
        <v>197</v>
      </c>
      <c r="L260" s="2" t="s">
        <v>2518</v>
      </c>
      <c r="M260" s="2" t="s">
        <v>2526</v>
      </c>
      <c r="N260" s="8">
        <f>IFERROR(G260/F260,0)</f>
        <v>8.4902197283549211E-2</v>
      </c>
      <c r="O260" s="8">
        <f>IFERROR(H260/G260,0)</f>
        <v>8.9252625077208159E-2</v>
      </c>
      <c r="P260" s="4">
        <f>IFERROR(I260/G260,0)</f>
        <v>0.4799197035206918</v>
      </c>
      <c r="Q260" s="4">
        <f>IFERROR(I260/H260,0)</f>
        <v>5.377093425605536</v>
      </c>
      <c r="R260" s="12">
        <f>IFERROR(J260/I260,0)</f>
        <v>34.804688606030965</v>
      </c>
      <c r="S260" s="7">
        <f>Tabla_nuevas_columnas[[#This Row],[ROAS]]</f>
        <v>34.804688606030965</v>
      </c>
      <c r="T260" t="str">
        <f>_xlfn.CONCAT(C260,"-",D260)</f>
        <v>Email-España</v>
      </c>
      <c r="U260">
        <f>YEAR(A260)</f>
        <v>2025</v>
      </c>
      <c r="V260">
        <f>MONTH(A260)</f>
        <v>10</v>
      </c>
      <c r="W260" t="str">
        <f>PROPER(TEXT(A260,"mmmm"))</f>
        <v>Octubre</v>
      </c>
      <c r="X260" t="str">
        <f>PROPER(TEXT(A260,"dddd"))</f>
        <v>Miércoles</v>
      </c>
      <c r="Y260" t="str" cm="1">
        <f t="array" ref="Y260">_xlfn.IFS(R260&gt;10,"Excelente",R260&gt;=5,"Bueno",R260&gt;=2,"Débil",R260&lt;2,"Deficiente")</f>
        <v>Excelente</v>
      </c>
      <c r="Z260" t="str">
        <f>IF(AND(R260&lt;2,Q260&gt;=100),"Revisar","OK")</f>
        <v>OK</v>
      </c>
      <c r="AA260" s="55">
        <f>_xlfn.XLOOKUP(C260,'Preguntas de negocio'!$C$114:$C$119,'Preguntas de negocio'!$D$114:$D$119,0)</f>
        <v>5.5</v>
      </c>
      <c r="AB260" s="55">
        <f>VLOOKUP(C260,'Preguntas de negocio'!$C$121:$D$127,2,FALSE)</f>
        <v>0.65</v>
      </c>
    </row>
    <row r="261" spans="1:28" x14ac:dyDescent="0.3">
      <c r="A261" s="1">
        <v>45805</v>
      </c>
      <c r="B261" s="2" t="s">
        <v>2636</v>
      </c>
      <c r="C261" s="2" t="s">
        <v>2521</v>
      </c>
      <c r="D261" s="2" t="s">
        <v>2528</v>
      </c>
      <c r="E261" s="2" t="s">
        <v>2517</v>
      </c>
      <c r="F261" s="3">
        <v>113419</v>
      </c>
      <c r="G261" s="3">
        <v>6605</v>
      </c>
      <c r="H261" s="3">
        <v>625</v>
      </c>
      <c r="I261" s="4">
        <v>11755.57</v>
      </c>
      <c r="J261" s="4">
        <v>120178.4</v>
      </c>
      <c r="K261" s="3">
        <v>310</v>
      </c>
      <c r="L261" s="2" t="s">
        <v>2539</v>
      </c>
      <c r="M261" s="2" t="s">
        <v>2537</v>
      </c>
      <c r="N261" s="8">
        <f>IFERROR(G261/F261,0)</f>
        <v>5.8235392659078282E-2</v>
      </c>
      <c r="O261" s="8">
        <f>IFERROR(H261/G261,0)</f>
        <v>9.4625283875851632E-2</v>
      </c>
      <c r="P261" s="4">
        <f>IFERROR(I261/G261,0)</f>
        <v>1.779798637395912</v>
      </c>
      <c r="Q261" s="4">
        <f>IFERROR(I261/H261,0)</f>
        <v>18.808911999999999</v>
      </c>
      <c r="R261" s="12">
        <f>IFERROR(J261/I261,0)</f>
        <v>10.223102750440855</v>
      </c>
      <c r="S261" s="7">
        <f>Tabla_nuevas_columnas[[#This Row],[ROAS]]</f>
        <v>10.223102750440855</v>
      </c>
      <c r="T261" t="str">
        <f>_xlfn.CONCAT(C261,"-",D261)</f>
        <v>Paid Search-España</v>
      </c>
      <c r="U261">
        <f>YEAR(A261)</f>
        <v>2025</v>
      </c>
      <c r="V261">
        <f>MONTH(A261)</f>
        <v>5</v>
      </c>
      <c r="W261" t="str">
        <f>PROPER(TEXT(A261,"mmmm"))</f>
        <v>Mayo</v>
      </c>
      <c r="X261" t="str">
        <f>PROPER(TEXT(A261,"dddd"))</f>
        <v>Miércoles</v>
      </c>
      <c r="Y261" t="str" cm="1">
        <f t="array" ref="Y261">_xlfn.IFS(R261&gt;10,"Excelente",R261&gt;=5,"Bueno",R261&gt;=2,"Débil",R261&lt;2,"Deficiente")</f>
        <v>Excelente</v>
      </c>
      <c r="Z261" t="str">
        <f>IF(AND(R261&lt;2,Q261&gt;=100),"Revisar","OK")</f>
        <v>OK</v>
      </c>
      <c r="AA261" s="55">
        <f>_xlfn.XLOOKUP(C261,'Preguntas de negocio'!$C$114:$C$119,'Preguntas de negocio'!$D$114:$D$119,0)</f>
        <v>5</v>
      </c>
      <c r="AB261" s="55">
        <f>VLOOKUP(C261,'Preguntas de negocio'!$C$121:$D$127,2,FALSE)</f>
        <v>1.1000000000000001</v>
      </c>
    </row>
    <row r="262" spans="1:28" x14ac:dyDescent="0.3">
      <c r="A262" s="1">
        <v>45837</v>
      </c>
      <c r="B262" s="2" t="s">
        <v>2642</v>
      </c>
      <c r="C262" s="2" t="s">
        <v>2533</v>
      </c>
      <c r="D262" s="2" t="s">
        <v>2528</v>
      </c>
      <c r="E262" s="2" t="s">
        <v>2529</v>
      </c>
      <c r="F262" s="3">
        <v>115514</v>
      </c>
      <c r="G262" s="3">
        <v>6124</v>
      </c>
      <c r="H262" s="3">
        <v>76</v>
      </c>
      <c r="I262" s="4">
        <v>3124.21</v>
      </c>
      <c r="J262" s="4">
        <v>1815.51</v>
      </c>
      <c r="K262" s="3">
        <v>34</v>
      </c>
      <c r="L262" s="2" t="s">
        <v>2539</v>
      </c>
      <c r="M262" s="2" t="s">
        <v>2526</v>
      </c>
      <c r="N262" s="8">
        <f>IFERROR(G262/F262,0)</f>
        <v>5.3015218934501444E-2</v>
      </c>
      <c r="O262" s="8">
        <f>IFERROR(H262/G262,0)</f>
        <v>1.2410189418680601E-2</v>
      </c>
      <c r="P262" s="4">
        <f>IFERROR(I262/G262,0)</f>
        <v>0.51015839320705425</v>
      </c>
      <c r="Q262" s="4">
        <f>IFERROR(I262/H262,0)</f>
        <v>41.108026315789473</v>
      </c>
      <c r="R262" s="12">
        <f>IFERROR(J262/I262,0)</f>
        <v>0.58111010463445156</v>
      </c>
      <c r="S262" s="7">
        <f>Tabla_nuevas_columnas[[#This Row],[ROAS]]</f>
        <v>0.58111010463445156</v>
      </c>
      <c r="T262" t="str">
        <f>_xlfn.CONCAT(C262,"-",D262)</f>
        <v>Paid Social-España</v>
      </c>
      <c r="U262">
        <f>YEAR(A262)</f>
        <v>2025</v>
      </c>
      <c r="V262">
        <f>MONTH(A262)</f>
        <v>6</v>
      </c>
      <c r="W262" t="str">
        <f>PROPER(TEXT(A262,"mmmm"))</f>
        <v>Junio</v>
      </c>
      <c r="X262" t="str">
        <f>PROPER(TEXT(A262,"dddd"))</f>
        <v>Domingo</v>
      </c>
      <c r="Y262" t="str" cm="1">
        <f t="array" ref="Y262">_xlfn.IFS(R262&gt;10,"Excelente",R262&gt;=5,"Bueno",R262&gt;=2,"Débil",R262&lt;2,"Deficiente")</f>
        <v>Deficiente</v>
      </c>
      <c r="Z262" t="str">
        <f>IF(AND(R262&lt;2,Q262&gt;=100),"Revisar","OK")</f>
        <v>OK</v>
      </c>
      <c r="AA262" s="55">
        <f>_xlfn.XLOOKUP(C262,'Preguntas de negocio'!$C$114:$C$119,'Preguntas de negocio'!$D$114:$D$119,0)</f>
        <v>6</v>
      </c>
      <c r="AB262" s="55">
        <f>VLOOKUP(C262,'Preguntas de negocio'!$C$121:$D$127,2,FALSE)</f>
        <v>0.8</v>
      </c>
    </row>
    <row r="263" spans="1:28" x14ac:dyDescent="0.3">
      <c r="A263" s="1">
        <v>45799</v>
      </c>
      <c r="B263" s="2" t="s">
        <v>2631</v>
      </c>
      <c r="C263" s="2" t="s">
        <v>2515</v>
      </c>
      <c r="D263" s="2" t="s">
        <v>2525</v>
      </c>
      <c r="E263" s="2" t="s">
        <v>2517</v>
      </c>
      <c r="F263" s="3">
        <v>11582</v>
      </c>
      <c r="G263" s="3">
        <v>270</v>
      </c>
      <c r="H263" s="3">
        <v>37</v>
      </c>
      <c r="I263" s="4">
        <v>411.11</v>
      </c>
      <c r="J263" s="4">
        <v>6287.11</v>
      </c>
      <c r="K263" s="3">
        <v>20</v>
      </c>
      <c r="L263" s="2" t="s">
        <v>2539</v>
      </c>
      <c r="M263" s="2" t="s">
        <v>2537</v>
      </c>
      <c r="N263" s="8">
        <f>IFERROR(G263/F263,0)</f>
        <v>2.3312035917803488E-2</v>
      </c>
      <c r="O263" s="8">
        <f>IFERROR(H263/G263,0)</f>
        <v>0.13703703703703704</v>
      </c>
      <c r="P263" s="4">
        <f>IFERROR(I263/G263,0)</f>
        <v>1.5226296296296298</v>
      </c>
      <c r="Q263" s="4">
        <f>IFERROR(I263/H263,0)</f>
        <v>11.111081081081082</v>
      </c>
      <c r="R263" s="12">
        <f>IFERROR(J263/I263,0)</f>
        <v>15.29301160273406</v>
      </c>
      <c r="S263" s="7">
        <f>Tabla_nuevas_columnas[[#This Row],[ROAS]]</f>
        <v>15.29301160273406</v>
      </c>
      <c r="T263" t="str">
        <f>_xlfn.CONCAT(C263,"-",D263)</f>
        <v>Email-Francia</v>
      </c>
      <c r="U263">
        <f>YEAR(A263)</f>
        <v>2025</v>
      </c>
      <c r="V263">
        <f>MONTH(A263)</f>
        <v>5</v>
      </c>
      <c r="W263" t="str">
        <f>PROPER(TEXT(A263,"mmmm"))</f>
        <v>Mayo</v>
      </c>
      <c r="X263" t="str">
        <f>PROPER(TEXT(A263,"dddd"))</f>
        <v>Jueves</v>
      </c>
      <c r="Y263" t="str" cm="1">
        <f t="array" ref="Y263">_xlfn.IFS(R263&gt;10,"Excelente",R263&gt;=5,"Bueno",R263&gt;=2,"Débil",R263&lt;2,"Deficiente")</f>
        <v>Excelente</v>
      </c>
      <c r="Z263" t="str">
        <f>IF(AND(R263&lt;2,Q263&gt;=100),"Revisar","OK")</f>
        <v>OK</v>
      </c>
      <c r="AA263" s="55">
        <f>_xlfn.XLOOKUP(C263,'Preguntas de negocio'!$C$114:$C$119,'Preguntas de negocio'!$D$114:$D$119,0)</f>
        <v>5.5</v>
      </c>
      <c r="AB263" s="55">
        <f>VLOOKUP(C263,'Preguntas de negocio'!$C$121:$D$127,2,FALSE)</f>
        <v>0.65</v>
      </c>
    </row>
    <row r="264" spans="1:28" x14ac:dyDescent="0.3">
      <c r="A264" s="1">
        <v>45915</v>
      </c>
      <c r="B264" s="2" t="s">
        <v>2628</v>
      </c>
      <c r="C264" s="2" t="s">
        <v>2543</v>
      </c>
      <c r="D264" s="2" t="s">
        <v>2528</v>
      </c>
      <c r="E264" s="2" t="s">
        <v>2529</v>
      </c>
      <c r="F264" s="3">
        <v>88592</v>
      </c>
      <c r="G264" s="3">
        <v>537</v>
      </c>
      <c r="H264" s="3">
        <v>27</v>
      </c>
      <c r="I264" s="4">
        <v>881.92</v>
      </c>
      <c r="J264" s="4">
        <v>1497.89</v>
      </c>
      <c r="K264" s="3">
        <v>13</v>
      </c>
      <c r="L264" s="2" t="s">
        <v>2523</v>
      </c>
      <c r="M264" s="2" t="s">
        <v>2524</v>
      </c>
      <c r="N264" s="8">
        <f>IFERROR(G264/F264,0)</f>
        <v>6.0614953946180241E-3</v>
      </c>
      <c r="O264" s="8">
        <f>IFERROR(H264/G264,0)</f>
        <v>5.027932960893855E-2</v>
      </c>
      <c r="P264" s="4">
        <f>IFERROR(I264/G264,0)</f>
        <v>1.6423091247672252</v>
      </c>
      <c r="Q264" s="4">
        <f>IFERROR(I264/H264,0)</f>
        <v>32.663703703703703</v>
      </c>
      <c r="R264" s="12">
        <f>IFERROR(J264/I264,0)</f>
        <v>1.698442035558781</v>
      </c>
      <c r="S264" s="7">
        <f>Tabla_nuevas_columnas[[#This Row],[ROAS]]</f>
        <v>1.698442035558781</v>
      </c>
      <c r="T264" t="str">
        <f>_xlfn.CONCAT(C264,"-",D264)</f>
        <v>Organic Social-España</v>
      </c>
      <c r="U264">
        <f>YEAR(A264)</f>
        <v>2025</v>
      </c>
      <c r="V264">
        <f>MONTH(A264)</f>
        <v>9</v>
      </c>
      <c r="W264" t="str">
        <f>PROPER(TEXT(A264,"mmmm"))</f>
        <v>Septiembre</v>
      </c>
      <c r="X264" t="str">
        <f>PROPER(TEXT(A264,"dddd"))</f>
        <v>Lunes</v>
      </c>
      <c r="Y264" t="str" cm="1">
        <f t="array" ref="Y264">_xlfn.IFS(R264&gt;10,"Excelente",R264&gt;=5,"Bueno",R264&gt;=2,"Débil",R264&lt;2,"Deficiente")</f>
        <v>Deficiente</v>
      </c>
      <c r="Z264" t="str">
        <f>IF(AND(R264&lt;2,Q264&gt;=100),"Revisar","OK")</f>
        <v>OK</v>
      </c>
      <c r="AA264" s="55">
        <f>_xlfn.XLOOKUP(C264,'Preguntas de negocio'!$C$114:$C$119,'Preguntas de negocio'!$D$114:$D$119,0)</f>
        <v>4</v>
      </c>
      <c r="AB264" s="55">
        <f>VLOOKUP(C264,'Preguntas de negocio'!$C$121:$D$127,2,FALSE)</f>
        <v>0.95</v>
      </c>
    </row>
    <row r="265" spans="1:28" x14ac:dyDescent="0.3">
      <c r="A265" s="1">
        <v>45911</v>
      </c>
      <c r="B265" s="2" t="s">
        <v>2620</v>
      </c>
      <c r="C265" s="2" t="s">
        <v>2533</v>
      </c>
      <c r="D265" s="2" t="s">
        <v>2525</v>
      </c>
      <c r="E265" s="2" t="s">
        <v>2529</v>
      </c>
      <c r="F265" s="3">
        <v>33650</v>
      </c>
      <c r="G265" s="3">
        <v>1872</v>
      </c>
      <c r="H265" s="3">
        <v>256</v>
      </c>
      <c r="I265" s="4">
        <v>805.37</v>
      </c>
      <c r="J265" s="4">
        <v>23017.61</v>
      </c>
      <c r="K265" s="3">
        <v>185</v>
      </c>
      <c r="L265" s="2" t="s">
        <v>2539</v>
      </c>
      <c r="M265" s="2" t="s">
        <v>2537</v>
      </c>
      <c r="N265" s="8">
        <f>IFERROR(G265/F265,0)</f>
        <v>5.5631500742942049E-2</v>
      </c>
      <c r="O265" s="8">
        <f>IFERROR(H265/G265,0)</f>
        <v>0.13675213675213677</v>
      </c>
      <c r="P265" s="4">
        <f>IFERROR(I265/G265,0)</f>
        <v>0.43021901709401711</v>
      </c>
      <c r="Q265" s="4">
        <f>IFERROR(I265/H265,0)</f>
        <v>3.1459765625</v>
      </c>
      <c r="R265" s="12">
        <f>IFERROR(J265/I265,0)</f>
        <v>28.580168121484537</v>
      </c>
      <c r="S265" s="7">
        <f>Tabla_nuevas_columnas[[#This Row],[ROAS]]</f>
        <v>28.580168121484537</v>
      </c>
      <c r="T265" t="str">
        <f>_xlfn.CONCAT(C265,"-",D265)</f>
        <v>Paid Social-Francia</v>
      </c>
      <c r="U265">
        <f>YEAR(A265)</f>
        <v>2025</v>
      </c>
      <c r="V265">
        <f>MONTH(A265)</f>
        <v>9</v>
      </c>
      <c r="W265" t="str">
        <f>PROPER(TEXT(A265,"mmmm"))</f>
        <v>Septiembre</v>
      </c>
      <c r="X265" t="str">
        <f>PROPER(TEXT(A265,"dddd"))</f>
        <v>Jueves</v>
      </c>
      <c r="Y265" t="str" cm="1">
        <f t="array" ref="Y265">_xlfn.IFS(R265&gt;10,"Excelente",R265&gt;=5,"Bueno",R265&gt;=2,"Débil",R265&lt;2,"Deficiente")</f>
        <v>Excelente</v>
      </c>
      <c r="Z265" t="str">
        <f>IF(AND(R265&lt;2,Q265&gt;=100),"Revisar","OK")</f>
        <v>OK</v>
      </c>
      <c r="AA265" s="55">
        <f>_xlfn.XLOOKUP(C265,'Preguntas de negocio'!$C$114:$C$119,'Preguntas de negocio'!$D$114:$D$119,0)</f>
        <v>6</v>
      </c>
      <c r="AB265" s="55">
        <f>VLOOKUP(C265,'Preguntas de negocio'!$C$121:$D$127,2,FALSE)</f>
        <v>0.8</v>
      </c>
    </row>
    <row r="266" spans="1:28" x14ac:dyDescent="0.3">
      <c r="A266" s="1">
        <v>45779</v>
      </c>
      <c r="B266" s="2" t="s">
        <v>2636</v>
      </c>
      <c r="C266" s="2" t="s">
        <v>2541</v>
      </c>
      <c r="D266" s="2" t="s">
        <v>2531</v>
      </c>
      <c r="E266" s="2" t="s">
        <v>2529</v>
      </c>
      <c r="F266" s="3">
        <v>68140</v>
      </c>
      <c r="G266" s="3">
        <v>514</v>
      </c>
      <c r="H266" s="3">
        <v>4</v>
      </c>
      <c r="I266" s="4">
        <v>812.36</v>
      </c>
      <c r="J266" s="4">
        <v>547.03</v>
      </c>
      <c r="K266" s="3">
        <v>3</v>
      </c>
      <c r="L266" s="2" t="s">
        <v>2518</v>
      </c>
      <c r="M266" s="2" t="s">
        <v>2524</v>
      </c>
      <c r="N266" s="8">
        <f>IFERROR(G266/F266,0)</f>
        <v>7.543293219841503E-3</v>
      </c>
      <c r="O266" s="8">
        <f>IFERROR(H266/G266,0)</f>
        <v>7.7821011673151752E-3</v>
      </c>
      <c r="P266" s="4">
        <f>IFERROR(I266/G266,0)</f>
        <v>1.580466926070039</v>
      </c>
      <c r="Q266" s="4">
        <f>IFERROR(I266/H266,0)</f>
        <v>203.09</v>
      </c>
      <c r="R266" s="12">
        <f>IFERROR(J266/I266,0)</f>
        <v>0.67338372150278192</v>
      </c>
      <c r="S266" s="7">
        <f>Tabla_nuevas_columnas[[#This Row],[ROAS]]</f>
        <v>0.67338372150278192</v>
      </c>
      <c r="T266" t="str">
        <f>_xlfn.CONCAT(C266,"-",D266)</f>
        <v>Display-Portugal</v>
      </c>
      <c r="U266">
        <f>YEAR(A266)</f>
        <v>2025</v>
      </c>
      <c r="V266">
        <f>MONTH(A266)</f>
        <v>5</v>
      </c>
      <c r="W266" t="str">
        <f>PROPER(TEXT(A266,"mmmm"))</f>
        <v>Mayo</v>
      </c>
      <c r="X266" t="str">
        <f>PROPER(TEXT(A266,"dddd"))</f>
        <v>Viernes</v>
      </c>
      <c r="Y266" t="str" cm="1">
        <f t="array" ref="Y266">_xlfn.IFS(R266&gt;10,"Excelente",R266&gt;=5,"Bueno",R266&gt;=2,"Débil",R266&lt;2,"Deficiente")</f>
        <v>Deficiente</v>
      </c>
      <c r="Z266" t="str">
        <f>IF(AND(R266&lt;2,Q266&gt;=100),"Revisar","OK")</f>
        <v>Revisar</v>
      </c>
      <c r="AA266" s="55">
        <f>_xlfn.XLOOKUP(C266,'Preguntas de negocio'!$C$114:$C$119,'Preguntas de negocio'!$D$114:$D$119,0)</f>
        <v>5</v>
      </c>
      <c r="AB266" s="55">
        <f>VLOOKUP(C266,'Preguntas de negocio'!$C$121:$D$127,2,FALSE)</f>
        <v>0.5</v>
      </c>
    </row>
    <row r="267" spans="1:28" x14ac:dyDescent="0.3">
      <c r="A267" s="1">
        <v>45714</v>
      </c>
      <c r="B267" s="2" t="s">
        <v>2639</v>
      </c>
      <c r="C267" s="2" t="s">
        <v>2533</v>
      </c>
      <c r="D267" s="2" t="s">
        <v>2528</v>
      </c>
      <c r="E267" s="2" t="s">
        <v>2517</v>
      </c>
      <c r="F267" s="3">
        <v>85605</v>
      </c>
      <c r="G267" s="3">
        <v>3356</v>
      </c>
      <c r="H267" s="3">
        <v>141</v>
      </c>
      <c r="I267" s="4">
        <v>2682.58</v>
      </c>
      <c r="J267" s="4">
        <v>17704.64</v>
      </c>
      <c r="K267" s="3">
        <v>75</v>
      </c>
      <c r="L267" s="2" t="s">
        <v>2523</v>
      </c>
      <c r="M267" s="2" t="s">
        <v>2546</v>
      </c>
      <c r="N267" s="8">
        <f>IFERROR(G267/F267,0)</f>
        <v>3.9203317563226446E-2</v>
      </c>
      <c r="O267" s="8">
        <f>IFERROR(H267/G267,0)</f>
        <v>4.2014302741358762E-2</v>
      </c>
      <c r="P267" s="4">
        <f>IFERROR(I267/G267,0)</f>
        <v>0.7993384982121573</v>
      </c>
      <c r="Q267" s="4">
        <f>IFERROR(I267/H267,0)</f>
        <v>19.025390070921986</v>
      </c>
      <c r="R267" s="12">
        <f>IFERROR(J267/I267,0)</f>
        <v>6.5998553631205779</v>
      </c>
      <c r="S267" s="7">
        <f>Tabla_nuevas_columnas[[#This Row],[ROAS]]</f>
        <v>6.5998553631205779</v>
      </c>
      <c r="T267" t="str">
        <f>_xlfn.CONCAT(C267,"-",D267)</f>
        <v>Paid Social-España</v>
      </c>
      <c r="U267">
        <f>YEAR(A267)</f>
        <v>2025</v>
      </c>
      <c r="V267">
        <f>MONTH(A267)</f>
        <v>2</v>
      </c>
      <c r="W267" t="str">
        <f>PROPER(TEXT(A267,"mmmm"))</f>
        <v>Febrero</v>
      </c>
      <c r="X267" t="str">
        <f>PROPER(TEXT(A267,"dddd"))</f>
        <v>Miércoles</v>
      </c>
      <c r="Y267" t="str" cm="1">
        <f t="array" ref="Y267">_xlfn.IFS(R267&gt;10,"Excelente",R267&gt;=5,"Bueno",R267&gt;=2,"Débil",R267&lt;2,"Deficiente")</f>
        <v>Bueno</v>
      </c>
      <c r="Z267" t="str">
        <f>IF(AND(R267&lt;2,Q267&gt;=100),"Revisar","OK")</f>
        <v>OK</v>
      </c>
      <c r="AA267" s="55">
        <f>_xlfn.XLOOKUP(C267,'Preguntas de negocio'!$C$114:$C$119,'Preguntas de negocio'!$D$114:$D$119,0)</f>
        <v>6</v>
      </c>
      <c r="AB267" s="55">
        <f>VLOOKUP(C267,'Preguntas de negocio'!$C$121:$D$127,2,FALSE)</f>
        <v>0.8</v>
      </c>
    </row>
    <row r="268" spans="1:28" x14ac:dyDescent="0.3">
      <c r="A268" s="1">
        <v>45664</v>
      </c>
      <c r="B268" s="2" t="s">
        <v>2617</v>
      </c>
      <c r="C268" s="2" t="s">
        <v>2541</v>
      </c>
      <c r="D268" s="2" t="s">
        <v>2516</v>
      </c>
      <c r="E268" s="2" t="s">
        <v>2517</v>
      </c>
      <c r="F268" s="3">
        <v>47238</v>
      </c>
      <c r="G268" s="3">
        <v>577</v>
      </c>
      <c r="H268" s="3">
        <v>20</v>
      </c>
      <c r="I268" s="4">
        <v>864.87</v>
      </c>
      <c r="J268" s="4">
        <v>3835.5</v>
      </c>
      <c r="K268" s="3">
        <v>14</v>
      </c>
      <c r="L268" s="2" t="s">
        <v>2518</v>
      </c>
      <c r="M268" s="2" t="s">
        <v>2524</v>
      </c>
      <c r="N268" s="8">
        <f>IFERROR(G268/F268,0)</f>
        <v>1.2214742368432195E-2</v>
      </c>
      <c r="O268" s="8">
        <f>IFERROR(H268/G268,0)</f>
        <v>3.4662045060658578E-2</v>
      </c>
      <c r="P268" s="4">
        <f>IFERROR(I268/G268,0)</f>
        <v>1.4989081455805893</v>
      </c>
      <c r="Q268" s="4">
        <f>IFERROR(I268/H268,0)</f>
        <v>43.243499999999997</v>
      </c>
      <c r="R268" s="12">
        <f>IFERROR(J268/I268,0)</f>
        <v>4.4347705435498979</v>
      </c>
      <c r="S268" s="7">
        <f>Tabla_nuevas_columnas[[#This Row],[ROAS]]</f>
        <v>4.4347705435498979</v>
      </c>
      <c r="T268" t="str">
        <f>_xlfn.CONCAT(C268,"-",D268)</f>
        <v>Display-México</v>
      </c>
      <c r="U268">
        <f>YEAR(A268)</f>
        <v>2025</v>
      </c>
      <c r="V268">
        <f>MONTH(A268)</f>
        <v>1</v>
      </c>
      <c r="W268" t="str">
        <f>PROPER(TEXT(A268,"mmmm"))</f>
        <v>Enero</v>
      </c>
      <c r="X268" t="str">
        <f>PROPER(TEXT(A268,"dddd"))</f>
        <v>Martes</v>
      </c>
      <c r="Y268" t="str" cm="1">
        <f t="array" ref="Y268">_xlfn.IFS(R268&gt;10,"Excelente",R268&gt;=5,"Bueno",R268&gt;=2,"Débil",R268&lt;2,"Deficiente")</f>
        <v>Débil</v>
      </c>
      <c r="Z268" t="str">
        <f>IF(AND(R268&lt;2,Q268&gt;=100),"Revisar","OK")</f>
        <v>OK</v>
      </c>
      <c r="AA268" s="55">
        <f>_xlfn.XLOOKUP(C268,'Preguntas de negocio'!$C$114:$C$119,'Preguntas de negocio'!$D$114:$D$119,0)</f>
        <v>5</v>
      </c>
      <c r="AB268" s="55">
        <f>VLOOKUP(C268,'Preguntas de negocio'!$C$121:$D$127,2,FALSE)</f>
        <v>0.5</v>
      </c>
    </row>
    <row r="269" spans="1:28" x14ac:dyDescent="0.3">
      <c r="A269" s="1">
        <v>45945</v>
      </c>
      <c r="B269" s="2" t="s">
        <v>2627</v>
      </c>
      <c r="C269" s="2" t="s">
        <v>2541</v>
      </c>
      <c r="D269" s="2" t="s">
        <v>2528</v>
      </c>
      <c r="E269" s="2" t="s">
        <v>2517</v>
      </c>
      <c r="F269" s="3">
        <v>109089</v>
      </c>
      <c r="G269" s="3">
        <v>2184</v>
      </c>
      <c r="H269" s="3">
        <v>232</v>
      </c>
      <c r="I269" s="4">
        <v>3148.64</v>
      </c>
      <c r="J269" s="4">
        <v>27846.04</v>
      </c>
      <c r="K269" s="3">
        <v>208</v>
      </c>
      <c r="L269" s="2" t="s">
        <v>2518</v>
      </c>
      <c r="M269" s="2" t="s">
        <v>2519</v>
      </c>
      <c r="N269" s="8">
        <f>IFERROR(G269/F269,0)</f>
        <v>2.0020350356131231E-2</v>
      </c>
      <c r="O269" s="8">
        <f>IFERROR(H269/G269,0)</f>
        <v>0.10622710622710622</v>
      </c>
      <c r="P269" s="4">
        <f>IFERROR(I269/G269,0)</f>
        <v>1.4416849816849817</v>
      </c>
      <c r="Q269" s="4">
        <f>IFERROR(I269/H269,0)</f>
        <v>13.571724137931033</v>
      </c>
      <c r="R269" s="12">
        <f>IFERROR(J269/I269,0)</f>
        <v>8.8438309873469194</v>
      </c>
      <c r="S269" s="7">
        <f>Tabla_nuevas_columnas[[#This Row],[ROAS]]</f>
        <v>8.8438309873469194</v>
      </c>
      <c r="T269" t="str">
        <f>_xlfn.CONCAT(C269,"-",D269)</f>
        <v>Display-España</v>
      </c>
      <c r="U269">
        <f>YEAR(A269)</f>
        <v>2025</v>
      </c>
      <c r="V269">
        <f>MONTH(A269)</f>
        <v>10</v>
      </c>
      <c r="W269" t="str">
        <f>PROPER(TEXT(A269,"mmmm"))</f>
        <v>Octubre</v>
      </c>
      <c r="X269" t="str">
        <f>PROPER(TEXT(A269,"dddd"))</f>
        <v>Miércoles</v>
      </c>
      <c r="Y269" t="str" cm="1">
        <f t="array" ref="Y269">_xlfn.IFS(R269&gt;10,"Excelente",R269&gt;=5,"Bueno",R269&gt;=2,"Débil",R269&lt;2,"Deficiente")</f>
        <v>Bueno</v>
      </c>
      <c r="Z269" t="str">
        <f>IF(AND(R269&lt;2,Q269&gt;=100),"Revisar","OK")</f>
        <v>OK</v>
      </c>
      <c r="AA269" s="55">
        <f>_xlfn.XLOOKUP(C269,'Preguntas de negocio'!$C$114:$C$119,'Preguntas de negocio'!$D$114:$D$119,0)</f>
        <v>5</v>
      </c>
      <c r="AB269" s="55">
        <f>VLOOKUP(C269,'Preguntas de negocio'!$C$121:$D$127,2,FALSE)</f>
        <v>0.5</v>
      </c>
    </row>
    <row r="270" spans="1:28" x14ac:dyDescent="0.3">
      <c r="A270" s="1">
        <v>45729</v>
      </c>
      <c r="B270" s="2" t="s">
        <v>2628</v>
      </c>
      <c r="C270" s="2" t="s">
        <v>2533</v>
      </c>
      <c r="D270" s="2" t="s">
        <v>2528</v>
      </c>
      <c r="E270" s="2" t="s">
        <v>2517</v>
      </c>
      <c r="F270" s="3">
        <v>75419</v>
      </c>
      <c r="G270" s="3">
        <v>6401</v>
      </c>
      <c r="H270" s="3">
        <v>322</v>
      </c>
      <c r="I270" s="4">
        <v>2650.59</v>
      </c>
      <c r="J270" s="4">
        <v>24284.18</v>
      </c>
      <c r="K270" s="3">
        <v>192</v>
      </c>
      <c r="L270" s="2" t="s">
        <v>2536</v>
      </c>
      <c r="M270" s="2" t="s">
        <v>2537</v>
      </c>
      <c r="N270" s="8">
        <f>IFERROR(G270/F270,0)</f>
        <v>8.4872512231665767E-2</v>
      </c>
      <c r="O270" s="8">
        <f>IFERROR(H270/G270,0)</f>
        <v>5.0304639900015623E-2</v>
      </c>
      <c r="P270" s="4">
        <f>IFERROR(I270/G270,0)</f>
        <v>0.41408998593969693</v>
      </c>
      <c r="Q270" s="4">
        <f>IFERROR(I270/H270,0)</f>
        <v>8.2316459627329195</v>
      </c>
      <c r="R270" s="12">
        <f>IFERROR(J270/I270,0)</f>
        <v>9.1618017120716519</v>
      </c>
      <c r="S270" s="7">
        <f>Tabla_nuevas_columnas[[#This Row],[ROAS]]</f>
        <v>9.1618017120716519</v>
      </c>
      <c r="T270" t="str">
        <f>_xlfn.CONCAT(C270,"-",D270)</f>
        <v>Paid Social-España</v>
      </c>
      <c r="U270">
        <f>YEAR(A270)</f>
        <v>2025</v>
      </c>
      <c r="V270">
        <f>MONTH(A270)</f>
        <v>3</v>
      </c>
      <c r="W270" t="str">
        <f>PROPER(TEXT(A270,"mmmm"))</f>
        <v>Marzo</v>
      </c>
      <c r="X270" t="str">
        <f>PROPER(TEXT(A270,"dddd"))</f>
        <v>Jueves</v>
      </c>
      <c r="Y270" t="str" cm="1">
        <f t="array" ref="Y270">_xlfn.IFS(R270&gt;10,"Excelente",R270&gt;=5,"Bueno",R270&gt;=2,"Débil",R270&lt;2,"Deficiente")</f>
        <v>Bueno</v>
      </c>
      <c r="Z270" t="str">
        <f>IF(AND(R270&lt;2,Q270&gt;=100),"Revisar","OK")</f>
        <v>OK</v>
      </c>
      <c r="AA270" s="55">
        <f>_xlfn.XLOOKUP(C270,'Preguntas de negocio'!$C$114:$C$119,'Preguntas de negocio'!$D$114:$D$119,0)</f>
        <v>6</v>
      </c>
      <c r="AB270" s="55">
        <f>VLOOKUP(C270,'Preguntas de negocio'!$C$121:$D$127,2,FALSE)</f>
        <v>0.8</v>
      </c>
    </row>
    <row r="271" spans="1:28" x14ac:dyDescent="0.3">
      <c r="A271" s="1">
        <v>45872</v>
      </c>
      <c r="B271" s="2" t="s">
        <v>2634</v>
      </c>
      <c r="C271" s="2" t="s">
        <v>2543</v>
      </c>
      <c r="D271" s="2" t="s">
        <v>2525</v>
      </c>
      <c r="E271" s="2" t="s">
        <v>2517</v>
      </c>
      <c r="F271" s="3">
        <v>126828</v>
      </c>
      <c r="G271" s="3">
        <v>2773</v>
      </c>
      <c r="H271" s="3">
        <v>15</v>
      </c>
      <c r="I271" s="4">
        <v>1620.45</v>
      </c>
      <c r="J271" s="4">
        <v>1306.3900000000001</v>
      </c>
      <c r="K271" s="3">
        <v>8</v>
      </c>
      <c r="L271" s="2" t="s">
        <v>2536</v>
      </c>
      <c r="M271" s="2" t="s">
        <v>2524</v>
      </c>
      <c r="N271" s="8">
        <f>IFERROR(G271/F271,0)</f>
        <v>2.1864257104109504E-2</v>
      </c>
      <c r="O271" s="8">
        <f>IFERROR(H271/G271,0)</f>
        <v>5.4093040028849624E-3</v>
      </c>
      <c r="P271" s="4">
        <f>IFERROR(I271/G271,0)</f>
        <v>0.58436711143166242</v>
      </c>
      <c r="Q271" s="4">
        <f>IFERROR(I271/H271,0)</f>
        <v>108.03</v>
      </c>
      <c r="R271" s="12">
        <f>IFERROR(J271/I271,0)</f>
        <v>0.80618963868061344</v>
      </c>
      <c r="S271" s="7">
        <f>Tabla_nuevas_columnas[[#This Row],[ROAS]]</f>
        <v>0.80618963868061344</v>
      </c>
      <c r="T271" t="str">
        <f>_xlfn.CONCAT(C271,"-",D271)</f>
        <v>Organic Social-Francia</v>
      </c>
      <c r="U271">
        <f>YEAR(A271)</f>
        <v>2025</v>
      </c>
      <c r="V271">
        <f>MONTH(A271)</f>
        <v>8</v>
      </c>
      <c r="W271" t="str">
        <f>PROPER(TEXT(A271,"mmmm"))</f>
        <v>Agosto</v>
      </c>
      <c r="X271" t="str">
        <f>PROPER(TEXT(A271,"dddd"))</f>
        <v>Domingo</v>
      </c>
      <c r="Y271" t="str" cm="1">
        <f t="array" ref="Y271">_xlfn.IFS(R271&gt;10,"Excelente",R271&gt;=5,"Bueno",R271&gt;=2,"Débil",R271&lt;2,"Deficiente")</f>
        <v>Deficiente</v>
      </c>
      <c r="Z271" t="str">
        <f>IF(AND(R271&lt;2,Q271&gt;=100),"Revisar","OK")</f>
        <v>Revisar</v>
      </c>
      <c r="AA271" s="55">
        <f>_xlfn.XLOOKUP(C271,'Preguntas de negocio'!$C$114:$C$119,'Preguntas de negocio'!$D$114:$D$119,0)</f>
        <v>4</v>
      </c>
      <c r="AB271" s="55">
        <f>VLOOKUP(C271,'Preguntas de negocio'!$C$121:$D$127,2,FALSE)</f>
        <v>0.95</v>
      </c>
    </row>
    <row r="272" spans="1:28" x14ac:dyDescent="0.3">
      <c r="A272" s="1">
        <v>45958</v>
      </c>
      <c r="B272" s="2" t="s">
        <v>2639</v>
      </c>
      <c r="C272" s="2" t="s">
        <v>2527</v>
      </c>
      <c r="D272" s="2" t="s">
        <v>2528</v>
      </c>
      <c r="E272" s="2" t="s">
        <v>2529</v>
      </c>
      <c r="F272" s="3">
        <v>115787</v>
      </c>
      <c r="G272" s="3">
        <v>8330</v>
      </c>
      <c r="H272" s="3">
        <v>347</v>
      </c>
      <c r="I272" s="4">
        <v>1050.1099999999999</v>
      </c>
      <c r="J272" s="4">
        <v>74920.490000000005</v>
      </c>
      <c r="K272" s="3">
        <v>249</v>
      </c>
      <c r="L272" s="2" t="s">
        <v>2518</v>
      </c>
      <c r="M272" s="2" t="s">
        <v>2645</v>
      </c>
      <c r="N272" s="8">
        <f>IFERROR(G272/F272,0)</f>
        <v>7.1942446043165464E-2</v>
      </c>
      <c r="O272" s="8">
        <f>IFERROR(H272/G272,0)</f>
        <v>4.1656662665066027E-2</v>
      </c>
      <c r="P272" s="4">
        <f>IFERROR(I272/G272,0)</f>
        <v>0.12606362545018007</v>
      </c>
      <c r="Q272" s="4">
        <f>IFERROR(I272/H272,0)</f>
        <v>3.0262536023054754</v>
      </c>
      <c r="R272" s="12">
        <f>IFERROR(J272/I272,0)</f>
        <v>71.345373341840386</v>
      </c>
      <c r="S272" s="7">
        <f>Tabla_nuevas_columnas[[#This Row],[ROAS]]</f>
        <v>71.345373341840386</v>
      </c>
      <c r="T272" t="str">
        <f>_xlfn.CONCAT(C272,"-",D272)</f>
        <v>Affiliate-España</v>
      </c>
      <c r="U272">
        <f>YEAR(A272)</f>
        <v>2025</v>
      </c>
      <c r="V272">
        <f>MONTH(A272)</f>
        <v>10</v>
      </c>
      <c r="W272" t="str">
        <f>PROPER(TEXT(A272,"mmmm"))</f>
        <v>Octubre</v>
      </c>
      <c r="X272" t="str">
        <f>PROPER(TEXT(A272,"dddd"))</f>
        <v>Martes</v>
      </c>
      <c r="Y272" t="str" cm="1">
        <f t="array" ref="Y272">_xlfn.IFS(R272&gt;10,"Excelente",R272&gt;=5,"Bueno",R272&gt;=2,"Débil",R272&lt;2,"Deficiente")</f>
        <v>Excelente</v>
      </c>
      <c r="Z272" t="str">
        <f>IF(AND(R272&lt;2,Q272&gt;=100),"Revisar","OK")</f>
        <v>OK</v>
      </c>
      <c r="AA272" s="55">
        <f>_xlfn.XLOOKUP(C272,'Preguntas de negocio'!$C$114:$C$119,'Preguntas de negocio'!$D$114:$D$119,0)</f>
        <v>4.5</v>
      </c>
      <c r="AB272" s="55">
        <f>VLOOKUP(C272,'Preguntas de negocio'!$C$121:$D$127,2,FALSE)</f>
        <v>0.35</v>
      </c>
    </row>
    <row r="273" spans="1:28" x14ac:dyDescent="0.3">
      <c r="A273" s="1">
        <v>45810</v>
      </c>
      <c r="B273" s="2" t="s">
        <v>2640</v>
      </c>
      <c r="C273" s="2" t="s">
        <v>2543</v>
      </c>
      <c r="D273" s="2" t="s">
        <v>2528</v>
      </c>
      <c r="E273" s="2" t="s">
        <v>2529</v>
      </c>
      <c r="F273" s="3">
        <v>153589</v>
      </c>
      <c r="G273" s="3">
        <v>12225</v>
      </c>
      <c r="H273" s="3">
        <v>1308</v>
      </c>
      <c r="I273" s="4">
        <v>3881</v>
      </c>
      <c r="J273" s="4">
        <v>224367.15</v>
      </c>
      <c r="K273" s="3">
        <v>911</v>
      </c>
      <c r="L273" s="2" t="s">
        <v>2523</v>
      </c>
      <c r="M273" s="2" t="s">
        <v>2519</v>
      </c>
      <c r="N273" s="8">
        <f>IFERROR(G273/F273,0)</f>
        <v>7.9595543951715295E-2</v>
      </c>
      <c r="O273" s="8">
        <f>IFERROR(H273/G273,0)</f>
        <v>0.10699386503067485</v>
      </c>
      <c r="P273" s="4">
        <f>IFERROR(I273/G273,0)</f>
        <v>0.3174642126789366</v>
      </c>
      <c r="Q273" s="4">
        <f>IFERROR(I273/H273,0)</f>
        <v>2.967125382262997</v>
      </c>
      <c r="R273" s="12">
        <f>IFERROR(J273/I273,0)</f>
        <v>57.811685132697754</v>
      </c>
      <c r="S273" s="7">
        <f>Tabla_nuevas_columnas[[#This Row],[ROAS]]</f>
        <v>57.811685132697754</v>
      </c>
      <c r="T273" t="str">
        <f>_xlfn.CONCAT(C273,"-",D273)</f>
        <v>Organic Social-España</v>
      </c>
      <c r="U273">
        <f>YEAR(A273)</f>
        <v>2025</v>
      </c>
      <c r="V273">
        <f>MONTH(A273)</f>
        <v>6</v>
      </c>
      <c r="W273" t="str">
        <f>PROPER(TEXT(A273,"mmmm"))</f>
        <v>Junio</v>
      </c>
      <c r="X273" t="str">
        <f>PROPER(TEXT(A273,"dddd"))</f>
        <v>Lunes</v>
      </c>
      <c r="Y273" t="str" cm="1">
        <f t="array" ref="Y273">_xlfn.IFS(R273&gt;10,"Excelente",R273&gt;=5,"Bueno",R273&gt;=2,"Débil",R273&lt;2,"Deficiente")</f>
        <v>Excelente</v>
      </c>
      <c r="Z273" t="str">
        <f>IF(AND(R273&lt;2,Q273&gt;=100),"Revisar","OK")</f>
        <v>OK</v>
      </c>
      <c r="AA273" s="55">
        <f>_xlfn.XLOOKUP(C273,'Preguntas de negocio'!$C$114:$C$119,'Preguntas de negocio'!$D$114:$D$119,0)</f>
        <v>4</v>
      </c>
      <c r="AB273" s="55">
        <f>VLOOKUP(C273,'Preguntas de negocio'!$C$121:$D$127,2,FALSE)</f>
        <v>0.95</v>
      </c>
    </row>
    <row r="274" spans="1:28" x14ac:dyDescent="0.3">
      <c r="A274" s="1">
        <v>45851</v>
      </c>
      <c r="B274" s="2" t="s">
        <v>2622</v>
      </c>
      <c r="C274" s="2" t="s">
        <v>2521</v>
      </c>
      <c r="D274" s="2" t="s">
        <v>2528</v>
      </c>
      <c r="E274" s="2" t="s">
        <v>2529</v>
      </c>
      <c r="F274" s="3">
        <v>54410</v>
      </c>
      <c r="G274" s="3">
        <v>4726</v>
      </c>
      <c r="H274" s="3">
        <v>133</v>
      </c>
      <c r="I274" s="4">
        <v>723.27</v>
      </c>
      <c r="J274" s="4">
        <v>12588.91</v>
      </c>
      <c r="K274" s="3">
        <v>104</v>
      </c>
      <c r="L274" s="2" t="s">
        <v>2523</v>
      </c>
      <c r="M274" s="2" t="s">
        <v>2526</v>
      </c>
      <c r="N274" s="8">
        <f>IFERROR(G274/F274,0)</f>
        <v>8.6859033265943755E-2</v>
      </c>
      <c r="O274" s="8">
        <f>IFERROR(H274/G274,0)</f>
        <v>2.8142192128650021E-2</v>
      </c>
      <c r="P274" s="4">
        <f>IFERROR(I274/G274,0)</f>
        <v>0.15304062632247142</v>
      </c>
      <c r="Q274" s="4">
        <f>IFERROR(I274/H274,0)</f>
        <v>5.4381203007518799</v>
      </c>
      <c r="R274" s="12">
        <f>IFERROR(J274/I274,0)</f>
        <v>17.40554702946341</v>
      </c>
      <c r="S274" s="7">
        <f>Tabla_nuevas_columnas[[#This Row],[ROAS]]</f>
        <v>17.40554702946341</v>
      </c>
      <c r="T274" t="str">
        <f>_xlfn.CONCAT(C274,"-",D274)</f>
        <v>Paid Search-España</v>
      </c>
      <c r="U274">
        <f>YEAR(A274)</f>
        <v>2025</v>
      </c>
      <c r="V274">
        <f>MONTH(A274)</f>
        <v>7</v>
      </c>
      <c r="W274" t="str">
        <f>PROPER(TEXT(A274,"mmmm"))</f>
        <v>Julio</v>
      </c>
      <c r="X274" t="str">
        <f>PROPER(TEXT(A274,"dddd"))</f>
        <v>Domingo</v>
      </c>
      <c r="Y274" t="str" cm="1">
        <f t="array" ref="Y274">_xlfn.IFS(R274&gt;10,"Excelente",R274&gt;=5,"Bueno",R274&gt;=2,"Débil",R274&lt;2,"Deficiente")</f>
        <v>Excelente</v>
      </c>
      <c r="Z274" t="str">
        <f>IF(AND(R274&lt;2,Q274&gt;=100),"Revisar","OK")</f>
        <v>OK</v>
      </c>
      <c r="AA274" s="55">
        <f>_xlfn.XLOOKUP(C274,'Preguntas de negocio'!$C$114:$C$119,'Preguntas de negocio'!$D$114:$D$119,0)</f>
        <v>5</v>
      </c>
      <c r="AB274" s="55">
        <f>VLOOKUP(C274,'Preguntas de negocio'!$C$121:$D$127,2,FALSE)</f>
        <v>1.1000000000000001</v>
      </c>
    </row>
    <row r="275" spans="1:28" x14ac:dyDescent="0.3">
      <c r="A275" s="1">
        <v>45738</v>
      </c>
      <c r="B275" s="2" t="s">
        <v>2637</v>
      </c>
      <c r="C275" s="2" t="s">
        <v>2541</v>
      </c>
      <c r="D275" s="2" t="s">
        <v>2528</v>
      </c>
      <c r="E275" s="2" t="s">
        <v>2529</v>
      </c>
      <c r="F275" s="3">
        <v>178156</v>
      </c>
      <c r="G275" s="3">
        <v>9113</v>
      </c>
      <c r="H275" s="3">
        <v>297</v>
      </c>
      <c r="I275" s="4">
        <v>15507.44</v>
      </c>
      <c r="J275" s="4">
        <v>38586.19</v>
      </c>
      <c r="K275" s="3">
        <v>136</v>
      </c>
      <c r="L275" s="2" t="s">
        <v>2523</v>
      </c>
      <c r="M275" s="2" t="s">
        <v>2524</v>
      </c>
      <c r="N275" s="8">
        <f>IFERROR(G275/F275,0)</f>
        <v>5.1151799546464899E-2</v>
      </c>
      <c r="O275" s="8">
        <f>IFERROR(H275/G275,0)</f>
        <v>3.259080434544058E-2</v>
      </c>
      <c r="P275" s="4">
        <f>IFERROR(I275/G275,0)</f>
        <v>1.7016833095577746</v>
      </c>
      <c r="Q275" s="4">
        <f>IFERROR(I275/H275,0)</f>
        <v>52.213602693602695</v>
      </c>
      <c r="R275" s="12">
        <f>IFERROR(J275/I275,0)</f>
        <v>2.4882372590188968</v>
      </c>
      <c r="S275" s="7">
        <f>Tabla_nuevas_columnas[[#This Row],[ROAS]]</f>
        <v>2.4882372590188968</v>
      </c>
      <c r="T275" t="str">
        <f>_xlfn.CONCAT(C275,"-",D275)</f>
        <v>Display-España</v>
      </c>
      <c r="U275">
        <f>YEAR(A275)</f>
        <v>2025</v>
      </c>
      <c r="V275">
        <f>MONTH(A275)</f>
        <v>3</v>
      </c>
      <c r="W275" t="str">
        <f>PROPER(TEXT(A275,"mmmm"))</f>
        <v>Marzo</v>
      </c>
      <c r="X275" t="str">
        <f>PROPER(TEXT(A275,"dddd"))</f>
        <v>Sábado</v>
      </c>
      <c r="Y275" t="str" cm="1">
        <f t="array" ref="Y275">_xlfn.IFS(R275&gt;10,"Excelente",R275&gt;=5,"Bueno",R275&gt;=2,"Débil",R275&lt;2,"Deficiente")</f>
        <v>Débil</v>
      </c>
      <c r="Z275" t="str">
        <f>IF(AND(R275&lt;2,Q275&gt;=100),"Revisar","OK")</f>
        <v>OK</v>
      </c>
      <c r="AA275" s="55">
        <f>_xlfn.XLOOKUP(C275,'Preguntas de negocio'!$C$114:$C$119,'Preguntas de negocio'!$D$114:$D$119,0)</f>
        <v>5</v>
      </c>
      <c r="AB275" s="55">
        <f>VLOOKUP(C275,'Preguntas de negocio'!$C$121:$D$127,2,FALSE)</f>
        <v>0.5</v>
      </c>
    </row>
    <row r="276" spans="1:28" x14ac:dyDescent="0.3">
      <c r="A276" s="1">
        <v>45998</v>
      </c>
      <c r="B276" s="2" t="s">
        <v>2636</v>
      </c>
      <c r="C276" s="2" t="s">
        <v>2541</v>
      </c>
      <c r="D276" s="2" t="s">
        <v>2528</v>
      </c>
      <c r="E276" s="2" t="s">
        <v>2529</v>
      </c>
      <c r="F276" s="3">
        <v>8328</v>
      </c>
      <c r="G276" s="3">
        <v>485</v>
      </c>
      <c r="H276" s="3">
        <v>9</v>
      </c>
      <c r="I276" s="4">
        <v>315.87</v>
      </c>
      <c r="J276" s="4">
        <v>1758.62</v>
      </c>
      <c r="K276" s="3">
        <v>7</v>
      </c>
      <c r="L276" s="2" t="s">
        <v>2518</v>
      </c>
      <c r="M276" s="2" t="s">
        <v>2526</v>
      </c>
      <c r="N276" s="8">
        <f>IFERROR(G276/F276,0)</f>
        <v>5.8237271853986548E-2</v>
      </c>
      <c r="O276" s="8">
        <f>IFERROR(H276/G276,0)</f>
        <v>1.8556701030927835E-2</v>
      </c>
      <c r="P276" s="4">
        <f>IFERROR(I276/G276,0)</f>
        <v>0.6512783505154639</v>
      </c>
      <c r="Q276" s="4">
        <f>IFERROR(I276/H276,0)</f>
        <v>35.096666666666664</v>
      </c>
      <c r="R276" s="12">
        <f>IFERROR(J276/I276,0)</f>
        <v>5.5675436097128559</v>
      </c>
      <c r="S276" s="7">
        <f>Tabla_nuevas_columnas[[#This Row],[ROAS]]</f>
        <v>5.5675436097128559</v>
      </c>
      <c r="T276" t="str">
        <f>_xlfn.CONCAT(C276,"-",D276)</f>
        <v>Display-España</v>
      </c>
      <c r="U276">
        <f>YEAR(A276)</f>
        <v>2025</v>
      </c>
      <c r="V276">
        <f>MONTH(A276)</f>
        <v>12</v>
      </c>
      <c r="W276" t="str">
        <f>PROPER(TEXT(A276,"mmmm"))</f>
        <v>Diciembre</v>
      </c>
      <c r="X276" t="str">
        <f>PROPER(TEXT(A276,"dddd"))</f>
        <v>Domingo</v>
      </c>
      <c r="Y276" t="str" cm="1">
        <f t="array" ref="Y276">_xlfn.IFS(R276&gt;10,"Excelente",R276&gt;=5,"Bueno",R276&gt;=2,"Débil",R276&lt;2,"Deficiente")</f>
        <v>Bueno</v>
      </c>
      <c r="Z276" t="str">
        <f>IF(AND(R276&lt;2,Q276&gt;=100),"Revisar","OK")</f>
        <v>OK</v>
      </c>
      <c r="AA276" s="55">
        <f>_xlfn.XLOOKUP(C276,'Preguntas de negocio'!$C$114:$C$119,'Preguntas de negocio'!$D$114:$D$119,0)</f>
        <v>5</v>
      </c>
      <c r="AB276" s="55">
        <f>VLOOKUP(C276,'Preguntas de negocio'!$C$121:$D$127,2,FALSE)</f>
        <v>0.5</v>
      </c>
    </row>
    <row r="277" spans="1:28" x14ac:dyDescent="0.3">
      <c r="A277" s="1">
        <v>45835</v>
      </c>
      <c r="B277" s="2" t="s">
        <v>2644</v>
      </c>
      <c r="C277" s="2" t="s">
        <v>2533</v>
      </c>
      <c r="D277" s="2" t="s">
        <v>2516</v>
      </c>
      <c r="E277" s="2" t="s">
        <v>2517</v>
      </c>
      <c r="F277" s="3">
        <v>160927</v>
      </c>
      <c r="G277" s="3">
        <v>9302</v>
      </c>
      <c r="H277" s="3">
        <v>850</v>
      </c>
      <c r="I277" s="4">
        <v>9590.2199999999993</v>
      </c>
      <c r="J277" s="4">
        <v>105028.08</v>
      </c>
      <c r="K277" s="3">
        <v>691</v>
      </c>
      <c r="L277" s="2" t="s">
        <v>2539</v>
      </c>
      <c r="M277" s="2" t="s">
        <v>2537</v>
      </c>
      <c r="N277" s="8">
        <f>IFERROR(G277/F277,0)</f>
        <v>5.7802606150614874E-2</v>
      </c>
      <c r="O277" s="8">
        <f>IFERROR(H277/G277,0)</f>
        <v>9.1378198236938296E-2</v>
      </c>
      <c r="P277" s="4">
        <f>IFERROR(I277/G277,0)</f>
        <v>1.0309847344657062</v>
      </c>
      <c r="Q277" s="4">
        <f>IFERROR(I277/H277,0)</f>
        <v>11.282611764705882</v>
      </c>
      <c r="R277" s="12">
        <f>IFERROR(J277/I277,0)</f>
        <v>10.951581924085163</v>
      </c>
      <c r="S277" s="7">
        <f>Tabla_nuevas_columnas[[#This Row],[ROAS]]</f>
        <v>10.951581924085163</v>
      </c>
      <c r="T277" t="str">
        <f>_xlfn.CONCAT(C277,"-",D277)</f>
        <v>Paid Social-México</v>
      </c>
      <c r="U277">
        <f>YEAR(A277)</f>
        <v>2025</v>
      </c>
      <c r="V277">
        <f>MONTH(A277)</f>
        <v>6</v>
      </c>
      <c r="W277" t="str">
        <f>PROPER(TEXT(A277,"mmmm"))</f>
        <v>Junio</v>
      </c>
      <c r="X277" t="str">
        <f>PROPER(TEXT(A277,"dddd"))</f>
        <v>Viernes</v>
      </c>
      <c r="Y277" t="str" cm="1">
        <f t="array" ref="Y277">_xlfn.IFS(R277&gt;10,"Excelente",R277&gt;=5,"Bueno",R277&gt;=2,"Débil",R277&lt;2,"Deficiente")</f>
        <v>Excelente</v>
      </c>
      <c r="Z277" t="str">
        <f>IF(AND(R277&lt;2,Q277&gt;=100),"Revisar","OK")</f>
        <v>OK</v>
      </c>
      <c r="AA277" s="55">
        <f>_xlfn.XLOOKUP(C277,'Preguntas de negocio'!$C$114:$C$119,'Preguntas de negocio'!$D$114:$D$119,0)</f>
        <v>6</v>
      </c>
      <c r="AB277" s="55">
        <f>VLOOKUP(C277,'Preguntas de negocio'!$C$121:$D$127,2,FALSE)</f>
        <v>0.8</v>
      </c>
    </row>
    <row r="278" spans="1:28" x14ac:dyDescent="0.3">
      <c r="A278" s="1">
        <v>45811</v>
      </c>
      <c r="B278" s="2" t="s">
        <v>2641</v>
      </c>
      <c r="C278" s="2" t="s">
        <v>2543</v>
      </c>
      <c r="D278" s="2" t="s">
        <v>2528</v>
      </c>
      <c r="E278" s="2" t="s">
        <v>2517</v>
      </c>
      <c r="F278" s="3">
        <v>159515</v>
      </c>
      <c r="G278" s="3">
        <v>9905</v>
      </c>
      <c r="H278" s="3">
        <v>261</v>
      </c>
      <c r="I278" s="4">
        <v>2894.6</v>
      </c>
      <c r="J278" s="4">
        <v>48300.06</v>
      </c>
      <c r="K278" s="3">
        <v>192</v>
      </c>
      <c r="L278" s="2" t="s">
        <v>2536</v>
      </c>
      <c r="M278" s="2" t="s">
        <v>2519</v>
      </c>
      <c r="N278" s="8">
        <f>IFERROR(G278/F278,0)</f>
        <v>6.2094473873930349E-2</v>
      </c>
      <c r="O278" s="8">
        <f>IFERROR(H278/G278,0)</f>
        <v>2.6350328117112569E-2</v>
      </c>
      <c r="P278" s="4">
        <f>IFERROR(I278/G278,0)</f>
        <v>0.29223624432104994</v>
      </c>
      <c r="Q278" s="4">
        <f>IFERROR(I278/H278,0)</f>
        <v>11.090421455938698</v>
      </c>
      <c r="R278" s="12">
        <f>IFERROR(J278/I278,0)</f>
        <v>16.68626407793823</v>
      </c>
      <c r="S278" s="7">
        <f>Tabla_nuevas_columnas[[#This Row],[ROAS]]</f>
        <v>16.68626407793823</v>
      </c>
      <c r="T278" t="str">
        <f>_xlfn.CONCAT(C278,"-",D278)</f>
        <v>Organic Social-España</v>
      </c>
      <c r="U278">
        <f>YEAR(A278)</f>
        <v>2025</v>
      </c>
      <c r="V278">
        <f>MONTH(A278)</f>
        <v>6</v>
      </c>
      <c r="W278" t="str">
        <f>PROPER(TEXT(A278,"mmmm"))</f>
        <v>Junio</v>
      </c>
      <c r="X278" t="str">
        <f>PROPER(TEXT(A278,"dddd"))</f>
        <v>Martes</v>
      </c>
      <c r="Y278" t="str" cm="1">
        <f t="array" ref="Y278">_xlfn.IFS(R278&gt;10,"Excelente",R278&gt;=5,"Bueno",R278&gt;=2,"Débil",R278&lt;2,"Deficiente")</f>
        <v>Excelente</v>
      </c>
      <c r="Z278" t="str">
        <f>IF(AND(R278&lt;2,Q278&gt;=100),"Revisar","OK")</f>
        <v>OK</v>
      </c>
      <c r="AA278" s="55">
        <f>_xlfn.XLOOKUP(C278,'Preguntas de negocio'!$C$114:$C$119,'Preguntas de negocio'!$D$114:$D$119,0)</f>
        <v>4</v>
      </c>
      <c r="AB278" s="55">
        <f>VLOOKUP(C278,'Preguntas de negocio'!$C$121:$D$127,2,FALSE)</f>
        <v>0.95</v>
      </c>
    </row>
    <row r="279" spans="1:28" x14ac:dyDescent="0.3">
      <c r="A279" s="1">
        <v>45843</v>
      </c>
      <c r="B279" s="2" t="s">
        <v>2627</v>
      </c>
      <c r="C279" s="2" t="s">
        <v>2521</v>
      </c>
      <c r="D279" s="2" t="s">
        <v>2525</v>
      </c>
      <c r="E279" s="2" t="s">
        <v>2534</v>
      </c>
      <c r="F279" s="3">
        <v>143309</v>
      </c>
      <c r="G279" s="3">
        <v>10612</v>
      </c>
      <c r="H279" s="3">
        <v>1154</v>
      </c>
      <c r="I279" s="4">
        <v>17117.12</v>
      </c>
      <c r="J279" s="4">
        <v>226014</v>
      </c>
      <c r="K279" s="3">
        <v>840</v>
      </c>
      <c r="L279" s="2" t="s">
        <v>2536</v>
      </c>
      <c r="M279" s="2" t="s">
        <v>2519</v>
      </c>
      <c r="N279" s="8">
        <f>IFERROR(G279/F279,0)</f>
        <v>7.4049780544138882E-2</v>
      </c>
      <c r="O279" s="8">
        <f>IFERROR(H279/G279,0)</f>
        <v>0.10874481718808895</v>
      </c>
      <c r="P279" s="4">
        <f>IFERROR(I279/G279,0)</f>
        <v>1.6129966076140219</v>
      </c>
      <c r="Q279" s="4">
        <f>IFERROR(I279/H279,0)</f>
        <v>14.832859618717503</v>
      </c>
      <c r="R279" s="12">
        <f>IFERROR(J279/I279,0)</f>
        <v>13.203973565646558</v>
      </c>
      <c r="S279" s="7">
        <f>Tabla_nuevas_columnas[[#This Row],[ROAS]]</f>
        <v>13.203973565646558</v>
      </c>
      <c r="T279" t="str">
        <f>_xlfn.CONCAT(C279,"-",D279)</f>
        <v>Paid Search-Francia</v>
      </c>
      <c r="U279">
        <f>YEAR(A279)</f>
        <v>2025</v>
      </c>
      <c r="V279">
        <f>MONTH(A279)</f>
        <v>7</v>
      </c>
      <c r="W279" t="str">
        <f>PROPER(TEXT(A279,"mmmm"))</f>
        <v>Julio</v>
      </c>
      <c r="X279" t="str">
        <f>PROPER(TEXT(A279,"dddd"))</f>
        <v>Sábado</v>
      </c>
      <c r="Y279" t="str" cm="1">
        <f t="array" ref="Y279">_xlfn.IFS(R279&gt;10,"Excelente",R279&gt;=5,"Bueno",R279&gt;=2,"Débil",R279&lt;2,"Deficiente")</f>
        <v>Excelente</v>
      </c>
      <c r="Z279" t="str">
        <f>IF(AND(R279&lt;2,Q279&gt;=100),"Revisar","OK")</f>
        <v>OK</v>
      </c>
      <c r="AA279" s="55">
        <f>_xlfn.XLOOKUP(C279,'Preguntas de negocio'!$C$114:$C$119,'Preguntas de negocio'!$D$114:$D$119,0)</f>
        <v>5</v>
      </c>
      <c r="AB279" s="55">
        <f>VLOOKUP(C279,'Preguntas de negocio'!$C$121:$D$127,2,FALSE)</f>
        <v>1.1000000000000001</v>
      </c>
    </row>
    <row r="280" spans="1:28" x14ac:dyDescent="0.3">
      <c r="A280" s="1">
        <v>45681</v>
      </c>
      <c r="B280" s="2" t="s">
        <v>2615</v>
      </c>
      <c r="C280" s="2" t="s">
        <v>2521</v>
      </c>
      <c r="D280" s="2" t="s">
        <v>2528</v>
      </c>
      <c r="E280" s="2" t="s">
        <v>2517</v>
      </c>
      <c r="F280" s="3">
        <v>175738</v>
      </c>
      <c r="G280" s="3">
        <v>6196</v>
      </c>
      <c r="H280" s="3">
        <v>682</v>
      </c>
      <c r="I280" s="4">
        <v>4348.78</v>
      </c>
      <c r="J280" s="4">
        <v>108463.67</v>
      </c>
      <c r="K280" s="3">
        <v>391</v>
      </c>
      <c r="L280" s="2" t="s">
        <v>2523</v>
      </c>
      <c r="M280" s="2" t="s">
        <v>2524</v>
      </c>
      <c r="N280" s="8">
        <f>IFERROR(G280/F280,0)</f>
        <v>3.5257030352001277E-2</v>
      </c>
      <c r="O280" s="8">
        <f>IFERROR(H280/G280,0)</f>
        <v>0.11007101355713364</v>
      </c>
      <c r="P280" s="4">
        <f>IFERROR(I280/G280,0)</f>
        <v>0.70186894770819874</v>
      </c>
      <c r="Q280" s="4">
        <f>IFERROR(I280/H280,0)</f>
        <v>6.3765102639296183</v>
      </c>
      <c r="R280" s="12">
        <f>IFERROR(J280/I280,0)</f>
        <v>24.941172006861695</v>
      </c>
      <c r="S280" s="7">
        <f>Tabla_nuevas_columnas[[#This Row],[ROAS]]</f>
        <v>24.941172006861695</v>
      </c>
      <c r="T280" t="str">
        <f>_xlfn.CONCAT(C280,"-",D280)</f>
        <v>Paid Search-España</v>
      </c>
      <c r="U280">
        <f>YEAR(A280)</f>
        <v>2025</v>
      </c>
      <c r="V280">
        <f>MONTH(A280)</f>
        <v>1</v>
      </c>
      <c r="W280" t="str">
        <f>PROPER(TEXT(A280,"mmmm"))</f>
        <v>Enero</v>
      </c>
      <c r="X280" t="str">
        <f>PROPER(TEXT(A280,"dddd"))</f>
        <v>Viernes</v>
      </c>
      <c r="Y280" t="str" cm="1">
        <f t="array" ref="Y280">_xlfn.IFS(R280&gt;10,"Excelente",R280&gt;=5,"Bueno",R280&gt;=2,"Débil",R280&lt;2,"Deficiente")</f>
        <v>Excelente</v>
      </c>
      <c r="Z280" t="str">
        <f>IF(AND(R280&lt;2,Q280&gt;=100),"Revisar","OK")</f>
        <v>OK</v>
      </c>
      <c r="AA280" s="55">
        <f>_xlfn.XLOOKUP(C280,'Preguntas de negocio'!$C$114:$C$119,'Preguntas de negocio'!$D$114:$D$119,0)</f>
        <v>5</v>
      </c>
      <c r="AB280" s="55">
        <f>VLOOKUP(C280,'Preguntas de negocio'!$C$121:$D$127,2,FALSE)</f>
        <v>1.1000000000000001</v>
      </c>
    </row>
    <row r="281" spans="1:28" x14ac:dyDescent="0.3">
      <c r="A281" s="1">
        <v>45926</v>
      </c>
      <c r="B281" s="2" t="s">
        <v>2637</v>
      </c>
      <c r="C281" s="2" t="s">
        <v>2521</v>
      </c>
      <c r="D281" s="2" t="s">
        <v>2522</v>
      </c>
      <c r="E281" s="2" t="s">
        <v>2529</v>
      </c>
      <c r="F281" s="3">
        <v>108199</v>
      </c>
      <c r="G281" s="3">
        <v>962</v>
      </c>
      <c r="H281" s="3">
        <v>62</v>
      </c>
      <c r="I281" s="4">
        <v>1061.45</v>
      </c>
      <c r="J281" s="4">
        <v>11040.25</v>
      </c>
      <c r="K281" s="3">
        <v>52</v>
      </c>
      <c r="L281" s="2" t="s">
        <v>2523</v>
      </c>
      <c r="M281" s="2" t="s">
        <v>2546</v>
      </c>
      <c r="N281" s="8">
        <f>IFERROR(G281/F281,0)</f>
        <v>8.8910248708398421E-3</v>
      </c>
      <c r="O281" s="8">
        <f>IFERROR(H281/G281,0)</f>
        <v>6.4449064449064453E-2</v>
      </c>
      <c r="P281" s="4">
        <f>IFERROR(I281/G281,0)</f>
        <v>1.1033783783783784</v>
      </c>
      <c r="Q281" s="4">
        <f>IFERROR(I281/H281,0)</f>
        <v>17.120161290322581</v>
      </c>
      <c r="R281" s="12">
        <f>IFERROR(J281/I281,0)</f>
        <v>10.401102265768523</v>
      </c>
      <c r="S281" s="7">
        <f>Tabla_nuevas_columnas[[#This Row],[ROAS]]</f>
        <v>10.401102265768523</v>
      </c>
      <c r="T281" t="str">
        <f>_xlfn.CONCAT(C281,"-",D281)</f>
        <v>Paid Search-Italia</v>
      </c>
      <c r="U281">
        <f>YEAR(A281)</f>
        <v>2025</v>
      </c>
      <c r="V281">
        <f>MONTH(A281)</f>
        <v>9</v>
      </c>
      <c r="W281" t="str">
        <f>PROPER(TEXT(A281,"mmmm"))</f>
        <v>Septiembre</v>
      </c>
      <c r="X281" t="str">
        <f>PROPER(TEXT(A281,"dddd"))</f>
        <v>Viernes</v>
      </c>
      <c r="Y281" t="str" cm="1">
        <f t="array" ref="Y281">_xlfn.IFS(R281&gt;10,"Excelente",R281&gt;=5,"Bueno",R281&gt;=2,"Débil",R281&lt;2,"Deficiente")</f>
        <v>Excelente</v>
      </c>
      <c r="Z281" t="str">
        <f>IF(AND(R281&lt;2,Q281&gt;=100),"Revisar","OK")</f>
        <v>OK</v>
      </c>
      <c r="AA281" s="55">
        <f>_xlfn.XLOOKUP(C281,'Preguntas de negocio'!$C$114:$C$119,'Preguntas de negocio'!$D$114:$D$119,0)</f>
        <v>5</v>
      </c>
      <c r="AB281" s="55">
        <f>VLOOKUP(C281,'Preguntas de negocio'!$C$121:$D$127,2,FALSE)</f>
        <v>1.1000000000000001</v>
      </c>
    </row>
    <row r="282" spans="1:28" x14ac:dyDescent="0.3">
      <c r="A282" s="1">
        <v>45738</v>
      </c>
      <c r="B282" s="2" t="s">
        <v>2619</v>
      </c>
      <c r="C282" s="2" t="s">
        <v>2515</v>
      </c>
      <c r="D282" s="2" t="s">
        <v>2516</v>
      </c>
      <c r="E282" s="2" t="s">
        <v>2517</v>
      </c>
      <c r="F282" s="3">
        <v>167371</v>
      </c>
      <c r="G282" s="3">
        <v>6770</v>
      </c>
      <c r="H282" s="3">
        <v>121</v>
      </c>
      <c r="I282" s="4">
        <v>1108.2</v>
      </c>
      <c r="J282" s="4">
        <v>20362.82</v>
      </c>
      <c r="K282" s="3">
        <v>57</v>
      </c>
      <c r="L282" s="2" t="s">
        <v>2523</v>
      </c>
      <c r="M282" s="2" t="s">
        <v>2537</v>
      </c>
      <c r="N282" s="8">
        <f>IFERROR(G282/F282,0)</f>
        <v>4.0449062262877082E-2</v>
      </c>
      <c r="O282" s="8">
        <f>IFERROR(H282/G282,0)</f>
        <v>1.7872968980797637E-2</v>
      </c>
      <c r="P282" s="4">
        <f>IFERROR(I282/G282,0)</f>
        <v>0.16369276218611523</v>
      </c>
      <c r="Q282" s="4">
        <f>IFERROR(I282/H282,0)</f>
        <v>9.1586776859504138</v>
      </c>
      <c r="R282" s="12">
        <f>IFERROR(J282/I282,0)</f>
        <v>18.374679660711063</v>
      </c>
      <c r="S282" s="7">
        <f>Tabla_nuevas_columnas[[#This Row],[ROAS]]</f>
        <v>18.374679660711063</v>
      </c>
      <c r="T282" t="str">
        <f>_xlfn.CONCAT(C282,"-",D282)</f>
        <v>Email-México</v>
      </c>
      <c r="U282">
        <f>YEAR(A282)</f>
        <v>2025</v>
      </c>
      <c r="V282">
        <f>MONTH(A282)</f>
        <v>3</v>
      </c>
      <c r="W282" t="str">
        <f>PROPER(TEXT(A282,"mmmm"))</f>
        <v>Marzo</v>
      </c>
      <c r="X282" t="str">
        <f>PROPER(TEXT(A282,"dddd"))</f>
        <v>Sábado</v>
      </c>
      <c r="Y282" t="str" cm="1">
        <f t="array" ref="Y282">_xlfn.IFS(R282&gt;10,"Excelente",R282&gt;=5,"Bueno",R282&gt;=2,"Débil",R282&lt;2,"Deficiente")</f>
        <v>Excelente</v>
      </c>
      <c r="Z282" t="str">
        <f>IF(AND(R282&lt;2,Q282&gt;=100),"Revisar","OK")</f>
        <v>OK</v>
      </c>
      <c r="AA282" s="55">
        <f>_xlfn.XLOOKUP(C282,'Preguntas de negocio'!$C$114:$C$119,'Preguntas de negocio'!$D$114:$D$119,0)</f>
        <v>5.5</v>
      </c>
      <c r="AB282" s="55">
        <f>VLOOKUP(C282,'Preguntas de negocio'!$C$121:$D$127,2,FALSE)</f>
        <v>0.65</v>
      </c>
    </row>
    <row r="283" spans="1:28" x14ac:dyDescent="0.3">
      <c r="A283" s="1">
        <v>45763</v>
      </c>
      <c r="B283" s="2" t="s">
        <v>2628</v>
      </c>
      <c r="C283" s="2" t="s">
        <v>2533</v>
      </c>
      <c r="D283" s="2" t="s">
        <v>2528</v>
      </c>
      <c r="E283" s="2" t="s">
        <v>2529</v>
      </c>
      <c r="F283" s="3">
        <v>163224</v>
      </c>
      <c r="G283" s="3">
        <v>163753</v>
      </c>
      <c r="H283" s="3">
        <v>303</v>
      </c>
      <c r="I283" s="4">
        <v>6163.53</v>
      </c>
      <c r="J283" s="4">
        <v>26899.45</v>
      </c>
      <c r="K283" s="3">
        <v>143</v>
      </c>
      <c r="L283" s="2" t="s">
        <v>2523</v>
      </c>
      <c r="M283" s="2" t="s">
        <v>2537</v>
      </c>
      <c r="N283" s="8">
        <f>IFERROR(G283/F283,0)</f>
        <v>1.0032409449590747</v>
      </c>
      <c r="O283" s="8">
        <f>IFERROR(H283/G283,0)</f>
        <v>1.8503477798880021E-3</v>
      </c>
      <c r="P283" s="4">
        <f>IFERROR(I283/G283,0)</f>
        <v>3.7639188289680187E-2</v>
      </c>
      <c r="Q283" s="4">
        <f>IFERROR(I283/H283,0)</f>
        <v>20.34168316831683</v>
      </c>
      <c r="R283" s="12">
        <f>IFERROR(J283/I283,0)</f>
        <v>4.3642928646408796</v>
      </c>
      <c r="S283" s="7">
        <f>Tabla_nuevas_columnas[[#This Row],[ROAS]]</f>
        <v>4.3642928646408796</v>
      </c>
      <c r="T283" t="str">
        <f>_xlfn.CONCAT(C283,"-",D283)</f>
        <v>Paid Social-España</v>
      </c>
      <c r="U283">
        <f>YEAR(A283)</f>
        <v>2025</v>
      </c>
      <c r="V283">
        <f>MONTH(A283)</f>
        <v>4</v>
      </c>
      <c r="W283" t="str">
        <f>PROPER(TEXT(A283,"mmmm"))</f>
        <v>Abril</v>
      </c>
      <c r="X283" t="str">
        <f>PROPER(TEXT(A283,"dddd"))</f>
        <v>Miércoles</v>
      </c>
      <c r="Y283" t="str" cm="1">
        <f t="array" ref="Y283">_xlfn.IFS(R283&gt;10,"Excelente",R283&gt;=5,"Bueno",R283&gt;=2,"Débil",R283&lt;2,"Deficiente")</f>
        <v>Débil</v>
      </c>
      <c r="Z283" t="str">
        <f>IF(AND(R283&lt;2,Q283&gt;=100),"Revisar","OK")</f>
        <v>OK</v>
      </c>
      <c r="AA283" s="55">
        <f>_xlfn.XLOOKUP(C283,'Preguntas de negocio'!$C$114:$C$119,'Preguntas de negocio'!$D$114:$D$119,0)</f>
        <v>6</v>
      </c>
      <c r="AB283" s="55">
        <f>VLOOKUP(C283,'Preguntas de negocio'!$C$121:$D$127,2,FALSE)</f>
        <v>0.8</v>
      </c>
    </row>
    <row r="284" spans="1:28" x14ac:dyDescent="0.3">
      <c r="A284" s="1">
        <v>46011</v>
      </c>
      <c r="B284" s="2" t="s">
        <v>2634</v>
      </c>
      <c r="C284" s="2" t="s">
        <v>2533</v>
      </c>
      <c r="D284" s="2" t="s">
        <v>2528</v>
      </c>
      <c r="E284" s="2" t="s">
        <v>2529</v>
      </c>
      <c r="F284" s="3">
        <v>141588</v>
      </c>
      <c r="G284" s="3">
        <v>9887</v>
      </c>
      <c r="H284" s="3">
        <v>1154</v>
      </c>
      <c r="I284" s="4">
        <v>15717.65</v>
      </c>
      <c r="J284" s="4">
        <v>26965.62</v>
      </c>
      <c r="K284" s="3">
        <v>567</v>
      </c>
      <c r="L284" s="2" t="s">
        <v>2536</v>
      </c>
      <c r="M284" s="2" t="s">
        <v>2524</v>
      </c>
      <c r="N284" s="8">
        <f>IFERROR(G284/F284,0)</f>
        <v>6.982936407040144E-2</v>
      </c>
      <c r="O284" s="8">
        <f>IFERROR(H284/G284,0)</f>
        <v>0.11671892383938505</v>
      </c>
      <c r="P284" s="4">
        <f>IFERROR(I284/G284,0)</f>
        <v>1.5897289369879639</v>
      </c>
      <c r="Q284" s="4">
        <f>IFERROR(I284/H284,0)</f>
        <v>13.620147313691508</v>
      </c>
      <c r="R284" s="12">
        <f>IFERROR(J284/I284,0)</f>
        <v>1.7156266999201535</v>
      </c>
      <c r="S284" s="7">
        <f>Tabla_nuevas_columnas[[#This Row],[ROAS]]</f>
        <v>1.7156266999201535</v>
      </c>
      <c r="T284" t="str">
        <f>_xlfn.CONCAT(C284,"-",D284)</f>
        <v>Paid Social-España</v>
      </c>
      <c r="U284">
        <f>YEAR(A284)</f>
        <v>2025</v>
      </c>
      <c r="V284">
        <f>MONTH(A284)</f>
        <v>12</v>
      </c>
      <c r="W284" t="str">
        <f>PROPER(TEXT(A284,"mmmm"))</f>
        <v>Diciembre</v>
      </c>
      <c r="X284" t="str">
        <f>PROPER(TEXT(A284,"dddd"))</f>
        <v>Sábado</v>
      </c>
      <c r="Y284" t="str" cm="1">
        <f t="array" ref="Y284">_xlfn.IFS(R284&gt;10,"Excelente",R284&gt;=5,"Bueno",R284&gt;=2,"Débil",R284&lt;2,"Deficiente")</f>
        <v>Deficiente</v>
      </c>
      <c r="Z284" t="str">
        <f>IF(AND(R284&lt;2,Q284&gt;=100),"Revisar","OK")</f>
        <v>OK</v>
      </c>
      <c r="AA284" s="55">
        <f>_xlfn.XLOOKUP(C284,'Preguntas de negocio'!$C$114:$C$119,'Preguntas de negocio'!$D$114:$D$119,0)</f>
        <v>6</v>
      </c>
      <c r="AB284" s="55">
        <f>VLOOKUP(C284,'Preguntas de negocio'!$C$121:$D$127,2,FALSE)</f>
        <v>0.8</v>
      </c>
    </row>
    <row r="285" spans="1:28" x14ac:dyDescent="0.3">
      <c r="A285" s="1">
        <v>45879</v>
      </c>
      <c r="B285" s="2" t="s">
        <v>2626</v>
      </c>
      <c r="C285" s="2" t="s">
        <v>2543</v>
      </c>
      <c r="D285" s="2" t="s">
        <v>2528</v>
      </c>
      <c r="E285" s="2" t="s">
        <v>2529</v>
      </c>
      <c r="F285" s="3">
        <v>157193</v>
      </c>
      <c r="G285" s="3">
        <v>11883</v>
      </c>
      <c r="H285" s="3">
        <v>322</v>
      </c>
      <c r="I285" s="4">
        <v>21030.240000000002</v>
      </c>
      <c r="J285" s="4">
        <v>60087.95</v>
      </c>
      <c r="K285" s="3">
        <v>173</v>
      </c>
      <c r="L285" s="2" t="s">
        <v>2536</v>
      </c>
      <c r="M285" s="2" t="s">
        <v>2546</v>
      </c>
      <c r="N285" s="8">
        <f>IFERROR(G285/F285,0)</f>
        <v>7.5594969241632892E-2</v>
      </c>
      <c r="O285" s="8">
        <f>IFERROR(H285/G285,0)</f>
        <v>2.709753429268703E-2</v>
      </c>
      <c r="P285" s="4">
        <f>IFERROR(I285/G285,0)</f>
        <v>1.7697753092653372</v>
      </c>
      <c r="Q285" s="4">
        <f>IFERROR(I285/H285,0)</f>
        <v>65.311304347826095</v>
      </c>
      <c r="R285" s="12">
        <f>IFERROR(J285/I285,0)</f>
        <v>2.8572165605337836</v>
      </c>
      <c r="S285" s="7">
        <f>Tabla_nuevas_columnas[[#This Row],[ROAS]]</f>
        <v>2.8572165605337836</v>
      </c>
      <c r="T285" t="str">
        <f>_xlfn.CONCAT(C285,"-",D285)</f>
        <v>Organic Social-España</v>
      </c>
      <c r="U285">
        <f>YEAR(A285)</f>
        <v>2025</v>
      </c>
      <c r="V285">
        <f>MONTH(A285)</f>
        <v>8</v>
      </c>
      <c r="W285" t="str">
        <f>PROPER(TEXT(A285,"mmmm"))</f>
        <v>Agosto</v>
      </c>
      <c r="X285" t="str">
        <f>PROPER(TEXT(A285,"dddd"))</f>
        <v>Domingo</v>
      </c>
      <c r="Y285" t="str" cm="1">
        <f t="array" ref="Y285">_xlfn.IFS(R285&gt;10,"Excelente",R285&gt;=5,"Bueno",R285&gt;=2,"Débil",R285&lt;2,"Deficiente")</f>
        <v>Débil</v>
      </c>
      <c r="Z285" t="str">
        <f>IF(AND(R285&lt;2,Q285&gt;=100),"Revisar","OK")</f>
        <v>OK</v>
      </c>
      <c r="AA285" s="55">
        <f>_xlfn.XLOOKUP(C285,'Preguntas de negocio'!$C$114:$C$119,'Preguntas de negocio'!$D$114:$D$119,0)</f>
        <v>4</v>
      </c>
      <c r="AB285" s="55">
        <f>VLOOKUP(C285,'Preguntas de negocio'!$C$121:$D$127,2,FALSE)</f>
        <v>0.95</v>
      </c>
    </row>
    <row r="286" spans="1:28" x14ac:dyDescent="0.3">
      <c r="A286" s="1">
        <v>45771</v>
      </c>
      <c r="B286" s="2" t="s">
        <v>2622</v>
      </c>
      <c r="C286" s="2" t="s">
        <v>2527</v>
      </c>
      <c r="D286" s="2" t="s">
        <v>2528</v>
      </c>
      <c r="E286" s="2" t="s">
        <v>2529</v>
      </c>
      <c r="F286" s="3">
        <v>41286</v>
      </c>
      <c r="G286" s="3">
        <v>3027</v>
      </c>
      <c r="H286" s="3">
        <v>308</v>
      </c>
      <c r="I286" s="4">
        <v>5009.13</v>
      </c>
      <c r="J286" s="4">
        <v>19980.95</v>
      </c>
      <c r="K286" s="3">
        <v>263</v>
      </c>
      <c r="L286" s="2" t="s">
        <v>2523</v>
      </c>
      <c r="M286" s="2" t="s">
        <v>2519</v>
      </c>
      <c r="N286" s="8">
        <f>IFERROR(G286/F286,0)</f>
        <v>7.3317831710507195E-2</v>
      </c>
      <c r="O286" s="8">
        <f>IFERROR(H286/G286,0)</f>
        <v>0.10175090849025438</v>
      </c>
      <c r="P286" s="4">
        <f>IFERROR(I286/G286,0)</f>
        <v>1.6548166501486621</v>
      </c>
      <c r="Q286" s="4">
        <f>IFERROR(I286/H286,0)</f>
        <v>16.263409090909093</v>
      </c>
      <c r="R286" s="12">
        <f>IFERROR(J286/I286,0)</f>
        <v>3.9889062571743996</v>
      </c>
      <c r="S286" s="7">
        <f>Tabla_nuevas_columnas[[#This Row],[ROAS]]</f>
        <v>3.9889062571743996</v>
      </c>
      <c r="T286" t="str">
        <f>_xlfn.CONCAT(C286,"-",D286)</f>
        <v>Affiliate-España</v>
      </c>
      <c r="U286">
        <f>YEAR(A286)</f>
        <v>2025</v>
      </c>
      <c r="V286">
        <f>MONTH(A286)</f>
        <v>4</v>
      </c>
      <c r="W286" t="str">
        <f>PROPER(TEXT(A286,"mmmm"))</f>
        <v>Abril</v>
      </c>
      <c r="X286" t="str">
        <f>PROPER(TEXT(A286,"dddd"))</f>
        <v>Jueves</v>
      </c>
      <c r="Y286" t="str" cm="1">
        <f t="array" ref="Y286">_xlfn.IFS(R286&gt;10,"Excelente",R286&gt;=5,"Bueno",R286&gt;=2,"Débil",R286&lt;2,"Deficiente")</f>
        <v>Débil</v>
      </c>
      <c r="Z286" t="str">
        <f>IF(AND(R286&lt;2,Q286&gt;=100),"Revisar","OK")</f>
        <v>OK</v>
      </c>
      <c r="AA286" s="55">
        <f>_xlfn.XLOOKUP(C286,'Preguntas de negocio'!$C$114:$C$119,'Preguntas de negocio'!$D$114:$D$119,0)</f>
        <v>4.5</v>
      </c>
      <c r="AB286" s="55">
        <f>VLOOKUP(C286,'Preguntas de negocio'!$C$121:$D$127,2,FALSE)</f>
        <v>0.35</v>
      </c>
    </row>
    <row r="287" spans="1:28" x14ac:dyDescent="0.3">
      <c r="A287" s="1">
        <v>45957</v>
      </c>
      <c r="B287" s="2" t="s">
        <v>2617</v>
      </c>
      <c r="C287" s="2" t="s">
        <v>2541</v>
      </c>
      <c r="D287" s="2" t="s">
        <v>2528</v>
      </c>
      <c r="E287" s="2" t="s">
        <v>2529</v>
      </c>
      <c r="F287" s="3">
        <v>51906</v>
      </c>
      <c r="G287" s="3">
        <v>1079</v>
      </c>
      <c r="H287" s="3">
        <v>86</v>
      </c>
      <c r="I287" s="4">
        <v>905.95</v>
      </c>
      <c r="J287" s="4">
        <v>10312.540000000001</v>
      </c>
      <c r="K287" s="3">
        <v>53</v>
      </c>
      <c r="L287" s="2" t="s">
        <v>2518</v>
      </c>
      <c r="M287" s="2" t="s">
        <v>2526</v>
      </c>
      <c r="N287" s="8">
        <f>IFERROR(G287/F287,0)</f>
        <v>2.0787577544021885E-2</v>
      </c>
      <c r="O287" s="8">
        <f>IFERROR(H287/G287,0)</f>
        <v>7.9703429101019463E-2</v>
      </c>
      <c r="P287" s="4">
        <f>IFERROR(I287/G287,0)</f>
        <v>0.83962001853568125</v>
      </c>
      <c r="Q287" s="4">
        <f>IFERROR(I287/H287,0)</f>
        <v>10.534302325581395</v>
      </c>
      <c r="R287" s="12">
        <f>IFERROR(J287/I287,0)</f>
        <v>11.383122688890115</v>
      </c>
      <c r="S287" s="7">
        <f>Tabla_nuevas_columnas[[#This Row],[ROAS]]</f>
        <v>11.383122688890115</v>
      </c>
      <c r="T287" t="str">
        <f>_xlfn.CONCAT(C287,"-",D287)</f>
        <v>Display-España</v>
      </c>
      <c r="U287">
        <f>YEAR(A287)</f>
        <v>2025</v>
      </c>
      <c r="V287">
        <f>MONTH(A287)</f>
        <v>10</v>
      </c>
      <c r="W287" t="str">
        <f>PROPER(TEXT(A287,"mmmm"))</f>
        <v>Octubre</v>
      </c>
      <c r="X287" t="str">
        <f>PROPER(TEXT(A287,"dddd"))</f>
        <v>Lunes</v>
      </c>
      <c r="Y287" t="str" cm="1">
        <f t="array" ref="Y287">_xlfn.IFS(R287&gt;10,"Excelente",R287&gt;=5,"Bueno",R287&gt;=2,"Débil",R287&lt;2,"Deficiente")</f>
        <v>Excelente</v>
      </c>
      <c r="Z287" t="str">
        <f>IF(AND(R287&lt;2,Q287&gt;=100),"Revisar","OK")</f>
        <v>OK</v>
      </c>
      <c r="AA287" s="55">
        <f>_xlfn.XLOOKUP(C287,'Preguntas de negocio'!$C$114:$C$119,'Preguntas de negocio'!$D$114:$D$119,0)</f>
        <v>5</v>
      </c>
      <c r="AB287" s="55">
        <f>VLOOKUP(C287,'Preguntas de negocio'!$C$121:$D$127,2,FALSE)</f>
        <v>0.5</v>
      </c>
    </row>
    <row r="288" spans="1:28" x14ac:dyDescent="0.3">
      <c r="A288" s="1">
        <v>45839</v>
      </c>
      <c r="B288" s="2" t="s">
        <v>2628</v>
      </c>
      <c r="C288" s="2" t="s">
        <v>2527</v>
      </c>
      <c r="D288" s="2" t="s">
        <v>2528</v>
      </c>
      <c r="E288" s="2" t="s">
        <v>2529</v>
      </c>
      <c r="F288" s="3">
        <v>74448</v>
      </c>
      <c r="G288" s="3">
        <v>4364</v>
      </c>
      <c r="H288" s="3">
        <v>87</v>
      </c>
      <c r="I288" s="4">
        <v>5578.37</v>
      </c>
      <c r="J288" s="4">
        <v>17493.57</v>
      </c>
      <c r="K288" s="3">
        <v>46</v>
      </c>
      <c r="L288" s="2" t="s">
        <v>2539</v>
      </c>
      <c r="M288" s="2" t="s">
        <v>2524</v>
      </c>
      <c r="N288" s="8">
        <f>IFERROR(G288/F288,0)</f>
        <v>5.8618095852138404E-2</v>
      </c>
      <c r="O288" s="8">
        <f>IFERROR(H288/G288,0)</f>
        <v>1.993583868010999E-2</v>
      </c>
      <c r="P288" s="4">
        <f>IFERROR(I288/G288,0)</f>
        <v>1.27826993583868</v>
      </c>
      <c r="Q288" s="4">
        <f>IFERROR(I288/H288,0)</f>
        <v>64.119195402298843</v>
      </c>
      <c r="R288" s="12">
        <f>IFERROR(J288/I288,0)</f>
        <v>3.1359644483962161</v>
      </c>
      <c r="S288" s="7">
        <f>Tabla_nuevas_columnas[[#This Row],[ROAS]]</f>
        <v>3.1359644483962161</v>
      </c>
      <c r="T288" t="str">
        <f>_xlfn.CONCAT(C288,"-",D288)</f>
        <v>Affiliate-España</v>
      </c>
      <c r="U288">
        <f>YEAR(A288)</f>
        <v>2025</v>
      </c>
      <c r="V288">
        <f>MONTH(A288)</f>
        <v>7</v>
      </c>
      <c r="W288" t="str">
        <f>PROPER(TEXT(A288,"mmmm"))</f>
        <v>Julio</v>
      </c>
      <c r="X288" t="str">
        <f>PROPER(TEXT(A288,"dddd"))</f>
        <v>Martes</v>
      </c>
      <c r="Y288" t="str" cm="1">
        <f t="array" ref="Y288">_xlfn.IFS(R288&gt;10,"Excelente",R288&gt;=5,"Bueno",R288&gt;=2,"Débil",R288&lt;2,"Deficiente")</f>
        <v>Débil</v>
      </c>
      <c r="Z288" t="str">
        <f>IF(AND(R288&lt;2,Q288&gt;=100),"Revisar","OK")</f>
        <v>OK</v>
      </c>
      <c r="AA288" s="55">
        <f>_xlfn.XLOOKUP(C288,'Preguntas de negocio'!$C$114:$C$119,'Preguntas de negocio'!$D$114:$D$119,0)</f>
        <v>4.5</v>
      </c>
      <c r="AB288" s="55">
        <f>VLOOKUP(C288,'Preguntas de negocio'!$C$121:$D$127,2,FALSE)</f>
        <v>0.35</v>
      </c>
    </row>
    <row r="289" spans="1:28" x14ac:dyDescent="0.3">
      <c r="A289" s="1">
        <v>45866</v>
      </c>
      <c r="B289" s="2" t="s">
        <v>2619</v>
      </c>
      <c r="C289" s="2" t="s">
        <v>2645</v>
      </c>
      <c r="D289" s="2" t="s">
        <v>2528</v>
      </c>
      <c r="E289" s="2" t="s">
        <v>2529</v>
      </c>
      <c r="F289" s="3">
        <v>10297</v>
      </c>
      <c r="G289" s="3">
        <v>548</v>
      </c>
      <c r="H289" s="3">
        <v>4</v>
      </c>
      <c r="I289" s="4">
        <v>590.85</v>
      </c>
      <c r="J289" s="4">
        <v>710.3</v>
      </c>
      <c r="K289" s="3">
        <v>2</v>
      </c>
      <c r="L289" s="2" t="s">
        <v>2518</v>
      </c>
      <c r="M289" s="2" t="s">
        <v>2519</v>
      </c>
      <c r="N289" s="8">
        <f>IFERROR(G289/F289,0)</f>
        <v>5.3219384286685441E-2</v>
      </c>
      <c r="O289" s="8">
        <f>IFERROR(H289/G289,0)</f>
        <v>7.2992700729927005E-3</v>
      </c>
      <c r="P289" s="4">
        <f>IFERROR(I289/G289,0)</f>
        <v>1.0781934306569343</v>
      </c>
      <c r="Q289" s="4">
        <f>IFERROR(I289/H289,0)</f>
        <v>147.71250000000001</v>
      </c>
      <c r="R289" s="12">
        <f>IFERROR(J289/I289,0)</f>
        <v>1.202166370483202</v>
      </c>
      <c r="S289" s="7">
        <f>Tabla_nuevas_columnas[[#This Row],[ROAS]]</f>
        <v>1.202166370483202</v>
      </c>
      <c r="T289" t="str">
        <f>_xlfn.CONCAT(C289,"-",D289)</f>
        <v>Por identificar-España</v>
      </c>
      <c r="U289">
        <f>YEAR(A289)</f>
        <v>2025</v>
      </c>
      <c r="V289">
        <f>MONTH(A289)</f>
        <v>7</v>
      </c>
      <c r="W289" t="str">
        <f>PROPER(TEXT(A289,"mmmm"))</f>
        <v>Julio</v>
      </c>
      <c r="X289" t="str">
        <f>PROPER(TEXT(A289,"dddd"))</f>
        <v>Lunes</v>
      </c>
      <c r="Y289" t="str" cm="1">
        <f t="array" ref="Y289">_xlfn.IFS(R289&gt;10,"Excelente",R289&gt;=5,"Bueno",R289&gt;=2,"Débil",R289&lt;2,"Deficiente")</f>
        <v>Deficiente</v>
      </c>
      <c r="Z289" t="str">
        <f>IF(AND(R289&lt;2,Q289&gt;=100),"Revisar","OK")</f>
        <v>Revisar</v>
      </c>
      <c r="AA289" s="55">
        <f>_xlfn.XLOOKUP(C289,'Preguntas de negocio'!$C$114:$C$119,'Preguntas de negocio'!$D$114:$D$119,0)</f>
        <v>0</v>
      </c>
      <c r="AB289" s="55">
        <f>VLOOKUP(C289,'Preguntas de negocio'!$C$121:$D$127,2,FALSE)</f>
        <v>0</v>
      </c>
    </row>
    <row r="290" spans="1:28" x14ac:dyDescent="0.3">
      <c r="A290" s="1">
        <v>45725</v>
      </c>
      <c r="B290" s="2" t="s">
        <v>2619</v>
      </c>
      <c r="C290" s="2" t="s">
        <v>2527</v>
      </c>
      <c r="D290" s="2" t="s">
        <v>2528</v>
      </c>
      <c r="E290" s="2" t="s">
        <v>2517</v>
      </c>
      <c r="F290" s="3">
        <v>23297</v>
      </c>
      <c r="G290" s="3">
        <v>1091</v>
      </c>
      <c r="H290" s="3">
        <v>58</v>
      </c>
      <c r="I290" s="4">
        <v>1702.07</v>
      </c>
      <c r="J290" s="4">
        <v>3133.53</v>
      </c>
      <c r="K290" s="3">
        <v>31</v>
      </c>
      <c r="L290" s="2" t="s">
        <v>2536</v>
      </c>
      <c r="M290" s="2" t="s">
        <v>2526</v>
      </c>
      <c r="N290" s="8">
        <f>IFERROR(G290/F290,0)</f>
        <v>4.6830063956732629E-2</v>
      </c>
      <c r="O290" s="8">
        <f>IFERROR(H290/G290,0)</f>
        <v>5.3162236480293307E-2</v>
      </c>
      <c r="P290" s="4">
        <f>IFERROR(I290/G290,0)</f>
        <v>1.5601008249312556</v>
      </c>
      <c r="Q290" s="4">
        <f>IFERROR(I290/H290,0)</f>
        <v>29.346034482758618</v>
      </c>
      <c r="R290" s="12">
        <f>IFERROR(J290/I290,0)</f>
        <v>1.8410112392557301</v>
      </c>
      <c r="S290" s="7">
        <f>Tabla_nuevas_columnas[[#This Row],[ROAS]]</f>
        <v>1.8410112392557301</v>
      </c>
      <c r="T290" t="str">
        <f>_xlfn.CONCAT(C290,"-",D290)</f>
        <v>Affiliate-España</v>
      </c>
      <c r="U290">
        <f>YEAR(A290)</f>
        <v>2025</v>
      </c>
      <c r="V290">
        <f>MONTH(A290)</f>
        <v>3</v>
      </c>
      <c r="W290" t="str">
        <f>PROPER(TEXT(A290,"mmmm"))</f>
        <v>Marzo</v>
      </c>
      <c r="X290" t="str">
        <f>PROPER(TEXT(A290,"dddd"))</f>
        <v>Domingo</v>
      </c>
      <c r="Y290" t="str" cm="1">
        <f t="array" ref="Y290">_xlfn.IFS(R290&gt;10,"Excelente",R290&gt;=5,"Bueno",R290&gt;=2,"Débil",R290&lt;2,"Deficiente")</f>
        <v>Deficiente</v>
      </c>
      <c r="Z290" t="str">
        <f>IF(AND(R290&lt;2,Q290&gt;=100),"Revisar","OK")</f>
        <v>OK</v>
      </c>
      <c r="AA290" s="55">
        <f>_xlfn.XLOOKUP(C290,'Preguntas de negocio'!$C$114:$C$119,'Preguntas de negocio'!$D$114:$D$119,0)</f>
        <v>4.5</v>
      </c>
      <c r="AB290" s="55">
        <f>VLOOKUP(C290,'Preguntas de negocio'!$C$121:$D$127,2,FALSE)</f>
        <v>0.35</v>
      </c>
    </row>
    <row r="291" spans="1:28" x14ac:dyDescent="0.3">
      <c r="A291" s="1">
        <v>46020</v>
      </c>
      <c r="B291" s="2" t="s">
        <v>2617</v>
      </c>
      <c r="C291" s="2" t="s">
        <v>2533</v>
      </c>
      <c r="D291" s="2" t="s">
        <v>2525</v>
      </c>
      <c r="E291" s="2" t="s">
        <v>2517</v>
      </c>
      <c r="F291" s="3">
        <v>28312</v>
      </c>
      <c r="G291" s="3">
        <v>1297</v>
      </c>
      <c r="H291" s="3">
        <v>161</v>
      </c>
      <c r="I291" s="4">
        <v>1403.33</v>
      </c>
      <c r="J291" s="4">
        <v>16821.11</v>
      </c>
      <c r="K291" s="3">
        <v>132</v>
      </c>
      <c r="L291" s="2" t="s">
        <v>2539</v>
      </c>
      <c r="M291" s="2" t="s">
        <v>2537</v>
      </c>
      <c r="N291" s="8">
        <f>IFERROR(G291/F291,0)</f>
        <v>4.5810963549025148E-2</v>
      </c>
      <c r="O291" s="8">
        <f>IFERROR(H291/G291,0)</f>
        <v>0.12413261372397841</v>
      </c>
      <c r="P291" s="4">
        <f>IFERROR(I291/G291,0)</f>
        <v>1.0819814957594449</v>
      </c>
      <c r="Q291" s="4">
        <f>IFERROR(I291/H291,0)</f>
        <v>8.716335403726708</v>
      </c>
      <c r="R291" s="12">
        <f>IFERROR(J291/I291,0)</f>
        <v>11.98656766405621</v>
      </c>
      <c r="S291" s="7">
        <f>Tabla_nuevas_columnas[[#This Row],[ROAS]]</f>
        <v>11.98656766405621</v>
      </c>
      <c r="T291" t="str">
        <f>_xlfn.CONCAT(C291,"-",D291)</f>
        <v>Paid Social-Francia</v>
      </c>
      <c r="U291">
        <f>YEAR(A291)</f>
        <v>2025</v>
      </c>
      <c r="V291">
        <f>MONTH(A291)</f>
        <v>12</v>
      </c>
      <c r="W291" t="str">
        <f>PROPER(TEXT(A291,"mmmm"))</f>
        <v>Diciembre</v>
      </c>
      <c r="X291" t="str">
        <f>PROPER(TEXT(A291,"dddd"))</f>
        <v>Lunes</v>
      </c>
      <c r="Y291" t="str" cm="1">
        <f t="array" ref="Y291">_xlfn.IFS(R291&gt;10,"Excelente",R291&gt;=5,"Bueno",R291&gt;=2,"Débil",R291&lt;2,"Deficiente")</f>
        <v>Excelente</v>
      </c>
      <c r="Z291" t="str">
        <f>IF(AND(R291&lt;2,Q291&gt;=100),"Revisar","OK")</f>
        <v>OK</v>
      </c>
      <c r="AA291" s="55">
        <f>_xlfn.XLOOKUP(C291,'Preguntas de negocio'!$C$114:$C$119,'Preguntas de negocio'!$D$114:$D$119,0)</f>
        <v>6</v>
      </c>
      <c r="AB291" s="55">
        <f>VLOOKUP(C291,'Preguntas de negocio'!$C$121:$D$127,2,FALSE)</f>
        <v>0.8</v>
      </c>
    </row>
    <row r="292" spans="1:28" x14ac:dyDescent="0.3">
      <c r="A292" s="1">
        <v>45994</v>
      </c>
      <c r="B292" s="2" t="s">
        <v>2641</v>
      </c>
      <c r="C292" s="2" t="s">
        <v>2515</v>
      </c>
      <c r="D292" s="2" t="s">
        <v>2528</v>
      </c>
      <c r="E292" s="2" t="s">
        <v>2517</v>
      </c>
      <c r="F292" s="3">
        <v>44740</v>
      </c>
      <c r="G292" s="3">
        <v>2017</v>
      </c>
      <c r="H292" s="3">
        <v>35</v>
      </c>
      <c r="I292" s="4">
        <v>1810.86</v>
      </c>
      <c r="J292" s="4">
        <v>5613.76</v>
      </c>
      <c r="K292" s="3">
        <v>26</v>
      </c>
      <c r="L292" s="2" t="s">
        <v>2523</v>
      </c>
      <c r="M292" s="2" t="s">
        <v>2546</v>
      </c>
      <c r="N292" s="8">
        <f>IFERROR(G292/F292,0)</f>
        <v>4.5082700044702724E-2</v>
      </c>
      <c r="O292" s="8">
        <f>IFERROR(H292/G292,0)</f>
        <v>1.7352503718393655E-2</v>
      </c>
      <c r="P292" s="4">
        <f>IFERROR(I292/G292,0)</f>
        <v>0.89779871095686659</v>
      </c>
      <c r="Q292" s="4">
        <f>IFERROR(I292/H292,0)</f>
        <v>51.738857142857142</v>
      </c>
      <c r="R292" s="12">
        <f>IFERROR(J292/I292,0)</f>
        <v>3.100051909037695</v>
      </c>
      <c r="S292" s="7">
        <f>Tabla_nuevas_columnas[[#This Row],[ROAS]]</f>
        <v>3.100051909037695</v>
      </c>
      <c r="T292" t="str">
        <f>_xlfn.CONCAT(C292,"-",D292)</f>
        <v>Email-España</v>
      </c>
      <c r="U292">
        <f>YEAR(A292)</f>
        <v>2025</v>
      </c>
      <c r="V292">
        <f>MONTH(A292)</f>
        <v>12</v>
      </c>
      <c r="W292" t="str">
        <f>PROPER(TEXT(A292,"mmmm"))</f>
        <v>Diciembre</v>
      </c>
      <c r="X292" t="str">
        <f>PROPER(TEXT(A292,"dddd"))</f>
        <v>Miércoles</v>
      </c>
      <c r="Y292" t="str" cm="1">
        <f t="array" ref="Y292">_xlfn.IFS(R292&gt;10,"Excelente",R292&gt;=5,"Bueno",R292&gt;=2,"Débil",R292&lt;2,"Deficiente")</f>
        <v>Débil</v>
      </c>
      <c r="Z292" t="str">
        <f>IF(AND(R292&lt;2,Q292&gt;=100),"Revisar","OK")</f>
        <v>OK</v>
      </c>
      <c r="AA292" s="55">
        <f>_xlfn.XLOOKUP(C292,'Preguntas de negocio'!$C$114:$C$119,'Preguntas de negocio'!$D$114:$D$119,0)</f>
        <v>5.5</v>
      </c>
      <c r="AB292" s="55">
        <f>VLOOKUP(C292,'Preguntas de negocio'!$C$121:$D$127,2,FALSE)</f>
        <v>0.65</v>
      </c>
    </row>
    <row r="293" spans="1:28" x14ac:dyDescent="0.3">
      <c r="A293" s="1">
        <v>45678</v>
      </c>
      <c r="B293" s="2" t="s">
        <v>2635</v>
      </c>
      <c r="C293" s="2" t="s">
        <v>2527</v>
      </c>
      <c r="D293" s="2" t="s">
        <v>2516</v>
      </c>
      <c r="E293" s="2" t="s">
        <v>2517</v>
      </c>
      <c r="F293" s="3">
        <v>16741</v>
      </c>
      <c r="G293" s="3">
        <v>700</v>
      </c>
      <c r="H293" s="3">
        <v>29</v>
      </c>
      <c r="I293" s="4">
        <v>448.9</v>
      </c>
      <c r="J293" s="4">
        <v>5960.88</v>
      </c>
      <c r="K293" s="3">
        <v>25</v>
      </c>
      <c r="L293" s="2" t="s">
        <v>2523</v>
      </c>
      <c r="M293" s="2" t="s">
        <v>2537</v>
      </c>
      <c r="N293" s="8">
        <f>IFERROR(G293/F293,0)</f>
        <v>4.1813511737650078E-2</v>
      </c>
      <c r="O293" s="8">
        <f>IFERROR(H293/G293,0)</f>
        <v>4.1428571428571426E-2</v>
      </c>
      <c r="P293" s="4">
        <f>IFERROR(I293/G293,0)</f>
        <v>0.64128571428571424</v>
      </c>
      <c r="Q293" s="4">
        <f>IFERROR(I293/H293,0)</f>
        <v>15.479310344827585</v>
      </c>
      <c r="R293" s="12">
        <f>IFERROR(J293/I293,0)</f>
        <v>13.278859434172423</v>
      </c>
      <c r="S293" s="7">
        <f>Tabla_nuevas_columnas[[#This Row],[ROAS]]</f>
        <v>13.278859434172423</v>
      </c>
      <c r="T293" t="str">
        <f>_xlfn.CONCAT(C293,"-",D293)</f>
        <v>Affiliate-México</v>
      </c>
      <c r="U293">
        <f>YEAR(A293)</f>
        <v>2025</v>
      </c>
      <c r="V293">
        <f>MONTH(A293)</f>
        <v>1</v>
      </c>
      <c r="W293" t="str">
        <f>PROPER(TEXT(A293,"mmmm"))</f>
        <v>Enero</v>
      </c>
      <c r="X293" t="str">
        <f>PROPER(TEXT(A293,"dddd"))</f>
        <v>Martes</v>
      </c>
      <c r="Y293" t="str" cm="1">
        <f t="array" ref="Y293">_xlfn.IFS(R293&gt;10,"Excelente",R293&gt;=5,"Bueno",R293&gt;=2,"Débil",R293&lt;2,"Deficiente")</f>
        <v>Excelente</v>
      </c>
      <c r="Z293" t="str">
        <f>IF(AND(R293&lt;2,Q293&gt;=100),"Revisar","OK")</f>
        <v>OK</v>
      </c>
      <c r="AA293" s="55">
        <f>_xlfn.XLOOKUP(C293,'Preguntas de negocio'!$C$114:$C$119,'Preguntas de negocio'!$D$114:$D$119,0)</f>
        <v>4.5</v>
      </c>
      <c r="AB293" s="55">
        <f>VLOOKUP(C293,'Preguntas de negocio'!$C$121:$D$127,2,FALSE)</f>
        <v>0.35</v>
      </c>
    </row>
    <row r="294" spans="1:28" x14ac:dyDescent="0.3">
      <c r="A294" s="1">
        <v>45745</v>
      </c>
      <c r="B294" s="2" t="s">
        <v>2643</v>
      </c>
      <c r="C294" s="2" t="s">
        <v>2527</v>
      </c>
      <c r="D294" s="2" t="s">
        <v>2525</v>
      </c>
      <c r="E294" s="2" t="s">
        <v>2529</v>
      </c>
      <c r="F294" s="3">
        <v>71816</v>
      </c>
      <c r="G294" s="3">
        <v>971</v>
      </c>
      <c r="H294" s="3">
        <v>72</v>
      </c>
      <c r="I294" s="4">
        <v>773.45</v>
      </c>
      <c r="J294" s="4">
        <v>6667.06</v>
      </c>
      <c r="K294" s="3">
        <v>43</v>
      </c>
      <c r="L294" s="2" t="s">
        <v>2518</v>
      </c>
      <c r="M294" s="2" t="s">
        <v>2524</v>
      </c>
      <c r="N294" s="8">
        <f>IFERROR(G294/F294,0)</f>
        <v>1.3520663918903865E-2</v>
      </c>
      <c r="O294" s="8">
        <f>IFERROR(H294/G294,0)</f>
        <v>7.4150360453141093E-2</v>
      </c>
      <c r="P294" s="4">
        <f>IFERROR(I294/G294,0)</f>
        <v>0.79654994850669414</v>
      </c>
      <c r="Q294" s="4">
        <f>IFERROR(I294/H294,0)</f>
        <v>10.742361111111112</v>
      </c>
      <c r="R294" s="12">
        <f>IFERROR(J294/I294,0)</f>
        <v>8.6198978602366019</v>
      </c>
      <c r="S294" s="7">
        <f>Tabla_nuevas_columnas[[#This Row],[ROAS]]</f>
        <v>8.6198978602366019</v>
      </c>
      <c r="T294" t="str">
        <f>_xlfn.CONCAT(C294,"-",D294)</f>
        <v>Affiliate-Francia</v>
      </c>
      <c r="U294">
        <f>YEAR(A294)</f>
        <v>2025</v>
      </c>
      <c r="V294">
        <f>MONTH(A294)</f>
        <v>3</v>
      </c>
      <c r="W294" t="str">
        <f>PROPER(TEXT(A294,"mmmm"))</f>
        <v>Marzo</v>
      </c>
      <c r="X294" t="str">
        <f>PROPER(TEXT(A294,"dddd"))</f>
        <v>Sábado</v>
      </c>
      <c r="Y294" t="str" cm="1">
        <f t="array" ref="Y294">_xlfn.IFS(R294&gt;10,"Excelente",R294&gt;=5,"Bueno",R294&gt;=2,"Débil",R294&lt;2,"Deficiente")</f>
        <v>Bueno</v>
      </c>
      <c r="Z294" t="str">
        <f>IF(AND(R294&lt;2,Q294&gt;=100),"Revisar","OK")</f>
        <v>OK</v>
      </c>
      <c r="AA294" s="55">
        <f>_xlfn.XLOOKUP(C294,'Preguntas de negocio'!$C$114:$C$119,'Preguntas de negocio'!$D$114:$D$119,0)</f>
        <v>4.5</v>
      </c>
      <c r="AB294" s="55">
        <f>VLOOKUP(C294,'Preguntas de negocio'!$C$121:$D$127,2,FALSE)</f>
        <v>0.35</v>
      </c>
    </row>
    <row r="295" spans="1:28" x14ac:dyDescent="0.3">
      <c r="A295" s="1">
        <v>45993</v>
      </c>
      <c r="B295" s="2" t="s">
        <v>2617</v>
      </c>
      <c r="C295" s="2" t="s">
        <v>2541</v>
      </c>
      <c r="D295" s="2" t="s">
        <v>2522</v>
      </c>
      <c r="E295" s="2" t="s">
        <v>2534</v>
      </c>
      <c r="F295" s="3">
        <v>14732</v>
      </c>
      <c r="G295" s="3">
        <v>1305</v>
      </c>
      <c r="H295" s="3">
        <v>135</v>
      </c>
      <c r="I295" s="4">
        <v>957.79</v>
      </c>
      <c r="J295" s="4">
        <v>8015.26</v>
      </c>
      <c r="K295" s="3">
        <v>78</v>
      </c>
      <c r="L295" s="2" t="s">
        <v>2523</v>
      </c>
      <c r="M295" s="2" t="s">
        <v>2524</v>
      </c>
      <c r="N295" s="8">
        <f>IFERROR(G295/F295,0)</f>
        <v>8.8582677165354326E-2</v>
      </c>
      <c r="O295" s="8">
        <f>IFERROR(H295/G295,0)</f>
        <v>0.10344827586206896</v>
      </c>
      <c r="P295" s="4">
        <f>IFERROR(I295/G295,0)</f>
        <v>0.73393869731800765</v>
      </c>
      <c r="Q295" s="4">
        <f>IFERROR(I295/H295,0)</f>
        <v>7.0947407407407406</v>
      </c>
      <c r="R295" s="12">
        <f>IFERROR(J295/I295,0)</f>
        <v>8.3684941375458095</v>
      </c>
      <c r="S295" s="7">
        <f>Tabla_nuevas_columnas[[#This Row],[ROAS]]</f>
        <v>8.3684941375458095</v>
      </c>
      <c r="T295" t="str">
        <f>_xlfn.CONCAT(C295,"-",D295)</f>
        <v>Display-Italia</v>
      </c>
      <c r="U295">
        <f>YEAR(A295)</f>
        <v>2025</v>
      </c>
      <c r="V295">
        <f>MONTH(A295)</f>
        <v>12</v>
      </c>
      <c r="W295" t="str">
        <f>PROPER(TEXT(A295,"mmmm"))</f>
        <v>Diciembre</v>
      </c>
      <c r="X295" t="str">
        <f>PROPER(TEXT(A295,"dddd"))</f>
        <v>Martes</v>
      </c>
      <c r="Y295" t="str" cm="1">
        <f t="array" ref="Y295">_xlfn.IFS(R295&gt;10,"Excelente",R295&gt;=5,"Bueno",R295&gt;=2,"Débil",R295&lt;2,"Deficiente")</f>
        <v>Bueno</v>
      </c>
      <c r="Z295" t="str">
        <f>IF(AND(R295&lt;2,Q295&gt;=100),"Revisar","OK")</f>
        <v>OK</v>
      </c>
      <c r="AA295" s="55">
        <f>_xlfn.XLOOKUP(C295,'Preguntas de negocio'!$C$114:$C$119,'Preguntas de negocio'!$D$114:$D$119,0)</f>
        <v>5</v>
      </c>
      <c r="AB295" s="55">
        <f>VLOOKUP(C295,'Preguntas de negocio'!$C$121:$D$127,2,FALSE)</f>
        <v>0.5</v>
      </c>
    </row>
    <row r="296" spans="1:28" x14ac:dyDescent="0.3">
      <c r="A296" s="1">
        <v>45800</v>
      </c>
      <c r="B296" s="2" t="s">
        <v>2629</v>
      </c>
      <c r="C296" s="2" t="s">
        <v>2527</v>
      </c>
      <c r="D296" s="2" t="s">
        <v>2528</v>
      </c>
      <c r="E296" s="2" t="s">
        <v>2529</v>
      </c>
      <c r="F296" s="3">
        <v>64904</v>
      </c>
      <c r="G296" s="3">
        <v>5053</v>
      </c>
      <c r="H296" s="3">
        <v>512</v>
      </c>
      <c r="I296" s="4">
        <v>10051.280000000001</v>
      </c>
      <c r="J296" s="4">
        <v>19429.25</v>
      </c>
      <c r="K296" s="3">
        <v>338</v>
      </c>
      <c r="L296" s="2" t="s">
        <v>2536</v>
      </c>
      <c r="M296" s="2" t="s">
        <v>2524</v>
      </c>
      <c r="N296" s="8">
        <f>IFERROR(G296/F296,0)</f>
        <v>7.7853445088130163E-2</v>
      </c>
      <c r="O296" s="8">
        <f>IFERROR(H296/G296,0)</f>
        <v>0.1013259449831783</v>
      </c>
      <c r="P296" s="4">
        <f>IFERROR(I296/G296,0)</f>
        <v>1.9891707896299229</v>
      </c>
      <c r="Q296" s="4">
        <f>IFERROR(I296/H296,0)</f>
        <v>19.631406250000001</v>
      </c>
      <c r="R296" s="12">
        <f>IFERROR(J296/I296,0)</f>
        <v>1.933012511839288</v>
      </c>
      <c r="S296" s="7">
        <f>Tabla_nuevas_columnas[[#This Row],[ROAS]]</f>
        <v>1.933012511839288</v>
      </c>
      <c r="T296" t="str">
        <f>_xlfn.CONCAT(C296,"-",D296)</f>
        <v>Affiliate-España</v>
      </c>
      <c r="U296">
        <f>YEAR(A296)</f>
        <v>2025</v>
      </c>
      <c r="V296">
        <f>MONTH(A296)</f>
        <v>5</v>
      </c>
      <c r="W296" t="str">
        <f>PROPER(TEXT(A296,"mmmm"))</f>
        <v>Mayo</v>
      </c>
      <c r="X296" t="str">
        <f>PROPER(TEXT(A296,"dddd"))</f>
        <v>Viernes</v>
      </c>
      <c r="Y296" t="str" cm="1">
        <f t="array" ref="Y296">_xlfn.IFS(R296&gt;10,"Excelente",R296&gt;=5,"Bueno",R296&gt;=2,"Débil",R296&lt;2,"Deficiente")</f>
        <v>Deficiente</v>
      </c>
      <c r="Z296" t="str">
        <f>IF(AND(R296&lt;2,Q296&gt;=100),"Revisar","OK")</f>
        <v>OK</v>
      </c>
      <c r="AA296" s="55">
        <f>_xlfn.XLOOKUP(C296,'Preguntas de negocio'!$C$114:$C$119,'Preguntas de negocio'!$D$114:$D$119,0)</f>
        <v>4.5</v>
      </c>
      <c r="AB296" s="55">
        <f>VLOOKUP(C296,'Preguntas de negocio'!$C$121:$D$127,2,FALSE)</f>
        <v>0.35</v>
      </c>
    </row>
    <row r="297" spans="1:28" x14ac:dyDescent="0.3">
      <c r="A297" s="1">
        <v>45735</v>
      </c>
      <c r="B297" s="2" t="s">
        <v>2640</v>
      </c>
      <c r="C297" s="2" t="s">
        <v>2521</v>
      </c>
      <c r="D297" s="2" t="s">
        <v>2525</v>
      </c>
      <c r="E297" s="2" t="s">
        <v>2529</v>
      </c>
      <c r="F297" s="3">
        <v>99094</v>
      </c>
      <c r="G297" s="3">
        <v>4193</v>
      </c>
      <c r="H297" s="3">
        <v>444</v>
      </c>
      <c r="I297" s="4">
        <v>4184.8999999999996</v>
      </c>
      <c r="J297" s="4">
        <v>80376.570000000007</v>
      </c>
      <c r="K297" s="3">
        <v>397</v>
      </c>
      <c r="L297" s="2" t="s">
        <v>2518</v>
      </c>
      <c r="M297" s="2" t="s">
        <v>2526</v>
      </c>
      <c r="N297" s="8">
        <f>IFERROR(G297/F297,0)</f>
        <v>4.2313359032837505E-2</v>
      </c>
      <c r="O297" s="8">
        <f>IFERROR(H297/G297,0)</f>
        <v>0.10589077033150489</v>
      </c>
      <c r="P297" s="4">
        <f>IFERROR(I297/G297,0)</f>
        <v>0.99806820891962789</v>
      </c>
      <c r="Q297" s="4">
        <f>IFERROR(I297/H297,0)</f>
        <v>9.4254504504504499</v>
      </c>
      <c r="R297" s="12">
        <f>IFERROR(J297/I297,0)</f>
        <v>19.206329900356046</v>
      </c>
      <c r="S297" s="7">
        <f>Tabla_nuevas_columnas[[#This Row],[ROAS]]</f>
        <v>19.206329900356046</v>
      </c>
      <c r="T297" t="str">
        <f>_xlfn.CONCAT(C297,"-",D297)</f>
        <v>Paid Search-Francia</v>
      </c>
      <c r="U297">
        <f>YEAR(A297)</f>
        <v>2025</v>
      </c>
      <c r="V297">
        <f>MONTH(A297)</f>
        <v>3</v>
      </c>
      <c r="W297" t="str">
        <f>PROPER(TEXT(A297,"mmmm"))</f>
        <v>Marzo</v>
      </c>
      <c r="X297" t="str">
        <f>PROPER(TEXT(A297,"dddd"))</f>
        <v>Miércoles</v>
      </c>
      <c r="Y297" t="str" cm="1">
        <f t="array" ref="Y297">_xlfn.IFS(R297&gt;10,"Excelente",R297&gt;=5,"Bueno",R297&gt;=2,"Débil",R297&lt;2,"Deficiente")</f>
        <v>Excelente</v>
      </c>
      <c r="Z297" t="str">
        <f>IF(AND(R297&lt;2,Q297&gt;=100),"Revisar","OK")</f>
        <v>OK</v>
      </c>
      <c r="AA297" s="55">
        <f>_xlfn.XLOOKUP(C297,'Preguntas de negocio'!$C$114:$C$119,'Preguntas de negocio'!$D$114:$D$119,0)</f>
        <v>5</v>
      </c>
      <c r="AB297" s="55">
        <f>VLOOKUP(C297,'Preguntas de negocio'!$C$121:$D$127,2,FALSE)</f>
        <v>1.1000000000000001</v>
      </c>
    </row>
    <row r="298" spans="1:28" x14ac:dyDescent="0.3">
      <c r="A298" s="1">
        <v>45917</v>
      </c>
      <c r="B298" s="2" t="s">
        <v>2633</v>
      </c>
      <c r="C298" s="2" t="s">
        <v>2521</v>
      </c>
      <c r="D298" s="2" t="s">
        <v>2522</v>
      </c>
      <c r="E298" s="2" t="s">
        <v>2517</v>
      </c>
      <c r="F298" s="3">
        <v>90201</v>
      </c>
      <c r="G298" s="3">
        <v>4310</v>
      </c>
      <c r="H298" s="3">
        <v>48</v>
      </c>
      <c r="I298" s="4">
        <v>7474.8</v>
      </c>
      <c r="J298" s="4">
        <v>7974.93</v>
      </c>
      <c r="K298" s="3">
        <v>27</v>
      </c>
      <c r="L298" s="2" t="s">
        <v>2536</v>
      </c>
      <c r="M298" s="2" t="s">
        <v>2546</v>
      </c>
      <c r="N298" s="8">
        <f>IFERROR(G298/F298,0)</f>
        <v>4.7782175363909489E-2</v>
      </c>
      <c r="O298" s="8">
        <f>IFERROR(H298/G298,0)</f>
        <v>1.1136890951276101E-2</v>
      </c>
      <c r="P298" s="4">
        <f>IFERROR(I298/G298,0)</f>
        <v>1.7342923433874711</v>
      </c>
      <c r="Q298" s="4">
        <f>IFERROR(I298/H298,0)</f>
        <v>155.72499999999999</v>
      </c>
      <c r="R298" s="12">
        <f>IFERROR(J298/I298,0)</f>
        <v>1.0669088136137421</v>
      </c>
      <c r="S298" s="7">
        <f>Tabla_nuevas_columnas[[#This Row],[ROAS]]</f>
        <v>1.0669088136137421</v>
      </c>
      <c r="T298" t="str">
        <f>_xlfn.CONCAT(C298,"-",D298)</f>
        <v>Paid Search-Italia</v>
      </c>
      <c r="U298">
        <f>YEAR(A298)</f>
        <v>2025</v>
      </c>
      <c r="V298">
        <f>MONTH(A298)</f>
        <v>9</v>
      </c>
      <c r="W298" t="str">
        <f>PROPER(TEXT(A298,"mmmm"))</f>
        <v>Septiembre</v>
      </c>
      <c r="X298" t="str">
        <f>PROPER(TEXT(A298,"dddd"))</f>
        <v>Miércoles</v>
      </c>
      <c r="Y298" t="str" cm="1">
        <f t="array" ref="Y298">_xlfn.IFS(R298&gt;10,"Excelente",R298&gt;=5,"Bueno",R298&gt;=2,"Débil",R298&lt;2,"Deficiente")</f>
        <v>Deficiente</v>
      </c>
      <c r="Z298" t="str">
        <f>IF(AND(R298&lt;2,Q298&gt;=100),"Revisar","OK")</f>
        <v>Revisar</v>
      </c>
      <c r="AA298" s="55">
        <f>_xlfn.XLOOKUP(C298,'Preguntas de negocio'!$C$114:$C$119,'Preguntas de negocio'!$D$114:$D$119,0)</f>
        <v>5</v>
      </c>
      <c r="AB298" s="55">
        <f>VLOOKUP(C298,'Preguntas de negocio'!$C$121:$D$127,2,FALSE)</f>
        <v>1.1000000000000001</v>
      </c>
    </row>
    <row r="299" spans="1:28" x14ac:dyDescent="0.3">
      <c r="A299" s="1">
        <v>45901</v>
      </c>
      <c r="B299" s="2" t="s">
        <v>2615</v>
      </c>
      <c r="C299" s="2" t="s">
        <v>2515</v>
      </c>
      <c r="D299" s="2" t="s">
        <v>2516</v>
      </c>
      <c r="E299" s="2" t="s">
        <v>2529</v>
      </c>
      <c r="F299" s="3">
        <v>103498</v>
      </c>
      <c r="G299" s="3">
        <v>3048</v>
      </c>
      <c r="H299" s="3">
        <v>419</v>
      </c>
      <c r="I299" s="4">
        <v>4067.56</v>
      </c>
      <c r="J299" s="4">
        <v>78539.23</v>
      </c>
      <c r="K299" s="3">
        <v>250</v>
      </c>
      <c r="L299" s="2" t="s">
        <v>2539</v>
      </c>
      <c r="M299" s="2" t="s">
        <v>2519</v>
      </c>
      <c r="N299" s="8">
        <f>IFERROR(G299/F299,0)</f>
        <v>2.9449844441438482E-2</v>
      </c>
      <c r="O299" s="8">
        <f>IFERROR(H299/G299,0)</f>
        <v>0.13746719160104987</v>
      </c>
      <c r="P299" s="4">
        <f>IFERROR(I299/G299,0)</f>
        <v>1.3345013123359579</v>
      </c>
      <c r="Q299" s="4">
        <f>IFERROR(I299/H299,0)</f>
        <v>9.7077804295942727</v>
      </c>
      <c r="R299" s="12">
        <f>IFERROR(J299/I299,0)</f>
        <v>19.308683830109452</v>
      </c>
      <c r="S299" s="7">
        <f>Tabla_nuevas_columnas[[#This Row],[ROAS]]</f>
        <v>19.308683830109452</v>
      </c>
      <c r="T299" t="str">
        <f>_xlfn.CONCAT(C299,"-",D299)</f>
        <v>Email-México</v>
      </c>
      <c r="U299">
        <f>YEAR(A299)</f>
        <v>2025</v>
      </c>
      <c r="V299">
        <f>MONTH(A299)</f>
        <v>9</v>
      </c>
      <c r="W299" t="str">
        <f>PROPER(TEXT(A299,"mmmm"))</f>
        <v>Septiembre</v>
      </c>
      <c r="X299" t="str">
        <f>PROPER(TEXT(A299,"dddd"))</f>
        <v>Lunes</v>
      </c>
      <c r="Y299" t="str" cm="1">
        <f t="array" ref="Y299">_xlfn.IFS(R299&gt;10,"Excelente",R299&gt;=5,"Bueno",R299&gt;=2,"Débil",R299&lt;2,"Deficiente")</f>
        <v>Excelente</v>
      </c>
      <c r="Z299" t="str">
        <f>IF(AND(R299&lt;2,Q299&gt;=100),"Revisar","OK")</f>
        <v>OK</v>
      </c>
      <c r="AA299" s="55">
        <f>_xlfn.XLOOKUP(C299,'Preguntas de negocio'!$C$114:$C$119,'Preguntas de negocio'!$D$114:$D$119,0)</f>
        <v>5.5</v>
      </c>
      <c r="AB299" s="55">
        <f>VLOOKUP(C299,'Preguntas de negocio'!$C$121:$D$127,2,FALSE)</f>
        <v>0.65</v>
      </c>
    </row>
    <row r="300" spans="1:28" x14ac:dyDescent="0.3">
      <c r="A300" s="1">
        <v>45754</v>
      </c>
      <c r="B300" s="2" t="s">
        <v>2643</v>
      </c>
      <c r="C300" s="2" t="s">
        <v>2515</v>
      </c>
      <c r="D300" s="2" t="s">
        <v>2522</v>
      </c>
      <c r="E300" s="2" t="s">
        <v>2517</v>
      </c>
      <c r="F300" s="3">
        <v>2827</v>
      </c>
      <c r="G300" s="3">
        <v>54</v>
      </c>
      <c r="H300" s="3">
        <v>0</v>
      </c>
      <c r="I300" s="4">
        <v>17.88</v>
      </c>
      <c r="J300" s="4">
        <v>0</v>
      </c>
      <c r="K300" s="3">
        <v>0</v>
      </c>
      <c r="L300" s="2" t="s">
        <v>2518</v>
      </c>
      <c r="M300" s="2" t="s">
        <v>2537</v>
      </c>
      <c r="N300" s="8">
        <f>IFERROR(G300/F300,0)</f>
        <v>1.9101521047046339E-2</v>
      </c>
      <c r="O300" s="8">
        <f>IFERROR(H300/G300,0)</f>
        <v>0</v>
      </c>
      <c r="P300" s="4">
        <f>IFERROR(I300/G300,0)</f>
        <v>0.33111111111111108</v>
      </c>
      <c r="Q300" s="4">
        <f>IFERROR(I300/H300,0)</f>
        <v>0</v>
      </c>
      <c r="R300" s="12">
        <f>IFERROR(J300/I300,0)</f>
        <v>0</v>
      </c>
      <c r="S300" s="7">
        <f>Tabla_nuevas_columnas[[#This Row],[ROAS]]</f>
        <v>0</v>
      </c>
      <c r="T300" t="str">
        <f>_xlfn.CONCAT(C300,"-",D300)</f>
        <v>Email-Italia</v>
      </c>
      <c r="U300">
        <f>YEAR(A300)</f>
        <v>2025</v>
      </c>
      <c r="V300">
        <f>MONTH(A300)</f>
        <v>4</v>
      </c>
      <c r="W300" t="str">
        <f>PROPER(TEXT(A300,"mmmm"))</f>
        <v>Abril</v>
      </c>
      <c r="X300" t="str">
        <f>PROPER(TEXT(A300,"dddd"))</f>
        <v>Lunes</v>
      </c>
      <c r="Y300" t="str" cm="1">
        <f t="array" ref="Y300">_xlfn.IFS(R300&gt;10,"Excelente",R300&gt;=5,"Bueno",R300&gt;=2,"Débil",R300&lt;2,"Deficiente")</f>
        <v>Deficiente</v>
      </c>
      <c r="Z300" t="str">
        <f>IF(AND(R300&lt;2,Q300&gt;=100),"Revisar","OK")</f>
        <v>OK</v>
      </c>
      <c r="AA300" s="55">
        <f>_xlfn.XLOOKUP(C300,'Preguntas de negocio'!$C$114:$C$119,'Preguntas de negocio'!$D$114:$D$119,0)</f>
        <v>5.5</v>
      </c>
      <c r="AB300" s="55">
        <f>VLOOKUP(C300,'Preguntas de negocio'!$C$121:$D$127,2,FALSE)</f>
        <v>0.65</v>
      </c>
    </row>
    <row r="301" spans="1:28" x14ac:dyDescent="0.3">
      <c r="A301" s="1">
        <v>45903</v>
      </c>
      <c r="B301" s="2" t="s">
        <v>2629</v>
      </c>
      <c r="C301" s="2" t="s">
        <v>2527</v>
      </c>
      <c r="D301" s="2" t="s">
        <v>2528</v>
      </c>
      <c r="E301" s="2" t="s">
        <v>2529</v>
      </c>
      <c r="F301" s="3">
        <v>42588</v>
      </c>
      <c r="G301" s="3">
        <v>2351</v>
      </c>
      <c r="H301" s="3">
        <v>121</v>
      </c>
      <c r="I301" s="4">
        <v>1117.48</v>
      </c>
      <c r="J301" s="4">
        <v>9206.17</v>
      </c>
      <c r="K301" s="3">
        <v>77</v>
      </c>
      <c r="L301" s="2" t="s">
        <v>2536</v>
      </c>
      <c r="M301" s="2" t="s">
        <v>2546</v>
      </c>
      <c r="N301" s="8">
        <f>IFERROR(G301/F301,0)</f>
        <v>5.5203343664882124E-2</v>
      </c>
      <c r="O301" s="8">
        <f>IFERROR(H301/G301,0)</f>
        <v>5.146746065504041E-2</v>
      </c>
      <c r="P301" s="4">
        <f>IFERROR(I301/G301,0)</f>
        <v>0.47532113994045089</v>
      </c>
      <c r="Q301" s="4">
        <f>IFERROR(I301/H301,0)</f>
        <v>9.235371900826447</v>
      </c>
      <c r="R301" s="12">
        <f>IFERROR(J301/I301,0)</f>
        <v>8.2383308873536887</v>
      </c>
      <c r="S301" s="7">
        <f>Tabla_nuevas_columnas[[#This Row],[ROAS]]</f>
        <v>8.2383308873536887</v>
      </c>
      <c r="T301" t="str">
        <f>_xlfn.CONCAT(C301,"-",D301)</f>
        <v>Affiliate-España</v>
      </c>
      <c r="U301">
        <f>YEAR(A301)</f>
        <v>2025</v>
      </c>
      <c r="V301">
        <f>MONTH(A301)</f>
        <v>9</v>
      </c>
      <c r="W301" t="str">
        <f>PROPER(TEXT(A301,"mmmm"))</f>
        <v>Septiembre</v>
      </c>
      <c r="X301" t="str">
        <f>PROPER(TEXT(A301,"dddd"))</f>
        <v>Miércoles</v>
      </c>
      <c r="Y301" t="str" cm="1">
        <f t="array" ref="Y301">_xlfn.IFS(R301&gt;10,"Excelente",R301&gt;=5,"Bueno",R301&gt;=2,"Débil",R301&lt;2,"Deficiente")</f>
        <v>Bueno</v>
      </c>
      <c r="Z301" t="str">
        <f>IF(AND(R301&lt;2,Q301&gt;=100),"Revisar","OK")</f>
        <v>OK</v>
      </c>
      <c r="AA301" s="55">
        <f>_xlfn.XLOOKUP(C301,'Preguntas de negocio'!$C$114:$C$119,'Preguntas de negocio'!$D$114:$D$119,0)</f>
        <v>4.5</v>
      </c>
      <c r="AB301" s="55">
        <f>VLOOKUP(C301,'Preguntas de negocio'!$C$121:$D$127,2,FALSE)</f>
        <v>0.35</v>
      </c>
    </row>
    <row r="302" spans="1:28" x14ac:dyDescent="0.3">
      <c r="A302" s="1">
        <v>45736</v>
      </c>
      <c r="B302" s="2" t="s">
        <v>2624</v>
      </c>
      <c r="C302" s="2" t="s">
        <v>2533</v>
      </c>
      <c r="D302" s="2" t="s">
        <v>2528</v>
      </c>
      <c r="E302" s="2" t="s">
        <v>2529</v>
      </c>
      <c r="F302" s="3">
        <v>95361</v>
      </c>
      <c r="G302" s="3">
        <v>1833</v>
      </c>
      <c r="H302" s="3">
        <v>162</v>
      </c>
      <c r="I302" s="4">
        <v>1415.64</v>
      </c>
      <c r="J302" s="4">
        <v>19044.169999999998</v>
      </c>
      <c r="K302" s="3">
        <v>103</v>
      </c>
      <c r="L302" s="2" t="s">
        <v>2523</v>
      </c>
      <c r="M302" s="2" t="s">
        <v>2537</v>
      </c>
      <c r="N302" s="8">
        <f>IFERROR(G302/F302,0)</f>
        <v>1.9221694403372448E-2</v>
      </c>
      <c r="O302" s="8">
        <f>IFERROR(H302/G302,0)</f>
        <v>8.8379705400982E-2</v>
      </c>
      <c r="P302" s="4">
        <f>IFERROR(I302/G302,0)</f>
        <v>0.77230769230769236</v>
      </c>
      <c r="Q302" s="4">
        <f>IFERROR(I302/H302,0)</f>
        <v>8.7385185185185197</v>
      </c>
      <c r="R302" s="12">
        <f>IFERROR(J302/I302,0)</f>
        <v>13.452692774999292</v>
      </c>
      <c r="S302" s="7">
        <f>Tabla_nuevas_columnas[[#This Row],[ROAS]]</f>
        <v>13.452692774999292</v>
      </c>
      <c r="T302" t="str">
        <f>_xlfn.CONCAT(C302,"-",D302)</f>
        <v>Paid Social-España</v>
      </c>
      <c r="U302">
        <f>YEAR(A302)</f>
        <v>2025</v>
      </c>
      <c r="V302">
        <f>MONTH(A302)</f>
        <v>3</v>
      </c>
      <c r="W302" t="str">
        <f>PROPER(TEXT(A302,"mmmm"))</f>
        <v>Marzo</v>
      </c>
      <c r="X302" t="str">
        <f>PROPER(TEXT(A302,"dddd"))</f>
        <v>Jueves</v>
      </c>
      <c r="Y302" t="str" cm="1">
        <f t="array" ref="Y302">_xlfn.IFS(R302&gt;10,"Excelente",R302&gt;=5,"Bueno",R302&gt;=2,"Débil",R302&lt;2,"Deficiente")</f>
        <v>Excelente</v>
      </c>
      <c r="Z302" t="str">
        <f>IF(AND(R302&lt;2,Q302&gt;=100),"Revisar","OK")</f>
        <v>OK</v>
      </c>
      <c r="AA302" s="55">
        <f>_xlfn.XLOOKUP(C302,'Preguntas de negocio'!$C$114:$C$119,'Preguntas de negocio'!$D$114:$D$119,0)</f>
        <v>6</v>
      </c>
      <c r="AB302" s="55">
        <f>VLOOKUP(C302,'Preguntas de negocio'!$C$121:$D$127,2,FALSE)</f>
        <v>0.8</v>
      </c>
    </row>
    <row r="303" spans="1:28" x14ac:dyDescent="0.3">
      <c r="A303" s="1">
        <v>46005</v>
      </c>
      <c r="B303" s="2" t="s">
        <v>2622</v>
      </c>
      <c r="C303" s="2" t="s">
        <v>2521</v>
      </c>
      <c r="D303" s="2" t="s">
        <v>2516</v>
      </c>
      <c r="E303" s="2" t="s">
        <v>2534</v>
      </c>
      <c r="F303" s="3">
        <v>165746</v>
      </c>
      <c r="G303" s="3">
        <v>8889</v>
      </c>
      <c r="H303" s="3">
        <v>300</v>
      </c>
      <c r="I303" s="4">
        <v>15327.29</v>
      </c>
      <c r="J303" s="4">
        <v>64209.86</v>
      </c>
      <c r="K303" s="3">
        <v>219</v>
      </c>
      <c r="L303" s="2" t="s">
        <v>2523</v>
      </c>
      <c r="M303" s="2" t="s">
        <v>2524</v>
      </c>
      <c r="N303" s="8">
        <f>IFERROR(G303/F303,0)</f>
        <v>5.3630253520446952E-2</v>
      </c>
      <c r="O303" s="8">
        <f>IFERROR(H303/G303,0)</f>
        <v>3.3749578130273371E-2</v>
      </c>
      <c r="P303" s="4">
        <f>IFERROR(I303/G303,0)</f>
        <v>1.7242985712678593</v>
      </c>
      <c r="Q303" s="4">
        <f>IFERROR(I303/H303,0)</f>
        <v>51.090966666666667</v>
      </c>
      <c r="R303" s="12">
        <f>IFERROR(J303/I303,0)</f>
        <v>4.1892506764078972</v>
      </c>
      <c r="S303" s="7">
        <f>Tabla_nuevas_columnas[[#This Row],[ROAS]]</f>
        <v>4.1892506764078972</v>
      </c>
      <c r="T303" t="str">
        <f>_xlfn.CONCAT(C303,"-",D303)</f>
        <v>Paid Search-México</v>
      </c>
      <c r="U303">
        <f>YEAR(A303)</f>
        <v>2025</v>
      </c>
      <c r="V303">
        <f>MONTH(A303)</f>
        <v>12</v>
      </c>
      <c r="W303" t="str">
        <f>PROPER(TEXT(A303,"mmmm"))</f>
        <v>Diciembre</v>
      </c>
      <c r="X303" t="str">
        <f>PROPER(TEXT(A303,"dddd"))</f>
        <v>Domingo</v>
      </c>
      <c r="Y303" t="str" cm="1">
        <f t="array" ref="Y303">_xlfn.IFS(R303&gt;10,"Excelente",R303&gt;=5,"Bueno",R303&gt;=2,"Débil",R303&lt;2,"Deficiente")</f>
        <v>Débil</v>
      </c>
      <c r="Z303" t="str">
        <f>IF(AND(R303&lt;2,Q303&gt;=100),"Revisar","OK")</f>
        <v>OK</v>
      </c>
      <c r="AA303" s="55">
        <f>_xlfn.XLOOKUP(C303,'Preguntas de negocio'!$C$114:$C$119,'Preguntas de negocio'!$D$114:$D$119,0)</f>
        <v>5</v>
      </c>
      <c r="AB303" s="55">
        <f>VLOOKUP(C303,'Preguntas de negocio'!$C$121:$D$127,2,FALSE)</f>
        <v>1.1000000000000001</v>
      </c>
    </row>
    <row r="304" spans="1:28" x14ac:dyDescent="0.3">
      <c r="A304" s="1">
        <v>45924</v>
      </c>
      <c r="B304" s="2" t="s">
        <v>2616</v>
      </c>
      <c r="C304" s="2" t="s">
        <v>2541</v>
      </c>
      <c r="D304" s="2" t="s">
        <v>2516</v>
      </c>
      <c r="E304" s="2" t="s">
        <v>2517</v>
      </c>
      <c r="F304" s="3">
        <v>61892</v>
      </c>
      <c r="G304" s="3">
        <v>5375</v>
      </c>
      <c r="H304" s="3">
        <v>173</v>
      </c>
      <c r="I304" s="4">
        <v>3920.91</v>
      </c>
      <c r="J304" s="4">
        <v>19891.580000000002</v>
      </c>
      <c r="K304" s="3">
        <v>120</v>
      </c>
      <c r="L304" s="2" t="s">
        <v>2523</v>
      </c>
      <c r="M304" s="2" t="s">
        <v>2524</v>
      </c>
      <c r="N304" s="8">
        <f>IFERROR(G304/F304,0)</f>
        <v>8.6844826471918823E-2</v>
      </c>
      <c r="O304" s="8">
        <f>IFERROR(H304/G304,0)</f>
        <v>3.218604651162791E-2</v>
      </c>
      <c r="P304" s="4">
        <f>IFERROR(I304/G304,0)</f>
        <v>0.72947162790697673</v>
      </c>
      <c r="Q304" s="4">
        <f>IFERROR(I304/H304,0)</f>
        <v>22.664219653179188</v>
      </c>
      <c r="R304" s="12">
        <f>IFERROR(J304/I304,0)</f>
        <v>5.0732049447704748</v>
      </c>
      <c r="S304" s="7">
        <f>Tabla_nuevas_columnas[[#This Row],[ROAS]]</f>
        <v>5.0732049447704748</v>
      </c>
      <c r="T304" t="str">
        <f>_xlfn.CONCAT(C304,"-",D304)</f>
        <v>Display-México</v>
      </c>
      <c r="U304">
        <f>YEAR(A304)</f>
        <v>2025</v>
      </c>
      <c r="V304">
        <f>MONTH(A304)</f>
        <v>9</v>
      </c>
      <c r="W304" t="str">
        <f>PROPER(TEXT(A304,"mmmm"))</f>
        <v>Septiembre</v>
      </c>
      <c r="X304" t="str">
        <f>PROPER(TEXT(A304,"dddd"))</f>
        <v>Miércoles</v>
      </c>
      <c r="Y304" t="str" cm="1">
        <f t="array" ref="Y304">_xlfn.IFS(R304&gt;10,"Excelente",R304&gt;=5,"Bueno",R304&gt;=2,"Débil",R304&lt;2,"Deficiente")</f>
        <v>Bueno</v>
      </c>
      <c r="Z304" t="str">
        <f>IF(AND(R304&lt;2,Q304&gt;=100),"Revisar","OK")</f>
        <v>OK</v>
      </c>
      <c r="AA304" s="55">
        <f>_xlfn.XLOOKUP(C304,'Preguntas de negocio'!$C$114:$C$119,'Preguntas de negocio'!$D$114:$D$119,0)</f>
        <v>5</v>
      </c>
      <c r="AB304" s="55">
        <f>VLOOKUP(C304,'Preguntas de negocio'!$C$121:$D$127,2,FALSE)</f>
        <v>0.5</v>
      </c>
    </row>
    <row r="305" spans="1:28" x14ac:dyDescent="0.3">
      <c r="A305" s="1">
        <v>45764</v>
      </c>
      <c r="B305" s="2" t="s">
        <v>2642</v>
      </c>
      <c r="C305" s="2" t="s">
        <v>2515</v>
      </c>
      <c r="D305" s="2" t="s">
        <v>2528</v>
      </c>
      <c r="E305" s="2" t="s">
        <v>2517</v>
      </c>
      <c r="F305" s="3">
        <v>140194</v>
      </c>
      <c r="G305" s="3">
        <v>9802</v>
      </c>
      <c r="H305" s="3">
        <v>1092</v>
      </c>
      <c r="I305" s="4">
        <v>2069.8200000000002</v>
      </c>
      <c r="J305" s="4">
        <v>137377.51</v>
      </c>
      <c r="K305" s="3">
        <v>599</v>
      </c>
      <c r="L305" s="2" t="s">
        <v>2539</v>
      </c>
      <c r="M305" s="2" t="s">
        <v>2524</v>
      </c>
      <c r="N305" s="8">
        <f>IFERROR(G305/F305,0)</f>
        <v>6.9917400174044533E-2</v>
      </c>
      <c r="O305" s="8">
        <f>IFERROR(H305/G305,0)</f>
        <v>0.11140583554376658</v>
      </c>
      <c r="P305" s="4">
        <f>IFERROR(I305/G305,0)</f>
        <v>0.21116302795347891</v>
      </c>
      <c r="Q305" s="4">
        <f>IFERROR(I305/H305,0)</f>
        <v>1.8954395604395606</v>
      </c>
      <c r="R305" s="12">
        <f>IFERROR(J305/I305,0)</f>
        <v>66.371718313669788</v>
      </c>
      <c r="S305" s="7">
        <f>Tabla_nuevas_columnas[[#This Row],[ROAS]]</f>
        <v>66.371718313669788</v>
      </c>
      <c r="T305" t="str">
        <f>_xlfn.CONCAT(C305,"-",D305)</f>
        <v>Email-España</v>
      </c>
      <c r="U305">
        <f>YEAR(A305)</f>
        <v>2025</v>
      </c>
      <c r="V305">
        <f>MONTH(A305)</f>
        <v>4</v>
      </c>
      <c r="W305" t="str">
        <f>PROPER(TEXT(A305,"mmmm"))</f>
        <v>Abril</v>
      </c>
      <c r="X305" t="str">
        <f>PROPER(TEXT(A305,"dddd"))</f>
        <v>Jueves</v>
      </c>
      <c r="Y305" t="str" cm="1">
        <f t="array" ref="Y305">_xlfn.IFS(R305&gt;10,"Excelente",R305&gt;=5,"Bueno",R305&gt;=2,"Débil",R305&lt;2,"Deficiente")</f>
        <v>Excelente</v>
      </c>
      <c r="Z305" t="str">
        <f>IF(AND(R305&lt;2,Q305&gt;=100),"Revisar","OK")</f>
        <v>OK</v>
      </c>
      <c r="AA305" s="55">
        <f>_xlfn.XLOOKUP(C305,'Preguntas de negocio'!$C$114:$C$119,'Preguntas de negocio'!$D$114:$D$119,0)</f>
        <v>5.5</v>
      </c>
      <c r="AB305" s="55">
        <f>VLOOKUP(C305,'Preguntas de negocio'!$C$121:$D$127,2,FALSE)</f>
        <v>0.65</v>
      </c>
    </row>
    <row r="306" spans="1:28" x14ac:dyDescent="0.3">
      <c r="A306" s="1">
        <v>45714</v>
      </c>
      <c r="B306" s="2" t="s">
        <v>2621</v>
      </c>
      <c r="C306" s="2" t="s">
        <v>2541</v>
      </c>
      <c r="D306" s="2" t="s">
        <v>2528</v>
      </c>
      <c r="E306" s="2" t="s">
        <v>2529</v>
      </c>
      <c r="F306" s="3">
        <v>31265</v>
      </c>
      <c r="G306" s="3">
        <v>2095</v>
      </c>
      <c r="H306" s="3">
        <v>213</v>
      </c>
      <c r="I306" s="4">
        <v>1578.12</v>
      </c>
      <c r="J306" s="4">
        <v>22151.25</v>
      </c>
      <c r="K306" s="3">
        <v>108</v>
      </c>
      <c r="L306" s="2" t="s">
        <v>2539</v>
      </c>
      <c r="M306" s="2" t="s">
        <v>2524</v>
      </c>
      <c r="N306" s="8">
        <f>IFERROR(G306/F306,0)</f>
        <v>6.700783623860547E-2</v>
      </c>
      <c r="O306" s="8">
        <f>IFERROR(H306/G306,0)</f>
        <v>0.10167064439140812</v>
      </c>
      <c r="P306" s="4">
        <f>IFERROR(I306/G306,0)</f>
        <v>0.75327923627684956</v>
      </c>
      <c r="Q306" s="4">
        <f>IFERROR(I306/H306,0)</f>
        <v>7.4090140845070414</v>
      </c>
      <c r="R306" s="12">
        <f>IFERROR(J306/I306,0)</f>
        <v>14.036480115580565</v>
      </c>
      <c r="S306" s="7">
        <f>Tabla_nuevas_columnas[[#This Row],[ROAS]]</f>
        <v>14.036480115580565</v>
      </c>
      <c r="T306" t="str">
        <f>_xlfn.CONCAT(C306,"-",D306)</f>
        <v>Display-España</v>
      </c>
      <c r="U306">
        <f>YEAR(A306)</f>
        <v>2025</v>
      </c>
      <c r="V306">
        <f>MONTH(A306)</f>
        <v>2</v>
      </c>
      <c r="W306" t="str">
        <f>PROPER(TEXT(A306,"mmmm"))</f>
        <v>Febrero</v>
      </c>
      <c r="X306" t="str">
        <f>PROPER(TEXT(A306,"dddd"))</f>
        <v>Miércoles</v>
      </c>
      <c r="Y306" t="str" cm="1">
        <f t="array" ref="Y306">_xlfn.IFS(R306&gt;10,"Excelente",R306&gt;=5,"Bueno",R306&gt;=2,"Débil",R306&lt;2,"Deficiente")</f>
        <v>Excelente</v>
      </c>
      <c r="Z306" t="str">
        <f>IF(AND(R306&lt;2,Q306&gt;=100),"Revisar","OK")</f>
        <v>OK</v>
      </c>
      <c r="AA306" s="55">
        <f>_xlfn.XLOOKUP(C306,'Preguntas de negocio'!$C$114:$C$119,'Preguntas de negocio'!$D$114:$D$119,0)</f>
        <v>5</v>
      </c>
      <c r="AB306" s="55">
        <f>VLOOKUP(C306,'Preguntas de negocio'!$C$121:$D$127,2,FALSE)</f>
        <v>0.5</v>
      </c>
    </row>
    <row r="307" spans="1:28" x14ac:dyDescent="0.3">
      <c r="A307" s="1">
        <v>45942</v>
      </c>
      <c r="B307" s="2" t="s">
        <v>2629</v>
      </c>
      <c r="C307" s="2" t="s">
        <v>2515</v>
      </c>
      <c r="D307" s="2" t="s">
        <v>2528</v>
      </c>
      <c r="E307" s="2" t="s">
        <v>2517</v>
      </c>
      <c r="F307" s="3">
        <v>42628</v>
      </c>
      <c r="G307" s="3">
        <v>1446</v>
      </c>
      <c r="H307" s="3">
        <v>78</v>
      </c>
      <c r="I307" s="4">
        <v>1678.51</v>
      </c>
      <c r="J307" s="4">
        <v>2963.14</v>
      </c>
      <c r="K307" s="3">
        <v>60</v>
      </c>
      <c r="L307" s="2" t="s">
        <v>2539</v>
      </c>
      <c r="M307" s="2" t="s">
        <v>2519</v>
      </c>
      <c r="N307" s="8">
        <f>IFERROR(G307/F307,0)</f>
        <v>3.3921366238153325E-2</v>
      </c>
      <c r="O307" s="8">
        <f>IFERROR(H307/G307,0)</f>
        <v>5.3941908713692949E-2</v>
      </c>
      <c r="P307" s="4">
        <f>IFERROR(I307/G307,0)</f>
        <v>1.1607952973720608</v>
      </c>
      <c r="Q307" s="4">
        <f>IFERROR(I307/H307,0)</f>
        <v>21.519358974358973</v>
      </c>
      <c r="R307" s="12">
        <f>IFERROR(J307/I307,0)</f>
        <v>1.7653394975305479</v>
      </c>
      <c r="S307" s="7">
        <f>Tabla_nuevas_columnas[[#This Row],[ROAS]]</f>
        <v>1.7653394975305479</v>
      </c>
      <c r="T307" t="str">
        <f>_xlfn.CONCAT(C307,"-",D307)</f>
        <v>Email-España</v>
      </c>
      <c r="U307">
        <f>YEAR(A307)</f>
        <v>2025</v>
      </c>
      <c r="V307">
        <f>MONTH(A307)</f>
        <v>10</v>
      </c>
      <c r="W307" t="str">
        <f>PROPER(TEXT(A307,"mmmm"))</f>
        <v>Octubre</v>
      </c>
      <c r="X307" t="str">
        <f>PROPER(TEXT(A307,"dddd"))</f>
        <v>Domingo</v>
      </c>
      <c r="Y307" t="str" cm="1">
        <f t="array" ref="Y307">_xlfn.IFS(R307&gt;10,"Excelente",R307&gt;=5,"Bueno",R307&gt;=2,"Débil",R307&lt;2,"Deficiente")</f>
        <v>Deficiente</v>
      </c>
      <c r="Z307" t="str">
        <f>IF(AND(R307&lt;2,Q307&gt;=100),"Revisar","OK")</f>
        <v>OK</v>
      </c>
      <c r="AA307" s="55">
        <f>_xlfn.XLOOKUP(C307,'Preguntas de negocio'!$C$114:$C$119,'Preguntas de negocio'!$D$114:$D$119,0)</f>
        <v>5.5</v>
      </c>
      <c r="AB307" s="55">
        <f>VLOOKUP(C307,'Preguntas de negocio'!$C$121:$D$127,2,FALSE)</f>
        <v>0.65</v>
      </c>
    </row>
    <row r="308" spans="1:28" x14ac:dyDescent="0.3">
      <c r="A308" s="1">
        <v>45900</v>
      </c>
      <c r="B308" s="2" t="s">
        <v>2625</v>
      </c>
      <c r="C308" s="2" t="s">
        <v>2541</v>
      </c>
      <c r="D308" s="2" t="s">
        <v>2516</v>
      </c>
      <c r="E308" s="2" t="s">
        <v>2534</v>
      </c>
      <c r="F308" s="3">
        <v>174697</v>
      </c>
      <c r="G308" s="3">
        <v>15348</v>
      </c>
      <c r="H308" s="3">
        <v>1313</v>
      </c>
      <c r="I308" s="4">
        <v>8450.42</v>
      </c>
      <c r="J308" s="4">
        <v>102248.99</v>
      </c>
      <c r="K308" s="3">
        <v>1087</v>
      </c>
      <c r="L308" s="2" t="s">
        <v>2539</v>
      </c>
      <c r="M308" s="2" t="s">
        <v>2526</v>
      </c>
      <c r="N308" s="8">
        <f>IFERROR(G308/F308,0)</f>
        <v>8.7854971751089028E-2</v>
      </c>
      <c r="O308" s="8">
        <f>IFERROR(H308/G308,0)</f>
        <v>8.5548605681522019E-2</v>
      </c>
      <c r="P308" s="4">
        <f>IFERROR(I308/G308,0)</f>
        <v>0.55058769872296065</v>
      </c>
      <c r="Q308" s="4">
        <f>IFERROR(I308/H308,0)</f>
        <v>6.435963442498096</v>
      </c>
      <c r="R308" s="12">
        <f>IFERROR(J308/I308,0)</f>
        <v>12.099870775653756</v>
      </c>
      <c r="S308" s="7">
        <f>Tabla_nuevas_columnas[[#This Row],[ROAS]]</f>
        <v>12.099870775653756</v>
      </c>
      <c r="T308" t="str">
        <f>_xlfn.CONCAT(C308,"-",D308)</f>
        <v>Display-México</v>
      </c>
      <c r="U308">
        <f>YEAR(A308)</f>
        <v>2025</v>
      </c>
      <c r="V308">
        <f>MONTH(A308)</f>
        <v>8</v>
      </c>
      <c r="W308" t="str">
        <f>PROPER(TEXT(A308,"mmmm"))</f>
        <v>Agosto</v>
      </c>
      <c r="X308" t="str">
        <f>PROPER(TEXT(A308,"dddd"))</f>
        <v>Domingo</v>
      </c>
      <c r="Y308" t="str" cm="1">
        <f t="array" ref="Y308">_xlfn.IFS(R308&gt;10,"Excelente",R308&gt;=5,"Bueno",R308&gt;=2,"Débil",R308&lt;2,"Deficiente")</f>
        <v>Excelente</v>
      </c>
      <c r="Z308" t="str">
        <f>IF(AND(R308&lt;2,Q308&gt;=100),"Revisar","OK")</f>
        <v>OK</v>
      </c>
      <c r="AA308" s="55">
        <f>_xlfn.XLOOKUP(C308,'Preguntas de negocio'!$C$114:$C$119,'Preguntas de negocio'!$D$114:$D$119,0)</f>
        <v>5</v>
      </c>
      <c r="AB308" s="55">
        <f>VLOOKUP(C308,'Preguntas de negocio'!$C$121:$D$127,2,FALSE)</f>
        <v>0.5</v>
      </c>
    </row>
    <row r="309" spans="1:28" x14ac:dyDescent="0.3">
      <c r="A309" s="1">
        <v>45930</v>
      </c>
      <c r="B309" s="2" t="s">
        <v>2627</v>
      </c>
      <c r="C309" s="2" t="s">
        <v>2527</v>
      </c>
      <c r="D309" s="2" t="s">
        <v>2528</v>
      </c>
      <c r="E309" s="2" t="s">
        <v>2529</v>
      </c>
      <c r="F309" s="3">
        <v>130043</v>
      </c>
      <c r="G309" s="3">
        <v>9316</v>
      </c>
      <c r="H309" s="3">
        <v>907</v>
      </c>
      <c r="I309" s="4">
        <v>15919.54</v>
      </c>
      <c r="J309" s="4">
        <v>77025.84</v>
      </c>
      <c r="K309" s="3">
        <v>518</v>
      </c>
      <c r="L309" s="2" t="s">
        <v>2539</v>
      </c>
      <c r="M309" s="2" t="s">
        <v>2546</v>
      </c>
      <c r="N309" s="8">
        <f>IFERROR(G309/F309,0)</f>
        <v>7.1637842867359261E-2</v>
      </c>
      <c r="O309" s="8">
        <f>IFERROR(H309/G309,0)</f>
        <v>9.7359381708887929E-2</v>
      </c>
      <c r="P309" s="4">
        <f>IFERROR(I309/G309,0)</f>
        <v>1.7088385573207385</v>
      </c>
      <c r="Q309" s="4">
        <f>IFERROR(I309/H309,0)</f>
        <v>17.551863285556781</v>
      </c>
      <c r="R309" s="12">
        <f>IFERROR(J309/I309,0)</f>
        <v>4.8384463370172748</v>
      </c>
      <c r="S309" s="7">
        <f>Tabla_nuevas_columnas[[#This Row],[ROAS]]</f>
        <v>4.8384463370172748</v>
      </c>
      <c r="T309" t="str">
        <f>_xlfn.CONCAT(C309,"-",D309)</f>
        <v>Affiliate-España</v>
      </c>
      <c r="U309">
        <f>YEAR(A309)</f>
        <v>2025</v>
      </c>
      <c r="V309">
        <f>MONTH(A309)</f>
        <v>9</v>
      </c>
      <c r="W309" t="str">
        <f>PROPER(TEXT(A309,"mmmm"))</f>
        <v>Septiembre</v>
      </c>
      <c r="X309" t="str">
        <f>PROPER(TEXT(A309,"dddd"))</f>
        <v>Martes</v>
      </c>
      <c r="Y309" t="str" cm="1">
        <f t="array" ref="Y309">_xlfn.IFS(R309&gt;10,"Excelente",R309&gt;=5,"Bueno",R309&gt;=2,"Débil",R309&lt;2,"Deficiente")</f>
        <v>Débil</v>
      </c>
      <c r="Z309" t="str">
        <f>IF(AND(R309&lt;2,Q309&gt;=100),"Revisar","OK")</f>
        <v>OK</v>
      </c>
      <c r="AA309" s="55">
        <f>_xlfn.XLOOKUP(C309,'Preguntas de negocio'!$C$114:$C$119,'Preguntas de negocio'!$D$114:$D$119,0)</f>
        <v>4.5</v>
      </c>
      <c r="AB309" s="55">
        <f>VLOOKUP(C309,'Preguntas de negocio'!$C$121:$D$127,2,FALSE)</f>
        <v>0.35</v>
      </c>
    </row>
    <row r="310" spans="1:28" x14ac:dyDescent="0.3">
      <c r="A310" s="1">
        <v>45888</v>
      </c>
      <c r="B310" s="2" t="s">
        <v>2637</v>
      </c>
      <c r="C310" s="2" t="s">
        <v>2527</v>
      </c>
      <c r="D310" s="2" t="s">
        <v>2528</v>
      </c>
      <c r="E310" s="2" t="s">
        <v>2517</v>
      </c>
      <c r="F310" s="3">
        <v>166041</v>
      </c>
      <c r="G310" s="3">
        <v>11422</v>
      </c>
      <c r="H310" s="3">
        <v>390</v>
      </c>
      <c r="I310" s="4">
        <v>10675.91</v>
      </c>
      <c r="J310" s="4">
        <v>46445.82</v>
      </c>
      <c r="K310" s="3">
        <v>263</v>
      </c>
      <c r="L310" s="2" t="s">
        <v>2539</v>
      </c>
      <c r="M310" s="2" t="s">
        <v>2524</v>
      </c>
      <c r="N310" s="8">
        <f>IFERROR(G310/F310,0)</f>
        <v>6.8790238555537495E-2</v>
      </c>
      <c r="O310" s="8">
        <f>IFERROR(H310/G310,0)</f>
        <v>3.4144633164069342E-2</v>
      </c>
      <c r="P310" s="4">
        <f>IFERROR(I310/G310,0)</f>
        <v>0.93467956575030642</v>
      </c>
      <c r="Q310" s="4">
        <f>IFERROR(I310/H310,0)</f>
        <v>27.374128205128205</v>
      </c>
      <c r="R310" s="12">
        <f>IFERROR(J310/I310,0)</f>
        <v>4.3505256226401308</v>
      </c>
      <c r="S310" s="7">
        <f>Tabla_nuevas_columnas[[#This Row],[ROAS]]</f>
        <v>4.3505256226401308</v>
      </c>
      <c r="T310" t="str">
        <f>_xlfn.CONCAT(C310,"-",D310)</f>
        <v>Affiliate-España</v>
      </c>
      <c r="U310">
        <f>YEAR(A310)</f>
        <v>2025</v>
      </c>
      <c r="V310">
        <f>MONTH(A310)</f>
        <v>8</v>
      </c>
      <c r="W310" t="str">
        <f>PROPER(TEXT(A310,"mmmm"))</f>
        <v>Agosto</v>
      </c>
      <c r="X310" t="str">
        <f>PROPER(TEXT(A310,"dddd"))</f>
        <v>Martes</v>
      </c>
      <c r="Y310" t="str" cm="1">
        <f t="array" ref="Y310">_xlfn.IFS(R310&gt;10,"Excelente",R310&gt;=5,"Bueno",R310&gt;=2,"Débil",R310&lt;2,"Deficiente")</f>
        <v>Débil</v>
      </c>
      <c r="Z310" t="str">
        <f>IF(AND(R310&lt;2,Q310&gt;=100),"Revisar","OK")</f>
        <v>OK</v>
      </c>
      <c r="AA310" s="55">
        <f>_xlfn.XLOOKUP(C310,'Preguntas de negocio'!$C$114:$C$119,'Preguntas de negocio'!$D$114:$D$119,0)</f>
        <v>4.5</v>
      </c>
      <c r="AB310" s="55">
        <f>VLOOKUP(C310,'Preguntas de negocio'!$C$121:$D$127,2,FALSE)</f>
        <v>0.35</v>
      </c>
    </row>
    <row r="311" spans="1:28" x14ac:dyDescent="0.3">
      <c r="A311" s="1">
        <v>45752</v>
      </c>
      <c r="B311" s="2" t="s">
        <v>2636</v>
      </c>
      <c r="C311" s="2" t="s">
        <v>2533</v>
      </c>
      <c r="D311" s="2" t="s">
        <v>2522</v>
      </c>
      <c r="E311" s="2" t="s">
        <v>2529</v>
      </c>
      <c r="F311" s="3">
        <v>110825</v>
      </c>
      <c r="G311" s="3">
        <v>8228</v>
      </c>
      <c r="H311" s="3">
        <v>665</v>
      </c>
      <c r="I311" s="4">
        <v>6451.84</v>
      </c>
      <c r="J311" s="4">
        <v>39926.01</v>
      </c>
      <c r="K311" s="3">
        <v>519</v>
      </c>
      <c r="L311" s="2" t="s">
        <v>2539</v>
      </c>
      <c r="M311" s="2" t="s">
        <v>2519</v>
      </c>
      <c r="N311" s="8">
        <f>IFERROR(G311/F311,0)</f>
        <v>7.4243176178660053E-2</v>
      </c>
      <c r="O311" s="8">
        <f>IFERROR(H311/G311,0)</f>
        <v>8.0821584832280025E-2</v>
      </c>
      <c r="P311" s="4">
        <f>IFERROR(I311/G311,0)</f>
        <v>0.78413223140495869</v>
      </c>
      <c r="Q311" s="4">
        <f>IFERROR(I311/H311,0)</f>
        <v>9.702015037593986</v>
      </c>
      <c r="R311" s="12">
        <f>IFERROR(J311/I311,0)</f>
        <v>6.1883137213570087</v>
      </c>
      <c r="S311" s="7">
        <f>Tabla_nuevas_columnas[[#This Row],[ROAS]]</f>
        <v>6.1883137213570087</v>
      </c>
      <c r="T311" t="str">
        <f>_xlfn.CONCAT(C311,"-",D311)</f>
        <v>Paid Social-Italia</v>
      </c>
      <c r="U311">
        <f>YEAR(A311)</f>
        <v>2025</v>
      </c>
      <c r="V311">
        <f>MONTH(A311)</f>
        <v>4</v>
      </c>
      <c r="W311" t="str">
        <f>PROPER(TEXT(A311,"mmmm"))</f>
        <v>Abril</v>
      </c>
      <c r="X311" t="str">
        <f>PROPER(TEXT(A311,"dddd"))</f>
        <v>Sábado</v>
      </c>
      <c r="Y311" t="str" cm="1">
        <f t="array" ref="Y311">_xlfn.IFS(R311&gt;10,"Excelente",R311&gt;=5,"Bueno",R311&gt;=2,"Débil",R311&lt;2,"Deficiente")</f>
        <v>Bueno</v>
      </c>
      <c r="Z311" t="str">
        <f>IF(AND(R311&lt;2,Q311&gt;=100),"Revisar","OK")</f>
        <v>OK</v>
      </c>
      <c r="AA311" s="55">
        <f>_xlfn.XLOOKUP(C311,'Preguntas de negocio'!$C$114:$C$119,'Preguntas de negocio'!$D$114:$D$119,0)</f>
        <v>6</v>
      </c>
      <c r="AB311" s="55">
        <f>VLOOKUP(C311,'Preguntas de negocio'!$C$121:$D$127,2,FALSE)</f>
        <v>0.8</v>
      </c>
    </row>
    <row r="312" spans="1:28" x14ac:dyDescent="0.3">
      <c r="A312" s="1">
        <v>45728</v>
      </c>
      <c r="B312" s="2" t="s">
        <v>2630</v>
      </c>
      <c r="C312" s="2" t="s">
        <v>2541</v>
      </c>
      <c r="D312" s="2" t="s">
        <v>2516</v>
      </c>
      <c r="E312" s="2" t="s">
        <v>2529</v>
      </c>
      <c r="F312" s="3">
        <v>148146</v>
      </c>
      <c r="G312" s="3">
        <v>4180</v>
      </c>
      <c r="H312" s="3">
        <v>319</v>
      </c>
      <c r="I312" s="4">
        <v>8153.14</v>
      </c>
      <c r="J312" s="4">
        <v>21959.94</v>
      </c>
      <c r="K312" s="3">
        <v>207</v>
      </c>
      <c r="L312" s="2" t="s">
        <v>2539</v>
      </c>
      <c r="M312" s="2" t="s">
        <v>2537</v>
      </c>
      <c r="N312" s="8">
        <f>IFERROR(G312/F312,0)</f>
        <v>2.8215409123432289E-2</v>
      </c>
      <c r="O312" s="8">
        <f>IFERROR(H312/G312,0)</f>
        <v>7.6315789473684212E-2</v>
      </c>
      <c r="P312" s="4">
        <f>IFERROR(I312/G312,0)</f>
        <v>1.9505119617224882</v>
      </c>
      <c r="Q312" s="4">
        <f>IFERROR(I312/H312,0)</f>
        <v>25.558432601880877</v>
      </c>
      <c r="R312" s="12">
        <f>IFERROR(J312/I312,0)</f>
        <v>2.6934334501799304</v>
      </c>
      <c r="S312" s="7">
        <f>Tabla_nuevas_columnas[[#This Row],[ROAS]]</f>
        <v>2.6934334501799304</v>
      </c>
      <c r="T312" t="str">
        <f>_xlfn.CONCAT(C312,"-",D312)</f>
        <v>Display-México</v>
      </c>
      <c r="U312">
        <f>YEAR(A312)</f>
        <v>2025</v>
      </c>
      <c r="V312">
        <f>MONTH(A312)</f>
        <v>3</v>
      </c>
      <c r="W312" t="str">
        <f>PROPER(TEXT(A312,"mmmm"))</f>
        <v>Marzo</v>
      </c>
      <c r="X312" t="str">
        <f>PROPER(TEXT(A312,"dddd"))</f>
        <v>Miércoles</v>
      </c>
      <c r="Y312" t="str" cm="1">
        <f t="array" ref="Y312">_xlfn.IFS(R312&gt;10,"Excelente",R312&gt;=5,"Bueno",R312&gt;=2,"Débil",R312&lt;2,"Deficiente")</f>
        <v>Débil</v>
      </c>
      <c r="Z312" t="str">
        <f>IF(AND(R312&lt;2,Q312&gt;=100),"Revisar","OK")</f>
        <v>OK</v>
      </c>
      <c r="AA312" s="55">
        <f>_xlfn.XLOOKUP(C312,'Preguntas de negocio'!$C$114:$C$119,'Preguntas de negocio'!$D$114:$D$119,0)</f>
        <v>5</v>
      </c>
      <c r="AB312" s="55">
        <f>VLOOKUP(C312,'Preguntas de negocio'!$C$121:$D$127,2,FALSE)</f>
        <v>0.5</v>
      </c>
    </row>
    <row r="313" spans="1:28" x14ac:dyDescent="0.3">
      <c r="A313" s="1">
        <v>45750</v>
      </c>
      <c r="B313" s="2" t="s">
        <v>2615</v>
      </c>
      <c r="C313" s="2" t="s">
        <v>2527</v>
      </c>
      <c r="D313" s="2" t="s">
        <v>2528</v>
      </c>
      <c r="E313" s="2" t="s">
        <v>2517</v>
      </c>
      <c r="F313" s="3">
        <v>135641</v>
      </c>
      <c r="G313" s="3">
        <v>4429</v>
      </c>
      <c r="H313" s="3">
        <v>565</v>
      </c>
      <c r="I313" s="4">
        <v>3940.34</v>
      </c>
      <c r="J313" s="4">
        <v>89461.53</v>
      </c>
      <c r="K313" s="3">
        <v>364</v>
      </c>
      <c r="L313" s="2" t="s">
        <v>2523</v>
      </c>
      <c r="M313" s="2" t="s">
        <v>2537</v>
      </c>
      <c r="N313" s="8">
        <f>IFERROR(G313/F313,0)</f>
        <v>3.2652369121430838E-2</v>
      </c>
      <c r="O313" s="8">
        <f>IFERROR(H313/G313,0)</f>
        <v>0.12756829984195078</v>
      </c>
      <c r="P313" s="4">
        <f>IFERROR(I313/G313,0)</f>
        <v>0.88966809663580948</v>
      </c>
      <c r="Q313" s="4">
        <f>IFERROR(I313/H313,0)</f>
        <v>6.9740530973451333</v>
      </c>
      <c r="R313" s="12">
        <f>IFERROR(J313/I313,0)</f>
        <v>22.704012851682847</v>
      </c>
      <c r="S313" s="7">
        <f>Tabla_nuevas_columnas[[#This Row],[ROAS]]</f>
        <v>22.704012851682847</v>
      </c>
      <c r="T313" t="str">
        <f>_xlfn.CONCAT(C313,"-",D313)</f>
        <v>Affiliate-España</v>
      </c>
      <c r="U313">
        <f>YEAR(A313)</f>
        <v>2025</v>
      </c>
      <c r="V313">
        <f>MONTH(A313)</f>
        <v>4</v>
      </c>
      <c r="W313" t="str">
        <f>PROPER(TEXT(A313,"mmmm"))</f>
        <v>Abril</v>
      </c>
      <c r="X313" t="str">
        <f>PROPER(TEXT(A313,"dddd"))</f>
        <v>Jueves</v>
      </c>
      <c r="Y313" t="str" cm="1">
        <f t="array" ref="Y313">_xlfn.IFS(R313&gt;10,"Excelente",R313&gt;=5,"Bueno",R313&gt;=2,"Débil",R313&lt;2,"Deficiente")</f>
        <v>Excelente</v>
      </c>
      <c r="Z313" t="str">
        <f>IF(AND(R313&lt;2,Q313&gt;=100),"Revisar","OK")</f>
        <v>OK</v>
      </c>
      <c r="AA313" s="55">
        <f>_xlfn.XLOOKUP(C313,'Preguntas de negocio'!$C$114:$C$119,'Preguntas de negocio'!$D$114:$D$119,0)</f>
        <v>4.5</v>
      </c>
      <c r="AB313" s="55">
        <f>VLOOKUP(C313,'Preguntas de negocio'!$C$121:$D$127,2,FALSE)</f>
        <v>0.35</v>
      </c>
    </row>
    <row r="314" spans="1:28" x14ac:dyDescent="0.3">
      <c r="A314" s="1">
        <v>45850</v>
      </c>
      <c r="B314" s="2" t="s">
        <v>2628</v>
      </c>
      <c r="C314" s="2" t="s">
        <v>2543</v>
      </c>
      <c r="D314" s="2" t="s">
        <v>2528</v>
      </c>
      <c r="E314" s="2" t="s">
        <v>2529</v>
      </c>
      <c r="F314" s="3">
        <v>72739</v>
      </c>
      <c r="G314" s="3">
        <v>749</v>
      </c>
      <c r="H314" s="3">
        <v>9</v>
      </c>
      <c r="I314" s="4">
        <v>127.87</v>
      </c>
      <c r="J314" s="4">
        <v>1086.94</v>
      </c>
      <c r="K314" s="3">
        <v>5</v>
      </c>
      <c r="L314" s="2" t="s">
        <v>2518</v>
      </c>
      <c r="M314" s="2" t="s">
        <v>2519</v>
      </c>
      <c r="N314" s="8">
        <f>IFERROR(G314/F314,0)</f>
        <v>1.0297089594302918E-2</v>
      </c>
      <c r="O314" s="8">
        <f>IFERROR(H314/G314,0)</f>
        <v>1.2016021361815754E-2</v>
      </c>
      <c r="P314" s="4">
        <f>IFERROR(I314/G314,0)</f>
        <v>0.17072096128170894</v>
      </c>
      <c r="Q314" s="4">
        <f>IFERROR(I314/H314,0)</f>
        <v>14.207777777777778</v>
      </c>
      <c r="R314" s="12">
        <f>IFERROR(J314/I314,0)</f>
        <v>8.5003519199186677</v>
      </c>
      <c r="S314" s="7">
        <f>Tabla_nuevas_columnas[[#This Row],[ROAS]]</f>
        <v>8.5003519199186677</v>
      </c>
      <c r="T314" t="str">
        <f>_xlfn.CONCAT(C314,"-",D314)</f>
        <v>Organic Social-España</v>
      </c>
      <c r="U314">
        <f>YEAR(A314)</f>
        <v>2025</v>
      </c>
      <c r="V314">
        <f>MONTH(A314)</f>
        <v>7</v>
      </c>
      <c r="W314" t="str">
        <f>PROPER(TEXT(A314,"mmmm"))</f>
        <v>Julio</v>
      </c>
      <c r="X314" t="str">
        <f>PROPER(TEXT(A314,"dddd"))</f>
        <v>Sábado</v>
      </c>
      <c r="Y314" t="str" cm="1">
        <f t="array" ref="Y314">_xlfn.IFS(R314&gt;10,"Excelente",R314&gt;=5,"Bueno",R314&gt;=2,"Débil",R314&lt;2,"Deficiente")</f>
        <v>Bueno</v>
      </c>
      <c r="Z314" t="str">
        <f>IF(AND(R314&lt;2,Q314&gt;=100),"Revisar","OK")</f>
        <v>OK</v>
      </c>
      <c r="AA314" s="55">
        <f>_xlfn.XLOOKUP(C314,'Preguntas de negocio'!$C$114:$C$119,'Preguntas de negocio'!$D$114:$D$119,0)</f>
        <v>4</v>
      </c>
      <c r="AB314" s="55">
        <f>VLOOKUP(C314,'Preguntas de negocio'!$C$121:$D$127,2,FALSE)</f>
        <v>0.95</v>
      </c>
    </row>
    <row r="315" spans="1:28" x14ac:dyDescent="0.3">
      <c r="A315" s="1">
        <v>45935</v>
      </c>
      <c r="B315" s="2" t="s">
        <v>2615</v>
      </c>
      <c r="C315" s="2" t="s">
        <v>2533</v>
      </c>
      <c r="D315" s="2" t="s">
        <v>2531</v>
      </c>
      <c r="E315" s="2" t="s">
        <v>2529</v>
      </c>
      <c r="F315" s="3">
        <v>102617</v>
      </c>
      <c r="G315" s="3">
        <v>2122</v>
      </c>
      <c r="H315" s="3">
        <v>138</v>
      </c>
      <c r="I315" s="4">
        <v>296.85000000000002</v>
      </c>
      <c r="J315" s="4">
        <v>23658.6</v>
      </c>
      <c r="K315" s="3">
        <v>83</v>
      </c>
      <c r="L315" s="2" t="s">
        <v>2539</v>
      </c>
      <c r="M315" s="2" t="s">
        <v>2526</v>
      </c>
      <c r="N315" s="8">
        <f>IFERROR(G315/F315,0)</f>
        <v>2.0678834890905017E-2</v>
      </c>
      <c r="O315" s="8">
        <f>IFERROR(H315/G315,0)</f>
        <v>6.5032987747408108E-2</v>
      </c>
      <c r="P315" s="4">
        <f>IFERROR(I315/G315,0)</f>
        <v>0.13989161168708766</v>
      </c>
      <c r="Q315" s="4">
        <f>IFERROR(I315/H315,0)</f>
        <v>2.1510869565217394</v>
      </c>
      <c r="R315" s="12">
        <f>IFERROR(J315/I315,0)</f>
        <v>79.698837796867096</v>
      </c>
      <c r="S315" s="7">
        <f>Tabla_nuevas_columnas[[#This Row],[ROAS]]</f>
        <v>79.698837796867096</v>
      </c>
      <c r="T315" t="str">
        <f>_xlfn.CONCAT(C315,"-",D315)</f>
        <v>Paid Social-Portugal</v>
      </c>
      <c r="U315">
        <f>YEAR(A315)</f>
        <v>2025</v>
      </c>
      <c r="V315">
        <f>MONTH(A315)</f>
        <v>10</v>
      </c>
      <c r="W315" t="str">
        <f>PROPER(TEXT(A315,"mmmm"))</f>
        <v>Octubre</v>
      </c>
      <c r="X315" t="str">
        <f>PROPER(TEXT(A315,"dddd"))</f>
        <v>Domingo</v>
      </c>
      <c r="Y315" t="str" cm="1">
        <f t="array" ref="Y315">_xlfn.IFS(R315&gt;10,"Excelente",R315&gt;=5,"Bueno",R315&gt;=2,"Débil",R315&lt;2,"Deficiente")</f>
        <v>Excelente</v>
      </c>
      <c r="Z315" t="str">
        <f>IF(AND(R315&lt;2,Q315&gt;=100),"Revisar","OK")</f>
        <v>OK</v>
      </c>
      <c r="AA315" s="55">
        <f>_xlfn.XLOOKUP(C315,'Preguntas de negocio'!$C$114:$C$119,'Preguntas de negocio'!$D$114:$D$119,0)</f>
        <v>6</v>
      </c>
      <c r="AB315" s="55">
        <f>VLOOKUP(C315,'Preguntas de negocio'!$C$121:$D$127,2,FALSE)</f>
        <v>0.8</v>
      </c>
    </row>
    <row r="316" spans="1:28" x14ac:dyDescent="0.3">
      <c r="A316" s="1">
        <v>45966</v>
      </c>
      <c r="B316" s="2" t="s">
        <v>2636</v>
      </c>
      <c r="C316" s="2" t="s">
        <v>2515</v>
      </c>
      <c r="D316" s="2" t="s">
        <v>2528</v>
      </c>
      <c r="E316" s="2" t="s">
        <v>2534</v>
      </c>
      <c r="F316" s="3">
        <v>65015</v>
      </c>
      <c r="G316" s="3">
        <v>579</v>
      </c>
      <c r="H316" s="3">
        <v>6</v>
      </c>
      <c r="I316" s="4">
        <v>1169.0899999999999</v>
      </c>
      <c r="J316" s="4">
        <v>1249.31</v>
      </c>
      <c r="K316" s="3">
        <v>4</v>
      </c>
      <c r="L316" s="2" t="s">
        <v>2536</v>
      </c>
      <c r="M316" s="2" t="s">
        <v>2519</v>
      </c>
      <c r="N316" s="8">
        <f>IFERROR(G316/F316,0)</f>
        <v>8.9056371606552331E-3</v>
      </c>
      <c r="O316" s="8">
        <f>IFERROR(H316/G316,0)</f>
        <v>1.0362694300518135E-2</v>
      </c>
      <c r="P316" s="4">
        <f>IFERROR(I316/G316,0)</f>
        <v>2.0191537132987909</v>
      </c>
      <c r="Q316" s="4">
        <f>IFERROR(I316/H316,0)</f>
        <v>194.84833333333333</v>
      </c>
      <c r="R316" s="12">
        <f>IFERROR(J316/I316,0)</f>
        <v>1.0686174717087649</v>
      </c>
      <c r="S316" s="7">
        <f>Tabla_nuevas_columnas[[#This Row],[ROAS]]</f>
        <v>1.0686174717087649</v>
      </c>
      <c r="T316" t="str">
        <f>_xlfn.CONCAT(C316,"-",D316)</f>
        <v>Email-España</v>
      </c>
      <c r="U316">
        <f>YEAR(A316)</f>
        <v>2025</v>
      </c>
      <c r="V316">
        <f>MONTH(A316)</f>
        <v>11</v>
      </c>
      <c r="W316" t="str">
        <f>PROPER(TEXT(A316,"mmmm"))</f>
        <v>Noviembre</v>
      </c>
      <c r="X316" t="str">
        <f>PROPER(TEXT(A316,"dddd"))</f>
        <v>Miércoles</v>
      </c>
      <c r="Y316" t="str" cm="1">
        <f t="array" ref="Y316">_xlfn.IFS(R316&gt;10,"Excelente",R316&gt;=5,"Bueno",R316&gt;=2,"Débil",R316&lt;2,"Deficiente")</f>
        <v>Deficiente</v>
      </c>
      <c r="Z316" t="str">
        <f>IF(AND(R316&lt;2,Q316&gt;=100),"Revisar","OK")</f>
        <v>Revisar</v>
      </c>
      <c r="AA316" s="55">
        <f>_xlfn.XLOOKUP(C316,'Preguntas de negocio'!$C$114:$C$119,'Preguntas de negocio'!$D$114:$D$119,0)</f>
        <v>5.5</v>
      </c>
      <c r="AB316" s="55">
        <f>VLOOKUP(C316,'Preguntas de negocio'!$C$121:$D$127,2,FALSE)</f>
        <v>0.65</v>
      </c>
    </row>
    <row r="317" spans="1:28" x14ac:dyDescent="0.3">
      <c r="A317" s="1">
        <v>45718</v>
      </c>
      <c r="B317" s="2" t="s">
        <v>2633</v>
      </c>
      <c r="C317" s="2" t="s">
        <v>2527</v>
      </c>
      <c r="D317" s="2" t="s">
        <v>2531</v>
      </c>
      <c r="E317" s="2" t="s">
        <v>2529</v>
      </c>
      <c r="F317" s="3">
        <v>170552</v>
      </c>
      <c r="G317" s="3">
        <v>5116</v>
      </c>
      <c r="H317" s="3">
        <v>592</v>
      </c>
      <c r="I317" s="4">
        <v>1865.32</v>
      </c>
      <c r="J317" s="4">
        <v>100739.53</v>
      </c>
      <c r="K317" s="3">
        <v>377</v>
      </c>
      <c r="L317" s="2" t="s">
        <v>2539</v>
      </c>
      <c r="M317" s="2" t="s">
        <v>2546</v>
      </c>
      <c r="N317" s="8">
        <f>IFERROR(G317/F317,0)</f>
        <v>2.9996716543927951E-2</v>
      </c>
      <c r="O317" s="8">
        <f>IFERROR(H317/G317,0)</f>
        <v>0.11571540265832682</v>
      </c>
      <c r="P317" s="4">
        <f>IFERROR(I317/G317,0)</f>
        <v>0.36460516028146989</v>
      </c>
      <c r="Q317" s="4">
        <f>IFERROR(I317/H317,0)</f>
        <v>3.1508783783783785</v>
      </c>
      <c r="R317" s="12">
        <f>IFERROR(J317/I317,0)</f>
        <v>54.006567237792979</v>
      </c>
      <c r="S317" s="7">
        <f>Tabla_nuevas_columnas[[#This Row],[ROAS]]</f>
        <v>54.006567237792979</v>
      </c>
      <c r="T317" t="str">
        <f>_xlfn.CONCAT(C317,"-",D317)</f>
        <v>Affiliate-Portugal</v>
      </c>
      <c r="U317">
        <f>YEAR(A317)</f>
        <v>2025</v>
      </c>
      <c r="V317">
        <f>MONTH(A317)</f>
        <v>3</v>
      </c>
      <c r="W317" t="str">
        <f>PROPER(TEXT(A317,"mmmm"))</f>
        <v>Marzo</v>
      </c>
      <c r="X317" t="str">
        <f>PROPER(TEXT(A317,"dddd"))</f>
        <v>Domingo</v>
      </c>
      <c r="Y317" t="str" cm="1">
        <f t="array" ref="Y317">_xlfn.IFS(R317&gt;10,"Excelente",R317&gt;=5,"Bueno",R317&gt;=2,"Débil",R317&lt;2,"Deficiente")</f>
        <v>Excelente</v>
      </c>
      <c r="Z317" t="str">
        <f>IF(AND(R317&lt;2,Q317&gt;=100),"Revisar","OK")</f>
        <v>OK</v>
      </c>
      <c r="AA317" s="55">
        <f>_xlfn.XLOOKUP(C317,'Preguntas de negocio'!$C$114:$C$119,'Preguntas de negocio'!$D$114:$D$119,0)</f>
        <v>4.5</v>
      </c>
      <c r="AB317" s="55">
        <f>VLOOKUP(C317,'Preguntas de negocio'!$C$121:$D$127,2,FALSE)</f>
        <v>0.35</v>
      </c>
    </row>
    <row r="318" spans="1:28" x14ac:dyDescent="0.3">
      <c r="A318" s="1">
        <v>46004</v>
      </c>
      <c r="B318" s="2" t="s">
        <v>2627</v>
      </c>
      <c r="C318" s="2" t="s">
        <v>2541</v>
      </c>
      <c r="D318" s="2" t="s">
        <v>2522</v>
      </c>
      <c r="E318" s="2" t="s">
        <v>2517</v>
      </c>
      <c r="F318" s="3">
        <v>24494</v>
      </c>
      <c r="G318" s="3">
        <v>230</v>
      </c>
      <c r="H318" s="3">
        <v>29</v>
      </c>
      <c r="I318" s="4">
        <v>419.93</v>
      </c>
      <c r="J318" s="4">
        <v>2323.5100000000002</v>
      </c>
      <c r="K318" s="3">
        <v>21</v>
      </c>
      <c r="L318" s="2" t="s">
        <v>2539</v>
      </c>
      <c r="M318" s="2" t="s">
        <v>2519</v>
      </c>
      <c r="N318" s="8">
        <f>IFERROR(G318/F318,0)</f>
        <v>9.3900547072752506E-3</v>
      </c>
      <c r="O318" s="8">
        <f>IFERROR(H318/G318,0)</f>
        <v>0.12608695652173912</v>
      </c>
      <c r="P318" s="4">
        <f>IFERROR(I318/G318,0)</f>
        <v>1.8257826086956521</v>
      </c>
      <c r="Q318" s="4">
        <f>IFERROR(I318/H318,0)</f>
        <v>14.480344827586206</v>
      </c>
      <c r="R318" s="12">
        <f>IFERROR(J318/I318,0)</f>
        <v>5.5330888481413574</v>
      </c>
      <c r="S318" s="7">
        <f>Tabla_nuevas_columnas[[#This Row],[ROAS]]</f>
        <v>5.5330888481413574</v>
      </c>
      <c r="T318" t="str">
        <f>_xlfn.CONCAT(C318,"-",D318)</f>
        <v>Display-Italia</v>
      </c>
      <c r="U318">
        <f>YEAR(A318)</f>
        <v>2025</v>
      </c>
      <c r="V318">
        <f>MONTH(A318)</f>
        <v>12</v>
      </c>
      <c r="W318" t="str">
        <f>PROPER(TEXT(A318,"mmmm"))</f>
        <v>Diciembre</v>
      </c>
      <c r="X318" t="str">
        <f>PROPER(TEXT(A318,"dddd"))</f>
        <v>Sábado</v>
      </c>
      <c r="Y318" t="str" cm="1">
        <f t="array" ref="Y318">_xlfn.IFS(R318&gt;10,"Excelente",R318&gt;=5,"Bueno",R318&gt;=2,"Débil",R318&lt;2,"Deficiente")</f>
        <v>Bueno</v>
      </c>
      <c r="Z318" t="str">
        <f>IF(AND(R318&lt;2,Q318&gt;=100),"Revisar","OK")</f>
        <v>OK</v>
      </c>
      <c r="AA318" s="55">
        <f>_xlfn.XLOOKUP(C318,'Preguntas de negocio'!$C$114:$C$119,'Preguntas de negocio'!$D$114:$D$119,0)</f>
        <v>5</v>
      </c>
      <c r="AB318" s="55">
        <f>VLOOKUP(C318,'Preguntas de negocio'!$C$121:$D$127,2,FALSE)</f>
        <v>0.5</v>
      </c>
    </row>
    <row r="319" spans="1:28" x14ac:dyDescent="0.3">
      <c r="A319" s="1">
        <v>45791</v>
      </c>
      <c r="B319" s="2" t="s">
        <v>2633</v>
      </c>
      <c r="C319" s="2" t="s">
        <v>2515</v>
      </c>
      <c r="D319" s="2" t="s">
        <v>2528</v>
      </c>
      <c r="E319" s="2" t="s">
        <v>2534</v>
      </c>
      <c r="F319" s="3">
        <v>42882</v>
      </c>
      <c r="G319" s="3">
        <v>316</v>
      </c>
      <c r="H319" s="3">
        <v>33</v>
      </c>
      <c r="I319" s="4">
        <v>258.41000000000003</v>
      </c>
      <c r="J319" s="4">
        <v>1087.1099999999999</v>
      </c>
      <c r="K319" s="3">
        <v>27</v>
      </c>
      <c r="L319" s="2" t="s">
        <v>2518</v>
      </c>
      <c r="M319" s="2" t="s">
        <v>2519</v>
      </c>
      <c r="N319" s="8">
        <f>IFERROR(G319/F319,0)</f>
        <v>7.3690592789515414E-3</v>
      </c>
      <c r="O319" s="8">
        <f>IFERROR(H319/G319,0)</f>
        <v>0.10443037974683544</v>
      </c>
      <c r="P319" s="4">
        <f>IFERROR(I319/G319,0)</f>
        <v>0.81775316455696212</v>
      </c>
      <c r="Q319" s="4">
        <f>IFERROR(I319/H319,0)</f>
        <v>7.830606060606061</v>
      </c>
      <c r="R319" s="12">
        <f>IFERROR(J319/I319,0)</f>
        <v>4.206919236871637</v>
      </c>
      <c r="S319" s="7">
        <f>Tabla_nuevas_columnas[[#This Row],[ROAS]]</f>
        <v>4.206919236871637</v>
      </c>
      <c r="T319" t="str">
        <f>_xlfn.CONCAT(C319,"-",D319)</f>
        <v>Email-España</v>
      </c>
      <c r="U319">
        <f>YEAR(A319)</f>
        <v>2025</v>
      </c>
      <c r="V319">
        <f>MONTH(A319)</f>
        <v>5</v>
      </c>
      <c r="W319" t="str">
        <f>PROPER(TEXT(A319,"mmmm"))</f>
        <v>Mayo</v>
      </c>
      <c r="X319" t="str">
        <f>PROPER(TEXT(A319,"dddd"))</f>
        <v>Miércoles</v>
      </c>
      <c r="Y319" t="str" cm="1">
        <f t="array" ref="Y319">_xlfn.IFS(R319&gt;10,"Excelente",R319&gt;=5,"Bueno",R319&gt;=2,"Débil",R319&lt;2,"Deficiente")</f>
        <v>Débil</v>
      </c>
      <c r="Z319" t="str">
        <f>IF(AND(R319&lt;2,Q319&gt;=100),"Revisar","OK")</f>
        <v>OK</v>
      </c>
      <c r="AA319" s="55">
        <f>_xlfn.XLOOKUP(C319,'Preguntas de negocio'!$C$114:$C$119,'Preguntas de negocio'!$D$114:$D$119,0)</f>
        <v>5.5</v>
      </c>
      <c r="AB319" s="55">
        <f>VLOOKUP(C319,'Preguntas de negocio'!$C$121:$D$127,2,FALSE)</f>
        <v>0.65</v>
      </c>
    </row>
    <row r="320" spans="1:28" x14ac:dyDescent="0.3">
      <c r="A320" s="1">
        <v>46020</v>
      </c>
      <c r="B320" s="2" t="s">
        <v>2637</v>
      </c>
      <c r="C320" s="2" t="s">
        <v>2521</v>
      </c>
      <c r="D320" s="2" t="s">
        <v>2516</v>
      </c>
      <c r="E320" s="2" t="s">
        <v>2517</v>
      </c>
      <c r="F320" s="3">
        <v>14564</v>
      </c>
      <c r="G320" s="3">
        <v>776</v>
      </c>
      <c r="H320" s="3">
        <v>28</v>
      </c>
      <c r="I320" s="4">
        <v>499.71</v>
      </c>
      <c r="J320" s="4">
        <v>2449.94</v>
      </c>
      <c r="K320" s="3">
        <v>20</v>
      </c>
      <c r="L320" s="2" t="s">
        <v>2539</v>
      </c>
      <c r="M320" s="2" t="s">
        <v>2546</v>
      </c>
      <c r="N320" s="8">
        <f>IFERROR(G320/F320,0)</f>
        <v>5.3282065366657513E-2</v>
      </c>
      <c r="O320" s="8">
        <f>IFERROR(H320/G320,0)</f>
        <v>3.608247422680412E-2</v>
      </c>
      <c r="P320" s="4">
        <f>IFERROR(I320/G320,0)</f>
        <v>0.64395618556701029</v>
      </c>
      <c r="Q320" s="4">
        <f>IFERROR(I320/H320,0)</f>
        <v>17.846785714285712</v>
      </c>
      <c r="R320" s="12">
        <f>IFERROR(J320/I320,0)</f>
        <v>4.9027235796762128</v>
      </c>
      <c r="S320" s="7">
        <f>Tabla_nuevas_columnas[[#This Row],[ROAS]]</f>
        <v>4.9027235796762128</v>
      </c>
      <c r="T320" t="str">
        <f>_xlfn.CONCAT(C320,"-",D320)</f>
        <v>Paid Search-México</v>
      </c>
      <c r="U320">
        <f>YEAR(A320)</f>
        <v>2025</v>
      </c>
      <c r="V320">
        <f>MONTH(A320)</f>
        <v>12</v>
      </c>
      <c r="W320" t="str">
        <f>PROPER(TEXT(A320,"mmmm"))</f>
        <v>Diciembre</v>
      </c>
      <c r="X320" t="str">
        <f>PROPER(TEXT(A320,"dddd"))</f>
        <v>Lunes</v>
      </c>
      <c r="Y320" t="str" cm="1">
        <f t="array" ref="Y320">_xlfn.IFS(R320&gt;10,"Excelente",R320&gt;=5,"Bueno",R320&gt;=2,"Débil",R320&lt;2,"Deficiente")</f>
        <v>Débil</v>
      </c>
      <c r="Z320" t="str">
        <f>IF(AND(R320&lt;2,Q320&gt;=100),"Revisar","OK")</f>
        <v>OK</v>
      </c>
      <c r="AA320" s="55">
        <f>_xlfn.XLOOKUP(C320,'Preguntas de negocio'!$C$114:$C$119,'Preguntas de negocio'!$D$114:$D$119,0)</f>
        <v>5</v>
      </c>
      <c r="AB320" s="55">
        <f>VLOOKUP(C320,'Preguntas de negocio'!$C$121:$D$127,2,FALSE)</f>
        <v>1.1000000000000001</v>
      </c>
    </row>
    <row r="321" spans="1:28" x14ac:dyDescent="0.3">
      <c r="A321" s="1">
        <v>45951</v>
      </c>
      <c r="B321" s="2" t="s">
        <v>2635</v>
      </c>
      <c r="C321" s="2" t="s">
        <v>2543</v>
      </c>
      <c r="D321" s="2" t="s">
        <v>2531</v>
      </c>
      <c r="E321" s="2" t="s">
        <v>2517</v>
      </c>
      <c r="F321" s="3">
        <v>113475</v>
      </c>
      <c r="G321" s="3">
        <v>560</v>
      </c>
      <c r="H321" s="3">
        <v>28</v>
      </c>
      <c r="I321" s="4">
        <v>705.42</v>
      </c>
      <c r="J321" s="4">
        <v>4685.83</v>
      </c>
      <c r="K321" s="3">
        <v>18</v>
      </c>
      <c r="L321" s="2" t="s">
        <v>2536</v>
      </c>
      <c r="M321" s="2" t="s">
        <v>2524</v>
      </c>
      <c r="N321" s="8">
        <f>IFERROR(G321/F321,0)</f>
        <v>4.9350077109495483E-3</v>
      </c>
      <c r="O321" s="8">
        <f>IFERROR(H321/G321,0)</f>
        <v>0.05</v>
      </c>
      <c r="P321" s="4">
        <f>IFERROR(I321/G321,0)</f>
        <v>1.2596785714285714</v>
      </c>
      <c r="Q321" s="4">
        <f>IFERROR(I321/H321,0)</f>
        <v>25.193571428571428</v>
      </c>
      <c r="R321" s="12">
        <f>IFERROR(J321/I321,0)</f>
        <v>6.6426100762666218</v>
      </c>
      <c r="S321" s="7">
        <f>Tabla_nuevas_columnas[[#This Row],[ROAS]]</f>
        <v>6.6426100762666218</v>
      </c>
      <c r="T321" t="str">
        <f>_xlfn.CONCAT(C321,"-",D321)</f>
        <v>Organic Social-Portugal</v>
      </c>
      <c r="U321">
        <f>YEAR(A321)</f>
        <v>2025</v>
      </c>
      <c r="V321">
        <f>MONTH(A321)</f>
        <v>10</v>
      </c>
      <c r="W321" t="str">
        <f>PROPER(TEXT(A321,"mmmm"))</f>
        <v>Octubre</v>
      </c>
      <c r="X321" t="str">
        <f>PROPER(TEXT(A321,"dddd"))</f>
        <v>Martes</v>
      </c>
      <c r="Y321" t="str" cm="1">
        <f t="array" ref="Y321">_xlfn.IFS(R321&gt;10,"Excelente",R321&gt;=5,"Bueno",R321&gt;=2,"Débil",R321&lt;2,"Deficiente")</f>
        <v>Bueno</v>
      </c>
      <c r="Z321" t="str">
        <f>IF(AND(R321&lt;2,Q321&gt;=100),"Revisar","OK")</f>
        <v>OK</v>
      </c>
      <c r="AA321" s="55">
        <f>_xlfn.XLOOKUP(C321,'Preguntas de negocio'!$C$114:$C$119,'Preguntas de negocio'!$D$114:$D$119,0)</f>
        <v>4</v>
      </c>
      <c r="AB321" s="55">
        <f>VLOOKUP(C321,'Preguntas de negocio'!$C$121:$D$127,2,FALSE)</f>
        <v>0.95</v>
      </c>
    </row>
    <row r="322" spans="1:28" x14ac:dyDescent="0.3">
      <c r="A322" s="1">
        <v>46022</v>
      </c>
      <c r="B322" s="2" t="s">
        <v>2622</v>
      </c>
      <c r="C322" s="2" t="s">
        <v>2527</v>
      </c>
      <c r="D322" s="2" t="s">
        <v>2516</v>
      </c>
      <c r="E322" s="2" t="s">
        <v>2529</v>
      </c>
      <c r="F322" s="3">
        <v>26549</v>
      </c>
      <c r="G322" s="3">
        <v>1150</v>
      </c>
      <c r="H322" s="3">
        <v>124</v>
      </c>
      <c r="I322" s="4">
        <v>521.91</v>
      </c>
      <c r="J322" s="4">
        <v>23758.33</v>
      </c>
      <c r="K322" s="3">
        <v>74</v>
      </c>
      <c r="L322" s="2" t="s">
        <v>2539</v>
      </c>
      <c r="M322" s="2" t="s">
        <v>2526</v>
      </c>
      <c r="N322" s="8">
        <f>IFERROR(G322/F322,0)</f>
        <v>4.331613243436664E-2</v>
      </c>
      <c r="O322" s="8">
        <f>IFERROR(H322/G322,0)</f>
        <v>0.10782608695652174</v>
      </c>
      <c r="P322" s="4">
        <f>IFERROR(I322/G322,0)</f>
        <v>0.45383478260869564</v>
      </c>
      <c r="Q322" s="4">
        <f>IFERROR(I322/H322,0)</f>
        <v>4.2089516129032258</v>
      </c>
      <c r="R322" s="12">
        <f>IFERROR(J322/I322,0)</f>
        <v>45.521890747446882</v>
      </c>
      <c r="S322" s="7">
        <f>Tabla_nuevas_columnas[[#This Row],[ROAS]]</f>
        <v>45.521890747446882</v>
      </c>
      <c r="T322" t="str">
        <f>_xlfn.CONCAT(C322,"-",D322)</f>
        <v>Affiliate-México</v>
      </c>
      <c r="U322">
        <f>YEAR(A322)</f>
        <v>2025</v>
      </c>
      <c r="V322">
        <f>MONTH(A322)</f>
        <v>12</v>
      </c>
      <c r="W322" t="str">
        <f>PROPER(TEXT(A322,"mmmm"))</f>
        <v>Diciembre</v>
      </c>
      <c r="X322" t="str">
        <f>PROPER(TEXT(A322,"dddd"))</f>
        <v>Miércoles</v>
      </c>
      <c r="Y322" t="str" cm="1">
        <f t="array" ref="Y322">_xlfn.IFS(R322&gt;10,"Excelente",R322&gt;=5,"Bueno",R322&gt;=2,"Débil",R322&lt;2,"Deficiente")</f>
        <v>Excelente</v>
      </c>
      <c r="Z322" t="str">
        <f>IF(AND(R322&lt;2,Q322&gt;=100),"Revisar","OK")</f>
        <v>OK</v>
      </c>
      <c r="AA322" s="55">
        <f>_xlfn.XLOOKUP(C322,'Preguntas de negocio'!$C$114:$C$119,'Preguntas de negocio'!$D$114:$D$119,0)</f>
        <v>4.5</v>
      </c>
      <c r="AB322" s="55">
        <f>VLOOKUP(C322,'Preguntas de negocio'!$C$121:$D$127,2,FALSE)</f>
        <v>0.35</v>
      </c>
    </row>
    <row r="323" spans="1:28" x14ac:dyDescent="0.3">
      <c r="A323" s="1">
        <v>45726</v>
      </c>
      <c r="B323" s="2" t="s">
        <v>2615</v>
      </c>
      <c r="C323" s="2" t="s">
        <v>2543</v>
      </c>
      <c r="D323" s="2" t="s">
        <v>2528</v>
      </c>
      <c r="E323" s="2" t="s">
        <v>2517</v>
      </c>
      <c r="F323" s="3">
        <v>84112</v>
      </c>
      <c r="G323" s="3">
        <v>4169</v>
      </c>
      <c r="H323" s="3">
        <v>542</v>
      </c>
      <c r="I323" s="4">
        <v>7974.51</v>
      </c>
      <c r="J323" s="4">
        <v>45652.05</v>
      </c>
      <c r="K323" s="3">
        <v>361</v>
      </c>
      <c r="L323" s="2" t="s">
        <v>2523</v>
      </c>
      <c r="M323" s="2" t="s">
        <v>2546</v>
      </c>
      <c r="N323" s="8">
        <f>IFERROR(G323/F323,0)</f>
        <v>4.9564865893094924E-2</v>
      </c>
      <c r="O323" s="8">
        <f>IFERROR(H323/G323,0)</f>
        <v>0.13000719597025664</v>
      </c>
      <c r="P323" s="4">
        <f>IFERROR(I323/G323,0)</f>
        <v>1.9128112257136005</v>
      </c>
      <c r="Q323" s="4">
        <f>IFERROR(I323/H323,0)</f>
        <v>14.713118081180813</v>
      </c>
      <c r="R323" s="12">
        <f>IFERROR(J323/I323,0)</f>
        <v>5.7247467242501422</v>
      </c>
      <c r="S323" s="7">
        <f>Tabla_nuevas_columnas[[#This Row],[ROAS]]</f>
        <v>5.7247467242501422</v>
      </c>
      <c r="T323" t="str">
        <f>_xlfn.CONCAT(C323,"-",D323)</f>
        <v>Organic Social-España</v>
      </c>
      <c r="U323">
        <f>YEAR(A323)</f>
        <v>2025</v>
      </c>
      <c r="V323">
        <f>MONTH(A323)</f>
        <v>3</v>
      </c>
      <c r="W323" t="str">
        <f>PROPER(TEXT(A323,"mmmm"))</f>
        <v>Marzo</v>
      </c>
      <c r="X323" t="str">
        <f>PROPER(TEXT(A323,"dddd"))</f>
        <v>Lunes</v>
      </c>
      <c r="Y323" t="str" cm="1">
        <f t="array" ref="Y323">_xlfn.IFS(R323&gt;10,"Excelente",R323&gt;=5,"Bueno",R323&gt;=2,"Débil",R323&lt;2,"Deficiente")</f>
        <v>Bueno</v>
      </c>
      <c r="Z323" t="str">
        <f>IF(AND(R323&lt;2,Q323&gt;=100),"Revisar","OK")</f>
        <v>OK</v>
      </c>
      <c r="AA323" s="55">
        <f>_xlfn.XLOOKUP(C323,'Preguntas de negocio'!$C$114:$C$119,'Preguntas de negocio'!$D$114:$D$119,0)</f>
        <v>4</v>
      </c>
      <c r="AB323" s="55">
        <f>VLOOKUP(C323,'Preguntas de negocio'!$C$121:$D$127,2,FALSE)</f>
        <v>0.95</v>
      </c>
    </row>
    <row r="324" spans="1:28" x14ac:dyDescent="0.3">
      <c r="A324" s="1">
        <v>45836</v>
      </c>
      <c r="B324" s="2" t="s">
        <v>2641</v>
      </c>
      <c r="C324" s="2" t="s">
        <v>2521</v>
      </c>
      <c r="D324" s="2" t="s">
        <v>2528</v>
      </c>
      <c r="E324" s="2" t="s">
        <v>2529</v>
      </c>
      <c r="F324" s="3">
        <v>177367</v>
      </c>
      <c r="G324" s="3">
        <v>11786</v>
      </c>
      <c r="H324" s="3">
        <v>977</v>
      </c>
      <c r="I324" s="4">
        <v>21306.639999999999</v>
      </c>
      <c r="J324" s="4">
        <v>38562.25</v>
      </c>
      <c r="K324" s="3">
        <v>465</v>
      </c>
      <c r="L324" s="2" t="s">
        <v>2523</v>
      </c>
      <c r="M324" s="2" t="s">
        <v>2537</v>
      </c>
      <c r="N324" s="8">
        <f>IFERROR(G324/F324,0)</f>
        <v>6.6449790547283311E-2</v>
      </c>
      <c r="O324" s="8">
        <f>IFERROR(H324/G324,0)</f>
        <v>8.2894960122178854E-2</v>
      </c>
      <c r="P324" s="4">
        <f>IFERROR(I324/G324,0)</f>
        <v>1.8077922959443407</v>
      </c>
      <c r="Q324" s="4">
        <f>IFERROR(I324/H324,0)</f>
        <v>21.808229273285569</v>
      </c>
      <c r="R324" s="12">
        <f>IFERROR(J324/I324,0)</f>
        <v>1.8098700686734277</v>
      </c>
      <c r="S324" s="7">
        <f>Tabla_nuevas_columnas[[#This Row],[ROAS]]</f>
        <v>1.8098700686734277</v>
      </c>
      <c r="T324" t="str">
        <f>_xlfn.CONCAT(C324,"-",D324)</f>
        <v>Paid Search-España</v>
      </c>
      <c r="U324">
        <f>YEAR(A324)</f>
        <v>2025</v>
      </c>
      <c r="V324">
        <f>MONTH(A324)</f>
        <v>6</v>
      </c>
      <c r="W324" t="str">
        <f>PROPER(TEXT(A324,"mmmm"))</f>
        <v>Junio</v>
      </c>
      <c r="X324" t="str">
        <f>PROPER(TEXT(A324,"dddd"))</f>
        <v>Sábado</v>
      </c>
      <c r="Y324" t="str" cm="1">
        <f t="array" ref="Y324">_xlfn.IFS(R324&gt;10,"Excelente",R324&gt;=5,"Bueno",R324&gt;=2,"Débil",R324&lt;2,"Deficiente")</f>
        <v>Deficiente</v>
      </c>
      <c r="Z324" t="str">
        <f>IF(AND(R324&lt;2,Q324&gt;=100),"Revisar","OK")</f>
        <v>OK</v>
      </c>
      <c r="AA324" s="55">
        <f>_xlfn.XLOOKUP(C324,'Preguntas de negocio'!$C$114:$C$119,'Preguntas de negocio'!$D$114:$D$119,0)</f>
        <v>5</v>
      </c>
      <c r="AB324" s="55">
        <f>VLOOKUP(C324,'Preguntas de negocio'!$C$121:$D$127,2,FALSE)</f>
        <v>1.1000000000000001</v>
      </c>
    </row>
    <row r="325" spans="1:28" x14ac:dyDescent="0.3">
      <c r="A325" s="1">
        <v>46000</v>
      </c>
      <c r="B325" s="2" t="s">
        <v>2643</v>
      </c>
      <c r="C325" s="2" t="s">
        <v>2543</v>
      </c>
      <c r="D325" s="2" t="s">
        <v>2531</v>
      </c>
      <c r="E325" s="2" t="s">
        <v>2517</v>
      </c>
      <c r="F325" s="3">
        <v>40061</v>
      </c>
      <c r="G325" s="3">
        <v>634</v>
      </c>
      <c r="H325" s="3">
        <v>31</v>
      </c>
      <c r="I325" s="4">
        <v>736.85</v>
      </c>
      <c r="J325" s="4">
        <v>6405.86</v>
      </c>
      <c r="K325" s="3">
        <v>25</v>
      </c>
      <c r="L325" s="2" t="s">
        <v>2539</v>
      </c>
      <c r="M325" s="2" t="s">
        <v>2537</v>
      </c>
      <c r="N325" s="8">
        <f>IFERROR(G325/F325,0)</f>
        <v>1.582586555502858E-2</v>
      </c>
      <c r="O325" s="8">
        <f>IFERROR(H325/G325,0)</f>
        <v>4.8895899053627762E-2</v>
      </c>
      <c r="P325" s="4">
        <f>IFERROR(I325/G325,0)</f>
        <v>1.1622239747634069</v>
      </c>
      <c r="Q325" s="4">
        <f>IFERROR(I325/H325,0)</f>
        <v>23.769354838709678</v>
      </c>
      <c r="R325" s="12">
        <f>IFERROR(J325/I325,0)</f>
        <v>8.6935739974214563</v>
      </c>
      <c r="S325" s="7">
        <f>Tabla_nuevas_columnas[[#This Row],[ROAS]]</f>
        <v>8.6935739974214563</v>
      </c>
      <c r="T325" t="str">
        <f>_xlfn.CONCAT(C325,"-",D325)</f>
        <v>Organic Social-Portugal</v>
      </c>
      <c r="U325">
        <f>YEAR(A325)</f>
        <v>2025</v>
      </c>
      <c r="V325">
        <f>MONTH(A325)</f>
        <v>12</v>
      </c>
      <c r="W325" t="str">
        <f>PROPER(TEXT(A325,"mmmm"))</f>
        <v>Diciembre</v>
      </c>
      <c r="X325" t="str">
        <f>PROPER(TEXT(A325,"dddd"))</f>
        <v>Martes</v>
      </c>
      <c r="Y325" t="str" cm="1">
        <f t="array" ref="Y325">_xlfn.IFS(R325&gt;10,"Excelente",R325&gt;=5,"Bueno",R325&gt;=2,"Débil",R325&lt;2,"Deficiente")</f>
        <v>Bueno</v>
      </c>
      <c r="Z325" t="str">
        <f>IF(AND(R325&lt;2,Q325&gt;=100),"Revisar","OK")</f>
        <v>OK</v>
      </c>
      <c r="AA325" s="55">
        <f>_xlfn.XLOOKUP(C325,'Preguntas de negocio'!$C$114:$C$119,'Preguntas de negocio'!$D$114:$D$119,0)</f>
        <v>4</v>
      </c>
      <c r="AB325" s="55">
        <f>VLOOKUP(C325,'Preguntas de negocio'!$C$121:$D$127,2,FALSE)</f>
        <v>0.95</v>
      </c>
    </row>
    <row r="326" spans="1:28" x14ac:dyDescent="0.3">
      <c r="A326" s="1">
        <v>45836</v>
      </c>
      <c r="B326" s="2" t="s">
        <v>2616</v>
      </c>
      <c r="C326" s="2" t="s">
        <v>2515</v>
      </c>
      <c r="D326" s="2" t="s">
        <v>2516</v>
      </c>
      <c r="E326" s="2" t="s">
        <v>2529</v>
      </c>
      <c r="F326" s="3">
        <v>171816</v>
      </c>
      <c r="G326" s="3">
        <v>1637</v>
      </c>
      <c r="H326" s="3">
        <v>91</v>
      </c>
      <c r="I326" s="4">
        <v>734.06</v>
      </c>
      <c r="J326" s="4">
        <v>14514.06</v>
      </c>
      <c r="K326" s="3">
        <v>47</v>
      </c>
      <c r="L326" s="2" t="s">
        <v>2518</v>
      </c>
      <c r="M326" s="2" t="s">
        <v>2537</v>
      </c>
      <c r="N326" s="8">
        <f>IFERROR(G326/F326,0)</f>
        <v>9.5276342133445088E-3</v>
      </c>
      <c r="O326" s="8">
        <f>IFERROR(H326/G326,0)</f>
        <v>5.5589492974954184E-2</v>
      </c>
      <c r="P326" s="4">
        <f>IFERROR(I326/G326,0)</f>
        <v>0.44841783750763586</v>
      </c>
      <c r="Q326" s="4">
        <f>IFERROR(I326/H326,0)</f>
        <v>8.0665934065934053</v>
      </c>
      <c r="R326" s="12">
        <f>IFERROR(J326/I326,0)</f>
        <v>19.772307440808653</v>
      </c>
      <c r="S326" s="7">
        <f>Tabla_nuevas_columnas[[#This Row],[ROAS]]</f>
        <v>19.772307440808653</v>
      </c>
      <c r="T326" t="str">
        <f>_xlfn.CONCAT(C326,"-",D326)</f>
        <v>Email-México</v>
      </c>
      <c r="U326">
        <f>YEAR(A326)</f>
        <v>2025</v>
      </c>
      <c r="V326">
        <f>MONTH(A326)</f>
        <v>6</v>
      </c>
      <c r="W326" t="str">
        <f>PROPER(TEXT(A326,"mmmm"))</f>
        <v>Junio</v>
      </c>
      <c r="X326" t="str">
        <f>PROPER(TEXT(A326,"dddd"))</f>
        <v>Sábado</v>
      </c>
      <c r="Y326" t="str" cm="1">
        <f t="array" ref="Y326">_xlfn.IFS(R326&gt;10,"Excelente",R326&gt;=5,"Bueno",R326&gt;=2,"Débil",R326&lt;2,"Deficiente")</f>
        <v>Excelente</v>
      </c>
      <c r="Z326" t="str">
        <f>IF(AND(R326&lt;2,Q326&gt;=100),"Revisar","OK")</f>
        <v>OK</v>
      </c>
      <c r="AA326" s="55">
        <f>_xlfn.XLOOKUP(C326,'Preguntas de negocio'!$C$114:$C$119,'Preguntas de negocio'!$D$114:$D$119,0)</f>
        <v>5.5</v>
      </c>
      <c r="AB326" s="55">
        <f>VLOOKUP(C326,'Preguntas de negocio'!$C$121:$D$127,2,FALSE)</f>
        <v>0.65</v>
      </c>
    </row>
    <row r="327" spans="1:28" x14ac:dyDescent="0.3">
      <c r="A327" s="1">
        <v>45964</v>
      </c>
      <c r="B327" s="2" t="s">
        <v>2627</v>
      </c>
      <c r="C327" s="2" t="s">
        <v>2527</v>
      </c>
      <c r="D327" s="2" t="s">
        <v>2528</v>
      </c>
      <c r="E327" s="2" t="s">
        <v>2529</v>
      </c>
      <c r="F327" s="3">
        <v>48643</v>
      </c>
      <c r="G327" s="3">
        <v>1703</v>
      </c>
      <c r="H327" s="3">
        <v>141</v>
      </c>
      <c r="I327" s="4">
        <v>2204.16</v>
      </c>
      <c r="J327" s="4">
        <v>10101.64</v>
      </c>
      <c r="K327" s="3">
        <v>81</v>
      </c>
      <c r="L327" s="2" t="s">
        <v>2536</v>
      </c>
      <c r="M327" s="2" t="s">
        <v>2526</v>
      </c>
      <c r="N327" s="8">
        <f>IFERROR(G327/F327,0)</f>
        <v>3.5010176181567751E-2</v>
      </c>
      <c r="O327" s="8">
        <f>IFERROR(H327/G327,0)</f>
        <v>8.2795067527891952E-2</v>
      </c>
      <c r="P327" s="4">
        <f>IFERROR(I327/G327,0)</f>
        <v>1.29428068115091</v>
      </c>
      <c r="Q327" s="4">
        <f>IFERROR(I327/H327,0)</f>
        <v>15.632340425531915</v>
      </c>
      <c r="R327" s="12">
        <f>IFERROR(J327/I327,0)</f>
        <v>4.5829885307781648</v>
      </c>
      <c r="S327" s="7">
        <f>Tabla_nuevas_columnas[[#This Row],[ROAS]]</f>
        <v>4.5829885307781648</v>
      </c>
      <c r="T327" t="str">
        <f>_xlfn.CONCAT(C327,"-",D327)</f>
        <v>Affiliate-España</v>
      </c>
      <c r="U327">
        <f>YEAR(A327)</f>
        <v>2025</v>
      </c>
      <c r="V327">
        <f>MONTH(A327)</f>
        <v>11</v>
      </c>
      <c r="W327" t="str">
        <f>PROPER(TEXT(A327,"mmmm"))</f>
        <v>Noviembre</v>
      </c>
      <c r="X327" t="str">
        <f>PROPER(TEXT(A327,"dddd"))</f>
        <v>Lunes</v>
      </c>
      <c r="Y327" t="str" cm="1">
        <f t="array" ref="Y327">_xlfn.IFS(R327&gt;10,"Excelente",R327&gt;=5,"Bueno",R327&gt;=2,"Débil",R327&lt;2,"Deficiente")</f>
        <v>Débil</v>
      </c>
      <c r="Z327" t="str">
        <f>IF(AND(R327&lt;2,Q327&gt;=100),"Revisar","OK")</f>
        <v>OK</v>
      </c>
      <c r="AA327" s="55">
        <f>_xlfn.XLOOKUP(C327,'Preguntas de negocio'!$C$114:$C$119,'Preguntas de negocio'!$D$114:$D$119,0)</f>
        <v>4.5</v>
      </c>
      <c r="AB327" s="55">
        <f>VLOOKUP(C327,'Preguntas de negocio'!$C$121:$D$127,2,FALSE)</f>
        <v>0.35</v>
      </c>
    </row>
    <row r="328" spans="1:28" x14ac:dyDescent="0.3">
      <c r="A328" s="1">
        <v>45869</v>
      </c>
      <c r="B328" s="2" t="s">
        <v>2617</v>
      </c>
      <c r="C328" s="2" t="s">
        <v>2533</v>
      </c>
      <c r="D328" s="2" t="s">
        <v>2525</v>
      </c>
      <c r="E328" s="2" t="s">
        <v>2517</v>
      </c>
      <c r="F328" s="3">
        <v>104661</v>
      </c>
      <c r="G328" s="3">
        <v>2233</v>
      </c>
      <c r="H328" s="3">
        <v>260</v>
      </c>
      <c r="I328" s="4">
        <v>3545.43</v>
      </c>
      <c r="J328" s="4">
        <v>56370.76</v>
      </c>
      <c r="K328" s="3">
        <v>145</v>
      </c>
      <c r="L328" s="2" t="s">
        <v>2539</v>
      </c>
      <c r="M328" s="2" t="s">
        <v>2524</v>
      </c>
      <c r="N328" s="8">
        <f>IFERROR(G328/F328,0)</f>
        <v>2.1335550013854253E-2</v>
      </c>
      <c r="O328" s="8">
        <f>IFERROR(H328/G328,0)</f>
        <v>0.11643528884908196</v>
      </c>
      <c r="P328" s="4">
        <f>IFERROR(I328/G328,0)</f>
        <v>1.5877429467084638</v>
      </c>
      <c r="Q328" s="4">
        <f>IFERROR(I328/H328,0)</f>
        <v>13.63626923076923</v>
      </c>
      <c r="R328" s="12">
        <f>IFERROR(J328/I328,0)</f>
        <v>15.899555202048836</v>
      </c>
      <c r="S328" s="7">
        <f>Tabla_nuevas_columnas[[#This Row],[ROAS]]</f>
        <v>15.899555202048836</v>
      </c>
      <c r="T328" t="str">
        <f>_xlfn.CONCAT(C328,"-",D328)</f>
        <v>Paid Social-Francia</v>
      </c>
      <c r="U328">
        <f>YEAR(A328)</f>
        <v>2025</v>
      </c>
      <c r="V328">
        <f>MONTH(A328)</f>
        <v>7</v>
      </c>
      <c r="W328" t="str">
        <f>PROPER(TEXT(A328,"mmmm"))</f>
        <v>Julio</v>
      </c>
      <c r="X328" t="str">
        <f>PROPER(TEXT(A328,"dddd"))</f>
        <v>Jueves</v>
      </c>
      <c r="Y328" t="str" cm="1">
        <f t="array" ref="Y328">_xlfn.IFS(R328&gt;10,"Excelente",R328&gt;=5,"Bueno",R328&gt;=2,"Débil",R328&lt;2,"Deficiente")</f>
        <v>Excelente</v>
      </c>
      <c r="Z328" t="str">
        <f>IF(AND(R328&lt;2,Q328&gt;=100),"Revisar","OK")</f>
        <v>OK</v>
      </c>
      <c r="AA328" s="55">
        <f>_xlfn.XLOOKUP(C328,'Preguntas de negocio'!$C$114:$C$119,'Preguntas de negocio'!$D$114:$D$119,0)</f>
        <v>6</v>
      </c>
      <c r="AB328" s="55">
        <f>VLOOKUP(C328,'Preguntas de negocio'!$C$121:$D$127,2,FALSE)</f>
        <v>0.8</v>
      </c>
    </row>
    <row r="329" spans="1:28" x14ac:dyDescent="0.3">
      <c r="A329" s="1">
        <v>45983</v>
      </c>
      <c r="B329" s="2" t="s">
        <v>2644</v>
      </c>
      <c r="C329" s="2" t="s">
        <v>2521</v>
      </c>
      <c r="D329" s="2" t="s">
        <v>2528</v>
      </c>
      <c r="E329" s="2" t="s">
        <v>2529</v>
      </c>
      <c r="F329" s="3">
        <v>135174</v>
      </c>
      <c r="G329" s="3">
        <v>6534</v>
      </c>
      <c r="H329" s="3">
        <v>462</v>
      </c>
      <c r="I329" s="4">
        <v>9304.9599999999991</v>
      </c>
      <c r="J329" s="4">
        <v>50860.26</v>
      </c>
      <c r="K329" s="3">
        <v>288</v>
      </c>
      <c r="L329" s="2" t="s">
        <v>2523</v>
      </c>
      <c r="M329" s="2" t="s">
        <v>2526</v>
      </c>
      <c r="N329" s="8">
        <f>IFERROR(G329/F329,0)</f>
        <v>4.8337698078032759E-2</v>
      </c>
      <c r="O329" s="8">
        <f>IFERROR(H329/G329,0)</f>
        <v>7.0707070707070704E-2</v>
      </c>
      <c r="P329" s="4">
        <f>IFERROR(I329/G329,0)</f>
        <v>1.4240832568105295</v>
      </c>
      <c r="Q329" s="4">
        <f>IFERROR(I329/H329,0)</f>
        <v>20.140606060606057</v>
      </c>
      <c r="R329" s="12">
        <f>IFERROR(J329/I329,0)</f>
        <v>5.4659299986243903</v>
      </c>
      <c r="S329" s="7">
        <f>Tabla_nuevas_columnas[[#This Row],[ROAS]]</f>
        <v>5.4659299986243903</v>
      </c>
      <c r="T329" t="str">
        <f>_xlfn.CONCAT(C329,"-",D329)</f>
        <v>Paid Search-España</v>
      </c>
      <c r="U329">
        <f>YEAR(A329)</f>
        <v>2025</v>
      </c>
      <c r="V329">
        <f>MONTH(A329)</f>
        <v>11</v>
      </c>
      <c r="W329" t="str">
        <f>PROPER(TEXT(A329,"mmmm"))</f>
        <v>Noviembre</v>
      </c>
      <c r="X329" t="str">
        <f>PROPER(TEXT(A329,"dddd"))</f>
        <v>Sábado</v>
      </c>
      <c r="Y329" t="str" cm="1">
        <f t="array" ref="Y329">_xlfn.IFS(R329&gt;10,"Excelente",R329&gt;=5,"Bueno",R329&gt;=2,"Débil",R329&lt;2,"Deficiente")</f>
        <v>Bueno</v>
      </c>
      <c r="Z329" t="str">
        <f>IF(AND(R329&lt;2,Q329&gt;=100),"Revisar","OK")</f>
        <v>OK</v>
      </c>
      <c r="AA329" s="55">
        <f>_xlfn.XLOOKUP(C329,'Preguntas de negocio'!$C$114:$C$119,'Preguntas de negocio'!$D$114:$D$119,0)</f>
        <v>5</v>
      </c>
      <c r="AB329" s="55">
        <f>VLOOKUP(C329,'Preguntas de negocio'!$C$121:$D$127,2,FALSE)</f>
        <v>1.1000000000000001</v>
      </c>
    </row>
    <row r="330" spans="1:28" x14ac:dyDescent="0.3">
      <c r="A330" s="1">
        <v>45804</v>
      </c>
      <c r="B330" s="2" t="s">
        <v>2639</v>
      </c>
      <c r="C330" s="2" t="s">
        <v>2541</v>
      </c>
      <c r="D330" s="2" t="s">
        <v>2528</v>
      </c>
      <c r="E330" s="2" t="s">
        <v>2517</v>
      </c>
      <c r="F330" s="3">
        <v>65387</v>
      </c>
      <c r="G330" s="3">
        <v>3793</v>
      </c>
      <c r="H330" s="3">
        <v>329</v>
      </c>
      <c r="I330" s="4">
        <v>1005.81</v>
      </c>
      <c r="J330" s="4">
        <v>48243.97</v>
      </c>
      <c r="K330" s="3">
        <v>198</v>
      </c>
      <c r="L330" s="2" t="s">
        <v>2536</v>
      </c>
      <c r="M330" s="2" t="s">
        <v>2526</v>
      </c>
      <c r="N330" s="8">
        <f>IFERROR(G330/F330,0)</f>
        <v>5.8008472632174589E-2</v>
      </c>
      <c r="O330" s="8">
        <f>IFERROR(H330/G330,0)</f>
        <v>8.6738729238070134E-2</v>
      </c>
      <c r="P330" s="4">
        <f>IFERROR(I330/G330,0)</f>
        <v>0.26517532296335355</v>
      </c>
      <c r="Q330" s="4">
        <f>IFERROR(I330/H330,0)</f>
        <v>3.0571732522796351</v>
      </c>
      <c r="R330" s="12">
        <f>IFERROR(J330/I330,0)</f>
        <v>47.965291655481657</v>
      </c>
      <c r="S330" s="7">
        <f>Tabla_nuevas_columnas[[#This Row],[ROAS]]</f>
        <v>47.965291655481657</v>
      </c>
      <c r="T330" t="str">
        <f>_xlfn.CONCAT(C330,"-",D330)</f>
        <v>Display-España</v>
      </c>
      <c r="U330">
        <f>YEAR(A330)</f>
        <v>2025</v>
      </c>
      <c r="V330">
        <f>MONTH(A330)</f>
        <v>5</v>
      </c>
      <c r="W330" t="str">
        <f>PROPER(TEXT(A330,"mmmm"))</f>
        <v>Mayo</v>
      </c>
      <c r="X330" t="str">
        <f>PROPER(TEXT(A330,"dddd"))</f>
        <v>Martes</v>
      </c>
      <c r="Y330" t="str" cm="1">
        <f t="array" ref="Y330">_xlfn.IFS(R330&gt;10,"Excelente",R330&gt;=5,"Bueno",R330&gt;=2,"Débil",R330&lt;2,"Deficiente")</f>
        <v>Excelente</v>
      </c>
      <c r="Z330" t="str">
        <f>IF(AND(R330&lt;2,Q330&gt;=100),"Revisar","OK")</f>
        <v>OK</v>
      </c>
      <c r="AA330" s="55">
        <f>_xlfn.XLOOKUP(C330,'Preguntas de negocio'!$C$114:$C$119,'Preguntas de negocio'!$D$114:$D$119,0)</f>
        <v>5</v>
      </c>
      <c r="AB330" s="55">
        <f>VLOOKUP(C330,'Preguntas de negocio'!$C$121:$D$127,2,FALSE)</f>
        <v>0.5</v>
      </c>
    </row>
    <row r="331" spans="1:28" x14ac:dyDescent="0.3">
      <c r="A331" s="1">
        <v>45660</v>
      </c>
      <c r="B331" s="2" t="s">
        <v>2644</v>
      </c>
      <c r="C331" s="2" t="s">
        <v>2521</v>
      </c>
      <c r="D331" s="2" t="s">
        <v>2528</v>
      </c>
      <c r="E331" s="2" t="s">
        <v>2517</v>
      </c>
      <c r="F331" s="3">
        <v>106826</v>
      </c>
      <c r="G331" s="3">
        <v>9377</v>
      </c>
      <c r="H331" s="3">
        <v>940</v>
      </c>
      <c r="I331" s="4">
        <v>18693.62</v>
      </c>
      <c r="J331" s="4">
        <v>148697.04</v>
      </c>
      <c r="K331" s="3">
        <v>587</v>
      </c>
      <c r="L331" s="2" t="s">
        <v>2536</v>
      </c>
      <c r="M331" s="2" t="s">
        <v>2537</v>
      </c>
      <c r="N331" s="8">
        <f>IFERROR(G331/F331,0)</f>
        <v>8.7778256229756796E-2</v>
      </c>
      <c r="O331" s="8">
        <f>IFERROR(H331/G331,0)</f>
        <v>0.10024528100671856</v>
      </c>
      <c r="P331" s="4">
        <f>IFERROR(I331/G331,0)</f>
        <v>1.9935608403540577</v>
      </c>
      <c r="Q331" s="4">
        <f>IFERROR(I331/H331,0)</f>
        <v>19.886829787234042</v>
      </c>
      <c r="R331" s="12">
        <f>IFERROR(J331/I331,0)</f>
        <v>7.954427232392657</v>
      </c>
      <c r="S331" s="7">
        <f>Tabla_nuevas_columnas[[#This Row],[ROAS]]</f>
        <v>7.954427232392657</v>
      </c>
      <c r="T331" t="str">
        <f>_xlfn.CONCAT(C331,"-",D331)</f>
        <v>Paid Search-España</v>
      </c>
      <c r="U331">
        <f>YEAR(A331)</f>
        <v>2025</v>
      </c>
      <c r="V331">
        <f>MONTH(A331)</f>
        <v>1</v>
      </c>
      <c r="W331" t="str">
        <f>PROPER(TEXT(A331,"mmmm"))</f>
        <v>Enero</v>
      </c>
      <c r="X331" t="str">
        <f>PROPER(TEXT(A331,"dddd"))</f>
        <v>Viernes</v>
      </c>
      <c r="Y331" t="str" cm="1">
        <f t="array" ref="Y331">_xlfn.IFS(R331&gt;10,"Excelente",R331&gt;=5,"Bueno",R331&gt;=2,"Débil",R331&lt;2,"Deficiente")</f>
        <v>Bueno</v>
      </c>
      <c r="Z331" t="str">
        <f>IF(AND(R331&lt;2,Q331&gt;=100),"Revisar","OK")</f>
        <v>OK</v>
      </c>
      <c r="AA331" s="55">
        <f>_xlfn.XLOOKUP(C331,'Preguntas de negocio'!$C$114:$C$119,'Preguntas de negocio'!$D$114:$D$119,0)</f>
        <v>5</v>
      </c>
      <c r="AB331" s="55">
        <f>VLOOKUP(C331,'Preguntas de negocio'!$C$121:$D$127,2,FALSE)</f>
        <v>1.1000000000000001</v>
      </c>
    </row>
    <row r="332" spans="1:28" x14ac:dyDescent="0.3">
      <c r="A332" s="1">
        <v>45925</v>
      </c>
      <c r="B332" s="2" t="s">
        <v>2624</v>
      </c>
      <c r="C332" s="2" t="s">
        <v>2521</v>
      </c>
      <c r="D332" s="2" t="s">
        <v>2528</v>
      </c>
      <c r="E332" s="2" t="s">
        <v>2534</v>
      </c>
      <c r="F332" s="3">
        <v>44292</v>
      </c>
      <c r="G332" s="3">
        <v>2407</v>
      </c>
      <c r="H332" s="3">
        <v>70</v>
      </c>
      <c r="I332" s="4">
        <v>3578.59</v>
      </c>
      <c r="J332" s="4">
        <v>5034.71</v>
      </c>
      <c r="K332" s="3">
        <v>42</v>
      </c>
      <c r="L332" s="2" t="s">
        <v>2518</v>
      </c>
      <c r="M332" s="2" t="s">
        <v>2537</v>
      </c>
      <c r="N332" s="8">
        <f>IFERROR(G332/F332,0)</f>
        <v>5.4343899575544113E-2</v>
      </c>
      <c r="O332" s="8">
        <f>IFERROR(H332/G332,0)</f>
        <v>2.9081844619858747E-2</v>
      </c>
      <c r="P332" s="4">
        <f>IFERROR(I332/G332,0)</f>
        <v>1.4867428334025758</v>
      </c>
      <c r="Q332" s="4">
        <f>IFERROR(I332/H332,0)</f>
        <v>51.122714285714288</v>
      </c>
      <c r="R332" s="12">
        <f>IFERROR(J332/I332,0)</f>
        <v>1.4068976887545095</v>
      </c>
      <c r="S332" s="7">
        <f>Tabla_nuevas_columnas[[#This Row],[ROAS]]</f>
        <v>1.4068976887545095</v>
      </c>
      <c r="T332" t="str">
        <f>_xlfn.CONCAT(C332,"-",D332)</f>
        <v>Paid Search-España</v>
      </c>
      <c r="U332">
        <f>YEAR(A332)</f>
        <v>2025</v>
      </c>
      <c r="V332">
        <f>MONTH(A332)</f>
        <v>9</v>
      </c>
      <c r="W332" t="str">
        <f>PROPER(TEXT(A332,"mmmm"))</f>
        <v>Septiembre</v>
      </c>
      <c r="X332" t="str">
        <f>PROPER(TEXT(A332,"dddd"))</f>
        <v>Jueves</v>
      </c>
      <c r="Y332" t="str" cm="1">
        <f t="array" ref="Y332">_xlfn.IFS(R332&gt;10,"Excelente",R332&gt;=5,"Bueno",R332&gt;=2,"Débil",R332&lt;2,"Deficiente")</f>
        <v>Deficiente</v>
      </c>
      <c r="Z332" t="str">
        <f>IF(AND(R332&lt;2,Q332&gt;=100),"Revisar","OK")</f>
        <v>OK</v>
      </c>
      <c r="AA332" s="55">
        <f>_xlfn.XLOOKUP(C332,'Preguntas de negocio'!$C$114:$C$119,'Preguntas de negocio'!$D$114:$D$119,0)</f>
        <v>5</v>
      </c>
      <c r="AB332" s="55">
        <f>VLOOKUP(C332,'Preguntas de negocio'!$C$121:$D$127,2,FALSE)</f>
        <v>1.1000000000000001</v>
      </c>
    </row>
    <row r="333" spans="1:28" x14ac:dyDescent="0.3">
      <c r="A333" s="1">
        <v>45867</v>
      </c>
      <c r="B333" s="2" t="s">
        <v>2616</v>
      </c>
      <c r="C333" s="2" t="s">
        <v>2521</v>
      </c>
      <c r="D333" s="2" t="s">
        <v>2528</v>
      </c>
      <c r="E333" s="2" t="s">
        <v>2529</v>
      </c>
      <c r="F333" s="3">
        <v>166986</v>
      </c>
      <c r="G333" s="3">
        <v>7719</v>
      </c>
      <c r="H333" s="3">
        <v>594</v>
      </c>
      <c r="I333" s="4">
        <v>6018.64</v>
      </c>
      <c r="J333" s="4">
        <v>52695.09</v>
      </c>
      <c r="K333" s="3">
        <v>299</v>
      </c>
      <c r="L333" s="2" t="s">
        <v>2523</v>
      </c>
      <c r="M333" s="2" t="s">
        <v>2546</v>
      </c>
      <c r="N333" s="8">
        <f>IFERROR(G333/F333,0)</f>
        <v>4.6225432072149762E-2</v>
      </c>
      <c r="O333" s="8">
        <f>IFERROR(H333/G333,0)</f>
        <v>7.6952973183054801E-2</v>
      </c>
      <c r="P333" s="4">
        <f>IFERROR(I333/G333,0)</f>
        <v>0.77971757999740898</v>
      </c>
      <c r="Q333" s="4">
        <f>IFERROR(I333/H333,0)</f>
        <v>10.132390572390573</v>
      </c>
      <c r="R333" s="12">
        <f>IFERROR(J333/I333,0)</f>
        <v>8.7553151542541165</v>
      </c>
      <c r="S333" s="7">
        <f>Tabla_nuevas_columnas[[#This Row],[ROAS]]</f>
        <v>8.7553151542541165</v>
      </c>
      <c r="T333" t="str">
        <f>_xlfn.CONCAT(C333,"-",D333)</f>
        <v>Paid Search-España</v>
      </c>
      <c r="U333">
        <f>YEAR(A333)</f>
        <v>2025</v>
      </c>
      <c r="V333">
        <f>MONTH(A333)</f>
        <v>7</v>
      </c>
      <c r="W333" t="str">
        <f>PROPER(TEXT(A333,"mmmm"))</f>
        <v>Julio</v>
      </c>
      <c r="X333" t="str">
        <f>PROPER(TEXT(A333,"dddd"))</f>
        <v>Martes</v>
      </c>
      <c r="Y333" t="str" cm="1">
        <f t="array" ref="Y333">_xlfn.IFS(R333&gt;10,"Excelente",R333&gt;=5,"Bueno",R333&gt;=2,"Débil",R333&lt;2,"Deficiente")</f>
        <v>Bueno</v>
      </c>
      <c r="Z333" t="str">
        <f>IF(AND(R333&lt;2,Q333&gt;=100),"Revisar","OK")</f>
        <v>OK</v>
      </c>
      <c r="AA333" s="55">
        <f>_xlfn.XLOOKUP(C333,'Preguntas de negocio'!$C$114:$C$119,'Preguntas de negocio'!$D$114:$D$119,0)</f>
        <v>5</v>
      </c>
      <c r="AB333" s="55">
        <f>VLOOKUP(C333,'Preguntas de negocio'!$C$121:$D$127,2,FALSE)</f>
        <v>1.1000000000000001</v>
      </c>
    </row>
    <row r="334" spans="1:28" x14ac:dyDescent="0.3">
      <c r="A334" s="1">
        <v>45897</v>
      </c>
      <c r="B334" s="2" t="s">
        <v>2622</v>
      </c>
      <c r="C334" s="2" t="s">
        <v>2541</v>
      </c>
      <c r="D334" s="2" t="s">
        <v>2528</v>
      </c>
      <c r="E334" s="2" t="s">
        <v>2517</v>
      </c>
      <c r="F334" s="3">
        <v>76130</v>
      </c>
      <c r="G334" s="3">
        <v>4959</v>
      </c>
      <c r="H334" s="3">
        <v>674</v>
      </c>
      <c r="I334" s="4">
        <v>9570.6</v>
      </c>
      <c r="J334" s="4">
        <v>110246.44</v>
      </c>
      <c r="K334" s="3">
        <v>512</v>
      </c>
      <c r="L334" s="2" t="s">
        <v>2539</v>
      </c>
      <c r="M334" s="2" t="s">
        <v>2526</v>
      </c>
      <c r="N334" s="8">
        <f>IFERROR(G334/F334,0)</f>
        <v>6.5138578746880338E-2</v>
      </c>
      <c r="O334" s="8">
        <f>IFERROR(H334/G334,0)</f>
        <v>0.13591449889090543</v>
      </c>
      <c r="P334" s="4">
        <f>IFERROR(I334/G334,0)</f>
        <v>1.92994555353902</v>
      </c>
      <c r="Q334" s="4">
        <f>IFERROR(I334/H334,0)</f>
        <v>14.199703264094955</v>
      </c>
      <c r="R334" s="12">
        <f>IFERROR(J334/I334,0)</f>
        <v>11.519281967692725</v>
      </c>
      <c r="S334" s="7">
        <f>Tabla_nuevas_columnas[[#This Row],[ROAS]]</f>
        <v>11.519281967692725</v>
      </c>
      <c r="T334" t="str">
        <f>_xlfn.CONCAT(C334,"-",D334)</f>
        <v>Display-España</v>
      </c>
      <c r="U334">
        <f>YEAR(A334)</f>
        <v>2025</v>
      </c>
      <c r="V334">
        <f>MONTH(A334)</f>
        <v>8</v>
      </c>
      <c r="W334" t="str">
        <f>PROPER(TEXT(A334,"mmmm"))</f>
        <v>Agosto</v>
      </c>
      <c r="X334" t="str">
        <f>PROPER(TEXT(A334,"dddd"))</f>
        <v>Jueves</v>
      </c>
      <c r="Y334" t="str" cm="1">
        <f t="array" ref="Y334">_xlfn.IFS(R334&gt;10,"Excelente",R334&gt;=5,"Bueno",R334&gt;=2,"Débil",R334&lt;2,"Deficiente")</f>
        <v>Excelente</v>
      </c>
      <c r="Z334" t="str">
        <f>IF(AND(R334&lt;2,Q334&gt;=100),"Revisar","OK")</f>
        <v>OK</v>
      </c>
      <c r="AA334" s="55">
        <f>_xlfn.XLOOKUP(C334,'Preguntas de negocio'!$C$114:$C$119,'Preguntas de negocio'!$D$114:$D$119,0)</f>
        <v>5</v>
      </c>
      <c r="AB334" s="55">
        <f>VLOOKUP(C334,'Preguntas de negocio'!$C$121:$D$127,2,FALSE)</f>
        <v>0.5</v>
      </c>
    </row>
    <row r="335" spans="1:28" x14ac:dyDescent="0.3">
      <c r="A335" s="1">
        <v>45909</v>
      </c>
      <c r="B335" s="2" t="s">
        <v>2626</v>
      </c>
      <c r="C335" s="2" t="s">
        <v>2515</v>
      </c>
      <c r="D335" s="2" t="s">
        <v>2525</v>
      </c>
      <c r="E335" s="2" t="s">
        <v>2529</v>
      </c>
      <c r="F335" s="3">
        <v>11965</v>
      </c>
      <c r="G335" s="3">
        <v>67</v>
      </c>
      <c r="H335" s="3">
        <v>7</v>
      </c>
      <c r="I335" s="4">
        <v>30.62</v>
      </c>
      <c r="J335" s="4">
        <v>1208.73</v>
      </c>
      <c r="K335" s="3">
        <v>5</v>
      </c>
      <c r="L335" s="2" t="s">
        <v>2518</v>
      </c>
      <c r="M335" s="2" t="s">
        <v>2546</v>
      </c>
      <c r="N335" s="8">
        <f>IFERROR(G335/F335,0)</f>
        <v>5.5996656916005019E-3</v>
      </c>
      <c r="O335" s="8">
        <f>IFERROR(H335/G335,0)</f>
        <v>0.1044776119402985</v>
      </c>
      <c r="P335" s="4">
        <f>IFERROR(I335/G335,0)</f>
        <v>0.45701492537313432</v>
      </c>
      <c r="Q335" s="4">
        <f>IFERROR(I335/H335,0)</f>
        <v>4.3742857142857146</v>
      </c>
      <c r="R335" s="12">
        <f>IFERROR(J335/I335,0)</f>
        <v>39.475179621162638</v>
      </c>
      <c r="S335" s="7">
        <f>Tabla_nuevas_columnas[[#This Row],[ROAS]]</f>
        <v>39.475179621162638</v>
      </c>
      <c r="T335" t="str">
        <f>_xlfn.CONCAT(C335,"-",D335)</f>
        <v>Email-Francia</v>
      </c>
      <c r="U335">
        <f>YEAR(A335)</f>
        <v>2025</v>
      </c>
      <c r="V335">
        <f>MONTH(A335)</f>
        <v>9</v>
      </c>
      <c r="W335" t="str">
        <f>PROPER(TEXT(A335,"mmmm"))</f>
        <v>Septiembre</v>
      </c>
      <c r="X335" t="str">
        <f>PROPER(TEXT(A335,"dddd"))</f>
        <v>Martes</v>
      </c>
      <c r="Y335" t="str" cm="1">
        <f t="array" ref="Y335">_xlfn.IFS(R335&gt;10,"Excelente",R335&gt;=5,"Bueno",R335&gt;=2,"Débil",R335&lt;2,"Deficiente")</f>
        <v>Excelente</v>
      </c>
      <c r="Z335" t="str">
        <f>IF(AND(R335&lt;2,Q335&gt;=100),"Revisar","OK")</f>
        <v>OK</v>
      </c>
      <c r="AA335" s="55">
        <f>_xlfn.XLOOKUP(C335,'Preguntas de negocio'!$C$114:$C$119,'Preguntas de negocio'!$D$114:$D$119,0)</f>
        <v>5.5</v>
      </c>
      <c r="AB335" s="55">
        <f>VLOOKUP(C335,'Preguntas de negocio'!$C$121:$D$127,2,FALSE)</f>
        <v>0.65</v>
      </c>
    </row>
    <row r="336" spans="1:28" x14ac:dyDescent="0.3">
      <c r="A336" s="1">
        <v>45660</v>
      </c>
      <c r="B336" s="2" t="s">
        <v>2638</v>
      </c>
      <c r="C336" s="2" t="s">
        <v>2527</v>
      </c>
      <c r="D336" s="2" t="s">
        <v>2528</v>
      </c>
      <c r="E336" s="2" t="s">
        <v>2534</v>
      </c>
      <c r="F336" s="3">
        <v>138916</v>
      </c>
      <c r="G336" s="3">
        <v>4883</v>
      </c>
      <c r="H336" s="3">
        <v>625</v>
      </c>
      <c r="I336" s="4">
        <v>2324.27</v>
      </c>
      <c r="J336" s="4">
        <v>73508.25</v>
      </c>
      <c r="K336" s="3">
        <v>533</v>
      </c>
      <c r="L336" s="2" t="s">
        <v>2523</v>
      </c>
      <c r="M336" s="2" t="s">
        <v>2537</v>
      </c>
      <c r="N336" s="8">
        <f>IFERROR(G336/F336,0)</f>
        <v>3.5150738575829996E-2</v>
      </c>
      <c r="O336" s="8">
        <f>IFERROR(H336/G336,0)</f>
        <v>0.12799508498873644</v>
      </c>
      <c r="P336" s="4">
        <f>IFERROR(I336/G336,0)</f>
        <v>0.47599221789883267</v>
      </c>
      <c r="Q336" s="4">
        <f>IFERROR(I336/H336,0)</f>
        <v>3.7188319999999999</v>
      </c>
      <c r="R336" s="12">
        <f>IFERROR(J336/I336,0)</f>
        <v>31.626381616593598</v>
      </c>
      <c r="S336" s="7">
        <f>Tabla_nuevas_columnas[[#This Row],[ROAS]]</f>
        <v>31.626381616593598</v>
      </c>
      <c r="T336" t="str">
        <f>_xlfn.CONCAT(C336,"-",D336)</f>
        <v>Affiliate-España</v>
      </c>
      <c r="U336">
        <f>YEAR(A336)</f>
        <v>2025</v>
      </c>
      <c r="V336">
        <f>MONTH(A336)</f>
        <v>1</v>
      </c>
      <c r="W336" t="str">
        <f>PROPER(TEXT(A336,"mmmm"))</f>
        <v>Enero</v>
      </c>
      <c r="X336" t="str">
        <f>PROPER(TEXT(A336,"dddd"))</f>
        <v>Viernes</v>
      </c>
      <c r="Y336" t="str" cm="1">
        <f t="array" ref="Y336">_xlfn.IFS(R336&gt;10,"Excelente",R336&gt;=5,"Bueno",R336&gt;=2,"Débil",R336&lt;2,"Deficiente")</f>
        <v>Excelente</v>
      </c>
      <c r="Z336" t="str">
        <f>IF(AND(R336&lt;2,Q336&gt;=100),"Revisar","OK")</f>
        <v>OK</v>
      </c>
      <c r="AA336" s="55">
        <f>_xlfn.XLOOKUP(C336,'Preguntas de negocio'!$C$114:$C$119,'Preguntas de negocio'!$D$114:$D$119,0)</f>
        <v>4.5</v>
      </c>
      <c r="AB336" s="55">
        <f>VLOOKUP(C336,'Preguntas de negocio'!$C$121:$D$127,2,FALSE)</f>
        <v>0.35</v>
      </c>
    </row>
    <row r="337" spans="1:28" x14ac:dyDescent="0.3">
      <c r="A337" s="1">
        <v>45660</v>
      </c>
      <c r="B337" s="2" t="s">
        <v>2637</v>
      </c>
      <c r="C337" s="2" t="s">
        <v>2521</v>
      </c>
      <c r="D337" s="2" t="s">
        <v>2528</v>
      </c>
      <c r="E337" s="2" t="s">
        <v>2517</v>
      </c>
      <c r="F337" s="3">
        <v>156774</v>
      </c>
      <c r="G337" s="3">
        <v>4038</v>
      </c>
      <c r="H337" s="3">
        <v>425</v>
      </c>
      <c r="I337" s="4">
        <v>2904.34</v>
      </c>
      <c r="J337" s="4">
        <v>87625.48</v>
      </c>
      <c r="K337" s="3">
        <v>253</v>
      </c>
      <c r="L337" s="2" t="s">
        <v>2523</v>
      </c>
      <c r="M337" s="2" t="s">
        <v>2526</v>
      </c>
      <c r="N337" s="8">
        <f>IFERROR(G337/F337,0)</f>
        <v>2.5756821922002373E-2</v>
      </c>
      <c r="O337" s="8">
        <f>IFERROR(H337/G337,0)</f>
        <v>0.10525012382367509</v>
      </c>
      <c r="P337" s="4">
        <f>IFERROR(I337/G337,0)</f>
        <v>0.71925210500247649</v>
      </c>
      <c r="Q337" s="4">
        <f>IFERROR(I337/H337,0)</f>
        <v>6.8337411764705882</v>
      </c>
      <c r="R337" s="12">
        <f>IFERROR(J337/I337,0)</f>
        <v>30.170530998436821</v>
      </c>
      <c r="S337" s="7">
        <f>Tabla_nuevas_columnas[[#This Row],[ROAS]]</f>
        <v>30.170530998436821</v>
      </c>
      <c r="T337" t="str">
        <f>_xlfn.CONCAT(C337,"-",D337)</f>
        <v>Paid Search-España</v>
      </c>
      <c r="U337">
        <f>YEAR(A337)</f>
        <v>2025</v>
      </c>
      <c r="V337">
        <f>MONTH(A337)</f>
        <v>1</v>
      </c>
      <c r="W337" t="str">
        <f>PROPER(TEXT(A337,"mmmm"))</f>
        <v>Enero</v>
      </c>
      <c r="X337" t="str">
        <f>PROPER(TEXT(A337,"dddd"))</f>
        <v>Viernes</v>
      </c>
      <c r="Y337" t="str" cm="1">
        <f t="array" ref="Y337">_xlfn.IFS(R337&gt;10,"Excelente",R337&gt;=5,"Bueno",R337&gt;=2,"Débil",R337&lt;2,"Deficiente")</f>
        <v>Excelente</v>
      </c>
      <c r="Z337" t="str">
        <f>IF(AND(R337&lt;2,Q337&gt;=100),"Revisar","OK")</f>
        <v>OK</v>
      </c>
      <c r="AA337" s="55">
        <f>_xlfn.XLOOKUP(C337,'Preguntas de negocio'!$C$114:$C$119,'Preguntas de negocio'!$D$114:$D$119,0)</f>
        <v>5</v>
      </c>
      <c r="AB337" s="55">
        <f>VLOOKUP(C337,'Preguntas de negocio'!$C$121:$D$127,2,FALSE)</f>
        <v>1.1000000000000001</v>
      </c>
    </row>
    <row r="338" spans="1:28" x14ac:dyDescent="0.3">
      <c r="A338" s="1">
        <v>46000</v>
      </c>
      <c r="B338" s="2" t="s">
        <v>2623</v>
      </c>
      <c r="C338" s="2" t="s">
        <v>2521</v>
      </c>
      <c r="D338" s="2" t="s">
        <v>2531</v>
      </c>
      <c r="E338" s="2" t="s">
        <v>2517</v>
      </c>
      <c r="F338" s="3">
        <v>125272</v>
      </c>
      <c r="G338" s="3">
        <v>5689</v>
      </c>
      <c r="H338" s="3">
        <v>383</v>
      </c>
      <c r="I338" s="4">
        <v>8059.72</v>
      </c>
      <c r="J338" s="4">
        <v>68829.960000000006</v>
      </c>
      <c r="K338" s="3">
        <v>198</v>
      </c>
      <c r="L338" s="2" t="s">
        <v>2539</v>
      </c>
      <c r="M338" s="2" t="s">
        <v>2537</v>
      </c>
      <c r="N338" s="8">
        <f>IFERROR(G338/F338,0)</f>
        <v>4.5413180918321729E-2</v>
      </c>
      <c r="O338" s="8">
        <f>IFERROR(H338/G338,0)</f>
        <v>6.7322903849534182E-2</v>
      </c>
      <c r="P338" s="4">
        <f>IFERROR(I338/G338,0)</f>
        <v>1.4167199859377746</v>
      </c>
      <c r="Q338" s="4">
        <f>IFERROR(I338/H338,0)</f>
        <v>21.043655352480418</v>
      </c>
      <c r="R338" s="12">
        <f>IFERROR(J338/I338,0)</f>
        <v>8.5399939451990896</v>
      </c>
      <c r="S338" s="7">
        <f>Tabla_nuevas_columnas[[#This Row],[ROAS]]</f>
        <v>8.5399939451990896</v>
      </c>
      <c r="T338" t="str">
        <f>_xlfn.CONCAT(C338,"-",D338)</f>
        <v>Paid Search-Portugal</v>
      </c>
      <c r="U338">
        <f>YEAR(A338)</f>
        <v>2025</v>
      </c>
      <c r="V338">
        <f>MONTH(A338)</f>
        <v>12</v>
      </c>
      <c r="W338" t="str">
        <f>PROPER(TEXT(A338,"mmmm"))</f>
        <v>Diciembre</v>
      </c>
      <c r="X338" t="str">
        <f>PROPER(TEXT(A338,"dddd"))</f>
        <v>Martes</v>
      </c>
      <c r="Y338" t="str" cm="1">
        <f t="array" ref="Y338">_xlfn.IFS(R338&gt;10,"Excelente",R338&gt;=5,"Bueno",R338&gt;=2,"Débil",R338&lt;2,"Deficiente")</f>
        <v>Bueno</v>
      </c>
      <c r="Z338" t="str">
        <f>IF(AND(R338&lt;2,Q338&gt;=100),"Revisar","OK")</f>
        <v>OK</v>
      </c>
      <c r="AA338" s="55">
        <f>_xlfn.XLOOKUP(C338,'Preguntas de negocio'!$C$114:$C$119,'Preguntas de negocio'!$D$114:$D$119,0)</f>
        <v>5</v>
      </c>
      <c r="AB338" s="55">
        <f>VLOOKUP(C338,'Preguntas de negocio'!$C$121:$D$127,2,FALSE)</f>
        <v>1.1000000000000001</v>
      </c>
    </row>
    <row r="339" spans="1:28" x14ac:dyDescent="0.3">
      <c r="A339" s="1">
        <v>45661</v>
      </c>
      <c r="B339" s="2" t="s">
        <v>2639</v>
      </c>
      <c r="C339" s="2" t="s">
        <v>2515</v>
      </c>
      <c r="D339" s="2" t="s">
        <v>2531</v>
      </c>
      <c r="E339" s="2" t="s">
        <v>2517</v>
      </c>
      <c r="F339" s="3">
        <v>120349</v>
      </c>
      <c r="G339" s="3">
        <v>4392</v>
      </c>
      <c r="H339" s="3">
        <v>193</v>
      </c>
      <c r="I339" s="4">
        <v>2151.5700000000002</v>
      </c>
      <c r="J339" s="4">
        <v>30337.3</v>
      </c>
      <c r="K339" s="3">
        <v>130</v>
      </c>
      <c r="L339" s="2" t="s">
        <v>2539</v>
      </c>
      <c r="M339" s="2" t="s">
        <v>2524</v>
      </c>
      <c r="N339" s="8">
        <f>IFERROR(G339/F339,0)</f>
        <v>3.6493863679797921E-2</v>
      </c>
      <c r="O339" s="8">
        <f>IFERROR(H339/G339,0)</f>
        <v>4.3943533697632056E-2</v>
      </c>
      <c r="P339" s="4">
        <f>IFERROR(I339/G339,0)</f>
        <v>0.48988387978142078</v>
      </c>
      <c r="Q339" s="4">
        <f>IFERROR(I339/H339,0)</f>
        <v>11.148031088082902</v>
      </c>
      <c r="R339" s="12">
        <f>IFERROR(J339/I339,0)</f>
        <v>14.100075758632068</v>
      </c>
      <c r="S339" s="7">
        <f>Tabla_nuevas_columnas[[#This Row],[ROAS]]</f>
        <v>14.100075758632068</v>
      </c>
      <c r="T339" t="str">
        <f>_xlfn.CONCAT(C339,"-",D339)</f>
        <v>Email-Portugal</v>
      </c>
      <c r="U339">
        <f>YEAR(A339)</f>
        <v>2025</v>
      </c>
      <c r="V339">
        <f>MONTH(A339)</f>
        <v>1</v>
      </c>
      <c r="W339" t="str">
        <f>PROPER(TEXT(A339,"mmmm"))</f>
        <v>Enero</v>
      </c>
      <c r="X339" t="str">
        <f>PROPER(TEXT(A339,"dddd"))</f>
        <v>Sábado</v>
      </c>
      <c r="Y339" t="str" cm="1">
        <f t="array" ref="Y339">_xlfn.IFS(R339&gt;10,"Excelente",R339&gt;=5,"Bueno",R339&gt;=2,"Débil",R339&lt;2,"Deficiente")</f>
        <v>Excelente</v>
      </c>
      <c r="Z339" t="str">
        <f>IF(AND(R339&lt;2,Q339&gt;=100),"Revisar","OK")</f>
        <v>OK</v>
      </c>
      <c r="AA339" s="55">
        <f>_xlfn.XLOOKUP(C339,'Preguntas de negocio'!$C$114:$C$119,'Preguntas de negocio'!$D$114:$D$119,0)</f>
        <v>5.5</v>
      </c>
      <c r="AB339" s="55">
        <f>VLOOKUP(C339,'Preguntas de negocio'!$C$121:$D$127,2,FALSE)</f>
        <v>0.65</v>
      </c>
    </row>
    <row r="340" spans="1:28" x14ac:dyDescent="0.3">
      <c r="A340" s="1">
        <v>45666</v>
      </c>
      <c r="B340" s="2" t="s">
        <v>2615</v>
      </c>
      <c r="C340" s="2" t="s">
        <v>2543</v>
      </c>
      <c r="D340" s="2" t="s">
        <v>2531</v>
      </c>
      <c r="E340" s="2" t="s">
        <v>2529</v>
      </c>
      <c r="F340" s="3">
        <v>115709</v>
      </c>
      <c r="G340" s="3">
        <v>3063</v>
      </c>
      <c r="H340" s="3">
        <v>201</v>
      </c>
      <c r="I340" s="4">
        <v>6306.71</v>
      </c>
      <c r="J340" s="4">
        <v>37103.85</v>
      </c>
      <c r="K340" s="3">
        <v>152</v>
      </c>
      <c r="L340" s="2" t="s">
        <v>2523</v>
      </c>
      <c r="M340" s="2" t="s">
        <v>2546</v>
      </c>
      <c r="N340" s="8">
        <f>IFERROR(G340/F340,0)</f>
        <v>2.6471579565980174E-2</v>
      </c>
      <c r="O340" s="8">
        <f>IFERROR(H340/G340,0)</f>
        <v>6.5621939275220378E-2</v>
      </c>
      <c r="P340" s="4">
        <f>IFERROR(I340/G340,0)</f>
        <v>2.0589977146588314</v>
      </c>
      <c r="Q340" s="4">
        <f>IFERROR(I340/H340,0)</f>
        <v>31.376666666666665</v>
      </c>
      <c r="R340" s="12">
        <f>IFERROR(J340/I340,0)</f>
        <v>5.8832338889849058</v>
      </c>
      <c r="S340" s="7">
        <f>Tabla_nuevas_columnas[[#This Row],[ROAS]]</f>
        <v>5.8832338889849058</v>
      </c>
      <c r="T340" t="str">
        <f>_xlfn.CONCAT(C340,"-",D340)</f>
        <v>Organic Social-Portugal</v>
      </c>
      <c r="U340">
        <f>YEAR(A340)</f>
        <v>2025</v>
      </c>
      <c r="V340">
        <f>MONTH(A340)</f>
        <v>1</v>
      </c>
      <c r="W340" t="str">
        <f>PROPER(TEXT(A340,"mmmm"))</f>
        <v>Enero</v>
      </c>
      <c r="X340" t="str">
        <f>PROPER(TEXT(A340,"dddd"))</f>
        <v>Jueves</v>
      </c>
      <c r="Y340" t="str" cm="1">
        <f t="array" ref="Y340">_xlfn.IFS(R340&gt;10,"Excelente",R340&gt;=5,"Bueno",R340&gt;=2,"Débil",R340&lt;2,"Deficiente")</f>
        <v>Bueno</v>
      </c>
      <c r="Z340" t="str">
        <f>IF(AND(R340&lt;2,Q340&gt;=100),"Revisar","OK")</f>
        <v>OK</v>
      </c>
      <c r="AA340" s="55">
        <f>_xlfn.XLOOKUP(C340,'Preguntas de negocio'!$C$114:$C$119,'Preguntas de negocio'!$D$114:$D$119,0)</f>
        <v>4</v>
      </c>
      <c r="AB340" s="55">
        <f>VLOOKUP(C340,'Preguntas de negocio'!$C$121:$D$127,2,FALSE)</f>
        <v>0.95</v>
      </c>
    </row>
    <row r="341" spans="1:28" x14ac:dyDescent="0.3">
      <c r="A341" s="1">
        <v>45910</v>
      </c>
      <c r="B341" s="2" t="s">
        <v>2626</v>
      </c>
      <c r="C341" s="2" t="s">
        <v>2541</v>
      </c>
      <c r="D341" s="2" t="s">
        <v>2528</v>
      </c>
      <c r="E341" s="2" t="s">
        <v>2517</v>
      </c>
      <c r="F341" s="3">
        <v>81247</v>
      </c>
      <c r="G341" s="3">
        <v>2458</v>
      </c>
      <c r="H341" s="3">
        <v>145</v>
      </c>
      <c r="I341" s="4">
        <v>2095.11</v>
      </c>
      <c r="J341" s="4">
        <v>7504.78</v>
      </c>
      <c r="K341" s="3">
        <v>130</v>
      </c>
      <c r="L341" s="2" t="s">
        <v>2536</v>
      </c>
      <c r="M341" s="2" t="s">
        <v>2537</v>
      </c>
      <c r="N341" s="8">
        <f>IFERROR(G341/F341,0)</f>
        <v>3.0253424741836621E-2</v>
      </c>
      <c r="O341" s="8">
        <f>IFERROR(H341/G341,0)</f>
        <v>5.8991049633848658E-2</v>
      </c>
      <c r="P341" s="4">
        <f>IFERROR(I341/G341,0)</f>
        <v>0.85236371033360459</v>
      </c>
      <c r="Q341" s="4">
        <f>IFERROR(I341/H341,0)</f>
        <v>14.449034482758622</v>
      </c>
      <c r="R341" s="12">
        <f>IFERROR(J341/I341,0)</f>
        <v>3.5820458114371081</v>
      </c>
      <c r="S341" s="7">
        <f>Tabla_nuevas_columnas[[#This Row],[ROAS]]</f>
        <v>3.5820458114371081</v>
      </c>
      <c r="T341" t="str">
        <f>_xlfn.CONCAT(C341,"-",D341)</f>
        <v>Display-España</v>
      </c>
      <c r="U341">
        <f>YEAR(A341)</f>
        <v>2025</v>
      </c>
      <c r="V341">
        <f>MONTH(A341)</f>
        <v>9</v>
      </c>
      <c r="W341" t="str">
        <f>PROPER(TEXT(A341,"mmmm"))</f>
        <v>Septiembre</v>
      </c>
      <c r="X341" t="str">
        <f>PROPER(TEXT(A341,"dddd"))</f>
        <v>Miércoles</v>
      </c>
      <c r="Y341" t="str" cm="1">
        <f t="array" ref="Y341">_xlfn.IFS(R341&gt;10,"Excelente",R341&gt;=5,"Bueno",R341&gt;=2,"Débil",R341&lt;2,"Deficiente")</f>
        <v>Débil</v>
      </c>
      <c r="Z341" t="str">
        <f>IF(AND(R341&lt;2,Q341&gt;=100),"Revisar","OK")</f>
        <v>OK</v>
      </c>
      <c r="AA341" s="55">
        <f>_xlfn.XLOOKUP(C341,'Preguntas de negocio'!$C$114:$C$119,'Preguntas de negocio'!$D$114:$D$119,0)</f>
        <v>5</v>
      </c>
      <c r="AB341" s="55">
        <f>VLOOKUP(C341,'Preguntas de negocio'!$C$121:$D$127,2,FALSE)</f>
        <v>0.5</v>
      </c>
    </row>
    <row r="342" spans="1:28" x14ac:dyDescent="0.3">
      <c r="A342" s="1">
        <v>45965</v>
      </c>
      <c r="B342" s="2" t="s">
        <v>2642</v>
      </c>
      <c r="C342" s="2" t="s">
        <v>2515</v>
      </c>
      <c r="D342" s="2" t="s">
        <v>2531</v>
      </c>
      <c r="E342" s="2" t="s">
        <v>2529</v>
      </c>
      <c r="F342" s="3">
        <v>60952</v>
      </c>
      <c r="G342" s="3">
        <v>3535</v>
      </c>
      <c r="H342" s="3">
        <v>429</v>
      </c>
      <c r="I342" s="4">
        <v>3784.02</v>
      </c>
      <c r="J342" s="4">
        <v>85012.85</v>
      </c>
      <c r="K342" s="3">
        <v>253</v>
      </c>
      <c r="L342" s="2" t="s">
        <v>2523</v>
      </c>
      <c r="M342" s="2" t="s">
        <v>2537</v>
      </c>
      <c r="N342" s="8">
        <f>IFERROR(G342/F342,0)</f>
        <v>5.7996456227851427E-2</v>
      </c>
      <c r="O342" s="8">
        <f>IFERROR(H342/G342,0)</f>
        <v>0.12135785007072136</v>
      </c>
      <c r="P342" s="4">
        <f>IFERROR(I342/G342,0)</f>
        <v>1.0704441301272984</v>
      </c>
      <c r="Q342" s="4">
        <f>IFERROR(I342/H342,0)</f>
        <v>8.8205594405594407</v>
      </c>
      <c r="R342" s="12">
        <f>IFERROR(J342/I342,0)</f>
        <v>22.466279247995519</v>
      </c>
      <c r="S342" s="7">
        <f>Tabla_nuevas_columnas[[#This Row],[ROAS]]</f>
        <v>22.466279247995519</v>
      </c>
      <c r="T342" t="str">
        <f>_xlfn.CONCAT(C342,"-",D342)</f>
        <v>Email-Portugal</v>
      </c>
      <c r="U342">
        <f>YEAR(A342)</f>
        <v>2025</v>
      </c>
      <c r="V342">
        <f>MONTH(A342)</f>
        <v>11</v>
      </c>
      <c r="W342" t="str">
        <f>PROPER(TEXT(A342,"mmmm"))</f>
        <v>Noviembre</v>
      </c>
      <c r="X342" t="str">
        <f>PROPER(TEXT(A342,"dddd"))</f>
        <v>Martes</v>
      </c>
      <c r="Y342" t="str" cm="1">
        <f t="array" ref="Y342">_xlfn.IFS(R342&gt;10,"Excelente",R342&gt;=5,"Bueno",R342&gt;=2,"Débil",R342&lt;2,"Deficiente")</f>
        <v>Excelente</v>
      </c>
      <c r="Z342" t="str">
        <f>IF(AND(R342&lt;2,Q342&gt;=100),"Revisar","OK")</f>
        <v>OK</v>
      </c>
      <c r="AA342" s="55">
        <f>_xlfn.XLOOKUP(C342,'Preguntas de negocio'!$C$114:$C$119,'Preguntas de negocio'!$D$114:$D$119,0)</f>
        <v>5.5</v>
      </c>
      <c r="AB342" s="55">
        <f>VLOOKUP(C342,'Preguntas de negocio'!$C$121:$D$127,2,FALSE)</f>
        <v>0.65</v>
      </c>
    </row>
    <row r="343" spans="1:28" x14ac:dyDescent="0.3">
      <c r="A343" s="1">
        <v>45819</v>
      </c>
      <c r="B343" s="2" t="s">
        <v>2620</v>
      </c>
      <c r="C343" s="2" t="s">
        <v>2543</v>
      </c>
      <c r="D343" s="2" t="s">
        <v>2528</v>
      </c>
      <c r="E343" s="2" t="s">
        <v>2529</v>
      </c>
      <c r="F343" s="3">
        <v>33381</v>
      </c>
      <c r="G343" s="3">
        <v>2881</v>
      </c>
      <c r="H343" s="3">
        <v>374</v>
      </c>
      <c r="I343" s="4">
        <v>640</v>
      </c>
      <c r="J343" s="4">
        <v>5624.01</v>
      </c>
      <c r="K343" s="3">
        <v>293</v>
      </c>
      <c r="L343" s="2" t="s">
        <v>2523</v>
      </c>
      <c r="M343" s="2" t="s">
        <v>2519</v>
      </c>
      <c r="N343" s="8">
        <f>IFERROR(G343/F343,0)</f>
        <v>8.6306581588328685E-2</v>
      </c>
      <c r="O343" s="8">
        <f>IFERROR(H343/G343,0)</f>
        <v>0.12981603609857689</v>
      </c>
      <c r="P343" s="4">
        <f>IFERROR(I343/G343,0)</f>
        <v>0.2221450885109337</v>
      </c>
      <c r="Q343" s="4">
        <f>IFERROR(I343/H343,0)</f>
        <v>1.7112299465240641</v>
      </c>
      <c r="R343" s="12">
        <f>IFERROR(J343/I343,0)</f>
        <v>8.7875156250000011</v>
      </c>
      <c r="S343" s="7">
        <f>Tabla_nuevas_columnas[[#This Row],[ROAS]]</f>
        <v>8.7875156250000011</v>
      </c>
      <c r="T343" t="str">
        <f>_xlfn.CONCAT(C343,"-",D343)</f>
        <v>Organic Social-España</v>
      </c>
      <c r="U343">
        <f>YEAR(A343)</f>
        <v>2025</v>
      </c>
      <c r="V343">
        <f>MONTH(A343)</f>
        <v>6</v>
      </c>
      <c r="W343" t="str">
        <f>PROPER(TEXT(A343,"mmmm"))</f>
        <v>Junio</v>
      </c>
      <c r="X343" t="str">
        <f>PROPER(TEXT(A343,"dddd"))</f>
        <v>Miércoles</v>
      </c>
      <c r="Y343" t="str" cm="1">
        <f t="array" ref="Y343">_xlfn.IFS(R343&gt;10,"Excelente",R343&gt;=5,"Bueno",R343&gt;=2,"Débil",R343&lt;2,"Deficiente")</f>
        <v>Bueno</v>
      </c>
      <c r="Z343" t="str">
        <f>IF(AND(R343&lt;2,Q343&gt;=100),"Revisar","OK")</f>
        <v>OK</v>
      </c>
      <c r="AA343" s="55">
        <f>_xlfn.XLOOKUP(C343,'Preguntas de negocio'!$C$114:$C$119,'Preguntas de negocio'!$D$114:$D$119,0)</f>
        <v>4</v>
      </c>
      <c r="AB343" s="55">
        <f>VLOOKUP(C343,'Preguntas de negocio'!$C$121:$D$127,2,FALSE)</f>
        <v>0.95</v>
      </c>
    </row>
    <row r="344" spans="1:28" x14ac:dyDescent="0.3">
      <c r="A344" s="1">
        <v>45811</v>
      </c>
      <c r="B344" s="2" t="s">
        <v>2641</v>
      </c>
      <c r="C344" s="2" t="s">
        <v>2533</v>
      </c>
      <c r="D344" s="2" t="s">
        <v>2528</v>
      </c>
      <c r="E344" s="2" t="s">
        <v>2517</v>
      </c>
      <c r="F344" s="3">
        <v>85570</v>
      </c>
      <c r="G344" s="3">
        <v>418</v>
      </c>
      <c r="H344" s="3">
        <v>50</v>
      </c>
      <c r="I344" s="4">
        <v>267.2</v>
      </c>
      <c r="J344" s="4">
        <v>8632.26</v>
      </c>
      <c r="K344" s="3">
        <v>41</v>
      </c>
      <c r="L344" s="2" t="s">
        <v>2518</v>
      </c>
      <c r="M344" s="2" t="s">
        <v>2519</v>
      </c>
      <c r="N344" s="8">
        <f>IFERROR(G344/F344,0)</f>
        <v>4.8848895640995673E-3</v>
      </c>
      <c r="O344" s="8">
        <f>IFERROR(H344/G344,0)</f>
        <v>0.11961722488038277</v>
      </c>
      <c r="P344" s="4">
        <f>IFERROR(I344/G344,0)</f>
        <v>0.63923444976076549</v>
      </c>
      <c r="Q344" s="4">
        <f>IFERROR(I344/H344,0)</f>
        <v>5.3439999999999994</v>
      </c>
      <c r="R344" s="12">
        <f>IFERROR(J344/I344,0)</f>
        <v>32.306362275449104</v>
      </c>
      <c r="S344" s="7">
        <f>Tabla_nuevas_columnas[[#This Row],[ROAS]]</f>
        <v>32.306362275449104</v>
      </c>
      <c r="T344" t="str">
        <f>_xlfn.CONCAT(C344,"-",D344)</f>
        <v>Paid Social-España</v>
      </c>
      <c r="U344">
        <f>YEAR(A344)</f>
        <v>2025</v>
      </c>
      <c r="V344">
        <f>MONTH(A344)</f>
        <v>6</v>
      </c>
      <c r="W344" t="str">
        <f>PROPER(TEXT(A344,"mmmm"))</f>
        <v>Junio</v>
      </c>
      <c r="X344" t="str">
        <f>PROPER(TEXT(A344,"dddd"))</f>
        <v>Martes</v>
      </c>
      <c r="Y344" t="str" cm="1">
        <f t="array" ref="Y344">_xlfn.IFS(R344&gt;10,"Excelente",R344&gt;=5,"Bueno",R344&gt;=2,"Débil",R344&lt;2,"Deficiente")</f>
        <v>Excelente</v>
      </c>
      <c r="Z344" t="str">
        <f>IF(AND(R344&lt;2,Q344&gt;=100),"Revisar","OK")</f>
        <v>OK</v>
      </c>
      <c r="AA344" s="55">
        <f>_xlfn.XLOOKUP(C344,'Preguntas de negocio'!$C$114:$C$119,'Preguntas de negocio'!$D$114:$D$119,0)</f>
        <v>6</v>
      </c>
      <c r="AB344" s="55">
        <f>VLOOKUP(C344,'Preguntas de negocio'!$C$121:$D$127,2,FALSE)</f>
        <v>0.8</v>
      </c>
    </row>
    <row r="345" spans="1:28" x14ac:dyDescent="0.3">
      <c r="A345" s="1">
        <v>45778</v>
      </c>
      <c r="B345" s="2" t="s">
        <v>2633</v>
      </c>
      <c r="C345" s="2" t="s">
        <v>2527</v>
      </c>
      <c r="D345" s="2" t="s">
        <v>2528</v>
      </c>
      <c r="E345" s="2" t="s">
        <v>2517</v>
      </c>
      <c r="F345" s="3">
        <v>21807</v>
      </c>
      <c r="G345" s="3">
        <v>1668</v>
      </c>
      <c r="H345" s="3">
        <v>75</v>
      </c>
      <c r="I345" s="4">
        <v>3381.09</v>
      </c>
      <c r="J345" s="4">
        <v>8499.61</v>
      </c>
      <c r="K345" s="3">
        <v>36</v>
      </c>
      <c r="L345" s="2" t="s">
        <v>2518</v>
      </c>
      <c r="M345" s="2" t="s">
        <v>2519</v>
      </c>
      <c r="N345" s="8">
        <f>IFERROR(G345/F345,0)</f>
        <v>7.648920071536662E-2</v>
      </c>
      <c r="O345" s="8">
        <f>IFERROR(H345/G345,0)</f>
        <v>4.4964028776978415E-2</v>
      </c>
      <c r="P345" s="4">
        <f>IFERROR(I345/G345,0)</f>
        <v>2.0270323741007195</v>
      </c>
      <c r="Q345" s="4">
        <f>IFERROR(I345/H345,0)</f>
        <v>45.081200000000003</v>
      </c>
      <c r="R345" s="12">
        <f>IFERROR(J345/I345,0)</f>
        <v>2.5138668299276268</v>
      </c>
      <c r="S345" s="7">
        <f>Tabla_nuevas_columnas[[#This Row],[ROAS]]</f>
        <v>2.5138668299276268</v>
      </c>
      <c r="T345" t="str">
        <f>_xlfn.CONCAT(C345,"-",D345)</f>
        <v>Affiliate-España</v>
      </c>
      <c r="U345">
        <f>YEAR(A345)</f>
        <v>2025</v>
      </c>
      <c r="V345">
        <f>MONTH(A345)</f>
        <v>5</v>
      </c>
      <c r="W345" t="str">
        <f>PROPER(TEXT(A345,"mmmm"))</f>
        <v>Mayo</v>
      </c>
      <c r="X345" t="str">
        <f>PROPER(TEXT(A345,"dddd"))</f>
        <v>Jueves</v>
      </c>
      <c r="Y345" t="str" cm="1">
        <f t="array" ref="Y345">_xlfn.IFS(R345&gt;10,"Excelente",R345&gt;=5,"Bueno",R345&gt;=2,"Débil",R345&lt;2,"Deficiente")</f>
        <v>Débil</v>
      </c>
      <c r="Z345" t="str">
        <f>IF(AND(R345&lt;2,Q345&gt;=100),"Revisar","OK")</f>
        <v>OK</v>
      </c>
      <c r="AA345" s="55">
        <f>_xlfn.XLOOKUP(C345,'Preguntas de negocio'!$C$114:$C$119,'Preguntas de negocio'!$D$114:$D$119,0)</f>
        <v>4.5</v>
      </c>
      <c r="AB345" s="55">
        <f>VLOOKUP(C345,'Preguntas de negocio'!$C$121:$D$127,2,FALSE)</f>
        <v>0.35</v>
      </c>
    </row>
    <row r="346" spans="1:28" x14ac:dyDescent="0.3">
      <c r="A346" s="1">
        <v>45812</v>
      </c>
      <c r="B346" s="2" t="s">
        <v>2615</v>
      </c>
      <c r="C346" s="2" t="s">
        <v>2515</v>
      </c>
      <c r="D346" s="2" t="s">
        <v>2525</v>
      </c>
      <c r="E346" s="2" t="s">
        <v>2529</v>
      </c>
      <c r="F346" s="3">
        <v>100617</v>
      </c>
      <c r="G346" s="3">
        <v>6163</v>
      </c>
      <c r="H346" s="3">
        <v>642</v>
      </c>
      <c r="I346" s="4">
        <v>10935.04</v>
      </c>
      <c r="J346" s="4">
        <v>47540.1</v>
      </c>
      <c r="K346" s="3">
        <v>572</v>
      </c>
      <c r="L346" s="2" t="s">
        <v>2536</v>
      </c>
      <c r="M346" s="2" t="s">
        <v>2519</v>
      </c>
      <c r="N346" s="8">
        <f>IFERROR(G346/F346,0)</f>
        <v>6.1252074699106512E-2</v>
      </c>
      <c r="O346" s="8">
        <f>IFERROR(H346/G346,0)</f>
        <v>0.10417004705500568</v>
      </c>
      <c r="P346" s="4">
        <f>IFERROR(I346/G346,0)</f>
        <v>1.7743047217264321</v>
      </c>
      <c r="Q346" s="4">
        <f>IFERROR(I346/H346,0)</f>
        <v>17.032772585669782</v>
      </c>
      <c r="R346" s="12">
        <f>IFERROR(J346/I346,0)</f>
        <v>4.3475012437082983</v>
      </c>
      <c r="S346" s="7">
        <f>Tabla_nuevas_columnas[[#This Row],[ROAS]]</f>
        <v>4.3475012437082983</v>
      </c>
      <c r="T346" t="str">
        <f>_xlfn.CONCAT(C346,"-",D346)</f>
        <v>Email-Francia</v>
      </c>
      <c r="U346">
        <f>YEAR(A346)</f>
        <v>2025</v>
      </c>
      <c r="V346">
        <f>MONTH(A346)</f>
        <v>6</v>
      </c>
      <c r="W346" t="str">
        <f>PROPER(TEXT(A346,"mmmm"))</f>
        <v>Junio</v>
      </c>
      <c r="X346" t="str">
        <f>PROPER(TEXT(A346,"dddd"))</f>
        <v>Miércoles</v>
      </c>
      <c r="Y346" t="str" cm="1">
        <f t="array" ref="Y346">_xlfn.IFS(R346&gt;10,"Excelente",R346&gt;=5,"Bueno",R346&gt;=2,"Débil",R346&lt;2,"Deficiente")</f>
        <v>Débil</v>
      </c>
      <c r="Z346" t="str">
        <f>IF(AND(R346&lt;2,Q346&gt;=100),"Revisar","OK")</f>
        <v>OK</v>
      </c>
      <c r="AA346" s="55">
        <f>_xlfn.XLOOKUP(C346,'Preguntas de negocio'!$C$114:$C$119,'Preguntas de negocio'!$D$114:$D$119,0)</f>
        <v>5.5</v>
      </c>
      <c r="AB346" s="55">
        <f>VLOOKUP(C346,'Preguntas de negocio'!$C$121:$D$127,2,FALSE)</f>
        <v>0.65</v>
      </c>
    </row>
    <row r="347" spans="1:28" x14ac:dyDescent="0.3">
      <c r="A347" s="1">
        <v>45815</v>
      </c>
      <c r="B347" s="2" t="s">
        <v>2642</v>
      </c>
      <c r="C347" s="2" t="s">
        <v>2543</v>
      </c>
      <c r="D347" s="2" t="s">
        <v>2528</v>
      </c>
      <c r="E347" s="2" t="s">
        <v>2534</v>
      </c>
      <c r="F347" s="3">
        <v>35619</v>
      </c>
      <c r="G347" s="3">
        <v>35851</v>
      </c>
      <c r="H347" s="3">
        <v>141</v>
      </c>
      <c r="I347" s="4">
        <v>1399.77</v>
      </c>
      <c r="J347" s="4">
        <v>21317.41</v>
      </c>
      <c r="K347" s="3">
        <v>66</v>
      </c>
      <c r="L347" s="2" t="s">
        <v>2518</v>
      </c>
      <c r="M347" s="2" t="s">
        <v>2524</v>
      </c>
      <c r="N347" s="8">
        <f>IFERROR(G347/F347,0)</f>
        <v>1.0065133776916815</v>
      </c>
      <c r="O347" s="8">
        <f>IFERROR(H347/G347,0)</f>
        <v>3.9329446877353494E-3</v>
      </c>
      <c r="P347" s="4">
        <f>IFERROR(I347/G347,0)</f>
        <v>3.904409918830716E-2</v>
      </c>
      <c r="Q347" s="4">
        <f>IFERROR(I347/H347,0)</f>
        <v>9.9274468085106378</v>
      </c>
      <c r="R347" s="12">
        <f>IFERROR(J347/I347,0)</f>
        <v>15.229223372411182</v>
      </c>
      <c r="S347" s="7">
        <f>Tabla_nuevas_columnas[[#This Row],[ROAS]]</f>
        <v>15.229223372411182</v>
      </c>
      <c r="T347" t="str">
        <f>_xlfn.CONCAT(C347,"-",D347)</f>
        <v>Organic Social-España</v>
      </c>
      <c r="U347">
        <f>YEAR(A347)</f>
        <v>2025</v>
      </c>
      <c r="V347">
        <f>MONTH(A347)</f>
        <v>6</v>
      </c>
      <c r="W347" t="str">
        <f>PROPER(TEXT(A347,"mmmm"))</f>
        <v>Junio</v>
      </c>
      <c r="X347" t="str">
        <f>PROPER(TEXT(A347,"dddd"))</f>
        <v>Sábado</v>
      </c>
      <c r="Y347" t="str" cm="1">
        <f t="array" ref="Y347">_xlfn.IFS(R347&gt;10,"Excelente",R347&gt;=5,"Bueno",R347&gt;=2,"Débil",R347&lt;2,"Deficiente")</f>
        <v>Excelente</v>
      </c>
      <c r="Z347" t="str">
        <f>IF(AND(R347&lt;2,Q347&gt;=100),"Revisar","OK")</f>
        <v>OK</v>
      </c>
      <c r="AA347" s="55">
        <f>_xlfn.XLOOKUP(C347,'Preguntas de negocio'!$C$114:$C$119,'Preguntas de negocio'!$D$114:$D$119,0)</f>
        <v>4</v>
      </c>
      <c r="AB347" s="55">
        <f>VLOOKUP(C347,'Preguntas de negocio'!$C$121:$D$127,2,FALSE)</f>
        <v>0.95</v>
      </c>
    </row>
    <row r="348" spans="1:28" x14ac:dyDescent="0.3">
      <c r="A348" s="1">
        <v>45687</v>
      </c>
      <c r="B348" s="2" t="s">
        <v>2632</v>
      </c>
      <c r="C348" s="2" t="s">
        <v>2521</v>
      </c>
      <c r="D348" s="2" t="s">
        <v>2528</v>
      </c>
      <c r="E348" s="2" t="s">
        <v>2517</v>
      </c>
      <c r="F348" s="3">
        <v>23489</v>
      </c>
      <c r="G348" s="3">
        <v>1195</v>
      </c>
      <c r="H348" s="3">
        <v>107</v>
      </c>
      <c r="I348" s="4">
        <v>810.4</v>
      </c>
      <c r="J348" s="4">
        <v>17746.64</v>
      </c>
      <c r="K348" s="3">
        <v>51</v>
      </c>
      <c r="L348" s="2" t="s">
        <v>2539</v>
      </c>
      <c r="M348" s="2" t="s">
        <v>2524</v>
      </c>
      <c r="N348" s="8">
        <f>IFERROR(G348/F348,0)</f>
        <v>5.0874877602281918E-2</v>
      </c>
      <c r="O348" s="8">
        <f>IFERROR(H348/G348,0)</f>
        <v>8.9539748953974901E-2</v>
      </c>
      <c r="P348" s="4">
        <f>IFERROR(I348/G348,0)</f>
        <v>0.67815899581589956</v>
      </c>
      <c r="Q348" s="4">
        <f>IFERROR(I348/H348,0)</f>
        <v>7.5738317757009348</v>
      </c>
      <c r="R348" s="12">
        <f>IFERROR(J348/I348,0)</f>
        <v>21.898617966436326</v>
      </c>
      <c r="S348" s="7">
        <f>Tabla_nuevas_columnas[[#This Row],[ROAS]]</f>
        <v>21.898617966436326</v>
      </c>
      <c r="T348" t="str">
        <f>_xlfn.CONCAT(C348,"-",D348)</f>
        <v>Paid Search-España</v>
      </c>
      <c r="U348">
        <f>YEAR(A348)</f>
        <v>2025</v>
      </c>
      <c r="V348">
        <f>MONTH(A348)</f>
        <v>1</v>
      </c>
      <c r="W348" t="str">
        <f>PROPER(TEXT(A348,"mmmm"))</f>
        <v>Enero</v>
      </c>
      <c r="X348" t="str">
        <f>PROPER(TEXT(A348,"dddd"))</f>
        <v>Jueves</v>
      </c>
      <c r="Y348" t="str" cm="1">
        <f t="array" ref="Y348">_xlfn.IFS(R348&gt;10,"Excelente",R348&gt;=5,"Bueno",R348&gt;=2,"Débil",R348&lt;2,"Deficiente")</f>
        <v>Excelente</v>
      </c>
      <c r="Z348" t="str">
        <f>IF(AND(R348&lt;2,Q348&gt;=100),"Revisar","OK")</f>
        <v>OK</v>
      </c>
      <c r="AA348" s="55">
        <f>_xlfn.XLOOKUP(C348,'Preguntas de negocio'!$C$114:$C$119,'Preguntas de negocio'!$D$114:$D$119,0)</f>
        <v>5</v>
      </c>
      <c r="AB348" s="55">
        <f>VLOOKUP(C348,'Preguntas de negocio'!$C$121:$D$127,2,FALSE)</f>
        <v>1.1000000000000001</v>
      </c>
    </row>
    <row r="349" spans="1:28" x14ac:dyDescent="0.3">
      <c r="A349" s="1">
        <v>45807</v>
      </c>
      <c r="B349" s="2" t="s">
        <v>2616</v>
      </c>
      <c r="C349" s="2" t="s">
        <v>2521</v>
      </c>
      <c r="D349" s="2" t="s">
        <v>2528</v>
      </c>
      <c r="E349" s="2" t="s">
        <v>2529</v>
      </c>
      <c r="F349" s="3">
        <v>177538</v>
      </c>
      <c r="G349" s="3">
        <v>14298</v>
      </c>
      <c r="H349" s="3">
        <v>1513</v>
      </c>
      <c r="I349" s="4">
        <v>6839.89</v>
      </c>
      <c r="J349" s="4">
        <v>101070.49</v>
      </c>
      <c r="K349" s="3">
        <v>1237</v>
      </c>
      <c r="L349" s="2" t="s">
        <v>2523</v>
      </c>
      <c r="M349" s="2" t="s">
        <v>2526</v>
      </c>
      <c r="N349" s="8">
        <f>IFERROR(G349/F349,0)</f>
        <v>8.0534871407811279E-2</v>
      </c>
      <c r="O349" s="8">
        <f>IFERROR(H349/G349,0)</f>
        <v>0.1058189956637292</v>
      </c>
      <c r="P349" s="4">
        <f>IFERROR(I349/G349,0)</f>
        <v>0.47838089243250809</v>
      </c>
      <c r="Q349" s="4">
        <f>IFERROR(I349/H349,0)</f>
        <v>4.5207468605419701</v>
      </c>
      <c r="R349" s="12">
        <f>IFERROR(J349/I349,0)</f>
        <v>14.776625062683756</v>
      </c>
      <c r="S349" s="7">
        <f>Tabla_nuevas_columnas[[#This Row],[ROAS]]</f>
        <v>14.776625062683756</v>
      </c>
      <c r="T349" t="str">
        <f>_xlfn.CONCAT(C349,"-",D349)</f>
        <v>Paid Search-España</v>
      </c>
      <c r="U349">
        <f>YEAR(A349)</f>
        <v>2025</v>
      </c>
      <c r="V349">
        <f>MONTH(A349)</f>
        <v>5</v>
      </c>
      <c r="W349" t="str">
        <f>PROPER(TEXT(A349,"mmmm"))</f>
        <v>Mayo</v>
      </c>
      <c r="X349" t="str">
        <f>PROPER(TEXT(A349,"dddd"))</f>
        <v>Viernes</v>
      </c>
      <c r="Y349" t="str" cm="1">
        <f t="array" ref="Y349">_xlfn.IFS(R349&gt;10,"Excelente",R349&gt;=5,"Bueno",R349&gt;=2,"Débil",R349&lt;2,"Deficiente")</f>
        <v>Excelente</v>
      </c>
      <c r="Z349" t="str">
        <f>IF(AND(R349&lt;2,Q349&gt;=100),"Revisar","OK")</f>
        <v>OK</v>
      </c>
      <c r="AA349" s="55">
        <f>_xlfn.XLOOKUP(C349,'Preguntas de negocio'!$C$114:$C$119,'Preguntas de negocio'!$D$114:$D$119,0)</f>
        <v>5</v>
      </c>
      <c r="AB349" s="55">
        <f>VLOOKUP(C349,'Preguntas de negocio'!$C$121:$D$127,2,FALSE)</f>
        <v>1.1000000000000001</v>
      </c>
    </row>
    <row r="350" spans="1:28" x14ac:dyDescent="0.3">
      <c r="A350" s="1">
        <v>46001</v>
      </c>
      <c r="B350" s="2" t="s">
        <v>2625</v>
      </c>
      <c r="C350" s="2" t="s">
        <v>2527</v>
      </c>
      <c r="D350" s="2" t="s">
        <v>2528</v>
      </c>
      <c r="E350" s="2" t="s">
        <v>2517</v>
      </c>
      <c r="F350" s="3">
        <v>18970</v>
      </c>
      <c r="G350" s="3">
        <v>1596</v>
      </c>
      <c r="H350" s="3">
        <v>117</v>
      </c>
      <c r="I350" s="4">
        <v>1123.25</v>
      </c>
      <c r="J350" s="4">
        <v>6760.9</v>
      </c>
      <c r="K350" s="3">
        <v>74</v>
      </c>
      <c r="L350" s="2" t="s">
        <v>2518</v>
      </c>
      <c r="M350" s="2" t="s">
        <v>2519</v>
      </c>
      <c r="N350" s="8">
        <f>IFERROR(G350/F350,0)</f>
        <v>8.4132841328413283E-2</v>
      </c>
      <c r="O350" s="8">
        <f>IFERROR(H350/G350,0)</f>
        <v>7.3308270676691725E-2</v>
      </c>
      <c r="P350" s="4">
        <f>IFERROR(I350/G350,0)</f>
        <v>0.70379072681704258</v>
      </c>
      <c r="Q350" s="4">
        <f>IFERROR(I350/H350,0)</f>
        <v>9.600427350427351</v>
      </c>
      <c r="R350" s="12">
        <f>IFERROR(J350/I350,0)</f>
        <v>6.0190518584464723</v>
      </c>
      <c r="S350" s="7">
        <f>Tabla_nuevas_columnas[[#This Row],[ROAS]]</f>
        <v>6.0190518584464723</v>
      </c>
      <c r="T350" t="str">
        <f>_xlfn.CONCAT(C350,"-",D350)</f>
        <v>Affiliate-España</v>
      </c>
      <c r="U350">
        <f>YEAR(A350)</f>
        <v>2025</v>
      </c>
      <c r="V350">
        <f>MONTH(A350)</f>
        <v>12</v>
      </c>
      <c r="W350" t="str">
        <f>PROPER(TEXT(A350,"mmmm"))</f>
        <v>Diciembre</v>
      </c>
      <c r="X350" t="str">
        <f>PROPER(TEXT(A350,"dddd"))</f>
        <v>Miércoles</v>
      </c>
      <c r="Y350" t="str" cm="1">
        <f t="array" ref="Y350">_xlfn.IFS(R350&gt;10,"Excelente",R350&gt;=5,"Bueno",R350&gt;=2,"Débil",R350&lt;2,"Deficiente")</f>
        <v>Bueno</v>
      </c>
      <c r="Z350" t="str">
        <f>IF(AND(R350&lt;2,Q350&gt;=100),"Revisar","OK")</f>
        <v>OK</v>
      </c>
      <c r="AA350" s="55">
        <f>_xlfn.XLOOKUP(C350,'Preguntas de negocio'!$C$114:$C$119,'Preguntas de negocio'!$D$114:$D$119,0)</f>
        <v>4.5</v>
      </c>
      <c r="AB350" s="55">
        <f>VLOOKUP(C350,'Preguntas de negocio'!$C$121:$D$127,2,FALSE)</f>
        <v>0.35</v>
      </c>
    </row>
    <row r="351" spans="1:28" x14ac:dyDescent="0.3">
      <c r="A351" s="1">
        <v>45836</v>
      </c>
      <c r="B351" s="2" t="s">
        <v>2621</v>
      </c>
      <c r="C351" s="2" t="s">
        <v>2521</v>
      </c>
      <c r="D351" s="2" t="s">
        <v>2525</v>
      </c>
      <c r="E351" s="2" t="s">
        <v>2534</v>
      </c>
      <c r="F351" s="3">
        <v>34572</v>
      </c>
      <c r="G351" s="3">
        <v>576</v>
      </c>
      <c r="H351" s="3">
        <v>48</v>
      </c>
      <c r="I351" s="4">
        <v>386.89</v>
      </c>
      <c r="J351" s="4">
        <v>8015.47</v>
      </c>
      <c r="K351" s="3">
        <v>30</v>
      </c>
      <c r="L351" s="2" t="s">
        <v>2523</v>
      </c>
      <c r="M351" s="2" t="s">
        <v>2546</v>
      </c>
      <c r="N351" s="8">
        <f>IFERROR(G351/F351,0)</f>
        <v>1.6660881638320028E-2</v>
      </c>
      <c r="O351" s="8">
        <f>IFERROR(H351/G351,0)</f>
        <v>8.3333333333333329E-2</v>
      </c>
      <c r="P351" s="4">
        <f>IFERROR(I351/G351,0)</f>
        <v>0.6716840277777778</v>
      </c>
      <c r="Q351" s="4">
        <f>IFERROR(I351/H351,0)</f>
        <v>8.0602083333333336</v>
      </c>
      <c r="R351" s="12">
        <f>IFERROR(J351/I351,0)</f>
        <v>20.71769753676756</v>
      </c>
      <c r="S351" s="7">
        <f>Tabla_nuevas_columnas[[#This Row],[ROAS]]</f>
        <v>20.71769753676756</v>
      </c>
      <c r="T351" t="str">
        <f>_xlfn.CONCAT(C351,"-",D351)</f>
        <v>Paid Search-Francia</v>
      </c>
      <c r="U351">
        <f>YEAR(A351)</f>
        <v>2025</v>
      </c>
      <c r="V351">
        <f>MONTH(A351)</f>
        <v>6</v>
      </c>
      <c r="W351" t="str">
        <f>PROPER(TEXT(A351,"mmmm"))</f>
        <v>Junio</v>
      </c>
      <c r="X351" t="str">
        <f>PROPER(TEXT(A351,"dddd"))</f>
        <v>Sábado</v>
      </c>
      <c r="Y351" t="str" cm="1">
        <f t="array" ref="Y351">_xlfn.IFS(R351&gt;10,"Excelente",R351&gt;=5,"Bueno",R351&gt;=2,"Débil",R351&lt;2,"Deficiente")</f>
        <v>Excelente</v>
      </c>
      <c r="Z351" t="str">
        <f>IF(AND(R351&lt;2,Q351&gt;=100),"Revisar","OK")</f>
        <v>OK</v>
      </c>
      <c r="AA351" s="55">
        <f>_xlfn.XLOOKUP(C351,'Preguntas de negocio'!$C$114:$C$119,'Preguntas de negocio'!$D$114:$D$119,0)</f>
        <v>5</v>
      </c>
      <c r="AB351" s="55">
        <f>VLOOKUP(C351,'Preguntas de negocio'!$C$121:$D$127,2,FALSE)</f>
        <v>1.1000000000000001</v>
      </c>
    </row>
    <row r="352" spans="1:28" x14ac:dyDescent="0.3">
      <c r="A352" s="1">
        <v>45923</v>
      </c>
      <c r="B352" s="2" t="s">
        <v>2616</v>
      </c>
      <c r="C352" s="2" t="s">
        <v>2543</v>
      </c>
      <c r="D352" s="2" t="s">
        <v>2528</v>
      </c>
      <c r="E352" s="2" t="s">
        <v>2517</v>
      </c>
      <c r="F352" s="3">
        <v>38592</v>
      </c>
      <c r="G352" s="3">
        <v>3438</v>
      </c>
      <c r="H352" s="3">
        <v>320</v>
      </c>
      <c r="I352" s="4">
        <v>3493</v>
      </c>
      <c r="J352" s="4">
        <v>26012.11</v>
      </c>
      <c r="K352" s="3">
        <v>238</v>
      </c>
      <c r="L352" s="2" t="s">
        <v>2539</v>
      </c>
      <c r="M352" s="2" t="s">
        <v>2546</v>
      </c>
      <c r="N352" s="8">
        <f>IFERROR(G352/F352,0)</f>
        <v>8.9085820895522388E-2</v>
      </c>
      <c r="O352" s="8">
        <f>IFERROR(H352/G352,0)</f>
        <v>9.3077370564281559E-2</v>
      </c>
      <c r="P352" s="4">
        <f>IFERROR(I352/G352,0)</f>
        <v>1.0159976730657359</v>
      </c>
      <c r="Q352" s="4">
        <f>IFERROR(I352/H352,0)</f>
        <v>10.915625</v>
      </c>
      <c r="R352" s="12">
        <f>IFERROR(J352/I352,0)</f>
        <v>7.4469252791296885</v>
      </c>
      <c r="S352" s="7">
        <f>Tabla_nuevas_columnas[[#This Row],[ROAS]]</f>
        <v>7.4469252791296885</v>
      </c>
      <c r="T352" t="str">
        <f>_xlfn.CONCAT(C352,"-",D352)</f>
        <v>Organic Social-España</v>
      </c>
      <c r="U352">
        <f>YEAR(A352)</f>
        <v>2025</v>
      </c>
      <c r="V352">
        <f>MONTH(A352)</f>
        <v>9</v>
      </c>
      <c r="W352" t="str">
        <f>PROPER(TEXT(A352,"mmmm"))</f>
        <v>Septiembre</v>
      </c>
      <c r="X352" t="str">
        <f>PROPER(TEXT(A352,"dddd"))</f>
        <v>Martes</v>
      </c>
      <c r="Y352" t="str" cm="1">
        <f t="array" ref="Y352">_xlfn.IFS(R352&gt;10,"Excelente",R352&gt;=5,"Bueno",R352&gt;=2,"Débil",R352&lt;2,"Deficiente")</f>
        <v>Bueno</v>
      </c>
      <c r="Z352" t="str">
        <f>IF(AND(R352&lt;2,Q352&gt;=100),"Revisar","OK")</f>
        <v>OK</v>
      </c>
      <c r="AA352" s="55">
        <f>_xlfn.XLOOKUP(C352,'Preguntas de negocio'!$C$114:$C$119,'Preguntas de negocio'!$D$114:$D$119,0)</f>
        <v>4</v>
      </c>
      <c r="AB352" s="55">
        <f>VLOOKUP(C352,'Preguntas de negocio'!$C$121:$D$127,2,FALSE)</f>
        <v>0.95</v>
      </c>
    </row>
    <row r="353" spans="1:28" x14ac:dyDescent="0.3">
      <c r="A353" s="1">
        <v>45735</v>
      </c>
      <c r="B353" s="2" t="s">
        <v>2643</v>
      </c>
      <c r="C353" s="2" t="s">
        <v>2515</v>
      </c>
      <c r="D353" s="2" t="s">
        <v>2528</v>
      </c>
      <c r="E353" s="2" t="s">
        <v>2517</v>
      </c>
      <c r="F353" s="3">
        <v>27962</v>
      </c>
      <c r="G353" s="3">
        <v>1623</v>
      </c>
      <c r="H353" s="3">
        <v>196</v>
      </c>
      <c r="I353" s="4">
        <v>1903.84</v>
      </c>
      <c r="J353" s="4">
        <v>29641.94</v>
      </c>
      <c r="K353" s="3">
        <v>164</v>
      </c>
      <c r="L353" s="2" t="s">
        <v>2536</v>
      </c>
      <c r="M353" s="2" t="s">
        <v>2519</v>
      </c>
      <c r="N353" s="8">
        <f>IFERROR(G353/F353,0)</f>
        <v>5.8043058436449468E-2</v>
      </c>
      <c r="O353" s="8">
        <f>IFERROR(H353/G353,0)</f>
        <v>0.12076401725200246</v>
      </c>
      <c r="P353" s="4">
        <f>IFERROR(I353/G353,0)</f>
        <v>1.1730375847196548</v>
      </c>
      <c r="Q353" s="4">
        <f>IFERROR(I353/H353,0)</f>
        <v>9.7134693877551008</v>
      </c>
      <c r="R353" s="12">
        <f>IFERROR(J353/I353,0)</f>
        <v>15.56955416421548</v>
      </c>
      <c r="S353" s="7">
        <f>Tabla_nuevas_columnas[[#This Row],[ROAS]]</f>
        <v>15.56955416421548</v>
      </c>
      <c r="T353" t="str">
        <f>_xlfn.CONCAT(C353,"-",D353)</f>
        <v>Email-España</v>
      </c>
      <c r="U353">
        <f>YEAR(A353)</f>
        <v>2025</v>
      </c>
      <c r="V353">
        <f>MONTH(A353)</f>
        <v>3</v>
      </c>
      <c r="W353" t="str">
        <f>PROPER(TEXT(A353,"mmmm"))</f>
        <v>Marzo</v>
      </c>
      <c r="X353" t="str">
        <f>PROPER(TEXT(A353,"dddd"))</f>
        <v>Miércoles</v>
      </c>
      <c r="Y353" t="str" cm="1">
        <f t="array" ref="Y353">_xlfn.IFS(R353&gt;10,"Excelente",R353&gt;=5,"Bueno",R353&gt;=2,"Débil",R353&lt;2,"Deficiente")</f>
        <v>Excelente</v>
      </c>
      <c r="Z353" t="str">
        <f>IF(AND(R353&lt;2,Q353&gt;=100),"Revisar","OK")</f>
        <v>OK</v>
      </c>
      <c r="AA353" s="55">
        <f>_xlfn.XLOOKUP(C353,'Preguntas de negocio'!$C$114:$C$119,'Preguntas de negocio'!$D$114:$D$119,0)</f>
        <v>5.5</v>
      </c>
      <c r="AB353" s="55">
        <f>VLOOKUP(C353,'Preguntas de negocio'!$C$121:$D$127,2,FALSE)</f>
        <v>0.65</v>
      </c>
    </row>
    <row r="354" spans="1:28" x14ac:dyDescent="0.3">
      <c r="A354" s="1">
        <v>45848</v>
      </c>
      <c r="B354" s="2" t="s">
        <v>2634</v>
      </c>
      <c r="C354" s="2" t="s">
        <v>2541</v>
      </c>
      <c r="D354" s="2" t="s">
        <v>2531</v>
      </c>
      <c r="E354" s="2" t="s">
        <v>2517</v>
      </c>
      <c r="F354" s="3">
        <v>58138</v>
      </c>
      <c r="G354" s="3">
        <v>1903</v>
      </c>
      <c r="H354" s="3">
        <v>111</v>
      </c>
      <c r="I354" s="4">
        <v>2065.38</v>
      </c>
      <c r="J354" s="4">
        <v>4332.97</v>
      </c>
      <c r="K354" s="3">
        <v>51</v>
      </c>
      <c r="L354" s="2" t="s">
        <v>2539</v>
      </c>
      <c r="M354" s="2" t="s">
        <v>2546</v>
      </c>
      <c r="N354" s="8">
        <f>IFERROR(G354/F354,0)</f>
        <v>3.2732464137053219E-2</v>
      </c>
      <c r="O354" s="8">
        <f>IFERROR(H354/G354,0)</f>
        <v>5.8328954282711509E-2</v>
      </c>
      <c r="P354" s="4">
        <f>IFERROR(I354/G354,0)</f>
        <v>1.0853284287966369</v>
      </c>
      <c r="Q354" s="4">
        <f>IFERROR(I354/H354,0)</f>
        <v>18.607027027027026</v>
      </c>
      <c r="R354" s="12">
        <f>IFERROR(J354/I354,0)</f>
        <v>2.0979045018350133</v>
      </c>
      <c r="S354" s="7">
        <f>Tabla_nuevas_columnas[[#This Row],[ROAS]]</f>
        <v>2.0979045018350133</v>
      </c>
      <c r="T354" t="str">
        <f>_xlfn.CONCAT(C354,"-",D354)</f>
        <v>Display-Portugal</v>
      </c>
      <c r="U354">
        <f>YEAR(A354)</f>
        <v>2025</v>
      </c>
      <c r="V354">
        <f>MONTH(A354)</f>
        <v>7</v>
      </c>
      <c r="W354" t="str">
        <f>PROPER(TEXT(A354,"mmmm"))</f>
        <v>Julio</v>
      </c>
      <c r="X354" t="str">
        <f>PROPER(TEXT(A354,"dddd"))</f>
        <v>Jueves</v>
      </c>
      <c r="Y354" t="str" cm="1">
        <f t="array" ref="Y354">_xlfn.IFS(R354&gt;10,"Excelente",R354&gt;=5,"Bueno",R354&gt;=2,"Débil",R354&lt;2,"Deficiente")</f>
        <v>Débil</v>
      </c>
      <c r="Z354" t="str">
        <f>IF(AND(R354&lt;2,Q354&gt;=100),"Revisar","OK")</f>
        <v>OK</v>
      </c>
      <c r="AA354" s="55">
        <f>_xlfn.XLOOKUP(C354,'Preguntas de negocio'!$C$114:$C$119,'Preguntas de negocio'!$D$114:$D$119,0)</f>
        <v>5</v>
      </c>
      <c r="AB354" s="55">
        <f>VLOOKUP(C354,'Preguntas de negocio'!$C$121:$D$127,2,FALSE)</f>
        <v>0.5</v>
      </c>
    </row>
    <row r="355" spans="1:28" x14ac:dyDescent="0.3">
      <c r="A355" s="1">
        <v>45775</v>
      </c>
      <c r="B355" s="2" t="s">
        <v>2632</v>
      </c>
      <c r="C355" s="2" t="s">
        <v>2543</v>
      </c>
      <c r="D355" s="2" t="s">
        <v>2531</v>
      </c>
      <c r="E355" s="2" t="s">
        <v>2517</v>
      </c>
      <c r="F355" s="3">
        <v>58221</v>
      </c>
      <c r="G355" s="3">
        <v>967</v>
      </c>
      <c r="H355" s="3">
        <v>29</v>
      </c>
      <c r="I355" s="4">
        <v>354.59</v>
      </c>
      <c r="J355" s="4">
        <v>3435.83</v>
      </c>
      <c r="K355" s="3">
        <v>19</v>
      </c>
      <c r="L355" s="2" t="s">
        <v>2518</v>
      </c>
      <c r="M355" s="2" t="s">
        <v>2537</v>
      </c>
      <c r="N355" s="8">
        <f>IFERROR(G355/F355,0)</f>
        <v>1.6609127290840076E-2</v>
      </c>
      <c r="O355" s="8">
        <f>IFERROR(H355/G355,0)</f>
        <v>2.9989658738366079E-2</v>
      </c>
      <c r="P355" s="4">
        <f>IFERROR(I355/G355,0)</f>
        <v>0.36669079627714579</v>
      </c>
      <c r="Q355" s="4">
        <f>IFERROR(I355/H355,0)</f>
        <v>12.227241379310344</v>
      </c>
      <c r="R355" s="12">
        <f>IFERROR(J355/I355,0)</f>
        <v>9.6895851546856946</v>
      </c>
      <c r="S355" s="7">
        <f>Tabla_nuevas_columnas[[#This Row],[ROAS]]</f>
        <v>9.6895851546856946</v>
      </c>
      <c r="T355" t="str">
        <f>_xlfn.CONCAT(C355,"-",D355)</f>
        <v>Organic Social-Portugal</v>
      </c>
      <c r="U355">
        <f>YEAR(A355)</f>
        <v>2025</v>
      </c>
      <c r="V355">
        <f>MONTH(A355)</f>
        <v>4</v>
      </c>
      <c r="W355" t="str">
        <f>PROPER(TEXT(A355,"mmmm"))</f>
        <v>Abril</v>
      </c>
      <c r="X355" t="str">
        <f>PROPER(TEXT(A355,"dddd"))</f>
        <v>Lunes</v>
      </c>
      <c r="Y355" t="str" cm="1">
        <f t="array" ref="Y355">_xlfn.IFS(R355&gt;10,"Excelente",R355&gt;=5,"Bueno",R355&gt;=2,"Débil",R355&lt;2,"Deficiente")</f>
        <v>Bueno</v>
      </c>
      <c r="Z355" t="str">
        <f>IF(AND(R355&lt;2,Q355&gt;=100),"Revisar","OK")</f>
        <v>OK</v>
      </c>
      <c r="AA355" s="55">
        <f>_xlfn.XLOOKUP(C355,'Preguntas de negocio'!$C$114:$C$119,'Preguntas de negocio'!$D$114:$D$119,0)</f>
        <v>4</v>
      </c>
      <c r="AB355" s="55">
        <f>VLOOKUP(C355,'Preguntas de negocio'!$C$121:$D$127,2,FALSE)</f>
        <v>0.95</v>
      </c>
    </row>
    <row r="356" spans="1:28" x14ac:dyDescent="0.3">
      <c r="A356" s="1">
        <v>45745</v>
      </c>
      <c r="B356" s="2" t="s">
        <v>2637</v>
      </c>
      <c r="C356" s="2" t="s">
        <v>2533</v>
      </c>
      <c r="D356" s="2" t="s">
        <v>2531</v>
      </c>
      <c r="E356" s="2" t="s">
        <v>2529</v>
      </c>
      <c r="F356" s="3">
        <v>94253</v>
      </c>
      <c r="G356" s="3">
        <v>2847</v>
      </c>
      <c r="H356" s="3">
        <v>257</v>
      </c>
      <c r="I356" s="4">
        <v>5606.68</v>
      </c>
      <c r="J356" s="4">
        <v>38809.25</v>
      </c>
      <c r="K356" s="3">
        <v>140</v>
      </c>
      <c r="L356" s="2" t="s">
        <v>2518</v>
      </c>
      <c r="M356" s="2" t="s">
        <v>2519</v>
      </c>
      <c r="N356" s="8">
        <f>IFERROR(G356/F356,0)</f>
        <v>3.0205935089599269E-2</v>
      </c>
      <c r="O356" s="8">
        <f>IFERROR(H356/G356,0)</f>
        <v>9.0270460133473826E-2</v>
      </c>
      <c r="P356" s="4">
        <f>IFERROR(I356/G356,0)</f>
        <v>1.9693291183702144</v>
      </c>
      <c r="Q356" s="4">
        <f>IFERROR(I356/H356,0)</f>
        <v>21.815875486381323</v>
      </c>
      <c r="R356" s="12">
        <f>IFERROR(J356/I356,0)</f>
        <v>6.9219662973453095</v>
      </c>
      <c r="S356" s="7">
        <f>Tabla_nuevas_columnas[[#This Row],[ROAS]]</f>
        <v>6.9219662973453095</v>
      </c>
      <c r="T356" t="str">
        <f>_xlfn.CONCAT(C356,"-",D356)</f>
        <v>Paid Social-Portugal</v>
      </c>
      <c r="U356">
        <f>YEAR(A356)</f>
        <v>2025</v>
      </c>
      <c r="V356">
        <f>MONTH(A356)</f>
        <v>3</v>
      </c>
      <c r="W356" t="str">
        <f>PROPER(TEXT(A356,"mmmm"))</f>
        <v>Marzo</v>
      </c>
      <c r="X356" t="str">
        <f>PROPER(TEXT(A356,"dddd"))</f>
        <v>Sábado</v>
      </c>
      <c r="Y356" t="str" cm="1">
        <f t="array" ref="Y356">_xlfn.IFS(R356&gt;10,"Excelente",R356&gt;=5,"Bueno",R356&gt;=2,"Débil",R356&lt;2,"Deficiente")</f>
        <v>Bueno</v>
      </c>
      <c r="Z356" t="str">
        <f>IF(AND(R356&lt;2,Q356&gt;=100),"Revisar","OK")</f>
        <v>OK</v>
      </c>
      <c r="AA356" s="55">
        <f>_xlfn.XLOOKUP(C356,'Preguntas de negocio'!$C$114:$C$119,'Preguntas de negocio'!$D$114:$D$119,0)</f>
        <v>6</v>
      </c>
      <c r="AB356" s="55">
        <f>VLOOKUP(C356,'Preguntas de negocio'!$C$121:$D$127,2,FALSE)</f>
        <v>0.8</v>
      </c>
    </row>
    <row r="357" spans="1:28" x14ac:dyDescent="0.3">
      <c r="A357" s="1">
        <v>45866</v>
      </c>
      <c r="B357" s="2" t="s">
        <v>2615</v>
      </c>
      <c r="C357" s="2" t="s">
        <v>2543</v>
      </c>
      <c r="D357" s="2" t="s">
        <v>2516</v>
      </c>
      <c r="E357" s="2" t="s">
        <v>2529</v>
      </c>
      <c r="F357" s="3">
        <v>89698</v>
      </c>
      <c r="G357" s="3">
        <v>6845</v>
      </c>
      <c r="H357" s="3">
        <v>6868</v>
      </c>
      <c r="I357" s="4">
        <v>11458.1</v>
      </c>
      <c r="J357" s="4">
        <v>31748.43</v>
      </c>
      <c r="K357" s="3">
        <v>268</v>
      </c>
      <c r="L357" s="2" t="s">
        <v>2536</v>
      </c>
      <c r="M357" s="2" t="s">
        <v>2519</v>
      </c>
      <c r="N357" s="8">
        <f>IFERROR(G357/F357,0)</f>
        <v>7.6311623447568505E-2</v>
      </c>
      <c r="O357" s="8">
        <f>IFERROR(H357/G357,0)</f>
        <v>1.0033601168736304</v>
      </c>
      <c r="P357" s="4">
        <f>IFERROR(I357/G357,0)</f>
        <v>1.6739371804236669</v>
      </c>
      <c r="Q357" s="4">
        <f>IFERROR(I357/H357,0)</f>
        <v>1.6683313919627258</v>
      </c>
      <c r="R357" s="12">
        <f>IFERROR(J357/I357,0)</f>
        <v>2.7708284968712089</v>
      </c>
      <c r="S357" s="7">
        <f>Tabla_nuevas_columnas[[#This Row],[ROAS]]</f>
        <v>2.7708284968712089</v>
      </c>
      <c r="T357" t="str">
        <f>_xlfn.CONCAT(C357,"-",D357)</f>
        <v>Organic Social-México</v>
      </c>
      <c r="U357">
        <f>YEAR(A357)</f>
        <v>2025</v>
      </c>
      <c r="V357">
        <f>MONTH(A357)</f>
        <v>7</v>
      </c>
      <c r="W357" t="str">
        <f>PROPER(TEXT(A357,"mmmm"))</f>
        <v>Julio</v>
      </c>
      <c r="X357" t="str">
        <f>PROPER(TEXT(A357,"dddd"))</f>
        <v>Lunes</v>
      </c>
      <c r="Y357" t="str" cm="1">
        <f t="array" ref="Y357">_xlfn.IFS(R357&gt;10,"Excelente",R357&gt;=5,"Bueno",R357&gt;=2,"Débil",R357&lt;2,"Deficiente")</f>
        <v>Débil</v>
      </c>
      <c r="Z357" t="str">
        <f>IF(AND(R357&lt;2,Q357&gt;=100),"Revisar","OK")</f>
        <v>OK</v>
      </c>
      <c r="AA357" s="55">
        <f>_xlfn.XLOOKUP(C357,'Preguntas de negocio'!$C$114:$C$119,'Preguntas de negocio'!$D$114:$D$119,0)</f>
        <v>4</v>
      </c>
      <c r="AB357" s="55">
        <f>VLOOKUP(C357,'Preguntas de negocio'!$C$121:$D$127,2,FALSE)</f>
        <v>0.95</v>
      </c>
    </row>
    <row r="358" spans="1:28" x14ac:dyDescent="0.3">
      <c r="A358" s="1">
        <v>45664</v>
      </c>
      <c r="B358" s="2" t="s">
        <v>2616</v>
      </c>
      <c r="C358" s="2" t="s">
        <v>2527</v>
      </c>
      <c r="D358" s="2" t="s">
        <v>2516</v>
      </c>
      <c r="E358" s="2" t="s">
        <v>2517</v>
      </c>
      <c r="F358" s="3">
        <v>86465</v>
      </c>
      <c r="G358" s="3">
        <v>1226</v>
      </c>
      <c r="H358" s="3">
        <v>165</v>
      </c>
      <c r="I358" s="4">
        <v>130.78</v>
      </c>
      <c r="J358" s="4">
        <v>3136.57</v>
      </c>
      <c r="K358" s="3">
        <v>97</v>
      </c>
      <c r="L358" s="2" t="s">
        <v>2523</v>
      </c>
      <c r="M358" s="2" t="s">
        <v>2526</v>
      </c>
      <c r="N358" s="8">
        <f>IFERROR(G358/F358,0)</f>
        <v>1.4179147631989823E-2</v>
      </c>
      <c r="O358" s="8">
        <f>IFERROR(H358/G358,0)</f>
        <v>0.13458401305057097</v>
      </c>
      <c r="P358" s="4">
        <f>IFERROR(I358/G358,0)</f>
        <v>0.1066721044045677</v>
      </c>
      <c r="Q358" s="4">
        <f>IFERROR(I358/H358,0)</f>
        <v>0.79260606060606065</v>
      </c>
      <c r="R358" s="12">
        <f>IFERROR(J358/I358,0)</f>
        <v>23.983560177397155</v>
      </c>
      <c r="S358" s="7">
        <f>Tabla_nuevas_columnas[[#This Row],[ROAS]]</f>
        <v>23.983560177397155</v>
      </c>
      <c r="T358" t="str">
        <f>_xlfn.CONCAT(C358,"-",D358)</f>
        <v>Affiliate-México</v>
      </c>
      <c r="U358">
        <f>YEAR(A358)</f>
        <v>2025</v>
      </c>
      <c r="V358">
        <f>MONTH(A358)</f>
        <v>1</v>
      </c>
      <c r="W358" t="str">
        <f>PROPER(TEXT(A358,"mmmm"))</f>
        <v>Enero</v>
      </c>
      <c r="X358" t="str">
        <f>PROPER(TEXT(A358,"dddd"))</f>
        <v>Martes</v>
      </c>
      <c r="Y358" t="str" cm="1">
        <f t="array" ref="Y358">_xlfn.IFS(R358&gt;10,"Excelente",R358&gt;=5,"Bueno",R358&gt;=2,"Débil",R358&lt;2,"Deficiente")</f>
        <v>Excelente</v>
      </c>
      <c r="Z358" t="str">
        <f>IF(AND(R358&lt;2,Q358&gt;=100),"Revisar","OK")</f>
        <v>OK</v>
      </c>
      <c r="AA358" s="55">
        <f>_xlfn.XLOOKUP(C358,'Preguntas de negocio'!$C$114:$C$119,'Preguntas de negocio'!$D$114:$D$119,0)</f>
        <v>4.5</v>
      </c>
      <c r="AB358" s="55">
        <f>VLOOKUP(C358,'Preguntas de negocio'!$C$121:$D$127,2,FALSE)</f>
        <v>0.35</v>
      </c>
    </row>
    <row r="359" spans="1:28" x14ac:dyDescent="0.3">
      <c r="A359" s="1">
        <v>45887</v>
      </c>
      <c r="B359" s="2" t="s">
        <v>2621</v>
      </c>
      <c r="C359" s="2" t="s">
        <v>2543</v>
      </c>
      <c r="D359" s="2" t="s">
        <v>2528</v>
      </c>
      <c r="E359" s="2" t="s">
        <v>2534</v>
      </c>
      <c r="F359" s="3">
        <v>161509</v>
      </c>
      <c r="G359" s="3">
        <v>6257</v>
      </c>
      <c r="H359" s="3">
        <v>701</v>
      </c>
      <c r="I359" s="4">
        <v>6965.17</v>
      </c>
      <c r="J359" s="4">
        <v>81589.81</v>
      </c>
      <c r="K359" s="3">
        <v>430</v>
      </c>
      <c r="L359" s="2" t="s">
        <v>2518</v>
      </c>
      <c r="M359" s="2" t="s">
        <v>2537</v>
      </c>
      <c r="N359" s="8">
        <f>IFERROR(G359/F359,0)</f>
        <v>3.8740875121510254E-2</v>
      </c>
      <c r="O359" s="8">
        <f>IFERROR(H359/G359,0)</f>
        <v>0.11203452133610356</v>
      </c>
      <c r="P359" s="4">
        <f>IFERROR(I359/G359,0)</f>
        <v>1.1131804379095414</v>
      </c>
      <c r="Q359" s="4">
        <f>IFERROR(I359/H359,0)</f>
        <v>9.9360485021397995</v>
      </c>
      <c r="R359" s="12">
        <f>IFERROR(J359/I359,0)</f>
        <v>11.71397252328371</v>
      </c>
      <c r="S359" s="7">
        <f>Tabla_nuevas_columnas[[#This Row],[ROAS]]</f>
        <v>11.71397252328371</v>
      </c>
      <c r="T359" t="str">
        <f>_xlfn.CONCAT(C359,"-",D359)</f>
        <v>Organic Social-España</v>
      </c>
      <c r="U359">
        <f>YEAR(A359)</f>
        <v>2025</v>
      </c>
      <c r="V359">
        <f>MONTH(A359)</f>
        <v>8</v>
      </c>
      <c r="W359" t="str">
        <f>PROPER(TEXT(A359,"mmmm"))</f>
        <v>Agosto</v>
      </c>
      <c r="X359" t="str">
        <f>PROPER(TEXT(A359,"dddd"))</f>
        <v>Lunes</v>
      </c>
      <c r="Y359" t="str" cm="1">
        <f t="array" ref="Y359">_xlfn.IFS(R359&gt;10,"Excelente",R359&gt;=5,"Bueno",R359&gt;=2,"Débil",R359&lt;2,"Deficiente")</f>
        <v>Excelente</v>
      </c>
      <c r="Z359" t="str">
        <f>IF(AND(R359&lt;2,Q359&gt;=100),"Revisar","OK")</f>
        <v>OK</v>
      </c>
      <c r="AA359" s="55">
        <f>_xlfn.XLOOKUP(C359,'Preguntas de negocio'!$C$114:$C$119,'Preguntas de negocio'!$D$114:$D$119,0)</f>
        <v>4</v>
      </c>
      <c r="AB359" s="55">
        <f>VLOOKUP(C359,'Preguntas de negocio'!$C$121:$D$127,2,FALSE)</f>
        <v>0.95</v>
      </c>
    </row>
    <row r="360" spans="1:28" x14ac:dyDescent="0.3">
      <c r="A360" s="1">
        <v>45658</v>
      </c>
      <c r="B360" s="2" t="s">
        <v>2615</v>
      </c>
      <c r="C360" s="2" t="s">
        <v>2521</v>
      </c>
      <c r="D360" s="2" t="s">
        <v>2528</v>
      </c>
      <c r="E360" s="2" t="s">
        <v>2517</v>
      </c>
      <c r="F360" s="3">
        <v>132090</v>
      </c>
      <c r="G360" s="3">
        <v>3254</v>
      </c>
      <c r="H360" s="3">
        <v>435</v>
      </c>
      <c r="I360" s="4">
        <v>5965.4</v>
      </c>
      <c r="J360" s="4">
        <v>90068.32</v>
      </c>
      <c r="K360" s="3">
        <v>236</v>
      </c>
      <c r="L360" s="2" t="s">
        <v>2518</v>
      </c>
      <c r="M360" s="2" t="s">
        <v>2519</v>
      </c>
      <c r="N360" s="8">
        <f>IFERROR(G360/F360,0)</f>
        <v>2.4634718752365812E-2</v>
      </c>
      <c r="O360" s="8">
        <f>IFERROR(H360/G360,0)</f>
        <v>0.13368162261831593</v>
      </c>
      <c r="P360" s="4">
        <f>IFERROR(I360/G360,0)</f>
        <v>1.8332513829133372</v>
      </c>
      <c r="Q360" s="4">
        <f>IFERROR(I360/H360,0)</f>
        <v>13.713563218390803</v>
      </c>
      <c r="R360" s="12">
        <f>IFERROR(J360/I360,0)</f>
        <v>15.098454420491503</v>
      </c>
      <c r="S360" s="7">
        <f>Tabla_nuevas_columnas[[#This Row],[ROAS]]</f>
        <v>15.098454420491503</v>
      </c>
      <c r="T360" t="str">
        <f>_xlfn.CONCAT(C360,"-",D360)</f>
        <v>Paid Search-España</v>
      </c>
      <c r="U360">
        <f>YEAR(A360)</f>
        <v>2025</v>
      </c>
      <c r="V360">
        <f>MONTH(A360)</f>
        <v>1</v>
      </c>
      <c r="W360" t="str">
        <f>PROPER(TEXT(A360,"mmmm"))</f>
        <v>Enero</v>
      </c>
      <c r="X360" t="str">
        <f>PROPER(TEXT(A360,"dddd"))</f>
        <v>Miércoles</v>
      </c>
      <c r="Y360" t="str" cm="1">
        <f t="array" ref="Y360">_xlfn.IFS(R360&gt;10,"Excelente",R360&gt;=5,"Bueno",R360&gt;=2,"Débil",R360&lt;2,"Deficiente")</f>
        <v>Excelente</v>
      </c>
      <c r="Z360" t="str">
        <f>IF(AND(R360&lt;2,Q360&gt;=100),"Revisar","OK")</f>
        <v>OK</v>
      </c>
      <c r="AA360" s="55">
        <f>_xlfn.XLOOKUP(C360,'Preguntas de negocio'!$C$114:$C$119,'Preguntas de negocio'!$D$114:$D$119,0)</f>
        <v>5</v>
      </c>
      <c r="AB360" s="55">
        <f>VLOOKUP(C360,'Preguntas de negocio'!$C$121:$D$127,2,FALSE)</f>
        <v>1.1000000000000001</v>
      </c>
    </row>
    <row r="361" spans="1:28" x14ac:dyDescent="0.3">
      <c r="A361" s="1">
        <v>45845</v>
      </c>
      <c r="B361" s="2" t="s">
        <v>2644</v>
      </c>
      <c r="C361" s="2" t="s">
        <v>2521</v>
      </c>
      <c r="D361" s="2" t="s">
        <v>2528</v>
      </c>
      <c r="E361" s="2" t="s">
        <v>2517</v>
      </c>
      <c r="F361" s="3">
        <v>61258</v>
      </c>
      <c r="G361" s="3">
        <v>1728</v>
      </c>
      <c r="H361" s="3">
        <v>60</v>
      </c>
      <c r="I361" s="4">
        <v>2894.07</v>
      </c>
      <c r="J361" s="4">
        <v>12563.29</v>
      </c>
      <c r="K361" s="3">
        <v>36</v>
      </c>
      <c r="L361" s="2" t="s">
        <v>2518</v>
      </c>
      <c r="M361" s="2" t="s">
        <v>2524</v>
      </c>
      <c r="N361" s="8">
        <f>IFERROR(G361/F361,0)</f>
        <v>2.8208560514545039E-2</v>
      </c>
      <c r="O361" s="8">
        <f>IFERROR(H361/G361,0)</f>
        <v>3.4722222222222224E-2</v>
      </c>
      <c r="P361" s="4">
        <f>IFERROR(I361/G361,0)</f>
        <v>1.6748090277777778</v>
      </c>
      <c r="Q361" s="4">
        <f>IFERROR(I361/H361,0)</f>
        <v>48.234500000000004</v>
      </c>
      <c r="R361" s="12">
        <f>IFERROR(J361/I361,0)</f>
        <v>4.3410456554264414</v>
      </c>
      <c r="S361" s="7">
        <f>Tabla_nuevas_columnas[[#This Row],[ROAS]]</f>
        <v>4.3410456554264414</v>
      </c>
      <c r="T361" t="str">
        <f>_xlfn.CONCAT(C361,"-",D361)</f>
        <v>Paid Search-España</v>
      </c>
      <c r="U361">
        <f>YEAR(A361)</f>
        <v>2025</v>
      </c>
      <c r="V361">
        <f>MONTH(A361)</f>
        <v>7</v>
      </c>
      <c r="W361" t="str">
        <f>PROPER(TEXT(A361,"mmmm"))</f>
        <v>Julio</v>
      </c>
      <c r="X361" t="str">
        <f>PROPER(TEXT(A361,"dddd"))</f>
        <v>Lunes</v>
      </c>
      <c r="Y361" t="str" cm="1">
        <f t="array" ref="Y361">_xlfn.IFS(R361&gt;10,"Excelente",R361&gt;=5,"Bueno",R361&gt;=2,"Débil",R361&lt;2,"Deficiente")</f>
        <v>Débil</v>
      </c>
      <c r="Z361" t="str">
        <f>IF(AND(R361&lt;2,Q361&gt;=100),"Revisar","OK")</f>
        <v>OK</v>
      </c>
      <c r="AA361" s="55">
        <f>_xlfn.XLOOKUP(C361,'Preguntas de negocio'!$C$114:$C$119,'Preguntas de negocio'!$D$114:$D$119,0)</f>
        <v>5</v>
      </c>
      <c r="AB361" s="55">
        <f>VLOOKUP(C361,'Preguntas de negocio'!$C$121:$D$127,2,FALSE)</f>
        <v>1.1000000000000001</v>
      </c>
    </row>
    <row r="362" spans="1:28" x14ac:dyDescent="0.3">
      <c r="A362" s="1">
        <v>45686</v>
      </c>
      <c r="B362" s="2" t="s">
        <v>2620</v>
      </c>
      <c r="C362" s="2" t="s">
        <v>2533</v>
      </c>
      <c r="D362" s="2" t="s">
        <v>2516</v>
      </c>
      <c r="E362" s="2" t="s">
        <v>2517</v>
      </c>
      <c r="F362" s="3">
        <v>153601</v>
      </c>
      <c r="G362" s="3">
        <v>10179</v>
      </c>
      <c r="H362" s="3">
        <v>897</v>
      </c>
      <c r="I362" s="4">
        <v>1536.86</v>
      </c>
      <c r="J362" s="4">
        <v>51519.43</v>
      </c>
      <c r="K362" s="3">
        <v>417</v>
      </c>
      <c r="L362" s="2" t="s">
        <v>2536</v>
      </c>
      <c r="M362" s="2" t="s">
        <v>2526</v>
      </c>
      <c r="N362" s="8">
        <f>IFERROR(G362/F362,0)</f>
        <v>6.6269099810548113E-2</v>
      </c>
      <c r="O362" s="8">
        <f>IFERROR(H362/G362,0)</f>
        <v>8.8122605363984668E-2</v>
      </c>
      <c r="P362" s="4">
        <f>IFERROR(I362/G362,0)</f>
        <v>0.15098339719029374</v>
      </c>
      <c r="Q362" s="4">
        <f>IFERROR(I362/H362,0)</f>
        <v>1.7133333333333332</v>
      </c>
      <c r="R362" s="12">
        <f>IFERROR(J362/I362,0)</f>
        <v>33.522526450034491</v>
      </c>
      <c r="S362" s="7">
        <f>Tabla_nuevas_columnas[[#This Row],[ROAS]]</f>
        <v>33.522526450034491</v>
      </c>
      <c r="T362" t="str">
        <f>_xlfn.CONCAT(C362,"-",D362)</f>
        <v>Paid Social-México</v>
      </c>
      <c r="U362">
        <f>YEAR(A362)</f>
        <v>2025</v>
      </c>
      <c r="V362">
        <f>MONTH(A362)</f>
        <v>1</v>
      </c>
      <c r="W362" t="str">
        <f>PROPER(TEXT(A362,"mmmm"))</f>
        <v>Enero</v>
      </c>
      <c r="X362" t="str">
        <f>PROPER(TEXT(A362,"dddd"))</f>
        <v>Miércoles</v>
      </c>
      <c r="Y362" t="str" cm="1">
        <f t="array" ref="Y362">_xlfn.IFS(R362&gt;10,"Excelente",R362&gt;=5,"Bueno",R362&gt;=2,"Débil",R362&lt;2,"Deficiente")</f>
        <v>Excelente</v>
      </c>
      <c r="Z362" t="str">
        <f>IF(AND(R362&lt;2,Q362&gt;=100),"Revisar","OK")</f>
        <v>OK</v>
      </c>
      <c r="AA362" s="55">
        <f>_xlfn.XLOOKUP(C362,'Preguntas de negocio'!$C$114:$C$119,'Preguntas de negocio'!$D$114:$D$119,0)</f>
        <v>6</v>
      </c>
      <c r="AB362" s="55">
        <f>VLOOKUP(C362,'Preguntas de negocio'!$C$121:$D$127,2,FALSE)</f>
        <v>0.8</v>
      </c>
    </row>
    <row r="363" spans="1:28" x14ac:dyDescent="0.3">
      <c r="A363" s="1">
        <v>45871</v>
      </c>
      <c r="B363" s="2" t="s">
        <v>2634</v>
      </c>
      <c r="C363" s="2" t="s">
        <v>2521</v>
      </c>
      <c r="D363" s="2" t="s">
        <v>2528</v>
      </c>
      <c r="E363" s="2" t="s">
        <v>2517</v>
      </c>
      <c r="F363" s="3">
        <v>8347</v>
      </c>
      <c r="G363" s="3">
        <v>81</v>
      </c>
      <c r="H363" s="3">
        <v>8</v>
      </c>
      <c r="I363" s="4">
        <v>58.25</v>
      </c>
      <c r="J363" s="4">
        <v>622.6</v>
      </c>
      <c r="K363" s="3">
        <v>4</v>
      </c>
      <c r="L363" s="2" t="s">
        <v>2536</v>
      </c>
      <c r="M363" s="2" t="s">
        <v>2519</v>
      </c>
      <c r="N363" s="8">
        <f>IFERROR(G363/F363,0)</f>
        <v>9.7040853001078235E-3</v>
      </c>
      <c r="O363" s="8">
        <f>IFERROR(H363/G363,0)</f>
        <v>9.8765432098765427E-2</v>
      </c>
      <c r="P363" s="4">
        <f>IFERROR(I363/G363,0)</f>
        <v>0.71913580246913578</v>
      </c>
      <c r="Q363" s="4">
        <f>IFERROR(I363/H363,0)</f>
        <v>7.28125</v>
      </c>
      <c r="R363" s="12">
        <f>IFERROR(J363/I363,0)</f>
        <v>10.688412017167382</v>
      </c>
      <c r="S363" s="7">
        <f>Tabla_nuevas_columnas[[#This Row],[ROAS]]</f>
        <v>10.688412017167382</v>
      </c>
      <c r="T363" t="str">
        <f>_xlfn.CONCAT(C363,"-",D363)</f>
        <v>Paid Search-España</v>
      </c>
      <c r="U363">
        <f>YEAR(A363)</f>
        <v>2025</v>
      </c>
      <c r="V363">
        <f>MONTH(A363)</f>
        <v>8</v>
      </c>
      <c r="W363" t="str">
        <f>PROPER(TEXT(A363,"mmmm"))</f>
        <v>Agosto</v>
      </c>
      <c r="X363" t="str">
        <f>PROPER(TEXT(A363,"dddd"))</f>
        <v>Sábado</v>
      </c>
      <c r="Y363" t="str" cm="1">
        <f t="array" ref="Y363">_xlfn.IFS(R363&gt;10,"Excelente",R363&gt;=5,"Bueno",R363&gt;=2,"Débil",R363&lt;2,"Deficiente")</f>
        <v>Excelente</v>
      </c>
      <c r="Z363" t="str">
        <f>IF(AND(R363&lt;2,Q363&gt;=100),"Revisar","OK")</f>
        <v>OK</v>
      </c>
      <c r="AA363" s="55">
        <f>_xlfn.XLOOKUP(C363,'Preguntas de negocio'!$C$114:$C$119,'Preguntas de negocio'!$D$114:$D$119,0)</f>
        <v>5</v>
      </c>
      <c r="AB363" s="55">
        <f>VLOOKUP(C363,'Preguntas de negocio'!$C$121:$D$127,2,FALSE)</f>
        <v>1.1000000000000001</v>
      </c>
    </row>
    <row r="364" spans="1:28" x14ac:dyDescent="0.3">
      <c r="A364" s="1">
        <v>45811</v>
      </c>
      <c r="B364" s="2" t="s">
        <v>2628</v>
      </c>
      <c r="C364" s="2" t="s">
        <v>2515</v>
      </c>
      <c r="D364" s="2" t="s">
        <v>2528</v>
      </c>
      <c r="E364" s="2" t="s">
        <v>2529</v>
      </c>
      <c r="F364" s="3">
        <v>12186</v>
      </c>
      <c r="G364" s="3">
        <v>513</v>
      </c>
      <c r="H364" s="3">
        <v>33</v>
      </c>
      <c r="I364" s="4">
        <v>840.7</v>
      </c>
      <c r="J364" s="4">
        <v>3090.58</v>
      </c>
      <c r="K364" s="3">
        <v>22</v>
      </c>
      <c r="L364" s="2" t="s">
        <v>2518</v>
      </c>
      <c r="M364" s="2" t="s">
        <v>2526</v>
      </c>
      <c r="N364" s="8">
        <f>IFERROR(G364/F364,0)</f>
        <v>4.2097488921713444E-2</v>
      </c>
      <c r="O364" s="8">
        <f>IFERROR(H364/G364,0)</f>
        <v>6.4327485380116955E-2</v>
      </c>
      <c r="P364" s="4">
        <f>IFERROR(I364/G364,0)</f>
        <v>1.6387914230019494</v>
      </c>
      <c r="Q364" s="4">
        <f>IFERROR(I364/H364,0)</f>
        <v>25.475757575757576</v>
      </c>
      <c r="R364" s="12">
        <f>IFERROR(J364/I364,0)</f>
        <v>3.6761984060901627</v>
      </c>
      <c r="S364" s="7">
        <f>Tabla_nuevas_columnas[[#This Row],[ROAS]]</f>
        <v>3.6761984060901627</v>
      </c>
      <c r="T364" t="str">
        <f>_xlfn.CONCAT(C364,"-",D364)</f>
        <v>Email-España</v>
      </c>
      <c r="U364">
        <f>YEAR(A364)</f>
        <v>2025</v>
      </c>
      <c r="V364">
        <f>MONTH(A364)</f>
        <v>6</v>
      </c>
      <c r="W364" t="str">
        <f>PROPER(TEXT(A364,"mmmm"))</f>
        <v>Junio</v>
      </c>
      <c r="X364" t="str">
        <f>PROPER(TEXT(A364,"dddd"))</f>
        <v>Martes</v>
      </c>
      <c r="Y364" t="str" cm="1">
        <f t="array" ref="Y364">_xlfn.IFS(R364&gt;10,"Excelente",R364&gt;=5,"Bueno",R364&gt;=2,"Débil",R364&lt;2,"Deficiente")</f>
        <v>Débil</v>
      </c>
      <c r="Z364" t="str">
        <f>IF(AND(R364&lt;2,Q364&gt;=100),"Revisar","OK")</f>
        <v>OK</v>
      </c>
      <c r="AA364" s="55">
        <f>_xlfn.XLOOKUP(C364,'Preguntas de negocio'!$C$114:$C$119,'Preguntas de negocio'!$D$114:$D$119,0)</f>
        <v>5.5</v>
      </c>
      <c r="AB364" s="55">
        <f>VLOOKUP(C364,'Preguntas de negocio'!$C$121:$D$127,2,FALSE)</f>
        <v>0.65</v>
      </c>
    </row>
    <row r="365" spans="1:28" x14ac:dyDescent="0.3">
      <c r="A365" s="1">
        <v>45954</v>
      </c>
      <c r="B365" s="2" t="s">
        <v>2618</v>
      </c>
      <c r="C365" s="2" t="s">
        <v>2515</v>
      </c>
      <c r="D365" s="2" t="s">
        <v>2525</v>
      </c>
      <c r="E365" s="2" t="s">
        <v>2517</v>
      </c>
      <c r="F365" s="3">
        <v>84768</v>
      </c>
      <c r="G365" s="3">
        <v>6549</v>
      </c>
      <c r="H365" s="3">
        <v>594</v>
      </c>
      <c r="I365" s="4">
        <v>2238.92</v>
      </c>
      <c r="J365" s="4">
        <v>107121.07</v>
      </c>
      <c r="K365" s="3">
        <v>309</v>
      </c>
      <c r="L365" s="2" t="s">
        <v>2518</v>
      </c>
      <c r="M365" s="2" t="s">
        <v>2519</v>
      </c>
      <c r="N365" s="8">
        <f>IFERROR(G365/F365,0)</f>
        <v>7.7257927519818803E-2</v>
      </c>
      <c r="O365" s="8">
        <f>IFERROR(H365/G365,0)</f>
        <v>9.0700870361887315E-2</v>
      </c>
      <c r="P365" s="4">
        <f>IFERROR(I365/G365,0)</f>
        <v>0.3418720415330585</v>
      </c>
      <c r="Q365" s="4">
        <f>IFERROR(I365/H365,0)</f>
        <v>3.7692255892255893</v>
      </c>
      <c r="R365" s="12">
        <f>IFERROR(J365/I365,0)</f>
        <v>47.844974362639128</v>
      </c>
      <c r="S365" s="7">
        <f>Tabla_nuevas_columnas[[#This Row],[ROAS]]</f>
        <v>47.844974362639128</v>
      </c>
      <c r="T365" t="str">
        <f>_xlfn.CONCAT(C365,"-",D365)</f>
        <v>Email-Francia</v>
      </c>
      <c r="U365">
        <f>YEAR(A365)</f>
        <v>2025</v>
      </c>
      <c r="V365">
        <f>MONTH(A365)</f>
        <v>10</v>
      </c>
      <c r="W365" t="str">
        <f>PROPER(TEXT(A365,"mmmm"))</f>
        <v>Octubre</v>
      </c>
      <c r="X365" t="str">
        <f>PROPER(TEXT(A365,"dddd"))</f>
        <v>Viernes</v>
      </c>
      <c r="Y365" t="str" cm="1">
        <f t="array" ref="Y365">_xlfn.IFS(R365&gt;10,"Excelente",R365&gt;=5,"Bueno",R365&gt;=2,"Débil",R365&lt;2,"Deficiente")</f>
        <v>Excelente</v>
      </c>
      <c r="Z365" t="str">
        <f>IF(AND(R365&lt;2,Q365&gt;=100),"Revisar","OK")</f>
        <v>OK</v>
      </c>
      <c r="AA365" s="55">
        <f>_xlfn.XLOOKUP(C365,'Preguntas de negocio'!$C$114:$C$119,'Preguntas de negocio'!$D$114:$D$119,0)</f>
        <v>5.5</v>
      </c>
      <c r="AB365" s="55">
        <f>VLOOKUP(C365,'Preguntas de negocio'!$C$121:$D$127,2,FALSE)</f>
        <v>0.65</v>
      </c>
    </row>
    <row r="366" spans="1:28" x14ac:dyDescent="0.3">
      <c r="A366" s="1">
        <v>45778</v>
      </c>
      <c r="B366" s="2" t="s">
        <v>2644</v>
      </c>
      <c r="C366" s="2" t="s">
        <v>2533</v>
      </c>
      <c r="D366" s="2" t="s">
        <v>2516</v>
      </c>
      <c r="E366" s="2" t="s">
        <v>2517</v>
      </c>
      <c r="F366" s="3">
        <v>30869</v>
      </c>
      <c r="G366" s="3">
        <v>1238</v>
      </c>
      <c r="H366" s="3">
        <v>83</v>
      </c>
      <c r="I366" s="4">
        <v>2347.1</v>
      </c>
      <c r="J366" s="4">
        <v>9543.58</v>
      </c>
      <c r="K366" s="3">
        <v>54</v>
      </c>
      <c r="L366" s="2" t="s">
        <v>2536</v>
      </c>
      <c r="M366" s="2" t="s">
        <v>2526</v>
      </c>
      <c r="N366" s="8">
        <f>IFERROR(G366/F366,0)</f>
        <v>4.0104959668275618E-2</v>
      </c>
      <c r="O366" s="8">
        <f>IFERROR(H366/G366,0)</f>
        <v>6.7043618739903069E-2</v>
      </c>
      <c r="P366" s="4">
        <f>IFERROR(I366/G366,0)</f>
        <v>1.8958804523424879</v>
      </c>
      <c r="Q366" s="4">
        <f>IFERROR(I366/H366,0)</f>
        <v>28.278313253012048</v>
      </c>
      <c r="R366" s="12">
        <f>IFERROR(J366/I366,0)</f>
        <v>4.0661156320565803</v>
      </c>
      <c r="S366" s="7">
        <f>Tabla_nuevas_columnas[[#This Row],[ROAS]]</f>
        <v>4.0661156320565803</v>
      </c>
      <c r="T366" t="str">
        <f>_xlfn.CONCAT(C366,"-",D366)</f>
        <v>Paid Social-México</v>
      </c>
      <c r="U366">
        <f>YEAR(A366)</f>
        <v>2025</v>
      </c>
      <c r="V366">
        <f>MONTH(A366)</f>
        <v>5</v>
      </c>
      <c r="W366" t="str">
        <f>PROPER(TEXT(A366,"mmmm"))</f>
        <v>Mayo</v>
      </c>
      <c r="X366" t="str">
        <f>PROPER(TEXT(A366,"dddd"))</f>
        <v>Jueves</v>
      </c>
      <c r="Y366" t="str" cm="1">
        <f t="array" ref="Y366">_xlfn.IFS(R366&gt;10,"Excelente",R366&gt;=5,"Bueno",R366&gt;=2,"Débil",R366&lt;2,"Deficiente")</f>
        <v>Débil</v>
      </c>
      <c r="Z366" t="str">
        <f>IF(AND(R366&lt;2,Q366&gt;=100),"Revisar","OK")</f>
        <v>OK</v>
      </c>
      <c r="AA366" s="55">
        <f>_xlfn.XLOOKUP(C366,'Preguntas de negocio'!$C$114:$C$119,'Preguntas de negocio'!$D$114:$D$119,0)</f>
        <v>6</v>
      </c>
      <c r="AB366" s="55">
        <f>VLOOKUP(C366,'Preguntas de negocio'!$C$121:$D$127,2,FALSE)</f>
        <v>0.8</v>
      </c>
    </row>
    <row r="367" spans="1:28" x14ac:dyDescent="0.3">
      <c r="A367" s="1">
        <v>45661</v>
      </c>
      <c r="B367" s="2" t="s">
        <v>2635</v>
      </c>
      <c r="C367" s="2" t="s">
        <v>2543</v>
      </c>
      <c r="D367" s="2" t="s">
        <v>2528</v>
      </c>
      <c r="E367" s="2" t="s">
        <v>2529</v>
      </c>
      <c r="F367" s="3">
        <v>149800</v>
      </c>
      <c r="G367" s="3">
        <v>8365</v>
      </c>
      <c r="H367" s="3">
        <v>478</v>
      </c>
      <c r="I367" s="4">
        <v>1967.18</v>
      </c>
      <c r="J367" s="4">
        <v>56297.97</v>
      </c>
      <c r="K367" s="3">
        <v>350</v>
      </c>
      <c r="L367" s="2" t="s">
        <v>2539</v>
      </c>
      <c r="M367" s="2" t="s">
        <v>2546</v>
      </c>
      <c r="N367" s="8">
        <f>IFERROR(G367/F367,0)</f>
        <v>5.5841121495327106E-2</v>
      </c>
      <c r="O367" s="8">
        <f>IFERROR(H367/G367,0)</f>
        <v>5.7142857142857141E-2</v>
      </c>
      <c r="P367" s="4">
        <f>IFERROR(I367/G367,0)</f>
        <v>0.23516796174536761</v>
      </c>
      <c r="Q367" s="4">
        <f>IFERROR(I367/H367,0)</f>
        <v>4.115439330543933</v>
      </c>
      <c r="R367" s="12">
        <f>IFERROR(J367/I367,0)</f>
        <v>28.618616496711027</v>
      </c>
      <c r="S367" s="7">
        <f>Tabla_nuevas_columnas[[#This Row],[ROAS]]</f>
        <v>28.618616496711027</v>
      </c>
      <c r="T367" t="str">
        <f>_xlfn.CONCAT(C367,"-",D367)</f>
        <v>Organic Social-España</v>
      </c>
      <c r="U367">
        <f>YEAR(A367)</f>
        <v>2025</v>
      </c>
      <c r="V367">
        <f>MONTH(A367)</f>
        <v>1</v>
      </c>
      <c r="W367" t="str">
        <f>PROPER(TEXT(A367,"mmmm"))</f>
        <v>Enero</v>
      </c>
      <c r="X367" t="str">
        <f>PROPER(TEXT(A367,"dddd"))</f>
        <v>Sábado</v>
      </c>
      <c r="Y367" t="str" cm="1">
        <f t="array" ref="Y367">_xlfn.IFS(R367&gt;10,"Excelente",R367&gt;=5,"Bueno",R367&gt;=2,"Débil",R367&lt;2,"Deficiente")</f>
        <v>Excelente</v>
      </c>
      <c r="Z367" t="str">
        <f>IF(AND(R367&lt;2,Q367&gt;=100),"Revisar","OK")</f>
        <v>OK</v>
      </c>
      <c r="AA367" s="55">
        <f>_xlfn.XLOOKUP(C367,'Preguntas de negocio'!$C$114:$C$119,'Preguntas de negocio'!$D$114:$D$119,0)</f>
        <v>4</v>
      </c>
      <c r="AB367" s="55">
        <f>VLOOKUP(C367,'Preguntas de negocio'!$C$121:$D$127,2,FALSE)</f>
        <v>0.95</v>
      </c>
    </row>
    <row r="368" spans="1:28" x14ac:dyDescent="0.3">
      <c r="A368" s="1">
        <v>45989</v>
      </c>
      <c r="B368" s="2" t="s">
        <v>2624</v>
      </c>
      <c r="C368" s="2" t="s">
        <v>2515</v>
      </c>
      <c r="D368" s="2" t="s">
        <v>2525</v>
      </c>
      <c r="E368" s="2" t="s">
        <v>2534</v>
      </c>
      <c r="F368" s="3">
        <v>131697</v>
      </c>
      <c r="G368" s="3">
        <v>2248</v>
      </c>
      <c r="H368" s="3">
        <v>187</v>
      </c>
      <c r="I368" s="4">
        <v>4050.36</v>
      </c>
      <c r="J368" s="4">
        <v>33252.28</v>
      </c>
      <c r="K368" s="3">
        <v>91</v>
      </c>
      <c r="L368" s="2" t="s">
        <v>2539</v>
      </c>
      <c r="M368" s="2" t="s">
        <v>2546</v>
      </c>
      <c r="N368" s="8">
        <f>IFERROR(G368/F368,0)</f>
        <v>1.7069485257826679E-2</v>
      </c>
      <c r="O368" s="8">
        <f>IFERROR(H368/G368,0)</f>
        <v>8.3185053380782914E-2</v>
      </c>
      <c r="P368" s="4">
        <f>IFERROR(I368/G368,0)</f>
        <v>1.8017615658362991</v>
      </c>
      <c r="Q368" s="4">
        <f>IFERROR(I368/H368,0)</f>
        <v>21.659679144385027</v>
      </c>
      <c r="R368" s="12">
        <f>IFERROR(J368/I368,0)</f>
        <v>8.2097097541946891</v>
      </c>
      <c r="S368" s="7">
        <f>Tabla_nuevas_columnas[[#This Row],[ROAS]]</f>
        <v>8.2097097541946891</v>
      </c>
      <c r="T368" t="str">
        <f>_xlfn.CONCAT(C368,"-",D368)</f>
        <v>Email-Francia</v>
      </c>
      <c r="U368">
        <f>YEAR(A368)</f>
        <v>2025</v>
      </c>
      <c r="V368">
        <f>MONTH(A368)</f>
        <v>11</v>
      </c>
      <c r="W368" t="str">
        <f>PROPER(TEXT(A368,"mmmm"))</f>
        <v>Noviembre</v>
      </c>
      <c r="X368" t="str">
        <f>PROPER(TEXT(A368,"dddd"))</f>
        <v>Viernes</v>
      </c>
      <c r="Y368" t="str" cm="1">
        <f t="array" ref="Y368">_xlfn.IFS(R368&gt;10,"Excelente",R368&gt;=5,"Bueno",R368&gt;=2,"Débil",R368&lt;2,"Deficiente")</f>
        <v>Bueno</v>
      </c>
      <c r="Z368" t="str">
        <f>IF(AND(R368&lt;2,Q368&gt;=100),"Revisar","OK")</f>
        <v>OK</v>
      </c>
      <c r="AA368" s="55">
        <f>_xlfn.XLOOKUP(C368,'Preguntas de negocio'!$C$114:$C$119,'Preguntas de negocio'!$D$114:$D$119,0)</f>
        <v>5.5</v>
      </c>
      <c r="AB368" s="55">
        <f>VLOOKUP(C368,'Preguntas de negocio'!$C$121:$D$127,2,FALSE)</f>
        <v>0.65</v>
      </c>
    </row>
    <row r="369" spans="1:28" x14ac:dyDescent="0.3">
      <c r="A369" s="1">
        <v>45729</v>
      </c>
      <c r="B369" s="2" t="s">
        <v>2630</v>
      </c>
      <c r="C369" s="2" t="s">
        <v>2515</v>
      </c>
      <c r="D369" s="2" t="s">
        <v>2528</v>
      </c>
      <c r="E369" s="2" t="s">
        <v>2529</v>
      </c>
      <c r="F369" s="3">
        <v>72072</v>
      </c>
      <c r="G369" s="3">
        <v>2918</v>
      </c>
      <c r="H369" s="3">
        <v>151</v>
      </c>
      <c r="I369" s="4">
        <v>2165.69</v>
      </c>
      <c r="J369" s="4">
        <v>11043.66</v>
      </c>
      <c r="K369" s="3">
        <v>118</v>
      </c>
      <c r="L369" s="2" t="s">
        <v>2518</v>
      </c>
      <c r="M369" s="2" t="s">
        <v>2524</v>
      </c>
      <c r="N369" s="8">
        <f>IFERROR(G369/F369,0)</f>
        <v>4.0487290487290488E-2</v>
      </c>
      <c r="O369" s="8">
        <f>IFERROR(H369/G369,0)</f>
        <v>5.1747772446881425E-2</v>
      </c>
      <c r="P369" s="4">
        <f>IFERROR(I369/G369,0)</f>
        <v>0.74218300205620291</v>
      </c>
      <c r="Q369" s="4">
        <f>IFERROR(I369/H369,0)</f>
        <v>14.342317880794702</v>
      </c>
      <c r="R369" s="12">
        <f>IFERROR(J369/I369,0)</f>
        <v>5.0993724863669314</v>
      </c>
      <c r="S369" s="7">
        <f>Tabla_nuevas_columnas[[#This Row],[ROAS]]</f>
        <v>5.0993724863669314</v>
      </c>
      <c r="T369" t="str">
        <f>_xlfn.CONCAT(C369,"-",D369)</f>
        <v>Email-España</v>
      </c>
      <c r="U369">
        <f>YEAR(A369)</f>
        <v>2025</v>
      </c>
      <c r="V369">
        <f>MONTH(A369)</f>
        <v>3</v>
      </c>
      <c r="W369" t="str">
        <f>PROPER(TEXT(A369,"mmmm"))</f>
        <v>Marzo</v>
      </c>
      <c r="X369" t="str">
        <f>PROPER(TEXT(A369,"dddd"))</f>
        <v>Jueves</v>
      </c>
      <c r="Y369" t="str" cm="1">
        <f t="array" ref="Y369">_xlfn.IFS(R369&gt;10,"Excelente",R369&gt;=5,"Bueno",R369&gt;=2,"Débil",R369&lt;2,"Deficiente")</f>
        <v>Bueno</v>
      </c>
      <c r="Z369" t="str">
        <f>IF(AND(R369&lt;2,Q369&gt;=100),"Revisar","OK")</f>
        <v>OK</v>
      </c>
      <c r="AA369" s="55">
        <f>_xlfn.XLOOKUP(C369,'Preguntas de negocio'!$C$114:$C$119,'Preguntas de negocio'!$D$114:$D$119,0)</f>
        <v>5.5</v>
      </c>
      <c r="AB369" s="55">
        <f>VLOOKUP(C369,'Preguntas de negocio'!$C$121:$D$127,2,FALSE)</f>
        <v>0.65</v>
      </c>
    </row>
    <row r="370" spans="1:28" x14ac:dyDescent="0.3">
      <c r="A370" s="1">
        <v>45888</v>
      </c>
      <c r="B370" s="2" t="s">
        <v>2642</v>
      </c>
      <c r="C370" s="2" t="s">
        <v>2543</v>
      </c>
      <c r="D370" s="2" t="s">
        <v>2531</v>
      </c>
      <c r="E370" s="2" t="s">
        <v>2529</v>
      </c>
      <c r="F370" s="3">
        <v>22966</v>
      </c>
      <c r="G370" s="3">
        <v>131</v>
      </c>
      <c r="H370" s="3">
        <v>0</v>
      </c>
      <c r="I370" s="4">
        <v>59.28</v>
      </c>
      <c r="J370" s="4">
        <v>0</v>
      </c>
      <c r="K370" s="3">
        <v>0</v>
      </c>
      <c r="L370" s="2" t="s">
        <v>2518</v>
      </c>
      <c r="M370" s="2" t="s">
        <v>2546</v>
      </c>
      <c r="N370" s="8">
        <f>IFERROR(G370/F370,0)</f>
        <v>5.7040842985282593E-3</v>
      </c>
      <c r="O370" s="8">
        <f>IFERROR(H370/G370,0)</f>
        <v>0</v>
      </c>
      <c r="P370" s="4">
        <f>IFERROR(I370/G370,0)</f>
        <v>0.45251908396946566</v>
      </c>
      <c r="Q370" s="4">
        <f>IFERROR(I370/H370,0)</f>
        <v>0</v>
      </c>
      <c r="R370" s="12">
        <f>IFERROR(J370/I370,0)</f>
        <v>0</v>
      </c>
      <c r="S370" s="7">
        <f>Tabla_nuevas_columnas[[#This Row],[ROAS]]</f>
        <v>0</v>
      </c>
      <c r="T370" t="str">
        <f>_xlfn.CONCAT(C370,"-",D370)</f>
        <v>Organic Social-Portugal</v>
      </c>
      <c r="U370">
        <f>YEAR(A370)</f>
        <v>2025</v>
      </c>
      <c r="V370">
        <f>MONTH(A370)</f>
        <v>8</v>
      </c>
      <c r="W370" t="str">
        <f>PROPER(TEXT(A370,"mmmm"))</f>
        <v>Agosto</v>
      </c>
      <c r="X370" t="str">
        <f>PROPER(TEXT(A370,"dddd"))</f>
        <v>Martes</v>
      </c>
      <c r="Y370" t="str" cm="1">
        <f t="array" ref="Y370">_xlfn.IFS(R370&gt;10,"Excelente",R370&gt;=5,"Bueno",R370&gt;=2,"Débil",R370&lt;2,"Deficiente")</f>
        <v>Deficiente</v>
      </c>
      <c r="Z370" t="str">
        <f>IF(AND(R370&lt;2,Q370&gt;=100),"Revisar","OK")</f>
        <v>OK</v>
      </c>
      <c r="AA370" s="55">
        <f>_xlfn.XLOOKUP(C370,'Preguntas de negocio'!$C$114:$C$119,'Preguntas de negocio'!$D$114:$D$119,0)</f>
        <v>4</v>
      </c>
      <c r="AB370" s="55">
        <f>VLOOKUP(C370,'Preguntas de negocio'!$C$121:$D$127,2,FALSE)</f>
        <v>0.95</v>
      </c>
    </row>
    <row r="371" spans="1:28" x14ac:dyDescent="0.3">
      <c r="A371" s="1">
        <v>45793</v>
      </c>
      <c r="B371" s="2" t="s">
        <v>2642</v>
      </c>
      <c r="C371" s="2" t="s">
        <v>2543</v>
      </c>
      <c r="D371" s="2" t="s">
        <v>2531</v>
      </c>
      <c r="E371" s="2" t="s">
        <v>2529</v>
      </c>
      <c r="F371" s="3">
        <v>57022</v>
      </c>
      <c r="G371" s="3">
        <v>3344</v>
      </c>
      <c r="H371" s="3">
        <v>460</v>
      </c>
      <c r="I371" s="4">
        <v>3789.67</v>
      </c>
      <c r="J371" s="4">
        <v>89547.31</v>
      </c>
      <c r="K371" s="3">
        <v>406</v>
      </c>
      <c r="L371" s="2" t="s">
        <v>2536</v>
      </c>
      <c r="M371" s="2" t="s">
        <v>2519</v>
      </c>
      <c r="N371" s="8">
        <f>IFERROR(G371/F371,0)</f>
        <v>5.8644032127950614E-2</v>
      </c>
      <c r="O371" s="8">
        <f>IFERROR(H371/G371,0)</f>
        <v>0.13755980861244019</v>
      </c>
      <c r="P371" s="4">
        <f>IFERROR(I371/G371,0)</f>
        <v>1.1332745215311004</v>
      </c>
      <c r="Q371" s="4">
        <f>IFERROR(I371/H371,0)</f>
        <v>8.2384130434782605</v>
      </c>
      <c r="R371" s="12">
        <f>IFERROR(J371/I371,0)</f>
        <v>23.629316009045642</v>
      </c>
      <c r="S371" s="7">
        <f>Tabla_nuevas_columnas[[#This Row],[ROAS]]</f>
        <v>23.629316009045642</v>
      </c>
      <c r="T371" t="str">
        <f>_xlfn.CONCAT(C371,"-",D371)</f>
        <v>Organic Social-Portugal</v>
      </c>
      <c r="U371">
        <f>YEAR(A371)</f>
        <v>2025</v>
      </c>
      <c r="V371">
        <f>MONTH(A371)</f>
        <v>5</v>
      </c>
      <c r="W371" t="str">
        <f>PROPER(TEXT(A371,"mmmm"))</f>
        <v>Mayo</v>
      </c>
      <c r="X371" t="str">
        <f>PROPER(TEXT(A371,"dddd"))</f>
        <v>Viernes</v>
      </c>
      <c r="Y371" t="str" cm="1">
        <f t="array" ref="Y371">_xlfn.IFS(R371&gt;10,"Excelente",R371&gt;=5,"Bueno",R371&gt;=2,"Débil",R371&lt;2,"Deficiente")</f>
        <v>Excelente</v>
      </c>
      <c r="Z371" t="str">
        <f>IF(AND(R371&lt;2,Q371&gt;=100),"Revisar","OK")</f>
        <v>OK</v>
      </c>
      <c r="AA371" s="55">
        <f>_xlfn.XLOOKUP(C371,'Preguntas de negocio'!$C$114:$C$119,'Preguntas de negocio'!$D$114:$D$119,0)</f>
        <v>4</v>
      </c>
      <c r="AB371" s="55">
        <f>VLOOKUP(C371,'Preguntas de negocio'!$C$121:$D$127,2,FALSE)</f>
        <v>0.95</v>
      </c>
    </row>
    <row r="372" spans="1:28" x14ac:dyDescent="0.3">
      <c r="A372" s="1">
        <v>45890</v>
      </c>
      <c r="B372" s="2" t="s">
        <v>2631</v>
      </c>
      <c r="C372" s="2" t="s">
        <v>2521</v>
      </c>
      <c r="D372" s="2" t="s">
        <v>2528</v>
      </c>
      <c r="E372" s="2" t="s">
        <v>2517</v>
      </c>
      <c r="F372" s="3">
        <v>8420</v>
      </c>
      <c r="G372" s="3">
        <v>610</v>
      </c>
      <c r="H372" s="3">
        <v>21</v>
      </c>
      <c r="I372" s="4">
        <v>721.04</v>
      </c>
      <c r="J372" s="4">
        <v>2318.92</v>
      </c>
      <c r="K372" s="3">
        <v>12</v>
      </c>
      <c r="L372" s="2" t="s">
        <v>2523</v>
      </c>
      <c r="M372" s="2" t="s">
        <v>2537</v>
      </c>
      <c r="N372" s="8">
        <f>IFERROR(G372/F372,0)</f>
        <v>7.244655581947744E-2</v>
      </c>
      <c r="O372" s="8">
        <f>IFERROR(H372/G372,0)</f>
        <v>3.4426229508196723E-2</v>
      </c>
      <c r="P372" s="4">
        <f>IFERROR(I372/G372,0)</f>
        <v>1.1820327868852458</v>
      </c>
      <c r="Q372" s="4">
        <f>IFERROR(I372/H372,0)</f>
        <v>34.335238095238097</v>
      </c>
      <c r="R372" s="12">
        <f>IFERROR(J372/I372,0)</f>
        <v>3.216076777987352</v>
      </c>
      <c r="S372" s="7">
        <f>Tabla_nuevas_columnas[[#This Row],[ROAS]]</f>
        <v>3.216076777987352</v>
      </c>
      <c r="T372" t="str">
        <f>_xlfn.CONCAT(C372,"-",D372)</f>
        <v>Paid Search-España</v>
      </c>
      <c r="U372">
        <f>YEAR(A372)</f>
        <v>2025</v>
      </c>
      <c r="V372">
        <f>MONTH(A372)</f>
        <v>8</v>
      </c>
      <c r="W372" t="str">
        <f>PROPER(TEXT(A372,"mmmm"))</f>
        <v>Agosto</v>
      </c>
      <c r="X372" t="str">
        <f>PROPER(TEXT(A372,"dddd"))</f>
        <v>Jueves</v>
      </c>
      <c r="Y372" t="str" cm="1">
        <f t="array" ref="Y372">_xlfn.IFS(R372&gt;10,"Excelente",R372&gt;=5,"Bueno",R372&gt;=2,"Débil",R372&lt;2,"Deficiente")</f>
        <v>Débil</v>
      </c>
      <c r="Z372" t="str">
        <f>IF(AND(R372&lt;2,Q372&gt;=100),"Revisar","OK")</f>
        <v>OK</v>
      </c>
      <c r="AA372" s="55">
        <f>_xlfn.XLOOKUP(C372,'Preguntas de negocio'!$C$114:$C$119,'Preguntas de negocio'!$D$114:$D$119,0)</f>
        <v>5</v>
      </c>
      <c r="AB372" s="55">
        <f>VLOOKUP(C372,'Preguntas de negocio'!$C$121:$D$127,2,FALSE)</f>
        <v>1.1000000000000001</v>
      </c>
    </row>
    <row r="373" spans="1:28" x14ac:dyDescent="0.3">
      <c r="A373" s="1">
        <v>45963</v>
      </c>
      <c r="B373" s="2" t="s">
        <v>2630</v>
      </c>
      <c r="C373" s="2" t="s">
        <v>2515</v>
      </c>
      <c r="D373" s="2" t="s">
        <v>2528</v>
      </c>
      <c r="E373" s="2" t="s">
        <v>2517</v>
      </c>
      <c r="F373" s="3">
        <v>11039</v>
      </c>
      <c r="G373" s="3">
        <v>625</v>
      </c>
      <c r="H373" s="3">
        <v>22</v>
      </c>
      <c r="I373" s="4">
        <v>209.95</v>
      </c>
      <c r="J373" s="4">
        <v>789.84</v>
      </c>
      <c r="K373" s="3">
        <v>15</v>
      </c>
      <c r="L373" s="2" t="s">
        <v>2523</v>
      </c>
      <c r="M373" s="2" t="s">
        <v>2524</v>
      </c>
      <c r="N373" s="8">
        <f>IFERROR(G373/F373,0)</f>
        <v>5.6617447232539177E-2</v>
      </c>
      <c r="O373" s="8">
        <f>IFERROR(H373/G373,0)</f>
        <v>3.5200000000000002E-2</v>
      </c>
      <c r="P373" s="4">
        <f>IFERROR(I373/G373,0)</f>
        <v>0.33592</v>
      </c>
      <c r="Q373" s="4">
        <f>IFERROR(I373/H373,0)</f>
        <v>9.543181818181818</v>
      </c>
      <c r="R373" s="12">
        <f>IFERROR(J373/I373,0)</f>
        <v>3.7620385806144325</v>
      </c>
      <c r="S373" s="7">
        <f>Tabla_nuevas_columnas[[#This Row],[ROAS]]</f>
        <v>3.7620385806144325</v>
      </c>
      <c r="T373" t="str">
        <f>_xlfn.CONCAT(C373,"-",D373)</f>
        <v>Email-España</v>
      </c>
      <c r="U373">
        <f>YEAR(A373)</f>
        <v>2025</v>
      </c>
      <c r="V373">
        <f>MONTH(A373)</f>
        <v>11</v>
      </c>
      <c r="W373" t="str">
        <f>PROPER(TEXT(A373,"mmmm"))</f>
        <v>Noviembre</v>
      </c>
      <c r="X373" t="str">
        <f>PROPER(TEXT(A373,"dddd"))</f>
        <v>Domingo</v>
      </c>
      <c r="Y373" t="str" cm="1">
        <f t="array" ref="Y373">_xlfn.IFS(R373&gt;10,"Excelente",R373&gt;=5,"Bueno",R373&gt;=2,"Débil",R373&lt;2,"Deficiente")</f>
        <v>Débil</v>
      </c>
      <c r="Z373" t="str">
        <f>IF(AND(R373&lt;2,Q373&gt;=100),"Revisar","OK")</f>
        <v>OK</v>
      </c>
      <c r="AA373" s="55">
        <f>_xlfn.XLOOKUP(C373,'Preguntas de negocio'!$C$114:$C$119,'Preguntas de negocio'!$D$114:$D$119,0)</f>
        <v>5.5</v>
      </c>
      <c r="AB373" s="55">
        <f>VLOOKUP(C373,'Preguntas de negocio'!$C$121:$D$127,2,FALSE)</f>
        <v>0.65</v>
      </c>
    </row>
    <row r="374" spans="1:28" x14ac:dyDescent="0.3">
      <c r="A374" s="1">
        <v>45710</v>
      </c>
      <c r="B374" s="2" t="s">
        <v>2642</v>
      </c>
      <c r="C374" s="2" t="s">
        <v>2541</v>
      </c>
      <c r="D374" s="2" t="s">
        <v>2531</v>
      </c>
      <c r="E374" s="2" t="s">
        <v>2517</v>
      </c>
      <c r="F374" s="3">
        <v>146543</v>
      </c>
      <c r="G374" s="3">
        <v>3673</v>
      </c>
      <c r="H374" s="3">
        <v>478</v>
      </c>
      <c r="I374" s="4">
        <v>2467.1</v>
      </c>
      <c r="J374" s="4">
        <v>22806.01</v>
      </c>
      <c r="K374" s="3">
        <v>234</v>
      </c>
      <c r="L374" s="2" t="s">
        <v>2523</v>
      </c>
      <c r="M374" s="2" t="s">
        <v>2524</v>
      </c>
      <c r="N374" s="8">
        <f>IFERROR(G374/F374,0)</f>
        <v>2.5064315593375325E-2</v>
      </c>
      <c r="O374" s="8">
        <f>IFERROR(H374/G374,0)</f>
        <v>0.1301388510754152</v>
      </c>
      <c r="P374" s="4">
        <f>IFERROR(I374/G374,0)</f>
        <v>0.67168527089572549</v>
      </c>
      <c r="Q374" s="4">
        <f>IFERROR(I374/H374,0)</f>
        <v>5.1612970711297068</v>
      </c>
      <c r="R374" s="12">
        <f>IFERROR(J374/I374,0)</f>
        <v>9.2440557739856501</v>
      </c>
      <c r="S374" s="7">
        <f>Tabla_nuevas_columnas[[#This Row],[ROAS]]</f>
        <v>9.2440557739856501</v>
      </c>
      <c r="T374" t="str">
        <f>_xlfn.CONCAT(C374,"-",D374)</f>
        <v>Display-Portugal</v>
      </c>
      <c r="U374">
        <f>YEAR(A374)</f>
        <v>2025</v>
      </c>
      <c r="V374">
        <f>MONTH(A374)</f>
        <v>2</v>
      </c>
      <c r="W374" t="str">
        <f>PROPER(TEXT(A374,"mmmm"))</f>
        <v>Febrero</v>
      </c>
      <c r="X374" t="str">
        <f>PROPER(TEXT(A374,"dddd"))</f>
        <v>Sábado</v>
      </c>
      <c r="Y374" t="str" cm="1">
        <f t="array" ref="Y374">_xlfn.IFS(R374&gt;10,"Excelente",R374&gt;=5,"Bueno",R374&gt;=2,"Débil",R374&lt;2,"Deficiente")</f>
        <v>Bueno</v>
      </c>
      <c r="Z374" t="str">
        <f>IF(AND(R374&lt;2,Q374&gt;=100),"Revisar","OK")</f>
        <v>OK</v>
      </c>
      <c r="AA374" s="55">
        <f>_xlfn.XLOOKUP(C374,'Preguntas de negocio'!$C$114:$C$119,'Preguntas de negocio'!$D$114:$D$119,0)</f>
        <v>5</v>
      </c>
      <c r="AB374" s="55">
        <f>VLOOKUP(C374,'Preguntas de negocio'!$C$121:$D$127,2,FALSE)</f>
        <v>0.5</v>
      </c>
    </row>
    <row r="375" spans="1:28" x14ac:dyDescent="0.3">
      <c r="A375" s="1">
        <v>45704</v>
      </c>
      <c r="B375" s="2" t="s">
        <v>2641</v>
      </c>
      <c r="C375" s="2" t="s">
        <v>2543</v>
      </c>
      <c r="D375" s="2" t="s">
        <v>2516</v>
      </c>
      <c r="E375" s="2" t="s">
        <v>2517</v>
      </c>
      <c r="F375" s="3">
        <v>104929</v>
      </c>
      <c r="G375" s="3">
        <v>6977</v>
      </c>
      <c r="H375" s="3">
        <v>148</v>
      </c>
      <c r="I375" s="4">
        <v>12338.18</v>
      </c>
      <c r="J375" s="4">
        <v>16053.49</v>
      </c>
      <c r="K375" s="3">
        <v>129</v>
      </c>
      <c r="L375" s="2" t="s">
        <v>2523</v>
      </c>
      <c r="M375" s="2" t="s">
        <v>2526</v>
      </c>
      <c r="N375" s="8">
        <f>IFERROR(G375/F375,0)</f>
        <v>6.6492580697423975E-2</v>
      </c>
      <c r="O375" s="8">
        <f>IFERROR(H375/G375,0)</f>
        <v>2.1212555539630213E-2</v>
      </c>
      <c r="P375" s="4">
        <f>IFERROR(I375/G375,0)</f>
        <v>1.7684076250537482</v>
      </c>
      <c r="Q375" s="4">
        <f>IFERROR(I375/H375,0)</f>
        <v>83.366081081081077</v>
      </c>
      <c r="R375" s="12">
        <f>IFERROR(J375/I375,0)</f>
        <v>1.3011230181436808</v>
      </c>
      <c r="S375" s="7">
        <f>Tabla_nuevas_columnas[[#This Row],[ROAS]]</f>
        <v>1.3011230181436808</v>
      </c>
      <c r="T375" t="str">
        <f>_xlfn.CONCAT(C375,"-",D375)</f>
        <v>Organic Social-México</v>
      </c>
      <c r="U375">
        <f>YEAR(A375)</f>
        <v>2025</v>
      </c>
      <c r="V375">
        <f>MONTH(A375)</f>
        <v>2</v>
      </c>
      <c r="W375" t="str">
        <f>PROPER(TEXT(A375,"mmmm"))</f>
        <v>Febrero</v>
      </c>
      <c r="X375" t="str">
        <f>PROPER(TEXT(A375,"dddd"))</f>
        <v>Domingo</v>
      </c>
      <c r="Y375" t="str" cm="1">
        <f t="array" ref="Y375">_xlfn.IFS(R375&gt;10,"Excelente",R375&gt;=5,"Bueno",R375&gt;=2,"Débil",R375&lt;2,"Deficiente")</f>
        <v>Deficiente</v>
      </c>
      <c r="Z375" t="str">
        <f>IF(AND(R375&lt;2,Q375&gt;=100),"Revisar","OK")</f>
        <v>OK</v>
      </c>
      <c r="AA375" s="55">
        <f>_xlfn.XLOOKUP(C375,'Preguntas de negocio'!$C$114:$C$119,'Preguntas de negocio'!$D$114:$D$119,0)</f>
        <v>4</v>
      </c>
      <c r="AB375" s="55">
        <f>VLOOKUP(C375,'Preguntas de negocio'!$C$121:$D$127,2,FALSE)</f>
        <v>0.95</v>
      </c>
    </row>
    <row r="376" spans="1:28" x14ac:dyDescent="0.3">
      <c r="A376" s="1">
        <v>45746</v>
      </c>
      <c r="B376" s="2" t="s">
        <v>2633</v>
      </c>
      <c r="C376" s="2" t="s">
        <v>2515</v>
      </c>
      <c r="D376" s="2" t="s">
        <v>2528</v>
      </c>
      <c r="E376" s="2" t="s">
        <v>2517</v>
      </c>
      <c r="F376" s="3">
        <v>35967</v>
      </c>
      <c r="G376" s="3">
        <v>1101</v>
      </c>
      <c r="H376" s="3">
        <v>149</v>
      </c>
      <c r="I376" s="4">
        <v>1316.87</v>
      </c>
      <c r="J376" s="4">
        <v>31454.55</v>
      </c>
      <c r="K376" s="3">
        <v>84</v>
      </c>
      <c r="L376" s="2" t="s">
        <v>2523</v>
      </c>
      <c r="M376" s="2" t="s">
        <v>2537</v>
      </c>
      <c r="N376" s="8">
        <f>IFERROR(G376/F376,0)</f>
        <v>3.0611393777629493E-2</v>
      </c>
      <c r="O376" s="8">
        <f>IFERROR(H376/G376,0)</f>
        <v>0.13533151680290645</v>
      </c>
      <c r="P376" s="4">
        <f>IFERROR(I376/G376,0)</f>
        <v>1.1960672116257947</v>
      </c>
      <c r="Q376" s="4">
        <f>IFERROR(I376/H376,0)</f>
        <v>8.8380536912751673</v>
      </c>
      <c r="R376" s="12">
        <f>IFERROR(J376/I376,0)</f>
        <v>23.885842945772932</v>
      </c>
      <c r="S376" s="7">
        <f>Tabla_nuevas_columnas[[#This Row],[ROAS]]</f>
        <v>23.885842945772932</v>
      </c>
      <c r="T376" t="str">
        <f>_xlfn.CONCAT(C376,"-",D376)</f>
        <v>Email-España</v>
      </c>
      <c r="U376">
        <f>YEAR(A376)</f>
        <v>2025</v>
      </c>
      <c r="V376">
        <f>MONTH(A376)</f>
        <v>3</v>
      </c>
      <c r="W376" t="str">
        <f>PROPER(TEXT(A376,"mmmm"))</f>
        <v>Marzo</v>
      </c>
      <c r="X376" t="str">
        <f>PROPER(TEXT(A376,"dddd"))</f>
        <v>Domingo</v>
      </c>
      <c r="Y376" t="str" cm="1">
        <f t="array" ref="Y376">_xlfn.IFS(R376&gt;10,"Excelente",R376&gt;=5,"Bueno",R376&gt;=2,"Débil",R376&lt;2,"Deficiente")</f>
        <v>Excelente</v>
      </c>
      <c r="Z376" t="str">
        <f>IF(AND(R376&lt;2,Q376&gt;=100),"Revisar","OK")</f>
        <v>OK</v>
      </c>
      <c r="AA376" s="55">
        <f>_xlfn.XLOOKUP(C376,'Preguntas de negocio'!$C$114:$C$119,'Preguntas de negocio'!$D$114:$D$119,0)</f>
        <v>5.5</v>
      </c>
      <c r="AB376" s="55">
        <f>VLOOKUP(C376,'Preguntas de negocio'!$C$121:$D$127,2,FALSE)</f>
        <v>0.65</v>
      </c>
    </row>
    <row r="377" spans="1:28" x14ac:dyDescent="0.3">
      <c r="A377" s="1">
        <v>45905</v>
      </c>
      <c r="B377" s="2" t="s">
        <v>2629</v>
      </c>
      <c r="C377" s="2" t="s">
        <v>2515</v>
      </c>
      <c r="D377" s="2" t="s">
        <v>2531</v>
      </c>
      <c r="E377" s="2" t="s">
        <v>2517</v>
      </c>
      <c r="F377" s="3">
        <v>5114</v>
      </c>
      <c r="G377" s="3">
        <v>185</v>
      </c>
      <c r="H377" s="3">
        <v>11</v>
      </c>
      <c r="I377" s="4">
        <v>277.92</v>
      </c>
      <c r="J377" s="4">
        <v>1227.3499999999999</v>
      </c>
      <c r="K377" s="3">
        <v>6</v>
      </c>
      <c r="L377" s="2" t="s">
        <v>2539</v>
      </c>
      <c r="M377" s="2" t="s">
        <v>2546</v>
      </c>
      <c r="N377" s="8">
        <f>IFERROR(G377/F377,0)</f>
        <v>3.6175205318732889E-2</v>
      </c>
      <c r="O377" s="8">
        <f>IFERROR(H377/G377,0)</f>
        <v>5.9459459459459463E-2</v>
      </c>
      <c r="P377" s="4">
        <f>IFERROR(I377/G377,0)</f>
        <v>1.5022702702702704</v>
      </c>
      <c r="Q377" s="4">
        <f>IFERROR(I377/H377,0)</f>
        <v>25.265454545454546</v>
      </c>
      <c r="R377" s="12">
        <f>IFERROR(J377/I377,0)</f>
        <v>4.4161989061600453</v>
      </c>
      <c r="S377" s="7">
        <f>Tabla_nuevas_columnas[[#This Row],[ROAS]]</f>
        <v>4.4161989061600453</v>
      </c>
      <c r="T377" t="str">
        <f>_xlfn.CONCAT(C377,"-",D377)</f>
        <v>Email-Portugal</v>
      </c>
      <c r="U377">
        <f>YEAR(A377)</f>
        <v>2025</v>
      </c>
      <c r="V377">
        <f>MONTH(A377)</f>
        <v>9</v>
      </c>
      <c r="W377" t="str">
        <f>PROPER(TEXT(A377,"mmmm"))</f>
        <v>Septiembre</v>
      </c>
      <c r="X377" t="str">
        <f>PROPER(TEXT(A377,"dddd"))</f>
        <v>Viernes</v>
      </c>
      <c r="Y377" t="str" cm="1">
        <f t="array" ref="Y377">_xlfn.IFS(R377&gt;10,"Excelente",R377&gt;=5,"Bueno",R377&gt;=2,"Débil",R377&lt;2,"Deficiente")</f>
        <v>Débil</v>
      </c>
      <c r="Z377" t="str">
        <f>IF(AND(R377&lt;2,Q377&gt;=100),"Revisar","OK")</f>
        <v>OK</v>
      </c>
      <c r="AA377" s="55">
        <f>_xlfn.XLOOKUP(C377,'Preguntas de negocio'!$C$114:$C$119,'Preguntas de negocio'!$D$114:$D$119,0)</f>
        <v>5.5</v>
      </c>
      <c r="AB377" s="55">
        <f>VLOOKUP(C377,'Preguntas de negocio'!$C$121:$D$127,2,FALSE)</f>
        <v>0.65</v>
      </c>
    </row>
    <row r="378" spans="1:28" x14ac:dyDescent="0.3">
      <c r="A378" s="1">
        <v>45660</v>
      </c>
      <c r="B378" s="2" t="s">
        <v>2625</v>
      </c>
      <c r="C378" s="2" t="s">
        <v>2527</v>
      </c>
      <c r="D378" s="2" t="s">
        <v>2528</v>
      </c>
      <c r="E378" s="2" t="s">
        <v>2529</v>
      </c>
      <c r="F378" s="3">
        <v>139020</v>
      </c>
      <c r="G378" s="3">
        <v>8141</v>
      </c>
      <c r="H378" s="3">
        <v>44</v>
      </c>
      <c r="I378" s="4">
        <v>1743.65</v>
      </c>
      <c r="J378" s="4">
        <v>1465.69</v>
      </c>
      <c r="K378" s="3">
        <v>28</v>
      </c>
      <c r="L378" s="2" t="s">
        <v>2536</v>
      </c>
      <c r="M378" s="2" t="s">
        <v>2519</v>
      </c>
      <c r="N378" s="8">
        <f>IFERROR(G378/F378,0)</f>
        <v>5.855991943605237E-2</v>
      </c>
      <c r="O378" s="8">
        <f>IFERROR(H378/G378,0)</f>
        <v>5.40474143225648E-3</v>
      </c>
      <c r="P378" s="4">
        <f>IFERROR(I378/G378,0)</f>
        <v>0.21418130450804571</v>
      </c>
      <c r="Q378" s="4">
        <f>IFERROR(I378/H378,0)</f>
        <v>39.628409090909095</v>
      </c>
      <c r="R378" s="12">
        <f>IFERROR(J378/I378,0)</f>
        <v>0.8405872738221547</v>
      </c>
      <c r="S378" s="7">
        <f>Tabla_nuevas_columnas[[#This Row],[ROAS]]</f>
        <v>0.8405872738221547</v>
      </c>
      <c r="T378" t="str">
        <f>_xlfn.CONCAT(C378,"-",D378)</f>
        <v>Affiliate-España</v>
      </c>
      <c r="U378">
        <f>YEAR(A378)</f>
        <v>2025</v>
      </c>
      <c r="V378">
        <f>MONTH(A378)</f>
        <v>1</v>
      </c>
      <c r="W378" t="str">
        <f>PROPER(TEXT(A378,"mmmm"))</f>
        <v>Enero</v>
      </c>
      <c r="X378" t="str">
        <f>PROPER(TEXT(A378,"dddd"))</f>
        <v>Viernes</v>
      </c>
      <c r="Y378" t="str" cm="1">
        <f t="array" ref="Y378">_xlfn.IFS(R378&gt;10,"Excelente",R378&gt;=5,"Bueno",R378&gt;=2,"Débil",R378&lt;2,"Deficiente")</f>
        <v>Deficiente</v>
      </c>
      <c r="Z378" t="str">
        <f>IF(AND(R378&lt;2,Q378&gt;=100),"Revisar","OK")</f>
        <v>OK</v>
      </c>
      <c r="AA378" s="55">
        <f>_xlfn.XLOOKUP(C378,'Preguntas de negocio'!$C$114:$C$119,'Preguntas de negocio'!$D$114:$D$119,0)</f>
        <v>4.5</v>
      </c>
      <c r="AB378" s="55">
        <f>VLOOKUP(C378,'Preguntas de negocio'!$C$121:$D$127,2,FALSE)</f>
        <v>0.35</v>
      </c>
    </row>
    <row r="379" spans="1:28" x14ac:dyDescent="0.3">
      <c r="A379" s="1">
        <v>45883</v>
      </c>
      <c r="B379" s="2" t="s">
        <v>2633</v>
      </c>
      <c r="C379" s="2" t="s">
        <v>2527</v>
      </c>
      <c r="D379" s="2" t="s">
        <v>2528</v>
      </c>
      <c r="E379" s="2" t="s">
        <v>2517</v>
      </c>
      <c r="F379" s="3">
        <v>58585</v>
      </c>
      <c r="G379" s="3">
        <v>3433</v>
      </c>
      <c r="H379" s="3">
        <v>361</v>
      </c>
      <c r="I379" s="4">
        <v>4673.1000000000004</v>
      </c>
      <c r="J379" s="4">
        <v>72865.22</v>
      </c>
      <c r="K379" s="3">
        <v>295</v>
      </c>
      <c r="L379" s="2" t="s">
        <v>2536</v>
      </c>
      <c r="M379" s="2" t="s">
        <v>2526</v>
      </c>
      <c r="N379" s="8">
        <f>IFERROR(G379/F379,0)</f>
        <v>5.8598617393530769E-2</v>
      </c>
      <c r="O379" s="8">
        <f>IFERROR(H379/G379,0)</f>
        <v>0.10515584037285174</v>
      </c>
      <c r="P379" s="4">
        <f>IFERROR(I379/G379,0)</f>
        <v>1.3612292455578212</v>
      </c>
      <c r="Q379" s="4">
        <f>IFERROR(I379/H379,0)</f>
        <v>12.944875346260389</v>
      </c>
      <c r="R379" s="12">
        <f>IFERROR(J379/I379,0)</f>
        <v>15.592480366352099</v>
      </c>
      <c r="S379" s="7">
        <f>Tabla_nuevas_columnas[[#This Row],[ROAS]]</f>
        <v>15.592480366352099</v>
      </c>
      <c r="T379" t="str">
        <f>_xlfn.CONCAT(C379,"-",D379)</f>
        <v>Affiliate-España</v>
      </c>
      <c r="U379">
        <f>YEAR(A379)</f>
        <v>2025</v>
      </c>
      <c r="V379">
        <f>MONTH(A379)</f>
        <v>8</v>
      </c>
      <c r="W379" t="str">
        <f>PROPER(TEXT(A379,"mmmm"))</f>
        <v>Agosto</v>
      </c>
      <c r="X379" t="str">
        <f>PROPER(TEXT(A379,"dddd"))</f>
        <v>Jueves</v>
      </c>
      <c r="Y379" t="str" cm="1">
        <f t="array" ref="Y379">_xlfn.IFS(R379&gt;10,"Excelente",R379&gt;=5,"Bueno",R379&gt;=2,"Débil",R379&lt;2,"Deficiente")</f>
        <v>Excelente</v>
      </c>
      <c r="Z379" t="str">
        <f>IF(AND(R379&lt;2,Q379&gt;=100),"Revisar","OK")</f>
        <v>OK</v>
      </c>
      <c r="AA379" s="55">
        <f>_xlfn.XLOOKUP(C379,'Preguntas de negocio'!$C$114:$C$119,'Preguntas de negocio'!$D$114:$D$119,0)</f>
        <v>4.5</v>
      </c>
      <c r="AB379" s="55">
        <f>VLOOKUP(C379,'Preguntas de negocio'!$C$121:$D$127,2,FALSE)</f>
        <v>0.35</v>
      </c>
    </row>
    <row r="380" spans="1:28" x14ac:dyDescent="0.3">
      <c r="A380" s="1">
        <v>45662</v>
      </c>
      <c r="B380" s="2" t="s">
        <v>2644</v>
      </c>
      <c r="C380" s="2" t="s">
        <v>2527</v>
      </c>
      <c r="D380" s="2" t="s">
        <v>2528</v>
      </c>
      <c r="E380" s="2" t="s">
        <v>2529</v>
      </c>
      <c r="F380" s="3">
        <v>151173</v>
      </c>
      <c r="G380" s="3">
        <v>7367</v>
      </c>
      <c r="H380" s="3">
        <v>701</v>
      </c>
      <c r="I380" s="4">
        <v>1387.83</v>
      </c>
      <c r="J380" s="4">
        <v>123094.05</v>
      </c>
      <c r="K380" s="3">
        <v>318</v>
      </c>
      <c r="L380" s="2" t="s">
        <v>2518</v>
      </c>
      <c r="M380" s="2" t="s">
        <v>2546</v>
      </c>
      <c r="N380" s="8">
        <f>IFERROR(G380/F380,0)</f>
        <v>4.873224716053793E-2</v>
      </c>
      <c r="O380" s="8">
        <f>IFERROR(H380/G380,0)</f>
        <v>9.5154065426903758E-2</v>
      </c>
      <c r="P380" s="4">
        <f>IFERROR(I380/G380,0)</f>
        <v>0.18838468847563458</v>
      </c>
      <c r="Q380" s="4">
        <f>IFERROR(I380/H380,0)</f>
        <v>1.9797860199714692</v>
      </c>
      <c r="R380" s="12">
        <f>IFERROR(J380/I380,0)</f>
        <v>88.695337325176723</v>
      </c>
      <c r="S380" s="7">
        <f>Tabla_nuevas_columnas[[#This Row],[ROAS]]</f>
        <v>88.695337325176723</v>
      </c>
      <c r="T380" t="str">
        <f>_xlfn.CONCAT(C380,"-",D380)</f>
        <v>Affiliate-España</v>
      </c>
      <c r="U380">
        <f>YEAR(A380)</f>
        <v>2025</v>
      </c>
      <c r="V380">
        <f>MONTH(A380)</f>
        <v>1</v>
      </c>
      <c r="W380" t="str">
        <f>PROPER(TEXT(A380,"mmmm"))</f>
        <v>Enero</v>
      </c>
      <c r="X380" t="str">
        <f>PROPER(TEXT(A380,"dddd"))</f>
        <v>Domingo</v>
      </c>
      <c r="Y380" t="str" cm="1">
        <f t="array" ref="Y380">_xlfn.IFS(R380&gt;10,"Excelente",R380&gt;=5,"Bueno",R380&gt;=2,"Débil",R380&lt;2,"Deficiente")</f>
        <v>Excelente</v>
      </c>
      <c r="Z380" t="str">
        <f>IF(AND(R380&lt;2,Q380&gt;=100),"Revisar","OK")</f>
        <v>OK</v>
      </c>
      <c r="AA380" s="55">
        <f>_xlfn.XLOOKUP(C380,'Preguntas de negocio'!$C$114:$C$119,'Preguntas de negocio'!$D$114:$D$119,0)</f>
        <v>4.5</v>
      </c>
      <c r="AB380" s="55">
        <f>VLOOKUP(C380,'Preguntas de negocio'!$C$121:$D$127,2,FALSE)</f>
        <v>0.35</v>
      </c>
    </row>
    <row r="381" spans="1:28" x14ac:dyDescent="0.3">
      <c r="A381" s="1">
        <v>45850</v>
      </c>
      <c r="B381" s="2" t="s">
        <v>2638</v>
      </c>
      <c r="C381" s="2" t="s">
        <v>2543</v>
      </c>
      <c r="D381" s="2" t="s">
        <v>2525</v>
      </c>
      <c r="E381" s="2" t="s">
        <v>2529</v>
      </c>
      <c r="F381" s="3">
        <v>134284</v>
      </c>
      <c r="G381" s="3">
        <v>3137</v>
      </c>
      <c r="H381" s="3">
        <v>200</v>
      </c>
      <c r="I381" s="4">
        <v>4718.29</v>
      </c>
      <c r="J381" s="4">
        <v>10184.23</v>
      </c>
      <c r="K381" s="3">
        <v>143</v>
      </c>
      <c r="L381" s="2" t="s">
        <v>2523</v>
      </c>
      <c r="M381" s="2" t="s">
        <v>2537</v>
      </c>
      <c r="N381" s="8">
        <f>IFERROR(G381/F381,0)</f>
        <v>2.3360936522593904E-2</v>
      </c>
      <c r="O381" s="8">
        <f>IFERROR(H381/G381,0)</f>
        <v>6.375518010838381E-2</v>
      </c>
      <c r="P381" s="4">
        <f>IFERROR(I381/G381,0)</f>
        <v>1.5040771437679312</v>
      </c>
      <c r="Q381" s="4">
        <f>IFERROR(I381/H381,0)</f>
        <v>23.591449999999998</v>
      </c>
      <c r="R381" s="12">
        <f>IFERROR(J381/I381,0)</f>
        <v>2.1584578311210203</v>
      </c>
      <c r="S381" s="7">
        <f>Tabla_nuevas_columnas[[#This Row],[ROAS]]</f>
        <v>2.1584578311210203</v>
      </c>
      <c r="T381" t="str">
        <f>_xlfn.CONCAT(C381,"-",D381)</f>
        <v>Organic Social-Francia</v>
      </c>
      <c r="U381">
        <f>YEAR(A381)</f>
        <v>2025</v>
      </c>
      <c r="V381">
        <f>MONTH(A381)</f>
        <v>7</v>
      </c>
      <c r="W381" t="str">
        <f>PROPER(TEXT(A381,"mmmm"))</f>
        <v>Julio</v>
      </c>
      <c r="X381" t="str">
        <f>PROPER(TEXT(A381,"dddd"))</f>
        <v>Sábado</v>
      </c>
      <c r="Y381" t="str" cm="1">
        <f t="array" ref="Y381">_xlfn.IFS(R381&gt;10,"Excelente",R381&gt;=5,"Bueno",R381&gt;=2,"Débil",R381&lt;2,"Deficiente")</f>
        <v>Débil</v>
      </c>
      <c r="Z381" t="str">
        <f>IF(AND(R381&lt;2,Q381&gt;=100),"Revisar","OK")</f>
        <v>OK</v>
      </c>
      <c r="AA381" s="55">
        <f>_xlfn.XLOOKUP(C381,'Preguntas de negocio'!$C$114:$C$119,'Preguntas de negocio'!$D$114:$D$119,0)</f>
        <v>4</v>
      </c>
      <c r="AB381" s="55">
        <f>VLOOKUP(C381,'Preguntas de negocio'!$C$121:$D$127,2,FALSE)</f>
        <v>0.95</v>
      </c>
    </row>
    <row r="382" spans="1:28" x14ac:dyDescent="0.3">
      <c r="A382" s="1">
        <v>45904</v>
      </c>
      <c r="B382" s="2" t="s">
        <v>2621</v>
      </c>
      <c r="C382" s="2" t="s">
        <v>2533</v>
      </c>
      <c r="D382" s="2" t="s">
        <v>2528</v>
      </c>
      <c r="E382" s="2" t="s">
        <v>2529</v>
      </c>
      <c r="F382" s="3">
        <v>41687</v>
      </c>
      <c r="G382" s="3">
        <v>2276</v>
      </c>
      <c r="H382" s="3">
        <v>144</v>
      </c>
      <c r="I382" s="4">
        <v>1511.61</v>
      </c>
      <c r="J382" s="4">
        <v>11437.22</v>
      </c>
      <c r="K382" s="3">
        <v>73</v>
      </c>
      <c r="L382" s="2" t="s">
        <v>2523</v>
      </c>
      <c r="M382" s="2" t="s">
        <v>2524</v>
      </c>
      <c r="N382" s="8">
        <f>IFERROR(G382/F382,0)</f>
        <v>5.4597356490032861E-2</v>
      </c>
      <c r="O382" s="8">
        <f>IFERROR(H382/G382,0)</f>
        <v>6.32688927943761E-2</v>
      </c>
      <c r="P382" s="4">
        <f>IFERROR(I382/G382,0)</f>
        <v>0.6641520210896309</v>
      </c>
      <c r="Q382" s="4">
        <f>IFERROR(I382/H382,0)</f>
        <v>10.497291666666666</v>
      </c>
      <c r="R382" s="12">
        <f>IFERROR(J382/I382,0)</f>
        <v>7.5662505540450251</v>
      </c>
      <c r="S382" s="7">
        <f>Tabla_nuevas_columnas[[#This Row],[ROAS]]</f>
        <v>7.5662505540450251</v>
      </c>
      <c r="T382" t="str">
        <f>_xlfn.CONCAT(C382,"-",D382)</f>
        <v>Paid Social-España</v>
      </c>
      <c r="U382">
        <f>YEAR(A382)</f>
        <v>2025</v>
      </c>
      <c r="V382">
        <f>MONTH(A382)</f>
        <v>9</v>
      </c>
      <c r="W382" t="str">
        <f>PROPER(TEXT(A382,"mmmm"))</f>
        <v>Septiembre</v>
      </c>
      <c r="X382" t="str">
        <f>PROPER(TEXT(A382,"dddd"))</f>
        <v>Jueves</v>
      </c>
      <c r="Y382" t="str" cm="1">
        <f t="array" ref="Y382">_xlfn.IFS(R382&gt;10,"Excelente",R382&gt;=5,"Bueno",R382&gt;=2,"Débil",R382&lt;2,"Deficiente")</f>
        <v>Bueno</v>
      </c>
      <c r="Z382" t="str">
        <f>IF(AND(R382&lt;2,Q382&gt;=100),"Revisar","OK")</f>
        <v>OK</v>
      </c>
      <c r="AA382" s="55">
        <f>_xlfn.XLOOKUP(C382,'Preguntas de negocio'!$C$114:$C$119,'Preguntas de negocio'!$D$114:$D$119,0)</f>
        <v>6</v>
      </c>
      <c r="AB382" s="55">
        <f>VLOOKUP(C382,'Preguntas de negocio'!$C$121:$D$127,2,FALSE)</f>
        <v>0.8</v>
      </c>
    </row>
    <row r="383" spans="1:28" x14ac:dyDescent="0.3">
      <c r="A383" s="1">
        <v>45688</v>
      </c>
      <c r="B383" s="2" t="s">
        <v>2622</v>
      </c>
      <c r="C383" s="2" t="s">
        <v>2543</v>
      </c>
      <c r="D383" s="2" t="s">
        <v>2516</v>
      </c>
      <c r="E383" s="2" t="s">
        <v>2517</v>
      </c>
      <c r="F383" s="3">
        <v>93615</v>
      </c>
      <c r="G383" s="3">
        <v>4787</v>
      </c>
      <c r="H383" s="3">
        <v>96</v>
      </c>
      <c r="I383" s="4">
        <v>7401.94</v>
      </c>
      <c r="J383" s="4">
        <v>11576.34</v>
      </c>
      <c r="K383" s="3">
        <v>57</v>
      </c>
      <c r="L383" s="2" t="s">
        <v>2536</v>
      </c>
      <c r="M383" s="2" t="s">
        <v>2524</v>
      </c>
      <c r="N383" s="8">
        <f>IFERROR(G383/F383,0)</f>
        <v>5.1134967686802327E-2</v>
      </c>
      <c r="O383" s="8">
        <f>IFERROR(H383/G383,0)</f>
        <v>2.0054313766450803E-2</v>
      </c>
      <c r="P383" s="4">
        <f>IFERROR(I383/G383,0)</f>
        <v>1.5462586170879464</v>
      </c>
      <c r="Q383" s="4">
        <f>IFERROR(I383/H383,0)</f>
        <v>77.103541666666658</v>
      </c>
      <c r="R383" s="12">
        <f>IFERROR(J383/I383,0)</f>
        <v>1.5639602590672177</v>
      </c>
      <c r="S383" s="7">
        <f>Tabla_nuevas_columnas[[#This Row],[ROAS]]</f>
        <v>1.5639602590672177</v>
      </c>
      <c r="T383" t="str">
        <f>_xlfn.CONCAT(C383,"-",D383)</f>
        <v>Organic Social-México</v>
      </c>
      <c r="U383">
        <f>YEAR(A383)</f>
        <v>2025</v>
      </c>
      <c r="V383">
        <f>MONTH(A383)</f>
        <v>1</v>
      </c>
      <c r="W383" t="str">
        <f>PROPER(TEXT(A383,"mmmm"))</f>
        <v>Enero</v>
      </c>
      <c r="X383" t="str">
        <f>PROPER(TEXT(A383,"dddd"))</f>
        <v>Viernes</v>
      </c>
      <c r="Y383" t="str" cm="1">
        <f t="array" ref="Y383">_xlfn.IFS(R383&gt;10,"Excelente",R383&gt;=5,"Bueno",R383&gt;=2,"Débil",R383&lt;2,"Deficiente")</f>
        <v>Deficiente</v>
      </c>
      <c r="Z383" t="str">
        <f>IF(AND(R383&lt;2,Q383&gt;=100),"Revisar","OK")</f>
        <v>OK</v>
      </c>
      <c r="AA383" s="55">
        <f>_xlfn.XLOOKUP(C383,'Preguntas de negocio'!$C$114:$C$119,'Preguntas de negocio'!$D$114:$D$119,0)</f>
        <v>4</v>
      </c>
      <c r="AB383" s="55">
        <f>VLOOKUP(C383,'Preguntas de negocio'!$C$121:$D$127,2,FALSE)</f>
        <v>0.95</v>
      </c>
    </row>
    <row r="384" spans="1:28" x14ac:dyDescent="0.3">
      <c r="A384" s="1">
        <v>46014</v>
      </c>
      <c r="B384" s="2" t="s">
        <v>2642</v>
      </c>
      <c r="C384" s="2" t="s">
        <v>2533</v>
      </c>
      <c r="D384" s="2" t="s">
        <v>2528</v>
      </c>
      <c r="E384" s="2" t="s">
        <v>2517</v>
      </c>
      <c r="F384" s="3">
        <v>111233</v>
      </c>
      <c r="G384" s="3">
        <v>6105</v>
      </c>
      <c r="H384" s="3">
        <v>724</v>
      </c>
      <c r="I384" s="4">
        <v>3326.59</v>
      </c>
      <c r="J384" s="4">
        <v>137632.60999999999</v>
      </c>
      <c r="K384" s="3">
        <v>528</v>
      </c>
      <c r="L384" s="2" t="s">
        <v>2536</v>
      </c>
      <c r="M384" s="2" t="s">
        <v>2524</v>
      </c>
      <c r="N384" s="8">
        <f>IFERROR(G384/F384,0)</f>
        <v>5.4884791383851918E-2</v>
      </c>
      <c r="O384" s="8">
        <f>IFERROR(H384/G384,0)</f>
        <v>0.11859131859131859</v>
      </c>
      <c r="P384" s="4">
        <f>IFERROR(I384/G384,0)</f>
        <v>0.54489598689598695</v>
      </c>
      <c r="Q384" s="4">
        <f>IFERROR(I384/H384,0)</f>
        <v>4.5947375690607739</v>
      </c>
      <c r="R384" s="12">
        <f>IFERROR(J384/I384,0)</f>
        <v>41.373481553182081</v>
      </c>
      <c r="S384" s="7">
        <f>Tabla_nuevas_columnas[[#This Row],[ROAS]]</f>
        <v>41.373481553182081</v>
      </c>
      <c r="T384" t="str">
        <f>_xlfn.CONCAT(C384,"-",D384)</f>
        <v>Paid Social-España</v>
      </c>
      <c r="U384">
        <f>YEAR(A384)</f>
        <v>2025</v>
      </c>
      <c r="V384">
        <f>MONTH(A384)</f>
        <v>12</v>
      </c>
      <c r="W384" t="str">
        <f>PROPER(TEXT(A384,"mmmm"))</f>
        <v>Diciembre</v>
      </c>
      <c r="X384" t="str">
        <f>PROPER(TEXT(A384,"dddd"))</f>
        <v>Martes</v>
      </c>
      <c r="Y384" t="str" cm="1">
        <f t="array" ref="Y384">_xlfn.IFS(R384&gt;10,"Excelente",R384&gt;=5,"Bueno",R384&gt;=2,"Débil",R384&lt;2,"Deficiente")</f>
        <v>Excelente</v>
      </c>
      <c r="Z384" t="str">
        <f>IF(AND(R384&lt;2,Q384&gt;=100),"Revisar","OK")</f>
        <v>OK</v>
      </c>
      <c r="AA384" s="55">
        <f>_xlfn.XLOOKUP(C384,'Preguntas de negocio'!$C$114:$C$119,'Preguntas de negocio'!$D$114:$D$119,0)</f>
        <v>6</v>
      </c>
      <c r="AB384" s="55">
        <f>VLOOKUP(C384,'Preguntas de negocio'!$C$121:$D$127,2,FALSE)</f>
        <v>0.8</v>
      </c>
    </row>
    <row r="385" spans="1:28" x14ac:dyDescent="0.3">
      <c r="A385" s="1">
        <v>45832</v>
      </c>
      <c r="B385" s="2" t="s">
        <v>2639</v>
      </c>
      <c r="C385" s="2" t="s">
        <v>2515</v>
      </c>
      <c r="D385" s="2" t="s">
        <v>2516</v>
      </c>
      <c r="E385" s="2" t="s">
        <v>2517</v>
      </c>
      <c r="F385" s="3">
        <v>93356</v>
      </c>
      <c r="G385" s="3">
        <v>2667</v>
      </c>
      <c r="H385" s="3">
        <v>150</v>
      </c>
      <c r="I385" s="4">
        <v>2410.14</v>
      </c>
      <c r="J385" s="4">
        <v>26349.85</v>
      </c>
      <c r="K385" s="3">
        <v>103</v>
      </c>
      <c r="L385" s="2" t="s">
        <v>2523</v>
      </c>
      <c r="M385" s="2" t="s">
        <v>2524</v>
      </c>
      <c r="N385" s="8">
        <f>IFERROR(G385/F385,0)</f>
        <v>2.8568062042075498E-2</v>
      </c>
      <c r="O385" s="8">
        <f>IFERROR(H385/G385,0)</f>
        <v>5.6242969628796401E-2</v>
      </c>
      <c r="P385" s="4">
        <f>IFERROR(I385/G385,0)</f>
        <v>0.90368953880764902</v>
      </c>
      <c r="Q385" s="4">
        <f>IFERROR(I385/H385,0)</f>
        <v>16.067599999999999</v>
      </c>
      <c r="R385" s="12">
        <f>IFERROR(J385/I385,0)</f>
        <v>10.932912610885674</v>
      </c>
      <c r="S385" s="7">
        <f>Tabla_nuevas_columnas[[#This Row],[ROAS]]</f>
        <v>10.932912610885674</v>
      </c>
      <c r="T385" t="str">
        <f>_xlfn.CONCAT(C385,"-",D385)</f>
        <v>Email-México</v>
      </c>
      <c r="U385">
        <f>YEAR(A385)</f>
        <v>2025</v>
      </c>
      <c r="V385">
        <f>MONTH(A385)</f>
        <v>6</v>
      </c>
      <c r="W385" t="str">
        <f>PROPER(TEXT(A385,"mmmm"))</f>
        <v>Junio</v>
      </c>
      <c r="X385" t="str">
        <f>PROPER(TEXT(A385,"dddd"))</f>
        <v>Martes</v>
      </c>
      <c r="Y385" t="str" cm="1">
        <f t="array" ref="Y385">_xlfn.IFS(R385&gt;10,"Excelente",R385&gt;=5,"Bueno",R385&gt;=2,"Débil",R385&lt;2,"Deficiente")</f>
        <v>Excelente</v>
      </c>
      <c r="Z385" t="str">
        <f>IF(AND(R385&lt;2,Q385&gt;=100),"Revisar","OK")</f>
        <v>OK</v>
      </c>
      <c r="AA385" s="55">
        <f>_xlfn.XLOOKUP(C385,'Preguntas de negocio'!$C$114:$C$119,'Preguntas de negocio'!$D$114:$D$119,0)</f>
        <v>5.5</v>
      </c>
      <c r="AB385" s="55">
        <f>VLOOKUP(C385,'Preguntas de negocio'!$C$121:$D$127,2,FALSE)</f>
        <v>0.65</v>
      </c>
    </row>
    <row r="386" spans="1:28" x14ac:dyDescent="0.3">
      <c r="A386" s="1">
        <v>46013</v>
      </c>
      <c r="B386" s="2" t="s">
        <v>2642</v>
      </c>
      <c r="C386" s="2" t="s">
        <v>2543</v>
      </c>
      <c r="D386" s="2" t="s">
        <v>2528</v>
      </c>
      <c r="E386" s="2" t="s">
        <v>2517</v>
      </c>
      <c r="F386" s="3">
        <v>106825</v>
      </c>
      <c r="G386" s="3">
        <v>6665</v>
      </c>
      <c r="H386" s="3">
        <v>258</v>
      </c>
      <c r="I386" s="4">
        <v>6326.81</v>
      </c>
      <c r="J386" s="4">
        <v>31623.439999999999</v>
      </c>
      <c r="K386" s="3">
        <v>224</v>
      </c>
      <c r="L386" s="2" t="s">
        <v>2539</v>
      </c>
      <c r="M386" s="2" t="s">
        <v>2519</v>
      </c>
      <c r="N386" s="8">
        <f>IFERROR(G386/F386,0)</f>
        <v>6.2391762227942897E-2</v>
      </c>
      <c r="O386" s="8">
        <f>IFERROR(H386/G386,0)</f>
        <v>3.870967741935484E-2</v>
      </c>
      <c r="P386" s="4">
        <f>IFERROR(I386/G386,0)</f>
        <v>0.94925881470367601</v>
      </c>
      <c r="Q386" s="4">
        <f>IFERROR(I386/H386,0)</f>
        <v>24.522519379844962</v>
      </c>
      <c r="R386" s="12">
        <f>IFERROR(J386/I386,0)</f>
        <v>4.9983230095419326</v>
      </c>
      <c r="S386" s="7">
        <f>Tabla_nuevas_columnas[[#This Row],[ROAS]]</f>
        <v>4.9983230095419326</v>
      </c>
      <c r="T386" t="str">
        <f>_xlfn.CONCAT(C386,"-",D386)</f>
        <v>Organic Social-España</v>
      </c>
      <c r="U386">
        <f>YEAR(A386)</f>
        <v>2025</v>
      </c>
      <c r="V386">
        <f>MONTH(A386)</f>
        <v>12</v>
      </c>
      <c r="W386" t="str">
        <f>PROPER(TEXT(A386,"mmmm"))</f>
        <v>Diciembre</v>
      </c>
      <c r="X386" t="str">
        <f>PROPER(TEXT(A386,"dddd"))</f>
        <v>Lunes</v>
      </c>
      <c r="Y386" t="str" cm="1">
        <f t="array" ref="Y386">_xlfn.IFS(R386&gt;10,"Excelente",R386&gt;=5,"Bueno",R386&gt;=2,"Débil",R386&lt;2,"Deficiente")</f>
        <v>Débil</v>
      </c>
      <c r="Z386" t="str">
        <f>IF(AND(R386&lt;2,Q386&gt;=100),"Revisar","OK")</f>
        <v>OK</v>
      </c>
      <c r="AA386" s="55">
        <f>_xlfn.XLOOKUP(C386,'Preguntas de negocio'!$C$114:$C$119,'Preguntas de negocio'!$D$114:$D$119,0)</f>
        <v>4</v>
      </c>
      <c r="AB386" s="55">
        <f>VLOOKUP(C386,'Preguntas de negocio'!$C$121:$D$127,2,FALSE)</f>
        <v>0.95</v>
      </c>
    </row>
    <row r="387" spans="1:28" x14ac:dyDescent="0.3">
      <c r="A387" s="1">
        <v>45841</v>
      </c>
      <c r="B387" s="2" t="s">
        <v>2619</v>
      </c>
      <c r="C387" s="2" t="s">
        <v>2527</v>
      </c>
      <c r="D387" s="2" t="s">
        <v>2525</v>
      </c>
      <c r="E387" s="2" t="s">
        <v>2517</v>
      </c>
      <c r="F387" s="3">
        <v>94836</v>
      </c>
      <c r="G387" s="3">
        <v>4946</v>
      </c>
      <c r="H387" s="3">
        <v>410</v>
      </c>
      <c r="I387" s="4">
        <v>7832.7</v>
      </c>
      <c r="J387" s="4">
        <v>33838.910000000003</v>
      </c>
      <c r="K387" s="3">
        <v>345</v>
      </c>
      <c r="L387" s="2" t="s">
        <v>2518</v>
      </c>
      <c r="M387" s="2" t="s">
        <v>2546</v>
      </c>
      <c r="N387" s="8">
        <f>IFERROR(G387/F387,0)</f>
        <v>5.2153190771437007E-2</v>
      </c>
      <c r="O387" s="8">
        <f>IFERROR(H387/G387,0)</f>
        <v>8.2895268904164987E-2</v>
      </c>
      <c r="P387" s="4">
        <f>IFERROR(I387/G387,0)</f>
        <v>1.5836433481601293</v>
      </c>
      <c r="Q387" s="4">
        <f>IFERROR(I387/H387,0)</f>
        <v>19.104146341463416</v>
      </c>
      <c r="R387" s="12">
        <f>IFERROR(J387/I387,0)</f>
        <v>4.3202101446499936</v>
      </c>
      <c r="S387" s="7">
        <f>Tabla_nuevas_columnas[[#This Row],[ROAS]]</f>
        <v>4.3202101446499936</v>
      </c>
      <c r="T387" t="str">
        <f>_xlfn.CONCAT(C387,"-",D387)</f>
        <v>Affiliate-Francia</v>
      </c>
      <c r="U387">
        <f>YEAR(A387)</f>
        <v>2025</v>
      </c>
      <c r="V387">
        <f>MONTH(A387)</f>
        <v>7</v>
      </c>
      <c r="W387" t="str">
        <f>PROPER(TEXT(A387,"mmmm"))</f>
        <v>Julio</v>
      </c>
      <c r="X387" t="str">
        <f>PROPER(TEXT(A387,"dddd"))</f>
        <v>Jueves</v>
      </c>
      <c r="Y387" t="str" cm="1">
        <f t="array" ref="Y387">_xlfn.IFS(R387&gt;10,"Excelente",R387&gt;=5,"Bueno",R387&gt;=2,"Débil",R387&lt;2,"Deficiente")</f>
        <v>Débil</v>
      </c>
      <c r="Z387" t="str">
        <f>IF(AND(R387&lt;2,Q387&gt;=100),"Revisar","OK")</f>
        <v>OK</v>
      </c>
      <c r="AA387" s="55">
        <f>_xlfn.XLOOKUP(C387,'Preguntas de negocio'!$C$114:$C$119,'Preguntas de negocio'!$D$114:$D$119,0)</f>
        <v>4.5</v>
      </c>
      <c r="AB387" s="55">
        <f>VLOOKUP(C387,'Preguntas de negocio'!$C$121:$D$127,2,FALSE)</f>
        <v>0.35</v>
      </c>
    </row>
    <row r="388" spans="1:28" x14ac:dyDescent="0.3">
      <c r="A388" s="1">
        <v>45735</v>
      </c>
      <c r="B388" s="2" t="s">
        <v>2619</v>
      </c>
      <c r="C388" s="2" t="s">
        <v>2515</v>
      </c>
      <c r="D388" s="2" t="s">
        <v>2528</v>
      </c>
      <c r="E388" s="2" t="s">
        <v>2529</v>
      </c>
      <c r="F388" s="3">
        <v>118831</v>
      </c>
      <c r="G388" s="3">
        <v>9553</v>
      </c>
      <c r="H388" s="3">
        <v>448</v>
      </c>
      <c r="I388" s="4">
        <v>16394.939999999999</v>
      </c>
      <c r="J388" s="4">
        <v>36719.760000000002</v>
      </c>
      <c r="K388" s="3">
        <v>328</v>
      </c>
      <c r="L388" s="2" t="s">
        <v>2523</v>
      </c>
      <c r="M388" s="2" t="s">
        <v>2546</v>
      </c>
      <c r="N388" s="8">
        <f>IFERROR(G388/F388,0)</f>
        <v>8.0391480337622334E-2</v>
      </c>
      <c r="O388" s="8">
        <f>IFERROR(H388/G388,0)</f>
        <v>4.689626295404585E-2</v>
      </c>
      <c r="P388" s="4">
        <f>IFERROR(I388/G388,0)</f>
        <v>1.7162085208834919</v>
      </c>
      <c r="Q388" s="4">
        <f>IFERROR(I388/H388,0)</f>
        <v>36.595848214285709</v>
      </c>
      <c r="R388" s="12">
        <f>IFERROR(J388/I388,0)</f>
        <v>2.2397007857302316</v>
      </c>
      <c r="S388" s="7">
        <f>Tabla_nuevas_columnas[[#This Row],[ROAS]]</f>
        <v>2.2397007857302316</v>
      </c>
      <c r="T388" t="str">
        <f>_xlfn.CONCAT(C388,"-",D388)</f>
        <v>Email-España</v>
      </c>
      <c r="U388">
        <f>YEAR(A388)</f>
        <v>2025</v>
      </c>
      <c r="V388">
        <f>MONTH(A388)</f>
        <v>3</v>
      </c>
      <c r="W388" t="str">
        <f>PROPER(TEXT(A388,"mmmm"))</f>
        <v>Marzo</v>
      </c>
      <c r="X388" t="str">
        <f>PROPER(TEXT(A388,"dddd"))</f>
        <v>Miércoles</v>
      </c>
      <c r="Y388" t="str" cm="1">
        <f t="array" ref="Y388">_xlfn.IFS(R388&gt;10,"Excelente",R388&gt;=5,"Bueno",R388&gt;=2,"Débil",R388&lt;2,"Deficiente")</f>
        <v>Débil</v>
      </c>
      <c r="Z388" t="str">
        <f>IF(AND(R388&lt;2,Q388&gt;=100),"Revisar","OK")</f>
        <v>OK</v>
      </c>
      <c r="AA388" s="55">
        <f>_xlfn.XLOOKUP(C388,'Preguntas de negocio'!$C$114:$C$119,'Preguntas de negocio'!$D$114:$D$119,0)</f>
        <v>5.5</v>
      </c>
      <c r="AB388" s="55">
        <f>VLOOKUP(C388,'Preguntas de negocio'!$C$121:$D$127,2,FALSE)</f>
        <v>0.65</v>
      </c>
    </row>
    <row r="389" spans="1:28" x14ac:dyDescent="0.3">
      <c r="A389" s="1">
        <v>45897</v>
      </c>
      <c r="B389" s="2" t="s">
        <v>2622</v>
      </c>
      <c r="C389" s="2" t="s">
        <v>2543</v>
      </c>
      <c r="D389" s="2" t="s">
        <v>2528</v>
      </c>
      <c r="E389" s="2" t="s">
        <v>2529</v>
      </c>
      <c r="F389" s="3">
        <v>104284</v>
      </c>
      <c r="G389" s="3">
        <v>4530</v>
      </c>
      <c r="H389" s="3">
        <v>573</v>
      </c>
      <c r="I389" s="4">
        <v>900.28</v>
      </c>
      <c r="J389" s="4">
        <v>78497.03</v>
      </c>
      <c r="K389" s="3">
        <v>413</v>
      </c>
      <c r="L389" s="2" t="s">
        <v>2536</v>
      </c>
      <c r="M389" s="2" t="s">
        <v>2537</v>
      </c>
      <c r="N389" s="8">
        <f>IFERROR(G389/F389,0)</f>
        <v>4.3439070231291475E-2</v>
      </c>
      <c r="O389" s="8">
        <f>IFERROR(H389/G389,0)</f>
        <v>0.12649006622516556</v>
      </c>
      <c r="P389" s="4">
        <f>IFERROR(I389/G389,0)</f>
        <v>0.1987373068432671</v>
      </c>
      <c r="Q389" s="4">
        <f>IFERROR(I389/H389,0)</f>
        <v>1.5711692844677136</v>
      </c>
      <c r="R389" s="12">
        <f>IFERROR(J389/I389,0)</f>
        <v>87.191795885724446</v>
      </c>
      <c r="S389" s="7">
        <f>Tabla_nuevas_columnas[[#This Row],[ROAS]]</f>
        <v>87.191795885724446</v>
      </c>
      <c r="T389" t="str">
        <f>_xlfn.CONCAT(C389,"-",D389)</f>
        <v>Organic Social-España</v>
      </c>
      <c r="U389">
        <f>YEAR(A389)</f>
        <v>2025</v>
      </c>
      <c r="V389">
        <f>MONTH(A389)</f>
        <v>8</v>
      </c>
      <c r="W389" t="str">
        <f>PROPER(TEXT(A389,"mmmm"))</f>
        <v>Agosto</v>
      </c>
      <c r="X389" t="str">
        <f>PROPER(TEXT(A389,"dddd"))</f>
        <v>Jueves</v>
      </c>
      <c r="Y389" t="str" cm="1">
        <f t="array" ref="Y389">_xlfn.IFS(R389&gt;10,"Excelente",R389&gt;=5,"Bueno",R389&gt;=2,"Débil",R389&lt;2,"Deficiente")</f>
        <v>Excelente</v>
      </c>
      <c r="Z389" t="str">
        <f>IF(AND(R389&lt;2,Q389&gt;=100),"Revisar","OK")</f>
        <v>OK</v>
      </c>
      <c r="AA389" s="55">
        <f>_xlfn.XLOOKUP(C389,'Preguntas de negocio'!$C$114:$C$119,'Preguntas de negocio'!$D$114:$D$119,0)</f>
        <v>4</v>
      </c>
      <c r="AB389" s="55">
        <f>VLOOKUP(C389,'Preguntas de negocio'!$C$121:$D$127,2,FALSE)</f>
        <v>0.95</v>
      </c>
    </row>
    <row r="390" spans="1:28" x14ac:dyDescent="0.3">
      <c r="A390" s="1">
        <v>45861</v>
      </c>
      <c r="B390" s="2" t="s">
        <v>2618</v>
      </c>
      <c r="C390" s="2" t="s">
        <v>2515</v>
      </c>
      <c r="D390" s="2" t="s">
        <v>2531</v>
      </c>
      <c r="E390" s="2" t="s">
        <v>2529</v>
      </c>
      <c r="F390" s="3">
        <v>82608</v>
      </c>
      <c r="G390" s="3">
        <v>1415</v>
      </c>
      <c r="H390" s="3">
        <v>76</v>
      </c>
      <c r="I390" s="4">
        <v>1335.65</v>
      </c>
      <c r="J390" s="4">
        <v>7896.56</v>
      </c>
      <c r="K390" s="3">
        <v>50</v>
      </c>
      <c r="L390" s="2" t="s">
        <v>2536</v>
      </c>
      <c r="M390" s="2" t="s">
        <v>2537</v>
      </c>
      <c r="N390" s="8">
        <f>IFERROR(G390/F390,0)</f>
        <v>1.712909161340306E-2</v>
      </c>
      <c r="O390" s="8">
        <f>IFERROR(H390/G390,0)</f>
        <v>5.3710247349823319E-2</v>
      </c>
      <c r="P390" s="4">
        <f>IFERROR(I390/G390,0)</f>
        <v>0.94392226148409897</v>
      </c>
      <c r="Q390" s="4">
        <f>IFERROR(I390/H390,0)</f>
        <v>17.57434210526316</v>
      </c>
      <c r="R390" s="12">
        <f>IFERROR(J390/I390,0)</f>
        <v>5.9121476434694715</v>
      </c>
      <c r="S390" s="7">
        <f>Tabla_nuevas_columnas[[#This Row],[ROAS]]</f>
        <v>5.9121476434694715</v>
      </c>
      <c r="T390" t="str">
        <f>_xlfn.CONCAT(C390,"-",D390)</f>
        <v>Email-Portugal</v>
      </c>
      <c r="U390">
        <f>YEAR(A390)</f>
        <v>2025</v>
      </c>
      <c r="V390">
        <f>MONTH(A390)</f>
        <v>7</v>
      </c>
      <c r="W390" t="str">
        <f>PROPER(TEXT(A390,"mmmm"))</f>
        <v>Julio</v>
      </c>
      <c r="X390" t="str">
        <f>PROPER(TEXT(A390,"dddd"))</f>
        <v>Miércoles</v>
      </c>
      <c r="Y390" t="str" cm="1">
        <f t="array" ref="Y390">_xlfn.IFS(R390&gt;10,"Excelente",R390&gt;=5,"Bueno",R390&gt;=2,"Débil",R390&lt;2,"Deficiente")</f>
        <v>Bueno</v>
      </c>
      <c r="Z390" t="str">
        <f>IF(AND(R390&lt;2,Q390&gt;=100),"Revisar","OK")</f>
        <v>OK</v>
      </c>
      <c r="AA390" s="55">
        <f>_xlfn.XLOOKUP(C390,'Preguntas de negocio'!$C$114:$C$119,'Preguntas de negocio'!$D$114:$D$119,0)</f>
        <v>5.5</v>
      </c>
      <c r="AB390" s="55">
        <f>VLOOKUP(C390,'Preguntas de negocio'!$C$121:$D$127,2,FALSE)</f>
        <v>0.65</v>
      </c>
    </row>
    <row r="391" spans="1:28" x14ac:dyDescent="0.3">
      <c r="A391" s="1">
        <v>45855</v>
      </c>
      <c r="B391" s="2" t="s">
        <v>2631</v>
      </c>
      <c r="C391" s="2" t="s">
        <v>2527</v>
      </c>
      <c r="D391" s="2" t="s">
        <v>2528</v>
      </c>
      <c r="E391" s="2" t="s">
        <v>2517</v>
      </c>
      <c r="F391" s="3">
        <v>173373</v>
      </c>
      <c r="G391" s="3">
        <v>9272</v>
      </c>
      <c r="H391" s="3">
        <v>777</v>
      </c>
      <c r="I391" s="4">
        <v>4290.95</v>
      </c>
      <c r="J391" s="4">
        <v>143550.54</v>
      </c>
      <c r="K391" s="3">
        <v>440</v>
      </c>
      <c r="L391" s="2" t="s">
        <v>2539</v>
      </c>
      <c r="M391" s="2" t="s">
        <v>2546</v>
      </c>
      <c r="N391" s="8">
        <f>IFERROR(G391/F391,0)</f>
        <v>5.348006898421323E-2</v>
      </c>
      <c r="O391" s="8">
        <f>IFERROR(H391/G391,0)</f>
        <v>8.3800690250215706E-2</v>
      </c>
      <c r="P391" s="4">
        <f>IFERROR(I391/G391,0)</f>
        <v>0.46278580672993958</v>
      </c>
      <c r="Q391" s="4">
        <f>IFERROR(I391/H391,0)</f>
        <v>5.5224581724581725</v>
      </c>
      <c r="R391" s="12">
        <f>IFERROR(J391/I391,0)</f>
        <v>33.454256050524947</v>
      </c>
      <c r="S391" s="7">
        <f>Tabla_nuevas_columnas[[#This Row],[ROAS]]</f>
        <v>33.454256050524947</v>
      </c>
      <c r="T391" t="str">
        <f>_xlfn.CONCAT(C391,"-",D391)</f>
        <v>Affiliate-España</v>
      </c>
      <c r="U391">
        <f>YEAR(A391)</f>
        <v>2025</v>
      </c>
      <c r="V391">
        <f>MONTH(A391)</f>
        <v>7</v>
      </c>
      <c r="W391" t="str">
        <f>PROPER(TEXT(A391,"mmmm"))</f>
        <v>Julio</v>
      </c>
      <c r="X391" t="str">
        <f>PROPER(TEXT(A391,"dddd"))</f>
        <v>Jueves</v>
      </c>
      <c r="Y391" t="str" cm="1">
        <f t="array" ref="Y391">_xlfn.IFS(R391&gt;10,"Excelente",R391&gt;=5,"Bueno",R391&gt;=2,"Débil",R391&lt;2,"Deficiente")</f>
        <v>Excelente</v>
      </c>
      <c r="Z391" t="str">
        <f>IF(AND(R391&lt;2,Q391&gt;=100),"Revisar","OK")</f>
        <v>OK</v>
      </c>
      <c r="AA391" s="55">
        <f>_xlfn.XLOOKUP(C391,'Preguntas de negocio'!$C$114:$C$119,'Preguntas de negocio'!$D$114:$D$119,0)</f>
        <v>4.5</v>
      </c>
      <c r="AB391" s="55">
        <f>VLOOKUP(C391,'Preguntas de negocio'!$C$121:$D$127,2,FALSE)</f>
        <v>0.35</v>
      </c>
    </row>
    <row r="392" spans="1:28" x14ac:dyDescent="0.3">
      <c r="A392" s="1">
        <v>45959</v>
      </c>
      <c r="B392" s="2" t="s">
        <v>2630</v>
      </c>
      <c r="C392" s="2" t="s">
        <v>2541</v>
      </c>
      <c r="D392" s="2" t="s">
        <v>2528</v>
      </c>
      <c r="E392" s="2" t="s">
        <v>2517</v>
      </c>
      <c r="F392" s="3">
        <v>156660</v>
      </c>
      <c r="G392" s="3">
        <v>8994</v>
      </c>
      <c r="H392" s="3">
        <v>698</v>
      </c>
      <c r="I392" s="4">
        <v>10431.11</v>
      </c>
      <c r="J392" s="4">
        <v>67054.63</v>
      </c>
      <c r="K392" s="3">
        <v>322</v>
      </c>
      <c r="L392" s="2" t="s">
        <v>2536</v>
      </c>
      <c r="M392" s="2" t="s">
        <v>2526</v>
      </c>
      <c r="N392" s="8">
        <f>IFERROR(G392/F392,0)</f>
        <v>5.7410953657602452E-2</v>
      </c>
      <c r="O392" s="8">
        <f>IFERROR(H392/G392,0)</f>
        <v>7.7607293751389819E-2</v>
      </c>
      <c r="P392" s="4">
        <f>IFERROR(I392/G392,0)</f>
        <v>1.1597854124972204</v>
      </c>
      <c r="Q392" s="4">
        <f>IFERROR(I392/H392,0)</f>
        <v>14.944283667621777</v>
      </c>
      <c r="R392" s="12">
        <f>IFERROR(J392/I392,0)</f>
        <v>6.4283312130732009</v>
      </c>
      <c r="S392" s="7">
        <f>Tabla_nuevas_columnas[[#This Row],[ROAS]]</f>
        <v>6.4283312130732009</v>
      </c>
      <c r="T392" t="str">
        <f>_xlfn.CONCAT(C392,"-",D392)</f>
        <v>Display-España</v>
      </c>
      <c r="U392">
        <f>YEAR(A392)</f>
        <v>2025</v>
      </c>
      <c r="V392">
        <f>MONTH(A392)</f>
        <v>10</v>
      </c>
      <c r="W392" t="str">
        <f>PROPER(TEXT(A392,"mmmm"))</f>
        <v>Octubre</v>
      </c>
      <c r="X392" t="str">
        <f>PROPER(TEXT(A392,"dddd"))</f>
        <v>Miércoles</v>
      </c>
      <c r="Y392" t="str" cm="1">
        <f t="array" ref="Y392">_xlfn.IFS(R392&gt;10,"Excelente",R392&gt;=5,"Bueno",R392&gt;=2,"Débil",R392&lt;2,"Deficiente")</f>
        <v>Bueno</v>
      </c>
      <c r="Z392" t="str">
        <f>IF(AND(R392&lt;2,Q392&gt;=100),"Revisar","OK")</f>
        <v>OK</v>
      </c>
      <c r="AA392" s="55">
        <f>_xlfn.XLOOKUP(C392,'Preguntas de negocio'!$C$114:$C$119,'Preguntas de negocio'!$D$114:$D$119,0)</f>
        <v>5</v>
      </c>
      <c r="AB392" s="55">
        <f>VLOOKUP(C392,'Preguntas de negocio'!$C$121:$D$127,2,FALSE)</f>
        <v>0.5</v>
      </c>
    </row>
    <row r="393" spans="1:28" x14ac:dyDescent="0.3">
      <c r="A393" s="1">
        <v>45818</v>
      </c>
      <c r="B393" s="2" t="s">
        <v>2629</v>
      </c>
      <c r="C393" s="2" t="s">
        <v>2533</v>
      </c>
      <c r="D393" s="2" t="s">
        <v>2516</v>
      </c>
      <c r="E393" s="2" t="s">
        <v>2529</v>
      </c>
      <c r="F393" s="3">
        <v>72507</v>
      </c>
      <c r="G393" s="3">
        <v>2561</v>
      </c>
      <c r="H393" s="3">
        <v>244</v>
      </c>
      <c r="I393" s="4">
        <v>4407.5600000000004</v>
      </c>
      <c r="J393" s="4">
        <v>11371.66</v>
      </c>
      <c r="K393" s="3">
        <v>125</v>
      </c>
      <c r="L393" s="2" t="s">
        <v>2523</v>
      </c>
      <c r="M393" s="2" t="s">
        <v>2524</v>
      </c>
      <c r="N393" s="8">
        <f>IFERROR(G393/F393,0)</f>
        <v>3.5320727653881695E-2</v>
      </c>
      <c r="O393" s="8">
        <f>IFERROR(H393/G393,0)</f>
        <v>9.5275283092541976E-2</v>
      </c>
      <c r="P393" s="4">
        <f>IFERROR(I393/G393,0)</f>
        <v>1.7210308473252638</v>
      </c>
      <c r="Q393" s="4">
        <f>IFERROR(I393/H393,0)</f>
        <v>18.063770491803279</v>
      </c>
      <c r="R393" s="12">
        <f>IFERROR(J393/I393,0)</f>
        <v>2.5800352122262655</v>
      </c>
      <c r="S393" s="7">
        <f>Tabla_nuevas_columnas[[#This Row],[ROAS]]</f>
        <v>2.5800352122262655</v>
      </c>
      <c r="T393" t="str">
        <f>_xlfn.CONCAT(C393,"-",D393)</f>
        <v>Paid Social-México</v>
      </c>
      <c r="U393">
        <f>YEAR(A393)</f>
        <v>2025</v>
      </c>
      <c r="V393">
        <f>MONTH(A393)</f>
        <v>6</v>
      </c>
      <c r="W393" t="str">
        <f>PROPER(TEXT(A393,"mmmm"))</f>
        <v>Junio</v>
      </c>
      <c r="X393" t="str">
        <f>PROPER(TEXT(A393,"dddd"))</f>
        <v>Martes</v>
      </c>
      <c r="Y393" t="str" cm="1">
        <f t="array" ref="Y393">_xlfn.IFS(R393&gt;10,"Excelente",R393&gt;=5,"Bueno",R393&gt;=2,"Débil",R393&lt;2,"Deficiente")</f>
        <v>Débil</v>
      </c>
      <c r="Z393" t="str">
        <f>IF(AND(R393&lt;2,Q393&gt;=100),"Revisar","OK")</f>
        <v>OK</v>
      </c>
      <c r="AA393" s="55">
        <f>_xlfn.XLOOKUP(C393,'Preguntas de negocio'!$C$114:$C$119,'Preguntas de negocio'!$D$114:$D$119,0)</f>
        <v>6</v>
      </c>
      <c r="AB393" s="55">
        <f>VLOOKUP(C393,'Preguntas de negocio'!$C$121:$D$127,2,FALSE)</f>
        <v>0.8</v>
      </c>
    </row>
    <row r="394" spans="1:28" x14ac:dyDescent="0.3">
      <c r="A394" s="1">
        <v>45719</v>
      </c>
      <c r="B394" s="2" t="s">
        <v>2643</v>
      </c>
      <c r="C394" s="2" t="s">
        <v>2543</v>
      </c>
      <c r="D394" s="2" t="s">
        <v>2525</v>
      </c>
      <c r="E394" s="2" t="s">
        <v>2517</v>
      </c>
      <c r="F394" s="3">
        <v>37981</v>
      </c>
      <c r="G394" s="3">
        <v>1989</v>
      </c>
      <c r="H394" s="3">
        <v>83</v>
      </c>
      <c r="I394" s="4">
        <v>3794.99</v>
      </c>
      <c r="J394" s="4">
        <v>14168.96</v>
      </c>
      <c r="K394" s="3">
        <v>40</v>
      </c>
      <c r="L394" s="2" t="s">
        <v>2523</v>
      </c>
      <c r="M394" s="2" t="s">
        <v>2546</v>
      </c>
      <c r="N394" s="8">
        <f>IFERROR(G394/F394,0)</f>
        <v>5.2368289407861826E-2</v>
      </c>
      <c r="O394" s="8">
        <f>IFERROR(H394/G394,0)</f>
        <v>4.1729512317747609E-2</v>
      </c>
      <c r="P394" s="4">
        <f>IFERROR(I394/G394,0)</f>
        <v>1.9079889391654097</v>
      </c>
      <c r="Q394" s="4">
        <f>IFERROR(I394/H394,0)</f>
        <v>45.722771084337346</v>
      </c>
      <c r="R394" s="12">
        <f>IFERROR(J394/I394,0)</f>
        <v>3.7335961359581975</v>
      </c>
      <c r="S394" s="7">
        <f>Tabla_nuevas_columnas[[#This Row],[ROAS]]</f>
        <v>3.7335961359581975</v>
      </c>
      <c r="T394" t="str">
        <f>_xlfn.CONCAT(C394,"-",D394)</f>
        <v>Organic Social-Francia</v>
      </c>
      <c r="U394">
        <f>YEAR(A394)</f>
        <v>2025</v>
      </c>
      <c r="V394">
        <f>MONTH(A394)</f>
        <v>3</v>
      </c>
      <c r="W394" t="str">
        <f>PROPER(TEXT(A394,"mmmm"))</f>
        <v>Marzo</v>
      </c>
      <c r="X394" t="str">
        <f>PROPER(TEXT(A394,"dddd"))</f>
        <v>Lunes</v>
      </c>
      <c r="Y394" t="str" cm="1">
        <f t="array" ref="Y394">_xlfn.IFS(R394&gt;10,"Excelente",R394&gt;=5,"Bueno",R394&gt;=2,"Débil",R394&lt;2,"Deficiente")</f>
        <v>Débil</v>
      </c>
      <c r="Z394" t="str">
        <f>IF(AND(R394&lt;2,Q394&gt;=100),"Revisar","OK")</f>
        <v>OK</v>
      </c>
      <c r="AA394" s="55">
        <f>_xlfn.XLOOKUP(C394,'Preguntas de negocio'!$C$114:$C$119,'Preguntas de negocio'!$D$114:$D$119,0)</f>
        <v>4</v>
      </c>
      <c r="AB394" s="55">
        <f>VLOOKUP(C394,'Preguntas de negocio'!$C$121:$D$127,2,FALSE)</f>
        <v>0.95</v>
      </c>
    </row>
    <row r="395" spans="1:28" x14ac:dyDescent="0.3">
      <c r="A395" s="1">
        <v>45807</v>
      </c>
      <c r="B395" s="2" t="s">
        <v>2642</v>
      </c>
      <c r="C395" s="2" t="s">
        <v>2543</v>
      </c>
      <c r="D395" s="2" t="s">
        <v>2528</v>
      </c>
      <c r="E395" s="2" t="s">
        <v>2517</v>
      </c>
      <c r="F395" s="3">
        <v>13647</v>
      </c>
      <c r="G395" s="3">
        <v>649</v>
      </c>
      <c r="H395" s="3">
        <v>73</v>
      </c>
      <c r="I395" s="4">
        <v>241.7</v>
      </c>
      <c r="J395" s="4">
        <v>11248.19</v>
      </c>
      <c r="K395" s="3">
        <v>33</v>
      </c>
      <c r="L395" s="2" t="s">
        <v>2523</v>
      </c>
      <c r="M395" s="2" t="s">
        <v>2524</v>
      </c>
      <c r="N395" s="8">
        <f>IFERROR(G395/F395,0)</f>
        <v>4.7556239466549424E-2</v>
      </c>
      <c r="O395" s="8">
        <f>IFERROR(H395/G395,0)</f>
        <v>0.11248073959938366</v>
      </c>
      <c r="P395" s="4">
        <f>IFERROR(I395/G395,0)</f>
        <v>0.37241910631741137</v>
      </c>
      <c r="Q395" s="4">
        <f>IFERROR(I395/H395,0)</f>
        <v>3.3109589041095888</v>
      </c>
      <c r="R395" s="12">
        <f>IFERROR(J395/I395,0)</f>
        <v>46.537815473727768</v>
      </c>
      <c r="S395" s="7">
        <f>Tabla_nuevas_columnas[[#This Row],[ROAS]]</f>
        <v>46.537815473727768</v>
      </c>
      <c r="T395" t="str">
        <f>_xlfn.CONCAT(C395,"-",D395)</f>
        <v>Organic Social-España</v>
      </c>
      <c r="U395">
        <f>YEAR(A395)</f>
        <v>2025</v>
      </c>
      <c r="V395">
        <f>MONTH(A395)</f>
        <v>5</v>
      </c>
      <c r="W395" t="str">
        <f>PROPER(TEXT(A395,"mmmm"))</f>
        <v>Mayo</v>
      </c>
      <c r="X395" t="str">
        <f>PROPER(TEXT(A395,"dddd"))</f>
        <v>Viernes</v>
      </c>
      <c r="Y395" t="str" cm="1">
        <f t="array" ref="Y395">_xlfn.IFS(R395&gt;10,"Excelente",R395&gt;=5,"Bueno",R395&gt;=2,"Débil",R395&lt;2,"Deficiente")</f>
        <v>Excelente</v>
      </c>
      <c r="Z395" t="str">
        <f>IF(AND(R395&lt;2,Q395&gt;=100),"Revisar","OK")</f>
        <v>OK</v>
      </c>
      <c r="AA395" s="55">
        <f>_xlfn.XLOOKUP(C395,'Preguntas de negocio'!$C$114:$C$119,'Preguntas de negocio'!$D$114:$D$119,0)</f>
        <v>4</v>
      </c>
      <c r="AB395" s="55">
        <f>VLOOKUP(C395,'Preguntas de negocio'!$C$121:$D$127,2,FALSE)</f>
        <v>0.95</v>
      </c>
    </row>
    <row r="396" spans="1:28" x14ac:dyDescent="0.3">
      <c r="A396" s="1">
        <v>45796</v>
      </c>
      <c r="B396" s="2" t="s">
        <v>2642</v>
      </c>
      <c r="C396" s="2" t="s">
        <v>2533</v>
      </c>
      <c r="D396" s="2" t="s">
        <v>2525</v>
      </c>
      <c r="E396" s="2" t="s">
        <v>2517</v>
      </c>
      <c r="F396" s="3">
        <v>4121</v>
      </c>
      <c r="G396" s="3">
        <v>162</v>
      </c>
      <c r="H396" s="3">
        <v>16</v>
      </c>
      <c r="I396" s="4">
        <v>67.010000000000005</v>
      </c>
      <c r="J396" s="4">
        <v>1208.56</v>
      </c>
      <c r="K396" s="3">
        <v>9</v>
      </c>
      <c r="L396" s="2" t="s">
        <v>2518</v>
      </c>
      <c r="M396" s="2" t="s">
        <v>2546</v>
      </c>
      <c r="N396" s="8">
        <f>IFERROR(G396/F396,0)</f>
        <v>3.9310846881824797E-2</v>
      </c>
      <c r="O396" s="8">
        <f>IFERROR(H396/G396,0)</f>
        <v>9.8765432098765427E-2</v>
      </c>
      <c r="P396" s="4">
        <f>IFERROR(I396/G396,0)</f>
        <v>0.413641975308642</v>
      </c>
      <c r="Q396" s="4">
        <f>IFERROR(I396/H396,0)</f>
        <v>4.1881250000000003</v>
      </c>
      <c r="R396" s="12">
        <f>IFERROR(J396/I396,0)</f>
        <v>18.035517087001939</v>
      </c>
      <c r="S396" s="7">
        <f>Tabla_nuevas_columnas[[#This Row],[ROAS]]</f>
        <v>18.035517087001939</v>
      </c>
      <c r="T396" t="str">
        <f>_xlfn.CONCAT(C396,"-",D396)</f>
        <v>Paid Social-Francia</v>
      </c>
      <c r="U396">
        <f>YEAR(A396)</f>
        <v>2025</v>
      </c>
      <c r="V396">
        <f>MONTH(A396)</f>
        <v>5</v>
      </c>
      <c r="W396" t="str">
        <f>PROPER(TEXT(A396,"mmmm"))</f>
        <v>Mayo</v>
      </c>
      <c r="X396" t="str">
        <f>PROPER(TEXT(A396,"dddd"))</f>
        <v>Lunes</v>
      </c>
      <c r="Y396" t="str" cm="1">
        <f t="array" ref="Y396">_xlfn.IFS(R396&gt;10,"Excelente",R396&gt;=5,"Bueno",R396&gt;=2,"Débil",R396&lt;2,"Deficiente")</f>
        <v>Excelente</v>
      </c>
      <c r="Z396" t="str">
        <f>IF(AND(R396&lt;2,Q396&gt;=100),"Revisar","OK")</f>
        <v>OK</v>
      </c>
      <c r="AA396" s="55">
        <f>_xlfn.XLOOKUP(C396,'Preguntas de negocio'!$C$114:$C$119,'Preguntas de negocio'!$D$114:$D$119,0)</f>
        <v>6</v>
      </c>
      <c r="AB396" s="55">
        <f>VLOOKUP(C396,'Preguntas de negocio'!$C$121:$D$127,2,FALSE)</f>
        <v>0.8</v>
      </c>
    </row>
    <row r="397" spans="1:28" x14ac:dyDescent="0.3">
      <c r="A397" s="1">
        <v>45880</v>
      </c>
      <c r="B397" s="2" t="s">
        <v>2633</v>
      </c>
      <c r="C397" s="2" t="s">
        <v>2521</v>
      </c>
      <c r="D397" s="2" t="s">
        <v>2528</v>
      </c>
      <c r="E397" s="2" t="s">
        <v>2517</v>
      </c>
      <c r="F397" s="3">
        <v>73156</v>
      </c>
      <c r="G397" s="3">
        <v>3027</v>
      </c>
      <c r="H397" s="3">
        <v>358</v>
      </c>
      <c r="I397" s="4">
        <v>1928.28</v>
      </c>
      <c r="J397" s="4">
        <v>77597.86</v>
      </c>
      <c r="K397" s="3">
        <v>260</v>
      </c>
      <c r="L397" s="2" t="s">
        <v>2536</v>
      </c>
      <c r="M397" s="2" t="s">
        <v>2519</v>
      </c>
      <c r="N397" s="8">
        <f>IFERROR(G397/F397,0)</f>
        <v>4.1377330635901363E-2</v>
      </c>
      <c r="O397" s="8">
        <f>IFERROR(H397/G397,0)</f>
        <v>0.11826891311529568</v>
      </c>
      <c r="P397" s="4">
        <f>IFERROR(I397/G397,0)</f>
        <v>0.63702675916749252</v>
      </c>
      <c r="Q397" s="4">
        <f>IFERROR(I397/H397,0)</f>
        <v>5.386256983240223</v>
      </c>
      <c r="R397" s="12">
        <f>IFERROR(J397/I397,0)</f>
        <v>40.242008422013399</v>
      </c>
      <c r="S397" s="7">
        <f>Tabla_nuevas_columnas[[#This Row],[ROAS]]</f>
        <v>40.242008422013399</v>
      </c>
      <c r="T397" t="str">
        <f>_xlfn.CONCAT(C397,"-",D397)</f>
        <v>Paid Search-España</v>
      </c>
      <c r="U397">
        <f>YEAR(A397)</f>
        <v>2025</v>
      </c>
      <c r="V397">
        <f>MONTH(A397)</f>
        <v>8</v>
      </c>
      <c r="W397" t="str">
        <f>PROPER(TEXT(A397,"mmmm"))</f>
        <v>Agosto</v>
      </c>
      <c r="X397" t="str">
        <f>PROPER(TEXT(A397,"dddd"))</f>
        <v>Lunes</v>
      </c>
      <c r="Y397" t="str" cm="1">
        <f t="array" ref="Y397">_xlfn.IFS(R397&gt;10,"Excelente",R397&gt;=5,"Bueno",R397&gt;=2,"Débil",R397&lt;2,"Deficiente")</f>
        <v>Excelente</v>
      </c>
      <c r="Z397" t="str">
        <f>IF(AND(R397&lt;2,Q397&gt;=100),"Revisar","OK")</f>
        <v>OK</v>
      </c>
      <c r="AA397" s="55">
        <f>_xlfn.XLOOKUP(C397,'Preguntas de negocio'!$C$114:$C$119,'Preguntas de negocio'!$D$114:$D$119,0)</f>
        <v>5</v>
      </c>
      <c r="AB397" s="55">
        <f>VLOOKUP(C397,'Preguntas de negocio'!$C$121:$D$127,2,FALSE)</f>
        <v>1.1000000000000001</v>
      </c>
    </row>
    <row r="398" spans="1:28" x14ac:dyDescent="0.3">
      <c r="A398" s="1">
        <v>45845</v>
      </c>
      <c r="B398" s="2" t="s">
        <v>2637</v>
      </c>
      <c r="C398" s="2" t="s">
        <v>2543</v>
      </c>
      <c r="D398" s="2" t="s">
        <v>2516</v>
      </c>
      <c r="E398" s="2" t="s">
        <v>2517</v>
      </c>
      <c r="F398" s="3">
        <v>60135</v>
      </c>
      <c r="G398" s="3">
        <v>3421</v>
      </c>
      <c r="H398" s="3">
        <v>241</v>
      </c>
      <c r="I398" s="4">
        <v>2632.77</v>
      </c>
      <c r="J398" s="4">
        <v>48199.48</v>
      </c>
      <c r="K398" s="3">
        <v>135</v>
      </c>
      <c r="L398" s="2" t="s">
        <v>2539</v>
      </c>
      <c r="M398" s="2" t="s">
        <v>2526</v>
      </c>
      <c r="N398" s="8">
        <f>IFERROR(G398/F398,0)</f>
        <v>5.6888667165544193E-2</v>
      </c>
      <c r="O398" s="8">
        <f>IFERROR(H398/G398,0)</f>
        <v>7.0447237649809993E-2</v>
      </c>
      <c r="P398" s="4">
        <f>IFERROR(I398/G398,0)</f>
        <v>0.76959076293481443</v>
      </c>
      <c r="Q398" s="4">
        <f>IFERROR(I398/H398,0)</f>
        <v>10.92435684647303</v>
      </c>
      <c r="R398" s="12">
        <f>IFERROR(J398/I398,0)</f>
        <v>18.307516418069184</v>
      </c>
      <c r="S398" s="7">
        <f>Tabla_nuevas_columnas[[#This Row],[ROAS]]</f>
        <v>18.307516418069184</v>
      </c>
      <c r="T398" t="str">
        <f>_xlfn.CONCAT(C398,"-",D398)</f>
        <v>Organic Social-México</v>
      </c>
      <c r="U398">
        <f>YEAR(A398)</f>
        <v>2025</v>
      </c>
      <c r="V398">
        <f>MONTH(A398)</f>
        <v>7</v>
      </c>
      <c r="W398" t="str">
        <f>PROPER(TEXT(A398,"mmmm"))</f>
        <v>Julio</v>
      </c>
      <c r="X398" t="str">
        <f>PROPER(TEXT(A398,"dddd"))</f>
        <v>Lunes</v>
      </c>
      <c r="Y398" t="str" cm="1">
        <f t="array" ref="Y398">_xlfn.IFS(R398&gt;10,"Excelente",R398&gt;=5,"Bueno",R398&gt;=2,"Débil",R398&lt;2,"Deficiente")</f>
        <v>Excelente</v>
      </c>
      <c r="Z398" t="str">
        <f>IF(AND(R398&lt;2,Q398&gt;=100),"Revisar","OK")</f>
        <v>OK</v>
      </c>
      <c r="AA398" s="55">
        <f>_xlfn.XLOOKUP(C398,'Preguntas de negocio'!$C$114:$C$119,'Preguntas de negocio'!$D$114:$D$119,0)</f>
        <v>4</v>
      </c>
      <c r="AB398" s="55">
        <f>VLOOKUP(C398,'Preguntas de negocio'!$C$121:$D$127,2,FALSE)</f>
        <v>0.95</v>
      </c>
    </row>
    <row r="399" spans="1:28" x14ac:dyDescent="0.3">
      <c r="A399" s="1">
        <v>45947</v>
      </c>
      <c r="B399" s="2" t="s">
        <v>2639</v>
      </c>
      <c r="C399" s="2" t="s">
        <v>2515</v>
      </c>
      <c r="D399" s="2" t="s">
        <v>2528</v>
      </c>
      <c r="E399" s="2" t="s">
        <v>2529</v>
      </c>
      <c r="F399" s="3">
        <v>171696</v>
      </c>
      <c r="G399" s="3">
        <v>10160</v>
      </c>
      <c r="H399" s="3">
        <v>631</v>
      </c>
      <c r="I399" s="4">
        <v>3447.97</v>
      </c>
      <c r="J399" s="4">
        <v>65659.16</v>
      </c>
      <c r="K399" s="3">
        <v>522</v>
      </c>
      <c r="L399" s="2" t="s">
        <v>2523</v>
      </c>
      <c r="M399" s="2" t="s">
        <v>2526</v>
      </c>
      <c r="N399" s="8">
        <f>IFERROR(G399/F399,0)</f>
        <v>5.91743546733762E-2</v>
      </c>
      <c r="O399" s="8">
        <f>IFERROR(H399/G399,0)</f>
        <v>6.2106299212598422E-2</v>
      </c>
      <c r="P399" s="4">
        <f>IFERROR(I399/G399,0)</f>
        <v>0.33936712598425195</v>
      </c>
      <c r="Q399" s="4">
        <f>IFERROR(I399/H399,0)</f>
        <v>5.4642947702060223</v>
      </c>
      <c r="R399" s="12">
        <f>IFERROR(J399/I399,0)</f>
        <v>19.042845500395888</v>
      </c>
      <c r="S399" s="7">
        <f>Tabla_nuevas_columnas[[#This Row],[ROAS]]</f>
        <v>19.042845500395888</v>
      </c>
      <c r="T399" t="str">
        <f>_xlfn.CONCAT(C399,"-",D399)</f>
        <v>Email-España</v>
      </c>
      <c r="U399">
        <f>YEAR(A399)</f>
        <v>2025</v>
      </c>
      <c r="V399">
        <f>MONTH(A399)</f>
        <v>10</v>
      </c>
      <c r="W399" t="str">
        <f>PROPER(TEXT(A399,"mmmm"))</f>
        <v>Octubre</v>
      </c>
      <c r="X399" t="str">
        <f>PROPER(TEXT(A399,"dddd"))</f>
        <v>Viernes</v>
      </c>
      <c r="Y399" t="str" cm="1">
        <f t="array" ref="Y399">_xlfn.IFS(R399&gt;10,"Excelente",R399&gt;=5,"Bueno",R399&gt;=2,"Débil",R399&lt;2,"Deficiente")</f>
        <v>Excelente</v>
      </c>
      <c r="Z399" t="str">
        <f>IF(AND(R399&lt;2,Q399&gt;=100),"Revisar","OK")</f>
        <v>OK</v>
      </c>
      <c r="AA399" s="55">
        <f>_xlfn.XLOOKUP(C399,'Preguntas de negocio'!$C$114:$C$119,'Preguntas de negocio'!$D$114:$D$119,0)</f>
        <v>5.5</v>
      </c>
      <c r="AB399" s="55">
        <f>VLOOKUP(C399,'Preguntas de negocio'!$C$121:$D$127,2,FALSE)</f>
        <v>0.65</v>
      </c>
    </row>
    <row r="400" spans="1:28" x14ac:dyDescent="0.3">
      <c r="A400" s="1">
        <v>45663</v>
      </c>
      <c r="B400" s="2" t="s">
        <v>2628</v>
      </c>
      <c r="C400" s="2" t="s">
        <v>2527</v>
      </c>
      <c r="D400" s="2" t="s">
        <v>2528</v>
      </c>
      <c r="E400" s="2" t="s">
        <v>2529</v>
      </c>
      <c r="F400" s="3">
        <v>131014</v>
      </c>
      <c r="G400" s="3">
        <v>5491</v>
      </c>
      <c r="H400" s="3">
        <v>273</v>
      </c>
      <c r="I400" s="4">
        <v>2219.41</v>
      </c>
      <c r="J400" s="4">
        <v>48559.66</v>
      </c>
      <c r="K400" s="3">
        <v>213</v>
      </c>
      <c r="L400" s="2" t="s">
        <v>2523</v>
      </c>
      <c r="M400" s="2" t="s">
        <v>2546</v>
      </c>
      <c r="N400" s="8">
        <f>IFERROR(G400/F400,0)</f>
        <v>4.1911551437250984E-2</v>
      </c>
      <c r="O400" s="8">
        <f>IFERROR(H400/G400,0)</f>
        <v>4.9717719905299579E-2</v>
      </c>
      <c r="P400" s="4">
        <f>IFERROR(I400/G400,0)</f>
        <v>0.40419049353487524</v>
      </c>
      <c r="Q400" s="4">
        <f>IFERROR(I400/H400,0)</f>
        <v>8.1297069597069598</v>
      </c>
      <c r="R400" s="12">
        <f>IFERROR(J400/I400,0)</f>
        <v>21.879535552241364</v>
      </c>
      <c r="S400" s="7">
        <f>Tabla_nuevas_columnas[[#This Row],[ROAS]]</f>
        <v>21.879535552241364</v>
      </c>
      <c r="T400" t="str">
        <f>_xlfn.CONCAT(C400,"-",D400)</f>
        <v>Affiliate-España</v>
      </c>
      <c r="U400">
        <f>YEAR(A400)</f>
        <v>2025</v>
      </c>
      <c r="V400">
        <f>MONTH(A400)</f>
        <v>1</v>
      </c>
      <c r="W400" t="str">
        <f>PROPER(TEXT(A400,"mmmm"))</f>
        <v>Enero</v>
      </c>
      <c r="X400" t="str">
        <f>PROPER(TEXT(A400,"dddd"))</f>
        <v>Lunes</v>
      </c>
      <c r="Y400" t="str" cm="1">
        <f t="array" ref="Y400">_xlfn.IFS(R400&gt;10,"Excelente",R400&gt;=5,"Bueno",R400&gt;=2,"Débil",R400&lt;2,"Deficiente")</f>
        <v>Excelente</v>
      </c>
      <c r="Z400" t="str">
        <f>IF(AND(R400&lt;2,Q400&gt;=100),"Revisar","OK")</f>
        <v>OK</v>
      </c>
      <c r="AA400" s="55">
        <f>_xlfn.XLOOKUP(C400,'Preguntas de negocio'!$C$114:$C$119,'Preguntas de negocio'!$D$114:$D$119,0)</f>
        <v>4.5</v>
      </c>
      <c r="AB400" s="55">
        <f>VLOOKUP(C400,'Preguntas de negocio'!$C$121:$D$127,2,FALSE)</f>
        <v>0.35</v>
      </c>
    </row>
    <row r="401" spans="1:28" x14ac:dyDescent="0.3">
      <c r="A401" s="1">
        <v>45803</v>
      </c>
      <c r="B401" s="2" t="s">
        <v>2631</v>
      </c>
      <c r="C401" s="2" t="s">
        <v>2541</v>
      </c>
      <c r="D401" s="2" t="s">
        <v>2525</v>
      </c>
      <c r="E401" s="2" t="s">
        <v>2517</v>
      </c>
      <c r="F401" s="3">
        <v>111209</v>
      </c>
      <c r="G401" s="3">
        <v>614</v>
      </c>
      <c r="H401" s="3">
        <v>50</v>
      </c>
      <c r="I401" s="4">
        <v>1227.6099999999999</v>
      </c>
      <c r="J401" s="4">
        <v>5144.0600000000004</v>
      </c>
      <c r="K401" s="3">
        <v>42</v>
      </c>
      <c r="L401" s="2" t="s">
        <v>2539</v>
      </c>
      <c r="M401" s="2" t="s">
        <v>2546</v>
      </c>
      <c r="N401" s="8">
        <f>IFERROR(G401/F401,0)</f>
        <v>5.5211358792903453E-3</v>
      </c>
      <c r="O401" s="8">
        <f>IFERROR(H401/G401,0)</f>
        <v>8.143322475570032E-2</v>
      </c>
      <c r="P401" s="4">
        <f>IFERROR(I401/G401,0)</f>
        <v>1.9993648208469055</v>
      </c>
      <c r="Q401" s="4">
        <f>IFERROR(I401/H401,0)</f>
        <v>24.552199999999999</v>
      </c>
      <c r="R401" s="12">
        <f>IFERROR(J401/I401,0)</f>
        <v>4.1903047384755752</v>
      </c>
      <c r="S401" s="7">
        <f>Tabla_nuevas_columnas[[#This Row],[ROAS]]</f>
        <v>4.1903047384755752</v>
      </c>
      <c r="T401" t="str">
        <f>_xlfn.CONCAT(C401,"-",D401)</f>
        <v>Display-Francia</v>
      </c>
      <c r="U401">
        <f>YEAR(A401)</f>
        <v>2025</v>
      </c>
      <c r="V401">
        <f>MONTH(A401)</f>
        <v>5</v>
      </c>
      <c r="W401" t="str">
        <f>PROPER(TEXT(A401,"mmmm"))</f>
        <v>Mayo</v>
      </c>
      <c r="X401" t="str">
        <f>PROPER(TEXT(A401,"dddd"))</f>
        <v>Lunes</v>
      </c>
      <c r="Y401" t="str" cm="1">
        <f t="array" ref="Y401">_xlfn.IFS(R401&gt;10,"Excelente",R401&gt;=5,"Bueno",R401&gt;=2,"Débil",R401&lt;2,"Deficiente")</f>
        <v>Débil</v>
      </c>
      <c r="Z401" t="str">
        <f>IF(AND(R401&lt;2,Q401&gt;=100),"Revisar","OK")</f>
        <v>OK</v>
      </c>
      <c r="AA401" s="55">
        <f>_xlfn.XLOOKUP(C401,'Preguntas de negocio'!$C$114:$C$119,'Preguntas de negocio'!$D$114:$D$119,0)</f>
        <v>5</v>
      </c>
      <c r="AB401" s="55">
        <f>VLOOKUP(C401,'Preguntas de negocio'!$C$121:$D$127,2,FALSE)</f>
        <v>0.5</v>
      </c>
    </row>
    <row r="402" spans="1:28" x14ac:dyDescent="0.3">
      <c r="A402" s="1">
        <v>45897</v>
      </c>
      <c r="B402" s="2" t="s">
        <v>2629</v>
      </c>
      <c r="C402" s="2" t="s">
        <v>2533</v>
      </c>
      <c r="D402" s="2" t="s">
        <v>2516</v>
      </c>
      <c r="E402" s="2" t="s">
        <v>2529</v>
      </c>
      <c r="F402" s="3">
        <v>34148</v>
      </c>
      <c r="G402" s="3">
        <v>1110</v>
      </c>
      <c r="H402" s="3">
        <v>137</v>
      </c>
      <c r="I402" s="4">
        <v>635.35</v>
      </c>
      <c r="J402" s="4">
        <v>29895.5</v>
      </c>
      <c r="K402" s="3">
        <v>77</v>
      </c>
      <c r="L402" s="2" t="s">
        <v>2518</v>
      </c>
      <c r="M402" s="2" t="s">
        <v>2526</v>
      </c>
      <c r="N402" s="8">
        <f>IFERROR(G402/F402,0)</f>
        <v>3.2505564015462104E-2</v>
      </c>
      <c r="O402" s="8">
        <f>IFERROR(H402/G402,0)</f>
        <v>0.12342342342342343</v>
      </c>
      <c r="P402" s="4">
        <f>IFERROR(I402/G402,0)</f>
        <v>0.57238738738738737</v>
      </c>
      <c r="Q402" s="4">
        <f>IFERROR(I402/H402,0)</f>
        <v>4.6375912408759126</v>
      </c>
      <c r="R402" s="12">
        <f>IFERROR(J402/I402,0)</f>
        <v>47.053592508066416</v>
      </c>
      <c r="S402" s="7">
        <f>Tabla_nuevas_columnas[[#This Row],[ROAS]]</f>
        <v>47.053592508066416</v>
      </c>
      <c r="T402" t="str">
        <f>_xlfn.CONCAT(C402,"-",D402)</f>
        <v>Paid Social-México</v>
      </c>
      <c r="U402">
        <f>YEAR(A402)</f>
        <v>2025</v>
      </c>
      <c r="V402">
        <f>MONTH(A402)</f>
        <v>8</v>
      </c>
      <c r="W402" t="str">
        <f>PROPER(TEXT(A402,"mmmm"))</f>
        <v>Agosto</v>
      </c>
      <c r="X402" t="str">
        <f>PROPER(TEXT(A402,"dddd"))</f>
        <v>Jueves</v>
      </c>
      <c r="Y402" t="str" cm="1">
        <f t="array" ref="Y402">_xlfn.IFS(R402&gt;10,"Excelente",R402&gt;=5,"Bueno",R402&gt;=2,"Débil",R402&lt;2,"Deficiente")</f>
        <v>Excelente</v>
      </c>
      <c r="Z402" t="str">
        <f>IF(AND(R402&lt;2,Q402&gt;=100),"Revisar","OK")</f>
        <v>OK</v>
      </c>
      <c r="AA402" s="55">
        <f>_xlfn.XLOOKUP(C402,'Preguntas de negocio'!$C$114:$C$119,'Preguntas de negocio'!$D$114:$D$119,0)</f>
        <v>6</v>
      </c>
      <c r="AB402" s="55">
        <f>VLOOKUP(C402,'Preguntas de negocio'!$C$121:$D$127,2,FALSE)</f>
        <v>0.8</v>
      </c>
    </row>
    <row r="403" spans="1:28" x14ac:dyDescent="0.3">
      <c r="A403" s="1">
        <v>45717</v>
      </c>
      <c r="B403" s="2" t="s">
        <v>2641</v>
      </c>
      <c r="C403" s="2" t="s">
        <v>2543</v>
      </c>
      <c r="D403" s="2" t="s">
        <v>2528</v>
      </c>
      <c r="E403" s="2" t="s">
        <v>2529</v>
      </c>
      <c r="F403" s="3">
        <v>115268</v>
      </c>
      <c r="G403" s="3">
        <v>7661</v>
      </c>
      <c r="H403" s="3">
        <v>305</v>
      </c>
      <c r="I403" s="4">
        <v>7387.27</v>
      </c>
      <c r="J403" s="4">
        <v>40594.449999999997</v>
      </c>
      <c r="K403" s="3">
        <v>197</v>
      </c>
      <c r="L403" s="2" t="s">
        <v>2518</v>
      </c>
      <c r="M403" s="2" t="s">
        <v>2537</v>
      </c>
      <c r="N403" s="8">
        <f>IFERROR(G403/F403,0)</f>
        <v>6.6462504771489045E-2</v>
      </c>
      <c r="O403" s="8">
        <f>IFERROR(H403/G403,0)</f>
        <v>3.9812034982378279E-2</v>
      </c>
      <c r="P403" s="4">
        <f>IFERROR(I403/G403,0)</f>
        <v>0.96426967758778237</v>
      </c>
      <c r="Q403" s="4">
        <f>IFERROR(I403/H403,0)</f>
        <v>24.220557377049182</v>
      </c>
      <c r="R403" s="12">
        <f>IFERROR(J403/I403,0)</f>
        <v>5.4951896979533705</v>
      </c>
      <c r="S403" s="7">
        <f>Tabla_nuevas_columnas[[#This Row],[ROAS]]</f>
        <v>5.4951896979533705</v>
      </c>
      <c r="T403" t="str">
        <f>_xlfn.CONCAT(C403,"-",D403)</f>
        <v>Organic Social-España</v>
      </c>
      <c r="U403">
        <f>YEAR(A403)</f>
        <v>2025</v>
      </c>
      <c r="V403">
        <f>MONTH(A403)</f>
        <v>3</v>
      </c>
      <c r="W403" t="str">
        <f>PROPER(TEXT(A403,"mmmm"))</f>
        <v>Marzo</v>
      </c>
      <c r="X403" t="str">
        <f>PROPER(TEXT(A403,"dddd"))</f>
        <v>Sábado</v>
      </c>
      <c r="Y403" t="str" cm="1">
        <f t="array" ref="Y403">_xlfn.IFS(R403&gt;10,"Excelente",R403&gt;=5,"Bueno",R403&gt;=2,"Débil",R403&lt;2,"Deficiente")</f>
        <v>Bueno</v>
      </c>
      <c r="Z403" t="str">
        <f>IF(AND(R403&lt;2,Q403&gt;=100),"Revisar","OK")</f>
        <v>OK</v>
      </c>
      <c r="AA403" s="55">
        <f>_xlfn.XLOOKUP(C403,'Preguntas de negocio'!$C$114:$C$119,'Preguntas de negocio'!$D$114:$D$119,0)</f>
        <v>4</v>
      </c>
      <c r="AB403" s="55">
        <f>VLOOKUP(C403,'Preguntas de negocio'!$C$121:$D$127,2,FALSE)</f>
        <v>0.95</v>
      </c>
    </row>
    <row r="404" spans="1:28" x14ac:dyDescent="0.3">
      <c r="A404" s="1">
        <v>45749</v>
      </c>
      <c r="B404" s="2" t="s">
        <v>2639</v>
      </c>
      <c r="C404" s="2" t="s">
        <v>2515</v>
      </c>
      <c r="D404" s="2" t="s">
        <v>2516</v>
      </c>
      <c r="E404" s="2" t="s">
        <v>2517</v>
      </c>
      <c r="F404" s="3">
        <v>106490</v>
      </c>
      <c r="G404" s="3">
        <v>6905</v>
      </c>
      <c r="H404" s="3">
        <v>36</v>
      </c>
      <c r="I404" s="4">
        <v>1224.3800000000001</v>
      </c>
      <c r="J404" s="4">
        <v>6174.76</v>
      </c>
      <c r="K404" s="3">
        <v>25</v>
      </c>
      <c r="L404" s="2" t="s">
        <v>2518</v>
      </c>
      <c r="M404" s="2" t="s">
        <v>2537</v>
      </c>
      <c r="N404" s="8">
        <f>IFERROR(G404/F404,0)</f>
        <v>6.484176918020472E-2</v>
      </c>
      <c r="O404" s="8">
        <f>IFERROR(H404/G404,0)</f>
        <v>5.2136133236784935E-3</v>
      </c>
      <c r="P404" s="4">
        <f>IFERROR(I404/G404,0)</f>
        <v>0.17731788559015207</v>
      </c>
      <c r="Q404" s="4">
        <f>IFERROR(I404/H404,0)</f>
        <v>34.010555555555555</v>
      </c>
      <c r="R404" s="12">
        <f>IFERROR(J404/I404,0)</f>
        <v>5.0431728711674477</v>
      </c>
      <c r="S404" s="7">
        <f>Tabla_nuevas_columnas[[#This Row],[ROAS]]</f>
        <v>5.0431728711674477</v>
      </c>
      <c r="T404" t="str">
        <f>_xlfn.CONCAT(C404,"-",D404)</f>
        <v>Email-México</v>
      </c>
      <c r="U404">
        <f>YEAR(A404)</f>
        <v>2025</v>
      </c>
      <c r="V404">
        <f>MONTH(A404)</f>
        <v>4</v>
      </c>
      <c r="W404" t="str">
        <f>PROPER(TEXT(A404,"mmmm"))</f>
        <v>Abril</v>
      </c>
      <c r="X404" t="str">
        <f>PROPER(TEXT(A404,"dddd"))</f>
        <v>Miércoles</v>
      </c>
      <c r="Y404" t="str" cm="1">
        <f t="array" ref="Y404">_xlfn.IFS(R404&gt;10,"Excelente",R404&gt;=5,"Bueno",R404&gt;=2,"Débil",R404&lt;2,"Deficiente")</f>
        <v>Bueno</v>
      </c>
      <c r="Z404" t="str">
        <f>IF(AND(R404&lt;2,Q404&gt;=100),"Revisar","OK")</f>
        <v>OK</v>
      </c>
      <c r="AA404" s="55">
        <f>_xlfn.XLOOKUP(C404,'Preguntas de negocio'!$C$114:$C$119,'Preguntas de negocio'!$D$114:$D$119,0)</f>
        <v>5.5</v>
      </c>
      <c r="AB404" s="55">
        <f>VLOOKUP(C404,'Preguntas de negocio'!$C$121:$D$127,2,FALSE)</f>
        <v>0.65</v>
      </c>
    </row>
    <row r="405" spans="1:28" x14ac:dyDescent="0.3">
      <c r="A405" s="1">
        <v>45970</v>
      </c>
      <c r="B405" s="2" t="s">
        <v>2617</v>
      </c>
      <c r="C405" s="2" t="s">
        <v>2527</v>
      </c>
      <c r="D405" s="2" t="s">
        <v>2525</v>
      </c>
      <c r="E405" s="2" t="s">
        <v>2529</v>
      </c>
      <c r="F405" s="3">
        <v>123270</v>
      </c>
      <c r="G405" s="3">
        <v>3000</v>
      </c>
      <c r="H405" s="3">
        <v>227</v>
      </c>
      <c r="I405" s="4">
        <v>3605.01</v>
      </c>
      <c r="J405" s="4">
        <v>35185.300000000003</v>
      </c>
      <c r="K405" s="3">
        <v>123</v>
      </c>
      <c r="L405" s="2" t="s">
        <v>2518</v>
      </c>
      <c r="M405" s="2" t="s">
        <v>2526</v>
      </c>
      <c r="N405" s="8">
        <f>IFERROR(G405/F405,0)</f>
        <v>2.4336821611097591E-2</v>
      </c>
      <c r="O405" s="8">
        <f>IFERROR(H405/G405,0)</f>
        <v>7.566666666666666E-2</v>
      </c>
      <c r="P405" s="4">
        <f>IFERROR(I405/G405,0)</f>
        <v>1.20167</v>
      </c>
      <c r="Q405" s="4">
        <f>IFERROR(I405/H405,0)</f>
        <v>15.881101321585904</v>
      </c>
      <c r="R405" s="12">
        <f>IFERROR(J405/I405,0)</f>
        <v>9.7601116224365541</v>
      </c>
      <c r="S405" s="7">
        <f>Tabla_nuevas_columnas[[#This Row],[ROAS]]</f>
        <v>9.7601116224365541</v>
      </c>
      <c r="T405" t="str">
        <f>_xlfn.CONCAT(C405,"-",D405)</f>
        <v>Affiliate-Francia</v>
      </c>
      <c r="U405">
        <f>YEAR(A405)</f>
        <v>2025</v>
      </c>
      <c r="V405">
        <f>MONTH(A405)</f>
        <v>11</v>
      </c>
      <c r="W405" t="str">
        <f>PROPER(TEXT(A405,"mmmm"))</f>
        <v>Noviembre</v>
      </c>
      <c r="X405" t="str">
        <f>PROPER(TEXT(A405,"dddd"))</f>
        <v>Domingo</v>
      </c>
      <c r="Y405" t="str" cm="1">
        <f t="array" ref="Y405">_xlfn.IFS(R405&gt;10,"Excelente",R405&gt;=5,"Bueno",R405&gt;=2,"Débil",R405&lt;2,"Deficiente")</f>
        <v>Bueno</v>
      </c>
      <c r="Z405" t="str">
        <f>IF(AND(R405&lt;2,Q405&gt;=100),"Revisar","OK")</f>
        <v>OK</v>
      </c>
      <c r="AA405" s="55">
        <f>_xlfn.XLOOKUP(C405,'Preguntas de negocio'!$C$114:$C$119,'Preguntas de negocio'!$D$114:$D$119,0)</f>
        <v>4.5</v>
      </c>
      <c r="AB405" s="55">
        <f>VLOOKUP(C405,'Preguntas de negocio'!$C$121:$D$127,2,FALSE)</f>
        <v>0.35</v>
      </c>
    </row>
    <row r="406" spans="1:28" x14ac:dyDescent="0.3">
      <c r="A406" s="1">
        <v>45870</v>
      </c>
      <c r="B406" s="2" t="s">
        <v>2643</v>
      </c>
      <c r="C406" s="2" t="s">
        <v>2533</v>
      </c>
      <c r="D406" s="2" t="s">
        <v>2531</v>
      </c>
      <c r="E406" s="2" t="s">
        <v>2517</v>
      </c>
      <c r="F406" s="3">
        <v>38809</v>
      </c>
      <c r="G406" s="3">
        <v>2819</v>
      </c>
      <c r="H406" s="3">
        <v>83</v>
      </c>
      <c r="I406" s="4">
        <v>4985.32</v>
      </c>
      <c r="J406" s="4">
        <v>10001.44</v>
      </c>
      <c r="K406" s="3">
        <v>40</v>
      </c>
      <c r="L406" s="2" t="s">
        <v>2518</v>
      </c>
      <c r="M406" s="2" t="s">
        <v>2519</v>
      </c>
      <c r="N406" s="8">
        <f>IFERROR(G406/F406,0)</f>
        <v>7.2637790203303354E-2</v>
      </c>
      <c r="O406" s="8">
        <f>IFERROR(H406/G406,0)</f>
        <v>2.9443064916637104E-2</v>
      </c>
      <c r="P406" s="4">
        <f>IFERROR(I406/G406,0)</f>
        <v>1.7684710890386661</v>
      </c>
      <c r="Q406" s="4">
        <f>IFERROR(I406/H406,0)</f>
        <v>60.064096385542165</v>
      </c>
      <c r="R406" s="12">
        <f>IFERROR(J406/I406,0)</f>
        <v>2.0061781390161517</v>
      </c>
      <c r="S406" s="7">
        <f>Tabla_nuevas_columnas[[#This Row],[ROAS]]</f>
        <v>2.0061781390161517</v>
      </c>
      <c r="T406" t="str">
        <f>_xlfn.CONCAT(C406,"-",D406)</f>
        <v>Paid Social-Portugal</v>
      </c>
      <c r="U406">
        <f>YEAR(A406)</f>
        <v>2025</v>
      </c>
      <c r="V406">
        <f>MONTH(A406)</f>
        <v>8</v>
      </c>
      <c r="W406" t="str">
        <f>PROPER(TEXT(A406,"mmmm"))</f>
        <v>Agosto</v>
      </c>
      <c r="X406" t="str">
        <f>PROPER(TEXT(A406,"dddd"))</f>
        <v>Viernes</v>
      </c>
      <c r="Y406" t="str" cm="1">
        <f t="array" ref="Y406">_xlfn.IFS(R406&gt;10,"Excelente",R406&gt;=5,"Bueno",R406&gt;=2,"Débil",R406&lt;2,"Deficiente")</f>
        <v>Débil</v>
      </c>
      <c r="Z406" t="str">
        <f>IF(AND(R406&lt;2,Q406&gt;=100),"Revisar","OK")</f>
        <v>OK</v>
      </c>
      <c r="AA406" s="55">
        <f>_xlfn.XLOOKUP(C406,'Preguntas de negocio'!$C$114:$C$119,'Preguntas de negocio'!$D$114:$D$119,0)</f>
        <v>6</v>
      </c>
      <c r="AB406" s="55">
        <f>VLOOKUP(C406,'Preguntas de negocio'!$C$121:$D$127,2,FALSE)</f>
        <v>0.8</v>
      </c>
    </row>
    <row r="407" spans="1:28" x14ac:dyDescent="0.3">
      <c r="A407" s="1">
        <v>45785</v>
      </c>
      <c r="B407" s="2" t="s">
        <v>2628</v>
      </c>
      <c r="C407" s="2" t="s">
        <v>2515</v>
      </c>
      <c r="D407" s="2" t="s">
        <v>2516</v>
      </c>
      <c r="E407" s="2" t="s">
        <v>2517</v>
      </c>
      <c r="F407" s="3">
        <v>61245</v>
      </c>
      <c r="G407" s="3">
        <v>4769</v>
      </c>
      <c r="H407" s="3">
        <v>600</v>
      </c>
      <c r="I407" s="4">
        <v>9224.49</v>
      </c>
      <c r="J407" s="4">
        <v>10474.280000000001</v>
      </c>
      <c r="K407" s="3">
        <v>338</v>
      </c>
      <c r="L407" s="2" t="s">
        <v>2518</v>
      </c>
      <c r="M407" s="2" t="s">
        <v>2526</v>
      </c>
      <c r="N407" s="8">
        <f>IFERROR(G407/F407,0)</f>
        <v>7.7867581027022612E-2</v>
      </c>
      <c r="O407" s="8">
        <f>IFERROR(H407/G407,0)</f>
        <v>0.12581253931641853</v>
      </c>
      <c r="P407" s="4">
        <f>IFERROR(I407/G407,0)</f>
        <v>1.934260851331516</v>
      </c>
      <c r="Q407" s="4">
        <f>IFERROR(I407/H407,0)</f>
        <v>15.37415</v>
      </c>
      <c r="R407" s="12">
        <f>IFERROR(J407/I407,0)</f>
        <v>1.1354860810733169</v>
      </c>
      <c r="S407" s="7">
        <f>Tabla_nuevas_columnas[[#This Row],[ROAS]]</f>
        <v>1.1354860810733169</v>
      </c>
      <c r="T407" t="str">
        <f>_xlfn.CONCAT(C407,"-",D407)</f>
        <v>Email-México</v>
      </c>
      <c r="U407">
        <f>YEAR(A407)</f>
        <v>2025</v>
      </c>
      <c r="V407">
        <f>MONTH(A407)</f>
        <v>5</v>
      </c>
      <c r="W407" t="str">
        <f>PROPER(TEXT(A407,"mmmm"))</f>
        <v>Mayo</v>
      </c>
      <c r="X407" t="str">
        <f>PROPER(TEXT(A407,"dddd"))</f>
        <v>Jueves</v>
      </c>
      <c r="Y407" t="str" cm="1">
        <f t="array" ref="Y407">_xlfn.IFS(R407&gt;10,"Excelente",R407&gt;=5,"Bueno",R407&gt;=2,"Débil",R407&lt;2,"Deficiente")</f>
        <v>Deficiente</v>
      </c>
      <c r="Z407" t="str">
        <f>IF(AND(R407&lt;2,Q407&gt;=100),"Revisar","OK")</f>
        <v>OK</v>
      </c>
      <c r="AA407" s="55">
        <f>_xlfn.XLOOKUP(C407,'Preguntas de negocio'!$C$114:$C$119,'Preguntas de negocio'!$D$114:$D$119,0)</f>
        <v>5.5</v>
      </c>
      <c r="AB407" s="55">
        <f>VLOOKUP(C407,'Preguntas de negocio'!$C$121:$D$127,2,FALSE)</f>
        <v>0.65</v>
      </c>
    </row>
    <row r="408" spans="1:28" x14ac:dyDescent="0.3">
      <c r="A408" s="1">
        <v>45803</v>
      </c>
      <c r="B408" s="2" t="s">
        <v>2636</v>
      </c>
      <c r="C408" s="2" t="s">
        <v>2521</v>
      </c>
      <c r="D408" s="2" t="s">
        <v>2528</v>
      </c>
      <c r="E408" s="2" t="s">
        <v>2517</v>
      </c>
      <c r="F408" s="3">
        <v>98569</v>
      </c>
      <c r="G408" s="3">
        <v>2025</v>
      </c>
      <c r="H408" s="3">
        <v>61</v>
      </c>
      <c r="I408" s="4">
        <v>1701.71</v>
      </c>
      <c r="J408" s="4">
        <v>7220.09</v>
      </c>
      <c r="K408" s="3">
        <v>50</v>
      </c>
      <c r="L408" s="2" t="s">
        <v>2539</v>
      </c>
      <c r="M408" s="2" t="s">
        <v>2519</v>
      </c>
      <c r="N408" s="8">
        <f>IFERROR(G408/F408,0)</f>
        <v>2.0543984417007374E-2</v>
      </c>
      <c r="O408" s="8">
        <f>IFERROR(H408/G408,0)</f>
        <v>3.0123456790123456E-2</v>
      </c>
      <c r="P408" s="4">
        <f>IFERROR(I408/G408,0)</f>
        <v>0.84035061728395066</v>
      </c>
      <c r="Q408" s="4">
        <f>IFERROR(I408/H408,0)</f>
        <v>27.89688524590164</v>
      </c>
      <c r="R408" s="12">
        <f>IFERROR(J408/I408,0)</f>
        <v>4.2428439628373811</v>
      </c>
      <c r="S408" s="7">
        <f>Tabla_nuevas_columnas[[#This Row],[ROAS]]</f>
        <v>4.2428439628373811</v>
      </c>
      <c r="T408" t="str">
        <f>_xlfn.CONCAT(C408,"-",D408)</f>
        <v>Paid Search-España</v>
      </c>
      <c r="U408">
        <f>YEAR(A408)</f>
        <v>2025</v>
      </c>
      <c r="V408">
        <f>MONTH(A408)</f>
        <v>5</v>
      </c>
      <c r="W408" t="str">
        <f>PROPER(TEXT(A408,"mmmm"))</f>
        <v>Mayo</v>
      </c>
      <c r="X408" t="str">
        <f>PROPER(TEXT(A408,"dddd"))</f>
        <v>Lunes</v>
      </c>
      <c r="Y408" t="str" cm="1">
        <f t="array" ref="Y408">_xlfn.IFS(R408&gt;10,"Excelente",R408&gt;=5,"Bueno",R408&gt;=2,"Débil",R408&lt;2,"Deficiente")</f>
        <v>Débil</v>
      </c>
      <c r="Z408" t="str">
        <f>IF(AND(R408&lt;2,Q408&gt;=100),"Revisar","OK")</f>
        <v>OK</v>
      </c>
      <c r="AA408" s="55">
        <f>_xlfn.XLOOKUP(C408,'Preguntas de negocio'!$C$114:$C$119,'Preguntas de negocio'!$D$114:$D$119,0)</f>
        <v>5</v>
      </c>
      <c r="AB408" s="55">
        <f>VLOOKUP(C408,'Preguntas de negocio'!$C$121:$D$127,2,FALSE)</f>
        <v>1.1000000000000001</v>
      </c>
    </row>
    <row r="409" spans="1:28" x14ac:dyDescent="0.3">
      <c r="A409" s="1">
        <v>45894</v>
      </c>
      <c r="B409" s="2" t="s">
        <v>2631</v>
      </c>
      <c r="C409" s="2" t="s">
        <v>2521</v>
      </c>
      <c r="D409" s="2" t="s">
        <v>2528</v>
      </c>
      <c r="E409" s="2" t="s">
        <v>2517</v>
      </c>
      <c r="F409" s="3">
        <v>41305</v>
      </c>
      <c r="G409" s="3">
        <v>635</v>
      </c>
      <c r="H409" s="3">
        <v>25</v>
      </c>
      <c r="I409" s="4">
        <v>563.75</v>
      </c>
      <c r="J409" s="4">
        <v>1774.87</v>
      </c>
      <c r="K409" s="3">
        <v>22</v>
      </c>
      <c r="L409" s="2" t="s">
        <v>2539</v>
      </c>
      <c r="M409" s="2" t="s">
        <v>2546</v>
      </c>
      <c r="N409" s="8">
        <f>IFERROR(G409/F409,0)</f>
        <v>1.5373441471976758E-2</v>
      </c>
      <c r="O409" s="8">
        <f>IFERROR(H409/G409,0)</f>
        <v>3.937007874015748E-2</v>
      </c>
      <c r="P409" s="4">
        <f>IFERROR(I409/G409,0)</f>
        <v>0.88779527559055116</v>
      </c>
      <c r="Q409" s="4">
        <f>IFERROR(I409/H409,0)</f>
        <v>22.55</v>
      </c>
      <c r="R409" s="12">
        <f>IFERROR(J409/I409,0)</f>
        <v>3.1483281596452328</v>
      </c>
      <c r="S409" s="7">
        <f>Tabla_nuevas_columnas[[#This Row],[ROAS]]</f>
        <v>3.1483281596452328</v>
      </c>
      <c r="T409" t="str">
        <f>_xlfn.CONCAT(C409,"-",D409)</f>
        <v>Paid Search-España</v>
      </c>
      <c r="U409">
        <f>YEAR(A409)</f>
        <v>2025</v>
      </c>
      <c r="V409">
        <f>MONTH(A409)</f>
        <v>8</v>
      </c>
      <c r="W409" t="str">
        <f>PROPER(TEXT(A409,"mmmm"))</f>
        <v>Agosto</v>
      </c>
      <c r="X409" t="str">
        <f>PROPER(TEXT(A409,"dddd"))</f>
        <v>Lunes</v>
      </c>
      <c r="Y409" t="str" cm="1">
        <f t="array" ref="Y409">_xlfn.IFS(R409&gt;10,"Excelente",R409&gt;=5,"Bueno",R409&gt;=2,"Débil",R409&lt;2,"Deficiente")</f>
        <v>Débil</v>
      </c>
      <c r="Z409" t="str">
        <f>IF(AND(R409&lt;2,Q409&gt;=100),"Revisar","OK")</f>
        <v>OK</v>
      </c>
      <c r="AA409" s="55">
        <f>_xlfn.XLOOKUP(C409,'Preguntas de negocio'!$C$114:$C$119,'Preguntas de negocio'!$D$114:$D$119,0)</f>
        <v>5</v>
      </c>
      <c r="AB409" s="55">
        <f>VLOOKUP(C409,'Preguntas de negocio'!$C$121:$D$127,2,FALSE)</f>
        <v>1.1000000000000001</v>
      </c>
    </row>
    <row r="410" spans="1:28" x14ac:dyDescent="0.3">
      <c r="A410" s="1">
        <v>45805</v>
      </c>
      <c r="B410" s="2" t="s">
        <v>2633</v>
      </c>
      <c r="C410" s="2" t="s">
        <v>2521</v>
      </c>
      <c r="D410" s="2" t="s">
        <v>2528</v>
      </c>
      <c r="E410" s="2" t="s">
        <v>2517</v>
      </c>
      <c r="F410" s="3">
        <v>116027</v>
      </c>
      <c r="G410" s="3">
        <v>8024</v>
      </c>
      <c r="H410" s="3">
        <v>909</v>
      </c>
      <c r="I410" s="4">
        <v>10275.89</v>
      </c>
      <c r="J410" s="4">
        <v>25256.25</v>
      </c>
      <c r="K410" s="3">
        <v>608</v>
      </c>
      <c r="L410" s="2" t="s">
        <v>2523</v>
      </c>
      <c r="M410" s="2" t="s">
        <v>2524</v>
      </c>
      <c r="N410" s="8">
        <f>IFERROR(G410/F410,0)</f>
        <v>6.9156317064131625E-2</v>
      </c>
      <c r="O410" s="8">
        <f>IFERROR(H410/G410,0)</f>
        <v>0.11328514456630109</v>
      </c>
      <c r="P410" s="4">
        <f>IFERROR(I410/G410,0)</f>
        <v>1.2806443170488533</v>
      </c>
      <c r="Q410" s="4">
        <f>IFERROR(I410/H410,0)</f>
        <v>11.304609460946095</v>
      </c>
      <c r="R410" s="12">
        <f>IFERROR(J410/I410,0)</f>
        <v>2.4578163059355442</v>
      </c>
      <c r="S410" s="7">
        <f>Tabla_nuevas_columnas[[#This Row],[ROAS]]</f>
        <v>2.4578163059355442</v>
      </c>
      <c r="T410" t="str">
        <f>_xlfn.CONCAT(C410,"-",D410)</f>
        <v>Paid Search-España</v>
      </c>
      <c r="U410">
        <f>YEAR(A410)</f>
        <v>2025</v>
      </c>
      <c r="V410">
        <f>MONTH(A410)</f>
        <v>5</v>
      </c>
      <c r="W410" t="str">
        <f>PROPER(TEXT(A410,"mmmm"))</f>
        <v>Mayo</v>
      </c>
      <c r="X410" t="str">
        <f>PROPER(TEXT(A410,"dddd"))</f>
        <v>Miércoles</v>
      </c>
      <c r="Y410" t="str" cm="1">
        <f t="array" ref="Y410">_xlfn.IFS(R410&gt;10,"Excelente",R410&gt;=5,"Bueno",R410&gt;=2,"Débil",R410&lt;2,"Deficiente")</f>
        <v>Débil</v>
      </c>
      <c r="Z410" t="str">
        <f>IF(AND(R410&lt;2,Q410&gt;=100),"Revisar","OK")</f>
        <v>OK</v>
      </c>
      <c r="AA410" s="55">
        <f>_xlfn.XLOOKUP(C410,'Preguntas de negocio'!$C$114:$C$119,'Preguntas de negocio'!$D$114:$D$119,0)</f>
        <v>5</v>
      </c>
      <c r="AB410" s="55">
        <f>VLOOKUP(C410,'Preguntas de negocio'!$C$121:$D$127,2,FALSE)</f>
        <v>1.1000000000000001</v>
      </c>
    </row>
    <row r="411" spans="1:28" x14ac:dyDescent="0.3">
      <c r="A411" s="1">
        <v>45982</v>
      </c>
      <c r="B411" s="2" t="s">
        <v>2623</v>
      </c>
      <c r="C411" s="2" t="s">
        <v>2543</v>
      </c>
      <c r="D411" s="2" t="s">
        <v>2528</v>
      </c>
      <c r="E411" s="2" t="s">
        <v>2529</v>
      </c>
      <c r="F411" s="3">
        <v>31035</v>
      </c>
      <c r="G411" s="3">
        <v>1935</v>
      </c>
      <c r="H411" s="3">
        <v>144</v>
      </c>
      <c r="I411" s="4">
        <v>2842.24</v>
      </c>
      <c r="J411" s="4">
        <v>9533.4500000000007</v>
      </c>
      <c r="K411" s="3">
        <v>86</v>
      </c>
      <c r="L411" s="2" t="s">
        <v>2536</v>
      </c>
      <c r="M411" s="2" t="s">
        <v>2546</v>
      </c>
      <c r="N411" s="8">
        <f>IFERROR(G411/F411,0)</f>
        <v>6.2348960850652488E-2</v>
      </c>
      <c r="O411" s="8">
        <f>IFERROR(H411/G411,0)</f>
        <v>7.441860465116279E-2</v>
      </c>
      <c r="P411" s="4">
        <f>IFERROR(I411/G411,0)</f>
        <v>1.4688578811369508</v>
      </c>
      <c r="Q411" s="4">
        <f>IFERROR(I411/H411,0)</f>
        <v>19.737777777777776</v>
      </c>
      <c r="R411" s="12">
        <f>IFERROR(J411/I411,0)</f>
        <v>3.3542030229678006</v>
      </c>
      <c r="S411" s="7">
        <f>Tabla_nuevas_columnas[[#This Row],[ROAS]]</f>
        <v>3.3542030229678006</v>
      </c>
      <c r="T411" t="str">
        <f>_xlfn.CONCAT(C411,"-",D411)</f>
        <v>Organic Social-España</v>
      </c>
      <c r="U411">
        <f>YEAR(A411)</f>
        <v>2025</v>
      </c>
      <c r="V411">
        <f>MONTH(A411)</f>
        <v>11</v>
      </c>
      <c r="W411" t="str">
        <f>PROPER(TEXT(A411,"mmmm"))</f>
        <v>Noviembre</v>
      </c>
      <c r="X411" t="str">
        <f>PROPER(TEXT(A411,"dddd"))</f>
        <v>Viernes</v>
      </c>
      <c r="Y411" t="str" cm="1">
        <f t="array" ref="Y411">_xlfn.IFS(R411&gt;10,"Excelente",R411&gt;=5,"Bueno",R411&gt;=2,"Débil",R411&lt;2,"Deficiente")</f>
        <v>Débil</v>
      </c>
      <c r="Z411" t="str">
        <f>IF(AND(R411&lt;2,Q411&gt;=100),"Revisar","OK")</f>
        <v>OK</v>
      </c>
      <c r="AA411" s="55">
        <f>_xlfn.XLOOKUP(C411,'Preguntas de negocio'!$C$114:$C$119,'Preguntas de negocio'!$D$114:$D$119,0)</f>
        <v>4</v>
      </c>
      <c r="AB411" s="55">
        <f>VLOOKUP(C411,'Preguntas de negocio'!$C$121:$D$127,2,FALSE)</f>
        <v>0.95</v>
      </c>
    </row>
    <row r="412" spans="1:28" x14ac:dyDescent="0.3">
      <c r="A412" s="1">
        <v>45901</v>
      </c>
      <c r="B412" s="2" t="s">
        <v>2623</v>
      </c>
      <c r="C412" s="2" t="s">
        <v>2533</v>
      </c>
      <c r="D412" s="2" t="s">
        <v>2528</v>
      </c>
      <c r="E412" s="2" t="s">
        <v>2529</v>
      </c>
      <c r="F412" s="3">
        <v>142758</v>
      </c>
      <c r="G412" s="3">
        <v>6426</v>
      </c>
      <c r="H412" s="3">
        <v>213</v>
      </c>
      <c r="I412" s="4">
        <v>2113.02</v>
      </c>
      <c r="J412" s="4">
        <v>19907.740000000002</v>
      </c>
      <c r="K412" s="3">
        <v>152</v>
      </c>
      <c r="L412" s="2" t="s">
        <v>2536</v>
      </c>
      <c r="M412" s="2" t="s">
        <v>2546</v>
      </c>
      <c r="N412" s="8">
        <f>IFERROR(G412/F412,0)</f>
        <v>4.5013239187996469E-2</v>
      </c>
      <c r="O412" s="8">
        <f>IFERROR(H412/G412,0)</f>
        <v>3.3146591970121382E-2</v>
      </c>
      <c r="P412" s="4">
        <f>IFERROR(I412/G412,0)</f>
        <v>0.32882352941176468</v>
      </c>
      <c r="Q412" s="4">
        <f>IFERROR(I412/H412,0)</f>
        <v>9.920281690140845</v>
      </c>
      <c r="R412" s="12">
        <f>IFERROR(J412/I412,0)</f>
        <v>9.4214631191375382</v>
      </c>
      <c r="S412" s="7">
        <f>Tabla_nuevas_columnas[[#This Row],[ROAS]]</f>
        <v>9.4214631191375382</v>
      </c>
      <c r="T412" t="str">
        <f>_xlfn.CONCAT(C412,"-",D412)</f>
        <v>Paid Social-España</v>
      </c>
      <c r="U412">
        <f>YEAR(A412)</f>
        <v>2025</v>
      </c>
      <c r="V412">
        <f>MONTH(A412)</f>
        <v>9</v>
      </c>
      <c r="W412" t="str">
        <f>PROPER(TEXT(A412,"mmmm"))</f>
        <v>Septiembre</v>
      </c>
      <c r="X412" t="str">
        <f>PROPER(TEXT(A412,"dddd"))</f>
        <v>Lunes</v>
      </c>
      <c r="Y412" t="str" cm="1">
        <f t="array" ref="Y412">_xlfn.IFS(R412&gt;10,"Excelente",R412&gt;=5,"Bueno",R412&gt;=2,"Débil",R412&lt;2,"Deficiente")</f>
        <v>Bueno</v>
      </c>
      <c r="Z412" t="str">
        <f>IF(AND(R412&lt;2,Q412&gt;=100),"Revisar","OK")</f>
        <v>OK</v>
      </c>
      <c r="AA412" s="55">
        <f>_xlfn.XLOOKUP(C412,'Preguntas de negocio'!$C$114:$C$119,'Preguntas de negocio'!$D$114:$D$119,0)</f>
        <v>6</v>
      </c>
      <c r="AB412" s="55">
        <f>VLOOKUP(C412,'Preguntas de negocio'!$C$121:$D$127,2,FALSE)</f>
        <v>0.8</v>
      </c>
    </row>
    <row r="413" spans="1:28" x14ac:dyDescent="0.3">
      <c r="A413" s="1">
        <v>45914</v>
      </c>
      <c r="B413" s="2" t="s">
        <v>2637</v>
      </c>
      <c r="C413" s="2" t="s">
        <v>2543</v>
      </c>
      <c r="D413" s="2" t="s">
        <v>2525</v>
      </c>
      <c r="E413" s="2" t="s">
        <v>2529</v>
      </c>
      <c r="F413" s="3">
        <v>25072</v>
      </c>
      <c r="G413" s="3">
        <v>1290</v>
      </c>
      <c r="H413" s="3">
        <v>172</v>
      </c>
      <c r="I413" s="4">
        <v>1299.79</v>
      </c>
      <c r="J413" s="4">
        <v>19269.87</v>
      </c>
      <c r="K413" s="3">
        <v>120</v>
      </c>
      <c r="L413" s="2" t="s">
        <v>2536</v>
      </c>
      <c r="M413" s="2" t="s">
        <v>2546</v>
      </c>
      <c r="N413" s="8">
        <f>IFERROR(G413/F413,0)</f>
        <v>5.1451818761965543E-2</v>
      </c>
      <c r="O413" s="8">
        <f>IFERROR(H413/G413,0)</f>
        <v>0.13333333333333333</v>
      </c>
      <c r="P413" s="4">
        <f>IFERROR(I413/G413,0)</f>
        <v>1.0075891472868217</v>
      </c>
      <c r="Q413" s="4">
        <f>IFERROR(I413/H413,0)</f>
        <v>7.5569186046511625</v>
      </c>
      <c r="R413" s="12">
        <f>IFERROR(J413/I413,0)</f>
        <v>14.825371790827749</v>
      </c>
      <c r="S413" s="7">
        <f>Tabla_nuevas_columnas[[#This Row],[ROAS]]</f>
        <v>14.825371790827749</v>
      </c>
      <c r="T413" t="str">
        <f>_xlfn.CONCAT(C413,"-",D413)</f>
        <v>Organic Social-Francia</v>
      </c>
      <c r="U413">
        <f>YEAR(A413)</f>
        <v>2025</v>
      </c>
      <c r="V413">
        <f>MONTH(A413)</f>
        <v>9</v>
      </c>
      <c r="W413" t="str">
        <f>PROPER(TEXT(A413,"mmmm"))</f>
        <v>Septiembre</v>
      </c>
      <c r="X413" t="str">
        <f>PROPER(TEXT(A413,"dddd"))</f>
        <v>Domingo</v>
      </c>
      <c r="Y413" t="str" cm="1">
        <f t="array" ref="Y413">_xlfn.IFS(R413&gt;10,"Excelente",R413&gt;=5,"Bueno",R413&gt;=2,"Débil",R413&lt;2,"Deficiente")</f>
        <v>Excelente</v>
      </c>
      <c r="Z413" t="str">
        <f>IF(AND(R413&lt;2,Q413&gt;=100),"Revisar","OK")</f>
        <v>OK</v>
      </c>
      <c r="AA413" s="55">
        <f>_xlfn.XLOOKUP(C413,'Preguntas de negocio'!$C$114:$C$119,'Preguntas de negocio'!$D$114:$D$119,0)</f>
        <v>4</v>
      </c>
      <c r="AB413" s="55">
        <f>VLOOKUP(C413,'Preguntas de negocio'!$C$121:$D$127,2,FALSE)</f>
        <v>0.95</v>
      </c>
    </row>
    <row r="414" spans="1:28" x14ac:dyDescent="0.3">
      <c r="A414" s="1">
        <v>45967</v>
      </c>
      <c r="B414" s="2" t="s">
        <v>2630</v>
      </c>
      <c r="C414" s="2" t="s">
        <v>2527</v>
      </c>
      <c r="D414" s="2" t="s">
        <v>2528</v>
      </c>
      <c r="E414" s="2" t="s">
        <v>2534</v>
      </c>
      <c r="F414" s="3">
        <v>50975</v>
      </c>
      <c r="G414" s="3">
        <v>1893</v>
      </c>
      <c r="H414" s="3">
        <v>235</v>
      </c>
      <c r="I414" s="4">
        <v>1283.3</v>
      </c>
      <c r="J414" s="4">
        <v>4760.55</v>
      </c>
      <c r="K414" s="3">
        <v>120</v>
      </c>
      <c r="L414" s="2" t="s">
        <v>2523</v>
      </c>
      <c r="M414" s="2" t="s">
        <v>2537</v>
      </c>
      <c r="N414" s="8">
        <f>IFERROR(G414/F414,0)</f>
        <v>3.7135850907307505E-2</v>
      </c>
      <c r="O414" s="8">
        <f>IFERROR(H414/G414,0)</f>
        <v>0.12414157422081352</v>
      </c>
      <c r="P414" s="4">
        <f>IFERROR(I414/G414,0)</f>
        <v>0.67791864764923404</v>
      </c>
      <c r="Q414" s="4">
        <f>IFERROR(I414/H414,0)</f>
        <v>5.4608510638297867</v>
      </c>
      <c r="R414" s="12">
        <f>IFERROR(J414/I414,0)</f>
        <v>3.7096158341775114</v>
      </c>
      <c r="S414" s="7">
        <f>Tabla_nuevas_columnas[[#This Row],[ROAS]]</f>
        <v>3.7096158341775114</v>
      </c>
      <c r="T414" t="str">
        <f>_xlfn.CONCAT(C414,"-",D414)</f>
        <v>Affiliate-España</v>
      </c>
      <c r="U414">
        <f>YEAR(A414)</f>
        <v>2025</v>
      </c>
      <c r="V414">
        <f>MONTH(A414)</f>
        <v>11</v>
      </c>
      <c r="W414" t="str">
        <f>PROPER(TEXT(A414,"mmmm"))</f>
        <v>Noviembre</v>
      </c>
      <c r="X414" t="str">
        <f>PROPER(TEXT(A414,"dddd"))</f>
        <v>Jueves</v>
      </c>
      <c r="Y414" t="str" cm="1">
        <f t="array" ref="Y414">_xlfn.IFS(R414&gt;10,"Excelente",R414&gt;=5,"Bueno",R414&gt;=2,"Débil",R414&lt;2,"Deficiente")</f>
        <v>Débil</v>
      </c>
      <c r="Z414" t="str">
        <f>IF(AND(R414&lt;2,Q414&gt;=100),"Revisar","OK")</f>
        <v>OK</v>
      </c>
      <c r="AA414" s="55">
        <f>_xlfn.XLOOKUP(C414,'Preguntas de negocio'!$C$114:$C$119,'Preguntas de negocio'!$D$114:$D$119,0)</f>
        <v>4.5</v>
      </c>
      <c r="AB414" s="55">
        <f>VLOOKUP(C414,'Preguntas de negocio'!$C$121:$D$127,2,FALSE)</f>
        <v>0.35</v>
      </c>
    </row>
    <row r="415" spans="1:28" x14ac:dyDescent="0.3">
      <c r="A415" s="1">
        <v>45806</v>
      </c>
      <c r="B415" s="2" t="s">
        <v>2619</v>
      </c>
      <c r="C415" s="2" t="s">
        <v>2527</v>
      </c>
      <c r="D415" s="2" t="s">
        <v>2528</v>
      </c>
      <c r="E415" s="2" t="s">
        <v>2529</v>
      </c>
      <c r="F415" s="3">
        <v>121280</v>
      </c>
      <c r="G415" s="3">
        <v>8459</v>
      </c>
      <c r="H415" s="3">
        <v>820</v>
      </c>
      <c r="I415" s="4">
        <v>8546.01</v>
      </c>
      <c r="J415" s="4">
        <v>120609.65</v>
      </c>
      <c r="K415" s="3">
        <v>642</v>
      </c>
      <c r="L415" s="2" t="s">
        <v>2523</v>
      </c>
      <c r="M415" s="2" t="s">
        <v>2526</v>
      </c>
      <c r="N415" s="8">
        <f>IFERROR(G415/F415,0)</f>
        <v>6.9747691292875988E-2</v>
      </c>
      <c r="O415" s="8">
        <f>IFERROR(H415/G415,0)</f>
        <v>9.6938172360799144E-2</v>
      </c>
      <c r="P415" s="4">
        <f>IFERROR(I415/G415,0)</f>
        <v>1.0102860858257479</v>
      </c>
      <c r="Q415" s="4">
        <f>IFERROR(I415/H415,0)</f>
        <v>10.421963414634147</v>
      </c>
      <c r="R415" s="12">
        <f>IFERROR(J415/I415,0)</f>
        <v>14.112977869204459</v>
      </c>
      <c r="S415" s="7">
        <f>Tabla_nuevas_columnas[[#This Row],[ROAS]]</f>
        <v>14.112977869204459</v>
      </c>
      <c r="T415" t="str">
        <f>_xlfn.CONCAT(C415,"-",D415)</f>
        <v>Affiliate-España</v>
      </c>
      <c r="U415">
        <f>YEAR(A415)</f>
        <v>2025</v>
      </c>
      <c r="V415">
        <f>MONTH(A415)</f>
        <v>5</v>
      </c>
      <c r="W415" t="str">
        <f>PROPER(TEXT(A415,"mmmm"))</f>
        <v>Mayo</v>
      </c>
      <c r="X415" t="str">
        <f>PROPER(TEXT(A415,"dddd"))</f>
        <v>Jueves</v>
      </c>
      <c r="Y415" t="str" cm="1">
        <f t="array" ref="Y415">_xlfn.IFS(R415&gt;10,"Excelente",R415&gt;=5,"Bueno",R415&gt;=2,"Débil",R415&lt;2,"Deficiente")</f>
        <v>Excelente</v>
      </c>
      <c r="Z415" t="str">
        <f>IF(AND(R415&lt;2,Q415&gt;=100),"Revisar","OK")</f>
        <v>OK</v>
      </c>
      <c r="AA415" s="55">
        <f>_xlfn.XLOOKUP(C415,'Preguntas de negocio'!$C$114:$C$119,'Preguntas de negocio'!$D$114:$D$119,0)</f>
        <v>4.5</v>
      </c>
      <c r="AB415" s="55">
        <f>VLOOKUP(C415,'Preguntas de negocio'!$C$121:$D$127,2,FALSE)</f>
        <v>0.35</v>
      </c>
    </row>
    <row r="416" spans="1:28" x14ac:dyDescent="0.3">
      <c r="A416" s="1">
        <v>45828</v>
      </c>
      <c r="B416" s="2" t="s">
        <v>2628</v>
      </c>
      <c r="C416" s="2" t="s">
        <v>2543</v>
      </c>
      <c r="D416" s="2" t="s">
        <v>2516</v>
      </c>
      <c r="E416" s="2" t="s">
        <v>2517</v>
      </c>
      <c r="F416" s="3">
        <v>67904</v>
      </c>
      <c r="G416" s="3">
        <v>4821</v>
      </c>
      <c r="H416" s="3">
        <v>298</v>
      </c>
      <c r="I416" s="4">
        <v>8124.61</v>
      </c>
      <c r="J416" s="4">
        <v>7316.18</v>
      </c>
      <c r="K416" s="3">
        <v>189</v>
      </c>
      <c r="L416" s="2" t="s">
        <v>2539</v>
      </c>
      <c r="M416" s="2" t="s">
        <v>2519</v>
      </c>
      <c r="N416" s="8">
        <f>IFERROR(G416/F416,0)</f>
        <v>7.099729029217719E-2</v>
      </c>
      <c r="O416" s="8">
        <f>IFERROR(H416/G416,0)</f>
        <v>6.181290188757519E-2</v>
      </c>
      <c r="P416" s="4">
        <f>IFERROR(I416/G416,0)</f>
        <v>1.6852540966604439</v>
      </c>
      <c r="Q416" s="4">
        <f>IFERROR(I416/H416,0)</f>
        <v>27.263791946308725</v>
      </c>
      <c r="R416" s="12">
        <f>IFERROR(J416/I416,0)</f>
        <v>0.90049614689197399</v>
      </c>
      <c r="S416" s="7">
        <f>Tabla_nuevas_columnas[[#This Row],[ROAS]]</f>
        <v>0.90049614689197399</v>
      </c>
      <c r="T416" t="str">
        <f>_xlfn.CONCAT(C416,"-",D416)</f>
        <v>Organic Social-México</v>
      </c>
      <c r="U416">
        <f>YEAR(A416)</f>
        <v>2025</v>
      </c>
      <c r="V416">
        <f>MONTH(A416)</f>
        <v>6</v>
      </c>
      <c r="W416" t="str">
        <f>PROPER(TEXT(A416,"mmmm"))</f>
        <v>Junio</v>
      </c>
      <c r="X416" t="str">
        <f>PROPER(TEXT(A416,"dddd"))</f>
        <v>Viernes</v>
      </c>
      <c r="Y416" t="str" cm="1">
        <f t="array" ref="Y416">_xlfn.IFS(R416&gt;10,"Excelente",R416&gt;=5,"Bueno",R416&gt;=2,"Débil",R416&lt;2,"Deficiente")</f>
        <v>Deficiente</v>
      </c>
      <c r="Z416" t="str">
        <f>IF(AND(R416&lt;2,Q416&gt;=100),"Revisar","OK")</f>
        <v>OK</v>
      </c>
      <c r="AA416" s="55">
        <f>_xlfn.XLOOKUP(C416,'Preguntas de negocio'!$C$114:$C$119,'Preguntas de negocio'!$D$114:$D$119,0)</f>
        <v>4</v>
      </c>
      <c r="AB416" s="55">
        <f>VLOOKUP(C416,'Preguntas de negocio'!$C$121:$D$127,2,FALSE)</f>
        <v>0.95</v>
      </c>
    </row>
    <row r="417" spans="1:28" x14ac:dyDescent="0.3">
      <c r="A417" s="1">
        <v>45881</v>
      </c>
      <c r="B417" s="2" t="s">
        <v>2616</v>
      </c>
      <c r="C417" s="2" t="s">
        <v>2521</v>
      </c>
      <c r="D417" s="2" t="s">
        <v>2528</v>
      </c>
      <c r="E417" s="2" t="s">
        <v>2517</v>
      </c>
      <c r="F417" s="3">
        <v>60851</v>
      </c>
      <c r="G417" s="3">
        <v>1526</v>
      </c>
      <c r="H417" s="3">
        <v>76</v>
      </c>
      <c r="I417" s="4">
        <v>333.86</v>
      </c>
      <c r="J417" s="4">
        <v>14129.53</v>
      </c>
      <c r="K417" s="3">
        <v>61</v>
      </c>
      <c r="L417" s="2" t="s">
        <v>2539</v>
      </c>
      <c r="M417" s="2" t="s">
        <v>2524</v>
      </c>
      <c r="N417" s="8">
        <f>IFERROR(G417/F417,0)</f>
        <v>2.5077648682848269E-2</v>
      </c>
      <c r="O417" s="8">
        <f>IFERROR(H417/G417,0)</f>
        <v>4.9803407601572737E-2</v>
      </c>
      <c r="P417" s="4">
        <f>IFERROR(I417/G417,0)</f>
        <v>0.21878112712975098</v>
      </c>
      <c r="Q417" s="4">
        <f>IFERROR(I417/H417,0)</f>
        <v>4.3928947368421056</v>
      </c>
      <c r="R417" s="12">
        <f>IFERROR(J417/I417,0)</f>
        <v>42.321721679745998</v>
      </c>
      <c r="S417" s="7">
        <f>Tabla_nuevas_columnas[[#This Row],[ROAS]]</f>
        <v>42.321721679745998</v>
      </c>
      <c r="T417" t="str">
        <f>_xlfn.CONCAT(C417,"-",D417)</f>
        <v>Paid Search-España</v>
      </c>
      <c r="U417">
        <f>YEAR(A417)</f>
        <v>2025</v>
      </c>
      <c r="V417">
        <f>MONTH(A417)</f>
        <v>8</v>
      </c>
      <c r="W417" t="str">
        <f>PROPER(TEXT(A417,"mmmm"))</f>
        <v>Agosto</v>
      </c>
      <c r="X417" t="str">
        <f>PROPER(TEXT(A417,"dddd"))</f>
        <v>Martes</v>
      </c>
      <c r="Y417" t="str" cm="1">
        <f t="array" ref="Y417">_xlfn.IFS(R417&gt;10,"Excelente",R417&gt;=5,"Bueno",R417&gt;=2,"Débil",R417&lt;2,"Deficiente")</f>
        <v>Excelente</v>
      </c>
      <c r="Z417" t="str">
        <f>IF(AND(R417&lt;2,Q417&gt;=100),"Revisar","OK")</f>
        <v>OK</v>
      </c>
      <c r="AA417" s="55">
        <f>_xlfn.XLOOKUP(C417,'Preguntas de negocio'!$C$114:$C$119,'Preguntas de negocio'!$D$114:$D$119,0)</f>
        <v>5</v>
      </c>
      <c r="AB417" s="55">
        <f>VLOOKUP(C417,'Preguntas de negocio'!$C$121:$D$127,2,FALSE)</f>
        <v>1.1000000000000001</v>
      </c>
    </row>
    <row r="418" spans="1:28" x14ac:dyDescent="0.3">
      <c r="A418" s="1">
        <v>45888</v>
      </c>
      <c r="B418" s="2" t="s">
        <v>2640</v>
      </c>
      <c r="C418" s="2" t="s">
        <v>2541</v>
      </c>
      <c r="D418" s="2" t="s">
        <v>2516</v>
      </c>
      <c r="E418" s="2" t="s">
        <v>2529</v>
      </c>
      <c r="F418" s="3">
        <v>21969</v>
      </c>
      <c r="G418" s="3">
        <v>1041</v>
      </c>
      <c r="H418" s="3">
        <v>49</v>
      </c>
      <c r="I418" s="4">
        <v>1918.27</v>
      </c>
      <c r="J418" s="4">
        <v>2985.65</v>
      </c>
      <c r="K418" s="3">
        <v>40</v>
      </c>
      <c r="L418" s="2" t="s">
        <v>2539</v>
      </c>
      <c r="M418" s="2" t="s">
        <v>2546</v>
      </c>
      <c r="N418" s="8">
        <f>IFERROR(G418/F418,0)</f>
        <v>4.7384951522600027E-2</v>
      </c>
      <c r="O418" s="8">
        <f>IFERROR(H418/G418,0)</f>
        <v>4.7070124879923153E-2</v>
      </c>
      <c r="P418" s="4">
        <f>IFERROR(I418/G418,0)</f>
        <v>1.8427185398655139</v>
      </c>
      <c r="Q418" s="4">
        <f>IFERROR(I418/H418,0)</f>
        <v>39.148367346938777</v>
      </c>
      <c r="R418" s="12">
        <f>IFERROR(J418/I418,0)</f>
        <v>1.5564284485499957</v>
      </c>
      <c r="S418" s="7">
        <f>Tabla_nuevas_columnas[[#This Row],[ROAS]]</f>
        <v>1.5564284485499957</v>
      </c>
      <c r="T418" t="str">
        <f>_xlfn.CONCAT(C418,"-",D418)</f>
        <v>Display-México</v>
      </c>
      <c r="U418">
        <f>YEAR(A418)</f>
        <v>2025</v>
      </c>
      <c r="V418">
        <f>MONTH(A418)</f>
        <v>8</v>
      </c>
      <c r="W418" t="str">
        <f>PROPER(TEXT(A418,"mmmm"))</f>
        <v>Agosto</v>
      </c>
      <c r="X418" t="str">
        <f>PROPER(TEXT(A418,"dddd"))</f>
        <v>Martes</v>
      </c>
      <c r="Y418" t="str" cm="1">
        <f t="array" ref="Y418">_xlfn.IFS(R418&gt;10,"Excelente",R418&gt;=5,"Bueno",R418&gt;=2,"Débil",R418&lt;2,"Deficiente")</f>
        <v>Deficiente</v>
      </c>
      <c r="Z418" t="str">
        <f>IF(AND(R418&lt;2,Q418&gt;=100),"Revisar","OK")</f>
        <v>OK</v>
      </c>
      <c r="AA418" s="55">
        <f>_xlfn.XLOOKUP(C418,'Preguntas de negocio'!$C$114:$C$119,'Preguntas de negocio'!$D$114:$D$119,0)</f>
        <v>5</v>
      </c>
      <c r="AB418" s="55">
        <f>VLOOKUP(C418,'Preguntas de negocio'!$C$121:$D$127,2,FALSE)</f>
        <v>0.5</v>
      </c>
    </row>
    <row r="419" spans="1:28" x14ac:dyDescent="0.3">
      <c r="A419" s="1">
        <v>45817</v>
      </c>
      <c r="B419" s="2" t="s">
        <v>2633</v>
      </c>
      <c r="C419" s="2" t="s">
        <v>2521</v>
      </c>
      <c r="D419" s="2" t="s">
        <v>2528</v>
      </c>
      <c r="E419" s="2" t="s">
        <v>2529</v>
      </c>
      <c r="F419" s="3">
        <v>173451</v>
      </c>
      <c r="G419" s="3">
        <v>13725</v>
      </c>
      <c r="H419" s="3">
        <v>790</v>
      </c>
      <c r="I419" s="4">
        <v>8034.93</v>
      </c>
      <c r="J419" s="4">
        <v>97812.09</v>
      </c>
      <c r="K419" s="3">
        <v>611</v>
      </c>
      <c r="L419" s="2" t="s">
        <v>2518</v>
      </c>
      <c r="M419" s="2" t="s">
        <v>2519</v>
      </c>
      <c r="N419" s="8">
        <f>IFERROR(G419/F419,0)</f>
        <v>7.9128975906740229E-2</v>
      </c>
      <c r="O419" s="8">
        <f>IFERROR(H419/G419,0)</f>
        <v>5.7559198542805098E-2</v>
      </c>
      <c r="P419" s="4">
        <f>IFERROR(I419/G419,0)</f>
        <v>0.58542295081967211</v>
      </c>
      <c r="Q419" s="4">
        <f>IFERROR(I419/H419,0)</f>
        <v>10.170797468354431</v>
      </c>
      <c r="R419" s="12">
        <f>IFERROR(J419/I419,0)</f>
        <v>12.173359319869618</v>
      </c>
      <c r="S419" s="7">
        <f>Tabla_nuevas_columnas[[#This Row],[ROAS]]</f>
        <v>12.173359319869618</v>
      </c>
      <c r="T419" t="str">
        <f>_xlfn.CONCAT(C419,"-",D419)</f>
        <v>Paid Search-España</v>
      </c>
      <c r="U419">
        <f>YEAR(A419)</f>
        <v>2025</v>
      </c>
      <c r="V419">
        <f>MONTH(A419)</f>
        <v>6</v>
      </c>
      <c r="W419" t="str">
        <f>PROPER(TEXT(A419,"mmmm"))</f>
        <v>Junio</v>
      </c>
      <c r="X419" t="str">
        <f>PROPER(TEXT(A419,"dddd"))</f>
        <v>Lunes</v>
      </c>
      <c r="Y419" t="str" cm="1">
        <f t="array" ref="Y419">_xlfn.IFS(R419&gt;10,"Excelente",R419&gt;=5,"Bueno",R419&gt;=2,"Débil",R419&lt;2,"Deficiente")</f>
        <v>Excelente</v>
      </c>
      <c r="Z419" t="str">
        <f>IF(AND(R419&lt;2,Q419&gt;=100),"Revisar","OK")</f>
        <v>OK</v>
      </c>
      <c r="AA419" s="55">
        <f>_xlfn.XLOOKUP(C419,'Preguntas de negocio'!$C$114:$C$119,'Preguntas de negocio'!$D$114:$D$119,0)</f>
        <v>5</v>
      </c>
      <c r="AB419" s="55">
        <f>VLOOKUP(C419,'Preguntas de negocio'!$C$121:$D$127,2,FALSE)</f>
        <v>1.1000000000000001</v>
      </c>
    </row>
    <row r="420" spans="1:28" x14ac:dyDescent="0.3">
      <c r="A420" s="1">
        <v>46001</v>
      </c>
      <c r="B420" s="2" t="s">
        <v>2617</v>
      </c>
      <c r="C420" s="2" t="s">
        <v>2521</v>
      </c>
      <c r="D420" s="2" t="s">
        <v>2528</v>
      </c>
      <c r="E420" s="2" t="s">
        <v>2534</v>
      </c>
      <c r="F420" s="3">
        <v>27569</v>
      </c>
      <c r="G420" s="3">
        <v>1601</v>
      </c>
      <c r="H420" s="3">
        <v>190</v>
      </c>
      <c r="I420" s="4">
        <v>1809.8</v>
      </c>
      <c r="J420" s="4">
        <v>31917.69</v>
      </c>
      <c r="K420" s="3">
        <v>113</v>
      </c>
      <c r="L420" s="2" t="s">
        <v>2523</v>
      </c>
      <c r="M420" s="2" t="s">
        <v>2526</v>
      </c>
      <c r="N420" s="8">
        <f>IFERROR(G420/F420,0)</f>
        <v>5.8072472704849651E-2</v>
      </c>
      <c r="O420" s="8">
        <f>IFERROR(H420/G420,0)</f>
        <v>0.11867582760774516</v>
      </c>
      <c r="P420" s="4">
        <f>IFERROR(I420/G420,0)</f>
        <v>1.1304184884447219</v>
      </c>
      <c r="Q420" s="4">
        <f>IFERROR(I420/H420,0)</f>
        <v>9.5252631578947362</v>
      </c>
      <c r="R420" s="12">
        <f>IFERROR(J420/I420,0)</f>
        <v>17.636031605702286</v>
      </c>
      <c r="S420" s="7">
        <f>Tabla_nuevas_columnas[[#This Row],[ROAS]]</f>
        <v>17.636031605702286</v>
      </c>
      <c r="T420" t="str">
        <f>_xlfn.CONCAT(C420,"-",D420)</f>
        <v>Paid Search-España</v>
      </c>
      <c r="U420">
        <f>YEAR(A420)</f>
        <v>2025</v>
      </c>
      <c r="V420">
        <f>MONTH(A420)</f>
        <v>12</v>
      </c>
      <c r="W420" t="str">
        <f>PROPER(TEXT(A420,"mmmm"))</f>
        <v>Diciembre</v>
      </c>
      <c r="X420" t="str">
        <f>PROPER(TEXT(A420,"dddd"))</f>
        <v>Miércoles</v>
      </c>
      <c r="Y420" t="str" cm="1">
        <f t="array" ref="Y420">_xlfn.IFS(R420&gt;10,"Excelente",R420&gt;=5,"Bueno",R420&gt;=2,"Débil",R420&lt;2,"Deficiente")</f>
        <v>Excelente</v>
      </c>
      <c r="Z420" t="str">
        <f>IF(AND(R420&lt;2,Q420&gt;=100),"Revisar","OK")</f>
        <v>OK</v>
      </c>
      <c r="AA420" s="55">
        <f>_xlfn.XLOOKUP(C420,'Preguntas de negocio'!$C$114:$C$119,'Preguntas de negocio'!$D$114:$D$119,0)</f>
        <v>5</v>
      </c>
      <c r="AB420" s="55">
        <f>VLOOKUP(C420,'Preguntas de negocio'!$C$121:$D$127,2,FALSE)</f>
        <v>1.1000000000000001</v>
      </c>
    </row>
    <row r="421" spans="1:28" x14ac:dyDescent="0.3">
      <c r="A421" s="1">
        <v>45791</v>
      </c>
      <c r="B421" s="2" t="s">
        <v>2619</v>
      </c>
      <c r="C421" s="2" t="s">
        <v>2543</v>
      </c>
      <c r="D421" s="2" t="s">
        <v>2522</v>
      </c>
      <c r="E421" s="2" t="s">
        <v>2517</v>
      </c>
      <c r="F421" s="3">
        <v>116427</v>
      </c>
      <c r="G421" s="3">
        <v>6459</v>
      </c>
      <c r="H421" s="3">
        <v>753</v>
      </c>
      <c r="I421" s="4">
        <v>2914.31</v>
      </c>
      <c r="J421" s="4">
        <v>61557.71</v>
      </c>
      <c r="K421" s="3">
        <v>438</v>
      </c>
      <c r="L421" s="2" t="s">
        <v>2523</v>
      </c>
      <c r="M421" s="2" t="s">
        <v>2537</v>
      </c>
      <c r="N421" s="8">
        <f>IFERROR(G421/F421,0)</f>
        <v>5.5476822386559821E-2</v>
      </c>
      <c r="O421" s="8">
        <f>IFERROR(H421/G421,0)</f>
        <v>0.11658151416627961</v>
      </c>
      <c r="P421" s="4">
        <f>IFERROR(I421/G421,0)</f>
        <v>0.45120142436909738</v>
      </c>
      <c r="Q421" s="4">
        <f>IFERROR(I421/H421,0)</f>
        <v>3.8702656042496679</v>
      </c>
      <c r="R421" s="12">
        <f>IFERROR(J421/I421,0)</f>
        <v>21.122567606054265</v>
      </c>
      <c r="S421" s="7">
        <f>Tabla_nuevas_columnas[[#This Row],[ROAS]]</f>
        <v>21.122567606054265</v>
      </c>
      <c r="T421" t="str">
        <f>_xlfn.CONCAT(C421,"-",D421)</f>
        <v>Organic Social-Italia</v>
      </c>
      <c r="U421">
        <f>YEAR(A421)</f>
        <v>2025</v>
      </c>
      <c r="V421">
        <f>MONTH(A421)</f>
        <v>5</v>
      </c>
      <c r="W421" t="str">
        <f>PROPER(TEXT(A421,"mmmm"))</f>
        <v>Mayo</v>
      </c>
      <c r="X421" t="str">
        <f>PROPER(TEXT(A421,"dddd"))</f>
        <v>Miércoles</v>
      </c>
      <c r="Y421" t="str" cm="1">
        <f t="array" ref="Y421">_xlfn.IFS(R421&gt;10,"Excelente",R421&gt;=5,"Bueno",R421&gt;=2,"Débil",R421&lt;2,"Deficiente")</f>
        <v>Excelente</v>
      </c>
      <c r="Z421" t="str">
        <f>IF(AND(R421&lt;2,Q421&gt;=100),"Revisar","OK")</f>
        <v>OK</v>
      </c>
      <c r="AA421" s="55">
        <f>_xlfn.XLOOKUP(C421,'Preguntas de negocio'!$C$114:$C$119,'Preguntas de negocio'!$D$114:$D$119,0)</f>
        <v>4</v>
      </c>
      <c r="AB421" s="55">
        <f>VLOOKUP(C421,'Preguntas de negocio'!$C$121:$D$127,2,FALSE)</f>
        <v>0.95</v>
      </c>
    </row>
    <row r="422" spans="1:28" x14ac:dyDescent="0.3">
      <c r="A422" s="1">
        <v>45814</v>
      </c>
      <c r="B422" s="2" t="s">
        <v>2617</v>
      </c>
      <c r="C422" s="2" t="s">
        <v>2521</v>
      </c>
      <c r="D422" s="2" t="s">
        <v>2528</v>
      </c>
      <c r="E422" s="2" t="s">
        <v>2517</v>
      </c>
      <c r="F422" s="3">
        <v>78135</v>
      </c>
      <c r="G422" s="3">
        <v>5223</v>
      </c>
      <c r="H422" s="3">
        <v>128</v>
      </c>
      <c r="I422" s="4">
        <v>5918.46</v>
      </c>
      <c r="J422" s="4">
        <v>23620.09</v>
      </c>
      <c r="K422" s="3">
        <v>82</v>
      </c>
      <c r="L422" s="2" t="s">
        <v>2536</v>
      </c>
      <c r="M422" s="2" t="s">
        <v>2526</v>
      </c>
      <c r="N422" s="8">
        <f>IFERROR(G422/F422,0)</f>
        <v>6.6845843732002308E-2</v>
      </c>
      <c r="O422" s="8">
        <f>IFERROR(H422/G422,0)</f>
        <v>2.4506988320888379E-2</v>
      </c>
      <c r="P422" s="4">
        <f>IFERROR(I422/G422,0)</f>
        <v>1.1331533601378518</v>
      </c>
      <c r="Q422" s="4">
        <f>IFERROR(I422/H422,0)</f>
        <v>46.23796875</v>
      </c>
      <c r="R422" s="12">
        <f>IFERROR(J422/I422,0)</f>
        <v>3.9909182456247065</v>
      </c>
      <c r="S422" s="7">
        <f>Tabla_nuevas_columnas[[#This Row],[ROAS]]</f>
        <v>3.9909182456247065</v>
      </c>
      <c r="T422" t="str">
        <f>_xlfn.CONCAT(C422,"-",D422)</f>
        <v>Paid Search-España</v>
      </c>
      <c r="U422">
        <f>YEAR(A422)</f>
        <v>2025</v>
      </c>
      <c r="V422">
        <f>MONTH(A422)</f>
        <v>6</v>
      </c>
      <c r="W422" t="str">
        <f>PROPER(TEXT(A422,"mmmm"))</f>
        <v>Junio</v>
      </c>
      <c r="X422" t="str">
        <f>PROPER(TEXT(A422,"dddd"))</f>
        <v>Viernes</v>
      </c>
      <c r="Y422" t="str" cm="1">
        <f t="array" ref="Y422">_xlfn.IFS(R422&gt;10,"Excelente",R422&gt;=5,"Bueno",R422&gt;=2,"Débil",R422&lt;2,"Deficiente")</f>
        <v>Débil</v>
      </c>
      <c r="Z422" t="str">
        <f>IF(AND(R422&lt;2,Q422&gt;=100),"Revisar","OK")</f>
        <v>OK</v>
      </c>
      <c r="AA422" s="55">
        <f>_xlfn.XLOOKUP(C422,'Preguntas de negocio'!$C$114:$C$119,'Preguntas de negocio'!$D$114:$D$119,0)</f>
        <v>5</v>
      </c>
      <c r="AB422" s="55">
        <f>VLOOKUP(C422,'Preguntas de negocio'!$C$121:$D$127,2,FALSE)</f>
        <v>1.1000000000000001</v>
      </c>
    </row>
    <row r="423" spans="1:28" x14ac:dyDescent="0.3">
      <c r="A423" s="1">
        <v>45669</v>
      </c>
      <c r="B423" s="2" t="s">
        <v>2630</v>
      </c>
      <c r="C423" s="2" t="s">
        <v>2521</v>
      </c>
      <c r="D423" s="2" t="s">
        <v>2531</v>
      </c>
      <c r="E423" s="2" t="s">
        <v>2529</v>
      </c>
      <c r="F423" s="3">
        <v>134369</v>
      </c>
      <c r="G423" s="3">
        <v>8040</v>
      </c>
      <c r="H423" s="3">
        <v>427</v>
      </c>
      <c r="I423" s="4">
        <v>13056.82</v>
      </c>
      <c r="J423" s="4">
        <v>80392.05</v>
      </c>
      <c r="K423" s="3">
        <v>266</v>
      </c>
      <c r="L423" s="2" t="s">
        <v>2536</v>
      </c>
      <c r="M423" s="2" t="s">
        <v>2537</v>
      </c>
      <c r="N423" s="8">
        <f>IFERROR(G423/F423,0)</f>
        <v>5.9835229852123632E-2</v>
      </c>
      <c r="O423" s="8">
        <f>IFERROR(H423/G423,0)</f>
        <v>5.310945273631841E-2</v>
      </c>
      <c r="P423" s="4">
        <f>IFERROR(I423/G423,0)</f>
        <v>1.6239825870646767</v>
      </c>
      <c r="Q423" s="4">
        <f>IFERROR(I423/H423,0)</f>
        <v>30.578032786885245</v>
      </c>
      <c r="R423" s="12">
        <f>IFERROR(J423/I423,0)</f>
        <v>6.157092615200332</v>
      </c>
      <c r="S423" s="7">
        <f>Tabla_nuevas_columnas[[#This Row],[ROAS]]</f>
        <v>6.157092615200332</v>
      </c>
      <c r="T423" t="str">
        <f>_xlfn.CONCAT(C423,"-",D423)</f>
        <v>Paid Search-Portugal</v>
      </c>
      <c r="U423">
        <f>YEAR(A423)</f>
        <v>2025</v>
      </c>
      <c r="V423">
        <f>MONTH(A423)</f>
        <v>1</v>
      </c>
      <c r="W423" t="str">
        <f>PROPER(TEXT(A423,"mmmm"))</f>
        <v>Enero</v>
      </c>
      <c r="X423" t="str">
        <f>PROPER(TEXT(A423,"dddd"))</f>
        <v>Domingo</v>
      </c>
      <c r="Y423" t="str" cm="1">
        <f t="array" ref="Y423">_xlfn.IFS(R423&gt;10,"Excelente",R423&gt;=5,"Bueno",R423&gt;=2,"Débil",R423&lt;2,"Deficiente")</f>
        <v>Bueno</v>
      </c>
      <c r="Z423" t="str">
        <f>IF(AND(R423&lt;2,Q423&gt;=100),"Revisar","OK")</f>
        <v>OK</v>
      </c>
      <c r="AA423" s="55">
        <f>_xlfn.XLOOKUP(C423,'Preguntas de negocio'!$C$114:$C$119,'Preguntas de negocio'!$D$114:$D$119,0)</f>
        <v>5</v>
      </c>
      <c r="AB423" s="55">
        <f>VLOOKUP(C423,'Preguntas de negocio'!$C$121:$D$127,2,FALSE)</f>
        <v>1.1000000000000001</v>
      </c>
    </row>
    <row r="424" spans="1:28" x14ac:dyDescent="0.3">
      <c r="A424" s="1">
        <v>45836</v>
      </c>
      <c r="B424" s="2" t="s">
        <v>2618</v>
      </c>
      <c r="C424" s="2" t="s">
        <v>2541</v>
      </c>
      <c r="D424" s="2" t="s">
        <v>2531</v>
      </c>
      <c r="E424" s="2" t="s">
        <v>2517</v>
      </c>
      <c r="F424" s="3">
        <v>47711</v>
      </c>
      <c r="G424" s="3">
        <v>894</v>
      </c>
      <c r="H424" s="3">
        <v>84</v>
      </c>
      <c r="I424" s="4">
        <v>268.14999999999998</v>
      </c>
      <c r="J424" s="4">
        <v>3265.59</v>
      </c>
      <c r="K424" s="3">
        <v>43</v>
      </c>
      <c r="L424" s="2" t="s">
        <v>2536</v>
      </c>
      <c r="M424" s="2" t="s">
        <v>2526</v>
      </c>
      <c r="N424" s="8">
        <f>IFERROR(G424/F424,0)</f>
        <v>1.8737817274842281E-2</v>
      </c>
      <c r="O424" s="8">
        <f>IFERROR(H424/G424,0)</f>
        <v>9.3959731543624164E-2</v>
      </c>
      <c r="P424" s="4">
        <f>IFERROR(I424/G424,0)</f>
        <v>0.29994407158836689</v>
      </c>
      <c r="Q424" s="4">
        <f>IFERROR(I424/H424,0)</f>
        <v>3.1922619047619043</v>
      </c>
      <c r="R424" s="12">
        <f>IFERROR(J424/I424,0)</f>
        <v>12.178221144881597</v>
      </c>
      <c r="S424" s="7">
        <f>Tabla_nuevas_columnas[[#This Row],[ROAS]]</f>
        <v>12.178221144881597</v>
      </c>
      <c r="T424" t="str">
        <f>_xlfn.CONCAT(C424,"-",D424)</f>
        <v>Display-Portugal</v>
      </c>
      <c r="U424">
        <f>YEAR(A424)</f>
        <v>2025</v>
      </c>
      <c r="V424">
        <f>MONTH(A424)</f>
        <v>6</v>
      </c>
      <c r="W424" t="str">
        <f>PROPER(TEXT(A424,"mmmm"))</f>
        <v>Junio</v>
      </c>
      <c r="X424" t="str">
        <f>PROPER(TEXT(A424,"dddd"))</f>
        <v>Sábado</v>
      </c>
      <c r="Y424" t="str" cm="1">
        <f t="array" ref="Y424">_xlfn.IFS(R424&gt;10,"Excelente",R424&gt;=5,"Bueno",R424&gt;=2,"Débil",R424&lt;2,"Deficiente")</f>
        <v>Excelente</v>
      </c>
      <c r="Z424" t="str">
        <f>IF(AND(R424&lt;2,Q424&gt;=100),"Revisar","OK")</f>
        <v>OK</v>
      </c>
      <c r="AA424" s="55">
        <f>_xlfn.XLOOKUP(C424,'Preguntas de negocio'!$C$114:$C$119,'Preguntas de negocio'!$D$114:$D$119,0)</f>
        <v>5</v>
      </c>
      <c r="AB424" s="55">
        <f>VLOOKUP(C424,'Preguntas de negocio'!$C$121:$D$127,2,FALSE)</f>
        <v>0.5</v>
      </c>
    </row>
    <row r="425" spans="1:28" x14ac:dyDescent="0.3">
      <c r="A425" s="1">
        <v>45756</v>
      </c>
      <c r="B425" s="2" t="s">
        <v>2642</v>
      </c>
      <c r="C425" s="2" t="s">
        <v>2527</v>
      </c>
      <c r="D425" s="2" t="s">
        <v>2528</v>
      </c>
      <c r="E425" s="2" t="s">
        <v>2534</v>
      </c>
      <c r="F425" s="3">
        <v>94135</v>
      </c>
      <c r="G425" s="3">
        <v>8436</v>
      </c>
      <c r="H425" s="3">
        <v>763</v>
      </c>
      <c r="I425" s="4">
        <v>6389.71</v>
      </c>
      <c r="J425" s="4">
        <v>87038.18</v>
      </c>
      <c r="K425" s="3">
        <v>617</v>
      </c>
      <c r="L425" s="2" t="s">
        <v>2539</v>
      </c>
      <c r="M425" s="2" t="s">
        <v>2519</v>
      </c>
      <c r="N425" s="8">
        <f>IFERROR(G425/F425,0)</f>
        <v>8.9615977054230619E-2</v>
      </c>
      <c r="O425" s="8">
        <f>IFERROR(H425/G425,0)</f>
        <v>9.0445708866761496E-2</v>
      </c>
      <c r="P425" s="4">
        <f>IFERROR(I425/G425,0)</f>
        <v>0.75743361782835472</v>
      </c>
      <c r="Q425" s="4">
        <f>IFERROR(I425/H425,0)</f>
        <v>8.3744560943643513</v>
      </c>
      <c r="R425" s="12">
        <f>IFERROR(J425/I425,0)</f>
        <v>13.621616630488706</v>
      </c>
      <c r="S425" s="7">
        <f>Tabla_nuevas_columnas[[#This Row],[ROAS]]</f>
        <v>13.621616630488706</v>
      </c>
      <c r="T425" t="str">
        <f>_xlfn.CONCAT(C425,"-",D425)</f>
        <v>Affiliate-España</v>
      </c>
      <c r="U425">
        <f>YEAR(A425)</f>
        <v>2025</v>
      </c>
      <c r="V425">
        <f>MONTH(A425)</f>
        <v>4</v>
      </c>
      <c r="W425" t="str">
        <f>PROPER(TEXT(A425,"mmmm"))</f>
        <v>Abril</v>
      </c>
      <c r="X425" t="str">
        <f>PROPER(TEXT(A425,"dddd"))</f>
        <v>Miércoles</v>
      </c>
      <c r="Y425" t="str" cm="1">
        <f t="array" ref="Y425">_xlfn.IFS(R425&gt;10,"Excelente",R425&gt;=5,"Bueno",R425&gt;=2,"Débil",R425&lt;2,"Deficiente")</f>
        <v>Excelente</v>
      </c>
      <c r="Z425" t="str">
        <f>IF(AND(R425&lt;2,Q425&gt;=100),"Revisar","OK")</f>
        <v>OK</v>
      </c>
      <c r="AA425" s="55">
        <f>_xlfn.XLOOKUP(C425,'Preguntas de negocio'!$C$114:$C$119,'Preguntas de negocio'!$D$114:$D$119,0)</f>
        <v>4.5</v>
      </c>
      <c r="AB425" s="55">
        <f>VLOOKUP(C425,'Preguntas de negocio'!$C$121:$D$127,2,FALSE)</f>
        <v>0.35</v>
      </c>
    </row>
    <row r="426" spans="1:28" x14ac:dyDescent="0.3">
      <c r="A426" s="1">
        <v>45667</v>
      </c>
      <c r="B426" s="2" t="s">
        <v>2633</v>
      </c>
      <c r="C426" s="2" t="s">
        <v>2521</v>
      </c>
      <c r="D426" s="2" t="s">
        <v>2522</v>
      </c>
      <c r="E426" s="2" t="s">
        <v>2517</v>
      </c>
      <c r="F426" s="3">
        <v>156784</v>
      </c>
      <c r="G426" s="3">
        <v>12189</v>
      </c>
      <c r="H426" s="3">
        <v>1133</v>
      </c>
      <c r="I426" s="4">
        <v>21486.76</v>
      </c>
      <c r="J426" s="4">
        <v>61293.279999999999</v>
      </c>
      <c r="K426" s="3">
        <v>957</v>
      </c>
      <c r="L426" s="2" t="s">
        <v>2523</v>
      </c>
      <c r="M426" s="2" t="s">
        <v>2537</v>
      </c>
      <c r="N426" s="8">
        <f>IFERROR(G426/F426,0)</f>
        <v>7.774390243902439E-2</v>
      </c>
      <c r="O426" s="8">
        <f>IFERROR(H426/G426,0)</f>
        <v>9.295266223644269E-2</v>
      </c>
      <c r="P426" s="4">
        <f>IFERROR(I426/G426,0)</f>
        <v>1.7627992452211008</v>
      </c>
      <c r="Q426" s="4">
        <f>IFERROR(I426/H426,0)</f>
        <v>18.964483671668138</v>
      </c>
      <c r="R426" s="12">
        <f>IFERROR(J426/I426,0)</f>
        <v>2.8526069076957161</v>
      </c>
      <c r="S426" s="7">
        <f>Tabla_nuevas_columnas[[#This Row],[ROAS]]</f>
        <v>2.8526069076957161</v>
      </c>
      <c r="T426" t="str">
        <f>_xlfn.CONCAT(C426,"-",D426)</f>
        <v>Paid Search-Italia</v>
      </c>
      <c r="U426">
        <f>YEAR(A426)</f>
        <v>2025</v>
      </c>
      <c r="V426">
        <f>MONTH(A426)</f>
        <v>1</v>
      </c>
      <c r="W426" t="str">
        <f>PROPER(TEXT(A426,"mmmm"))</f>
        <v>Enero</v>
      </c>
      <c r="X426" t="str">
        <f>PROPER(TEXT(A426,"dddd"))</f>
        <v>Viernes</v>
      </c>
      <c r="Y426" t="str" cm="1">
        <f t="array" ref="Y426">_xlfn.IFS(R426&gt;10,"Excelente",R426&gt;=5,"Bueno",R426&gt;=2,"Débil",R426&lt;2,"Deficiente")</f>
        <v>Débil</v>
      </c>
      <c r="Z426" t="str">
        <f>IF(AND(R426&lt;2,Q426&gt;=100),"Revisar","OK")</f>
        <v>OK</v>
      </c>
      <c r="AA426" s="55">
        <f>_xlfn.XLOOKUP(C426,'Preguntas de negocio'!$C$114:$C$119,'Preguntas de negocio'!$D$114:$D$119,0)</f>
        <v>5</v>
      </c>
      <c r="AB426" s="55">
        <f>VLOOKUP(C426,'Preguntas de negocio'!$C$121:$D$127,2,FALSE)</f>
        <v>1.1000000000000001</v>
      </c>
    </row>
    <row r="427" spans="1:28" x14ac:dyDescent="0.3">
      <c r="A427" s="1">
        <v>46004</v>
      </c>
      <c r="B427" s="2" t="s">
        <v>2620</v>
      </c>
      <c r="C427" s="2" t="s">
        <v>2543</v>
      </c>
      <c r="D427" s="2" t="s">
        <v>2528</v>
      </c>
      <c r="E427" s="2" t="s">
        <v>2529</v>
      </c>
      <c r="F427" s="3">
        <v>25611</v>
      </c>
      <c r="G427" s="3">
        <v>2071</v>
      </c>
      <c r="H427" s="3">
        <v>43</v>
      </c>
      <c r="I427" s="4">
        <v>4220.7</v>
      </c>
      <c r="J427" s="4">
        <v>7609.47</v>
      </c>
      <c r="K427" s="3">
        <v>21</v>
      </c>
      <c r="L427" s="2" t="s">
        <v>2536</v>
      </c>
      <c r="M427" s="2" t="s">
        <v>2537</v>
      </c>
      <c r="N427" s="8">
        <f>IFERROR(G427/F427,0)</f>
        <v>8.0863691382609029E-2</v>
      </c>
      <c r="O427" s="8">
        <f>IFERROR(H427/G427,0)</f>
        <v>2.0762916465475616E-2</v>
      </c>
      <c r="P427" s="4">
        <f>IFERROR(I427/G427,0)</f>
        <v>2.0380009657170448</v>
      </c>
      <c r="Q427" s="4">
        <f>IFERROR(I427/H427,0)</f>
        <v>98.155813953488362</v>
      </c>
      <c r="R427" s="12">
        <f>IFERROR(J427/I427,0)</f>
        <v>1.8028928850664583</v>
      </c>
      <c r="S427" s="7">
        <f>Tabla_nuevas_columnas[[#This Row],[ROAS]]</f>
        <v>1.8028928850664583</v>
      </c>
      <c r="T427" t="str">
        <f>_xlfn.CONCAT(C427,"-",D427)</f>
        <v>Organic Social-España</v>
      </c>
      <c r="U427">
        <f>YEAR(A427)</f>
        <v>2025</v>
      </c>
      <c r="V427">
        <f>MONTH(A427)</f>
        <v>12</v>
      </c>
      <c r="W427" t="str">
        <f>PROPER(TEXT(A427,"mmmm"))</f>
        <v>Diciembre</v>
      </c>
      <c r="X427" t="str">
        <f>PROPER(TEXT(A427,"dddd"))</f>
        <v>Sábado</v>
      </c>
      <c r="Y427" t="str" cm="1">
        <f t="array" ref="Y427">_xlfn.IFS(R427&gt;10,"Excelente",R427&gt;=5,"Bueno",R427&gt;=2,"Débil",R427&lt;2,"Deficiente")</f>
        <v>Deficiente</v>
      </c>
      <c r="Z427" t="str">
        <f>IF(AND(R427&lt;2,Q427&gt;=100),"Revisar","OK")</f>
        <v>OK</v>
      </c>
      <c r="AA427" s="55">
        <f>_xlfn.XLOOKUP(C427,'Preguntas de negocio'!$C$114:$C$119,'Preguntas de negocio'!$D$114:$D$119,0)</f>
        <v>4</v>
      </c>
      <c r="AB427" s="55">
        <f>VLOOKUP(C427,'Preguntas de negocio'!$C$121:$D$127,2,FALSE)</f>
        <v>0.95</v>
      </c>
    </row>
    <row r="428" spans="1:28" x14ac:dyDescent="0.3">
      <c r="A428" s="1">
        <v>45731</v>
      </c>
      <c r="B428" s="2" t="s">
        <v>2632</v>
      </c>
      <c r="C428" s="2" t="s">
        <v>2533</v>
      </c>
      <c r="D428" s="2" t="s">
        <v>2528</v>
      </c>
      <c r="E428" s="2" t="s">
        <v>2529</v>
      </c>
      <c r="F428" s="3">
        <v>40730</v>
      </c>
      <c r="G428" s="3">
        <v>3636</v>
      </c>
      <c r="H428" s="3">
        <v>381</v>
      </c>
      <c r="I428" s="4">
        <v>4781.92</v>
      </c>
      <c r="J428" s="4">
        <v>63941.7</v>
      </c>
      <c r="K428" s="3">
        <v>308</v>
      </c>
      <c r="L428" s="2" t="s">
        <v>2536</v>
      </c>
      <c r="M428" s="2" t="s">
        <v>2546</v>
      </c>
      <c r="N428" s="8">
        <f>IFERROR(G428/F428,0)</f>
        <v>8.9270807758409038E-2</v>
      </c>
      <c r="O428" s="8">
        <f>IFERROR(H428/G428,0)</f>
        <v>0.10478547854785479</v>
      </c>
      <c r="P428" s="4">
        <f>IFERROR(I428/G428,0)</f>
        <v>1.3151595159515952</v>
      </c>
      <c r="Q428" s="4">
        <f>IFERROR(I428/H428,0)</f>
        <v>12.550971128608925</v>
      </c>
      <c r="R428" s="12">
        <f>IFERROR(J428/I428,0)</f>
        <v>13.3715536855489</v>
      </c>
      <c r="S428" s="7">
        <f>Tabla_nuevas_columnas[[#This Row],[ROAS]]</f>
        <v>13.3715536855489</v>
      </c>
      <c r="T428" t="str">
        <f>_xlfn.CONCAT(C428,"-",D428)</f>
        <v>Paid Social-España</v>
      </c>
      <c r="U428">
        <f>YEAR(A428)</f>
        <v>2025</v>
      </c>
      <c r="V428">
        <f>MONTH(A428)</f>
        <v>3</v>
      </c>
      <c r="W428" t="str">
        <f>PROPER(TEXT(A428,"mmmm"))</f>
        <v>Marzo</v>
      </c>
      <c r="X428" t="str">
        <f>PROPER(TEXT(A428,"dddd"))</f>
        <v>Sábado</v>
      </c>
      <c r="Y428" t="str" cm="1">
        <f t="array" ref="Y428">_xlfn.IFS(R428&gt;10,"Excelente",R428&gt;=5,"Bueno",R428&gt;=2,"Débil",R428&lt;2,"Deficiente")</f>
        <v>Excelente</v>
      </c>
      <c r="Z428" t="str">
        <f>IF(AND(R428&lt;2,Q428&gt;=100),"Revisar","OK")</f>
        <v>OK</v>
      </c>
      <c r="AA428" s="55">
        <f>_xlfn.XLOOKUP(C428,'Preguntas de negocio'!$C$114:$C$119,'Preguntas de negocio'!$D$114:$D$119,0)</f>
        <v>6</v>
      </c>
      <c r="AB428" s="55">
        <f>VLOOKUP(C428,'Preguntas de negocio'!$C$121:$D$127,2,FALSE)</f>
        <v>0.8</v>
      </c>
    </row>
    <row r="429" spans="1:28" x14ac:dyDescent="0.3">
      <c r="A429" s="1">
        <v>45694</v>
      </c>
      <c r="B429" s="2" t="s">
        <v>2632</v>
      </c>
      <c r="C429" s="2" t="s">
        <v>2533</v>
      </c>
      <c r="D429" s="2" t="s">
        <v>2516</v>
      </c>
      <c r="E429" s="2" t="s">
        <v>2517</v>
      </c>
      <c r="F429" s="3">
        <v>87539</v>
      </c>
      <c r="G429" s="3">
        <v>1841</v>
      </c>
      <c r="H429" s="3">
        <v>185</v>
      </c>
      <c r="I429" s="4">
        <v>1910.38</v>
      </c>
      <c r="J429" s="4">
        <v>22123.87</v>
      </c>
      <c r="K429" s="3">
        <v>137</v>
      </c>
      <c r="L429" s="2" t="s">
        <v>2536</v>
      </c>
      <c r="M429" s="2" t="s">
        <v>2519</v>
      </c>
      <c r="N429" s="8">
        <f>IFERROR(G429/F429,0)</f>
        <v>2.1030626349398555E-2</v>
      </c>
      <c r="O429" s="8">
        <f>IFERROR(H429/G429,0)</f>
        <v>0.10048886474741989</v>
      </c>
      <c r="P429" s="4">
        <f>IFERROR(I429/G429,0)</f>
        <v>1.0376860401955459</v>
      </c>
      <c r="Q429" s="4">
        <f>IFERROR(I429/H429,0)</f>
        <v>10.326378378378379</v>
      </c>
      <c r="R429" s="12">
        <f>IFERROR(J429/I429,0)</f>
        <v>11.580873962248347</v>
      </c>
      <c r="S429" s="7">
        <f>Tabla_nuevas_columnas[[#This Row],[ROAS]]</f>
        <v>11.580873962248347</v>
      </c>
      <c r="T429" t="str">
        <f>_xlfn.CONCAT(C429,"-",D429)</f>
        <v>Paid Social-México</v>
      </c>
      <c r="U429">
        <f>YEAR(A429)</f>
        <v>2025</v>
      </c>
      <c r="V429">
        <f>MONTH(A429)</f>
        <v>2</v>
      </c>
      <c r="W429" t="str">
        <f>PROPER(TEXT(A429,"mmmm"))</f>
        <v>Febrero</v>
      </c>
      <c r="X429" t="str">
        <f>PROPER(TEXT(A429,"dddd"))</f>
        <v>Jueves</v>
      </c>
      <c r="Y429" t="str" cm="1">
        <f t="array" ref="Y429">_xlfn.IFS(R429&gt;10,"Excelente",R429&gt;=5,"Bueno",R429&gt;=2,"Débil",R429&lt;2,"Deficiente")</f>
        <v>Excelente</v>
      </c>
      <c r="Z429" t="str">
        <f>IF(AND(R429&lt;2,Q429&gt;=100),"Revisar","OK")</f>
        <v>OK</v>
      </c>
      <c r="AA429" s="55">
        <f>_xlfn.XLOOKUP(C429,'Preguntas de negocio'!$C$114:$C$119,'Preguntas de negocio'!$D$114:$D$119,0)</f>
        <v>6</v>
      </c>
      <c r="AB429" s="55">
        <f>VLOOKUP(C429,'Preguntas de negocio'!$C$121:$D$127,2,FALSE)</f>
        <v>0.8</v>
      </c>
    </row>
    <row r="430" spans="1:28" x14ac:dyDescent="0.3">
      <c r="A430" s="1">
        <v>45955</v>
      </c>
      <c r="B430" s="2" t="s">
        <v>2615</v>
      </c>
      <c r="C430" s="2" t="s">
        <v>2541</v>
      </c>
      <c r="D430" s="2" t="s">
        <v>2528</v>
      </c>
      <c r="E430" s="2" t="s">
        <v>2517</v>
      </c>
      <c r="F430" s="3">
        <v>44272</v>
      </c>
      <c r="G430" s="3">
        <v>2043</v>
      </c>
      <c r="H430" s="3">
        <v>195</v>
      </c>
      <c r="I430" s="4">
        <v>3078</v>
      </c>
      <c r="J430" s="4">
        <v>41792.660000000003</v>
      </c>
      <c r="K430" s="3">
        <v>113</v>
      </c>
      <c r="L430" s="2" t="s">
        <v>2518</v>
      </c>
      <c r="M430" s="2" t="s">
        <v>2524</v>
      </c>
      <c r="N430" s="8">
        <f>IFERROR(G430/F430,0)</f>
        <v>4.6146548608601373E-2</v>
      </c>
      <c r="O430" s="8">
        <f>IFERROR(H430/G430,0)</f>
        <v>9.544787077826726E-2</v>
      </c>
      <c r="P430" s="4">
        <f>IFERROR(I430/G430,0)</f>
        <v>1.5066079295154184</v>
      </c>
      <c r="Q430" s="4">
        <f>IFERROR(I430/H430,0)</f>
        <v>15.784615384615385</v>
      </c>
      <c r="R430" s="12">
        <f>IFERROR(J430/I430,0)</f>
        <v>13.577862248213126</v>
      </c>
      <c r="S430" s="7">
        <f>Tabla_nuevas_columnas[[#This Row],[ROAS]]</f>
        <v>13.577862248213126</v>
      </c>
      <c r="T430" t="str">
        <f>_xlfn.CONCAT(C430,"-",D430)</f>
        <v>Display-España</v>
      </c>
      <c r="U430">
        <f>YEAR(A430)</f>
        <v>2025</v>
      </c>
      <c r="V430">
        <f>MONTH(A430)</f>
        <v>10</v>
      </c>
      <c r="W430" t="str">
        <f>PROPER(TEXT(A430,"mmmm"))</f>
        <v>Octubre</v>
      </c>
      <c r="X430" t="str">
        <f>PROPER(TEXT(A430,"dddd"))</f>
        <v>Sábado</v>
      </c>
      <c r="Y430" t="str" cm="1">
        <f t="array" ref="Y430">_xlfn.IFS(R430&gt;10,"Excelente",R430&gt;=5,"Bueno",R430&gt;=2,"Débil",R430&lt;2,"Deficiente")</f>
        <v>Excelente</v>
      </c>
      <c r="Z430" t="str">
        <f>IF(AND(R430&lt;2,Q430&gt;=100),"Revisar","OK")</f>
        <v>OK</v>
      </c>
      <c r="AA430" s="55">
        <f>_xlfn.XLOOKUP(C430,'Preguntas de negocio'!$C$114:$C$119,'Preguntas de negocio'!$D$114:$D$119,0)</f>
        <v>5</v>
      </c>
      <c r="AB430" s="55">
        <f>VLOOKUP(C430,'Preguntas de negocio'!$C$121:$D$127,2,FALSE)</f>
        <v>0.5</v>
      </c>
    </row>
    <row r="431" spans="1:28" x14ac:dyDescent="0.3">
      <c r="A431" s="1">
        <v>45849</v>
      </c>
      <c r="B431" s="2" t="s">
        <v>2642</v>
      </c>
      <c r="C431" s="2" t="s">
        <v>2533</v>
      </c>
      <c r="D431" s="2" t="s">
        <v>2528</v>
      </c>
      <c r="E431" s="2" t="s">
        <v>2529</v>
      </c>
      <c r="F431" s="3">
        <v>115801</v>
      </c>
      <c r="G431" s="3">
        <v>6196</v>
      </c>
      <c r="H431" s="3">
        <v>675</v>
      </c>
      <c r="I431" s="4">
        <v>4076.09</v>
      </c>
      <c r="J431" s="4">
        <v>33277.96</v>
      </c>
      <c r="K431" s="3">
        <v>431</v>
      </c>
      <c r="L431" s="2" t="s">
        <v>2539</v>
      </c>
      <c r="M431" s="2" t="s">
        <v>2524</v>
      </c>
      <c r="N431" s="8">
        <f>IFERROR(G431/F431,0)</f>
        <v>5.3505582853343232E-2</v>
      </c>
      <c r="O431" s="8">
        <f>IFERROR(H431/G431,0)</f>
        <v>0.10894125242091672</v>
      </c>
      <c r="P431" s="4">
        <f>IFERROR(I431/G431,0)</f>
        <v>0.65785829567462883</v>
      </c>
      <c r="Q431" s="4">
        <f>IFERROR(I431/H431,0)</f>
        <v>6.0386518518518519</v>
      </c>
      <c r="R431" s="12">
        <f>IFERROR(J431/I431,0)</f>
        <v>8.1641867574072204</v>
      </c>
      <c r="S431" s="7">
        <f>Tabla_nuevas_columnas[[#This Row],[ROAS]]</f>
        <v>8.1641867574072204</v>
      </c>
      <c r="T431" t="str">
        <f>_xlfn.CONCAT(C431,"-",D431)</f>
        <v>Paid Social-España</v>
      </c>
      <c r="U431">
        <f>YEAR(A431)</f>
        <v>2025</v>
      </c>
      <c r="V431">
        <f>MONTH(A431)</f>
        <v>7</v>
      </c>
      <c r="W431" t="str">
        <f>PROPER(TEXT(A431,"mmmm"))</f>
        <v>Julio</v>
      </c>
      <c r="X431" t="str">
        <f>PROPER(TEXT(A431,"dddd"))</f>
        <v>Viernes</v>
      </c>
      <c r="Y431" t="str" cm="1">
        <f t="array" ref="Y431">_xlfn.IFS(R431&gt;10,"Excelente",R431&gt;=5,"Bueno",R431&gt;=2,"Débil",R431&lt;2,"Deficiente")</f>
        <v>Bueno</v>
      </c>
      <c r="Z431" t="str">
        <f>IF(AND(R431&lt;2,Q431&gt;=100),"Revisar","OK")</f>
        <v>OK</v>
      </c>
      <c r="AA431" s="55">
        <f>_xlfn.XLOOKUP(C431,'Preguntas de negocio'!$C$114:$C$119,'Preguntas de negocio'!$D$114:$D$119,0)</f>
        <v>6</v>
      </c>
      <c r="AB431" s="55">
        <f>VLOOKUP(C431,'Preguntas de negocio'!$C$121:$D$127,2,FALSE)</f>
        <v>0.8</v>
      </c>
    </row>
    <row r="432" spans="1:28" x14ac:dyDescent="0.3">
      <c r="A432" s="1">
        <v>45832</v>
      </c>
      <c r="B432" s="2" t="s">
        <v>2637</v>
      </c>
      <c r="C432" s="2" t="s">
        <v>2541</v>
      </c>
      <c r="D432" s="2" t="s">
        <v>2528</v>
      </c>
      <c r="E432" s="2" t="s">
        <v>2534</v>
      </c>
      <c r="F432" s="3">
        <v>105120</v>
      </c>
      <c r="G432" s="3">
        <v>2170</v>
      </c>
      <c r="H432" s="3">
        <v>229</v>
      </c>
      <c r="I432" s="4">
        <v>4271.96</v>
      </c>
      <c r="J432" s="4">
        <v>50132.56</v>
      </c>
      <c r="K432" s="3">
        <v>183</v>
      </c>
      <c r="L432" s="2" t="s">
        <v>2536</v>
      </c>
      <c r="M432" s="2" t="s">
        <v>2546</v>
      </c>
      <c r="N432" s="8">
        <f>IFERROR(G432/F432,0)</f>
        <v>2.0643074581430745E-2</v>
      </c>
      <c r="O432" s="8">
        <f>IFERROR(H432/G432,0)</f>
        <v>0.1055299539170507</v>
      </c>
      <c r="P432" s="4">
        <f>IFERROR(I432/G432,0)</f>
        <v>1.9686451612903226</v>
      </c>
      <c r="Q432" s="4">
        <f>IFERROR(I432/H432,0)</f>
        <v>18.654847161572054</v>
      </c>
      <c r="R432" s="12">
        <f>IFERROR(J432/I432,0)</f>
        <v>11.735259693442822</v>
      </c>
      <c r="S432" s="7">
        <f>Tabla_nuevas_columnas[[#This Row],[ROAS]]</f>
        <v>11.735259693442822</v>
      </c>
      <c r="T432" t="str">
        <f>_xlfn.CONCAT(C432,"-",D432)</f>
        <v>Display-España</v>
      </c>
      <c r="U432">
        <f>YEAR(A432)</f>
        <v>2025</v>
      </c>
      <c r="V432">
        <f>MONTH(A432)</f>
        <v>6</v>
      </c>
      <c r="W432" t="str">
        <f>PROPER(TEXT(A432,"mmmm"))</f>
        <v>Junio</v>
      </c>
      <c r="X432" t="str">
        <f>PROPER(TEXT(A432,"dddd"))</f>
        <v>Martes</v>
      </c>
      <c r="Y432" t="str" cm="1">
        <f t="array" ref="Y432">_xlfn.IFS(R432&gt;10,"Excelente",R432&gt;=5,"Bueno",R432&gt;=2,"Débil",R432&lt;2,"Deficiente")</f>
        <v>Excelente</v>
      </c>
      <c r="Z432" t="str">
        <f>IF(AND(R432&lt;2,Q432&gt;=100),"Revisar","OK")</f>
        <v>OK</v>
      </c>
      <c r="AA432" s="55">
        <f>_xlfn.XLOOKUP(C432,'Preguntas de negocio'!$C$114:$C$119,'Preguntas de negocio'!$D$114:$D$119,0)</f>
        <v>5</v>
      </c>
      <c r="AB432" s="55">
        <f>VLOOKUP(C432,'Preguntas de negocio'!$C$121:$D$127,2,FALSE)</f>
        <v>0.5</v>
      </c>
    </row>
    <row r="433" spans="1:28" x14ac:dyDescent="0.3">
      <c r="A433" s="1">
        <v>45918</v>
      </c>
      <c r="B433" s="2" t="s">
        <v>2625</v>
      </c>
      <c r="C433" s="2" t="s">
        <v>2515</v>
      </c>
      <c r="D433" s="2" t="s">
        <v>2516</v>
      </c>
      <c r="E433" s="2" t="s">
        <v>2529</v>
      </c>
      <c r="F433" s="3">
        <v>143256</v>
      </c>
      <c r="G433" s="3">
        <v>10691</v>
      </c>
      <c r="H433" s="3">
        <v>273</v>
      </c>
      <c r="I433" s="4">
        <v>6904.85</v>
      </c>
      <c r="J433" s="4">
        <v>19851.86</v>
      </c>
      <c r="K433" s="3">
        <v>188</v>
      </c>
      <c r="L433" s="2" t="s">
        <v>2523</v>
      </c>
      <c r="M433" s="2" t="s">
        <v>2546</v>
      </c>
      <c r="N433" s="8">
        <f>IFERROR(G433/F433,0)</f>
        <v>7.4628636845926175E-2</v>
      </c>
      <c r="O433" s="8">
        <f>IFERROR(H433/G433,0)</f>
        <v>2.5535497147133102E-2</v>
      </c>
      <c r="P433" s="4">
        <f>IFERROR(I433/G433,0)</f>
        <v>0.64585632775231505</v>
      </c>
      <c r="Q433" s="4">
        <f>IFERROR(I433/H433,0)</f>
        <v>25.292490842490842</v>
      </c>
      <c r="R433" s="12">
        <f>IFERROR(J433/I433,0)</f>
        <v>2.8750602837136214</v>
      </c>
      <c r="S433" s="7">
        <f>Tabla_nuevas_columnas[[#This Row],[ROAS]]</f>
        <v>2.8750602837136214</v>
      </c>
      <c r="T433" t="str">
        <f>_xlfn.CONCAT(C433,"-",D433)</f>
        <v>Email-México</v>
      </c>
      <c r="U433">
        <f>YEAR(A433)</f>
        <v>2025</v>
      </c>
      <c r="V433">
        <f>MONTH(A433)</f>
        <v>9</v>
      </c>
      <c r="W433" t="str">
        <f>PROPER(TEXT(A433,"mmmm"))</f>
        <v>Septiembre</v>
      </c>
      <c r="X433" t="str">
        <f>PROPER(TEXT(A433,"dddd"))</f>
        <v>Jueves</v>
      </c>
      <c r="Y433" t="str" cm="1">
        <f t="array" ref="Y433">_xlfn.IFS(R433&gt;10,"Excelente",R433&gt;=5,"Bueno",R433&gt;=2,"Débil",R433&lt;2,"Deficiente")</f>
        <v>Débil</v>
      </c>
      <c r="Z433" t="str">
        <f>IF(AND(R433&lt;2,Q433&gt;=100),"Revisar","OK")</f>
        <v>OK</v>
      </c>
      <c r="AA433" s="55">
        <f>_xlfn.XLOOKUP(C433,'Preguntas de negocio'!$C$114:$C$119,'Preguntas de negocio'!$D$114:$D$119,0)</f>
        <v>5.5</v>
      </c>
      <c r="AB433" s="55">
        <f>VLOOKUP(C433,'Preguntas de negocio'!$C$121:$D$127,2,FALSE)</f>
        <v>0.65</v>
      </c>
    </row>
    <row r="434" spans="1:28" x14ac:dyDescent="0.3">
      <c r="A434" s="1">
        <v>45996</v>
      </c>
      <c r="B434" s="2" t="s">
        <v>2627</v>
      </c>
      <c r="C434" s="2" t="s">
        <v>2527</v>
      </c>
      <c r="D434" s="2" t="s">
        <v>2531</v>
      </c>
      <c r="E434" s="2" t="s">
        <v>2529</v>
      </c>
      <c r="F434" s="3">
        <v>99547</v>
      </c>
      <c r="G434" s="3">
        <v>7401</v>
      </c>
      <c r="H434" s="3">
        <v>292</v>
      </c>
      <c r="I434" s="4">
        <v>10224.870000000001</v>
      </c>
      <c r="J434" s="4">
        <v>35197.199999999997</v>
      </c>
      <c r="K434" s="3">
        <v>185</v>
      </c>
      <c r="L434" s="2" t="s">
        <v>2523</v>
      </c>
      <c r="M434" s="2" t="s">
        <v>2519</v>
      </c>
      <c r="N434" s="8">
        <f>IFERROR(G434/F434,0)</f>
        <v>7.4346790963062667E-2</v>
      </c>
      <c r="O434" s="8">
        <f>IFERROR(H434/G434,0)</f>
        <v>3.9454127820564788E-2</v>
      </c>
      <c r="P434" s="4">
        <f>IFERROR(I434/G434,0)</f>
        <v>1.3815524929063641</v>
      </c>
      <c r="Q434" s="4">
        <f>IFERROR(I434/H434,0)</f>
        <v>35.016678082191781</v>
      </c>
      <c r="R434" s="12">
        <f>IFERROR(J434/I434,0)</f>
        <v>3.4423127140002752</v>
      </c>
      <c r="S434" s="7">
        <f>Tabla_nuevas_columnas[[#This Row],[ROAS]]</f>
        <v>3.4423127140002752</v>
      </c>
      <c r="T434" t="str">
        <f>_xlfn.CONCAT(C434,"-",D434)</f>
        <v>Affiliate-Portugal</v>
      </c>
      <c r="U434">
        <f>YEAR(A434)</f>
        <v>2025</v>
      </c>
      <c r="V434">
        <f>MONTH(A434)</f>
        <v>12</v>
      </c>
      <c r="W434" t="str">
        <f>PROPER(TEXT(A434,"mmmm"))</f>
        <v>Diciembre</v>
      </c>
      <c r="X434" t="str">
        <f>PROPER(TEXT(A434,"dddd"))</f>
        <v>Viernes</v>
      </c>
      <c r="Y434" t="str" cm="1">
        <f t="array" ref="Y434">_xlfn.IFS(R434&gt;10,"Excelente",R434&gt;=5,"Bueno",R434&gt;=2,"Débil",R434&lt;2,"Deficiente")</f>
        <v>Débil</v>
      </c>
      <c r="Z434" t="str">
        <f>IF(AND(R434&lt;2,Q434&gt;=100),"Revisar","OK")</f>
        <v>OK</v>
      </c>
      <c r="AA434" s="55">
        <f>_xlfn.XLOOKUP(C434,'Preguntas de negocio'!$C$114:$C$119,'Preguntas de negocio'!$D$114:$D$119,0)</f>
        <v>4.5</v>
      </c>
      <c r="AB434" s="55">
        <f>VLOOKUP(C434,'Preguntas de negocio'!$C$121:$D$127,2,FALSE)</f>
        <v>0.35</v>
      </c>
    </row>
    <row r="435" spans="1:28" x14ac:dyDescent="0.3">
      <c r="A435" s="1">
        <v>45908</v>
      </c>
      <c r="B435" s="2" t="s">
        <v>2638</v>
      </c>
      <c r="C435" s="2" t="s">
        <v>2515</v>
      </c>
      <c r="D435" s="2" t="s">
        <v>2528</v>
      </c>
      <c r="E435" s="2" t="s">
        <v>2517</v>
      </c>
      <c r="F435" s="3">
        <v>167919</v>
      </c>
      <c r="G435" s="3">
        <v>1854</v>
      </c>
      <c r="H435" s="3">
        <v>32</v>
      </c>
      <c r="I435" s="4">
        <v>3041.75</v>
      </c>
      <c r="J435" s="4">
        <v>2328.15</v>
      </c>
      <c r="K435" s="3">
        <v>23</v>
      </c>
      <c r="L435" s="2" t="s">
        <v>2518</v>
      </c>
      <c r="M435" s="2" t="s">
        <v>2524</v>
      </c>
      <c r="N435" s="8">
        <f>IFERROR(G435/F435,0)</f>
        <v>1.1041037643149376E-2</v>
      </c>
      <c r="O435" s="8">
        <f>IFERROR(H435/G435,0)</f>
        <v>1.7259978425026967E-2</v>
      </c>
      <c r="P435" s="4">
        <f>IFERROR(I435/G435,0)</f>
        <v>1.6406418554476807</v>
      </c>
      <c r="Q435" s="4">
        <f>IFERROR(I435/H435,0)</f>
        <v>95.0546875</v>
      </c>
      <c r="R435" s="12">
        <f>IFERROR(J435/I435,0)</f>
        <v>0.76539820826826666</v>
      </c>
      <c r="S435" s="7">
        <f>Tabla_nuevas_columnas[[#This Row],[ROAS]]</f>
        <v>0.76539820826826666</v>
      </c>
      <c r="T435" t="str">
        <f>_xlfn.CONCAT(C435,"-",D435)</f>
        <v>Email-España</v>
      </c>
      <c r="U435">
        <f>YEAR(A435)</f>
        <v>2025</v>
      </c>
      <c r="V435">
        <f>MONTH(A435)</f>
        <v>9</v>
      </c>
      <c r="W435" t="str">
        <f>PROPER(TEXT(A435,"mmmm"))</f>
        <v>Septiembre</v>
      </c>
      <c r="X435" t="str">
        <f>PROPER(TEXT(A435,"dddd"))</f>
        <v>Lunes</v>
      </c>
      <c r="Y435" t="str" cm="1">
        <f t="array" ref="Y435">_xlfn.IFS(R435&gt;10,"Excelente",R435&gt;=5,"Bueno",R435&gt;=2,"Débil",R435&lt;2,"Deficiente")</f>
        <v>Deficiente</v>
      </c>
      <c r="Z435" t="str">
        <f>IF(AND(R435&lt;2,Q435&gt;=100),"Revisar","OK")</f>
        <v>OK</v>
      </c>
      <c r="AA435" s="55">
        <f>_xlfn.XLOOKUP(C435,'Preguntas de negocio'!$C$114:$C$119,'Preguntas de negocio'!$D$114:$D$119,0)</f>
        <v>5.5</v>
      </c>
      <c r="AB435" s="55">
        <f>VLOOKUP(C435,'Preguntas de negocio'!$C$121:$D$127,2,FALSE)</f>
        <v>0.65</v>
      </c>
    </row>
    <row r="436" spans="1:28" x14ac:dyDescent="0.3">
      <c r="A436" s="1">
        <v>45661</v>
      </c>
      <c r="B436" s="2" t="s">
        <v>2629</v>
      </c>
      <c r="C436" s="2" t="s">
        <v>2527</v>
      </c>
      <c r="D436" s="2" t="s">
        <v>2528</v>
      </c>
      <c r="E436" s="2" t="s">
        <v>2517</v>
      </c>
      <c r="F436" s="3">
        <v>170089</v>
      </c>
      <c r="G436" s="3">
        <v>12604</v>
      </c>
      <c r="H436" s="3">
        <v>1055</v>
      </c>
      <c r="I436" s="4">
        <v>26436.6</v>
      </c>
      <c r="J436" s="4">
        <v>209689.75</v>
      </c>
      <c r="K436" s="3">
        <v>706</v>
      </c>
      <c r="L436" s="2" t="s">
        <v>2518</v>
      </c>
      <c r="M436" s="2" t="s">
        <v>2519</v>
      </c>
      <c r="N436" s="8">
        <f>IFERROR(G436/F436,0)</f>
        <v>7.4102381694289454E-2</v>
      </c>
      <c r="O436" s="8">
        <f>IFERROR(H436/G436,0)</f>
        <v>8.3703586163122817E-2</v>
      </c>
      <c r="P436" s="4">
        <f>IFERROR(I436/G436,0)</f>
        <v>2.0974769914312916</v>
      </c>
      <c r="Q436" s="4">
        <f>IFERROR(I436/H436,0)</f>
        <v>25.058388625592414</v>
      </c>
      <c r="R436" s="12">
        <f>IFERROR(J436/I436,0)</f>
        <v>7.9317972053894987</v>
      </c>
      <c r="S436" s="7">
        <f>Tabla_nuevas_columnas[[#This Row],[ROAS]]</f>
        <v>7.9317972053894987</v>
      </c>
      <c r="T436" t="str">
        <f>_xlfn.CONCAT(C436,"-",D436)</f>
        <v>Affiliate-España</v>
      </c>
      <c r="U436">
        <f>YEAR(A436)</f>
        <v>2025</v>
      </c>
      <c r="V436">
        <f>MONTH(A436)</f>
        <v>1</v>
      </c>
      <c r="W436" t="str">
        <f>PROPER(TEXT(A436,"mmmm"))</f>
        <v>Enero</v>
      </c>
      <c r="X436" t="str">
        <f>PROPER(TEXT(A436,"dddd"))</f>
        <v>Sábado</v>
      </c>
      <c r="Y436" t="str" cm="1">
        <f t="array" ref="Y436">_xlfn.IFS(R436&gt;10,"Excelente",R436&gt;=5,"Bueno",R436&gt;=2,"Débil",R436&lt;2,"Deficiente")</f>
        <v>Bueno</v>
      </c>
      <c r="Z436" t="str">
        <f>IF(AND(R436&lt;2,Q436&gt;=100),"Revisar","OK")</f>
        <v>OK</v>
      </c>
      <c r="AA436" s="55">
        <f>_xlfn.XLOOKUP(C436,'Preguntas de negocio'!$C$114:$C$119,'Preguntas de negocio'!$D$114:$D$119,0)</f>
        <v>4.5</v>
      </c>
      <c r="AB436" s="55">
        <f>VLOOKUP(C436,'Preguntas de negocio'!$C$121:$D$127,2,FALSE)</f>
        <v>0.35</v>
      </c>
    </row>
    <row r="437" spans="1:28" x14ac:dyDescent="0.3">
      <c r="A437" s="1">
        <v>45766</v>
      </c>
      <c r="B437" s="2" t="s">
        <v>2640</v>
      </c>
      <c r="C437" s="2" t="s">
        <v>2533</v>
      </c>
      <c r="D437" s="2" t="s">
        <v>2516</v>
      </c>
      <c r="E437" s="2" t="s">
        <v>2534</v>
      </c>
      <c r="F437" s="3">
        <v>101989</v>
      </c>
      <c r="G437" s="3">
        <v>4324</v>
      </c>
      <c r="H437" s="3">
        <v>366</v>
      </c>
      <c r="I437" s="4">
        <v>4400.8599999999997</v>
      </c>
      <c r="J437" s="4">
        <v>19356.11</v>
      </c>
      <c r="K437" s="3">
        <v>293</v>
      </c>
      <c r="L437" s="2" t="s">
        <v>2536</v>
      </c>
      <c r="M437" s="2" t="s">
        <v>2526</v>
      </c>
      <c r="N437" s="8">
        <f>IFERROR(G437/F437,0)</f>
        <v>4.2396729059016168E-2</v>
      </c>
      <c r="O437" s="8">
        <f>IFERROR(H437/G437,0)</f>
        <v>8.4643848288621648E-2</v>
      </c>
      <c r="P437" s="4">
        <f>IFERROR(I437/G437,0)</f>
        <v>1.0177752081406104</v>
      </c>
      <c r="Q437" s="4">
        <f>IFERROR(I437/H437,0)</f>
        <v>12.024207650273222</v>
      </c>
      <c r="R437" s="12">
        <f>IFERROR(J437/I437,0)</f>
        <v>4.3982562499147901</v>
      </c>
      <c r="S437" s="7">
        <f>Tabla_nuevas_columnas[[#This Row],[ROAS]]</f>
        <v>4.3982562499147901</v>
      </c>
      <c r="T437" t="str">
        <f>_xlfn.CONCAT(C437,"-",D437)</f>
        <v>Paid Social-México</v>
      </c>
      <c r="U437">
        <f>YEAR(A437)</f>
        <v>2025</v>
      </c>
      <c r="V437">
        <f>MONTH(A437)</f>
        <v>4</v>
      </c>
      <c r="W437" t="str">
        <f>PROPER(TEXT(A437,"mmmm"))</f>
        <v>Abril</v>
      </c>
      <c r="X437" t="str">
        <f>PROPER(TEXT(A437,"dddd"))</f>
        <v>Sábado</v>
      </c>
      <c r="Y437" t="str" cm="1">
        <f t="array" ref="Y437">_xlfn.IFS(R437&gt;10,"Excelente",R437&gt;=5,"Bueno",R437&gt;=2,"Débil",R437&lt;2,"Deficiente")</f>
        <v>Débil</v>
      </c>
      <c r="Z437" t="str">
        <f>IF(AND(R437&lt;2,Q437&gt;=100),"Revisar","OK")</f>
        <v>OK</v>
      </c>
      <c r="AA437" s="55">
        <f>_xlfn.XLOOKUP(C437,'Preguntas de negocio'!$C$114:$C$119,'Preguntas de negocio'!$D$114:$D$119,0)</f>
        <v>6</v>
      </c>
      <c r="AB437" s="55">
        <f>VLOOKUP(C437,'Preguntas de negocio'!$C$121:$D$127,2,FALSE)</f>
        <v>0.8</v>
      </c>
    </row>
    <row r="438" spans="1:28" x14ac:dyDescent="0.3">
      <c r="A438" s="1">
        <v>45781</v>
      </c>
      <c r="B438" s="2" t="s">
        <v>2632</v>
      </c>
      <c r="C438" s="2" t="s">
        <v>2543</v>
      </c>
      <c r="D438" s="2" t="s">
        <v>2525</v>
      </c>
      <c r="E438" s="2" t="s">
        <v>2529</v>
      </c>
      <c r="F438" s="3">
        <v>163343</v>
      </c>
      <c r="G438" s="3">
        <v>3081</v>
      </c>
      <c r="H438" s="3">
        <v>329</v>
      </c>
      <c r="I438" s="4">
        <v>5992.97</v>
      </c>
      <c r="J438" s="4">
        <v>56078.12</v>
      </c>
      <c r="K438" s="3">
        <v>236</v>
      </c>
      <c r="L438" s="2" t="s">
        <v>2539</v>
      </c>
      <c r="M438" s="2" t="s">
        <v>2526</v>
      </c>
      <c r="N438" s="8">
        <f>IFERROR(G438/F438,0)</f>
        <v>1.886214897485659E-2</v>
      </c>
      <c r="O438" s="8">
        <f>IFERROR(H438/G438,0)</f>
        <v>0.10678351184680299</v>
      </c>
      <c r="P438" s="4">
        <f>IFERROR(I438/G438,0)</f>
        <v>1.94513794222655</v>
      </c>
      <c r="Q438" s="4">
        <f>IFERROR(I438/H438,0)</f>
        <v>18.215714285714288</v>
      </c>
      <c r="R438" s="12">
        <f>IFERROR(J438/I438,0)</f>
        <v>9.3573169897396458</v>
      </c>
      <c r="S438" s="7">
        <f>Tabla_nuevas_columnas[[#This Row],[ROAS]]</f>
        <v>9.3573169897396458</v>
      </c>
      <c r="T438" t="str">
        <f>_xlfn.CONCAT(C438,"-",D438)</f>
        <v>Organic Social-Francia</v>
      </c>
      <c r="U438">
        <f>YEAR(A438)</f>
        <v>2025</v>
      </c>
      <c r="V438">
        <f>MONTH(A438)</f>
        <v>5</v>
      </c>
      <c r="W438" t="str">
        <f>PROPER(TEXT(A438,"mmmm"))</f>
        <v>Mayo</v>
      </c>
      <c r="X438" t="str">
        <f>PROPER(TEXT(A438,"dddd"))</f>
        <v>Domingo</v>
      </c>
      <c r="Y438" t="str" cm="1">
        <f t="array" ref="Y438">_xlfn.IFS(R438&gt;10,"Excelente",R438&gt;=5,"Bueno",R438&gt;=2,"Débil",R438&lt;2,"Deficiente")</f>
        <v>Bueno</v>
      </c>
      <c r="Z438" t="str">
        <f>IF(AND(R438&lt;2,Q438&gt;=100),"Revisar","OK")</f>
        <v>OK</v>
      </c>
      <c r="AA438" s="55">
        <f>_xlfn.XLOOKUP(C438,'Preguntas de negocio'!$C$114:$C$119,'Preguntas de negocio'!$D$114:$D$119,0)</f>
        <v>4</v>
      </c>
      <c r="AB438" s="55">
        <f>VLOOKUP(C438,'Preguntas de negocio'!$C$121:$D$127,2,FALSE)</f>
        <v>0.95</v>
      </c>
    </row>
    <row r="439" spans="1:28" x14ac:dyDescent="0.3">
      <c r="A439" s="1">
        <v>45666</v>
      </c>
      <c r="B439" s="2" t="s">
        <v>2626</v>
      </c>
      <c r="C439" s="2" t="s">
        <v>2533</v>
      </c>
      <c r="D439" s="2" t="s">
        <v>2528</v>
      </c>
      <c r="E439" s="2" t="s">
        <v>2529</v>
      </c>
      <c r="F439" s="3">
        <v>37704</v>
      </c>
      <c r="G439" s="3">
        <v>1830</v>
      </c>
      <c r="H439" s="3">
        <v>232</v>
      </c>
      <c r="I439" s="4">
        <v>1541.86</v>
      </c>
      <c r="J439" s="4">
        <v>6678.72</v>
      </c>
      <c r="K439" s="3">
        <v>170</v>
      </c>
      <c r="L439" s="2" t="s">
        <v>2539</v>
      </c>
      <c r="M439" s="2" t="s">
        <v>2546</v>
      </c>
      <c r="N439" s="8">
        <f>IFERROR(G439/F439,0)</f>
        <v>4.8535964353914704E-2</v>
      </c>
      <c r="O439" s="8">
        <f>IFERROR(H439/G439,0)</f>
        <v>0.126775956284153</v>
      </c>
      <c r="P439" s="4">
        <f>IFERROR(I439/G439,0)</f>
        <v>0.84254644808743162</v>
      </c>
      <c r="Q439" s="4">
        <f>IFERROR(I439/H439,0)</f>
        <v>6.6459482758620689</v>
      </c>
      <c r="R439" s="12">
        <f>IFERROR(J439/I439,0)</f>
        <v>4.3315994967117639</v>
      </c>
      <c r="S439" s="7">
        <f>Tabla_nuevas_columnas[[#This Row],[ROAS]]</f>
        <v>4.3315994967117639</v>
      </c>
      <c r="T439" t="str">
        <f>_xlfn.CONCAT(C439,"-",D439)</f>
        <v>Paid Social-España</v>
      </c>
      <c r="U439">
        <f>YEAR(A439)</f>
        <v>2025</v>
      </c>
      <c r="V439">
        <f>MONTH(A439)</f>
        <v>1</v>
      </c>
      <c r="W439" t="str">
        <f>PROPER(TEXT(A439,"mmmm"))</f>
        <v>Enero</v>
      </c>
      <c r="X439" t="str">
        <f>PROPER(TEXT(A439,"dddd"))</f>
        <v>Jueves</v>
      </c>
      <c r="Y439" t="str" cm="1">
        <f t="array" ref="Y439">_xlfn.IFS(R439&gt;10,"Excelente",R439&gt;=5,"Bueno",R439&gt;=2,"Débil",R439&lt;2,"Deficiente")</f>
        <v>Débil</v>
      </c>
      <c r="Z439" t="str">
        <f>IF(AND(R439&lt;2,Q439&gt;=100),"Revisar","OK")</f>
        <v>OK</v>
      </c>
      <c r="AA439" s="55">
        <f>_xlfn.XLOOKUP(C439,'Preguntas de negocio'!$C$114:$C$119,'Preguntas de negocio'!$D$114:$D$119,0)</f>
        <v>6</v>
      </c>
      <c r="AB439" s="55">
        <f>VLOOKUP(C439,'Preguntas de negocio'!$C$121:$D$127,2,FALSE)</f>
        <v>0.8</v>
      </c>
    </row>
    <row r="440" spans="1:28" x14ac:dyDescent="0.3">
      <c r="A440" s="1">
        <v>45934</v>
      </c>
      <c r="B440" s="2" t="s">
        <v>2622</v>
      </c>
      <c r="C440" s="2" t="s">
        <v>2543</v>
      </c>
      <c r="D440" s="2" t="s">
        <v>2525</v>
      </c>
      <c r="E440" s="2" t="s">
        <v>2529</v>
      </c>
      <c r="F440" s="3">
        <v>98300</v>
      </c>
      <c r="G440" s="3">
        <v>4012</v>
      </c>
      <c r="H440" s="3">
        <v>436</v>
      </c>
      <c r="I440" s="4">
        <v>7101.02</v>
      </c>
      <c r="J440" s="4">
        <v>51097.13</v>
      </c>
      <c r="K440" s="3">
        <v>253</v>
      </c>
      <c r="L440" s="2" t="s">
        <v>2539</v>
      </c>
      <c r="M440" s="2" t="s">
        <v>2519</v>
      </c>
      <c r="N440" s="8">
        <f>IFERROR(G440/F440,0)</f>
        <v>4.0813835198372332E-2</v>
      </c>
      <c r="O440" s="8">
        <f>IFERROR(H440/G440,0)</f>
        <v>0.10867397806580259</v>
      </c>
      <c r="P440" s="4">
        <f>IFERROR(I440/G440,0)</f>
        <v>1.7699451645064808</v>
      </c>
      <c r="Q440" s="4">
        <f>IFERROR(I440/H440,0)</f>
        <v>16.286743119266056</v>
      </c>
      <c r="R440" s="12">
        <f>IFERROR(J440/I440,0)</f>
        <v>7.195745118306947</v>
      </c>
      <c r="S440" s="7">
        <f>Tabla_nuevas_columnas[[#This Row],[ROAS]]</f>
        <v>7.195745118306947</v>
      </c>
      <c r="T440" t="str">
        <f>_xlfn.CONCAT(C440,"-",D440)</f>
        <v>Organic Social-Francia</v>
      </c>
      <c r="U440">
        <f>YEAR(A440)</f>
        <v>2025</v>
      </c>
      <c r="V440">
        <f>MONTH(A440)</f>
        <v>10</v>
      </c>
      <c r="W440" t="str">
        <f>PROPER(TEXT(A440,"mmmm"))</f>
        <v>Octubre</v>
      </c>
      <c r="X440" t="str">
        <f>PROPER(TEXT(A440,"dddd"))</f>
        <v>Sábado</v>
      </c>
      <c r="Y440" t="str" cm="1">
        <f t="array" ref="Y440">_xlfn.IFS(R440&gt;10,"Excelente",R440&gt;=5,"Bueno",R440&gt;=2,"Débil",R440&lt;2,"Deficiente")</f>
        <v>Bueno</v>
      </c>
      <c r="Z440" t="str">
        <f>IF(AND(R440&lt;2,Q440&gt;=100),"Revisar","OK")</f>
        <v>OK</v>
      </c>
      <c r="AA440" s="55">
        <f>_xlfn.XLOOKUP(C440,'Preguntas de negocio'!$C$114:$C$119,'Preguntas de negocio'!$D$114:$D$119,0)</f>
        <v>4</v>
      </c>
      <c r="AB440" s="55">
        <f>VLOOKUP(C440,'Preguntas de negocio'!$C$121:$D$127,2,FALSE)</f>
        <v>0.95</v>
      </c>
    </row>
    <row r="441" spans="1:28" x14ac:dyDescent="0.3">
      <c r="A441" s="1">
        <v>45728</v>
      </c>
      <c r="B441" s="2" t="s">
        <v>2637</v>
      </c>
      <c r="C441" s="2" t="s">
        <v>2515</v>
      </c>
      <c r="D441" s="2" t="s">
        <v>2528</v>
      </c>
      <c r="E441" s="2" t="s">
        <v>2529</v>
      </c>
      <c r="F441" s="3">
        <v>37178</v>
      </c>
      <c r="G441" s="3">
        <v>688</v>
      </c>
      <c r="H441" s="3">
        <v>78</v>
      </c>
      <c r="I441" s="4">
        <v>71.44</v>
      </c>
      <c r="J441" s="4">
        <v>2202.84</v>
      </c>
      <c r="K441" s="3">
        <v>64</v>
      </c>
      <c r="L441" s="2" t="s">
        <v>2536</v>
      </c>
      <c r="M441" s="2" t="s">
        <v>2519</v>
      </c>
      <c r="N441" s="8">
        <f>IFERROR(G441/F441,0)</f>
        <v>1.8505567808919255E-2</v>
      </c>
      <c r="O441" s="8">
        <f>IFERROR(H441/G441,0)</f>
        <v>0.11337209302325581</v>
      </c>
      <c r="P441" s="4">
        <f>IFERROR(I441/G441,0)</f>
        <v>0.10383720930232558</v>
      </c>
      <c r="Q441" s="4">
        <f>IFERROR(I441/H441,0)</f>
        <v>0.91589743589743589</v>
      </c>
      <c r="R441" s="12">
        <f>IFERROR(J441/I441,0)</f>
        <v>30.83482642777156</v>
      </c>
      <c r="S441" s="7">
        <f>Tabla_nuevas_columnas[[#This Row],[ROAS]]</f>
        <v>30.83482642777156</v>
      </c>
      <c r="T441" t="str">
        <f>_xlfn.CONCAT(C441,"-",D441)</f>
        <v>Email-España</v>
      </c>
      <c r="U441">
        <f>YEAR(A441)</f>
        <v>2025</v>
      </c>
      <c r="V441">
        <f>MONTH(A441)</f>
        <v>3</v>
      </c>
      <c r="W441" t="str">
        <f>PROPER(TEXT(A441,"mmmm"))</f>
        <v>Marzo</v>
      </c>
      <c r="X441" t="str">
        <f>PROPER(TEXT(A441,"dddd"))</f>
        <v>Miércoles</v>
      </c>
      <c r="Y441" t="str" cm="1">
        <f t="array" ref="Y441">_xlfn.IFS(R441&gt;10,"Excelente",R441&gt;=5,"Bueno",R441&gt;=2,"Débil",R441&lt;2,"Deficiente")</f>
        <v>Excelente</v>
      </c>
      <c r="Z441" t="str">
        <f>IF(AND(R441&lt;2,Q441&gt;=100),"Revisar","OK")</f>
        <v>OK</v>
      </c>
      <c r="AA441" s="55">
        <f>_xlfn.XLOOKUP(C441,'Preguntas de negocio'!$C$114:$C$119,'Preguntas de negocio'!$D$114:$D$119,0)</f>
        <v>5.5</v>
      </c>
      <c r="AB441" s="55">
        <f>VLOOKUP(C441,'Preguntas de negocio'!$C$121:$D$127,2,FALSE)</f>
        <v>0.65</v>
      </c>
    </row>
    <row r="442" spans="1:28" x14ac:dyDescent="0.3">
      <c r="A442" s="1">
        <v>46010</v>
      </c>
      <c r="B442" s="2" t="s">
        <v>2626</v>
      </c>
      <c r="C442" s="2" t="s">
        <v>2543</v>
      </c>
      <c r="D442" s="2" t="s">
        <v>2528</v>
      </c>
      <c r="E442" s="2" t="s">
        <v>2529</v>
      </c>
      <c r="F442" s="3">
        <v>20305</v>
      </c>
      <c r="G442" s="3">
        <v>818</v>
      </c>
      <c r="H442" s="3">
        <v>70</v>
      </c>
      <c r="I442" s="4">
        <v>1507.51</v>
      </c>
      <c r="J442" s="4">
        <v>12332.9</v>
      </c>
      <c r="K442" s="3">
        <v>36</v>
      </c>
      <c r="L442" s="2" t="s">
        <v>2539</v>
      </c>
      <c r="M442" s="2" t="s">
        <v>2526</v>
      </c>
      <c r="N442" s="8">
        <f>IFERROR(G442/F442,0)</f>
        <v>4.0285643930066485E-2</v>
      </c>
      <c r="O442" s="8">
        <f>IFERROR(H442/G442,0)</f>
        <v>8.557457212713937E-2</v>
      </c>
      <c r="P442" s="4">
        <f>IFERROR(I442/G442,0)</f>
        <v>1.842921760391198</v>
      </c>
      <c r="Q442" s="4">
        <f>IFERROR(I442/H442,0)</f>
        <v>21.535857142857143</v>
      </c>
      <c r="R442" s="12">
        <f>IFERROR(J442/I442,0)</f>
        <v>8.1809739238877359</v>
      </c>
      <c r="S442" s="7">
        <f>Tabla_nuevas_columnas[[#This Row],[ROAS]]</f>
        <v>8.1809739238877359</v>
      </c>
      <c r="T442" t="str">
        <f>_xlfn.CONCAT(C442,"-",D442)</f>
        <v>Organic Social-España</v>
      </c>
      <c r="U442">
        <f>YEAR(A442)</f>
        <v>2025</v>
      </c>
      <c r="V442">
        <f>MONTH(A442)</f>
        <v>12</v>
      </c>
      <c r="W442" t="str">
        <f>PROPER(TEXT(A442,"mmmm"))</f>
        <v>Diciembre</v>
      </c>
      <c r="X442" t="str">
        <f>PROPER(TEXT(A442,"dddd"))</f>
        <v>Viernes</v>
      </c>
      <c r="Y442" t="str" cm="1">
        <f t="array" ref="Y442">_xlfn.IFS(R442&gt;10,"Excelente",R442&gt;=5,"Bueno",R442&gt;=2,"Débil",R442&lt;2,"Deficiente")</f>
        <v>Bueno</v>
      </c>
      <c r="Z442" t="str">
        <f>IF(AND(R442&lt;2,Q442&gt;=100),"Revisar","OK")</f>
        <v>OK</v>
      </c>
      <c r="AA442" s="55">
        <f>_xlfn.XLOOKUP(C442,'Preguntas de negocio'!$C$114:$C$119,'Preguntas de negocio'!$D$114:$D$119,0)</f>
        <v>4</v>
      </c>
      <c r="AB442" s="55">
        <f>VLOOKUP(C442,'Preguntas de negocio'!$C$121:$D$127,2,FALSE)</f>
        <v>0.95</v>
      </c>
    </row>
    <row r="443" spans="1:28" x14ac:dyDescent="0.3">
      <c r="A443" s="1">
        <v>45782</v>
      </c>
      <c r="B443" s="2" t="s">
        <v>2640</v>
      </c>
      <c r="C443" s="2" t="s">
        <v>2527</v>
      </c>
      <c r="D443" s="2" t="s">
        <v>2516</v>
      </c>
      <c r="E443" s="2" t="s">
        <v>2517</v>
      </c>
      <c r="F443" s="3">
        <v>35325</v>
      </c>
      <c r="G443" s="3">
        <v>2472</v>
      </c>
      <c r="H443" s="3">
        <v>308</v>
      </c>
      <c r="I443" s="4">
        <v>3375</v>
      </c>
      <c r="J443" s="4">
        <v>14283.69</v>
      </c>
      <c r="K443" s="3">
        <v>201</v>
      </c>
      <c r="L443" s="2" t="s">
        <v>2523</v>
      </c>
      <c r="M443" s="2" t="s">
        <v>2519</v>
      </c>
      <c r="N443" s="8">
        <f>IFERROR(G443/F443,0)</f>
        <v>6.9978768577494688E-2</v>
      </c>
      <c r="O443" s="8">
        <f>IFERROR(H443/G443,0)</f>
        <v>0.12459546925566344</v>
      </c>
      <c r="P443" s="4">
        <f>IFERROR(I443/G443,0)</f>
        <v>1.3652912621359223</v>
      </c>
      <c r="Q443" s="4">
        <f>IFERROR(I443/H443,0)</f>
        <v>10.957792207792208</v>
      </c>
      <c r="R443" s="12">
        <f>IFERROR(J443/I443,0)</f>
        <v>4.2322044444444442</v>
      </c>
      <c r="S443" s="7">
        <f>Tabla_nuevas_columnas[[#This Row],[ROAS]]</f>
        <v>4.2322044444444442</v>
      </c>
      <c r="T443" t="str">
        <f>_xlfn.CONCAT(C443,"-",D443)</f>
        <v>Affiliate-México</v>
      </c>
      <c r="U443">
        <f>YEAR(A443)</f>
        <v>2025</v>
      </c>
      <c r="V443">
        <f>MONTH(A443)</f>
        <v>5</v>
      </c>
      <c r="W443" t="str">
        <f>PROPER(TEXT(A443,"mmmm"))</f>
        <v>Mayo</v>
      </c>
      <c r="X443" t="str">
        <f>PROPER(TEXT(A443,"dddd"))</f>
        <v>Lunes</v>
      </c>
      <c r="Y443" t="str" cm="1">
        <f t="array" ref="Y443">_xlfn.IFS(R443&gt;10,"Excelente",R443&gt;=5,"Bueno",R443&gt;=2,"Débil",R443&lt;2,"Deficiente")</f>
        <v>Débil</v>
      </c>
      <c r="Z443" t="str">
        <f>IF(AND(R443&lt;2,Q443&gt;=100),"Revisar","OK")</f>
        <v>OK</v>
      </c>
      <c r="AA443" s="55">
        <f>_xlfn.XLOOKUP(C443,'Preguntas de negocio'!$C$114:$C$119,'Preguntas de negocio'!$D$114:$D$119,0)</f>
        <v>4.5</v>
      </c>
      <c r="AB443" s="55">
        <f>VLOOKUP(C443,'Preguntas de negocio'!$C$121:$D$127,2,FALSE)</f>
        <v>0.35</v>
      </c>
    </row>
    <row r="444" spans="1:28" x14ac:dyDescent="0.3">
      <c r="A444" s="1">
        <v>45917</v>
      </c>
      <c r="B444" s="2" t="s">
        <v>2633</v>
      </c>
      <c r="C444" s="2" t="s">
        <v>2543</v>
      </c>
      <c r="D444" s="2" t="s">
        <v>2531</v>
      </c>
      <c r="E444" s="2" t="s">
        <v>2529</v>
      </c>
      <c r="F444" s="3">
        <v>152185</v>
      </c>
      <c r="G444" s="3">
        <v>4715</v>
      </c>
      <c r="H444" s="3">
        <v>384</v>
      </c>
      <c r="I444" s="4">
        <v>6919.95</v>
      </c>
      <c r="J444" s="4">
        <v>9966.42</v>
      </c>
      <c r="K444" s="3">
        <v>282</v>
      </c>
      <c r="L444" s="2" t="s">
        <v>2523</v>
      </c>
      <c r="M444" s="2" t="s">
        <v>2524</v>
      </c>
      <c r="N444" s="8">
        <f>IFERROR(G444/F444,0)</f>
        <v>3.0982028452212769E-2</v>
      </c>
      <c r="O444" s="8">
        <f>IFERROR(H444/G444,0)</f>
        <v>8.1442205726405092E-2</v>
      </c>
      <c r="P444" s="4">
        <f>IFERROR(I444/G444,0)</f>
        <v>1.4676458112407211</v>
      </c>
      <c r="Q444" s="4">
        <f>IFERROR(I444/H444,0)</f>
        <v>18.020703125000001</v>
      </c>
      <c r="R444" s="12">
        <f>IFERROR(J444/I444,0)</f>
        <v>1.4402445104372141</v>
      </c>
      <c r="S444" s="7">
        <f>Tabla_nuevas_columnas[[#This Row],[ROAS]]</f>
        <v>1.4402445104372141</v>
      </c>
      <c r="T444" t="str">
        <f>_xlfn.CONCAT(C444,"-",D444)</f>
        <v>Organic Social-Portugal</v>
      </c>
      <c r="U444">
        <f>YEAR(A444)</f>
        <v>2025</v>
      </c>
      <c r="V444">
        <f>MONTH(A444)</f>
        <v>9</v>
      </c>
      <c r="W444" t="str">
        <f>PROPER(TEXT(A444,"mmmm"))</f>
        <v>Septiembre</v>
      </c>
      <c r="X444" t="str">
        <f>PROPER(TEXT(A444,"dddd"))</f>
        <v>Miércoles</v>
      </c>
      <c r="Y444" t="str" cm="1">
        <f t="array" ref="Y444">_xlfn.IFS(R444&gt;10,"Excelente",R444&gt;=5,"Bueno",R444&gt;=2,"Débil",R444&lt;2,"Deficiente")</f>
        <v>Deficiente</v>
      </c>
      <c r="Z444" t="str">
        <f>IF(AND(R444&lt;2,Q444&gt;=100),"Revisar","OK")</f>
        <v>OK</v>
      </c>
      <c r="AA444" s="55">
        <f>_xlfn.XLOOKUP(C444,'Preguntas de negocio'!$C$114:$C$119,'Preguntas de negocio'!$D$114:$D$119,0)</f>
        <v>4</v>
      </c>
      <c r="AB444" s="55">
        <f>VLOOKUP(C444,'Preguntas de negocio'!$C$121:$D$127,2,FALSE)</f>
        <v>0.95</v>
      </c>
    </row>
    <row r="445" spans="1:28" x14ac:dyDescent="0.3">
      <c r="A445" s="1">
        <v>45884</v>
      </c>
      <c r="B445" s="2" t="s">
        <v>2643</v>
      </c>
      <c r="C445" s="2" t="s">
        <v>2527</v>
      </c>
      <c r="D445" s="2" t="s">
        <v>2528</v>
      </c>
      <c r="E445" s="2" t="s">
        <v>2529</v>
      </c>
      <c r="F445" s="3">
        <v>18638</v>
      </c>
      <c r="G445" s="3">
        <v>449</v>
      </c>
      <c r="H445" s="3">
        <v>19</v>
      </c>
      <c r="I445" s="4">
        <v>719.5</v>
      </c>
      <c r="J445" s="4">
        <v>695.54</v>
      </c>
      <c r="K445" s="3">
        <v>15</v>
      </c>
      <c r="L445" s="2" t="s">
        <v>2536</v>
      </c>
      <c r="M445" s="2" t="s">
        <v>2546</v>
      </c>
      <c r="N445" s="8">
        <f>IFERROR(G445/F445,0)</f>
        <v>2.4090567657473978E-2</v>
      </c>
      <c r="O445" s="8">
        <f>IFERROR(H445/G445,0)</f>
        <v>4.2316258351893093E-2</v>
      </c>
      <c r="P445" s="4">
        <f>IFERROR(I445/G445,0)</f>
        <v>1.6024498886414253</v>
      </c>
      <c r="Q445" s="4">
        <f>IFERROR(I445/H445,0)</f>
        <v>37.868421052631582</v>
      </c>
      <c r="R445" s="12">
        <f>IFERROR(J445/I445,0)</f>
        <v>0.96669909659485753</v>
      </c>
      <c r="S445" s="7">
        <f>Tabla_nuevas_columnas[[#This Row],[ROAS]]</f>
        <v>0.96669909659485753</v>
      </c>
      <c r="T445" t="str">
        <f>_xlfn.CONCAT(C445,"-",D445)</f>
        <v>Affiliate-España</v>
      </c>
      <c r="U445">
        <f>YEAR(A445)</f>
        <v>2025</v>
      </c>
      <c r="V445">
        <f>MONTH(A445)</f>
        <v>8</v>
      </c>
      <c r="W445" t="str">
        <f>PROPER(TEXT(A445,"mmmm"))</f>
        <v>Agosto</v>
      </c>
      <c r="X445" t="str">
        <f>PROPER(TEXT(A445,"dddd"))</f>
        <v>Viernes</v>
      </c>
      <c r="Y445" t="str" cm="1">
        <f t="array" ref="Y445">_xlfn.IFS(R445&gt;10,"Excelente",R445&gt;=5,"Bueno",R445&gt;=2,"Débil",R445&lt;2,"Deficiente")</f>
        <v>Deficiente</v>
      </c>
      <c r="Z445" t="str">
        <f>IF(AND(R445&lt;2,Q445&gt;=100),"Revisar","OK")</f>
        <v>OK</v>
      </c>
      <c r="AA445" s="55">
        <f>_xlfn.XLOOKUP(C445,'Preguntas de negocio'!$C$114:$C$119,'Preguntas de negocio'!$D$114:$D$119,0)</f>
        <v>4.5</v>
      </c>
      <c r="AB445" s="55">
        <f>VLOOKUP(C445,'Preguntas de negocio'!$C$121:$D$127,2,FALSE)</f>
        <v>0.35</v>
      </c>
    </row>
    <row r="446" spans="1:28" x14ac:dyDescent="0.3">
      <c r="A446" s="1">
        <v>45681</v>
      </c>
      <c r="B446" s="2" t="s">
        <v>2620</v>
      </c>
      <c r="C446" s="2" t="s">
        <v>2527</v>
      </c>
      <c r="D446" s="2" t="s">
        <v>2528</v>
      </c>
      <c r="E446" s="2" t="s">
        <v>2529</v>
      </c>
      <c r="F446" s="3">
        <v>109206</v>
      </c>
      <c r="G446" s="3">
        <v>2154</v>
      </c>
      <c r="H446" s="3">
        <v>184</v>
      </c>
      <c r="I446" s="4">
        <v>1098.24</v>
      </c>
      <c r="J446" s="4">
        <v>12390.83</v>
      </c>
      <c r="K446" s="3">
        <v>149</v>
      </c>
      <c r="L446" s="2" t="s">
        <v>2539</v>
      </c>
      <c r="M446" s="2" t="s">
        <v>2526</v>
      </c>
      <c r="N446" s="8">
        <f>IFERROR(G446/F446,0)</f>
        <v>1.9724190978517665E-2</v>
      </c>
      <c r="O446" s="8">
        <f>IFERROR(H446/G446,0)</f>
        <v>8.5422469823584035E-2</v>
      </c>
      <c r="P446" s="4">
        <f>IFERROR(I446/G446,0)</f>
        <v>0.50986072423398332</v>
      </c>
      <c r="Q446" s="4">
        <f>IFERROR(I446/H446,0)</f>
        <v>5.9686956521739134</v>
      </c>
      <c r="R446" s="12">
        <f>IFERROR(J446/I446,0)</f>
        <v>11.282442817599067</v>
      </c>
      <c r="S446" s="7">
        <f>Tabla_nuevas_columnas[[#This Row],[ROAS]]</f>
        <v>11.282442817599067</v>
      </c>
      <c r="T446" t="str">
        <f>_xlfn.CONCAT(C446,"-",D446)</f>
        <v>Affiliate-España</v>
      </c>
      <c r="U446">
        <f>YEAR(A446)</f>
        <v>2025</v>
      </c>
      <c r="V446">
        <f>MONTH(A446)</f>
        <v>1</v>
      </c>
      <c r="W446" t="str">
        <f>PROPER(TEXT(A446,"mmmm"))</f>
        <v>Enero</v>
      </c>
      <c r="X446" t="str">
        <f>PROPER(TEXT(A446,"dddd"))</f>
        <v>Viernes</v>
      </c>
      <c r="Y446" t="str" cm="1">
        <f t="array" ref="Y446">_xlfn.IFS(R446&gt;10,"Excelente",R446&gt;=5,"Bueno",R446&gt;=2,"Débil",R446&lt;2,"Deficiente")</f>
        <v>Excelente</v>
      </c>
      <c r="Z446" t="str">
        <f>IF(AND(R446&lt;2,Q446&gt;=100),"Revisar","OK")</f>
        <v>OK</v>
      </c>
      <c r="AA446" s="55">
        <f>_xlfn.XLOOKUP(C446,'Preguntas de negocio'!$C$114:$C$119,'Preguntas de negocio'!$D$114:$D$119,0)</f>
        <v>4.5</v>
      </c>
      <c r="AB446" s="55">
        <f>VLOOKUP(C446,'Preguntas de negocio'!$C$121:$D$127,2,FALSE)</f>
        <v>0.35</v>
      </c>
    </row>
    <row r="447" spans="1:28" x14ac:dyDescent="0.3">
      <c r="A447" s="1">
        <v>45917</v>
      </c>
      <c r="B447" s="2" t="s">
        <v>2635</v>
      </c>
      <c r="C447" s="2" t="s">
        <v>2541</v>
      </c>
      <c r="D447" s="2" t="s">
        <v>2528</v>
      </c>
      <c r="E447" s="2" t="s">
        <v>2529</v>
      </c>
      <c r="F447" s="3">
        <v>85965</v>
      </c>
      <c r="G447" s="3">
        <v>7604</v>
      </c>
      <c r="H447" s="3">
        <v>978</v>
      </c>
      <c r="I447" s="4">
        <v>3516.33</v>
      </c>
      <c r="J447" s="4">
        <v>27733.89</v>
      </c>
      <c r="K447" s="3">
        <v>627</v>
      </c>
      <c r="L447" s="2" t="s">
        <v>2539</v>
      </c>
      <c r="M447" s="2" t="s">
        <v>2537</v>
      </c>
      <c r="N447" s="8">
        <f>IFERROR(G447/F447,0)</f>
        <v>8.8454603617751412E-2</v>
      </c>
      <c r="O447" s="8">
        <f>IFERROR(H447/G447,0)</f>
        <v>0.12861651762230406</v>
      </c>
      <c r="P447" s="4">
        <f>IFERROR(I447/G447,0)</f>
        <v>0.46243161493950552</v>
      </c>
      <c r="Q447" s="4">
        <f>IFERROR(I447/H447,0)</f>
        <v>3.5954294478527609</v>
      </c>
      <c r="R447" s="12">
        <f>IFERROR(J447/I447,0)</f>
        <v>7.8871692929844466</v>
      </c>
      <c r="S447" s="7">
        <f>Tabla_nuevas_columnas[[#This Row],[ROAS]]</f>
        <v>7.8871692929844466</v>
      </c>
      <c r="T447" t="str">
        <f>_xlfn.CONCAT(C447,"-",D447)</f>
        <v>Display-España</v>
      </c>
      <c r="U447">
        <f>YEAR(A447)</f>
        <v>2025</v>
      </c>
      <c r="V447">
        <f>MONTH(A447)</f>
        <v>9</v>
      </c>
      <c r="W447" t="str">
        <f>PROPER(TEXT(A447,"mmmm"))</f>
        <v>Septiembre</v>
      </c>
      <c r="X447" t="str">
        <f>PROPER(TEXT(A447,"dddd"))</f>
        <v>Miércoles</v>
      </c>
      <c r="Y447" t="str" cm="1">
        <f t="array" ref="Y447">_xlfn.IFS(R447&gt;10,"Excelente",R447&gt;=5,"Bueno",R447&gt;=2,"Débil",R447&lt;2,"Deficiente")</f>
        <v>Bueno</v>
      </c>
      <c r="Z447" t="str">
        <f>IF(AND(R447&lt;2,Q447&gt;=100),"Revisar","OK")</f>
        <v>OK</v>
      </c>
      <c r="AA447" s="55">
        <f>_xlfn.XLOOKUP(C447,'Preguntas de negocio'!$C$114:$C$119,'Preguntas de negocio'!$D$114:$D$119,0)</f>
        <v>5</v>
      </c>
      <c r="AB447" s="55">
        <f>VLOOKUP(C447,'Preguntas de negocio'!$C$121:$D$127,2,FALSE)</f>
        <v>0.5</v>
      </c>
    </row>
    <row r="448" spans="1:28" x14ac:dyDescent="0.3">
      <c r="A448" s="1">
        <v>45788</v>
      </c>
      <c r="B448" s="2" t="s">
        <v>2622</v>
      </c>
      <c r="C448" s="2" t="s">
        <v>2541</v>
      </c>
      <c r="D448" s="2" t="s">
        <v>2528</v>
      </c>
      <c r="E448" s="2" t="s">
        <v>2517</v>
      </c>
      <c r="F448" s="3">
        <v>22266</v>
      </c>
      <c r="G448" s="3">
        <v>334</v>
      </c>
      <c r="H448" s="3">
        <v>15</v>
      </c>
      <c r="I448" s="4">
        <v>329.4</v>
      </c>
      <c r="J448" s="4">
        <v>2006.3</v>
      </c>
      <c r="K448" s="3">
        <v>12</v>
      </c>
      <c r="L448" s="2" t="s">
        <v>2523</v>
      </c>
      <c r="M448" s="2" t="s">
        <v>2524</v>
      </c>
      <c r="N448" s="8">
        <f>IFERROR(G448/F448,0)</f>
        <v>1.5000449115242972E-2</v>
      </c>
      <c r="O448" s="8">
        <f>IFERROR(H448/G448,0)</f>
        <v>4.4910179640718563E-2</v>
      </c>
      <c r="P448" s="4">
        <f>IFERROR(I448/G448,0)</f>
        <v>0.98622754491017961</v>
      </c>
      <c r="Q448" s="4">
        <f>IFERROR(I448/H448,0)</f>
        <v>21.959999999999997</v>
      </c>
      <c r="R448" s="12">
        <f>IFERROR(J448/I448,0)</f>
        <v>6.0907710989678208</v>
      </c>
      <c r="S448" s="7">
        <f>Tabla_nuevas_columnas[[#This Row],[ROAS]]</f>
        <v>6.0907710989678208</v>
      </c>
      <c r="T448" t="str">
        <f>_xlfn.CONCAT(C448,"-",D448)</f>
        <v>Display-España</v>
      </c>
      <c r="U448">
        <f>YEAR(A448)</f>
        <v>2025</v>
      </c>
      <c r="V448">
        <f>MONTH(A448)</f>
        <v>5</v>
      </c>
      <c r="W448" t="str">
        <f>PROPER(TEXT(A448,"mmmm"))</f>
        <v>Mayo</v>
      </c>
      <c r="X448" t="str">
        <f>PROPER(TEXT(A448,"dddd"))</f>
        <v>Domingo</v>
      </c>
      <c r="Y448" t="str" cm="1">
        <f t="array" ref="Y448">_xlfn.IFS(R448&gt;10,"Excelente",R448&gt;=5,"Bueno",R448&gt;=2,"Débil",R448&lt;2,"Deficiente")</f>
        <v>Bueno</v>
      </c>
      <c r="Z448" t="str">
        <f>IF(AND(R448&lt;2,Q448&gt;=100),"Revisar","OK")</f>
        <v>OK</v>
      </c>
      <c r="AA448" s="55">
        <f>_xlfn.XLOOKUP(C448,'Preguntas de negocio'!$C$114:$C$119,'Preguntas de negocio'!$D$114:$D$119,0)</f>
        <v>5</v>
      </c>
      <c r="AB448" s="55">
        <f>VLOOKUP(C448,'Preguntas de negocio'!$C$121:$D$127,2,FALSE)</f>
        <v>0.5</v>
      </c>
    </row>
    <row r="449" spans="1:28" x14ac:dyDescent="0.3">
      <c r="A449" s="1">
        <v>45886</v>
      </c>
      <c r="B449" s="2" t="s">
        <v>2619</v>
      </c>
      <c r="C449" s="2" t="s">
        <v>2543</v>
      </c>
      <c r="D449" s="2" t="s">
        <v>2528</v>
      </c>
      <c r="E449" s="2" t="s">
        <v>2529</v>
      </c>
      <c r="F449" s="3">
        <v>126353</v>
      </c>
      <c r="G449" s="3">
        <v>7459</v>
      </c>
      <c r="H449" s="3">
        <v>420</v>
      </c>
      <c r="I449" s="4">
        <v>14410.49</v>
      </c>
      <c r="J449" s="4">
        <v>69168.399999999994</v>
      </c>
      <c r="K449" s="3">
        <v>271</v>
      </c>
      <c r="L449" s="2" t="s">
        <v>2523</v>
      </c>
      <c r="M449" s="2" t="s">
        <v>2546</v>
      </c>
      <c r="N449" s="8">
        <f>IFERROR(G449/F449,0)</f>
        <v>5.9033026520937372E-2</v>
      </c>
      <c r="O449" s="8">
        <f>IFERROR(H449/G449,0)</f>
        <v>5.6307816061134199E-2</v>
      </c>
      <c r="P449" s="4">
        <f>IFERROR(I449/G449,0)</f>
        <v>1.9319600482638424</v>
      </c>
      <c r="Q449" s="4">
        <f>IFERROR(I449/H449,0)</f>
        <v>34.310690476190473</v>
      </c>
      <c r="R449" s="12">
        <f>IFERROR(J449/I449,0)</f>
        <v>4.7998645431210178</v>
      </c>
      <c r="S449" s="7">
        <f>Tabla_nuevas_columnas[[#This Row],[ROAS]]</f>
        <v>4.7998645431210178</v>
      </c>
      <c r="T449" t="str">
        <f>_xlfn.CONCAT(C449,"-",D449)</f>
        <v>Organic Social-España</v>
      </c>
      <c r="U449">
        <f>YEAR(A449)</f>
        <v>2025</v>
      </c>
      <c r="V449">
        <f>MONTH(A449)</f>
        <v>8</v>
      </c>
      <c r="W449" t="str">
        <f>PROPER(TEXT(A449,"mmmm"))</f>
        <v>Agosto</v>
      </c>
      <c r="X449" t="str">
        <f>PROPER(TEXT(A449,"dddd"))</f>
        <v>Domingo</v>
      </c>
      <c r="Y449" t="str" cm="1">
        <f t="array" ref="Y449">_xlfn.IFS(R449&gt;10,"Excelente",R449&gt;=5,"Bueno",R449&gt;=2,"Débil",R449&lt;2,"Deficiente")</f>
        <v>Débil</v>
      </c>
      <c r="Z449" t="str">
        <f>IF(AND(R449&lt;2,Q449&gt;=100),"Revisar","OK")</f>
        <v>OK</v>
      </c>
      <c r="AA449" s="55">
        <f>_xlfn.XLOOKUP(C449,'Preguntas de negocio'!$C$114:$C$119,'Preguntas de negocio'!$D$114:$D$119,0)</f>
        <v>4</v>
      </c>
      <c r="AB449" s="55">
        <f>VLOOKUP(C449,'Preguntas de negocio'!$C$121:$D$127,2,FALSE)</f>
        <v>0.95</v>
      </c>
    </row>
    <row r="450" spans="1:28" x14ac:dyDescent="0.3">
      <c r="A450" s="1">
        <v>46016</v>
      </c>
      <c r="B450" s="2" t="s">
        <v>2627</v>
      </c>
      <c r="C450" s="2" t="s">
        <v>2527</v>
      </c>
      <c r="D450" s="2" t="s">
        <v>2531</v>
      </c>
      <c r="E450" s="2" t="s">
        <v>2529</v>
      </c>
      <c r="F450" s="3">
        <v>167064</v>
      </c>
      <c r="G450" s="3">
        <v>9010</v>
      </c>
      <c r="H450" s="3">
        <v>585</v>
      </c>
      <c r="I450" s="4">
        <v>1844.62</v>
      </c>
      <c r="J450" s="4">
        <v>57698.74</v>
      </c>
      <c r="K450" s="3">
        <v>296</v>
      </c>
      <c r="L450" s="2" t="s">
        <v>2523</v>
      </c>
      <c r="M450" s="2" t="s">
        <v>2526</v>
      </c>
      <c r="N450" s="8">
        <f>IFERROR(G450/F450,0)</f>
        <v>5.3931427476895083E-2</v>
      </c>
      <c r="O450" s="8">
        <f>IFERROR(H450/G450,0)</f>
        <v>6.4927857935627081E-2</v>
      </c>
      <c r="P450" s="4">
        <f>IFERROR(I450/G450,0)</f>
        <v>0.20473029966703662</v>
      </c>
      <c r="Q450" s="4">
        <f>IFERROR(I450/H450,0)</f>
        <v>3.153196581196581</v>
      </c>
      <c r="R450" s="12">
        <f>IFERROR(J450/I450,0)</f>
        <v>31.279472194815192</v>
      </c>
      <c r="S450" s="7">
        <f>Tabla_nuevas_columnas[[#This Row],[ROAS]]</f>
        <v>31.279472194815192</v>
      </c>
      <c r="T450" t="str">
        <f>_xlfn.CONCAT(C450,"-",D450)</f>
        <v>Affiliate-Portugal</v>
      </c>
      <c r="U450">
        <f>YEAR(A450)</f>
        <v>2025</v>
      </c>
      <c r="V450">
        <f>MONTH(A450)</f>
        <v>12</v>
      </c>
      <c r="W450" t="str">
        <f>PROPER(TEXT(A450,"mmmm"))</f>
        <v>Diciembre</v>
      </c>
      <c r="X450" t="str">
        <f>PROPER(TEXT(A450,"dddd"))</f>
        <v>Jueves</v>
      </c>
      <c r="Y450" t="str" cm="1">
        <f t="array" ref="Y450">_xlfn.IFS(R450&gt;10,"Excelente",R450&gt;=5,"Bueno",R450&gt;=2,"Débil",R450&lt;2,"Deficiente")</f>
        <v>Excelente</v>
      </c>
      <c r="Z450" t="str">
        <f>IF(AND(R450&lt;2,Q450&gt;=100),"Revisar","OK")</f>
        <v>OK</v>
      </c>
      <c r="AA450" s="55">
        <f>_xlfn.XLOOKUP(C450,'Preguntas de negocio'!$C$114:$C$119,'Preguntas de negocio'!$D$114:$D$119,0)</f>
        <v>4.5</v>
      </c>
      <c r="AB450" s="55">
        <f>VLOOKUP(C450,'Preguntas de negocio'!$C$121:$D$127,2,FALSE)</f>
        <v>0.35</v>
      </c>
    </row>
    <row r="451" spans="1:28" x14ac:dyDescent="0.3">
      <c r="A451" s="1">
        <v>45666</v>
      </c>
      <c r="B451" s="2" t="s">
        <v>2617</v>
      </c>
      <c r="C451" s="2" t="s">
        <v>2521</v>
      </c>
      <c r="D451" s="2" t="s">
        <v>2528</v>
      </c>
      <c r="E451" s="2" t="s">
        <v>2529</v>
      </c>
      <c r="F451" s="3">
        <v>101149</v>
      </c>
      <c r="G451" s="3">
        <v>1079</v>
      </c>
      <c r="H451" s="3">
        <v>97</v>
      </c>
      <c r="I451" s="4">
        <v>185.84</v>
      </c>
      <c r="J451" s="4">
        <v>11389.97</v>
      </c>
      <c r="K451" s="3">
        <v>60</v>
      </c>
      <c r="L451" s="2" t="s">
        <v>2518</v>
      </c>
      <c r="M451" s="2" t="s">
        <v>2546</v>
      </c>
      <c r="N451" s="8">
        <f>IFERROR(G451/F451,0)</f>
        <v>1.0667431215335792E-2</v>
      </c>
      <c r="O451" s="8">
        <f>IFERROR(H451/G451,0)</f>
        <v>8.989805375347544E-2</v>
      </c>
      <c r="P451" s="4">
        <f>IFERROR(I451/G451,0)</f>
        <v>0.17223354958294718</v>
      </c>
      <c r="Q451" s="4">
        <f>IFERROR(I451/H451,0)</f>
        <v>1.9158762886597938</v>
      </c>
      <c r="R451" s="12">
        <f>IFERROR(J451/I451,0)</f>
        <v>61.289119672836847</v>
      </c>
      <c r="S451" s="7">
        <f>Tabla_nuevas_columnas[[#This Row],[ROAS]]</f>
        <v>61.289119672836847</v>
      </c>
      <c r="T451" t="str">
        <f>_xlfn.CONCAT(C451,"-",D451)</f>
        <v>Paid Search-España</v>
      </c>
      <c r="U451">
        <f>YEAR(A451)</f>
        <v>2025</v>
      </c>
      <c r="V451">
        <f>MONTH(A451)</f>
        <v>1</v>
      </c>
      <c r="W451" t="str">
        <f>PROPER(TEXT(A451,"mmmm"))</f>
        <v>Enero</v>
      </c>
      <c r="X451" t="str">
        <f>PROPER(TEXT(A451,"dddd"))</f>
        <v>Jueves</v>
      </c>
      <c r="Y451" t="str" cm="1">
        <f t="array" ref="Y451">_xlfn.IFS(R451&gt;10,"Excelente",R451&gt;=5,"Bueno",R451&gt;=2,"Débil",R451&lt;2,"Deficiente")</f>
        <v>Excelente</v>
      </c>
      <c r="Z451" t="str">
        <f>IF(AND(R451&lt;2,Q451&gt;=100),"Revisar","OK")</f>
        <v>OK</v>
      </c>
      <c r="AA451" s="55">
        <f>_xlfn.XLOOKUP(C451,'Preguntas de negocio'!$C$114:$C$119,'Preguntas de negocio'!$D$114:$D$119,0)</f>
        <v>5</v>
      </c>
      <c r="AB451" s="55">
        <f>VLOOKUP(C451,'Preguntas de negocio'!$C$121:$D$127,2,FALSE)</f>
        <v>1.1000000000000001</v>
      </c>
    </row>
    <row r="452" spans="1:28" x14ac:dyDescent="0.3">
      <c r="A452" s="1">
        <v>45806</v>
      </c>
      <c r="B452" s="2" t="s">
        <v>2621</v>
      </c>
      <c r="C452" s="2" t="s">
        <v>2543</v>
      </c>
      <c r="D452" s="2" t="s">
        <v>2528</v>
      </c>
      <c r="E452" s="2" t="s">
        <v>2517</v>
      </c>
      <c r="F452" s="3">
        <v>97102</v>
      </c>
      <c r="G452" s="3">
        <v>8187</v>
      </c>
      <c r="H452" s="3">
        <v>807</v>
      </c>
      <c r="I452" s="4">
        <v>16591.560000000001</v>
      </c>
      <c r="J452" s="4">
        <v>163037.92000000001</v>
      </c>
      <c r="K452" s="3">
        <v>569</v>
      </c>
      <c r="L452" s="2" t="s">
        <v>2539</v>
      </c>
      <c r="M452" s="2" t="s">
        <v>2524</v>
      </c>
      <c r="N452" s="8">
        <f>IFERROR(G452/F452,0)</f>
        <v>8.431340240159832E-2</v>
      </c>
      <c r="O452" s="8">
        <f>IFERROR(H452/G452,0)</f>
        <v>9.8570905093440825E-2</v>
      </c>
      <c r="P452" s="4">
        <f>IFERROR(I452/G452,0)</f>
        <v>2.0265738365701722</v>
      </c>
      <c r="Q452" s="4">
        <f>IFERROR(I452/H452,0)</f>
        <v>20.559553903345726</v>
      </c>
      <c r="R452" s="12">
        <f>IFERROR(J452/I452,0)</f>
        <v>9.826557599164877</v>
      </c>
      <c r="S452" s="7">
        <f>Tabla_nuevas_columnas[[#This Row],[ROAS]]</f>
        <v>9.826557599164877</v>
      </c>
      <c r="T452" t="str">
        <f>_xlfn.CONCAT(C452,"-",D452)</f>
        <v>Organic Social-España</v>
      </c>
      <c r="U452">
        <f>YEAR(A452)</f>
        <v>2025</v>
      </c>
      <c r="V452">
        <f>MONTH(A452)</f>
        <v>5</v>
      </c>
      <c r="W452" t="str">
        <f>PROPER(TEXT(A452,"mmmm"))</f>
        <v>Mayo</v>
      </c>
      <c r="X452" t="str">
        <f>PROPER(TEXT(A452,"dddd"))</f>
        <v>Jueves</v>
      </c>
      <c r="Y452" t="str" cm="1">
        <f t="array" ref="Y452">_xlfn.IFS(R452&gt;10,"Excelente",R452&gt;=5,"Bueno",R452&gt;=2,"Débil",R452&lt;2,"Deficiente")</f>
        <v>Bueno</v>
      </c>
      <c r="Z452" t="str">
        <f>IF(AND(R452&lt;2,Q452&gt;=100),"Revisar","OK")</f>
        <v>OK</v>
      </c>
      <c r="AA452" s="55">
        <f>_xlfn.XLOOKUP(C452,'Preguntas de negocio'!$C$114:$C$119,'Preguntas de negocio'!$D$114:$D$119,0)</f>
        <v>4</v>
      </c>
      <c r="AB452" s="55">
        <f>VLOOKUP(C452,'Preguntas de negocio'!$C$121:$D$127,2,FALSE)</f>
        <v>0.95</v>
      </c>
    </row>
    <row r="453" spans="1:28" x14ac:dyDescent="0.3">
      <c r="A453" s="1">
        <v>45867</v>
      </c>
      <c r="B453" s="2" t="s">
        <v>2638</v>
      </c>
      <c r="C453" s="2" t="s">
        <v>2515</v>
      </c>
      <c r="D453" s="2" t="s">
        <v>2531</v>
      </c>
      <c r="E453" s="2" t="s">
        <v>2529</v>
      </c>
      <c r="F453" s="3">
        <v>88493</v>
      </c>
      <c r="G453" s="3">
        <v>670</v>
      </c>
      <c r="H453" s="3">
        <v>58</v>
      </c>
      <c r="I453" s="4">
        <v>984.3</v>
      </c>
      <c r="J453" s="4">
        <v>11436.83</v>
      </c>
      <c r="K453" s="3">
        <v>38</v>
      </c>
      <c r="L453" s="2" t="s">
        <v>2518</v>
      </c>
      <c r="M453" s="2" t="s">
        <v>2546</v>
      </c>
      <c r="N453" s="8">
        <f>IFERROR(G453/F453,0)</f>
        <v>7.5712203225113848E-3</v>
      </c>
      <c r="O453" s="8">
        <f>IFERROR(H453/G453,0)</f>
        <v>8.6567164179104483E-2</v>
      </c>
      <c r="P453" s="4">
        <f>IFERROR(I453/G453,0)</f>
        <v>1.4691044776119402</v>
      </c>
      <c r="Q453" s="4">
        <f>IFERROR(I453/H453,0)</f>
        <v>16.970689655172414</v>
      </c>
      <c r="R453" s="12">
        <f>IFERROR(J453/I453,0)</f>
        <v>11.619252260489688</v>
      </c>
      <c r="S453" s="7">
        <f>Tabla_nuevas_columnas[[#This Row],[ROAS]]</f>
        <v>11.619252260489688</v>
      </c>
      <c r="T453" t="str">
        <f>_xlfn.CONCAT(C453,"-",D453)</f>
        <v>Email-Portugal</v>
      </c>
      <c r="U453">
        <f>YEAR(A453)</f>
        <v>2025</v>
      </c>
      <c r="V453">
        <f>MONTH(A453)</f>
        <v>7</v>
      </c>
      <c r="W453" t="str">
        <f>PROPER(TEXT(A453,"mmmm"))</f>
        <v>Julio</v>
      </c>
      <c r="X453" t="str">
        <f>PROPER(TEXT(A453,"dddd"))</f>
        <v>Martes</v>
      </c>
      <c r="Y453" t="str" cm="1">
        <f t="array" ref="Y453">_xlfn.IFS(R453&gt;10,"Excelente",R453&gt;=5,"Bueno",R453&gt;=2,"Débil",R453&lt;2,"Deficiente")</f>
        <v>Excelente</v>
      </c>
      <c r="Z453" t="str">
        <f>IF(AND(R453&lt;2,Q453&gt;=100),"Revisar","OK")</f>
        <v>OK</v>
      </c>
      <c r="AA453" s="55">
        <f>_xlfn.XLOOKUP(C453,'Preguntas de negocio'!$C$114:$C$119,'Preguntas de negocio'!$D$114:$D$119,0)</f>
        <v>5.5</v>
      </c>
      <c r="AB453" s="55">
        <f>VLOOKUP(C453,'Preguntas de negocio'!$C$121:$D$127,2,FALSE)</f>
        <v>0.65</v>
      </c>
    </row>
    <row r="454" spans="1:28" x14ac:dyDescent="0.3">
      <c r="A454" s="1">
        <v>45839</v>
      </c>
      <c r="B454" s="2" t="s">
        <v>2628</v>
      </c>
      <c r="C454" s="2" t="s">
        <v>2521</v>
      </c>
      <c r="D454" s="2" t="s">
        <v>2528</v>
      </c>
      <c r="E454" s="2" t="s">
        <v>2517</v>
      </c>
      <c r="F454" s="3">
        <v>33457</v>
      </c>
      <c r="G454" s="3">
        <v>878</v>
      </c>
      <c r="H454" s="3">
        <v>49</v>
      </c>
      <c r="I454" s="4">
        <v>478.79</v>
      </c>
      <c r="J454" s="4">
        <v>7836.19</v>
      </c>
      <c r="K454" s="3">
        <v>22</v>
      </c>
      <c r="L454" s="2" t="s">
        <v>2523</v>
      </c>
      <c r="M454" s="2" t="s">
        <v>2537</v>
      </c>
      <c r="N454" s="8">
        <f>IFERROR(G454/F454,0)</f>
        <v>2.6242639806318559E-2</v>
      </c>
      <c r="O454" s="8">
        <f>IFERROR(H454/G454,0)</f>
        <v>5.5808656036446469E-2</v>
      </c>
      <c r="P454" s="4">
        <f>IFERROR(I454/G454,0)</f>
        <v>0.54531890660592253</v>
      </c>
      <c r="Q454" s="4">
        <f>IFERROR(I454/H454,0)</f>
        <v>9.7712244897959195</v>
      </c>
      <c r="R454" s="12">
        <f>IFERROR(J454/I454,0)</f>
        <v>16.366653438877169</v>
      </c>
      <c r="S454" s="7">
        <f>Tabla_nuevas_columnas[[#This Row],[ROAS]]</f>
        <v>16.366653438877169</v>
      </c>
      <c r="T454" t="str">
        <f>_xlfn.CONCAT(C454,"-",D454)</f>
        <v>Paid Search-España</v>
      </c>
      <c r="U454">
        <f>YEAR(A454)</f>
        <v>2025</v>
      </c>
      <c r="V454">
        <f>MONTH(A454)</f>
        <v>7</v>
      </c>
      <c r="W454" t="str">
        <f>PROPER(TEXT(A454,"mmmm"))</f>
        <v>Julio</v>
      </c>
      <c r="X454" t="str">
        <f>PROPER(TEXT(A454,"dddd"))</f>
        <v>Martes</v>
      </c>
      <c r="Y454" t="str" cm="1">
        <f t="array" ref="Y454">_xlfn.IFS(R454&gt;10,"Excelente",R454&gt;=5,"Bueno",R454&gt;=2,"Débil",R454&lt;2,"Deficiente")</f>
        <v>Excelente</v>
      </c>
      <c r="Z454" t="str">
        <f>IF(AND(R454&lt;2,Q454&gt;=100),"Revisar","OK")</f>
        <v>OK</v>
      </c>
      <c r="AA454" s="55">
        <f>_xlfn.XLOOKUP(C454,'Preguntas de negocio'!$C$114:$C$119,'Preguntas de negocio'!$D$114:$D$119,0)</f>
        <v>5</v>
      </c>
      <c r="AB454" s="55">
        <f>VLOOKUP(C454,'Preguntas de negocio'!$C$121:$D$127,2,FALSE)</f>
        <v>1.1000000000000001</v>
      </c>
    </row>
    <row r="455" spans="1:28" x14ac:dyDescent="0.3">
      <c r="A455" s="1">
        <v>45911</v>
      </c>
      <c r="B455" s="2" t="s">
        <v>2624</v>
      </c>
      <c r="C455" s="2" t="s">
        <v>2543</v>
      </c>
      <c r="D455" s="2" t="s">
        <v>2528</v>
      </c>
      <c r="E455" s="2" t="s">
        <v>2529</v>
      </c>
      <c r="F455" s="3">
        <v>70737</v>
      </c>
      <c r="G455" s="3">
        <v>984</v>
      </c>
      <c r="H455" s="3">
        <v>127</v>
      </c>
      <c r="I455" s="4">
        <v>341.17</v>
      </c>
      <c r="J455" s="4">
        <v>14379.5</v>
      </c>
      <c r="K455" s="3">
        <v>73</v>
      </c>
      <c r="L455" s="2" t="s">
        <v>2536</v>
      </c>
      <c r="M455" s="2" t="s">
        <v>2524</v>
      </c>
      <c r="N455" s="8">
        <f>IFERROR(G455/F455,0)</f>
        <v>1.3910683235082065E-2</v>
      </c>
      <c r="O455" s="8">
        <f>IFERROR(H455/G455,0)</f>
        <v>0.1290650406504065</v>
      </c>
      <c r="P455" s="4">
        <f>IFERROR(I455/G455,0)</f>
        <v>0.34671747967479677</v>
      </c>
      <c r="Q455" s="4">
        <f>IFERROR(I455/H455,0)</f>
        <v>2.6863779527559055</v>
      </c>
      <c r="R455" s="12">
        <f>IFERROR(J455/I455,0)</f>
        <v>42.147609696045954</v>
      </c>
      <c r="S455" s="7">
        <f>Tabla_nuevas_columnas[[#This Row],[ROAS]]</f>
        <v>42.147609696045954</v>
      </c>
      <c r="T455" t="str">
        <f>_xlfn.CONCAT(C455,"-",D455)</f>
        <v>Organic Social-España</v>
      </c>
      <c r="U455">
        <f>YEAR(A455)</f>
        <v>2025</v>
      </c>
      <c r="V455">
        <f>MONTH(A455)</f>
        <v>9</v>
      </c>
      <c r="W455" t="str">
        <f>PROPER(TEXT(A455,"mmmm"))</f>
        <v>Septiembre</v>
      </c>
      <c r="X455" t="str">
        <f>PROPER(TEXT(A455,"dddd"))</f>
        <v>Jueves</v>
      </c>
      <c r="Y455" t="str" cm="1">
        <f t="array" ref="Y455">_xlfn.IFS(R455&gt;10,"Excelente",R455&gt;=5,"Bueno",R455&gt;=2,"Débil",R455&lt;2,"Deficiente")</f>
        <v>Excelente</v>
      </c>
      <c r="Z455" t="str">
        <f>IF(AND(R455&lt;2,Q455&gt;=100),"Revisar","OK")</f>
        <v>OK</v>
      </c>
      <c r="AA455" s="55">
        <f>_xlfn.XLOOKUP(C455,'Preguntas de negocio'!$C$114:$C$119,'Preguntas de negocio'!$D$114:$D$119,0)</f>
        <v>4</v>
      </c>
      <c r="AB455" s="55">
        <f>VLOOKUP(C455,'Preguntas de negocio'!$C$121:$D$127,2,FALSE)</f>
        <v>0.95</v>
      </c>
    </row>
    <row r="456" spans="1:28" x14ac:dyDescent="0.3">
      <c r="A456" s="1">
        <v>45983</v>
      </c>
      <c r="B456" s="2" t="s">
        <v>2632</v>
      </c>
      <c r="C456" s="2" t="s">
        <v>2521</v>
      </c>
      <c r="D456" s="2" t="s">
        <v>2528</v>
      </c>
      <c r="E456" s="2" t="s">
        <v>2529</v>
      </c>
      <c r="F456" s="3">
        <v>17808</v>
      </c>
      <c r="G456" s="3">
        <v>1303</v>
      </c>
      <c r="H456" s="3">
        <v>83</v>
      </c>
      <c r="I456" s="4">
        <v>1855.04</v>
      </c>
      <c r="J456" s="4">
        <v>16616.240000000002</v>
      </c>
      <c r="K456" s="3">
        <v>40</v>
      </c>
      <c r="L456" s="2" t="s">
        <v>2518</v>
      </c>
      <c r="M456" s="2" t="s">
        <v>2526</v>
      </c>
      <c r="N456" s="8">
        <f>IFERROR(G456/F456,0)</f>
        <v>7.316936208445643E-2</v>
      </c>
      <c r="O456" s="8">
        <f>IFERROR(H456/G456,0)</f>
        <v>6.3699155794320797E-2</v>
      </c>
      <c r="P456" s="4">
        <f>IFERROR(I456/G456,0)</f>
        <v>1.4236684574059861</v>
      </c>
      <c r="Q456" s="4">
        <f>IFERROR(I456/H456,0)</f>
        <v>22.349879518072289</v>
      </c>
      <c r="R456" s="12">
        <f>IFERROR(J456/I456,0)</f>
        <v>8.957348628601002</v>
      </c>
      <c r="S456" s="7">
        <f>Tabla_nuevas_columnas[[#This Row],[ROAS]]</f>
        <v>8.957348628601002</v>
      </c>
      <c r="T456" t="str">
        <f>_xlfn.CONCAT(C456,"-",D456)</f>
        <v>Paid Search-España</v>
      </c>
      <c r="U456">
        <f>YEAR(A456)</f>
        <v>2025</v>
      </c>
      <c r="V456">
        <f>MONTH(A456)</f>
        <v>11</v>
      </c>
      <c r="W456" t="str">
        <f>PROPER(TEXT(A456,"mmmm"))</f>
        <v>Noviembre</v>
      </c>
      <c r="X456" t="str">
        <f>PROPER(TEXT(A456,"dddd"))</f>
        <v>Sábado</v>
      </c>
      <c r="Y456" t="str" cm="1">
        <f t="array" ref="Y456">_xlfn.IFS(R456&gt;10,"Excelente",R456&gt;=5,"Bueno",R456&gt;=2,"Débil",R456&lt;2,"Deficiente")</f>
        <v>Bueno</v>
      </c>
      <c r="Z456" t="str">
        <f>IF(AND(R456&lt;2,Q456&gt;=100),"Revisar","OK")</f>
        <v>OK</v>
      </c>
      <c r="AA456" s="55">
        <f>_xlfn.XLOOKUP(C456,'Preguntas de negocio'!$C$114:$C$119,'Preguntas de negocio'!$D$114:$D$119,0)</f>
        <v>5</v>
      </c>
      <c r="AB456" s="55">
        <f>VLOOKUP(C456,'Preguntas de negocio'!$C$121:$D$127,2,FALSE)</f>
        <v>1.1000000000000001</v>
      </c>
    </row>
    <row r="457" spans="1:28" x14ac:dyDescent="0.3">
      <c r="A457" s="1">
        <v>45853</v>
      </c>
      <c r="B457" s="2" t="s">
        <v>2617</v>
      </c>
      <c r="C457" s="2" t="s">
        <v>2543</v>
      </c>
      <c r="D457" s="2" t="s">
        <v>2525</v>
      </c>
      <c r="E457" s="2" t="s">
        <v>2529</v>
      </c>
      <c r="F457" s="3">
        <v>30254</v>
      </c>
      <c r="G457" s="3">
        <v>796</v>
      </c>
      <c r="H457" s="3">
        <v>80</v>
      </c>
      <c r="I457" s="4">
        <v>771.88</v>
      </c>
      <c r="J457" s="4">
        <v>16777.560000000001</v>
      </c>
      <c r="K457" s="3">
        <v>49</v>
      </c>
      <c r="L457" s="2" t="s">
        <v>2518</v>
      </c>
      <c r="M457" s="2" t="s">
        <v>2519</v>
      </c>
      <c r="N457" s="8">
        <f>IFERROR(G457/F457,0)</f>
        <v>2.6310570503073973E-2</v>
      </c>
      <c r="O457" s="8">
        <f>IFERROR(H457/G457,0)</f>
        <v>0.10050251256281408</v>
      </c>
      <c r="P457" s="4">
        <f>IFERROR(I457/G457,0)</f>
        <v>0.96969849246231155</v>
      </c>
      <c r="Q457" s="4">
        <f>IFERROR(I457/H457,0)</f>
        <v>9.6485000000000003</v>
      </c>
      <c r="R457" s="12">
        <f>IFERROR(J457/I457,0)</f>
        <v>21.735969321656217</v>
      </c>
      <c r="S457" s="7">
        <f>Tabla_nuevas_columnas[[#This Row],[ROAS]]</f>
        <v>21.735969321656217</v>
      </c>
      <c r="T457" t="str">
        <f>_xlfn.CONCAT(C457,"-",D457)</f>
        <v>Organic Social-Francia</v>
      </c>
      <c r="U457">
        <f>YEAR(A457)</f>
        <v>2025</v>
      </c>
      <c r="V457">
        <f>MONTH(A457)</f>
        <v>7</v>
      </c>
      <c r="W457" t="str">
        <f>PROPER(TEXT(A457,"mmmm"))</f>
        <v>Julio</v>
      </c>
      <c r="X457" t="str">
        <f>PROPER(TEXT(A457,"dddd"))</f>
        <v>Martes</v>
      </c>
      <c r="Y457" t="str" cm="1">
        <f t="array" ref="Y457">_xlfn.IFS(R457&gt;10,"Excelente",R457&gt;=5,"Bueno",R457&gt;=2,"Débil",R457&lt;2,"Deficiente")</f>
        <v>Excelente</v>
      </c>
      <c r="Z457" t="str">
        <f>IF(AND(R457&lt;2,Q457&gt;=100),"Revisar","OK")</f>
        <v>OK</v>
      </c>
      <c r="AA457" s="55">
        <f>_xlfn.XLOOKUP(C457,'Preguntas de negocio'!$C$114:$C$119,'Preguntas de negocio'!$D$114:$D$119,0)</f>
        <v>4</v>
      </c>
      <c r="AB457" s="55">
        <f>VLOOKUP(C457,'Preguntas de negocio'!$C$121:$D$127,2,FALSE)</f>
        <v>0.95</v>
      </c>
    </row>
    <row r="458" spans="1:28" x14ac:dyDescent="0.3">
      <c r="A458" s="1">
        <v>45775</v>
      </c>
      <c r="B458" s="2" t="s">
        <v>2629</v>
      </c>
      <c r="C458" s="2" t="s">
        <v>2533</v>
      </c>
      <c r="D458" s="2" t="s">
        <v>2528</v>
      </c>
      <c r="E458" s="2" t="s">
        <v>2517</v>
      </c>
      <c r="F458" s="3">
        <v>170054</v>
      </c>
      <c r="G458" s="3">
        <v>11704</v>
      </c>
      <c r="H458" s="3">
        <v>505</v>
      </c>
      <c r="I458" s="4">
        <v>20554.32</v>
      </c>
      <c r="J458" s="4">
        <v>10064.43</v>
      </c>
      <c r="K458" s="3">
        <v>446</v>
      </c>
      <c r="L458" s="2" t="s">
        <v>2518</v>
      </c>
      <c r="M458" s="2" t="s">
        <v>2519</v>
      </c>
      <c r="N458" s="8">
        <f>IFERROR(G458/F458,0)</f>
        <v>6.8825196702224006E-2</v>
      </c>
      <c r="O458" s="8">
        <f>IFERROR(H458/G458,0)</f>
        <v>4.3147641831852358E-2</v>
      </c>
      <c r="P458" s="4">
        <f>IFERROR(I458/G458,0)</f>
        <v>1.756179084073821</v>
      </c>
      <c r="Q458" s="4">
        <f>IFERROR(I458/H458,0)</f>
        <v>40.701623762376236</v>
      </c>
      <c r="R458" s="12">
        <f>IFERROR(J458/I458,0)</f>
        <v>0.48965035087514452</v>
      </c>
      <c r="S458" s="7">
        <f>Tabla_nuevas_columnas[[#This Row],[ROAS]]</f>
        <v>0.48965035087514452</v>
      </c>
      <c r="T458" t="str">
        <f>_xlfn.CONCAT(C458,"-",D458)</f>
        <v>Paid Social-España</v>
      </c>
      <c r="U458">
        <f>YEAR(A458)</f>
        <v>2025</v>
      </c>
      <c r="V458">
        <f>MONTH(A458)</f>
        <v>4</v>
      </c>
      <c r="W458" t="str">
        <f>PROPER(TEXT(A458,"mmmm"))</f>
        <v>Abril</v>
      </c>
      <c r="X458" t="str">
        <f>PROPER(TEXT(A458,"dddd"))</f>
        <v>Lunes</v>
      </c>
      <c r="Y458" t="str" cm="1">
        <f t="array" ref="Y458">_xlfn.IFS(R458&gt;10,"Excelente",R458&gt;=5,"Bueno",R458&gt;=2,"Débil",R458&lt;2,"Deficiente")</f>
        <v>Deficiente</v>
      </c>
      <c r="Z458" t="str">
        <f>IF(AND(R458&lt;2,Q458&gt;=100),"Revisar","OK")</f>
        <v>OK</v>
      </c>
      <c r="AA458" s="55">
        <f>_xlfn.XLOOKUP(C458,'Preguntas de negocio'!$C$114:$C$119,'Preguntas de negocio'!$D$114:$D$119,0)</f>
        <v>6</v>
      </c>
      <c r="AB458" s="55">
        <f>VLOOKUP(C458,'Preguntas de negocio'!$C$121:$D$127,2,FALSE)</f>
        <v>0.8</v>
      </c>
    </row>
    <row r="459" spans="1:28" x14ac:dyDescent="0.3">
      <c r="A459" s="1">
        <v>45786</v>
      </c>
      <c r="B459" s="2" t="s">
        <v>2618</v>
      </c>
      <c r="C459" s="2" t="s">
        <v>2515</v>
      </c>
      <c r="D459" s="2" t="s">
        <v>2528</v>
      </c>
      <c r="E459" s="2" t="s">
        <v>2517</v>
      </c>
      <c r="F459" s="3">
        <v>104176</v>
      </c>
      <c r="G459" s="3">
        <v>1171</v>
      </c>
      <c r="H459" s="3">
        <v>58</v>
      </c>
      <c r="I459" s="4">
        <v>2416.0500000000002</v>
      </c>
      <c r="J459" s="4">
        <v>9910.9599999999991</v>
      </c>
      <c r="K459" s="3">
        <v>40</v>
      </c>
      <c r="L459" s="2" t="s">
        <v>2523</v>
      </c>
      <c r="M459" s="2" t="s">
        <v>2519</v>
      </c>
      <c r="N459" s="8">
        <f>IFERROR(G459/F459,0)</f>
        <v>1.1240592842881278E-2</v>
      </c>
      <c r="O459" s="8">
        <f>IFERROR(H459/G459,0)</f>
        <v>4.9530315969257048E-2</v>
      </c>
      <c r="P459" s="4">
        <f>IFERROR(I459/G459,0)</f>
        <v>2.0632365499573018</v>
      </c>
      <c r="Q459" s="4">
        <f>IFERROR(I459/H459,0)</f>
        <v>41.656034482758621</v>
      </c>
      <c r="R459" s="12">
        <f>IFERROR(J459/I459,0)</f>
        <v>4.102133647896359</v>
      </c>
      <c r="S459" s="7">
        <f>Tabla_nuevas_columnas[[#This Row],[ROAS]]</f>
        <v>4.102133647896359</v>
      </c>
      <c r="T459" t="str">
        <f>_xlfn.CONCAT(C459,"-",D459)</f>
        <v>Email-España</v>
      </c>
      <c r="U459">
        <f>YEAR(A459)</f>
        <v>2025</v>
      </c>
      <c r="V459">
        <f>MONTH(A459)</f>
        <v>5</v>
      </c>
      <c r="W459" t="str">
        <f>PROPER(TEXT(A459,"mmmm"))</f>
        <v>Mayo</v>
      </c>
      <c r="X459" t="str">
        <f>PROPER(TEXT(A459,"dddd"))</f>
        <v>Viernes</v>
      </c>
      <c r="Y459" t="str" cm="1">
        <f t="array" ref="Y459">_xlfn.IFS(R459&gt;10,"Excelente",R459&gt;=5,"Bueno",R459&gt;=2,"Débil",R459&lt;2,"Deficiente")</f>
        <v>Débil</v>
      </c>
      <c r="Z459" t="str">
        <f>IF(AND(R459&lt;2,Q459&gt;=100),"Revisar","OK")</f>
        <v>OK</v>
      </c>
      <c r="AA459" s="55">
        <f>_xlfn.XLOOKUP(C459,'Preguntas de negocio'!$C$114:$C$119,'Preguntas de negocio'!$D$114:$D$119,0)</f>
        <v>5.5</v>
      </c>
      <c r="AB459" s="55">
        <f>VLOOKUP(C459,'Preguntas de negocio'!$C$121:$D$127,2,FALSE)</f>
        <v>0.65</v>
      </c>
    </row>
    <row r="460" spans="1:28" x14ac:dyDescent="0.3">
      <c r="A460" s="1">
        <v>45936</v>
      </c>
      <c r="B460" s="2" t="s">
        <v>2631</v>
      </c>
      <c r="C460" s="2" t="s">
        <v>2527</v>
      </c>
      <c r="D460" s="2" t="s">
        <v>2528</v>
      </c>
      <c r="E460" s="2" t="s">
        <v>2529</v>
      </c>
      <c r="F460" s="3">
        <v>102542</v>
      </c>
      <c r="G460" s="3">
        <v>8517</v>
      </c>
      <c r="H460" s="3">
        <v>670</v>
      </c>
      <c r="I460" s="4">
        <v>10658.49</v>
      </c>
      <c r="J460" s="4">
        <v>111826.33</v>
      </c>
      <c r="K460" s="3">
        <v>306</v>
      </c>
      <c r="L460" s="2" t="s">
        <v>2523</v>
      </c>
      <c r="M460" s="2" t="s">
        <v>2546</v>
      </c>
      <c r="N460" s="8">
        <f>IFERROR(G460/F460,0)</f>
        <v>8.3058649138889426E-2</v>
      </c>
      <c r="O460" s="8">
        <f>IFERROR(H460/G460,0)</f>
        <v>7.8666197017729242E-2</v>
      </c>
      <c r="P460" s="4">
        <f>IFERROR(I460/G460,0)</f>
        <v>1.2514371257485031</v>
      </c>
      <c r="Q460" s="4">
        <f>IFERROR(I460/H460,0)</f>
        <v>15.908194029850746</v>
      </c>
      <c r="R460" s="12">
        <f>IFERROR(J460/I460,0)</f>
        <v>10.491761028063076</v>
      </c>
      <c r="S460" s="7">
        <f>Tabla_nuevas_columnas[[#This Row],[ROAS]]</f>
        <v>10.491761028063076</v>
      </c>
      <c r="T460" t="str">
        <f>_xlfn.CONCAT(C460,"-",D460)</f>
        <v>Affiliate-España</v>
      </c>
      <c r="U460">
        <f>YEAR(A460)</f>
        <v>2025</v>
      </c>
      <c r="V460">
        <f>MONTH(A460)</f>
        <v>10</v>
      </c>
      <c r="W460" t="str">
        <f>PROPER(TEXT(A460,"mmmm"))</f>
        <v>Octubre</v>
      </c>
      <c r="X460" t="str">
        <f>PROPER(TEXT(A460,"dddd"))</f>
        <v>Lunes</v>
      </c>
      <c r="Y460" t="str" cm="1">
        <f t="array" ref="Y460">_xlfn.IFS(R460&gt;10,"Excelente",R460&gt;=5,"Bueno",R460&gt;=2,"Débil",R460&lt;2,"Deficiente")</f>
        <v>Excelente</v>
      </c>
      <c r="Z460" t="str">
        <f>IF(AND(R460&lt;2,Q460&gt;=100),"Revisar","OK")</f>
        <v>OK</v>
      </c>
      <c r="AA460" s="55">
        <f>_xlfn.XLOOKUP(C460,'Preguntas de negocio'!$C$114:$C$119,'Preguntas de negocio'!$D$114:$D$119,0)</f>
        <v>4.5</v>
      </c>
      <c r="AB460" s="55">
        <f>VLOOKUP(C460,'Preguntas de negocio'!$C$121:$D$127,2,FALSE)</f>
        <v>0.35</v>
      </c>
    </row>
    <row r="461" spans="1:28" x14ac:dyDescent="0.3">
      <c r="A461" s="1">
        <v>45688</v>
      </c>
      <c r="B461" s="2" t="s">
        <v>2639</v>
      </c>
      <c r="C461" s="2" t="s">
        <v>2527</v>
      </c>
      <c r="D461" s="2" t="s">
        <v>2528</v>
      </c>
      <c r="E461" s="2" t="s">
        <v>2517</v>
      </c>
      <c r="F461" s="3">
        <v>120231</v>
      </c>
      <c r="G461" s="3">
        <v>6423</v>
      </c>
      <c r="H461" s="3">
        <v>316</v>
      </c>
      <c r="I461" s="4">
        <v>6005.11</v>
      </c>
      <c r="J461" s="4">
        <v>63165.760000000002</v>
      </c>
      <c r="K461" s="3">
        <v>188</v>
      </c>
      <c r="L461" s="2" t="s">
        <v>2536</v>
      </c>
      <c r="M461" s="2" t="s">
        <v>2519</v>
      </c>
      <c r="N461" s="8">
        <f>IFERROR(G461/F461,0)</f>
        <v>5.3422162337500315E-2</v>
      </c>
      <c r="O461" s="8">
        <f>IFERROR(H461/G461,0)</f>
        <v>4.9198193990347187E-2</v>
      </c>
      <c r="P461" s="4">
        <f>IFERROR(I461/G461,0)</f>
        <v>0.93493850225751196</v>
      </c>
      <c r="Q461" s="4">
        <f>IFERROR(I461/H461,0)</f>
        <v>19.003512658227848</v>
      </c>
      <c r="R461" s="12">
        <f>IFERROR(J461/I461,0)</f>
        <v>10.518668267525491</v>
      </c>
      <c r="S461" s="7">
        <f>Tabla_nuevas_columnas[[#This Row],[ROAS]]</f>
        <v>10.518668267525491</v>
      </c>
      <c r="T461" t="str">
        <f>_xlfn.CONCAT(C461,"-",D461)</f>
        <v>Affiliate-España</v>
      </c>
      <c r="U461">
        <f>YEAR(A461)</f>
        <v>2025</v>
      </c>
      <c r="V461">
        <f>MONTH(A461)</f>
        <v>1</v>
      </c>
      <c r="W461" t="str">
        <f>PROPER(TEXT(A461,"mmmm"))</f>
        <v>Enero</v>
      </c>
      <c r="X461" t="str">
        <f>PROPER(TEXT(A461,"dddd"))</f>
        <v>Viernes</v>
      </c>
      <c r="Y461" t="str" cm="1">
        <f t="array" ref="Y461">_xlfn.IFS(R461&gt;10,"Excelente",R461&gt;=5,"Bueno",R461&gt;=2,"Débil",R461&lt;2,"Deficiente")</f>
        <v>Excelente</v>
      </c>
      <c r="Z461" t="str">
        <f>IF(AND(R461&lt;2,Q461&gt;=100),"Revisar","OK")</f>
        <v>OK</v>
      </c>
      <c r="AA461" s="55">
        <f>_xlfn.XLOOKUP(C461,'Preguntas de negocio'!$C$114:$C$119,'Preguntas de negocio'!$D$114:$D$119,0)</f>
        <v>4.5</v>
      </c>
      <c r="AB461" s="55">
        <f>VLOOKUP(C461,'Preguntas de negocio'!$C$121:$D$127,2,FALSE)</f>
        <v>0.35</v>
      </c>
    </row>
    <row r="462" spans="1:28" x14ac:dyDescent="0.3">
      <c r="A462" s="1">
        <v>45693</v>
      </c>
      <c r="B462" s="2" t="s">
        <v>2625</v>
      </c>
      <c r="C462" s="2" t="s">
        <v>2645</v>
      </c>
      <c r="D462" s="2" t="s">
        <v>2522</v>
      </c>
      <c r="E462" s="2" t="s">
        <v>2517</v>
      </c>
      <c r="F462" s="3">
        <v>52009</v>
      </c>
      <c r="G462" s="3">
        <v>1548</v>
      </c>
      <c r="H462" s="3">
        <v>203</v>
      </c>
      <c r="I462" s="4">
        <v>1936.84</v>
      </c>
      <c r="J462" s="4">
        <v>19790.669999999998</v>
      </c>
      <c r="K462" s="3">
        <v>158</v>
      </c>
      <c r="L462" s="2" t="s">
        <v>2536</v>
      </c>
      <c r="M462" s="2" t="s">
        <v>2546</v>
      </c>
      <c r="N462" s="8">
        <f>IFERROR(G462/F462,0)</f>
        <v>2.9764079293968352E-2</v>
      </c>
      <c r="O462" s="8">
        <f>IFERROR(H462/G462,0)</f>
        <v>0.13113695090439276</v>
      </c>
      <c r="P462" s="4">
        <f>IFERROR(I462/G462,0)</f>
        <v>1.2511886304909561</v>
      </c>
      <c r="Q462" s="4">
        <f>IFERROR(I462/H462,0)</f>
        <v>9.5410837438423641</v>
      </c>
      <c r="R462" s="12">
        <f>IFERROR(J462/I462,0)</f>
        <v>10.218020073934863</v>
      </c>
      <c r="S462" s="7">
        <f>Tabla_nuevas_columnas[[#This Row],[ROAS]]</f>
        <v>10.218020073934863</v>
      </c>
      <c r="T462" t="str">
        <f>_xlfn.CONCAT(C462,"-",D462)</f>
        <v>Por identificar-Italia</v>
      </c>
      <c r="U462">
        <f>YEAR(A462)</f>
        <v>2025</v>
      </c>
      <c r="V462">
        <f>MONTH(A462)</f>
        <v>2</v>
      </c>
      <c r="W462" t="str">
        <f>PROPER(TEXT(A462,"mmmm"))</f>
        <v>Febrero</v>
      </c>
      <c r="X462" t="str">
        <f>PROPER(TEXT(A462,"dddd"))</f>
        <v>Miércoles</v>
      </c>
      <c r="Y462" t="str" cm="1">
        <f t="array" ref="Y462">_xlfn.IFS(R462&gt;10,"Excelente",R462&gt;=5,"Bueno",R462&gt;=2,"Débil",R462&lt;2,"Deficiente")</f>
        <v>Excelente</v>
      </c>
      <c r="Z462" t="str">
        <f>IF(AND(R462&lt;2,Q462&gt;=100),"Revisar","OK")</f>
        <v>OK</v>
      </c>
      <c r="AA462" s="55">
        <f>_xlfn.XLOOKUP(C462,'Preguntas de negocio'!$C$114:$C$119,'Preguntas de negocio'!$D$114:$D$119,0)</f>
        <v>0</v>
      </c>
      <c r="AB462" s="55">
        <f>VLOOKUP(C462,'Preguntas de negocio'!$C$121:$D$127,2,FALSE)</f>
        <v>0</v>
      </c>
    </row>
    <row r="463" spans="1:28" x14ac:dyDescent="0.3">
      <c r="A463" s="1">
        <v>45900</v>
      </c>
      <c r="B463" s="2" t="s">
        <v>2634</v>
      </c>
      <c r="C463" s="2" t="s">
        <v>2527</v>
      </c>
      <c r="D463" s="2" t="s">
        <v>2528</v>
      </c>
      <c r="E463" s="2" t="s">
        <v>2534</v>
      </c>
      <c r="F463" s="3">
        <v>96760</v>
      </c>
      <c r="G463" s="3">
        <v>7031</v>
      </c>
      <c r="H463" s="3">
        <v>341</v>
      </c>
      <c r="I463" s="4">
        <v>12676.24</v>
      </c>
      <c r="J463" s="4">
        <v>41745.440000000002</v>
      </c>
      <c r="K463" s="3">
        <v>297</v>
      </c>
      <c r="L463" s="2" t="s">
        <v>2523</v>
      </c>
      <c r="M463" s="2" t="s">
        <v>2526</v>
      </c>
      <c r="N463" s="8">
        <f>IFERROR(G463/F463,0)</f>
        <v>7.2664324100868122E-2</v>
      </c>
      <c r="O463" s="8">
        <f>IFERROR(H463/G463,0)</f>
        <v>4.8499502204522829E-2</v>
      </c>
      <c r="P463" s="4">
        <f>IFERROR(I463/G463,0)</f>
        <v>1.8029071255866875</v>
      </c>
      <c r="Q463" s="4">
        <f>IFERROR(I463/H463,0)</f>
        <v>37.173724340175951</v>
      </c>
      <c r="R463" s="12">
        <f>IFERROR(J463/I463,0)</f>
        <v>3.2932036629158175</v>
      </c>
      <c r="S463" s="7">
        <f>Tabla_nuevas_columnas[[#This Row],[ROAS]]</f>
        <v>3.2932036629158175</v>
      </c>
      <c r="T463" t="str">
        <f>_xlfn.CONCAT(C463,"-",D463)</f>
        <v>Affiliate-España</v>
      </c>
      <c r="U463">
        <f>YEAR(A463)</f>
        <v>2025</v>
      </c>
      <c r="V463">
        <f>MONTH(A463)</f>
        <v>8</v>
      </c>
      <c r="W463" t="str">
        <f>PROPER(TEXT(A463,"mmmm"))</f>
        <v>Agosto</v>
      </c>
      <c r="X463" t="str">
        <f>PROPER(TEXT(A463,"dddd"))</f>
        <v>Domingo</v>
      </c>
      <c r="Y463" t="str" cm="1">
        <f t="array" ref="Y463">_xlfn.IFS(R463&gt;10,"Excelente",R463&gt;=5,"Bueno",R463&gt;=2,"Débil",R463&lt;2,"Deficiente")</f>
        <v>Débil</v>
      </c>
      <c r="Z463" t="str">
        <f>IF(AND(R463&lt;2,Q463&gt;=100),"Revisar","OK")</f>
        <v>OK</v>
      </c>
      <c r="AA463" s="55">
        <f>_xlfn.XLOOKUP(C463,'Preguntas de negocio'!$C$114:$C$119,'Preguntas de negocio'!$D$114:$D$119,0)</f>
        <v>4.5</v>
      </c>
      <c r="AB463" s="55">
        <f>VLOOKUP(C463,'Preguntas de negocio'!$C$121:$D$127,2,FALSE)</f>
        <v>0.35</v>
      </c>
    </row>
    <row r="464" spans="1:28" x14ac:dyDescent="0.3">
      <c r="A464" s="1">
        <v>45720</v>
      </c>
      <c r="B464" s="2" t="s">
        <v>2628</v>
      </c>
      <c r="C464" s="2" t="s">
        <v>2515</v>
      </c>
      <c r="D464" s="2" t="s">
        <v>2528</v>
      </c>
      <c r="E464" s="2" t="s">
        <v>2529</v>
      </c>
      <c r="F464" s="3">
        <v>51941</v>
      </c>
      <c r="G464" s="3">
        <v>1100</v>
      </c>
      <c r="H464" s="3">
        <v>107</v>
      </c>
      <c r="I464" s="4">
        <v>1030.4100000000001</v>
      </c>
      <c r="J464" s="4">
        <v>5595.7</v>
      </c>
      <c r="K464" s="3">
        <v>65</v>
      </c>
      <c r="L464" s="2" t="s">
        <v>2518</v>
      </c>
      <c r="M464" s="2" t="s">
        <v>2524</v>
      </c>
      <c r="N464" s="8">
        <f>IFERROR(G464/F464,0)</f>
        <v>2.1177874896517204E-2</v>
      </c>
      <c r="O464" s="8">
        <f>IFERROR(H464/G464,0)</f>
        <v>9.7272727272727275E-2</v>
      </c>
      <c r="P464" s="4">
        <f>IFERROR(I464/G464,0)</f>
        <v>0.9367363636363637</v>
      </c>
      <c r="Q464" s="4">
        <f>IFERROR(I464/H464,0)</f>
        <v>9.6300000000000008</v>
      </c>
      <c r="R464" s="12">
        <f>IFERROR(J464/I464,0)</f>
        <v>5.4305567686648999</v>
      </c>
      <c r="S464" s="7">
        <f>Tabla_nuevas_columnas[[#This Row],[ROAS]]</f>
        <v>5.4305567686648999</v>
      </c>
      <c r="T464" t="str">
        <f>_xlfn.CONCAT(C464,"-",D464)</f>
        <v>Email-España</v>
      </c>
      <c r="U464">
        <f>YEAR(A464)</f>
        <v>2025</v>
      </c>
      <c r="V464">
        <f>MONTH(A464)</f>
        <v>3</v>
      </c>
      <c r="W464" t="str">
        <f>PROPER(TEXT(A464,"mmmm"))</f>
        <v>Marzo</v>
      </c>
      <c r="X464" t="str">
        <f>PROPER(TEXT(A464,"dddd"))</f>
        <v>Martes</v>
      </c>
      <c r="Y464" t="str" cm="1">
        <f t="array" ref="Y464">_xlfn.IFS(R464&gt;10,"Excelente",R464&gt;=5,"Bueno",R464&gt;=2,"Débil",R464&lt;2,"Deficiente")</f>
        <v>Bueno</v>
      </c>
      <c r="Z464" t="str">
        <f>IF(AND(R464&lt;2,Q464&gt;=100),"Revisar","OK")</f>
        <v>OK</v>
      </c>
      <c r="AA464" s="55">
        <f>_xlfn.XLOOKUP(C464,'Preguntas de negocio'!$C$114:$C$119,'Preguntas de negocio'!$D$114:$D$119,0)</f>
        <v>5.5</v>
      </c>
      <c r="AB464" s="55">
        <f>VLOOKUP(C464,'Preguntas de negocio'!$C$121:$D$127,2,FALSE)</f>
        <v>0.65</v>
      </c>
    </row>
    <row r="465" spans="1:28" x14ac:dyDescent="0.3">
      <c r="A465" s="1">
        <v>45745</v>
      </c>
      <c r="B465" s="2" t="s">
        <v>2621</v>
      </c>
      <c r="C465" s="2" t="s">
        <v>2533</v>
      </c>
      <c r="D465" s="2" t="s">
        <v>2528</v>
      </c>
      <c r="E465" s="2" t="s">
        <v>2534</v>
      </c>
      <c r="F465" s="3">
        <v>165122</v>
      </c>
      <c r="G465" s="3">
        <v>1090</v>
      </c>
      <c r="H465" s="3">
        <v>59</v>
      </c>
      <c r="I465" s="4">
        <v>1829</v>
      </c>
      <c r="J465" s="4">
        <v>10940.79</v>
      </c>
      <c r="K465" s="3">
        <v>48</v>
      </c>
      <c r="L465" s="2" t="s">
        <v>2539</v>
      </c>
      <c r="M465" s="2" t="s">
        <v>2526</v>
      </c>
      <c r="N465" s="8">
        <f>IFERROR(G465/F465,0)</f>
        <v>6.6011797337726047E-3</v>
      </c>
      <c r="O465" s="8">
        <f>IFERROR(H465/G465,0)</f>
        <v>5.412844036697248E-2</v>
      </c>
      <c r="P465" s="4">
        <f>IFERROR(I465/G465,0)</f>
        <v>1.6779816513761467</v>
      </c>
      <c r="Q465" s="4">
        <f>IFERROR(I465/H465,0)</f>
        <v>31</v>
      </c>
      <c r="R465" s="12">
        <f>IFERROR(J465/I465,0)</f>
        <v>5.9818425369054129</v>
      </c>
      <c r="S465" s="7">
        <f>Tabla_nuevas_columnas[[#This Row],[ROAS]]</f>
        <v>5.9818425369054129</v>
      </c>
      <c r="T465" t="str">
        <f>_xlfn.CONCAT(C465,"-",D465)</f>
        <v>Paid Social-España</v>
      </c>
      <c r="U465">
        <f>YEAR(A465)</f>
        <v>2025</v>
      </c>
      <c r="V465">
        <f>MONTH(A465)</f>
        <v>3</v>
      </c>
      <c r="W465" t="str">
        <f>PROPER(TEXT(A465,"mmmm"))</f>
        <v>Marzo</v>
      </c>
      <c r="X465" t="str">
        <f>PROPER(TEXT(A465,"dddd"))</f>
        <v>Sábado</v>
      </c>
      <c r="Y465" t="str" cm="1">
        <f t="array" ref="Y465">_xlfn.IFS(R465&gt;10,"Excelente",R465&gt;=5,"Bueno",R465&gt;=2,"Débil",R465&lt;2,"Deficiente")</f>
        <v>Bueno</v>
      </c>
      <c r="Z465" t="str">
        <f>IF(AND(R465&lt;2,Q465&gt;=100),"Revisar","OK")</f>
        <v>OK</v>
      </c>
      <c r="AA465" s="55">
        <f>_xlfn.XLOOKUP(C465,'Preguntas de negocio'!$C$114:$C$119,'Preguntas de negocio'!$D$114:$D$119,0)</f>
        <v>6</v>
      </c>
      <c r="AB465" s="55">
        <f>VLOOKUP(C465,'Preguntas de negocio'!$C$121:$D$127,2,FALSE)</f>
        <v>0.8</v>
      </c>
    </row>
    <row r="466" spans="1:28" x14ac:dyDescent="0.3">
      <c r="A466" s="1">
        <v>45658</v>
      </c>
      <c r="B466" s="2" t="s">
        <v>2616</v>
      </c>
      <c r="C466" s="2" t="s">
        <v>2541</v>
      </c>
      <c r="D466" s="2" t="s">
        <v>2528</v>
      </c>
      <c r="E466" s="2" t="s">
        <v>2529</v>
      </c>
      <c r="F466" s="3">
        <v>67512</v>
      </c>
      <c r="G466" s="3">
        <v>1190</v>
      </c>
      <c r="H466" s="3">
        <v>71</v>
      </c>
      <c r="I466" s="4">
        <v>438.72</v>
      </c>
      <c r="J466" s="4">
        <v>7858.76</v>
      </c>
      <c r="K466" s="3">
        <v>40</v>
      </c>
      <c r="L466" s="2" t="s">
        <v>2518</v>
      </c>
      <c r="M466" s="2" t="s">
        <v>2519</v>
      </c>
      <c r="N466" s="8">
        <f>IFERROR(G466/F466,0)</f>
        <v>1.7626496030335347E-2</v>
      </c>
      <c r="O466" s="8">
        <f>IFERROR(H466/G466,0)</f>
        <v>5.9663865546218491E-2</v>
      </c>
      <c r="P466" s="4">
        <f>IFERROR(I466/G466,0)</f>
        <v>0.36867226890756305</v>
      </c>
      <c r="Q466" s="4">
        <f>IFERROR(I466/H466,0)</f>
        <v>6.1791549295774653</v>
      </c>
      <c r="R466" s="12">
        <f>IFERROR(J466/I466,0)</f>
        <v>17.912928519328958</v>
      </c>
      <c r="S466" s="7">
        <f>Tabla_nuevas_columnas[[#This Row],[ROAS]]</f>
        <v>17.912928519328958</v>
      </c>
      <c r="T466" t="str">
        <f>_xlfn.CONCAT(C466,"-",D466)</f>
        <v>Display-España</v>
      </c>
      <c r="U466">
        <f>YEAR(A466)</f>
        <v>2025</v>
      </c>
      <c r="V466">
        <f>MONTH(A466)</f>
        <v>1</v>
      </c>
      <c r="W466" t="str">
        <f>PROPER(TEXT(A466,"mmmm"))</f>
        <v>Enero</v>
      </c>
      <c r="X466" t="str">
        <f>PROPER(TEXT(A466,"dddd"))</f>
        <v>Miércoles</v>
      </c>
      <c r="Y466" t="str" cm="1">
        <f t="array" ref="Y466">_xlfn.IFS(R466&gt;10,"Excelente",R466&gt;=5,"Bueno",R466&gt;=2,"Débil",R466&lt;2,"Deficiente")</f>
        <v>Excelente</v>
      </c>
      <c r="Z466" t="str">
        <f>IF(AND(R466&lt;2,Q466&gt;=100),"Revisar","OK")</f>
        <v>OK</v>
      </c>
      <c r="AA466" s="55">
        <f>_xlfn.XLOOKUP(C466,'Preguntas de negocio'!$C$114:$C$119,'Preguntas de negocio'!$D$114:$D$119,0)</f>
        <v>5</v>
      </c>
      <c r="AB466" s="55">
        <f>VLOOKUP(C466,'Preguntas de negocio'!$C$121:$D$127,2,FALSE)</f>
        <v>0.5</v>
      </c>
    </row>
    <row r="467" spans="1:28" x14ac:dyDescent="0.3">
      <c r="A467" s="1">
        <v>45707</v>
      </c>
      <c r="B467" s="2" t="s">
        <v>2642</v>
      </c>
      <c r="C467" s="2" t="s">
        <v>2527</v>
      </c>
      <c r="D467" s="2" t="s">
        <v>2528</v>
      </c>
      <c r="E467" s="2" t="s">
        <v>2517</v>
      </c>
      <c r="F467" s="3">
        <v>12575</v>
      </c>
      <c r="G467" s="3">
        <v>906</v>
      </c>
      <c r="H467" s="3">
        <v>117</v>
      </c>
      <c r="I467" s="4">
        <v>903.69</v>
      </c>
      <c r="J467" s="4">
        <v>12176.09</v>
      </c>
      <c r="K467" s="3">
        <v>65</v>
      </c>
      <c r="L467" s="2" t="s">
        <v>2518</v>
      </c>
      <c r="M467" s="2" t="s">
        <v>2537</v>
      </c>
      <c r="N467" s="8">
        <f>IFERROR(G467/F467,0)</f>
        <v>7.2047713717693834E-2</v>
      </c>
      <c r="O467" s="8">
        <f>IFERROR(H467/G467,0)</f>
        <v>0.12913907284768211</v>
      </c>
      <c r="P467" s="4">
        <f>IFERROR(I467/G467,0)</f>
        <v>0.99745033112582793</v>
      </c>
      <c r="Q467" s="4">
        <f>IFERROR(I467/H467,0)</f>
        <v>7.7238461538461545</v>
      </c>
      <c r="R467" s="12">
        <f>IFERROR(J467/I467,0)</f>
        <v>13.473746528123582</v>
      </c>
      <c r="S467" s="7">
        <f>Tabla_nuevas_columnas[[#This Row],[ROAS]]</f>
        <v>13.473746528123582</v>
      </c>
      <c r="T467" t="str">
        <f>_xlfn.CONCAT(C467,"-",D467)</f>
        <v>Affiliate-España</v>
      </c>
      <c r="U467">
        <f>YEAR(A467)</f>
        <v>2025</v>
      </c>
      <c r="V467">
        <f>MONTH(A467)</f>
        <v>2</v>
      </c>
      <c r="W467" t="str">
        <f>PROPER(TEXT(A467,"mmmm"))</f>
        <v>Febrero</v>
      </c>
      <c r="X467" t="str">
        <f>PROPER(TEXT(A467,"dddd"))</f>
        <v>Miércoles</v>
      </c>
      <c r="Y467" t="str" cm="1">
        <f t="array" ref="Y467">_xlfn.IFS(R467&gt;10,"Excelente",R467&gt;=5,"Bueno",R467&gt;=2,"Débil",R467&lt;2,"Deficiente")</f>
        <v>Excelente</v>
      </c>
      <c r="Z467" t="str">
        <f>IF(AND(R467&lt;2,Q467&gt;=100),"Revisar","OK")</f>
        <v>OK</v>
      </c>
      <c r="AA467" s="55">
        <f>_xlfn.XLOOKUP(C467,'Preguntas de negocio'!$C$114:$C$119,'Preguntas de negocio'!$D$114:$D$119,0)</f>
        <v>4.5</v>
      </c>
      <c r="AB467" s="55">
        <f>VLOOKUP(C467,'Preguntas de negocio'!$C$121:$D$127,2,FALSE)</f>
        <v>0.35</v>
      </c>
    </row>
    <row r="468" spans="1:28" x14ac:dyDescent="0.3">
      <c r="A468" s="1">
        <v>45674</v>
      </c>
      <c r="B468" s="2" t="s">
        <v>2633</v>
      </c>
      <c r="C468" s="2" t="s">
        <v>2543</v>
      </c>
      <c r="D468" s="2" t="s">
        <v>2528</v>
      </c>
      <c r="E468" s="2" t="s">
        <v>2529</v>
      </c>
      <c r="F468" s="3">
        <v>38973</v>
      </c>
      <c r="G468" s="3">
        <v>2999</v>
      </c>
      <c r="H468" s="3">
        <v>60</v>
      </c>
      <c r="I468" s="4">
        <v>1961.62</v>
      </c>
      <c r="J468" s="4">
        <v>12565.59</v>
      </c>
      <c r="K468" s="3">
        <v>43</v>
      </c>
      <c r="L468" s="2" t="s">
        <v>2536</v>
      </c>
      <c r="M468" s="2" t="s">
        <v>2546</v>
      </c>
      <c r="N468" s="8">
        <f>IFERROR(G468/F468,0)</f>
        <v>7.6950709465527414E-2</v>
      </c>
      <c r="O468" s="8">
        <f>IFERROR(H468/G468,0)</f>
        <v>2.0006668889629875E-2</v>
      </c>
      <c r="P468" s="4">
        <f>IFERROR(I468/G468,0)</f>
        <v>0.65409136378792931</v>
      </c>
      <c r="Q468" s="4">
        <f>IFERROR(I468/H468,0)</f>
        <v>32.693666666666665</v>
      </c>
      <c r="R468" s="12">
        <f>IFERROR(J468/I468,0)</f>
        <v>6.4057207818027964</v>
      </c>
      <c r="S468" s="7">
        <f>Tabla_nuevas_columnas[[#This Row],[ROAS]]</f>
        <v>6.4057207818027964</v>
      </c>
      <c r="T468" t="str">
        <f>_xlfn.CONCAT(C468,"-",D468)</f>
        <v>Organic Social-España</v>
      </c>
      <c r="U468">
        <f>YEAR(A468)</f>
        <v>2025</v>
      </c>
      <c r="V468">
        <f>MONTH(A468)</f>
        <v>1</v>
      </c>
      <c r="W468" t="str">
        <f>PROPER(TEXT(A468,"mmmm"))</f>
        <v>Enero</v>
      </c>
      <c r="X468" t="str">
        <f>PROPER(TEXT(A468,"dddd"))</f>
        <v>Viernes</v>
      </c>
      <c r="Y468" t="str" cm="1">
        <f t="array" ref="Y468">_xlfn.IFS(R468&gt;10,"Excelente",R468&gt;=5,"Bueno",R468&gt;=2,"Débil",R468&lt;2,"Deficiente")</f>
        <v>Bueno</v>
      </c>
      <c r="Z468" t="str">
        <f>IF(AND(R468&lt;2,Q468&gt;=100),"Revisar","OK")</f>
        <v>OK</v>
      </c>
      <c r="AA468" s="55">
        <f>_xlfn.XLOOKUP(C468,'Preguntas de negocio'!$C$114:$C$119,'Preguntas de negocio'!$D$114:$D$119,0)</f>
        <v>4</v>
      </c>
      <c r="AB468" s="55">
        <f>VLOOKUP(C468,'Preguntas de negocio'!$C$121:$D$127,2,FALSE)</f>
        <v>0.95</v>
      </c>
    </row>
    <row r="469" spans="1:28" x14ac:dyDescent="0.3">
      <c r="A469" s="1">
        <v>45707</v>
      </c>
      <c r="B469" s="2" t="s">
        <v>2618</v>
      </c>
      <c r="C469" s="2" t="s">
        <v>2541</v>
      </c>
      <c r="D469" s="2" t="s">
        <v>2528</v>
      </c>
      <c r="E469" s="2" t="s">
        <v>2534</v>
      </c>
      <c r="F469" s="3">
        <v>77086</v>
      </c>
      <c r="G469" s="3">
        <v>2539</v>
      </c>
      <c r="H469" s="3">
        <v>145</v>
      </c>
      <c r="I469" s="4">
        <v>1838.19</v>
      </c>
      <c r="J469" s="4">
        <v>15663.22</v>
      </c>
      <c r="K469" s="3">
        <v>77</v>
      </c>
      <c r="L469" s="2" t="s">
        <v>2518</v>
      </c>
      <c r="M469" s="2" t="s">
        <v>2546</v>
      </c>
      <c r="N469" s="8">
        <f>IFERROR(G469/F469,0)</f>
        <v>3.2937238927950599E-2</v>
      </c>
      <c r="O469" s="8">
        <f>IFERROR(H469/G469,0)</f>
        <v>5.7109098070106341E-2</v>
      </c>
      <c r="P469" s="4">
        <f>IFERROR(I469/G469,0)</f>
        <v>0.72398188263095709</v>
      </c>
      <c r="Q469" s="4">
        <f>IFERROR(I469/H469,0)</f>
        <v>12.677172413793103</v>
      </c>
      <c r="R469" s="12">
        <f>IFERROR(J469/I469,0)</f>
        <v>8.5210016374803477</v>
      </c>
      <c r="S469" s="7">
        <f>Tabla_nuevas_columnas[[#This Row],[ROAS]]</f>
        <v>8.5210016374803477</v>
      </c>
      <c r="T469" t="str">
        <f>_xlfn.CONCAT(C469,"-",D469)</f>
        <v>Display-España</v>
      </c>
      <c r="U469">
        <f>YEAR(A469)</f>
        <v>2025</v>
      </c>
      <c r="V469">
        <f>MONTH(A469)</f>
        <v>2</v>
      </c>
      <c r="W469" t="str">
        <f>PROPER(TEXT(A469,"mmmm"))</f>
        <v>Febrero</v>
      </c>
      <c r="X469" t="str">
        <f>PROPER(TEXT(A469,"dddd"))</f>
        <v>Miércoles</v>
      </c>
      <c r="Y469" t="str" cm="1">
        <f t="array" ref="Y469">_xlfn.IFS(R469&gt;10,"Excelente",R469&gt;=5,"Bueno",R469&gt;=2,"Débil",R469&lt;2,"Deficiente")</f>
        <v>Bueno</v>
      </c>
      <c r="Z469" t="str">
        <f>IF(AND(R469&lt;2,Q469&gt;=100),"Revisar","OK")</f>
        <v>OK</v>
      </c>
      <c r="AA469" s="55">
        <f>_xlfn.XLOOKUP(C469,'Preguntas de negocio'!$C$114:$C$119,'Preguntas de negocio'!$D$114:$D$119,0)</f>
        <v>5</v>
      </c>
      <c r="AB469" s="55">
        <f>VLOOKUP(C469,'Preguntas de negocio'!$C$121:$D$127,2,FALSE)</f>
        <v>0.5</v>
      </c>
    </row>
    <row r="470" spans="1:28" x14ac:dyDescent="0.3">
      <c r="A470" s="1">
        <v>45785</v>
      </c>
      <c r="B470" s="2" t="s">
        <v>2634</v>
      </c>
      <c r="C470" s="2" t="s">
        <v>2541</v>
      </c>
      <c r="D470" s="2" t="s">
        <v>2528</v>
      </c>
      <c r="E470" s="2" t="s">
        <v>2517</v>
      </c>
      <c r="F470" s="3">
        <v>161276</v>
      </c>
      <c r="G470" s="3">
        <v>3955</v>
      </c>
      <c r="H470" s="3">
        <v>528</v>
      </c>
      <c r="I470" s="4">
        <v>3484.76</v>
      </c>
      <c r="J470" s="4">
        <v>105186.74</v>
      </c>
      <c r="K470" s="3">
        <v>361</v>
      </c>
      <c r="L470" s="2" t="s">
        <v>2523</v>
      </c>
      <c r="M470" s="2" t="s">
        <v>2546</v>
      </c>
      <c r="N470" s="8">
        <f>IFERROR(G470/F470,0)</f>
        <v>2.4523177658176045E-2</v>
      </c>
      <c r="O470" s="8">
        <f>IFERROR(H470/G470,0)</f>
        <v>0.13350189633375473</v>
      </c>
      <c r="P470" s="4">
        <f>IFERROR(I470/G470,0)</f>
        <v>0.88110240202275603</v>
      </c>
      <c r="Q470" s="4">
        <f>IFERROR(I470/H470,0)</f>
        <v>6.599924242424243</v>
      </c>
      <c r="R470" s="12">
        <f>IFERROR(J470/I470,0)</f>
        <v>30.184787474603702</v>
      </c>
      <c r="S470" s="7">
        <f>Tabla_nuevas_columnas[[#This Row],[ROAS]]</f>
        <v>30.184787474603702</v>
      </c>
      <c r="T470" t="str">
        <f>_xlfn.CONCAT(C470,"-",D470)</f>
        <v>Display-España</v>
      </c>
      <c r="U470">
        <f>YEAR(A470)</f>
        <v>2025</v>
      </c>
      <c r="V470">
        <f>MONTH(A470)</f>
        <v>5</v>
      </c>
      <c r="W470" t="str">
        <f>PROPER(TEXT(A470,"mmmm"))</f>
        <v>Mayo</v>
      </c>
      <c r="X470" t="str">
        <f>PROPER(TEXT(A470,"dddd"))</f>
        <v>Jueves</v>
      </c>
      <c r="Y470" t="str" cm="1">
        <f t="array" ref="Y470">_xlfn.IFS(R470&gt;10,"Excelente",R470&gt;=5,"Bueno",R470&gt;=2,"Débil",R470&lt;2,"Deficiente")</f>
        <v>Excelente</v>
      </c>
      <c r="Z470" t="str">
        <f>IF(AND(R470&lt;2,Q470&gt;=100),"Revisar","OK")</f>
        <v>OK</v>
      </c>
      <c r="AA470" s="55">
        <f>_xlfn.XLOOKUP(C470,'Preguntas de negocio'!$C$114:$C$119,'Preguntas de negocio'!$D$114:$D$119,0)</f>
        <v>5</v>
      </c>
      <c r="AB470" s="55">
        <f>VLOOKUP(C470,'Preguntas de negocio'!$C$121:$D$127,2,FALSE)</f>
        <v>0.5</v>
      </c>
    </row>
    <row r="471" spans="1:28" x14ac:dyDescent="0.3">
      <c r="A471" s="1">
        <v>45825</v>
      </c>
      <c r="B471" s="2" t="s">
        <v>2622</v>
      </c>
      <c r="C471" s="2" t="s">
        <v>2533</v>
      </c>
      <c r="D471" s="2" t="s">
        <v>2528</v>
      </c>
      <c r="E471" s="2" t="s">
        <v>2529</v>
      </c>
      <c r="F471" s="3">
        <v>26122</v>
      </c>
      <c r="G471" s="3">
        <v>499</v>
      </c>
      <c r="H471" s="3">
        <v>57</v>
      </c>
      <c r="I471" s="4">
        <v>293.72000000000003</v>
      </c>
      <c r="J471" s="4">
        <v>4039.17</v>
      </c>
      <c r="K471" s="3">
        <v>46</v>
      </c>
      <c r="L471" s="2" t="s">
        <v>2518</v>
      </c>
      <c r="M471" s="2" t="s">
        <v>2526</v>
      </c>
      <c r="N471" s="8">
        <f>IFERROR(G471/F471,0)</f>
        <v>1.9102672077176325E-2</v>
      </c>
      <c r="O471" s="8">
        <f>IFERROR(H471/G471,0)</f>
        <v>0.11422845691382766</v>
      </c>
      <c r="P471" s="4">
        <f>IFERROR(I471/G471,0)</f>
        <v>0.58861723446893788</v>
      </c>
      <c r="Q471" s="4">
        <f>IFERROR(I471/H471,0)</f>
        <v>5.152982456140351</v>
      </c>
      <c r="R471" s="12">
        <f>IFERROR(J471/I471,0)</f>
        <v>13.751770393572109</v>
      </c>
      <c r="S471" s="7">
        <f>Tabla_nuevas_columnas[[#This Row],[ROAS]]</f>
        <v>13.751770393572109</v>
      </c>
      <c r="T471" t="str">
        <f>_xlfn.CONCAT(C471,"-",D471)</f>
        <v>Paid Social-España</v>
      </c>
      <c r="U471">
        <f>YEAR(A471)</f>
        <v>2025</v>
      </c>
      <c r="V471">
        <f>MONTH(A471)</f>
        <v>6</v>
      </c>
      <c r="W471" t="str">
        <f>PROPER(TEXT(A471,"mmmm"))</f>
        <v>Junio</v>
      </c>
      <c r="X471" t="str">
        <f>PROPER(TEXT(A471,"dddd"))</f>
        <v>Martes</v>
      </c>
      <c r="Y471" t="str" cm="1">
        <f t="array" ref="Y471">_xlfn.IFS(R471&gt;10,"Excelente",R471&gt;=5,"Bueno",R471&gt;=2,"Débil",R471&lt;2,"Deficiente")</f>
        <v>Excelente</v>
      </c>
      <c r="Z471" t="str">
        <f>IF(AND(R471&lt;2,Q471&gt;=100),"Revisar","OK")</f>
        <v>OK</v>
      </c>
      <c r="AA471" s="55">
        <f>_xlfn.XLOOKUP(C471,'Preguntas de negocio'!$C$114:$C$119,'Preguntas de negocio'!$D$114:$D$119,0)</f>
        <v>6</v>
      </c>
      <c r="AB471" s="55">
        <f>VLOOKUP(C471,'Preguntas de negocio'!$C$121:$D$127,2,FALSE)</f>
        <v>0.8</v>
      </c>
    </row>
    <row r="472" spans="1:28" x14ac:dyDescent="0.3">
      <c r="A472" s="1">
        <v>45992</v>
      </c>
      <c r="B472" s="2" t="s">
        <v>2635</v>
      </c>
      <c r="C472" s="2" t="s">
        <v>2527</v>
      </c>
      <c r="D472" s="2" t="s">
        <v>2522</v>
      </c>
      <c r="E472" s="2" t="s">
        <v>2529</v>
      </c>
      <c r="F472" s="3">
        <v>42728</v>
      </c>
      <c r="G472" s="3">
        <v>3632</v>
      </c>
      <c r="H472" s="3">
        <v>355</v>
      </c>
      <c r="I472" s="4">
        <v>1449.5</v>
      </c>
      <c r="J472" s="4">
        <v>48137.66</v>
      </c>
      <c r="K472" s="3">
        <v>226</v>
      </c>
      <c r="L472" s="2" t="s">
        <v>2523</v>
      </c>
      <c r="M472" s="2" t="s">
        <v>2519</v>
      </c>
      <c r="N472" s="8">
        <f>IFERROR(G472/F472,0)</f>
        <v>8.5002808462834673E-2</v>
      </c>
      <c r="O472" s="8">
        <f>IFERROR(H472/G472,0)</f>
        <v>9.7742290748898675E-2</v>
      </c>
      <c r="P472" s="4">
        <f>IFERROR(I472/G472,0)</f>
        <v>0.39909140969162998</v>
      </c>
      <c r="Q472" s="4">
        <f>IFERROR(I472/H472,0)</f>
        <v>4.0830985915492954</v>
      </c>
      <c r="R472" s="12">
        <f>IFERROR(J472/I472,0)</f>
        <v>33.209837875129359</v>
      </c>
      <c r="S472" s="7">
        <f>Tabla_nuevas_columnas[[#This Row],[ROAS]]</f>
        <v>33.209837875129359</v>
      </c>
      <c r="T472" t="str">
        <f>_xlfn.CONCAT(C472,"-",D472)</f>
        <v>Affiliate-Italia</v>
      </c>
      <c r="U472">
        <f>YEAR(A472)</f>
        <v>2025</v>
      </c>
      <c r="V472">
        <f>MONTH(A472)</f>
        <v>12</v>
      </c>
      <c r="W472" t="str">
        <f>PROPER(TEXT(A472,"mmmm"))</f>
        <v>Diciembre</v>
      </c>
      <c r="X472" t="str">
        <f>PROPER(TEXT(A472,"dddd"))</f>
        <v>Lunes</v>
      </c>
      <c r="Y472" t="str" cm="1">
        <f t="array" ref="Y472">_xlfn.IFS(R472&gt;10,"Excelente",R472&gt;=5,"Bueno",R472&gt;=2,"Débil",R472&lt;2,"Deficiente")</f>
        <v>Excelente</v>
      </c>
      <c r="Z472" t="str">
        <f>IF(AND(R472&lt;2,Q472&gt;=100),"Revisar","OK")</f>
        <v>OK</v>
      </c>
      <c r="AA472" s="55">
        <f>_xlfn.XLOOKUP(C472,'Preguntas de negocio'!$C$114:$C$119,'Preguntas de negocio'!$D$114:$D$119,0)</f>
        <v>4.5</v>
      </c>
      <c r="AB472" s="55">
        <f>VLOOKUP(C472,'Preguntas de negocio'!$C$121:$D$127,2,FALSE)</f>
        <v>0.35</v>
      </c>
    </row>
    <row r="473" spans="1:28" x14ac:dyDescent="0.3">
      <c r="A473" s="1">
        <v>45857</v>
      </c>
      <c r="B473" s="2" t="s">
        <v>2642</v>
      </c>
      <c r="C473" s="2" t="s">
        <v>2527</v>
      </c>
      <c r="D473" s="2" t="s">
        <v>2531</v>
      </c>
      <c r="E473" s="2" t="s">
        <v>2529</v>
      </c>
      <c r="F473" s="3">
        <v>155371</v>
      </c>
      <c r="G473" s="3">
        <v>7786</v>
      </c>
      <c r="H473" s="3">
        <v>424</v>
      </c>
      <c r="I473" s="4">
        <v>8660.42</v>
      </c>
      <c r="J473" s="4">
        <v>47785.440000000002</v>
      </c>
      <c r="K473" s="3">
        <v>227</v>
      </c>
      <c r="L473" s="2" t="s">
        <v>2523</v>
      </c>
      <c r="M473" s="2" t="s">
        <v>2537</v>
      </c>
      <c r="N473" s="8">
        <f>IFERROR(G473/F473,0)</f>
        <v>5.0112311821382372E-2</v>
      </c>
      <c r="O473" s="8">
        <f>IFERROR(H473/G473,0)</f>
        <v>5.4456717184690473E-2</v>
      </c>
      <c r="P473" s="4">
        <f>IFERROR(I473/G473,0)</f>
        <v>1.112306704341125</v>
      </c>
      <c r="Q473" s="4">
        <f>IFERROR(I473/H473,0)</f>
        <v>20.425518867924527</v>
      </c>
      <c r="R473" s="12">
        <f>IFERROR(J473/I473,0)</f>
        <v>5.5176815905002297</v>
      </c>
      <c r="S473" s="7">
        <f>Tabla_nuevas_columnas[[#This Row],[ROAS]]</f>
        <v>5.5176815905002297</v>
      </c>
      <c r="T473" t="str">
        <f>_xlfn.CONCAT(C473,"-",D473)</f>
        <v>Affiliate-Portugal</v>
      </c>
      <c r="U473">
        <f>YEAR(A473)</f>
        <v>2025</v>
      </c>
      <c r="V473">
        <f>MONTH(A473)</f>
        <v>7</v>
      </c>
      <c r="W473" t="str">
        <f>PROPER(TEXT(A473,"mmmm"))</f>
        <v>Julio</v>
      </c>
      <c r="X473" t="str">
        <f>PROPER(TEXT(A473,"dddd"))</f>
        <v>Sábado</v>
      </c>
      <c r="Y473" t="str" cm="1">
        <f t="array" ref="Y473">_xlfn.IFS(R473&gt;10,"Excelente",R473&gt;=5,"Bueno",R473&gt;=2,"Débil",R473&lt;2,"Deficiente")</f>
        <v>Bueno</v>
      </c>
      <c r="Z473" t="str">
        <f>IF(AND(R473&lt;2,Q473&gt;=100),"Revisar","OK")</f>
        <v>OK</v>
      </c>
      <c r="AA473" s="55">
        <f>_xlfn.XLOOKUP(C473,'Preguntas de negocio'!$C$114:$C$119,'Preguntas de negocio'!$D$114:$D$119,0)</f>
        <v>4.5</v>
      </c>
      <c r="AB473" s="55">
        <f>VLOOKUP(C473,'Preguntas de negocio'!$C$121:$D$127,2,FALSE)</f>
        <v>0.35</v>
      </c>
    </row>
    <row r="474" spans="1:28" x14ac:dyDescent="0.3">
      <c r="A474" s="1">
        <v>46020</v>
      </c>
      <c r="B474" s="2" t="s">
        <v>2616</v>
      </c>
      <c r="C474" s="2" t="s">
        <v>2521</v>
      </c>
      <c r="D474" s="2" t="s">
        <v>2531</v>
      </c>
      <c r="E474" s="2" t="s">
        <v>2529</v>
      </c>
      <c r="F474" s="3">
        <v>65248</v>
      </c>
      <c r="G474" s="3">
        <v>3027</v>
      </c>
      <c r="H474" s="3">
        <v>334</v>
      </c>
      <c r="I474" s="4">
        <v>2988.37</v>
      </c>
      <c r="J474" s="4">
        <v>6309.75</v>
      </c>
      <c r="K474" s="3">
        <v>244</v>
      </c>
      <c r="L474" s="2" t="s">
        <v>2518</v>
      </c>
      <c r="M474" s="2" t="s">
        <v>2524</v>
      </c>
      <c r="N474" s="8">
        <f>IFERROR(G474/F474,0)</f>
        <v>4.6392226581657675E-2</v>
      </c>
      <c r="O474" s="8">
        <f>IFERROR(H474/G474,0)</f>
        <v>0.11034027089527584</v>
      </c>
      <c r="P474" s="4">
        <f>IFERROR(I474/G474,0)</f>
        <v>0.98723818962669307</v>
      </c>
      <c r="Q474" s="4">
        <f>IFERROR(I474/H474,0)</f>
        <v>8.9472155688622745</v>
      </c>
      <c r="R474" s="12">
        <f>IFERROR(J474/I474,0)</f>
        <v>2.1114353309663798</v>
      </c>
      <c r="S474" s="7">
        <f>Tabla_nuevas_columnas[[#This Row],[ROAS]]</f>
        <v>2.1114353309663798</v>
      </c>
      <c r="T474" t="str">
        <f>_xlfn.CONCAT(C474,"-",D474)</f>
        <v>Paid Search-Portugal</v>
      </c>
      <c r="U474">
        <f>YEAR(A474)</f>
        <v>2025</v>
      </c>
      <c r="V474">
        <f>MONTH(A474)</f>
        <v>12</v>
      </c>
      <c r="W474" t="str">
        <f>PROPER(TEXT(A474,"mmmm"))</f>
        <v>Diciembre</v>
      </c>
      <c r="X474" t="str">
        <f>PROPER(TEXT(A474,"dddd"))</f>
        <v>Lunes</v>
      </c>
      <c r="Y474" t="str" cm="1">
        <f t="array" ref="Y474">_xlfn.IFS(R474&gt;10,"Excelente",R474&gt;=5,"Bueno",R474&gt;=2,"Débil",R474&lt;2,"Deficiente")</f>
        <v>Débil</v>
      </c>
      <c r="Z474" t="str">
        <f>IF(AND(R474&lt;2,Q474&gt;=100),"Revisar","OK")</f>
        <v>OK</v>
      </c>
      <c r="AA474" s="55">
        <f>_xlfn.XLOOKUP(C474,'Preguntas de negocio'!$C$114:$C$119,'Preguntas de negocio'!$D$114:$D$119,0)</f>
        <v>5</v>
      </c>
      <c r="AB474" s="55">
        <f>VLOOKUP(C474,'Preguntas de negocio'!$C$121:$D$127,2,FALSE)</f>
        <v>1.1000000000000001</v>
      </c>
    </row>
    <row r="475" spans="1:28" x14ac:dyDescent="0.3">
      <c r="A475" s="1">
        <v>45829</v>
      </c>
      <c r="B475" s="2" t="s">
        <v>2632</v>
      </c>
      <c r="C475" s="2" t="s">
        <v>2533</v>
      </c>
      <c r="D475" s="2" t="s">
        <v>2525</v>
      </c>
      <c r="E475" s="2" t="s">
        <v>2529</v>
      </c>
      <c r="F475" s="3">
        <v>61936</v>
      </c>
      <c r="G475" s="3">
        <v>1364</v>
      </c>
      <c r="H475" s="3">
        <v>89</v>
      </c>
      <c r="I475" s="4">
        <v>1487.51</v>
      </c>
      <c r="J475" s="4">
        <v>1902.28</v>
      </c>
      <c r="K475" s="3">
        <v>43</v>
      </c>
      <c r="L475" s="2" t="s">
        <v>2536</v>
      </c>
      <c r="M475" s="2" t="s">
        <v>2526</v>
      </c>
      <c r="N475" s="8">
        <f>IFERROR(G475/F475,0)</f>
        <v>2.2022733143890468E-2</v>
      </c>
      <c r="O475" s="8">
        <f>IFERROR(H475/G475,0)</f>
        <v>6.5249266862170086E-2</v>
      </c>
      <c r="P475" s="4">
        <f>IFERROR(I475/G475,0)</f>
        <v>1.090549853372434</v>
      </c>
      <c r="Q475" s="4">
        <f>IFERROR(I475/H475,0)</f>
        <v>16.713595505617977</v>
      </c>
      <c r="R475" s="12">
        <f>IFERROR(J475/I475,0)</f>
        <v>1.2788351002682334</v>
      </c>
      <c r="S475" s="7">
        <f>Tabla_nuevas_columnas[[#This Row],[ROAS]]</f>
        <v>1.2788351002682334</v>
      </c>
      <c r="T475" t="str">
        <f>_xlfn.CONCAT(C475,"-",D475)</f>
        <v>Paid Social-Francia</v>
      </c>
      <c r="U475">
        <f>YEAR(A475)</f>
        <v>2025</v>
      </c>
      <c r="V475">
        <f>MONTH(A475)</f>
        <v>6</v>
      </c>
      <c r="W475" t="str">
        <f>PROPER(TEXT(A475,"mmmm"))</f>
        <v>Junio</v>
      </c>
      <c r="X475" t="str">
        <f>PROPER(TEXT(A475,"dddd"))</f>
        <v>Sábado</v>
      </c>
      <c r="Y475" t="str" cm="1">
        <f t="array" ref="Y475">_xlfn.IFS(R475&gt;10,"Excelente",R475&gt;=5,"Bueno",R475&gt;=2,"Débil",R475&lt;2,"Deficiente")</f>
        <v>Deficiente</v>
      </c>
      <c r="Z475" t="str">
        <f>IF(AND(R475&lt;2,Q475&gt;=100),"Revisar","OK")</f>
        <v>OK</v>
      </c>
      <c r="AA475" s="55">
        <f>_xlfn.XLOOKUP(C475,'Preguntas de negocio'!$C$114:$C$119,'Preguntas de negocio'!$D$114:$D$119,0)</f>
        <v>6</v>
      </c>
      <c r="AB475" s="55">
        <f>VLOOKUP(C475,'Preguntas de negocio'!$C$121:$D$127,2,FALSE)</f>
        <v>0.8</v>
      </c>
    </row>
    <row r="476" spans="1:28" x14ac:dyDescent="0.3">
      <c r="A476" s="1">
        <v>45712</v>
      </c>
      <c r="B476" s="2" t="s">
        <v>2619</v>
      </c>
      <c r="C476" s="2" t="s">
        <v>2521</v>
      </c>
      <c r="D476" s="2" t="s">
        <v>2531</v>
      </c>
      <c r="E476" s="2" t="s">
        <v>2529</v>
      </c>
      <c r="F476" s="3">
        <v>44658</v>
      </c>
      <c r="G476" s="3">
        <v>2818</v>
      </c>
      <c r="H476" s="3">
        <v>264</v>
      </c>
      <c r="I476" s="4">
        <v>1079.2</v>
      </c>
      <c r="J476" s="4">
        <v>26505.26</v>
      </c>
      <c r="K476" s="3">
        <v>189</v>
      </c>
      <c r="L476" s="2" t="s">
        <v>2539</v>
      </c>
      <c r="M476" s="2" t="s">
        <v>2519</v>
      </c>
      <c r="N476" s="8">
        <f>IFERROR(G476/F476,0)</f>
        <v>6.310179587084061E-2</v>
      </c>
      <c r="O476" s="8">
        <f>IFERROR(H476/G476,0)</f>
        <v>9.3683463449254795E-2</v>
      </c>
      <c r="P476" s="4">
        <f>IFERROR(I476/G476,0)</f>
        <v>0.38296664300922639</v>
      </c>
      <c r="Q476" s="4">
        <f>IFERROR(I476/H476,0)</f>
        <v>4.0878787878787879</v>
      </c>
      <c r="R476" s="12">
        <f>IFERROR(J476/I476,0)</f>
        <v>24.560100074128982</v>
      </c>
      <c r="S476" s="7">
        <f>Tabla_nuevas_columnas[[#This Row],[ROAS]]</f>
        <v>24.560100074128982</v>
      </c>
      <c r="T476" t="str">
        <f>_xlfn.CONCAT(C476,"-",D476)</f>
        <v>Paid Search-Portugal</v>
      </c>
      <c r="U476">
        <f>YEAR(A476)</f>
        <v>2025</v>
      </c>
      <c r="V476">
        <f>MONTH(A476)</f>
        <v>2</v>
      </c>
      <c r="W476" t="str">
        <f>PROPER(TEXT(A476,"mmmm"))</f>
        <v>Febrero</v>
      </c>
      <c r="X476" t="str">
        <f>PROPER(TEXT(A476,"dddd"))</f>
        <v>Lunes</v>
      </c>
      <c r="Y476" t="str" cm="1">
        <f t="array" ref="Y476">_xlfn.IFS(R476&gt;10,"Excelente",R476&gt;=5,"Bueno",R476&gt;=2,"Débil",R476&lt;2,"Deficiente")</f>
        <v>Excelente</v>
      </c>
      <c r="Z476" t="str">
        <f>IF(AND(R476&lt;2,Q476&gt;=100),"Revisar","OK")</f>
        <v>OK</v>
      </c>
      <c r="AA476" s="55">
        <f>_xlfn.XLOOKUP(C476,'Preguntas de negocio'!$C$114:$C$119,'Preguntas de negocio'!$D$114:$D$119,0)</f>
        <v>5</v>
      </c>
      <c r="AB476" s="55">
        <f>VLOOKUP(C476,'Preguntas de negocio'!$C$121:$D$127,2,FALSE)</f>
        <v>1.1000000000000001</v>
      </c>
    </row>
    <row r="477" spans="1:28" x14ac:dyDescent="0.3">
      <c r="A477" s="1">
        <v>45934</v>
      </c>
      <c r="B477" s="2" t="s">
        <v>2631</v>
      </c>
      <c r="C477" s="2" t="s">
        <v>2541</v>
      </c>
      <c r="D477" s="2" t="s">
        <v>2531</v>
      </c>
      <c r="E477" s="2" t="s">
        <v>2517</v>
      </c>
      <c r="F477" s="3">
        <v>56708</v>
      </c>
      <c r="G477" s="3">
        <v>3425</v>
      </c>
      <c r="H477" s="3">
        <v>422</v>
      </c>
      <c r="I477" s="4">
        <v>4545.7700000000004</v>
      </c>
      <c r="J477" s="4">
        <v>24376.52</v>
      </c>
      <c r="K477" s="3">
        <v>225</v>
      </c>
      <c r="L477" s="2" t="s">
        <v>2523</v>
      </c>
      <c r="M477" s="2" t="s">
        <v>2537</v>
      </c>
      <c r="N477" s="8">
        <f>IFERROR(G477/F477,0)</f>
        <v>6.0397122099174722E-2</v>
      </c>
      <c r="O477" s="8">
        <f>IFERROR(H477/G477,0)</f>
        <v>0.12321167883211678</v>
      </c>
      <c r="P477" s="4">
        <f>IFERROR(I477/G477,0)</f>
        <v>1.3272321167883212</v>
      </c>
      <c r="Q477" s="4">
        <f>IFERROR(I477/H477,0)</f>
        <v>10.771966824644551</v>
      </c>
      <c r="R477" s="12">
        <f>IFERROR(J477/I477,0)</f>
        <v>5.362462245120188</v>
      </c>
      <c r="S477" s="7">
        <f>Tabla_nuevas_columnas[[#This Row],[ROAS]]</f>
        <v>5.362462245120188</v>
      </c>
      <c r="T477" t="str">
        <f>_xlfn.CONCAT(C477,"-",D477)</f>
        <v>Display-Portugal</v>
      </c>
      <c r="U477">
        <f>YEAR(A477)</f>
        <v>2025</v>
      </c>
      <c r="V477">
        <f>MONTH(A477)</f>
        <v>10</v>
      </c>
      <c r="W477" t="str">
        <f>PROPER(TEXT(A477,"mmmm"))</f>
        <v>Octubre</v>
      </c>
      <c r="X477" t="str">
        <f>PROPER(TEXT(A477,"dddd"))</f>
        <v>Sábado</v>
      </c>
      <c r="Y477" t="str" cm="1">
        <f t="array" ref="Y477">_xlfn.IFS(R477&gt;10,"Excelente",R477&gt;=5,"Bueno",R477&gt;=2,"Débil",R477&lt;2,"Deficiente")</f>
        <v>Bueno</v>
      </c>
      <c r="Z477" t="str">
        <f>IF(AND(R477&lt;2,Q477&gt;=100),"Revisar","OK")</f>
        <v>OK</v>
      </c>
      <c r="AA477" s="55">
        <f>_xlfn.XLOOKUP(C477,'Preguntas de negocio'!$C$114:$C$119,'Preguntas de negocio'!$D$114:$D$119,0)</f>
        <v>5</v>
      </c>
      <c r="AB477" s="55">
        <f>VLOOKUP(C477,'Preguntas de negocio'!$C$121:$D$127,2,FALSE)</f>
        <v>0.5</v>
      </c>
    </row>
    <row r="478" spans="1:28" x14ac:dyDescent="0.3">
      <c r="A478" s="1">
        <v>45843</v>
      </c>
      <c r="B478" s="2" t="s">
        <v>2633</v>
      </c>
      <c r="C478" s="2" t="s">
        <v>2541</v>
      </c>
      <c r="D478" s="2" t="s">
        <v>2522</v>
      </c>
      <c r="E478" s="2" t="s">
        <v>2517</v>
      </c>
      <c r="F478" s="3">
        <v>38324</v>
      </c>
      <c r="G478" s="3">
        <v>1031</v>
      </c>
      <c r="H478" s="3">
        <v>130</v>
      </c>
      <c r="I478" s="4">
        <v>761.81</v>
      </c>
      <c r="J478" s="4">
        <v>16680.580000000002</v>
      </c>
      <c r="K478" s="3">
        <v>116</v>
      </c>
      <c r="L478" s="2" t="s">
        <v>2539</v>
      </c>
      <c r="M478" s="2" t="s">
        <v>2546</v>
      </c>
      <c r="N478" s="8">
        <f>IFERROR(G478/F478,0)</f>
        <v>2.6902202275336604E-2</v>
      </c>
      <c r="O478" s="8">
        <f>IFERROR(H478/G478,0)</f>
        <v>0.12609117361784675</v>
      </c>
      <c r="P478" s="4">
        <f>IFERROR(I478/G478,0)</f>
        <v>0.73890397672162944</v>
      </c>
      <c r="Q478" s="4">
        <f>IFERROR(I478/H478,0)</f>
        <v>5.8600769230769227</v>
      </c>
      <c r="R478" s="12">
        <f>IFERROR(J478/I478,0)</f>
        <v>21.895984563080038</v>
      </c>
      <c r="S478" s="7">
        <f>Tabla_nuevas_columnas[[#This Row],[ROAS]]</f>
        <v>21.895984563080038</v>
      </c>
      <c r="T478" t="str">
        <f>_xlfn.CONCAT(C478,"-",D478)</f>
        <v>Display-Italia</v>
      </c>
      <c r="U478">
        <f>YEAR(A478)</f>
        <v>2025</v>
      </c>
      <c r="V478">
        <f>MONTH(A478)</f>
        <v>7</v>
      </c>
      <c r="W478" t="str">
        <f>PROPER(TEXT(A478,"mmmm"))</f>
        <v>Julio</v>
      </c>
      <c r="X478" t="str">
        <f>PROPER(TEXT(A478,"dddd"))</f>
        <v>Sábado</v>
      </c>
      <c r="Y478" t="str" cm="1">
        <f t="array" ref="Y478">_xlfn.IFS(R478&gt;10,"Excelente",R478&gt;=5,"Bueno",R478&gt;=2,"Débil",R478&lt;2,"Deficiente")</f>
        <v>Excelente</v>
      </c>
      <c r="Z478" t="str">
        <f>IF(AND(R478&lt;2,Q478&gt;=100),"Revisar","OK")</f>
        <v>OK</v>
      </c>
      <c r="AA478" s="55">
        <f>_xlfn.XLOOKUP(C478,'Preguntas de negocio'!$C$114:$C$119,'Preguntas de negocio'!$D$114:$D$119,0)</f>
        <v>5</v>
      </c>
      <c r="AB478" s="55">
        <f>VLOOKUP(C478,'Preguntas de negocio'!$C$121:$D$127,2,FALSE)</f>
        <v>0.5</v>
      </c>
    </row>
    <row r="479" spans="1:28" x14ac:dyDescent="0.3">
      <c r="A479" s="1">
        <v>45695</v>
      </c>
      <c r="B479" s="2" t="s">
        <v>2624</v>
      </c>
      <c r="C479" s="2" t="s">
        <v>2515</v>
      </c>
      <c r="D479" s="2" t="s">
        <v>2528</v>
      </c>
      <c r="E479" s="2" t="s">
        <v>2517</v>
      </c>
      <c r="F479" s="3">
        <v>25936</v>
      </c>
      <c r="G479" s="3">
        <v>1810</v>
      </c>
      <c r="H479" s="3">
        <v>26</v>
      </c>
      <c r="I479" s="4">
        <v>3193.78</v>
      </c>
      <c r="J479" s="4">
        <v>3494.51</v>
      </c>
      <c r="K479" s="3">
        <v>16</v>
      </c>
      <c r="L479" s="2" t="s">
        <v>2536</v>
      </c>
      <c r="M479" s="2" t="s">
        <v>2546</v>
      </c>
      <c r="N479" s="8">
        <f>IFERROR(G479/F479,0)</f>
        <v>6.9787168414558912E-2</v>
      </c>
      <c r="O479" s="8">
        <f>IFERROR(H479/G479,0)</f>
        <v>1.4364640883977901E-2</v>
      </c>
      <c r="P479" s="4">
        <f>IFERROR(I479/G479,0)</f>
        <v>1.7645193370165746</v>
      </c>
      <c r="Q479" s="4">
        <f>IFERROR(I479/H479,0)</f>
        <v>122.83769230769232</v>
      </c>
      <c r="R479" s="12">
        <f>IFERROR(J479/I479,0)</f>
        <v>1.0941611507367446</v>
      </c>
      <c r="S479" s="7">
        <f>Tabla_nuevas_columnas[[#This Row],[ROAS]]</f>
        <v>1.0941611507367446</v>
      </c>
      <c r="T479" t="str">
        <f>_xlfn.CONCAT(C479,"-",D479)</f>
        <v>Email-España</v>
      </c>
      <c r="U479">
        <f>YEAR(A479)</f>
        <v>2025</v>
      </c>
      <c r="V479">
        <f>MONTH(A479)</f>
        <v>2</v>
      </c>
      <c r="W479" t="str">
        <f>PROPER(TEXT(A479,"mmmm"))</f>
        <v>Febrero</v>
      </c>
      <c r="X479" t="str">
        <f>PROPER(TEXT(A479,"dddd"))</f>
        <v>Viernes</v>
      </c>
      <c r="Y479" t="str" cm="1">
        <f t="array" ref="Y479">_xlfn.IFS(R479&gt;10,"Excelente",R479&gt;=5,"Bueno",R479&gt;=2,"Débil",R479&lt;2,"Deficiente")</f>
        <v>Deficiente</v>
      </c>
      <c r="Z479" t="str">
        <f>IF(AND(R479&lt;2,Q479&gt;=100),"Revisar","OK")</f>
        <v>Revisar</v>
      </c>
      <c r="AA479" s="55">
        <f>_xlfn.XLOOKUP(C479,'Preguntas de negocio'!$C$114:$C$119,'Preguntas de negocio'!$D$114:$D$119,0)</f>
        <v>5.5</v>
      </c>
      <c r="AB479" s="55">
        <f>VLOOKUP(C479,'Preguntas de negocio'!$C$121:$D$127,2,FALSE)</f>
        <v>0.65</v>
      </c>
    </row>
    <row r="480" spans="1:28" x14ac:dyDescent="0.3">
      <c r="A480" s="1">
        <v>45810</v>
      </c>
      <c r="B480" s="2" t="s">
        <v>2636</v>
      </c>
      <c r="C480" s="2" t="s">
        <v>2533</v>
      </c>
      <c r="D480" s="2" t="s">
        <v>2528</v>
      </c>
      <c r="E480" s="2" t="s">
        <v>2517</v>
      </c>
      <c r="F480" s="3">
        <v>11479</v>
      </c>
      <c r="G480" s="3">
        <v>669</v>
      </c>
      <c r="H480" s="3">
        <v>11</v>
      </c>
      <c r="I480" s="4">
        <v>384.59</v>
      </c>
      <c r="J480" s="4">
        <v>1251.18</v>
      </c>
      <c r="K480" s="3">
        <v>8</v>
      </c>
      <c r="L480" s="2" t="s">
        <v>2539</v>
      </c>
      <c r="M480" s="2" t="s">
        <v>2526</v>
      </c>
      <c r="N480" s="8">
        <f>IFERROR(G480/F480,0)</f>
        <v>5.8280338008537332E-2</v>
      </c>
      <c r="O480" s="8">
        <f>IFERROR(H480/G480,0)</f>
        <v>1.6442451420029897E-2</v>
      </c>
      <c r="P480" s="4">
        <f>IFERROR(I480/G480,0)</f>
        <v>0.57487294469357242</v>
      </c>
      <c r="Q480" s="4">
        <f>IFERROR(I480/H480,0)</f>
        <v>34.962727272727271</v>
      </c>
      <c r="R480" s="12">
        <f>IFERROR(J480/I480,0)</f>
        <v>3.2532827166592999</v>
      </c>
      <c r="S480" s="7">
        <f>Tabla_nuevas_columnas[[#This Row],[ROAS]]</f>
        <v>3.2532827166592999</v>
      </c>
      <c r="T480" t="str">
        <f>_xlfn.CONCAT(C480,"-",D480)</f>
        <v>Paid Social-España</v>
      </c>
      <c r="U480">
        <f>YEAR(A480)</f>
        <v>2025</v>
      </c>
      <c r="V480">
        <f>MONTH(A480)</f>
        <v>6</v>
      </c>
      <c r="W480" t="str">
        <f>PROPER(TEXT(A480,"mmmm"))</f>
        <v>Junio</v>
      </c>
      <c r="X480" t="str">
        <f>PROPER(TEXT(A480,"dddd"))</f>
        <v>Lunes</v>
      </c>
      <c r="Y480" t="str" cm="1">
        <f t="array" ref="Y480">_xlfn.IFS(R480&gt;10,"Excelente",R480&gt;=5,"Bueno",R480&gt;=2,"Débil",R480&lt;2,"Deficiente")</f>
        <v>Débil</v>
      </c>
      <c r="Z480" t="str">
        <f>IF(AND(R480&lt;2,Q480&gt;=100),"Revisar","OK")</f>
        <v>OK</v>
      </c>
      <c r="AA480" s="55">
        <f>_xlfn.XLOOKUP(C480,'Preguntas de negocio'!$C$114:$C$119,'Preguntas de negocio'!$D$114:$D$119,0)</f>
        <v>6</v>
      </c>
      <c r="AB480" s="55">
        <f>VLOOKUP(C480,'Preguntas de negocio'!$C$121:$D$127,2,FALSE)</f>
        <v>0.8</v>
      </c>
    </row>
    <row r="481" spans="1:28" x14ac:dyDescent="0.3">
      <c r="A481" s="1">
        <v>45870</v>
      </c>
      <c r="B481" s="2" t="s">
        <v>2637</v>
      </c>
      <c r="C481" s="2" t="s">
        <v>2521</v>
      </c>
      <c r="D481" s="2" t="s">
        <v>2528</v>
      </c>
      <c r="E481" s="2" t="s">
        <v>2529</v>
      </c>
      <c r="F481" s="3">
        <v>159787</v>
      </c>
      <c r="G481" s="3">
        <v>1884</v>
      </c>
      <c r="H481" s="3">
        <v>176</v>
      </c>
      <c r="I481" s="4">
        <v>1308.28</v>
      </c>
      <c r="J481" s="4">
        <v>12507.44</v>
      </c>
      <c r="K481" s="3">
        <v>106</v>
      </c>
      <c r="L481" s="2" t="s">
        <v>2536</v>
      </c>
      <c r="M481" s="2" t="s">
        <v>2519</v>
      </c>
      <c r="N481" s="8">
        <f>IFERROR(G481/F481,0)</f>
        <v>1.1790696364535287E-2</v>
      </c>
      <c r="O481" s="8">
        <f>IFERROR(H481/G481,0)</f>
        <v>9.3418259023354558E-2</v>
      </c>
      <c r="P481" s="4">
        <f>IFERROR(I481/G481,0)</f>
        <v>0.69441613588110407</v>
      </c>
      <c r="Q481" s="4">
        <f>IFERROR(I481/H481,0)</f>
        <v>7.4334090909090911</v>
      </c>
      <c r="R481" s="12">
        <f>IFERROR(J481/I481,0)</f>
        <v>9.560216467422876</v>
      </c>
      <c r="S481" s="7">
        <f>Tabla_nuevas_columnas[[#This Row],[ROAS]]</f>
        <v>9.560216467422876</v>
      </c>
      <c r="T481" t="str">
        <f>_xlfn.CONCAT(C481,"-",D481)</f>
        <v>Paid Search-España</v>
      </c>
      <c r="U481">
        <f>YEAR(A481)</f>
        <v>2025</v>
      </c>
      <c r="V481">
        <f>MONTH(A481)</f>
        <v>8</v>
      </c>
      <c r="W481" t="str">
        <f>PROPER(TEXT(A481,"mmmm"))</f>
        <v>Agosto</v>
      </c>
      <c r="X481" t="str">
        <f>PROPER(TEXT(A481,"dddd"))</f>
        <v>Viernes</v>
      </c>
      <c r="Y481" t="str" cm="1">
        <f t="array" ref="Y481">_xlfn.IFS(R481&gt;10,"Excelente",R481&gt;=5,"Bueno",R481&gt;=2,"Débil",R481&lt;2,"Deficiente")</f>
        <v>Bueno</v>
      </c>
      <c r="Z481" t="str">
        <f>IF(AND(R481&lt;2,Q481&gt;=100),"Revisar","OK")</f>
        <v>OK</v>
      </c>
      <c r="AA481" s="55">
        <f>_xlfn.XLOOKUP(C481,'Preguntas de negocio'!$C$114:$C$119,'Preguntas de negocio'!$D$114:$D$119,0)</f>
        <v>5</v>
      </c>
      <c r="AB481" s="55">
        <f>VLOOKUP(C481,'Preguntas de negocio'!$C$121:$D$127,2,FALSE)</f>
        <v>1.1000000000000001</v>
      </c>
    </row>
    <row r="482" spans="1:28" x14ac:dyDescent="0.3">
      <c r="A482" s="1">
        <v>45690</v>
      </c>
      <c r="B482" s="2" t="s">
        <v>2633</v>
      </c>
      <c r="C482" s="2" t="s">
        <v>2527</v>
      </c>
      <c r="D482" s="2" t="s">
        <v>2516</v>
      </c>
      <c r="E482" s="2" t="s">
        <v>2517</v>
      </c>
      <c r="F482" s="3">
        <v>136229</v>
      </c>
      <c r="G482" s="3">
        <v>5837</v>
      </c>
      <c r="H482" s="3">
        <v>472</v>
      </c>
      <c r="I482" s="4">
        <v>967.04</v>
      </c>
      <c r="J482" s="4">
        <v>84642.73</v>
      </c>
      <c r="K482" s="3">
        <v>246</v>
      </c>
      <c r="L482" s="2" t="s">
        <v>2518</v>
      </c>
      <c r="M482" s="2" t="s">
        <v>2546</v>
      </c>
      <c r="N482" s="8">
        <f>IFERROR(G482/F482,0)</f>
        <v>4.2846970909277762E-2</v>
      </c>
      <c r="O482" s="8">
        <f>IFERROR(H482/G482,0)</f>
        <v>8.0863457255439433E-2</v>
      </c>
      <c r="P482" s="4">
        <f>IFERROR(I482/G482,0)</f>
        <v>0.165674147678602</v>
      </c>
      <c r="Q482" s="4">
        <f>IFERROR(I482/H482,0)</f>
        <v>2.048813559322034</v>
      </c>
      <c r="R482" s="12">
        <f>IFERROR(J482/I482,0)</f>
        <v>87.527641048974189</v>
      </c>
      <c r="S482" s="7">
        <f>Tabla_nuevas_columnas[[#This Row],[ROAS]]</f>
        <v>87.527641048974189</v>
      </c>
      <c r="T482" t="str">
        <f>_xlfn.CONCAT(C482,"-",D482)</f>
        <v>Affiliate-México</v>
      </c>
      <c r="U482">
        <f>YEAR(A482)</f>
        <v>2025</v>
      </c>
      <c r="V482">
        <f>MONTH(A482)</f>
        <v>2</v>
      </c>
      <c r="W482" t="str">
        <f>PROPER(TEXT(A482,"mmmm"))</f>
        <v>Febrero</v>
      </c>
      <c r="X482" t="str">
        <f>PROPER(TEXT(A482,"dddd"))</f>
        <v>Domingo</v>
      </c>
      <c r="Y482" t="str" cm="1">
        <f t="array" ref="Y482">_xlfn.IFS(R482&gt;10,"Excelente",R482&gt;=5,"Bueno",R482&gt;=2,"Débil",R482&lt;2,"Deficiente")</f>
        <v>Excelente</v>
      </c>
      <c r="Z482" t="str">
        <f>IF(AND(R482&lt;2,Q482&gt;=100),"Revisar","OK")</f>
        <v>OK</v>
      </c>
      <c r="AA482" s="55">
        <f>_xlfn.XLOOKUP(C482,'Preguntas de negocio'!$C$114:$C$119,'Preguntas de negocio'!$D$114:$D$119,0)</f>
        <v>4.5</v>
      </c>
      <c r="AB482" s="55">
        <f>VLOOKUP(C482,'Preguntas de negocio'!$C$121:$D$127,2,FALSE)</f>
        <v>0.35</v>
      </c>
    </row>
    <row r="483" spans="1:28" x14ac:dyDescent="0.3">
      <c r="A483" s="1">
        <v>45727</v>
      </c>
      <c r="B483" s="2" t="s">
        <v>2620</v>
      </c>
      <c r="C483" s="2" t="s">
        <v>2515</v>
      </c>
      <c r="D483" s="2" t="s">
        <v>2525</v>
      </c>
      <c r="E483" s="2" t="s">
        <v>2529</v>
      </c>
      <c r="F483" s="3">
        <v>41781</v>
      </c>
      <c r="G483" s="3">
        <v>272</v>
      </c>
      <c r="H483" s="3">
        <v>25</v>
      </c>
      <c r="I483" s="4">
        <v>219.94</v>
      </c>
      <c r="J483" s="4">
        <v>2227.52</v>
      </c>
      <c r="K483" s="3">
        <v>12</v>
      </c>
      <c r="L483" s="2" t="s">
        <v>2539</v>
      </c>
      <c r="M483" s="2" t="s">
        <v>2524</v>
      </c>
      <c r="N483" s="8">
        <f>IFERROR(G483/F483,0)</f>
        <v>6.5101361863047795E-3</v>
      </c>
      <c r="O483" s="8">
        <f>IFERROR(H483/G483,0)</f>
        <v>9.1911764705882359E-2</v>
      </c>
      <c r="P483" s="4">
        <f>IFERROR(I483/G483,0)</f>
        <v>0.80860294117647058</v>
      </c>
      <c r="Q483" s="4">
        <f>IFERROR(I483/H483,0)</f>
        <v>8.7975999999999992</v>
      </c>
      <c r="R483" s="12">
        <f>IFERROR(J483/I483,0)</f>
        <v>10.127853050832044</v>
      </c>
      <c r="S483" s="7">
        <f>Tabla_nuevas_columnas[[#This Row],[ROAS]]</f>
        <v>10.127853050832044</v>
      </c>
      <c r="T483" t="str">
        <f>_xlfn.CONCAT(C483,"-",D483)</f>
        <v>Email-Francia</v>
      </c>
      <c r="U483">
        <f>YEAR(A483)</f>
        <v>2025</v>
      </c>
      <c r="V483">
        <f>MONTH(A483)</f>
        <v>3</v>
      </c>
      <c r="W483" t="str">
        <f>PROPER(TEXT(A483,"mmmm"))</f>
        <v>Marzo</v>
      </c>
      <c r="X483" t="str">
        <f>PROPER(TEXT(A483,"dddd"))</f>
        <v>Martes</v>
      </c>
      <c r="Y483" t="str" cm="1">
        <f t="array" ref="Y483">_xlfn.IFS(R483&gt;10,"Excelente",R483&gt;=5,"Bueno",R483&gt;=2,"Débil",R483&lt;2,"Deficiente")</f>
        <v>Excelente</v>
      </c>
      <c r="Z483" t="str">
        <f>IF(AND(R483&lt;2,Q483&gt;=100),"Revisar","OK")</f>
        <v>OK</v>
      </c>
      <c r="AA483" s="55">
        <f>_xlfn.XLOOKUP(C483,'Preguntas de negocio'!$C$114:$C$119,'Preguntas de negocio'!$D$114:$D$119,0)</f>
        <v>5.5</v>
      </c>
      <c r="AB483" s="55">
        <f>VLOOKUP(C483,'Preguntas de negocio'!$C$121:$D$127,2,FALSE)</f>
        <v>0.65</v>
      </c>
    </row>
    <row r="484" spans="1:28" x14ac:dyDescent="0.3">
      <c r="A484" s="1">
        <v>45914</v>
      </c>
      <c r="B484" s="2" t="s">
        <v>2627</v>
      </c>
      <c r="C484" s="2" t="s">
        <v>2527</v>
      </c>
      <c r="D484" s="2" t="s">
        <v>2528</v>
      </c>
      <c r="E484" s="2" t="s">
        <v>2529</v>
      </c>
      <c r="F484" s="3">
        <v>135739</v>
      </c>
      <c r="G484" s="3">
        <v>783</v>
      </c>
      <c r="H484" s="3">
        <v>28</v>
      </c>
      <c r="I484" s="4">
        <v>722.91</v>
      </c>
      <c r="J484" s="4">
        <v>2220.9899999999998</v>
      </c>
      <c r="K484" s="3">
        <v>25</v>
      </c>
      <c r="L484" s="2" t="s">
        <v>2539</v>
      </c>
      <c r="M484" s="2" t="s">
        <v>2537</v>
      </c>
      <c r="N484" s="8">
        <f>IFERROR(G484/F484,0)</f>
        <v>5.768423223981317E-3</v>
      </c>
      <c r="O484" s="8">
        <f>IFERROR(H484/G484,0)</f>
        <v>3.5759897828863345E-2</v>
      </c>
      <c r="P484" s="4">
        <f>IFERROR(I484/G484,0)</f>
        <v>0.92325670498084289</v>
      </c>
      <c r="Q484" s="4">
        <f>IFERROR(I484/H484,0)</f>
        <v>25.818214285714284</v>
      </c>
      <c r="R484" s="12">
        <f>IFERROR(J484/I484,0)</f>
        <v>3.0722911565755071</v>
      </c>
      <c r="S484" s="7">
        <f>Tabla_nuevas_columnas[[#This Row],[ROAS]]</f>
        <v>3.0722911565755071</v>
      </c>
      <c r="T484" t="str">
        <f>_xlfn.CONCAT(C484,"-",D484)</f>
        <v>Affiliate-España</v>
      </c>
      <c r="U484">
        <f>YEAR(A484)</f>
        <v>2025</v>
      </c>
      <c r="V484">
        <f>MONTH(A484)</f>
        <v>9</v>
      </c>
      <c r="W484" t="str">
        <f>PROPER(TEXT(A484,"mmmm"))</f>
        <v>Septiembre</v>
      </c>
      <c r="X484" t="str">
        <f>PROPER(TEXT(A484,"dddd"))</f>
        <v>Domingo</v>
      </c>
      <c r="Y484" t="str" cm="1">
        <f t="array" ref="Y484">_xlfn.IFS(R484&gt;10,"Excelente",R484&gt;=5,"Bueno",R484&gt;=2,"Débil",R484&lt;2,"Deficiente")</f>
        <v>Débil</v>
      </c>
      <c r="Z484" t="str">
        <f>IF(AND(R484&lt;2,Q484&gt;=100),"Revisar","OK")</f>
        <v>OK</v>
      </c>
      <c r="AA484" s="55">
        <f>_xlfn.XLOOKUP(C484,'Preguntas de negocio'!$C$114:$C$119,'Preguntas de negocio'!$D$114:$D$119,0)</f>
        <v>4.5</v>
      </c>
      <c r="AB484" s="55">
        <f>VLOOKUP(C484,'Preguntas de negocio'!$C$121:$D$127,2,FALSE)</f>
        <v>0.35</v>
      </c>
    </row>
    <row r="485" spans="1:28" x14ac:dyDescent="0.3">
      <c r="A485" s="1">
        <v>45891</v>
      </c>
      <c r="B485" s="2" t="s">
        <v>2639</v>
      </c>
      <c r="C485" s="2" t="s">
        <v>2543</v>
      </c>
      <c r="D485" s="2" t="s">
        <v>2528</v>
      </c>
      <c r="E485" s="2" t="s">
        <v>2529</v>
      </c>
      <c r="F485" s="3">
        <v>163288</v>
      </c>
      <c r="G485" s="3">
        <v>883</v>
      </c>
      <c r="H485" s="3">
        <v>13</v>
      </c>
      <c r="I485" s="4">
        <v>1118.72</v>
      </c>
      <c r="J485" s="4">
        <v>1169.25</v>
      </c>
      <c r="K485" s="3">
        <v>11</v>
      </c>
      <c r="L485" s="2" t="s">
        <v>2536</v>
      </c>
      <c r="M485" s="2" t="s">
        <v>2524</v>
      </c>
      <c r="N485" s="8">
        <f>IFERROR(G485/F485,0)</f>
        <v>5.407623340355691E-3</v>
      </c>
      <c r="O485" s="8">
        <f>IFERROR(H485/G485,0)</f>
        <v>1.4722536806342015E-2</v>
      </c>
      <c r="P485" s="4">
        <f>IFERROR(I485/G485,0)</f>
        <v>1.2669535673839185</v>
      </c>
      <c r="Q485" s="4">
        <f>IFERROR(I485/H485,0)</f>
        <v>86.055384615384611</v>
      </c>
      <c r="R485" s="12">
        <f>IFERROR(J485/I485,0)</f>
        <v>1.0451676916475972</v>
      </c>
      <c r="S485" s="7">
        <f>Tabla_nuevas_columnas[[#This Row],[ROAS]]</f>
        <v>1.0451676916475972</v>
      </c>
      <c r="T485" t="str">
        <f>_xlfn.CONCAT(C485,"-",D485)</f>
        <v>Organic Social-España</v>
      </c>
      <c r="U485">
        <f>YEAR(A485)</f>
        <v>2025</v>
      </c>
      <c r="V485">
        <f>MONTH(A485)</f>
        <v>8</v>
      </c>
      <c r="W485" t="str">
        <f>PROPER(TEXT(A485,"mmmm"))</f>
        <v>Agosto</v>
      </c>
      <c r="X485" t="str">
        <f>PROPER(TEXT(A485,"dddd"))</f>
        <v>Viernes</v>
      </c>
      <c r="Y485" t="str" cm="1">
        <f t="array" ref="Y485">_xlfn.IFS(R485&gt;10,"Excelente",R485&gt;=5,"Bueno",R485&gt;=2,"Débil",R485&lt;2,"Deficiente")</f>
        <v>Deficiente</v>
      </c>
      <c r="Z485" t="str">
        <f>IF(AND(R485&lt;2,Q485&gt;=100),"Revisar","OK")</f>
        <v>OK</v>
      </c>
      <c r="AA485" s="55">
        <f>_xlfn.XLOOKUP(C485,'Preguntas de negocio'!$C$114:$C$119,'Preguntas de negocio'!$D$114:$D$119,0)</f>
        <v>4</v>
      </c>
      <c r="AB485" s="55">
        <f>VLOOKUP(C485,'Preguntas de negocio'!$C$121:$D$127,2,FALSE)</f>
        <v>0.95</v>
      </c>
    </row>
    <row r="486" spans="1:28" x14ac:dyDescent="0.3">
      <c r="A486" s="1">
        <v>46020</v>
      </c>
      <c r="B486" s="2" t="s">
        <v>2615</v>
      </c>
      <c r="C486" s="2" t="s">
        <v>2527</v>
      </c>
      <c r="D486" s="2" t="s">
        <v>2528</v>
      </c>
      <c r="E486" s="2" t="s">
        <v>2534</v>
      </c>
      <c r="F486" s="3">
        <v>73742</v>
      </c>
      <c r="G486" s="3">
        <v>6254</v>
      </c>
      <c r="H486" s="3">
        <v>417</v>
      </c>
      <c r="I486" s="4">
        <v>5231.8900000000003</v>
      </c>
      <c r="J486" s="4">
        <v>73521</v>
      </c>
      <c r="K486" s="3">
        <v>320</v>
      </c>
      <c r="L486" s="2" t="s">
        <v>2539</v>
      </c>
      <c r="M486" s="2" t="s">
        <v>2546</v>
      </c>
      <c r="N486" s="8">
        <f>IFERROR(G486/F486,0)</f>
        <v>8.480919964199507E-2</v>
      </c>
      <c r="O486" s="8">
        <f>IFERROR(H486/G486,0)</f>
        <v>6.6677326511032933E-2</v>
      </c>
      <c r="P486" s="4">
        <f>IFERROR(I486/G486,0)</f>
        <v>0.83656699712184213</v>
      </c>
      <c r="Q486" s="4">
        <f>IFERROR(I486/H486,0)</f>
        <v>12.546498800959233</v>
      </c>
      <c r="R486" s="12">
        <f>IFERROR(J486/I486,0)</f>
        <v>14.052474344835231</v>
      </c>
      <c r="S486" s="7">
        <f>Tabla_nuevas_columnas[[#This Row],[ROAS]]</f>
        <v>14.052474344835231</v>
      </c>
      <c r="T486" t="str">
        <f>_xlfn.CONCAT(C486,"-",D486)</f>
        <v>Affiliate-España</v>
      </c>
      <c r="U486">
        <f>YEAR(A486)</f>
        <v>2025</v>
      </c>
      <c r="V486">
        <f>MONTH(A486)</f>
        <v>12</v>
      </c>
      <c r="W486" t="str">
        <f>PROPER(TEXT(A486,"mmmm"))</f>
        <v>Diciembre</v>
      </c>
      <c r="X486" t="str">
        <f>PROPER(TEXT(A486,"dddd"))</f>
        <v>Lunes</v>
      </c>
      <c r="Y486" t="str" cm="1">
        <f t="array" ref="Y486">_xlfn.IFS(R486&gt;10,"Excelente",R486&gt;=5,"Bueno",R486&gt;=2,"Débil",R486&lt;2,"Deficiente")</f>
        <v>Excelente</v>
      </c>
      <c r="Z486" t="str">
        <f>IF(AND(R486&lt;2,Q486&gt;=100),"Revisar","OK")</f>
        <v>OK</v>
      </c>
      <c r="AA486" s="55">
        <f>_xlfn.XLOOKUP(C486,'Preguntas de negocio'!$C$114:$C$119,'Preguntas de negocio'!$D$114:$D$119,0)</f>
        <v>4.5</v>
      </c>
      <c r="AB486" s="55">
        <f>VLOOKUP(C486,'Preguntas de negocio'!$C$121:$D$127,2,FALSE)</f>
        <v>0.35</v>
      </c>
    </row>
    <row r="487" spans="1:28" x14ac:dyDescent="0.3">
      <c r="A487" s="1">
        <v>45802</v>
      </c>
      <c r="B487" s="2" t="s">
        <v>2635</v>
      </c>
      <c r="C487" s="2" t="s">
        <v>2521</v>
      </c>
      <c r="D487" s="2" t="s">
        <v>2528</v>
      </c>
      <c r="E487" s="2" t="s">
        <v>2529</v>
      </c>
      <c r="F487" s="3">
        <v>130689</v>
      </c>
      <c r="G487" s="3">
        <v>4848</v>
      </c>
      <c r="H487" s="3">
        <v>540</v>
      </c>
      <c r="I487" s="4">
        <v>8562.3700000000008</v>
      </c>
      <c r="J487" s="4">
        <v>85967.47</v>
      </c>
      <c r="K487" s="3">
        <v>451</v>
      </c>
      <c r="L487" s="2" t="s">
        <v>2539</v>
      </c>
      <c r="M487" s="2" t="s">
        <v>2524</v>
      </c>
      <c r="N487" s="8">
        <f>IFERROR(G487/F487,0)</f>
        <v>3.7095700479764938E-2</v>
      </c>
      <c r="O487" s="8">
        <f>IFERROR(H487/G487,0)</f>
        <v>0.11138613861386139</v>
      </c>
      <c r="P487" s="4">
        <f>IFERROR(I487/G487,0)</f>
        <v>1.7661654290429045</v>
      </c>
      <c r="Q487" s="4">
        <f>IFERROR(I487/H487,0)</f>
        <v>15.856240740740743</v>
      </c>
      <c r="R487" s="12">
        <f>IFERROR(J487/I487,0)</f>
        <v>10.040148930728291</v>
      </c>
      <c r="S487" s="7">
        <f>Tabla_nuevas_columnas[[#This Row],[ROAS]]</f>
        <v>10.040148930728291</v>
      </c>
      <c r="T487" t="str">
        <f>_xlfn.CONCAT(C487,"-",D487)</f>
        <v>Paid Search-España</v>
      </c>
      <c r="U487">
        <f>YEAR(A487)</f>
        <v>2025</v>
      </c>
      <c r="V487">
        <f>MONTH(A487)</f>
        <v>5</v>
      </c>
      <c r="W487" t="str">
        <f>PROPER(TEXT(A487,"mmmm"))</f>
        <v>Mayo</v>
      </c>
      <c r="X487" t="str">
        <f>PROPER(TEXT(A487,"dddd"))</f>
        <v>Domingo</v>
      </c>
      <c r="Y487" t="str" cm="1">
        <f t="array" ref="Y487">_xlfn.IFS(R487&gt;10,"Excelente",R487&gt;=5,"Bueno",R487&gt;=2,"Débil",R487&lt;2,"Deficiente")</f>
        <v>Excelente</v>
      </c>
      <c r="Z487" t="str">
        <f>IF(AND(R487&lt;2,Q487&gt;=100),"Revisar","OK")</f>
        <v>OK</v>
      </c>
      <c r="AA487" s="55">
        <f>_xlfn.XLOOKUP(C487,'Preguntas de negocio'!$C$114:$C$119,'Preguntas de negocio'!$D$114:$D$119,0)</f>
        <v>5</v>
      </c>
      <c r="AB487" s="55">
        <f>VLOOKUP(C487,'Preguntas de negocio'!$C$121:$D$127,2,FALSE)</f>
        <v>1.1000000000000001</v>
      </c>
    </row>
    <row r="488" spans="1:28" x14ac:dyDescent="0.3">
      <c r="A488" s="1">
        <v>45946</v>
      </c>
      <c r="B488" s="2" t="s">
        <v>2633</v>
      </c>
      <c r="C488" s="2" t="s">
        <v>2541</v>
      </c>
      <c r="D488" s="2" t="s">
        <v>2525</v>
      </c>
      <c r="E488" s="2" t="s">
        <v>2529</v>
      </c>
      <c r="F488" s="3">
        <v>61410</v>
      </c>
      <c r="G488" s="3">
        <v>1129</v>
      </c>
      <c r="H488" s="3">
        <v>124</v>
      </c>
      <c r="I488" s="4">
        <v>2034.74</v>
      </c>
      <c r="J488" s="4">
        <v>17273.48</v>
      </c>
      <c r="K488" s="3">
        <v>101</v>
      </c>
      <c r="L488" s="2" t="s">
        <v>2539</v>
      </c>
      <c r="M488" s="2" t="s">
        <v>2546</v>
      </c>
      <c r="N488" s="8">
        <f>IFERROR(G488/F488,0)</f>
        <v>1.8384627910763719E-2</v>
      </c>
      <c r="O488" s="8">
        <f>IFERROR(H488/G488,0)</f>
        <v>0.10983170947741364</v>
      </c>
      <c r="P488" s="4">
        <f>IFERROR(I488/G488,0)</f>
        <v>1.8022497785651019</v>
      </c>
      <c r="Q488" s="4">
        <f>IFERROR(I488/H488,0)</f>
        <v>16.409193548387098</v>
      </c>
      <c r="R488" s="12">
        <f>IFERROR(J488/I488,0)</f>
        <v>8.4892811858026089</v>
      </c>
      <c r="S488" s="7">
        <f>Tabla_nuevas_columnas[[#This Row],[ROAS]]</f>
        <v>8.4892811858026089</v>
      </c>
      <c r="T488" t="str">
        <f>_xlfn.CONCAT(C488,"-",D488)</f>
        <v>Display-Francia</v>
      </c>
      <c r="U488">
        <f>YEAR(A488)</f>
        <v>2025</v>
      </c>
      <c r="V488">
        <f>MONTH(A488)</f>
        <v>10</v>
      </c>
      <c r="W488" t="str">
        <f>PROPER(TEXT(A488,"mmmm"))</f>
        <v>Octubre</v>
      </c>
      <c r="X488" t="str">
        <f>PROPER(TEXT(A488,"dddd"))</f>
        <v>Jueves</v>
      </c>
      <c r="Y488" t="str" cm="1">
        <f t="array" ref="Y488">_xlfn.IFS(R488&gt;10,"Excelente",R488&gt;=5,"Bueno",R488&gt;=2,"Débil",R488&lt;2,"Deficiente")</f>
        <v>Bueno</v>
      </c>
      <c r="Z488" t="str">
        <f>IF(AND(R488&lt;2,Q488&gt;=100),"Revisar","OK")</f>
        <v>OK</v>
      </c>
      <c r="AA488" s="55">
        <f>_xlfn.XLOOKUP(C488,'Preguntas de negocio'!$C$114:$C$119,'Preguntas de negocio'!$D$114:$D$119,0)</f>
        <v>5</v>
      </c>
      <c r="AB488" s="55">
        <f>VLOOKUP(C488,'Preguntas de negocio'!$C$121:$D$127,2,FALSE)</f>
        <v>0.5</v>
      </c>
    </row>
    <row r="489" spans="1:28" x14ac:dyDescent="0.3">
      <c r="A489" s="1">
        <v>45995</v>
      </c>
      <c r="B489" s="2" t="s">
        <v>2643</v>
      </c>
      <c r="C489" s="2" t="s">
        <v>2521</v>
      </c>
      <c r="D489" s="2" t="s">
        <v>2528</v>
      </c>
      <c r="E489" s="2" t="s">
        <v>2517</v>
      </c>
      <c r="F489" s="3">
        <v>21153</v>
      </c>
      <c r="G489" s="3">
        <v>1088</v>
      </c>
      <c r="H489" s="3">
        <v>128</v>
      </c>
      <c r="I489" s="4">
        <v>357.9</v>
      </c>
      <c r="J489" s="4">
        <v>24785.87</v>
      </c>
      <c r="K489" s="3">
        <v>63</v>
      </c>
      <c r="L489" s="2" t="s">
        <v>2518</v>
      </c>
      <c r="M489" s="2" t="s">
        <v>2519</v>
      </c>
      <c r="N489" s="8">
        <f>IFERROR(G489/F489,0)</f>
        <v>5.1434784664113838E-2</v>
      </c>
      <c r="O489" s="8">
        <f>IFERROR(H489/G489,0)</f>
        <v>0.11764705882352941</v>
      </c>
      <c r="P489" s="4">
        <f>IFERROR(I489/G489,0)</f>
        <v>0.32895220588235291</v>
      </c>
      <c r="Q489" s="4">
        <f>IFERROR(I489/H489,0)</f>
        <v>2.7960937499999998</v>
      </c>
      <c r="R489" s="12">
        <f>IFERROR(J489/I489,0)</f>
        <v>69.253618329142213</v>
      </c>
      <c r="S489" s="7">
        <f>Tabla_nuevas_columnas[[#This Row],[ROAS]]</f>
        <v>69.253618329142213</v>
      </c>
      <c r="T489" t="str">
        <f>_xlfn.CONCAT(C489,"-",D489)</f>
        <v>Paid Search-España</v>
      </c>
      <c r="U489">
        <f>YEAR(A489)</f>
        <v>2025</v>
      </c>
      <c r="V489">
        <f>MONTH(A489)</f>
        <v>12</v>
      </c>
      <c r="W489" t="str">
        <f>PROPER(TEXT(A489,"mmmm"))</f>
        <v>Diciembre</v>
      </c>
      <c r="X489" t="str">
        <f>PROPER(TEXT(A489,"dddd"))</f>
        <v>Jueves</v>
      </c>
      <c r="Y489" t="str" cm="1">
        <f t="array" ref="Y489">_xlfn.IFS(R489&gt;10,"Excelente",R489&gt;=5,"Bueno",R489&gt;=2,"Débil",R489&lt;2,"Deficiente")</f>
        <v>Excelente</v>
      </c>
      <c r="Z489" t="str">
        <f>IF(AND(R489&lt;2,Q489&gt;=100),"Revisar","OK")</f>
        <v>OK</v>
      </c>
      <c r="AA489" s="55">
        <f>_xlfn.XLOOKUP(C489,'Preguntas de negocio'!$C$114:$C$119,'Preguntas de negocio'!$D$114:$D$119,0)</f>
        <v>5</v>
      </c>
      <c r="AB489" s="55">
        <f>VLOOKUP(C489,'Preguntas de negocio'!$C$121:$D$127,2,FALSE)</f>
        <v>1.1000000000000001</v>
      </c>
    </row>
    <row r="490" spans="1:28" x14ac:dyDescent="0.3">
      <c r="A490" s="1">
        <v>45857</v>
      </c>
      <c r="B490" s="2" t="s">
        <v>2621</v>
      </c>
      <c r="C490" s="2" t="s">
        <v>2521</v>
      </c>
      <c r="D490" s="2" t="s">
        <v>2525</v>
      </c>
      <c r="E490" s="2" t="s">
        <v>2529</v>
      </c>
      <c r="F490" s="3">
        <v>25155</v>
      </c>
      <c r="G490" s="3">
        <v>1326</v>
      </c>
      <c r="H490" s="3">
        <v>108</v>
      </c>
      <c r="I490" s="4">
        <v>2782.88</v>
      </c>
      <c r="J490" s="4">
        <v>8925.0499999999993</v>
      </c>
      <c r="K490" s="3">
        <v>81</v>
      </c>
      <c r="L490" s="2" t="s">
        <v>2539</v>
      </c>
      <c r="M490" s="2" t="s">
        <v>2546</v>
      </c>
      <c r="N490" s="8">
        <f>IFERROR(G490/F490,0)</f>
        <v>5.2713178294573643E-2</v>
      </c>
      <c r="O490" s="8">
        <f>IFERROR(H490/G490,0)</f>
        <v>8.1447963800904979E-2</v>
      </c>
      <c r="P490" s="4">
        <f>IFERROR(I490/G490,0)</f>
        <v>2.0987028657616893</v>
      </c>
      <c r="Q490" s="4">
        <f>IFERROR(I490/H490,0)</f>
        <v>25.767407407407408</v>
      </c>
      <c r="R490" s="12">
        <f>IFERROR(J490/I490,0)</f>
        <v>3.2071271488529867</v>
      </c>
      <c r="S490" s="7">
        <f>Tabla_nuevas_columnas[[#This Row],[ROAS]]</f>
        <v>3.2071271488529867</v>
      </c>
      <c r="T490" t="str">
        <f>_xlfn.CONCAT(C490,"-",D490)</f>
        <v>Paid Search-Francia</v>
      </c>
      <c r="U490">
        <f>YEAR(A490)</f>
        <v>2025</v>
      </c>
      <c r="V490">
        <f>MONTH(A490)</f>
        <v>7</v>
      </c>
      <c r="W490" t="str">
        <f>PROPER(TEXT(A490,"mmmm"))</f>
        <v>Julio</v>
      </c>
      <c r="X490" t="str">
        <f>PROPER(TEXT(A490,"dddd"))</f>
        <v>Sábado</v>
      </c>
      <c r="Y490" t="str" cm="1">
        <f t="array" ref="Y490">_xlfn.IFS(R490&gt;10,"Excelente",R490&gt;=5,"Bueno",R490&gt;=2,"Débil",R490&lt;2,"Deficiente")</f>
        <v>Débil</v>
      </c>
      <c r="Z490" t="str">
        <f>IF(AND(R490&lt;2,Q490&gt;=100),"Revisar","OK")</f>
        <v>OK</v>
      </c>
      <c r="AA490" s="55">
        <f>_xlfn.XLOOKUP(C490,'Preguntas de negocio'!$C$114:$C$119,'Preguntas de negocio'!$D$114:$D$119,0)</f>
        <v>5</v>
      </c>
      <c r="AB490" s="55">
        <f>VLOOKUP(C490,'Preguntas de negocio'!$C$121:$D$127,2,FALSE)</f>
        <v>1.1000000000000001</v>
      </c>
    </row>
    <row r="491" spans="1:28" x14ac:dyDescent="0.3">
      <c r="A491" s="1">
        <v>45832</v>
      </c>
      <c r="B491" s="2" t="s">
        <v>2626</v>
      </c>
      <c r="C491" s="2" t="s">
        <v>2527</v>
      </c>
      <c r="D491" s="2" t="s">
        <v>2516</v>
      </c>
      <c r="E491" s="2" t="s">
        <v>2517</v>
      </c>
      <c r="F491" s="3">
        <v>49264</v>
      </c>
      <c r="G491" s="3">
        <v>1923</v>
      </c>
      <c r="H491" s="3">
        <v>34</v>
      </c>
      <c r="I491" s="4">
        <v>2500.38</v>
      </c>
      <c r="J491" s="4">
        <v>2200.38</v>
      </c>
      <c r="K491" s="3">
        <v>29</v>
      </c>
      <c r="L491" s="2" t="s">
        <v>2518</v>
      </c>
      <c r="M491" s="2" t="s">
        <v>2537</v>
      </c>
      <c r="N491" s="8">
        <f>IFERROR(G491/F491,0)</f>
        <v>3.9034589152322184E-2</v>
      </c>
      <c r="O491" s="8">
        <f>IFERROR(H491/G491,0)</f>
        <v>1.7680707228289131E-2</v>
      </c>
      <c r="P491" s="4">
        <f>IFERROR(I491/G491,0)</f>
        <v>1.3002496099843994</v>
      </c>
      <c r="Q491" s="4">
        <f>IFERROR(I491/H491,0)</f>
        <v>73.540588235294123</v>
      </c>
      <c r="R491" s="12">
        <f>IFERROR(J491/I491,0)</f>
        <v>0.88001823722794137</v>
      </c>
      <c r="S491" s="7">
        <f>Tabla_nuevas_columnas[[#This Row],[ROAS]]</f>
        <v>0.88001823722794137</v>
      </c>
      <c r="T491" t="str">
        <f>_xlfn.CONCAT(C491,"-",D491)</f>
        <v>Affiliate-México</v>
      </c>
      <c r="U491">
        <f>YEAR(A491)</f>
        <v>2025</v>
      </c>
      <c r="V491">
        <f>MONTH(A491)</f>
        <v>6</v>
      </c>
      <c r="W491" t="str">
        <f>PROPER(TEXT(A491,"mmmm"))</f>
        <v>Junio</v>
      </c>
      <c r="X491" t="str">
        <f>PROPER(TEXT(A491,"dddd"))</f>
        <v>Martes</v>
      </c>
      <c r="Y491" t="str" cm="1">
        <f t="array" ref="Y491">_xlfn.IFS(R491&gt;10,"Excelente",R491&gt;=5,"Bueno",R491&gt;=2,"Débil",R491&lt;2,"Deficiente")</f>
        <v>Deficiente</v>
      </c>
      <c r="Z491" t="str">
        <f>IF(AND(R491&lt;2,Q491&gt;=100),"Revisar","OK")</f>
        <v>OK</v>
      </c>
      <c r="AA491" s="55">
        <f>_xlfn.XLOOKUP(C491,'Preguntas de negocio'!$C$114:$C$119,'Preguntas de negocio'!$D$114:$D$119,0)</f>
        <v>4.5</v>
      </c>
      <c r="AB491" s="55">
        <f>VLOOKUP(C491,'Preguntas de negocio'!$C$121:$D$127,2,FALSE)</f>
        <v>0.35</v>
      </c>
    </row>
    <row r="492" spans="1:28" x14ac:dyDescent="0.3">
      <c r="A492" s="1">
        <v>45912</v>
      </c>
      <c r="B492" s="2" t="s">
        <v>2641</v>
      </c>
      <c r="C492" s="2" t="s">
        <v>2533</v>
      </c>
      <c r="D492" s="2" t="s">
        <v>2528</v>
      </c>
      <c r="E492" s="2" t="s">
        <v>2529</v>
      </c>
      <c r="F492" s="3">
        <v>165221</v>
      </c>
      <c r="G492" s="3">
        <v>7412</v>
      </c>
      <c r="H492" s="3">
        <v>528</v>
      </c>
      <c r="I492" s="4">
        <v>8552.2800000000007</v>
      </c>
      <c r="J492" s="4">
        <v>43921.9</v>
      </c>
      <c r="K492" s="3">
        <v>424</v>
      </c>
      <c r="L492" s="2" t="s">
        <v>2539</v>
      </c>
      <c r="M492" s="2" t="s">
        <v>2546</v>
      </c>
      <c r="N492" s="8">
        <f>IFERROR(G492/F492,0)</f>
        <v>4.4861125401734647E-2</v>
      </c>
      <c r="O492" s="8">
        <f>IFERROR(H492/G492,0)</f>
        <v>7.1235833783054509E-2</v>
      </c>
      <c r="P492" s="4">
        <f>IFERROR(I492/G492,0)</f>
        <v>1.1538424177010254</v>
      </c>
      <c r="Q492" s="4">
        <f>IFERROR(I492/H492,0)</f>
        <v>16.197500000000002</v>
      </c>
      <c r="R492" s="12">
        <f>IFERROR(J492/I492,0)</f>
        <v>5.1356948088696814</v>
      </c>
      <c r="S492" s="7">
        <f>Tabla_nuevas_columnas[[#This Row],[ROAS]]</f>
        <v>5.1356948088696814</v>
      </c>
      <c r="T492" t="str">
        <f>_xlfn.CONCAT(C492,"-",D492)</f>
        <v>Paid Social-España</v>
      </c>
      <c r="U492">
        <f>YEAR(A492)</f>
        <v>2025</v>
      </c>
      <c r="V492">
        <f>MONTH(A492)</f>
        <v>9</v>
      </c>
      <c r="W492" t="str">
        <f>PROPER(TEXT(A492,"mmmm"))</f>
        <v>Septiembre</v>
      </c>
      <c r="X492" t="str">
        <f>PROPER(TEXT(A492,"dddd"))</f>
        <v>Viernes</v>
      </c>
      <c r="Y492" t="str" cm="1">
        <f t="array" ref="Y492">_xlfn.IFS(R492&gt;10,"Excelente",R492&gt;=5,"Bueno",R492&gt;=2,"Débil",R492&lt;2,"Deficiente")</f>
        <v>Bueno</v>
      </c>
      <c r="Z492" t="str">
        <f>IF(AND(R492&lt;2,Q492&gt;=100),"Revisar","OK")</f>
        <v>OK</v>
      </c>
      <c r="AA492" s="55">
        <f>_xlfn.XLOOKUP(C492,'Preguntas de negocio'!$C$114:$C$119,'Preguntas de negocio'!$D$114:$D$119,0)</f>
        <v>6</v>
      </c>
      <c r="AB492" s="55">
        <f>VLOOKUP(C492,'Preguntas de negocio'!$C$121:$D$127,2,FALSE)</f>
        <v>0.8</v>
      </c>
    </row>
    <row r="493" spans="1:28" x14ac:dyDescent="0.3">
      <c r="A493" s="1">
        <v>45815</v>
      </c>
      <c r="B493" s="2" t="s">
        <v>2633</v>
      </c>
      <c r="C493" s="2" t="s">
        <v>2533</v>
      </c>
      <c r="D493" s="2" t="s">
        <v>2528</v>
      </c>
      <c r="E493" s="2" t="s">
        <v>2517</v>
      </c>
      <c r="F493" s="3">
        <v>98100</v>
      </c>
      <c r="G493" s="3">
        <v>4941</v>
      </c>
      <c r="H493" s="3">
        <v>56</v>
      </c>
      <c r="I493" s="4">
        <v>7871.56</v>
      </c>
      <c r="J493" s="4">
        <v>10234.19</v>
      </c>
      <c r="K493" s="3">
        <v>27</v>
      </c>
      <c r="L493" s="2" t="s">
        <v>2539</v>
      </c>
      <c r="M493" s="2" t="s">
        <v>2546</v>
      </c>
      <c r="N493" s="8">
        <f>IFERROR(G493/F493,0)</f>
        <v>5.0366972477064217E-2</v>
      </c>
      <c r="O493" s="8">
        <f>IFERROR(H493/G493,0)</f>
        <v>1.1333738109694394E-2</v>
      </c>
      <c r="P493" s="4">
        <f>IFERROR(I493/G493,0)</f>
        <v>1.59311070633475</v>
      </c>
      <c r="Q493" s="4">
        <f>IFERROR(I493/H493,0)</f>
        <v>140.56357142857144</v>
      </c>
      <c r="R493" s="12">
        <f>IFERROR(J493/I493,0)</f>
        <v>1.3001476200397379</v>
      </c>
      <c r="S493" s="7">
        <f>Tabla_nuevas_columnas[[#This Row],[ROAS]]</f>
        <v>1.3001476200397379</v>
      </c>
      <c r="T493" t="str">
        <f>_xlfn.CONCAT(C493,"-",D493)</f>
        <v>Paid Social-España</v>
      </c>
      <c r="U493">
        <f>YEAR(A493)</f>
        <v>2025</v>
      </c>
      <c r="V493">
        <f>MONTH(A493)</f>
        <v>6</v>
      </c>
      <c r="W493" t="str">
        <f>PROPER(TEXT(A493,"mmmm"))</f>
        <v>Junio</v>
      </c>
      <c r="X493" t="str">
        <f>PROPER(TEXT(A493,"dddd"))</f>
        <v>Sábado</v>
      </c>
      <c r="Y493" t="str" cm="1">
        <f t="array" ref="Y493">_xlfn.IFS(R493&gt;10,"Excelente",R493&gt;=5,"Bueno",R493&gt;=2,"Débil",R493&lt;2,"Deficiente")</f>
        <v>Deficiente</v>
      </c>
      <c r="Z493" t="str">
        <f>IF(AND(R493&lt;2,Q493&gt;=100),"Revisar","OK")</f>
        <v>Revisar</v>
      </c>
      <c r="AA493" s="55">
        <f>_xlfn.XLOOKUP(C493,'Preguntas de negocio'!$C$114:$C$119,'Preguntas de negocio'!$D$114:$D$119,0)</f>
        <v>6</v>
      </c>
      <c r="AB493" s="55">
        <f>VLOOKUP(C493,'Preguntas de negocio'!$C$121:$D$127,2,FALSE)</f>
        <v>0.8</v>
      </c>
    </row>
    <row r="494" spans="1:28" x14ac:dyDescent="0.3">
      <c r="A494" s="1">
        <v>45738</v>
      </c>
      <c r="B494" s="2" t="s">
        <v>2640</v>
      </c>
      <c r="C494" s="2" t="s">
        <v>2515</v>
      </c>
      <c r="D494" s="2" t="s">
        <v>2528</v>
      </c>
      <c r="E494" s="2" t="s">
        <v>2517</v>
      </c>
      <c r="F494" s="3">
        <v>37462</v>
      </c>
      <c r="G494" s="3">
        <v>964</v>
      </c>
      <c r="H494" s="3">
        <v>72</v>
      </c>
      <c r="I494" s="4">
        <v>1796.03</v>
      </c>
      <c r="J494" s="4">
        <v>11227.49</v>
      </c>
      <c r="K494" s="3">
        <v>43</v>
      </c>
      <c r="L494" s="2" t="s">
        <v>2523</v>
      </c>
      <c r="M494" s="2" t="s">
        <v>2519</v>
      </c>
      <c r="N494" s="8">
        <f>IFERROR(G494/F494,0)</f>
        <v>2.5732742512412577E-2</v>
      </c>
      <c r="O494" s="8">
        <f>IFERROR(H494/G494,0)</f>
        <v>7.4688796680497924E-2</v>
      </c>
      <c r="P494" s="4">
        <f>IFERROR(I494/G494,0)</f>
        <v>1.8631016597510373</v>
      </c>
      <c r="Q494" s="4">
        <f>IFERROR(I494/H494,0)</f>
        <v>24.944861111111109</v>
      </c>
      <c r="R494" s="12">
        <f>IFERROR(J494/I494,0)</f>
        <v>6.2512819941760442</v>
      </c>
      <c r="S494" s="7">
        <f>Tabla_nuevas_columnas[[#This Row],[ROAS]]</f>
        <v>6.2512819941760442</v>
      </c>
      <c r="T494" t="str">
        <f>_xlfn.CONCAT(C494,"-",D494)</f>
        <v>Email-España</v>
      </c>
      <c r="U494">
        <f>YEAR(A494)</f>
        <v>2025</v>
      </c>
      <c r="V494">
        <f>MONTH(A494)</f>
        <v>3</v>
      </c>
      <c r="W494" t="str">
        <f>PROPER(TEXT(A494,"mmmm"))</f>
        <v>Marzo</v>
      </c>
      <c r="X494" t="str">
        <f>PROPER(TEXT(A494,"dddd"))</f>
        <v>Sábado</v>
      </c>
      <c r="Y494" t="str" cm="1">
        <f t="array" ref="Y494">_xlfn.IFS(R494&gt;10,"Excelente",R494&gt;=5,"Bueno",R494&gt;=2,"Débil",R494&lt;2,"Deficiente")</f>
        <v>Bueno</v>
      </c>
      <c r="Z494" t="str">
        <f>IF(AND(R494&lt;2,Q494&gt;=100),"Revisar","OK")</f>
        <v>OK</v>
      </c>
      <c r="AA494" s="55">
        <f>_xlfn.XLOOKUP(C494,'Preguntas de negocio'!$C$114:$C$119,'Preguntas de negocio'!$D$114:$D$119,0)</f>
        <v>5.5</v>
      </c>
      <c r="AB494" s="55">
        <f>VLOOKUP(C494,'Preguntas de negocio'!$C$121:$D$127,2,FALSE)</f>
        <v>0.65</v>
      </c>
    </row>
    <row r="495" spans="1:28" x14ac:dyDescent="0.3">
      <c r="A495" s="1">
        <v>45750</v>
      </c>
      <c r="B495" s="2" t="s">
        <v>2628</v>
      </c>
      <c r="C495" s="2" t="s">
        <v>2543</v>
      </c>
      <c r="D495" s="2" t="s">
        <v>2516</v>
      </c>
      <c r="E495" s="2" t="s">
        <v>2529</v>
      </c>
      <c r="F495" s="3">
        <v>2773</v>
      </c>
      <c r="G495" s="3">
        <v>188</v>
      </c>
      <c r="H495" s="3">
        <v>4</v>
      </c>
      <c r="I495" s="4">
        <v>365.94</v>
      </c>
      <c r="J495" s="4">
        <v>842.67</v>
      </c>
      <c r="K495" s="3">
        <v>2</v>
      </c>
      <c r="L495" s="2" t="s">
        <v>2518</v>
      </c>
      <c r="M495" s="2" t="s">
        <v>2524</v>
      </c>
      <c r="N495" s="8">
        <f>IFERROR(G495/F495,0)</f>
        <v>6.7796610169491525E-2</v>
      </c>
      <c r="O495" s="8">
        <f>IFERROR(H495/G495,0)</f>
        <v>2.1276595744680851E-2</v>
      </c>
      <c r="P495" s="4">
        <f>IFERROR(I495/G495,0)</f>
        <v>1.9464893617021277</v>
      </c>
      <c r="Q495" s="4">
        <f>IFERROR(I495/H495,0)</f>
        <v>91.484999999999999</v>
      </c>
      <c r="R495" s="12">
        <f>IFERROR(J495/I495,0)</f>
        <v>2.3027545499262172</v>
      </c>
      <c r="S495" s="7">
        <f>Tabla_nuevas_columnas[[#This Row],[ROAS]]</f>
        <v>2.3027545499262172</v>
      </c>
      <c r="T495" t="str">
        <f>_xlfn.CONCAT(C495,"-",D495)</f>
        <v>Organic Social-México</v>
      </c>
      <c r="U495">
        <f>YEAR(A495)</f>
        <v>2025</v>
      </c>
      <c r="V495">
        <f>MONTH(A495)</f>
        <v>4</v>
      </c>
      <c r="W495" t="str">
        <f>PROPER(TEXT(A495,"mmmm"))</f>
        <v>Abril</v>
      </c>
      <c r="X495" t="str">
        <f>PROPER(TEXT(A495,"dddd"))</f>
        <v>Jueves</v>
      </c>
      <c r="Y495" t="str" cm="1">
        <f t="array" ref="Y495">_xlfn.IFS(R495&gt;10,"Excelente",R495&gt;=5,"Bueno",R495&gt;=2,"Débil",R495&lt;2,"Deficiente")</f>
        <v>Débil</v>
      </c>
      <c r="Z495" t="str">
        <f>IF(AND(R495&lt;2,Q495&gt;=100),"Revisar","OK")</f>
        <v>OK</v>
      </c>
      <c r="AA495" s="55">
        <f>_xlfn.XLOOKUP(C495,'Preguntas de negocio'!$C$114:$C$119,'Preguntas de negocio'!$D$114:$D$119,0)</f>
        <v>4</v>
      </c>
      <c r="AB495" s="55">
        <f>VLOOKUP(C495,'Preguntas de negocio'!$C$121:$D$127,2,FALSE)</f>
        <v>0.95</v>
      </c>
    </row>
    <row r="496" spans="1:28" x14ac:dyDescent="0.3">
      <c r="A496" s="1">
        <v>45995</v>
      </c>
      <c r="B496" s="2" t="s">
        <v>2623</v>
      </c>
      <c r="C496" s="2" t="s">
        <v>2533</v>
      </c>
      <c r="D496" s="2" t="s">
        <v>2531</v>
      </c>
      <c r="E496" s="2" t="s">
        <v>2534</v>
      </c>
      <c r="F496" s="3">
        <v>55755</v>
      </c>
      <c r="G496" s="3">
        <v>3489</v>
      </c>
      <c r="H496" s="3">
        <v>365</v>
      </c>
      <c r="I496" s="4">
        <v>2397.04</v>
      </c>
      <c r="J496" s="4">
        <v>64793.36</v>
      </c>
      <c r="K496" s="3">
        <v>276</v>
      </c>
      <c r="L496" s="2" t="s">
        <v>2518</v>
      </c>
      <c r="M496" s="2" t="s">
        <v>2519</v>
      </c>
      <c r="N496" s="8">
        <f>IFERROR(G496/F496,0)</f>
        <v>6.257734732311003E-2</v>
      </c>
      <c r="O496" s="8">
        <f>IFERROR(H496/G496,0)</f>
        <v>0.10461450272284323</v>
      </c>
      <c r="P496" s="4">
        <f>IFERROR(I496/G496,0)</f>
        <v>0.68702780166236743</v>
      </c>
      <c r="Q496" s="4">
        <f>IFERROR(I496/H496,0)</f>
        <v>6.5672328767123282</v>
      </c>
      <c r="R496" s="12">
        <f>IFERROR(J496/I496,0)</f>
        <v>27.030571037613058</v>
      </c>
      <c r="S496" s="7">
        <f>Tabla_nuevas_columnas[[#This Row],[ROAS]]</f>
        <v>27.030571037613058</v>
      </c>
      <c r="T496" t="str">
        <f>_xlfn.CONCAT(C496,"-",D496)</f>
        <v>Paid Social-Portugal</v>
      </c>
      <c r="U496">
        <f>YEAR(A496)</f>
        <v>2025</v>
      </c>
      <c r="V496">
        <f>MONTH(A496)</f>
        <v>12</v>
      </c>
      <c r="W496" t="str">
        <f>PROPER(TEXT(A496,"mmmm"))</f>
        <v>Diciembre</v>
      </c>
      <c r="X496" t="str">
        <f>PROPER(TEXT(A496,"dddd"))</f>
        <v>Jueves</v>
      </c>
      <c r="Y496" t="str" cm="1">
        <f t="array" ref="Y496">_xlfn.IFS(R496&gt;10,"Excelente",R496&gt;=5,"Bueno",R496&gt;=2,"Débil",R496&lt;2,"Deficiente")</f>
        <v>Excelente</v>
      </c>
      <c r="Z496" t="str">
        <f>IF(AND(R496&lt;2,Q496&gt;=100),"Revisar","OK")</f>
        <v>OK</v>
      </c>
      <c r="AA496" s="55">
        <f>_xlfn.XLOOKUP(C496,'Preguntas de negocio'!$C$114:$C$119,'Preguntas de negocio'!$D$114:$D$119,0)</f>
        <v>6</v>
      </c>
      <c r="AB496" s="55">
        <f>VLOOKUP(C496,'Preguntas de negocio'!$C$121:$D$127,2,FALSE)</f>
        <v>0.8</v>
      </c>
    </row>
    <row r="497" spans="1:28" x14ac:dyDescent="0.3">
      <c r="A497" s="1">
        <v>45810</v>
      </c>
      <c r="B497" s="2" t="s">
        <v>2642</v>
      </c>
      <c r="C497" s="2" t="s">
        <v>2515</v>
      </c>
      <c r="D497" s="2" t="s">
        <v>2516</v>
      </c>
      <c r="E497" s="2" t="s">
        <v>2529</v>
      </c>
      <c r="F497" s="3">
        <v>161788</v>
      </c>
      <c r="G497" s="3">
        <v>11571</v>
      </c>
      <c r="H497" s="3">
        <v>1442</v>
      </c>
      <c r="I497" s="4">
        <v>12013.3</v>
      </c>
      <c r="J497" s="4">
        <v>179019.65</v>
      </c>
      <c r="K497" s="3">
        <v>1002</v>
      </c>
      <c r="L497" s="2" t="s">
        <v>2536</v>
      </c>
      <c r="M497" s="2" t="s">
        <v>2537</v>
      </c>
      <c r="N497" s="8">
        <f>IFERROR(G497/F497,0)</f>
        <v>7.1519519371028753E-2</v>
      </c>
      <c r="O497" s="8">
        <f>IFERROR(H497/G497,0)</f>
        <v>0.12462189957652753</v>
      </c>
      <c r="P497" s="4">
        <f>IFERROR(I497/G497,0)</f>
        <v>1.0382248725261429</v>
      </c>
      <c r="Q497" s="4">
        <f>IFERROR(I497/H497,0)</f>
        <v>8.3309986130374476</v>
      </c>
      <c r="R497" s="12">
        <f>IFERROR(J497/I497,0)</f>
        <v>14.90178801827974</v>
      </c>
      <c r="S497" s="7">
        <f>Tabla_nuevas_columnas[[#This Row],[ROAS]]</f>
        <v>14.90178801827974</v>
      </c>
      <c r="T497" t="str">
        <f>_xlfn.CONCAT(C497,"-",D497)</f>
        <v>Email-México</v>
      </c>
      <c r="U497">
        <f>YEAR(A497)</f>
        <v>2025</v>
      </c>
      <c r="V497">
        <f>MONTH(A497)</f>
        <v>6</v>
      </c>
      <c r="W497" t="str">
        <f>PROPER(TEXT(A497,"mmmm"))</f>
        <v>Junio</v>
      </c>
      <c r="X497" t="str">
        <f>PROPER(TEXT(A497,"dddd"))</f>
        <v>Lunes</v>
      </c>
      <c r="Y497" t="str" cm="1">
        <f t="array" ref="Y497">_xlfn.IFS(R497&gt;10,"Excelente",R497&gt;=5,"Bueno",R497&gt;=2,"Débil",R497&lt;2,"Deficiente")</f>
        <v>Excelente</v>
      </c>
      <c r="Z497" t="str">
        <f>IF(AND(R497&lt;2,Q497&gt;=100),"Revisar","OK")</f>
        <v>OK</v>
      </c>
      <c r="AA497" s="55">
        <f>_xlfn.XLOOKUP(C497,'Preguntas de negocio'!$C$114:$C$119,'Preguntas de negocio'!$D$114:$D$119,0)</f>
        <v>5.5</v>
      </c>
      <c r="AB497" s="55">
        <f>VLOOKUP(C497,'Preguntas de negocio'!$C$121:$D$127,2,FALSE)</f>
        <v>0.65</v>
      </c>
    </row>
    <row r="498" spans="1:28" x14ac:dyDescent="0.3">
      <c r="A498" s="1">
        <v>45694</v>
      </c>
      <c r="B498" s="2" t="s">
        <v>2623</v>
      </c>
      <c r="C498" s="2" t="s">
        <v>2543</v>
      </c>
      <c r="D498" s="2" t="s">
        <v>2528</v>
      </c>
      <c r="E498" s="2" t="s">
        <v>2529</v>
      </c>
      <c r="F498" s="3">
        <v>23010</v>
      </c>
      <c r="G498" s="3">
        <v>2050</v>
      </c>
      <c r="H498" s="3">
        <v>128</v>
      </c>
      <c r="I498" s="4">
        <v>3945.19</v>
      </c>
      <c r="J498" s="4">
        <v>18288.53</v>
      </c>
      <c r="K498" s="3">
        <v>70</v>
      </c>
      <c r="L498" s="2" t="s">
        <v>2539</v>
      </c>
      <c r="M498" s="2" t="s">
        <v>2524</v>
      </c>
      <c r="N498" s="8">
        <f>IFERROR(G498/F498,0)</f>
        <v>8.9091699261190788E-2</v>
      </c>
      <c r="O498" s="8">
        <f>IFERROR(H498/G498,0)</f>
        <v>6.2439024390243902E-2</v>
      </c>
      <c r="P498" s="4">
        <f>IFERROR(I498/G498,0)</f>
        <v>1.9244829268292682</v>
      </c>
      <c r="Q498" s="4">
        <f>IFERROR(I498/H498,0)</f>
        <v>30.821796875</v>
      </c>
      <c r="R498" s="12">
        <f>IFERROR(J498/I498,0)</f>
        <v>4.6356525287755463</v>
      </c>
      <c r="S498" s="7">
        <f>Tabla_nuevas_columnas[[#This Row],[ROAS]]</f>
        <v>4.6356525287755463</v>
      </c>
      <c r="T498" t="str">
        <f>_xlfn.CONCAT(C498,"-",D498)</f>
        <v>Organic Social-España</v>
      </c>
      <c r="U498">
        <f>YEAR(A498)</f>
        <v>2025</v>
      </c>
      <c r="V498">
        <f>MONTH(A498)</f>
        <v>2</v>
      </c>
      <c r="W498" t="str">
        <f>PROPER(TEXT(A498,"mmmm"))</f>
        <v>Febrero</v>
      </c>
      <c r="X498" t="str">
        <f>PROPER(TEXT(A498,"dddd"))</f>
        <v>Jueves</v>
      </c>
      <c r="Y498" t="str" cm="1">
        <f t="array" ref="Y498">_xlfn.IFS(R498&gt;10,"Excelente",R498&gt;=5,"Bueno",R498&gt;=2,"Débil",R498&lt;2,"Deficiente")</f>
        <v>Débil</v>
      </c>
      <c r="Z498" t="str">
        <f>IF(AND(R498&lt;2,Q498&gt;=100),"Revisar","OK")</f>
        <v>OK</v>
      </c>
      <c r="AA498" s="55">
        <f>_xlfn.XLOOKUP(C498,'Preguntas de negocio'!$C$114:$C$119,'Preguntas de negocio'!$D$114:$D$119,0)</f>
        <v>4</v>
      </c>
      <c r="AB498" s="55">
        <f>VLOOKUP(C498,'Preguntas de negocio'!$C$121:$D$127,2,FALSE)</f>
        <v>0.95</v>
      </c>
    </row>
    <row r="499" spans="1:28" x14ac:dyDescent="0.3">
      <c r="A499" s="1">
        <v>45917</v>
      </c>
      <c r="B499" s="2" t="s">
        <v>2625</v>
      </c>
      <c r="C499" s="2" t="s">
        <v>2533</v>
      </c>
      <c r="D499" s="2" t="s">
        <v>2516</v>
      </c>
      <c r="E499" s="2" t="s">
        <v>2529</v>
      </c>
      <c r="F499" s="3">
        <v>160422</v>
      </c>
      <c r="G499" s="3">
        <v>12369</v>
      </c>
      <c r="H499" s="3">
        <v>1393</v>
      </c>
      <c r="I499" s="4">
        <v>8362.4</v>
      </c>
      <c r="J499" s="4">
        <v>245307.9</v>
      </c>
      <c r="K499" s="3">
        <v>881</v>
      </c>
      <c r="L499" s="2" t="s">
        <v>2518</v>
      </c>
      <c r="M499" s="2" t="s">
        <v>2519</v>
      </c>
      <c r="N499" s="8">
        <f>IFERROR(G499/F499,0)</f>
        <v>7.7102891124658707E-2</v>
      </c>
      <c r="O499" s="8">
        <f>IFERROR(H499/G499,0)</f>
        <v>0.11262026032823995</v>
      </c>
      <c r="P499" s="4">
        <f>IFERROR(I499/G499,0)</f>
        <v>0.67607728999919148</v>
      </c>
      <c r="Q499" s="4">
        <f>IFERROR(I499/H499,0)</f>
        <v>6.0031586503948313</v>
      </c>
      <c r="R499" s="12">
        <f>IFERROR(J499/I499,0)</f>
        <v>29.334628814694348</v>
      </c>
      <c r="S499" s="7">
        <f>Tabla_nuevas_columnas[[#This Row],[ROAS]]</f>
        <v>29.334628814694348</v>
      </c>
      <c r="T499" t="str">
        <f>_xlfn.CONCAT(C499,"-",D499)</f>
        <v>Paid Social-México</v>
      </c>
      <c r="U499">
        <f>YEAR(A499)</f>
        <v>2025</v>
      </c>
      <c r="V499">
        <f>MONTH(A499)</f>
        <v>9</v>
      </c>
      <c r="W499" t="str">
        <f>PROPER(TEXT(A499,"mmmm"))</f>
        <v>Septiembre</v>
      </c>
      <c r="X499" t="str">
        <f>PROPER(TEXT(A499,"dddd"))</f>
        <v>Miércoles</v>
      </c>
      <c r="Y499" t="str" cm="1">
        <f t="array" ref="Y499">_xlfn.IFS(R499&gt;10,"Excelente",R499&gt;=5,"Bueno",R499&gt;=2,"Débil",R499&lt;2,"Deficiente")</f>
        <v>Excelente</v>
      </c>
      <c r="Z499" t="str">
        <f>IF(AND(R499&lt;2,Q499&gt;=100),"Revisar","OK")</f>
        <v>OK</v>
      </c>
      <c r="AA499" s="55">
        <f>_xlfn.XLOOKUP(C499,'Preguntas de negocio'!$C$114:$C$119,'Preguntas de negocio'!$D$114:$D$119,0)</f>
        <v>6</v>
      </c>
      <c r="AB499" s="55">
        <f>VLOOKUP(C499,'Preguntas de negocio'!$C$121:$D$127,2,FALSE)</f>
        <v>0.8</v>
      </c>
    </row>
    <row r="500" spans="1:28" x14ac:dyDescent="0.3">
      <c r="A500" s="1">
        <v>45864</v>
      </c>
      <c r="B500" s="2" t="s">
        <v>2638</v>
      </c>
      <c r="C500" s="2" t="s">
        <v>2527</v>
      </c>
      <c r="D500" s="2" t="s">
        <v>2525</v>
      </c>
      <c r="E500" s="2" t="s">
        <v>2517</v>
      </c>
      <c r="F500" s="3">
        <v>155743</v>
      </c>
      <c r="G500" s="3">
        <v>11002</v>
      </c>
      <c r="H500" s="3">
        <v>1158</v>
      </c>
      <c r="I500" s="4">
        <v>8199.16</v>
      </c>
      <c r="J500" s="4">
        <v>69554.89</v>
      </c>
      <c r="K500" s="3">
        <v>996</v>
      </c>
      <c r="L500" s="2" t="s">
        <v>2539</v>
      </c>
      <c r="M500" s="2" t="s">
        <v>2537</v>
      </c>
      <c r="N500" s="8">
        <f>IFERROR(G500/F500,0)</f>
        <v>7.0642019223977962E-2</v>
      </c>
      <c r="O500" s="8">
        <f>IFERROR(H500/G500,0)</f>
        <v>0.10525359025631703</v>
      </c>
      <c r="P500" s="4">
        <f>IFERROR(I500/G500,0)</f>
        <v>0.74524268314851849</v>
      </c>
      <c r="Q500" s="4">
        <f>IFERROR(I500/H500,0)</f>
        <v>7.0804490500863553</v>
      </c>
      <c r="R500" s="12">
        <f>IFERROR(J500/I500,0)</f>
        <v>8.4831726664682723</v>
      </c>
      <c r="S500" s="7">
        <f>Tabla_nuevas_columnas[[#This Row],[ROAS]]</f>
        <v>8.4831726664682723</v>
      </c>
      <c r="T500" t="str">
        <f>_xlfn.CONCAT(C500,"-",D500)</f>
        <v>Affiliate-Francia</v>
      </c>
      <c r="U500">
        <f>YEAR(A500)</f>
        <v>2025</v>
      </c>
      <c r="V500">
        <f>MONTH(A500)</f>
        <v>7</v>
      </c>
      <c r="W500" t="str">
        <f>PROPER(TEXT(A500,"mmmm"))</f>
        <v>Julio</v>
      </c>
      <c r="X500" t="str">
        <f>PROPER(TEXT(A500,"dddd"))</f>
        <v>Sábado</v>
      </c>
      <c r="Y500" t="str" cm="1">
        <f t="array" ref="Y500">_xlfn.IFS(R500&gt;10,"Excelente",R500&gt;=5,"Bueno",R500&gt;=2,"Débil",R500&lt;2,"Deficiente")</f>
        <v>Bueno</v>
      </c>
      <c r="Z500" t="str">
        <f>IF(AND(R500&lt;2,Q500&gt;=100),"Revisar","OK")</f>
        <v>OK</v>
      </c>
      <c r="AA500" s="55">
        <f>_xlfn.XLOOKUP(C500,'Preguntas de negocio'!$C$114:$C$119,'Preguntas de negocio'!$D$114:$D$119,0)</f>
        <v>4.5</v>
      </c>
      <c r="AB500" s="55">
        <f>VLOOKUP(C500,'Preguntas de negocio'!$C$121:$D$127,2,FALSE)</f>
        <v>0.35</v>
      </c>
    </row>
    <row r="501" spans="1:28" x14ac:dyDescent="0.3">
      <c r="A501" s="1">
        <v>45908</v>
      </c>
      <c r="B501" s="2" t="s">
        <v>2632</v>
      </c>
      <c r="C501" s="2" t="s">
        <v>2533</v>
      </c>
      <c r="D501" s="2" t="s">
        <v>2531</v>
      </c>
      <c r="E501" s="2" t="s">
        <v>2529</v>
      </c>
      <c r="F501" s="3">
        <v>92162</v>
      </c>
      <c r="G501" s="3">
        <v>7822</v>
      </c>
      <c r="H501" s="3">
        <v>59</v>
      </c>
      <c r="I501" s="4">
        <v>5813.1</v>
      </c>
      <c r="J501" s="4">
        <v>2901.77</v>
      </c>
      <c r="K501" s="3">
        <v>33</v>
      </c>
      <c r="L501" s="2" t="s">
        <v>2539</v>
      </c>
      <c r="M501" s="2" t="s">
        <v>2537</v>
      </c>
      <c r="N501" s="8">
        <f>IFERROR(G501/F501,0)</f>
        <v>8.4872290097871145E-2</v>
      </c>
      <c r="O501" s="8">
        <f>IFERROR(H501/G501,0)</f>
        <v>7.5428279212477623E-3</v>
      </c>
      <c r="P501" s="4">
        <f>IFERROR(I501/G501,0)</f>
        <v>0.74317310150856564</v>
      </c>
      <c r="Q501" s="4">
        <f>IFERROR(I501/H501,0)</f>
        <v>98.527118644067798</v>
      </c>
      <c r="R501" s="12">
        <f>IFERROR(J501/I501,0)</f>
        <v>0.49917771928919163</v>
      </c>
      <c r="S501" s="7">
        <f>Tabla_nuevas_columnas[[#This Row],[ROAS]]</f>
        <v>0.49917771928919163</v>
      </c>
      <c r="T501" t="str">
        <f>_xlfn.CONCAT(C501,"-",D501)</f>
        <v>Paid Social-Portugal</v>
      </c>
      <c r="U501">
        <f>YEAR(A501)</f>
        <v>2025</v>
      </c>
      <c r="V501">
        <f>MONTH(A501)</f>
        <v>9</v>
      </c>
      <c r="W501" t="str">
        <f>PROPER(TEXT(A501,"mmmm"))</f>
        <v>Septiembre</v>
      </c>
      <c r="X501" t="str">
        <f>PROPER(TEXT(A501,"dddd"))</f>
        <v>Lunes</v>
      </c>
      <c r="Y501" t="str" cm="1">
        <f t="array" ref="Y501">_xlfn.IFS(R501&gt;10,"Excelente",R501&gt;=5,"Bueno",R501&gt;=2,"Débil",R501&lt;2,"Deficiente")</f>
        <v>Deficiente</v>
      </c>
      <c r="Z501" t="str">
        <f>IF(AND(R501&lt;2,Q501&gt;=100),"Revisar","OK")</f>
        <v>OK</v>
      </c>
      <c r="AA501" s="55">
        <f>_xlfn.XLOOKUP(C501,'Preguntas de negocio'!$C$114:$C$119,'Preguntas de negocio'!$D$114:$D$119,0)</f>
        <v>6</v>
      </c>
      <c r="AB501" s="55">
        <f>VLOOKUP(C501,'Preguntas de negocio'!$C$121:$D$127,2,FALSE)</f>
        <v>0.8</v>
      </c>
    </row>
    <row r="502" spans="1:28" x14ac:dyDescent="0.3">
      <c r="A502" s="1">
        <v>45795</v>
      </c>
      <c r="B502" s="2" t="s">
        <v>2621</v>
      </c>
      <c r="C502" s="2" t="s">
        <v>2533</v>
      </c>
      <c r="D502" s="2" t="s">
        <v>2531</v>
      </c>
      <c r="E502" s="2" t="s">
        <v>2517</v>
      </c>
      <c r="F502" s="3">
        <v>174272</v>
      </c>
      <c r="G502" s="3">
        <v>4503</v>
      </c>
      <c r="H502" s="3">
        <v>478</v>
      </c>
      <c r="I502" s="4">
        <v>2554.4299999999998</v>
      </c>
      <c r="J502" s="4">
        <v>42421.32</v>
      </c>
      <c r="K502" s="3">
        <v>220</v>
      </c>
      <c r="L502" s="2" t="s">
        <v>2539</v>
      </c>
      <c r="M502" s="2" t="s">
        <v>2537</v>
      </c>
      <c r="N502" s="8">
        <f>IFERROR(G502/F502,0)</f>
        <v>2.5838918472273226E-2</v>
      </c>
      <c r="O502" s="8">
        <f>IFERROR(H502/G502,0)</f>
        <v>0.10615145458583167</v>
      </c>
      <c r="P502" s="4">
        <f>IFERROR(I502/G502,0)</f>
        <v>0.56727292915833882</v>
      </c>
      <c r="Q502" s="4">
        <f>IFERROR(I502/H502,0)</f>
        <v>5.3439958158995813</v>
      </c>
      <c r="R502" s="12">
        <f>IFERROR(J502/I502,0)</f>
        <v>16.606961239885219</v>
      </c>
      <c r="S502" s="7">
        <f>Tabla_nuevas_columnas[[#This Row],[ROAS]]</f>
        <v>16.606961239885219</v>
      </c>
      <c r="T502" t="str">
        <f>_xlfn.CONCAT(C502,"-",D502)</f>
        <v>Paid Social-Portugal</v>
      </c>
      <c r="U502">
        <f>YEAR(A502)</f>
        <v>2025</v>
      </c>
      <c r="V502">
        <f>MONTH(A502)</f>
        <v>5</v>
      </c>
      <c r="W502" t="str">
        <f>PROPER(TEXT(A502,"mmmm"))</f>
        <v>Mayo</v>
      </c>
      <c r="X502" t="str">
        <f>PROPER(TEXT(A502,"dddd"))</f>
        <v>Domingo</v>
      </c>
      <c r="Y502" t="str" cm="1">
        <f t="array" ref="Y502">_xlfn.IFS(R502&gt;10,"Excelente",R502&gt;=5,"Bueno",R502&gt;=2,"Débil",R502&lt;2,"Deficiente")</f>
        <v>Excelente</v>
      </c>
      <c r="Z502" t="str">
        <f>IF(AND(R502&lt;2,Q502&gt;=100),"Revisar","OK")</f>
        <v>OK</v>
      </c>
      <c r="AA502" s="55">
        <f>_xlfn.XLOOKUP(C502,'Preguntas de negocio'!$C$114:$C$119,'Preguntas de negocio'!$D$114:$D$119,0)</f>
        <v>6</v>
      </c>
      <c r="AB502" s="55">
        <f>VLOOKUP(C502,'Preguntas de negocio'!$C$121:$D$127,2,FALSE)</f>
        <v>0.8</v>
      </c>
    </row>
    <row r="503" spans="1:28" x14ac:dyDescent="0.3">
      <c r="A503" s="1">
        <v>45676</v>
      </c>
      <c r="B503" s="2" t="s">
        <v>2644</v>
      </c>
      <c r="C503" s="2" t="s">
        <v>2527</v>
      </c>
      <c r="D503" s="2" t="s">
        <v>2516</v>
      </c>
      <c r="E503" s="2" t="s">
        <v>2529</v>
      </c>
      <c r="F503" s="3">
        <v>126698</v>
      </c>
      <c r="G503" s="3">
        <v>2524</v>
      </c>
      <c r="H503" s="3">
        <v>123</v>
      </c>
      <c r="I503" s="4">
        <v>1638.84</v>
      </c>
      <c r="J503" s="4">
        <v>8326.49</v>
      </c>
      <c r="K503" s="3">
        <v>95</v>
      </c>
      <c r="L503" s="2" t="s">
        <v>2518</v>
      </c>
      <c r="M503" s="2" t="s">
        <v>2537</v>
      </c>
      <c r="N503" s="8">
        <f>IFERROR(G503/F503,0)</f>
        <v>1.9921387867211794E-2</v>
      </c>
      <c r="O503" s="8">
        <f>IFERROR(H503/G503,0)</f>
        <v>4.8732171156893822E-2</v>
      </c>
      <c r="P503" s="4">
        <f>IFERROR(I503/G503,0)</f>
        <v>0.6493026941362916</v>
      </c>
      <c r="Q503" s="4">
        <f>IFERROR(I503/H503,0)</f>
        <v>13.323902439024389</v>
      </c>
      <c r="R503" s="12">
        <f>IFERROR(J503/I503,0)</f>
        <v>5.0807217300041492</v>
      </c>
      <c r="S503" s="7">
        <f>Tabla_nuevas_columnas[[#This Row],[ROAS]]</f>
        <v>5.0807217300041492</v>
      </c>
      <c r="T503" t="str">
        <f>_xlfn.CONCAT(C503,"-",D503)</f>
        <v>Affiliate-México</v>
      </c>
      <c r="U503">
        <f>YEAR(A503)</f>
        <v>2025</v>
      </c>
      <c r="V503">
        <f>MONTH(A503)</f>
        <v>1</v>
      </c>
      <c r="W503" t="str">
        <f>PROPER(TEXT(A503,"mmmm"))</f>
        <v>Enero</v>
      </c>
      <c r="X503" t="str">
        <f>PROPER(TEXT(A503,"dddd"))</f>
        <v>Domingo</v>
      </c>
      <c r="Y503" t="str" cm="1">
        <f t="array" ref="Y503">_xlfn.IFS(R503&gt;10,"Excelente",R503&gt;=5,"Bueno",R503&gt;=2,"Débil",R503&lt;2,"Deficiente")</f>
        <v>Bueno</v>
      </c>
      <c r="Z503" t="str">
        <f>IF(AND(R503&lt;2,Q503&gt;=100),"Revisar","OK")</f>
        <v>OK</v>
      </c>
      <c r="AA503" s="55">
        <f>_xlfn.XLOOKUP(C503,'Preguntas de negocio'!$C$114:$C$119,'Preguntas de negocio'!$D$114:$D$119,0)</f>
        <v>4.5</v>
      </c>
      <c r="AB503" s="55">
        <f>VLOOKUP(C503,'Preguntas de negocio'!$C$121:$D$127,2,FALSE)</f>
        <v>0.35</v>
      </c>
    </row>
    <row r="504" spans="1:28" x14ac:dyDescent="0.3">
      <c r="A504" s="1">
        <v>45669</v>
      </c>
      <c r="B504" s="2" t="s">
        <v>2619</v>
      </c>
      <c r="C504" s="2" t="s">
        <v>2543</v>
      </c>
      <c r="D504" s="2" t="s">
        <v>2516</v>
      </c>
      <c r="E504" s="2" t="s">
        <v>2529</v>
      </c>
      <c r="F504" s="3">
        <v>62262</v>
      </c>
      <c r="G504" s="3">
        <v>1815</v>
      </c>
      <c r="H504" s="3">
        <v>47</v>
      </c>
      <c r="I504" s="4">
        <v>2974.39</v>
      </c>
      <c r="J504" s="4">
        <v>9412.1</v>
      </c>
      <c r="K504" s="3">
        <v>30</v>
      </c>
      <c r="L504" s="2" t="s">
        <v>2536</v>
      </c>
      <c r="M504" s="2" t="s">
        <v>2526</v>
      </c>
      <c r="N504" s="8">
        <f>IFERROR(G504/F504,0)</f>
        <v>2.9151007034788474E-2</v>
      </c>
      <c r="O504" s="8">
        <f>IFERROR(H504/G504,0)</f>
        <v>2.5895316804407712E-2</v>
      </c>
      <c r="P504" s="4">
        <f>IFERROR(I504/G504,0)</f>
        <v>1.6387823691460055</v>
      </c>
      <c r="Q504" s="4">
        <f>IFERROR(I504/H504,0)</f>
        <v>63.284893617021275</v>
      </c>
      <c r="R504" s="12">
        <f>IFERROR(J504/I504,0)</f>
        <v>3.1643799232783869</v>
      </c>
      <c r="S504" s="7">
        <f>Tabla_nuevas_columnas[[#This Row],[ROAS]]</f>
        <v>3.1643799232783869</v>
      </c>
      <c r="T504" t="str">
        <f>_xlfn.CONCAT(C504,"-",D504)</f>
        <v>Organic Social-México</v>
      </c>
      <c r="U504">
        <f>YEAR(A504)</f>
        <v>2025</v>
      </c>
      <c r="V504">
        <f>MONTH(A504)</f>
        <v>1</v>
      </c>
      <c r="W504" t="str">
        <f>PROPER(TEXT(A504,"mmmm"))</f>
        <v>Enero</v>
      </c>
      <c r="X504" t="str">
        <f>PROPER(TEXT(A504,"dddd"))</f>
        <v>Domingo</v>
      </c>
      <c r="Y504" t="str" cm="1">
        <f t="array" ref="Y504">_xlfn.IFS(R504&gt;10,"Excelente",R504&gt;=5,"Bueno",R504&gt;=2,"Débil",R504&lt;2,"Deficiente")</f>
        <v>Débil</v>
      </c>
      <c r="Z504" t="str">
        <f>IF(AND(R504&lt;2,Q504&gt;=100),"Revisar","OK")</f>
        <v>OK</v>
      </c>
      <c r="AA504" s="55">
        <f>_xlfn.XLOOKUP(C504,'Preguntas de negocio'!$C$114:$C$119,'Preguntas de negocio'!$D$114:$D$119,0)</f>
        <v>4</v>
      </c>
      <c r="AB504" s="55">
        <f>VLOOKUP(C504,'Preguntas de negocio'!$C$121:$D$127,2,FALSE)</f>
        <v>0.95</v>
      </c>
    </row>
    <row r="505" spans="1:28" x14ac:dyDescent="0.3">
      <c r="A505" s="1">
        <v>45909</v>
      </c>
      <c r="B505" s="2" t="s">
        <v>2638</v>
      </c>
      <c r="C505" s="2" t="s">
        <v>2541</v>
      </c>
      <c r="D505" s="2" t="s">
        <v>2528</v>
      </c>
      <c r="E505" s="2" t="s">
        <v>2529</v>
      </c>
      <c r="F505" s="3">
        <v>108836</v>
      </c>
      <c r="G505" s="3">
        <v>5484</v>
      </c>
      <c r="H505" s="3">
        <v>492</v>
      </c>
      <c r="I505" s="4">
        <v>5035.92</v>
      </c>
      <c r="J505" s="4">
        <v>78452.45</v>
      </c>
      <c r="K505" s="3">
        <v>322</v>
      </c>
      <c r="L505" s="2" t="s">
        <v>2539</v>
      </c>
      <c r="M505" s="2" t="s">
        <v>2537</v>
      </c>
      <c r="N505" s="8">
        <f>IFERROR(G505/F505,0)</f>
        <v>5.0387739350950055E-2</v>
      </c>
      <c r="O505" s="8">
        <f>IFERROR(H505/G505,0)</f>
        <v>8.9715536105032828E-2</v>
      </c>
      <c r="P505" s="4">
        <f>IFERROR(I505/G505,0)</f>
        <v>0.91829321663019692</v>
      </c>
      <c r="Q505" s="4">
        <f>IFERROR(I505/H505,0)</f>
        <v>10.235609756097562</v>
      </c>
      <c r="R505" s="12">
        <f>IFERROR(J505/I505,0)</f>
        <v>15.578573527776452</v>
      </c>
      <c r="S505" s="7">
        <f>Tabla_nuevas_columnas[[#This Row],[ROAS]]</f>
        <v>15.578573527776452</v>
      </c>
      <c r="T505" t="str">
        <f>_xlfn.CONCAT(C505,"-",D505)</f>
        <v>Display-España</v>
      </c>
      <c r="U505">
        <f>YEAR(A505)</f>
        <v>2025</v>
      </c>
      <c r="V505">
        <f>MONTH(A505)</f>
        <v>9</v>
      </c>
      <c r="W505" t="str">
        <f>PROPER(TEXT(A505,"mmmm"))</f>
        <v>Septiembre</v>
      </c>
      <c r="X505" t="str">
        <f>PROPER(TEXT(A505,"dddd"))</f>
        <v>Martes</v>
      </c>
      <c r="Y505" t="str" cm="1">
        <f t="array" ref="Y505">_xlfn.IFS(R505&gt;10,"Excelente",R505&gt;=5,"Bueno",R505&gt;=2,"Débil",R505&lt;2,"Deficiente")</f>
        <v>Excelente</v>
      </c>
      <c r="Z505" t="str">
        <f>IF(AND(R505&lt;2,Q505&gt;=100),"Revisar","OK")</f>
        <v>OK</v>
      </c>
      <c r="AA505" s="55">
        <f>_xlfn.XLOOKUP(C505,'Preguntas de negocio'!$C$114:$C$119,'Preguntas de negocio'!$D$114:$D$119,0)</f>
        <v>5</v>
      </c>
      <c r="AB505" s="55">
        <f>VLOOKUP(C505,'Preguntas de negocio'!$C$121:$D$127,2,FALSE)</f>
        <v>0.5</v>
      </c>
    </row>
    <row r="506" spans="1:28" x14ac:dyDescent="0.3">
      <c r="A506" s="1">
        <v>45712</v>
      </c>
      <c r="B506" s="2" t="s">
        <v>2640</v>
      </c>
      <c r="C506" s="2" t="s">
        <v>2515</v>
      </c>
      <c r="D506" s="2" t="s">
        <v>2528</v>
      </c>
      <c r="E506" s="2" t="s">
        <v>2517</v>
      </c>
      <c r="F506" s="3">
        <v>3882</v>
      </c>
      <c r="G506" s="3">
        <v>73</v>
      </c>
      <c r="H506" s="3">
        <v>6</v>
      </c>
      <c r="I506" s="4">
        <v>147.18</v>
      </c>
      <c r="J506" s="4">
        <v>776.89</v>
      </c>
      <c r="K506" s="3">
        <v>2</v>
      </c>
      <c r="L506" s="2" t="s">
        <v>2523</v>
      </c>
      <c r="M506" s="2" t="s">
        <v>2546</v>
      </c>
      <c r="N506" s="8">
        <f>IFERROR(G506/F506,0)</f>
        <v>1.8804739824832561E-2</v>
      </c>
      <c r="O506" s="8">
        <f>IFERROR(H506/G506,0)</f>
        <v>8.2191780821917804E-2</v>
      </c>
      <c r="P506" s="4">
        <f>IFERROR(I506/G506,0)</f>
        <v>2.0161643835616441</v>
      </c>
      <c r="Q506" s="4">
        <f>IFERROR(I506/H506,0)</f>
        <v>24.53</v>
      </c>
      <c r="R506" s="12">
        <f>IFERROR(J506/I506,0)</f>
        <v>5.2785025139285224</v>
      </c>
      <c r="S506" s="7">
        <f>Tabla_nuevas_columnas[[#This Row],[ROAS]]</f>
        <v>5.2785025139285224</v>
      </c>
      <c r="T506" t="str">
        <f>_xlfn.CONCAT(C506,"-",D506)</f>
        <v>Email-España</v>
      </c>
      <c r="U506">
        <f>YEAR(A506)</f>
        <v>2025</v>
      </c>
      <c r="V506">
        <f>MONTH(A506)</f>
        <v>2</v>
      </c>
      <c r="W506" t="str">
        <f>PROPER(TEXT(A506,"mmmm"))</f>
        <v>Febrero</v>
      </c>
      <c r="X506" t="str">
        <f>PROPER(TEXT(A506,"dddd"))</f>
        <v>Lunes</v>
      </c>
      <c r="Y506" t="str" cm="1">
        <f t="array" ref="Y506">_xlfn.IFS(R506&gt;10,"Excelente",R506&gt;=5,"Bueno",R506&gt;=2,"Débil",R506&lt;2,"Deficiente")</f>
        <v>Bueno</v>
      </c>
      <c r="Z506" t="str">
        <f>IF(AND(R506&lt;2,Q506&gt;=100),"Revisar","OK")</f>
        <v>OK</v>
      </c>
      <c r="AA506" s="55">
        <f>_xlfn.XLOOKUP(C506,'Preguntas de negocio'!$C$114:$C$119,'Preguntas de negocio'!$D$114:$D$119,0)</f>
        <v>5.5</v>
      </c>
      <c r="AB506" s="55">
        <f>VLOOKUP(C506,'Preguntas de negocio'!$C$121:$D$127,2,FALSE)</f>
        <v>0.65</v>
      </c>
    </row>
    <row r="507" spans="1:28" x14ac:dyDescent="0.3">
      <c r="A507" s="1">
        <v>45970</v>
      </c>
      <c r="B507" s="2" t="s">
        <v>2625</v>
      </c>
      <c r="C507" s="2" t="s">
        <v>2515</v>
      </c>
      <c r="D507" s="2" t="s">
        <v>2525</v>
      </c>
      <c r="E507" s="2" t="s">
        <v>2517</v>
      </c>
      <c r="F507" s="3">
        <v>56304</v>
      </c>
      <c r="G507" s="3">
        <v>3821</v>
      </c>
      <c r="H507" s="3">
        <v>433</v>
      </c>
      <c r="I507" s="4">
        <v>3408.02</v>
      </c>
      <c r="J507" s="4">
        <v>44074.75</v>
      </c>
      <c r="K507" s="3">
        <v>335</v>
      </c>
      <c r="L507" s="2" t="s">
        <v>2523</v>
      </c>
      <c r="M507" s="2" t="s">
        <v>2546</v>
      </c>
      <c r="N507" s="8">
        <f>IFERROR(G507/F507,0)</f>
        <v>6.7863739698778056E-2</v>
      </c>
      <c r="O507" s="8">
        <f>IFERROR(H507/G507,0)</f>
        <v>0.11332112012562157</v>
      </c>
      <c r="P507" s="4">
        <f>IFERROR(I507/G507,0)</f>
        <v>0.89191834598272701</v>
      </c>
      <c r="Q507" s="4">
        <f>IFERROR(I507/H507,0)</f>
        <v>7.8707159353348732</v>
      </c>
      <c r="R507" s="12">
        <f>IFERROR(J507/I507,0)</f>
        <v>12.93265591164371</v>
      </c>
      <c r="S507" s="7">
        <f>Tabla_nuevas_columnas[[#This Row],[ROAS]]</f>
        <v>12.93265591164371</v>
      </c>
      <c r="T507" t="str">
        <f>_xlfn.CONCAT(C507,"-",D507)</f>
        <v>Email-Francia</v>
      </c>
      <c r="U507">
        <f>YEAR(A507)</f>
        <v>2025</v>
      </c>
      <c r="V507">
        <f>MONTH(A507)</f>
        <v>11</v>
      </c>
      <c r="W507" t="str">
        <f>PROPER(TEXT(A507,"mmmm"))</f>
        <v>Noviembre</v>
      </c>
      <c r="X507" t="str">
        <f>PROPER(TEXT(A507,"dddd"))</f>
        <v>Domingo</v>
      </c>
      <c r="Y507" t="str" cm="1">
        <f t="array" ref="Y507">_xlfn.IFS(R507&gt;10,"Excelente",R507&gt;=5,"Bueno",R507&gt;=2,"Débil",R507&lt;2,"Deficiente")</f>
        <v>Excelente</v>
      </c>
      <c r="Z507" t="str">
        <f>IF(AND(R507&lt;2,Q507&gt;=100),"Revisar","OK")</f>
        <v>OK</v>
      </c>
      <c r="AA507" s="55">
        <f>_xlfn.XLOOKUP(C507,'Preguntas de negocio'!$C$114:$C$119,'Preguntas de negocio'!$D$114:$D$119,0)</f>
        <v>5.5</v>
      </c>
      <c r="AB507" s="55">
        <f>VLOOKUP(C507,'Preguntas de negocio'!$C$121:$D$127,2,FALSE)</f>
        <v>0.65</v>
      </c>
    </row>
    <row r="508" spans="1:28" x14ac:dyDescent="0.3">
      <c r="A508" s="1">
        <v>45809</v>
      </c>
      <c r="B508" s="2" t="s">
        <v>2628</v>
      </c>
      <c r="C508" s="2" t="s">
        <v>2521</v>
      </c>
      <c r="D508" s="2" t="s">
        <v>2531</v>
      </c>
      <c r="E508" s="2" t="s">
        <v>2529</v>
      </c>
      <c r="F508" s="3">
        <v>40605</v>
      </c>
      <c r="G508" s="3">
        <v>1681</v>
      </c>
      <c r="H508" s="3">
        <v>205</v>
      </c>
      <c r="I508" s="4">
        <v>1539.51</v>
      </c>
      <c r="J508" s="4">
        <v>31761.61</v>
      </c>
      <c r="K508" s="3">
        <v>178</v>
      </c>
      <c r="L508" s="2" t="s">
        <v>2523</v>
      </c>
      <c r="M508" s="2" t="s">
        <v>2519</v>
      </c>
      <c r="N508" s="8">
        <f>IFERROR(G508/F508,0)</f>
        <v>4.1398842507080411E-2</v>
      </c>
      <c r="O508" s="8">
        <f>IFERROR(H508/G508,0)</f>
        <v>0.12195121951219512</v>
      </c>
      <c r="P508" s="4">
        <f>IFERROR(I508/G508,0)</f>
        <v>0.91582986317668058</v>
      </c>
      <c r="Q508" s="4">
        <f>IFERROR(I508/H508,0)</f>
        <v>7.5098048780487803</v>
      </c>
      <c r="R508" s="12">
        <f>IFERROR(J508/I508,0)</f>
        <v>20.630986482712032</v>
      </c>
      <c r="S508" s="7">
        <f>Tabla_nuevas_columnas[[#This Row],[ROAS]]</f>
        <v>20.630986482712032</v>
      </c>
      <c r="T508" t="str">
        <f>_xlfn.CONCAT(C508,"-",D508)</f>
        <v>Paid Search-Portugal</v>
      </c>
      <c r="U508">
        <f>YEAR(A508)</f>
        <v>2025</v>
      </c>
      <c r="V508">
        <f>MONTH(A508)</f>
        <v>6</v>
      </c>
      <c r="W508" t="str">
        <f>PROPER(TEXT(A508,"mmmm"))</f>
        <v>Junio</v>
      </c>
      <c r="X508" t="str">
        <f>PROPER(TEXT(A508,"dddd"))</f>
        <v>Domingo</v>
      </c>
      <c r="Y508" t="str" cm="1">
        <f t="array" ref="Y508">_xlfn.IFS(R508&gt;10,"Excelente",R508&gt;=5,"Bueno",R508&gt;=2,"Débil",R508&lt;2,"Deficiente")</f>
        <v>Excelente</v>
      </c>
      <c r="Z508" t="str">
        <f>IF(AND(R508&lt;2,Q508&gt;=100),"Revisar","OK")</f>
        <v>OK</v>
      </c>
      <c r="AA508" s="55">
        <f>_xlfn.XLOOKUP(C508,'Preguntas de negocio'!$C$114:$C$119,'Preguntas de negocio'!$D$114:$D$119,0)</f>
        <v>5</v>
      </c>
      <c r="AB508" s="55">
        <f>VLOOKUP(C508,'Preguntas de negocio'!$C$121:$D$127,2,FALSE)</f>
        <v>1.1000000000000001</v>
      </c>
    </row>
    <row r="509" spans="1:28" x14ac:dyDescent="0.3">
      <c r="A509" s="1">
        <v>45675</v>
      </c>
      <c r="B509" s="2" t="s">
        <v>2615</v>
      </c>
      <c r="C509" s="2" t="s">
        <v>2515</v>
      </c>
      <c r="D509" s="2" t="s">
        <v>2528</v>
      </c>
      <c r="E509" s="2" t="s">
        <v>2529</v>
      </c>
      <c r="F509" s="3">
        <v>124301</v>
      </c>
      <c r="G509" s="3">
        <v>1789</v>
      </c>
      <c r="H509" s="3">
        <v>102</v>
      </c>
      <c r="I509" s="4">
        <v>3332.17</v>
      </c>
      <c r="J509" s="4">
        <v>17294.169999999998</v>
      </c>
      <c r="K509" s="3">
        <v>74</v>
      </c>
      <c r="L509" s="2" t="s">
        <v>2539</v>
      </c>
      <c r="M509" s="2" t="s">
        <v>2546</v>
      </c>
      <c r="N509" s="8">
        <f>IFERROR(G509/F509,0)</f>
        <v>1.439248276361413E-2</v>
      </c>
      <c r="O509" s="8">
        <f>IFERROR(H509/G509,0)</f>
        <v>5.7015092230296258E-2</v>
      </c>
      <c r="P509" s="4">
        <f>IFERROR(I509/G509,0)</f>
        <v>1.8625880380100615</v>
      </c>
      <c r="Q509" s="4">
        <f>IFERROR(I509/H509,0)</f>
        <v>32.668333333333337</v>
      </c>
      <c r="R509" s="12">
        <f>IFERROR(J509/I509,0)</f>
        <v>5.1900623317537811</v>
      </c>
      <c r="S509" s="7">
        <f>Tabla_nuevas_columnas[[#This Row],[ROAS]]</f>
        <v>5.1900623317537811</v>
      </c>
      <c r="T509" t="str">
        <f>_xlfn.CONCAT(C509,"-",D509)</f>
        <v>Email-España</v>
      </c>
      <c r="U509">
        <f>YEAR(A509)</f>
        <v>2025</v>
      </c>
      <c r="V509">
        <f>MONTH(A509)</f>
        <v>1</v>
      </c>
      <c r="W509" t="str">
        <f>PROPER(TEXT(A509,"mmmm"))</f>
        <v>Enero</v>
      </c>
      <c r="X509" t="str">
        <f>PROPER(TEXT(A509,"dddd"))</f>
        <v>Sábado</v>
      </c>
      <c r="Y509" t="str" cm="1">
        <f t="array" ref="Y509">_xlfn.IFS(R509&gt;10,"Excelente",R509&gt;=5,"Bueno",R509&gt;=2,"Débil",R509&lt;2,"Deficiente")</f>
        <v>Bueno</v>
      </c>
      <c r="Z509" t="str">
        <f>IF(AND(R509&lt;2,Q509&gt;=100),"Revisar","OK")</f>
        <v>OK</v>
      </c>
      <c r="AA509" s="55">
        <f>_xlfn.XLOOKUP(C509,'Preguntas de negocio'!$C$114:$C$119,'Preguntas de negocio'!$D$114:$D$119,0)</f>
        <v>5.5</v>
      </c>
      <c r="AB509" s="55">
        <f>VLOOKUP(C509,'Preguntas de negocio'!$C$121:$D$127,2,FALSE)</f>
        <v>0.65</v>
      </c>
    </row>
    <row r="510" spans="1:28" x14ac:dyDescent="0.3">
      <c r="A510" s="1">
        <v>45859</v>
      </c>
      <c r="B510" s="2" t="s">
        <v>2637</v>
      </c>
      <c r="C510" s="2" t="s">
        <v>2515</v>
      </c>
      <c r="D510" s="2" t="s">
        <v>2528</v>
      </c>
      <c r="E510" s="2" t="s">
        <v>2529</v>
      </c>
      <c r="F510" s="3">
        <v>74435</v>
      </c>
      <c r="G510" s="3">
        <v>4341</v>
      </c>
      <c r="H510" s="3">
        <v>237</v>
      </c>
      <c r="I510" s="4">
        <v>8785.98</v>
      </c>
      <c r="J510" s="4">
        <v>12314.4</v>
      </c>
      <c r="K510" s="3">
        <v>168</v>
      </c>
      <c r="L510" s="2" t="s">
        <v>2518</v>
      </c>
      <c r="M510" s="2" t="s">
        <v>2537</v>
      </c>
      <c r="N510" s="8">
        <f>IFERROR(G510/F510,0)</f>
        <v>5.8319339020622016E-2</v>
      </c>
      <c r="O510" s="8">
        <f>IFERROR(H510/G510,0)</f>
        <v>5.4595715272978573E-2</v>
      </c>
      <c r="P510" s="4">
        <f>IFERROR(I510/G510,0)</f>
        <v>2.0239530062197648</v>
      </c>
      <c r="Q510" s="4">
        <f>IFERROR(I510/H510,0)</f>
        <v>37.071645569620252</v>
      </c>
      <c r="R510" s="12">
        <f>IFERROR(J510/I510,0)</f>
        <v>1.401596634638367</v>
      </c>
      <c r="S510" s="7">
        <f>Tabla_nuevas_columnas[[#This Row],[ROAS]]</f>
        <v>1.401596634638367</v>
      </c>
      <c r="T510" t="str">
        <f>_xlfn.CONCAT(C510,"-",D510)</f>
        <v>Email-España</v>
      </c>
      <c r="U510">
        <f>YEAR(A510)</f>
        <v>2025</v>
      </c>
      <c r="V510">
        <f>MONTH(A510)</f>
        <v>7</v>
      </c>
      <c r="W510" t="str">
        <f>PROPER(TEXT(A510,"mmmm"))</f>
        <v>Julio</v>
      </c>
      <c r="X510" t="str">
        <f>PROPER(TEXT(A510,"dddd"))</f>
        <v>Lunes</v>
      </c>
      <c r="Y510" t="str" cm="1">
        <f t="array" ref="Y510">_xlfn.IFS(R510&gt;10,"Excelente",R510&gt;=5,"Bueno",R510&gt;=2,"Débil",R510&lt;2,"Deficiente")</f>
        <v>Deficiente</v>
      </c>
      <c r="Z510" t="str">
        <f>IF(AND(R510&lt;2,Q510&gt;=100),"Revisar","OK")</f>
        <v>OK</v>
      </c>
      <c r="AA510" s="55">
        <f>_xlfn.XLOOKUP(C510,'Preguntas de negocio'!$C$114:$C$119,'Preguntas de negocio'!$D$114:$D$119,0)</f>
        <v>5.5</v>
      </c>
      <c r="AB510" s="55">
        <f>VLOOKUP(C510,'Preguntas de negocio'!$C$121:$D$127,2,FALSE)</f>
        <v>0.65</v>
      </c>
    </row>
    <row r="511" spans="1:28" x14ac:dyDescent="0.3">
      <c r="A511" s="1">
        <v>45812</v>
      </c>
      <c r="B511" s="2" t="s">
        <v>2631</v>
      </c>
      <c r="C511" s="2" t="s">
        <v>2533</v>
      </c>
      <c r="D511" s="2" t="s">
        <v>2528</v>
      </c>
      <c r="E511" s="2" t="s">
        <v>2517</v>
      </c>
      <c r="F511" s="3">
        <v>5731</v>
      </c>
      <c r="G511" s="3">
        <v>102</v>
      </c>
      <c r="H511" s="3">
        <v>2</v>
      </c>
      <c r="I511" s="4">
        <v>11.2</v>
      </c>
      <c r="J511" s="4">
        <v>263.91000000000003</v>
      </c>
      <c r="K511" s="3">
        <v>1</v>
      </c>
      <c r="L511" s="2" t="s">
        <v>2539</v>
      </c>
      <c r="M511" s="2" t="s">
        <v>2526</v>
      </c>
      <c r="N511" s="8">
        <f>IFERROR(G511/F511,0)</f>
        <v>1.7797941022509162E-2</v>
      </c>
      <c r="O511" s="8">
        <f>IFERROR(H511/G511,0)</f>
        <v>1.9607843137254902E-2</v>
      </c>
      <c r="P511" s="4">
        <f>IFERROR(I511/G511,0)</f>
        <v>0.10980392156862745</v>
      </c>
      <c r="Q511" s="4">
        <f>IFERROR(I511/H511,0)</f>
        <v>5.6</v>
      </c>
      <c r="R511" s="12">
        <f>IFERROR(J511/I511,0)</f>
        <v>23.563392857142862</v>
      </c>
      <c r="S511" s="7">
        <f>Tabla_nuevas_columnas[[#This Row],[ROAS]]</f>
        <v>23.563392857142862</v>
      </c>
      <c r="T511" t="str">
        <f>_xlfn.CONCAT(C511,"-",D511)</f>
        <v>Paid Social-España</v>
      </c>
      <c r="U511">
        <f>YEAR(A511)</f>
        <v>2025</v>
      </c>
      <c r="V511">
        <f>MONTH(A511)</f>
        <v>6</v>
      </c>
      <c r="W511" t="str">
        <f>PROPER(TEXT(A511,"mmmm"))</f>
        <v>Junio</v>
      </c>
      <c r="X511" t="str">
        <f>PROPER(TEXT(A511,"dddd"))</f>
        <v>Miércoles</v>
      </c>
      <c r="Y511" t="str" cm="1">
        <f t="array" ref="Y511">_xlfn.IFS(R511&gt;10,"Excelente",R511&gt;=5,"Bueno",R511&gt;=2,"Débil",R511&lt;2,"Deficiente")</f>
        <v>Excelente</v>
      </c>
      <c r="Z511" t="str">
        <f>IF(AND(R511&lt;2,Q511&gt;=100),"Revisar","OK")</f>
        <v>OK</v>
      </c>
      <c r="AA511" s="55">
        <f>_xlfn.XLOOKUP(C511,'Preguntas de negocio'!$C$114:$C$119,'Preguntas de negocio'!$D$114:$D$119,0)</f>
        <v>6</v>
      </c>
      <c r="AB511" s="55">
        <f>VLOOKUP(C511,'Preguntas de negocio'!$C$121:$D$127,2,FALSE)</f>
        <v>0.8</v>
      </c>
    </row>
    <row r="512" spans="1:28" x14ac:dyDescent="0.3">
      <c r="A512" s="1">
        <v>46000</v>
      </c>
      <c r="B512" s="2" t="s">
        <v>2629</v>
      </c>
      <c r="C512" s="2" t="s">
        <v>2541</v>
      </c>
      <c r="D512" s="2" t="s">
        <v>2528</v>
      </c>
      <c r="E512" s="2" t="s">
        <v>2517</v>
      </c>
      <c r="F512" s="3">
        <v>75197</v>
      </c>
      <c r="G512" s="3">
        <v>639</v>
      </c>
      <c r="H512" s="3">
        <v>80</v>
      </c>
      <c r="I512" s="4">
        <v>481.65</v>
      </c>
      <c r="J512" s="4">
        <v>5156.6099999999997</v>
      </c>
      <c r="K512" s="3">
        <v>71</v>
      </c>
      <c r="L512" s="2" t="s">
        <v>2536</v>
      </c>
      <c r="M512" s="2" t="s">
        <v>2537</v>
      </c>
      <c r="N512" s="8">
        <f>IFERROR(G512/F512,0)</f>
        <v>8.4976794287006125E-3</v>
      </c>
      <c r="O512" s="8">
        <f>IFERROR(H512/G512,0)</f>
        <v>0.12519561815336464</v>
      </c>
      <c r="P512" s="4">
        <f>IFERROR(I512/G512,0)</f>
        <v>0.75375586854460086</v>
      </c>
      <c r="Q512" s="4">
        <f>IFERROR(I512/H512,0)</f>
        <v>6.0206249999999999</v>
      </c>
      <c r="R512" s="12">
        <f>IFERROR(J512/I512,0)</f>
        <v>10.706135160386172</v>
      </c>
      <c r="S512" s="7">
        <f>Tabla_nuevas_columnas[[#This Row],[ROAS]]</f>
        <v>10.706135160386172</v>
      </c>
      <c r="T512" t="str">
        <f>_xlfn.CONCAT(C512,"-",D512)</f>
        <v>Display-España</v>
      </c>
      <c r="U512">
        <f>YEAR(A512)</f>
        <v>2025</v>
      </c>
      <c r="V512">
        <f>MONTH(A512)</f>
        <v>12</v>
      </c>
      <c r="W512" t="str">
        <f>PROPER(TEXT(A512,"mmmm"))</f>
        <v>Diciembre</v>
      </c>
      <c r="X512" t="str">
        <f>PROPER(TEXT(A512,"dddd"))</f>
        <v>Martes</v>
      </c>
      <c r="Y512" t="str" cm="1">
        <f t="array" ref="Y512">_xlfn.IFS(R512&gt;10,"Excelente",R512&gt;=5,"Bueno",R512&gt;=2,"Débil",R512&lt;2,"Deficiente")</f>
        <v>Excelente</v>
      </c>
      <c r="Z512" t="str">
        <f>IF(AND(R512&lt;2,Q512&gt;=100),"Revisar","OK")</f>
        <v>OK</v>
      </c>
      <c r="AA512" s="55">
        <f>_xlfn.XLOOKUP(C512,'Preguntas de negocio'!$C$114:$C$119,'Preguntas de negocio'!$D$114:$D$119,0)</f>
        <v>5</v>
      </c>
      <c r="AB512" s="55">
        <f>VLOOKUP(C512,'Preguntas de negocio'!$C$121:$D$127,2,FALSE)</f>
        <v>0.5</v>
      </c>
    </row>
    <row r="513" spans="1:28" x14ac:dyDescent="0.3">
      <c r="A513" s="1">
        <v>45759</v>
      </c>
      <c r="B513" s="2" t="s">
        <v>2633</v>
      </c>
      <c r="C513" s="2" t="s">
        <v>2521</v>
      </c>
      <c r="D513" s="2" t="s">
        <v>2528</v>
      </c>
      <c r="E513" s="2" t="s">
        <v>2517</v>
      </c>
      <c r="F513" s="3">
        <v>6340</v>
      </c>
      <c r="G513" s="3">
        <v>122</v>
      </c>
      <c r="H513" s="3">
        <v>15</v>
      </c>
      <c r="I513" s="4">
        <v>169.89</v>
      </c>
      <c r="J513" s="4">
        <v>2481.58</v>
      </c>
      <c r="K513" s="3">
        <v>9</v>
      </c>
      <c r="L513" s="2" t="s">
        <v>2539</v>
      </c>
      <c r="M513" s="2" t="s">
        <v>2524</v>
      </c>
      <c r="N513" s="8">
        <f>IFERROR(G513/F513,0)</f>
        <v>1.9242902208201892E-2</v>
      </c>
      <c r="O513" s="8">
        <f>IFERROR(H513/G513,0)</f>
        <v>0.12295081967213115</v>
      </c>
      <c r="P513" s="4">
        <f>IFERROR(I513/G513,0)</f>
        <v>1.3925409836065572</v>
      </c>
      <c r="Q513" s="4">
        <f>IFERROR(I513/H513,0)</f>
        <v>11.325999999999999</v>
      </c>
      <c r="R513" s="12">
        <f>IFERROR(J513/I513,0)</f>
        <v>14.606980987697924</v>
      </c>
      <c r="S513" s="7">
        <f>Tabla_nuevas_columnas[[#This Row],[ROAS]]</f>
        <v>14.606980987697924</v>
      </c>
      <c r="T513" t="str">
        <f>_xlfn.CONCAT(C513,"-",D513)</f>
        <v>Paid Search-España</v>
      </c>
      <c r="U513">
        <f>YEAR(A513)</f>
        <v>2025</v>
      </c>
      <c r="V513">
        <f>MONTH(A513)</f>
        <v>4</v>
      </c>
      <c r="W513" t="str">
        <f>PROPER(TEXT(A513,"mmmm"))</f>
        <v>Abril</v>
      </c>
      <c r="X513" t="str">
        <f>PROPER(TEXT(A513,"dddd"))</f>
        <v>Sábado</v>
      </c>
      <c r="Y513" t="str" cm="1">
        <f t="array" ref="Y513">_xlfn.IFS(R513&gt;10,"Excelente",R513&gt;=5,"Bueno",R513&gt;=2,"Débil",R513&lt;2,"Deficiente")</f>
        <v>Excelente</v>
      </c>
      <c r="Z513" t="str">
        <f>IF(AND(R513&lt;2,Q513&gt;=100),"Revisar","OK")</f>
        <v>OK</v>
      </c>
      <c r="AA513" s="55">
        <f>_xlfn.XLOOKUP(C513,'Preguntas de negocio'!$C$114:$C$119,'Preguntas de negocio'!$D$114:$D$119,0)</f>
        <v>5</v>
      </c>
      <c r="AB513" s="55">
        <f>VLOOKUP(C513,'Preguntas de negocio'!$C$121:$D$127,2,FALSE)</f>
        <v>1.1000000000000001</v>
      </c>
    </row>
    <row r="514" spans="1:28" x14ac:dyDescent="0.3">
      <c r="A514" s="1">
        <v>45885</v>
      </c>
      <c r="B514" s="2" t="s">
        <v>2628</v>
      </c>
      <c r="C514" s="2" t="s">
        <v>2521</v>
      </c>
      <c r="D514" s="2" t="s">
        <v>2528</v>
      </c>
      <c r="E514" s="2" t="s">
        <v>2529</v>
      </c>
      <c r="F514" s="3">
        <v>25158</v>
      </c>
      <c r="G514" s="3">
        <v>1323</v>
      </c>
      <c r="H514" s="3">
        <v>183</v>
      </c>
      <c r="I514" s="4">
        <v>1286.6099999999999</v>
      </c>
      <c r="J514" s="4">
        <v>21545.99</v>
      </c>
      <c r="K514" s="3">
        <v>119</v>
      </c>
      <c r="L514" s="2" t="s">
        <v>2523</v>
      </c>
      <c r="M514" s="2" t="s">
        <v>2526</v>
      </c>
      <c r="N514" s="8">
        <f>IFERROR(G514/F514,0)</f>
        <v>5.2587646076794656E-2</v>
      </c>
      <c r="O514" s="8">
        <f>IFERROR(H514/G514,0)</f>
        <v>0.1383219954648526</v>
      </c>
      <c r="P514" s="4">
        <f>IFERROR(I514/G514,0)</f>
        <v>0.97249433106575955</v>
      </c>
      <c r="Q514" s="4">
        <f>IFERROR(I514/H514,0)</f>
        <v>7.0306557377049179</v>
      </c>
      <c r="R514" s="12">
        <f>IFERROR(J514/I514,0)</f>
        <v>16.746325615376847</v>
      </c>
      <c r="S514" s="7">
        <f>Tabla_nuevas_columnas[[#This Row],[ROAS]]</f>
        <v>16.746325615376847</v>
      </c>
      <c r="T514" t="str">
        <f>_xlfn.CONCAT(C514,"-",D514)</f>
        <v>Paid Search-España</v>
      </c>
      <c r="U514">
        <f>YEAR(A514)</f>
        <v>2025</v>
      </c>
      <c r="V514">
        <f>MONTH(A514)</f>
        <v>8</v>
      </c>
      <c r="W514" t="str">
        <f>PROPER(TEXT(A514,"mmmm"))</f>
        <v>Agosto</v>
      </c>
      <c r="X514" t="str">
        <f>PROPER(TEXT(A514,"dddd"))</f>
        <v>Sábado</v>
      </c>
      <c r="Y514" t="str" cm="1">
        <f t="array" ref="Y514">_xlfn.IFS(R514&gt;10,"Excelente",R514&gt;=5,"Bueno",R514&gt;=2,"Débil",R514&lt;2,"Deficiente")</f>
        <v>Excelente</v>
      </c>
      <c r="Z514" t="str">
        <f>IF(AND(R514&lt;2,Q514&gt;=100),"Revisar","OK")</f>
        <v>OK</v>
      </c>
      <c r="AA514" s="55">
        <f>_xlfn.XLOOKUP(C514,'Preguntas de negocio'!$C$114:$C$119,'Preguntas de negocio'!$D$114:$D$119,0)</f>
        <v>5</v>
      </c>
      <c r="AB514" s="55">
        <f>VLOOKUP(C514,'Preguntas de negocio'!$C$121:$D$127,2,FALSE)</f>
        <v>1.1000000000000001</v>
      </c>
    </row>
    <row r="515" spans="1:28" x14ac:dyDescent="0.3">
      <c r="A515" s="1">
        <v>45848</v>
      </c>
      <c r="B515" s="2" t="s">
        <v>2624</v>
      </c>
      <c r="C515" s="2" t="s">
        <v>2521</v>
      </c>
      <c r="D515" s="2" t="s">
        <v>2525</v>
      </c>
      <c r="E515" s="2" t="s">
        <v>2529</v>
      </c>
      <c r="F515" s="3">
        <v>167573</v>
      </c>
      <c r="G515" s="3">
        <v>1953</v>
      </c>
      <c r="H515" s="3">
        <v>71</v>
      </c>
      <c r="I515" s="4">
        <v>4005.9</v>
      </c>
      <c r="J515" s="4">
        <v>14852.83</v>
      </c>
      <c r="K515" s="3">
        <v>57</v>
      </c>
      <c r="L515" s="2" t="s">
        <v>2536</v>
      </c>
      <c r="M515" s="2" t="s">
        <v>2526</v>
      </c>
      <c r="N515" s="8">
        <f>IFERROR(G515/F515,0)</f>
        <v>1.1654622164668532E-2</v>
      </c>
      <c r="O515" s="8">
        <f>IFERROR(H515/G515,0)</f>
        <v>3.6354326676907321E-2</v>
      </c>
      <c r="P515" s="4">
        <f>IFERROR(I515/G515,0)</f>
        <v>2.0511520737327191</v>
      </c>
      <c r="Q515" s="4">
        <f>IFERROR(I515/H515,0)</f>
        <v>56.421126760563382</v>
      </c>
      <c r="R515" s="12">
        <f>IFERROR(J515/I515,0)</f>
        <v>3.7077385855862603</v>
      </c>
      <c r="S515" s="7">
        <f>Tabla_nuevas_columnas[[#This Row],[ROAS]]</f>
        <v>3.7077385855862603</v>
      </c>
      <c r="T515" t="str">
        <f>_xlfn.CONCAT(C515,"-",D515)</f>
        <v>Paid Search-Francia</v>
      </c>
      <c r="U515">
        <f>YEAR(A515)</f>
        <v>2025</v>
      </c>
      <c r="V515">
        <f>MONTH(A515)</f>
        <v>7</v>
      </c>
      <c r="W515" t="str">
        <f>PROPER(TEXT(A515,"mmmm"))</f>
        <v>Julio</v>
      </c>
      <c r="X515" t="str">
        <f>PROPER(TEXT(A515,"dddd"))</f>
        <v>Jueves</v>
      </c>
      <c r="Y515" t="str" cm="1">
        <f t="array" ref="Y515">_xlfn.IFS(R515&gt;10,"Excelente",R515&gt;=5,"Bueno",R515&gt;=2,"Débil",R515&lt;2,"Deficiente")</f>
        <v>Débil</v>
      </c>
      <c r="Z515" t="str">
        <f>IF(AND(R515&lt;2,Q515&gt;=100),"Revisar","OK")</f>
        <v>OK</v>
      </c>
      <c r="AA515" s="55">
        <f>_xlfn.XLOOKUP(C515,'Preguntas de negocio'!$C$114:$C$119,'Preguntas de negocio'!$D$114:$D$119,0)</f>
        <v>5</v>
      </c>
      <c r="AB515" s="55">
        <f>VLOOKUP(C515,'Preguntas de negocio'!$C$121:$D$127,2,FALSE)</f>
        <v>1.1000000000000001</v>
      </c>
    </row>
    <row r="516" spans="1:28" x14ac:dyDescent="0.3">
      <c r="A516" s="1">
        <v>45903</v>
      </c>
      <c r="B516" s="2" t="s">
        <v>2643</v>
      </c>
      <c r="C516" s="2" t="s">
        <v>2541</v>
      </c>
      <c r="D516" s="2" t="s">
        <v>2525</v>
      </c>
      <c r="E516" s="2" t="s">
        <v>2529</v>
      </c>
      <c r="F516" s="3">
        <v>169608</v>
      </c>
      <c r="G516" s="3">
        <v>12523</v>
      </c>
      <c r="H516" s="3">
        <v>131</v>
      </c>
      <c r="I516" s="4">
        <v>17347.38</v>
      </c>
      <c r="J516" s="4">
        <v>9240.32</v>
      </c>
      <c r="K516" s="3">
        <v>62</v>
      </c>
      <c r="L516" s="2" t="s">
        <v>2536</v>
      </c>
      <c r="M516" s="2" t="s">
        <v>2537</v>
      </c>
      <c r="N516" s="8">
        <f>IFERROR(G516/F516,0)</f>
        <v>7.3834960615065323E-2</v>
      </c>
      <c r="O516" s="8">
        <f>IFERROR(H516/G516,0)</f>
        <v>1.0460752215922702E-2</v>
      </c>
      <c r="P516" s="4">
        <f>IFERROR(I516/G516,0)</f>
        <v>1.3852415555378106</v>
      </c>
      <c r="Q516" s="4">
        <f>IFERROR(I516/H516,0)</f>
        <v>132.42274809160307</v>
      </c>
      <c r="R516" s="12">
        <f>IFERROR(J516/I516,0)</f>
        <v>0.53266372212979707</v>
      </c>
      <c r="S516" s="7">
        <f>Tabla_nuevas_columnas[[#This Row],[ROAS]]</f>
        <v>0.53266372212979707</v>
      </c>
      <c r="T516" t="str">
        <f>_xlfn.CONCAT(C516,"-",D516)</f>
        <v>Display-Francia</v>
      </c>
      <c r="U516">
        <f>YEAR(A516)</f>
        <v>2025</v>
      </c>
      <c r="V516">
        <f>MONTH(A516)</f>
        <v>9</v>
      </c>
      <c r="W516" t="str">
        <f>PROPER(TEXT(A516,"mmmm"))</f>
        <v>Septiembre</v>
      </c>
      <c r="X516" t="str">
        <f>PROPER(TEXT(A516,"dddd"))</f>
        <v>Miércoles</v>
      </c>
      <c r="Y516" t="str" cm="1">
        <f t="array" ref="Y516">_xlfn.IFS(R516&gt;10,"Excelente",R516&gt;=5,"Bueno",R516&gt;=2,"Débil",R516&lt;2,"Deficiente")</f>
        <v>Deficiente</v>
      </c>
      <c r="Z516" t="str">
        <f>IF(AND(R516&lt;2,Q516&gt;=100),"Revisar","OK")</f>
        <v>Revisar</v>
      </c>
      <c r="AA516" s="55">
        <f>_xlfn.XLOOKUP(C516,'Preguntas de negocio'!$C$114:$C$119,'Preguntas de negocio'!$D$114:$D$119,0)</f>
        <v>5</v>
      </c>
      <c r="AB516" s="55">
        <f>VLOOKUP(C516,'Preguntas de negocio'!$C$121:$D$127,2,FALSE)</f>
        <v>0.5</v>
      </c>
    </row>
    <row r="517" spans="1:28" x14ac:dyDescent="0.3">
      <c r="A517" s="1">
        <v>45716</v>
      </c>
      <c r="B517" s="2" t="s">
        <v>2633</v>
      </c>
      <c r="C517" s="2" t="s">
        <v>2543</v>
      </c>
      <c r="D517" s="2" t="s">
        <v>2516</v>
      </c>
      <c r="E517" s="2" t="s">
        <v>2529</v>
      </c>
      <c r="F517" s="3">
        <v>83513</v>
      </c>
      <c r="G517" s="3">
        <v>5009</v>
      </c>
      <c r="H517" s="3">
        <v>423</v>
      </c>
      <c r="I517" s="4">
        <v>9894.7000000000007</v>
      </c>
      <c r="J517" s="4">
        <v>57772.18</v>
      </c>
      <c r="K517" s="3">
        <v>273</v>
      </c>
      <c r="L517" s="2" t="s">
        <v>2536</v>
      </c>
      <c r="M517" s="2" t="s">
        <v>2524</v>
      </c>
      <c r="N517" s="8">
        <f>IFERROR(G517/F517,0)</f>
        <v>5.9978685953085149E-2</v>
      </c>
      <c r="O517" s="8">
        <f>IFERROR(H517/G517,0)</f>
        <v>8.4447993611499295E-2</v>
      </c>
      <c r="P517" s="4">
        <f>IFERROR(I517/G517,0)</f>
        <v>1.9753843082451588</v>
      </c>
      <c r="Q517" s="4">
        <f>IFERROR(I517/H517,0)</f>
        <v>23.391725768321514</v>
      </c>
      <c r="R517" s="12">
        <f>IFERROR(J517/I517,0)</f>
        <v>5.8386995057960318</v>
      </c>
      <c r="S517" s="7">
        <f>Tabla_nuevas_columnas[[#This Row],[ROAS]]</f>
        <v>5.8386995057960318</v>
      </c>
      <c r="T517" t="str">
        <f>_xlfn.CONCAT(C517,"-",D517)</f>
        <v>Organic Social-México</v>
      </c>
      <c r="U517">
        <f>YEAR(A517)</f>
        <v>2025</v>
      </c>
      <c r="V517">
        <f>MONTH(A517)</f>
        <v>2</v>
      </c>
      <c r="W517" t="str">
        <f>PROPER(TEXT(A517,"mmmm"))</f>
        <v>Febrero</v>
      </c>
      <c r="X517" t="str">
        <f>PROPER(TEXT(A517,"dddd"))</f>
        <v>Viernes</v>
      </c>
      <c r="Y517" t="str" cm="1">
        <f t="array" ref="Y517">_xlfn.IFS(R517&gt;10,"Excelente",R517&gt;=5,"Bueno",R517&gt;=2,"Débil",R517&lt;2,"Deficiente")</f>
        <v>Bueno</v>
      </c>
      <c r="Z517" t="str">
        <f>IF(AND(R517&lt;2,Q517&gt;=100),"Revisar","OK")</f>
        <v>OK</v>
      </c>
      <c r="AA517" s="55">
        <f>_xlfn.XLOOKUP(C517,'Preguntas de negocio'!$C$114:$C$119,'Preguntas de negocio'!$D$114:$D$119,0)</f>
        <v>4</v>
      </c>
      <c r="AB517" s="55">
        <f>VLOOKUP(C517,'Preguntas de negocio'!$C$121:$D$127,2,FALSE)</f>
        <v>0.95</v>
      </c>
    </row>
    <row r="518" spans="1:28" x14ac:dyDescent="0.3">
      <c r="A518" s="1">
        <v>45859</v>
      </c>
      <c r="B518" s="2" t="s">
        <v>2630</v>
      </c>
      <c r="C518" s="2" t="s">
        <v>2515</v>
      </c>
      <c r="D518" s="2" t="s">
        <v>2528</v>
      </c>
      <c r="E518" s="2" t="s">
        <v>2517</v>
      </c>
      <c r="F518" s="3">
        <v>91618</v>
      </c>
      <c r="G518" s="3">
        <v>954</v>
      </c>
      <c r="H518" s="3">
        <v>11</v>
      </c>
      <c r="I518" s="4">
        <v>1289.6300000000001</v>
      </c>
      <c r="J518" s="4">
        <v>981.21</v>
      </c>
      <c r="K518" s="3">
        <v>6</v>
      </c>
      <c r="L518" s="2" t="s">
        <v>2518</v>
      </c>
      <c r="M518" s="2" t="s">
        <v>2537</v>
      </c>
      <c r="N518" s="8">
        <f>IFERROR(G518/F518,0)</f>
        <v>1.0412800977973761E-2</v>
      </c>
      <c r="O518" s="8">
        <f>IFERROR(H518/G518,0)</f>
        <v>1.1530398322851153E-2</v>
      </c>
      <c r="P518" s="4">
        <f>IFERROR(I518/G518,0)</f>
        <v>1.3518134171907759</v>
      </c>
      <c r="Q518" s="4">
        <f>IFERROR(I518/H518,0)</f>
        <v>117.23909090909092</v>
      </c>
      <c r="R518" s="12">
        <f>IFERROR(J518/I518,0)</f>
        <v>0.76084613416251168</v>
      </c>
      <c r="S518" s="7">
        <f>Tabla_nuevas_columnas[[#This Row],[ROAS]]</f>
        <v>0.76084613416251168</v>
      </c>
      <c r="T518" t="str">
        <f>_xlfn.CONCAT(C518,"-",D518)</f>
        <v>Email-España</v>
      </c>
      <c r="U518">
        <f>YEAR(A518)</f>
        <v>2025</v>
      </c>
      <c r="V518">
        <f>MONTH(A518)</f>
        <v>7</v>
      </c>
      <c r="W518" t="str">
        <f>PROPER(TEXT(A518,"mmmm"))</f>
        <v>Julio</v>
      </c>
      <c r="X518" t="str">
        <f>PROPER(TEXT(A518,"dddd"))</f>
        <v>Lunes</v>
      </c>
      <c r="Y518" t="str" cm="1">
        <f t="array" ref="Y518">_xlfn.IFS(R518&gt;10,"Excelente",R518&gt;=5,"Bueno",R518&gt;=2,"Débil",R518&lt;2,"Deficiente")</f>
        <v>Deficiente</v>
      </c>
      <c r="Z518" t="str">
        <f>IF(AND(R518&lt;2,Q518&gt;=100),"Revisar","OK")</f>
        <v>Revisar</v>
      </c>
      <c r="AA518" s="55">
        <f>_xlfn.XLOOKUP(C518,'Preguntas de negocio'!$C$114:$C$119,'Preguntas de negocio'!$D$114:$D$119,0)</f>
        <v>5.5</v>
      </c>
      <c r="AB518" s="55">
        <f>VLOOKUP(C518,'Preguntas de negocio'!$C$121:$D$127,2,FALSE)</f>
        <v>0.65</v>
      </c>
    </row>
    <row r="519" spans="1:28" x14ac:dyDescent="0.3">
      <c r="A519" s="1">
        <v>45816</v>
      </c>
      <c r="B519" s="2" t="s">
        <v>2632</v>
      </c>
      <c r="C519" s="2" t="s">
        <v>2521</v>
      </c>
      <c r="D519" s="2" t="s">
        <v>2528</v>
      </c>
      <c r="E519" s="2" t="s">
        <v>2517</v>
      </c>
      <c r="F519" s="3">
        <v>70587</v>
      </c>
      <c r="G519" s="3">
        <v>4263</v>
      </c>
      <c r="H519" s="3">
        <v>262</v>
      </c>
      <c r="I519" s="4">
        <v>7505.75</v>
      </c>
      <c r="J519" s="4">
        <v>25218.16</v>
      </c>
      <c r="K519" s="3">
        <v>128</v>
      </c>
      <c r="L519" s="2" t="s">
        <v>2539</v>
      </c>
      <c r="M519" s="2" t="s">
        <v>2519</v>
      </c>
      <c r="N519" s="8">
        <f>IFERROR(G519/F519,0)</f>
        <v>6.0393556887245528E-2</v>
      </c>
      <c r="O519" s="8">
        <f>IFERROR(H519/G519,0)</f>
        <v>6.145906638517476E-2</v>
      </c>
      <c r="P519" s="4">
        <f>IFERROR(I519/G519,0)</f>
        <v>1.7606732348111658</v>
      </c>
      <c r="Q519" s="4">
        <f>IFERROR(I519/H519,0)</f>
        <v>28.647900763358777</v>
      </c>
      <c r="R519" s="12">
        <f>IFERROR(J519/I519,0)</f>
        <v>3.3598454518202709</v>
      </c>
      <c r="S519" s="7">
        <f>Tabla_nuevas_columnas[[#This Row],[ROAS]]</f>
        <v>3.3598454518202709</v>
      </c>
      <c r="T519" t="str">
        <f>_xlfn.CONCAT(C519,"-",D519)</f>
        <v>Paid Search-España</v>
      </c>
      <c r="U519">
        <f>YEAR(A519)</f>
        <v>2025</v>
      </c>
      <c r="V519">
        <f>MONTH(A519)</f>
        <v>6</v>
      </c>
      <c r="W519" t="str">
        <f>PROPER(TEXT(A519,"mmmm"))</f>
        <v>Junio</v>
      </c>
      <c r="X519" t="str">
        <f>PROPER(TEXT(A519,"dddd"))</f>
        <v>Domingo</v>
      </c>
      <c r="Y519" t="str" cm="1">
        <f t="array" ref="Y519">_xlfn.IFS(R519&gt;10,"Excelente",R519&gt;=5,"Bueno",R519&gt;=2,"Débil",R519&lt;2,"Deficiente")</f>
        <v>Débil</v>
      </c>
      <c r="Z519" t="str">
        <f>IF(AND(R519&lt;2,Q519&gt;=100),"Revisar","OK")</f>
        <v>OK</v>
      </c>
      <c r="AA519" s="55">
        <f>_xlfn.XLOOKUP(C519,'Preguntas de negocio'!$C$114:$C$119,'Preguntas de negocio'!$D$114:$D$119,0)</f>
        <v>5</v>
      </c>
      <c r="AB519" s="55">
        <f>VLOOKUP(C519,'Preguntas de negocio'!$C$121:$D$127,2,FALSE)</f>
        <v>1.1000000000000001</v>
      </c>
    </row>
    <row r="520" spans="1:28" x14ac:dyDescent="0.3">
      <c r="A520" s="1">
        <v>46014</v>
      </c>
      <c r="B520" s="2" t="s">
        <v>2644</v>
      </c>
      <c r="C520" s="2" t="s">
        <v>2527</v>
      </c>
      <c r="D520" s="2" t="s">
        <v>2525</v>
      </c>
      <c r="E520" s="2" t="s">
        <v>2517</v>
      </c>
      <c r="F520" s="3">
        <v>135586</v>
      </c>
      <c r="G520" s="3">
        <v>8967</v>
      </c>
      <c r="H520" s="3">
        <v>1001</v>
      </c>
      <c r="I520" s="4">
        <v>4618.6899999999996</v>
      </c>
      <c r="J520" s="4">
        <v>161944.57</v>
      </c>
      <c r="K520" s="3">
        <v>794</v>
      </c>
      <c r="L520" s="2" t="s">
        <v>2523</v>
      </c>
      <c r="M520" s="2" t="s">
        <v>2524</v>
      </c>
      <c r="N520" s="8">
        <f>IFERROR(G520/F520,0)</f>
        <v>6.6135146696561592E-2</v>
      </c>
      <c r="O520" s="8">
        <f>IFERROR(H520/G520,0)</f>
        <v>0.11163153786104606</v>
      </c>
      <c r="P520" s="4">
        <f>IFERROR(I520/G520,0)</f>
        <v>0.5150763912122226</v>
      </c>
      <c r="Q520" s="4">
        <f>IFERROR(I520/H520,0)</f>
        <v>4.6140759240759239</v>
      </c>
      <c r="R520" s="12">
        <f>IFERROR(J520/I520,0)</f>
        <v>35.062879301273739</v>
      </c>
      <c r="S520" s="7">
        <f>Tabla_nuevas_columnas[[#This Row],[ROAS]]</f>
        <v>35.062879301273739</v>
      </c>
      <c r="T520" t="str">
        <f>_xlfn.CONCAT(C520,"-",D520)</f>
        <v>Affiliate-Francia</v>
      </c>
      <c r="U520">
        <f>YEAR(A520)</f>
        <v>2025</v>
      </c>
      <c r="V520">
        <f>MONTH(A520)</f>
        <v>12</v>
      </c>
      <c r="W520" t="str">
        <f>PROPER(TEXT(A520,"mmmm"))</f>
        <v>Diciembre</v>
      </c>
      <c r="X520" t="str">
        <f>PROPER(TEXT(A520,"dddd"))</f>
        <v>Martes</v>
      </c>
      <c r="Y520" t="str" cm="1">
        <f t="array" ref="Y520">_xlfn.IFS(R520&gt;10,"Excelente",R520&gt;=5,"Bueno",R520&gt;=2,"Débil",R520&lt;2,"Deficiente")</f>
        <v>Excelente</v>
      </c>
      <c r="Z520" t="str">
        <f>IF(AND(R520&lt;2,Q520&gt;=100),"Revisar","OK")</f>
        <v>OK</v>
      </c>
      <c r="AA520" s="55">
        <f>_xlfn.XLOOKUP(C520,'Preguntas de negocio'!$C$114:$C$119,'Preguntas de negocio'!$D$114:$D$119,0)</f>
        <v>4.5</v>
      </c>
      <c r="AB520" s="55">
        <f>VLOOKUP(C520,'Preguntas de negocio'!$C$121:$D$127,2,FALSE)</f>
        <v>0.35</v>
      </c>
    </row>
    <row r="521" spans="1:28" x14ac:dyDescent="0.3">
      <c r="A521" s="1">
        <v>45739</v>
      </c>
      <c r="B521" s="2" t="s">
        <v>2624</v>
      </c>
      <c r="C521" s="2" t="s">
        <v>2527</v>
      </c>
      <c r="D521" s="2" t="s">
        <v>2528</v>
      </c>
      <c r="E521" s="2" t="s">
        <v>2517</v>
      </c>
      <c r="F521" s="3">
        <v>123898</v>
      </c>
      <c r="G521" s="3">
        <v>7711</v>
      </c>
      <c r="H521" s="3">
        <v>554</v>
      </c>
      <c r="I521" s="4">
        <v>8737.2199999999993</v>
      </c>
      <c r="J521" s="4">
        <v>71905.38</v>
      </c>
      <c r="K521" s="3">
        <v>377</v>
      </c>
      <c r="L521" s="2" t="s">
        <v>2518</v>
      </c>
      <c r="M521" s="2" t="s">
        <v>2537</v>
      </c>
      <c r="N521" s="8">
        <f>IFERROR(G521/F521,0)</f>
        <v>6.2236678558168813E-2</v>
      </c>
      <c r="O521" s="8">
        <f>IFERROR(H521/G521,0)</f>
        <v>7.1845415639994817E-2</v>
      </c>
      <c r="P521" s="4">
        <f>IFERROR(I521/G521,0)</f>
        <v>1.1330852029568148</v>
      </c>
      <c r="Q521" s="4">
        <f>IFERROR(I521/H521,0)</f>
        <v>15.771155234657039</v>
      </c>
      <c r="R521" s="12">
        <f>IFERROR(J521/I521,0)</f>
        <v>8.2297778927393388</v>
      </c>
      <c r="S521" s="7">
        <f>Tabla_nuevas_columnas[[#This Row],[ROAS]]</f>
        <v>8.2297778927393388</v>
      </c>
      <c r="T521" t="str">
        <f>_xlfn.CONCAT(C521,"-",D521)</f>
        <v>Affiliate-España</v>
      </c>
      <c r="U521">
        <f>YEAR(A521)</f>
        <v>2025</v>
      </c>
      <c r="V521">
        <f>MONTH(A521)</f>
        <v>3</v>
      </c>
      <c r="W521" t="str">
        <f>PROPER(TEXT(A521,"mmmm"))</f>
        <v>Marzo</v>
      </c>
      <c r="X521" t="str">
        <f>PROPER(TEXT(A521,"dddd"))</f>
        <v>Domingo</v>
      </c>
      <c r="Y521" t="str" cm="1">
        <f t="array" ref="Y521">_xlfn.IFS(R521&gt;10,"Excelente",R521&gt;=5,"Bueno",R521&gt;=2,"Débil",R521&lt;2,"Deficiente")</f>
        <v>Bueno</v>
      </c>
      <c r="Z521" t="str">
        <f>IF(AND(R521&lt;2,Q521&gt;=100),"Revisar","OK")</f>
        <v>OK</v>
      </c>
      <c r="AA521" s="55">
        <f>_xlfn.XLOOKUP(C521,'Preguntas de negocio'!$C$114:$C$119,'Preguntas de negocio'!$D$114:$D$119,0)</f>
        <v>4.5</v>
      </c>
      <c r="AB521" s="55">
        <f>VLOOKUP(C521,'Preguntas de negocio'!$C$121:$D$127,2,FALSE)</f>
        <v>0.35</v>
      </c>
    </row>
    <row r="522" spans="1:28" x14ac:dyDescent="0.3">
      <c r="A522" s="1">
        <v>45760</v>
      </c>
      <c r="B522" s="2" t="s">
        <v>2623</v>
      </c>
      <c r="C522" s="2" t="s">
        <v>2533</v>
      </c>
      <c r="D522" s="2" t="s">
        <v>2525</v>
      </c>
      <c r="E522" s="2" t="s">
        <v>2517</v>
      </c>
      <c r="F522" s="3">
        <v>50197</v>
      </c>
      <c r="G522" s="3">
        <v>3435</v>
      </c>
      <c r="H522" s="3">
        <v>293</v>
      </c>
      <c r="I522" s="4">
        <v>652.86</v>
      </c>
      <c r="J522" s="4">
        <v>24762.57</v>
      </c>
      <c r="K522" s="3">
        <v>213</v>
      </c>
      <c r="L522" s="2" t="s">
        <v>2539</v>
      </c>
      <c r="M522" s="2" t="s">
        <v>2537</v>
      </c>
      <c r="N522" s="8">
        <f>IFERROR(G522/F522,0)</f>
        <v>6.8430384285913498E-2</v>
      </c>
      <c r="O522" s="8">
        <f>IFERROR(H522/G522,0)</f>
        <v>8.5298398835516737E-2</v>
      </c>
      <c r="P522" s="4">
        <f>IFERROR(I522/G522,0)</f>
        <v>0.19006113537117905</v>
      </c>
      <c r="Q522" s="4">
        <f>IFERROR(I522/H522,0)</f>
        <v>2.2281911262798637</v>
      </c>
      <c r="R522" s="12">
        <f>IFERROR(J522/I522,0)</f>
        <v>37.929372300340042</v>
      </c>
      <c r="S522" s="7">
        <f>Tabla_nuevas_columnas[[#This Row],[ROAS]]</f>
        <v>37.929372300340042</v>
      </c>
      <c r="T522" t="str">
        <f>_xlfn.CONCAT(C522,"-",D522)</f>
        <v>Paid Social-Francia</v>
      </c>
      <c r="U522">
        <f>YEAR(A522)</f>
        <v>2025</v>
      </c>
      <c r="V522">
        <f>MONTH(A522)</f>
        <v>4</v>
      </c>
      <c r="W522" t="str">
        <f>PROPER(TEXT(A522,"mmmm"))</f>
        <v>Abril</v>
      </c>
      <c r="X522" t="str">
        <f>PROPER(TEXT(A522,"dddd"))</f>
        <v>Domingo</v>
      </c>
      <c r="Y522" t="str" cm="1">
        <f t="array" ref="Y522">_xlfn.IFS(R522&gt;10,"Excelente",R522&gt;=5,"Bueno",R522&gt;=2,"Débil",R522&lt;2,"Deficiente")</f>
        <v>Excelente</v>
      </c>
      <c r="Z522" t="str">
        <f>IF(AND(R522&lt;2,Q522&gt;=100),"Revisar","OK")</f>
        <v>OK</v>
      </c>
      <c r="AA522" s="55">
        <f>_xlfn.XLOOKUP(C522,'Preguntas de negocio'!$C$114:$C$119,'Preguntas de negocio'!$D$114:$D$119,0)</f>
        <v>6</v>
      </c>
      <c r="AB522" s="55">
        <f>VLOOKUP(C522,'Preguntas de negocio'!$C$121:$D$127,2,FALSE)</f>
        <v>0.8</v>
      </c>
    </row>
    <row r="523" spans="1:28" x14ac:dyDescent="0.3">
      <c r="A523" s="1">
        <v>45910</v>
      </c>
      <c r="B523" s="2" t="s">
        <v>2619</v>
      </c>
      <c r="C523" s="2" t="s">
        <v>2541</v>
      </c>
      <c r="D523" s="2" t="s">
        <v>2516</v>
      </c>
      <c r="E523" s="2" t="s">
        <v>2517</v>
      </c>
      <c r="F523" s="3">
        <v>85059</v>
      </c>
      <c r="G523" s="3">
        <v>4913</v>
      </c>
      <c r="H523" s="3">
        <v>440</v>
      </c>
      <c r="I523" s="4">
        <v>7424.84</v>
      </c>
      <c r="J523" s="4">
        <v>57954.559999999998</v>
      </c>
      <c r="K523" s="3">
        <v>206</v>
      </c>
      <c r="L523" s="2" t="s">
        <v>2539</v>
      </c>
      <c r="M523" s="2" t="s">
        <v>2519</v>
      </c>
      <c r="N523" s="8">
        <f>IFERROR(G523/F523,0)</f>
        <v>5.7759907828683621E-2</v>
      </c>
      <c r="O523" s="8">
        <f>IFERROR(H523/G523,0)</f>
        <v>8.9558314675351108E-2</v>
      </c>
      <c r="P523" s="4">
        <f>IFERROR(I523/G523,0)</f>
        <v>1.5112639934866681</v>
      </c>
      <c r="Q523" s="4">
        <f>IFERROR(I523/H523,0)</f>
        <v>16.874636363636363</v>
      </c>
      <c r="R523" s="12">
        <f>IFERROR(J523/I523,0)</f>
        <v>7.8054961453714826</v>
      </c>
      <c r="S523" s="7">
        <f>Tabla_nuevas_columnas[[#This Row],[ROAS]]</f>
        <v>7.8054961453714826</v>
      </c>
      <c r="T523" t="str">
        <f>_xlfn.CONCAT(C523,"-",D523)</f>
        <v>Display-México</v>
      </c>
      <c r="U523">
        <f>YEAR(A523)</f>
        <v>2025</v>
      </c>
      <c r="V523">
        <f>MONTH(A523)</f>
        <v>9</v>
      </c>
      <c r="W523" t="str">
        <f>PROPER(TEXT(A523,"mmmm"))</f>
        <v>Septiembre</v>
      </c>
      <c r="X523" t="str">
        <f>PROPER(TEXT(A523,"dddd"))</f>
        <v>Miércoles</v>
      </c>
      <c r="Y523" t="str" cm="1">
        <f t="array" ref="Y523">_xlfn.IFS(R523&gt;10,"Excelente",R523&gt;=5,"Bueno",R523&gt;=2,"Débil",R523&lt;2,"Deficiente")</f>
        <v>Bueno</v>
      </c>
      <c r="Z523" t="str">
        <f>IF(AND(R523&lt;2,Q523&gt;=100),"Revisar","OK")</f>
        <v>OK</v>
      </c>
      <c r="AA523" s="55">
        <f>_xlfn.XLOOKUP(C523,'Preguntas de negocio'!$C$114:$C$119,'Preguntas de negocio'!$D$114:$D$119,0)</f>
        <v>5</v>
      </c>
      <c r="AB523" s="55">
        <f>VLOOKUP(C523,'Preguntas de negocio'!$C$121:$D$127,2,FALSE)</f>
        <v>0.5</v>
      </c>
    </row>
    <row r="524" spans="1:28" x14ac:dyDescent="0.3">
      <c r="A524" s="1">
        <v>45908</v>
      </c>
      <c r="B524" s="2" t="s">
        <v>2637</v>
      </c>
      <c r="C524" s="2" t="s">
        <v>2515</v>
      </c>
      <c r="D524" s="2" t="s">
        <v>2516</v>
      </c>
      <c r="E524" s="2" t="s">
        <v>2517</v>
      </c>
      <c r="F524" s="3">
        <v>132539</v>
      </c>
      <c r="G524" s="3">
        <v>8958</v>
      </c>
      <c r="H524" s="3">
        <v>451</v>
      </c>
      <c r="I524" s="4">
        <v>10437.58</v>
      </c>
      <c r="J524" s="4">
        <v>55712.15</v>
      </c>
      <c r="K524" s="3">
        <v>371</v>
      </c>
      <c r="L524" s="2" t="s">
        <v>2536</v>
      </c>
      <c r="M524" s="2" t="s">
        <v>2546</v>
      </c>
      <c r="N524" s="8">
        <f>IFERROR(G524/F524,0)</f>
        <v>6.7587653445400978E-2</v>
      </c>
      <c r="O524" s="8">
        <f>IFERROR(H524/G524,0)</f>
        <v>5.0346059388256308E-2</v>
      </c>
      <c r="P524" s="4">
        <f>IFERROR(I524/G524,0)</f>
        <v>1.1651685644116991</v>
      </c>
      <c r="Q524" s="4">
        <f>IFERROR(I524/H524,0)</f>
        <v>23.143192904656321</v>
      </c>
      <c r="R524" s="12">
        <f>IFERROR(J524/I524,0)</f>
        <v>5.3376501066339133</v>
      </c>
      <c r="S524" s="7">
        <f>Tabla_nuevas_columnas[[#This Row],[ROAS]]</f>
        <v>5.3376501066339133</v>
      </c>
      <c r="T524" t="str">
        <f>_xlfn.CONCAT(C524,"-",D524)</f>
        <v>Email-México</v>
      </c>
      <c r="U524">
        <f>YEAR(A524)</f>
        <v>2025</v>
      </c>
      <c r="V524">
        <f>MONTH(A524)</f>
        <v>9</v>
      </c>
      <c r="W524" t="str">
        <f>PROPER(TEXT(A524,"mmmm"))</f>
        <v>Septiembre</v>
      </c>
      <c r="X524" t="str">
        <f>PROPER(TEXT(A524,"dddd"))</f>
        <v>Lunes</v>
      </c>
      <c r="Y524" t="str" cm="1">
        <f t="array" ref="Y524">_xlfn.IFS(R524&gt;10,"Excelente",R524&gt;=5,"Bueno",R524&gt;=2,"Débil",R524&lt;2,"Deficiente")</f>
        <v>Bueno</v>
      </c>
      <c r="Z524" t="str">
        <f>IF(AND(R524&lt;2,Q524&gt;=100),"Revisar","OK")</f>
        <v>OK</v>
      </c>
      <c r="AA524" s="55">
        <f>_xlfn.XLOOKUP(C524,'Preguntas de negocio'!$C$114:$C$119,'Preguntas de negocio'!$D$114:$D$119,0)</f>
        <v>5.5</v>
      </c>
      <c r="AB524" s="55">
        <f>VLOOKUP(C524,'Preguntas de negocio'!$C$121:$D$127,2,FALSE)</f>
        <v>0.65</v>
      </c>
    </row>
    <row r="525" spans="1:28" x14ac:dyDescent="0.3">
      <c r="A525" s="1">
        <v>45791</v>
      </c>
      <c r="B525" s="2" t="s">
        <v>2624</v>
      </c>
      <c r="C525" s="2" t="s">
        <v>2527</v>
      </c>
      <c r="D525" s="2" t="s">
        <v>2525</v>
      </c>
      <c r="E525" s="2" t="s">
        <v>2517</v>
      </c>
      <c r="F525" s="3">
        <v>13308</v>
      </c>
      <c r="G525" s="3">
        <v>380</v>
      </c>
      <c r="H525" s="3">
        <v>26</v>
      </c>
      <c r="I525" s="4">
        <v>400.15</v>
      </c>
      <c r="J525" s="4">
        <v>4777.84</v>
      </c>
      <c r="K525" s="3">
        <v>19</v>
      </c>
      <c r="L525" s="2" t="s">
        <v>2536</v>
      </c>
      <c r="M525" s="2" t="s">
        <v>2519</v>
      </c>
      <c r="N525" s="8">
        <f>IFERROR(G525/F525,0)</f>
        <v>2.8554253080853621E-2</v>
      </c>
      <c r="O525" s="8">
        <f>IFERROR(H525/G525,0)</f>
        <v>6.8421052631578952E-2</v>
      </c>
      <c r="P525" s="4">
        <f>IFERROR(I525/G525,0)</f>
        <v>1.0530263157894737</v>
      </c>
      <c r="Q525" s="4">
        <f>IFERROR(I525/H525,0)</f>
        <v>15.390384615384615</v>
      </c>
      <c r="R525" s="12">
        <f>IFERROR(J525/I525,0)</f>
        <v>11.940122454079722</v>
      </c>
      <c r="S525" s="7">
        <f>Tabla_nuevas_columnas[[#This Row],[ROAS]]</f>
        <v>11.940122454079722</v>
      </c>
      <c r="T525" t="str">
        <f>_xlfn.CONCAT(C525,"-",D525)</f>
        <v>Affiliate-Francia</v>
      </c>
      <c r="U525">
        <f>YEAR(A525)</f>
        <v>2025</v>
      </c>
      <c r="V525">
        <f>MONTH(A525)</f>
        <v>5</v>
      </c>
      <c r="W525" t="str">
        <f>PROPER(TEXT(A525,"mmmm"))</f>
        <v>Mayo</v>
      </c>
      <c r="X525" t="str">
        <f>PROPER(TEXT(A525,"dddd"))</f>
        <v>Miércoles</v>
      </c>
      <c r="Y525" t="str" cm="1">
        <f t="array" ref="Y525">_xlfn.IFS(R525&gt;10,"Excelente",R525&gt;=5,"Bueno",R525&gt;=2,"Débil",R525&lt;2,"Deficiente")</f>
        <v>Excelente</v>
      </c>
      <c r="Z525" t="str">
        <f>IF(AND(R525&lt;2,Q525&gt;=100),"Revisar","OK")</f>
        <v>OK</v>
      </c>
      <c r="AA525" s="55">
        <f>_xlfn.XLOOKUP(C525,'Preguntas de negocio'!$C$114:$C$119,'Preguntas de negocio'!$D$114:$D$119,0)</f>
        <v>4.5</v>
      </c>
      <c r="AB525" s="55">
        <f>VLOOKUP(C525,'Preguntas de negocio'!$C$121:$D$127,2,FALSE)</f>
        <v>0.35</v>
      </c>
    </row>
    <row r="526" spans="1:28" x14ac:dyDescent="0.3">
      <c r="A526" s="1">
        <v>46015</v>
      </c>
      <c r="B526" s="2" t="s">
        <v>2627</v>
      </c>
      <c r="C526" s="2" t="s">
        <v>2543</v>
      </c>
      <c r="D526" s="2" t="s">
        <v>2528</v>
      </c>
      <c r="E526" s="2" t="s">
        <v>2517</v>
      </c>
      <c r="F526" s="3">
        <v>138585</v>
      </c>
      <c r="G526" s="3">
        <v>8238</v>
      </c>
      <c r="H526" s="3">
        <v>1013</v>
      </c>
      <c r="I526" s="4">
        <v>11972.56</v>
      </c>
      <c r="J526" s="4">
        <v>130558.93</v>
      </c>
      <c r="K526" s="3">
        <v>833</v>
      </c>
      <c r="L526" s="2" t="s">
        <v>2539</v>
      </c>
      <c r="M526" s="2" t="s">
        <v>2546</v>
      </c>
      <c r="N526" s="8">
        <f>IFERROR(G526/F526,0)</f>
        <v>5.9443662734062125E-2</v>
      </c>
      <c r="O526" s="8">
        <f>IFERROR(H526/G526,0)</f>
        <v>0.12296673949987862</v>
      </c>
      <c r="P526" s="4">
        <f>IFERROR(I526/G526,0)</f>
        <v>1.4533333333333334</v>
      </c>
      <c r="Q526" s="4">
        <f>IFERROR(I526/H526,0)</f>
        <v>11.818914116485686</v>
      </c>
      <c r="R526" s="12">
        <f>IFERROR(J526/I526,0)</f>
        <v>10.904846582518692</v>
      </c>
      <c r="S526" s="7">
        <f>Tabla_nuevas_columnas[[#This Row],[ROAS]]</f>
        <v>10.904846582518692</v>
      </c>
      <c r="T526" t="str">
        <f>_xlfn.CONCAT(C526,"-",D526)</f>
        <v>Organic Social-España</v>
      </c>
      <c r="U526">
        <f>YEAR(A526)</f>
        <v>2025</v>
      </c>
      <c r="V526">
        <f>MONTH(A526)</f>
        <v>12</v>
      </c>
      <c r="W526" t="str">
        <f>PROPER(TEXT(A526,"mmmm"))</f>
        <v>Diciembre</v>
      </c>
      <c r="X526" t="str">
        <f>PROPER(TEXT(A526,"dddd"))</f>
        <v>Miércoles</v>
      </c>
      <c r="Y526" t="str" cm="1">
        <f t="array" ref="Y526">_xlfn.IFS(R526&gt;10,"Excelente",R526&gt;=5,"Bueno",R526&gt;=2,"Débil",R526&lt;2,"Deficiente")</f>
        <v>Excelente</v>
      </c>
      <c r="Z526" t="str">
        <f>IF(AND(R526&lt;2,Q526&gt;=100),"Revisar","OK")</f>
        <v>OK</v>
      </c>
      <c r="AA526" s="55">
        <f>_xlfn.XLOOKUP(C526,'Preguntas de negocio'!$C$114:$C$119,'Preguntas de negocio'!$D$114:$D$119,0)</f>
        <v>4</v>
      </c>
      <c r="AB526" s="55">
        <f>VLOOKUP(C526,'Preguntas de negocio'!$C$121:$D$127,2,FALSE)</f>
        <v>0.95</v>
      </c>
    </row>
    <row r="527" spans="1:28" x14ac:dyDescent="0.3">
      <c r="A527" s="1">
        <v>45730</v>
      </c>
      <c r="B527" s="2" t="s">
        <v>2639</v>
      </c>
      <c r="C527" s="2" t="s">
        <v>2521</v>
      </c>
      <c r="D527" s="2" t="s">
        <v>2528</v>
      </c>
      <c r="E527" s="2" t="s">
        <v>2529</v>
      </c>
      <c r="F527" s="3">
        <v>138022</v>
      </c>
      <c r="G527" s="3">
        <v>2106</v>
      </c>
      <c r="H527" s="3">
        <v>281</v>
      </c>
      <c r="I527" s="4">
        <v>3341.61</v>
      </c>
      <c r="J527" s="4">
        <v>26440.59</v>
      </c>
      <c r="K527" s="3">
        <v>190</v>
      </c>
      <c r="L527" s="2" t="s">
        <v>2539</v>
      </c>
      <c r="M527" s="2" t="s">
        <v>2524</v>
      </c>
      <c r="N527" s="8">
        <f>IFERROR(G527/F527,0)</f>
        <v>1.5258437060758429E-2</v>
      </c>
      <c r="O527" s="8">
        <f>IFERROR(H527/G527,0)</f>
        <v>0.13342830009496676</v>
      </c>
      <c r="P527" s="4">
        <f>IFERROR(I527/G527,0)</f>
        <v>1.5867094017094017</v>
      </c>
      <c r="Q527" s="4">
        <f>IFERROR(I527/H527,0)</f>
        <v>11.89185053380783</v>
      </c>
      <c r="R527" s="12">
        <f>IFERROR(J527/I527,0)</f>
        <v>7.912530187544327</v>
      </c>
      <c r="S527" s="7">
        <f>Tabla_nuevas_columnas[[#This Row],[ROAS]]</f>
        <v>7.912530187544327</v>
      </c>
      <c r="T527" t="str">
        <f>_xlfn.CONCAT(C527,"-",D527)</f>
        <v>Paid Search-España</v>
      </c>
      <c r="U527">
        <f>YEAR(A527)</f>
        <v>2025</v>
      </c>
      <c r="V527">
        <f>MONTH(A527)</f>
        <v>3</v>
      </c>
      <c r="W527" t="str">
        <f>PROPER(TEXT(A527,"mmmm"))</f>
        <v>Marzo</v>
      </c>
      <c r="X527" t="str">
        <f>PROPER(TEXT(A527,"dddd"))</f>
        <v>Viernes</v>
      </c>
      <c r="Y527" t="str" cm="1">
        <f t="array" ref="Y527">_xlfn.IFS(R527&gt;10,"Excelente",R527&gt;=5,"Bueno",R527&gt;=2,"Débil",R527&lt;2,"Deficiente")</f>
        <v>Bueno</v>
      </c>
      <c r="Z527" t="str">
        <f>IF(AND(R527&lt;2,Q527&gt;=100),"Revisar","OK")</f>
        <v>OK</v>
      </c>
      <c r="AA527" s="55">
        <f>_xlfn.XLOOKUP(C527,'Preguntas de negocio'!$C$114:$C$119,'Preguntas de negocio'!$D$114:$D$119,0)</f>
        <v>5</v>
      </c>
      <c r="AB527" s="55">
        <f>VLOOKUP(C527,'Preguntas de negocio'!$C$121:$D$127,2,FALSE)</f>
        <v>1.1000000000000001</v>
      </c>
    </row>
    <row r="528" spans="1:28" x14ac:dyDescent="0.3">
      <c r="A528" s="1">
        <v>45718</v>
      </c>
      <c r="B528" s="2" t="s">
        <v>2618</v>
      </c>
      <c r="C528" s="2" t="s">
        <v>2541</v>
      </c>
      <c r="D528" s="2" t="s">
        <v>2516</v>
      </c>
      <c r="E528" s="2" t="s">
        <v>2517</v>
      </c>
      <c r="F528" s="3">
        <v>59089</v>
      </c>
      <c r="G528" s="3">
        <v>5218</v>
      </c>
      <c r="H528" s="3">
        <v>659</v>
      </c>
      <c r="I528" s="4">
        <v>5609.93</v>
      </c>
      <c r="J528" s="4">
        <v>144502.79</v>
      </c>
      <c r="K528" s="3">
        <v>345</v>
      </c>
      <c r="L528" s="2" t="s">
        <v>2518</v>
      </c>
      <c r="M528" s="2" t="s">
        <v>2526</v>
      </c>
      <c r="N528" s="8">
        <f>IFERROR(G528/F528,0)</f>
        <v>8.830746839513276E-2</v>
      </c>
      <c r="O528" s="8">
        <f>IFERROR(H528/G528,0)</f>
        <v>0.12629359908010732</v>
      </c>
      <c r="P528" s="4">
        <f>IFERROR(I528/G528,0)</f>
        <v>1.0751111536987352</v>
      </c>
      <c r="Q528" s="4">
        <f>IFERROR(I528/H528,0)</f>
        <v>8.5127921092564502</v>
      </c>
      <c r="R528" s="12">
        <f>IFERROR(J528/I528,0)</f>
        <v>25.758394489770819</v>
      </c>
      <c r="S528" s="7">
        <f>Tabla_nuevas_columnas[[#This Row],[ROAS]]</f>
        <v>25.758394489770819</v>
      </c>
      <c r="T528" t="str">
        <f>_xlfn.CONCAT(C528,"-",D528)</f>
        <v>Display-México</v>
      </c>
      <c r="U528">
        <f>YEAR(A528)</f>
        <v>2025</v>
      </c>
      <c r="V528">
        <f>MONTH(A528)</f>
        <v>3</v>
      </c>
      <c r="W528" t="str">
        <f>PROPER(TEXT(A528,"mmmm"))</f>
        <v>Marzo</v>
      </c>
      <c r="X528" t="str">
        <f>PROPER(TEXT(A528,"dddd"))</f>
        <v>Domingo</v>
      </c>
      <c r="Y528" t="str" cm="1">
        <f t="array" ref="Y528">_xlfn.IFS(R528&gt;10,"Excelente",R528&gt;=5,"Bueno",R528&gt;=2,"Débil",R528&lt;2,"Deficiente")</f>
        <v>Excelente</v>
      </c>
      <c r="Z528" t="str">
        <f>IF(AND(R528&lt;2,Q528&gt;=100),"Revisar","OK")</f>
        <v>OK</v>
      </c>
      <c r="AA528" s="55">
        <f>_xlfn.XLOOKUP(C528,'Preguntas de negocio'!$C$114:$C$119,'Preguntas de negocio'!$D$114:$D$119,0)</f>
        <v>5</v>
      </c>
      <c r="AB528" s="55">
        <f>VLOOKUP(C528,'Preguntas de negocio'!$C$121:$D$127,2,FALSE)</f>
        <v>0.5</v>
      </c>
    </row>
    <row r="529" spans="1:28" x14ac:dyDescent="0.3">
      <c r="A529" s="1">
        <v>45950</v>
      </c>
      <c r="B529" s="2" t="s">
        <v>2631</v>
      </c>
      <c r="C529" s="2" t="s">
        <v>2527</v>
      </c>
      <c r="D529" s="2" t="s">
        <v>2528</v>
      </c>
      <c r="E529" s="2" t="s">
        <v>2517</v>
      </c>
      <c r="F529" s="3">
        <v>130778</v>
      </c>
      <c r="G529" s="3">
        <v>8568</v>
      </c>
      <c r="H529" s="3">
        <v>1168</v>
      </c>
      <c r="I529" s="4">
        <v>10774.75</v>
      </c>
      <c r="J529" s="4">
        <v>94265.13</v>
      </c>
      <c r="K529" s="3">
        <v>863</v>
      </c>
      <c r="L529" s="2" t="s">
        <v>2518</v>
      </c>
      <c r="M529" s="2" t="s">
        <v>2645</v>
      </c>
      <c r="N529" s="8">
        <f>IFERROR(G529/F529,0)</f>
        <v>6.5515606600498558E-2</v>
      </c>
      <c r="O529" s="8">
        <f>IFERROR(H529/G529,0)</f>
        <v>0.13632119514472454</v>
      </c>
      <c r="P529" s="4">
        <f>IFERROR(I529/G529,0)</f>
        <v>1.2575571895424837</v>
      </c>
      <c r="Q529" s="4">
        <f>IFERROR(I529/H529,0)</f>
        <v>9.2249571917808222</v>
      </c>
      <c r="R529" s="12">
        <f>IFERROR(J529/I529,0)</f>
        <v>8.7487069305552332</v>
      </c>
      <c r="S529" s="7">
        <f>Tabla_nuevas_columnas[[#This Row],[ROAS]]</f>
        <v>8.7487069305552332</v>
      </c>
      <c r="T529" t="str">
        <f>_xlfn.CONCAT(C529,"-",D529)</f>
        <v>Affiliate-España</v>
      </c>
      <c r="U529">
        <f>YEAR(A529)</f>
        <v>2025</v>
      </c>
      <c r="V529">
        <f>MONTH(A529)</f>
        <v>10</v>
      </c>
      <c r="W529" t="str">
        <f>PROPER(TEXT(A529,"mmmm"))</f>
        <v>Octubre</v>
      </c>
      <c r="X529" t="str">
        <f>PROPER(TEXT(A529,"dddd"))</f>
        <v>Lunes</v>
      </c>
      <c r="Y529" t="str" cm="1">
        <f t="array" ref="Y529">_xlfn.IFS(R529&gt;10,"Excelente",R529&gt;=5,"Bueno",R529&gt;=2,"Débil",R529&lt;2,"Deficiente")</f>
        <v>Bueno</v>
      </c>
      <c r="Z529" t="str">
        <f>IF(AND(R529&lt;2,Q529&gt;=100),"Revisar","OK")</f>
        <v>OK</v>
      </c>
      <c r="AA529" s="55">
        <f>_xlfn.XLOOKUP(C529,'Preguntas de negocio'!$C$114:$C$119,'Preguntas de negocio'!$D$114:$D$119,0)</f>
        <v>4.5</v>
      </c>
      <c r="AB529" s="55">
        <f>VLOOKUP(C529,'Preguntas de negocio'!$C$121:$D$127,2,FALSE)</f>
        <v>0.35</v>
      </c>
    </row>
    <row r="530" spans="1:28" x14ac:dyDescent="0.3">
      <c r="A530" s="1">
        <v>45703</v>
      </c>
      <c r="B530" s="2" t="s">
        <v>2616</v>
      </c>
      <c r="C530" s="2" t="s">
        <v>2541</v>
      </c>
      <c r="D530" s="2" t="s">
        <v>2528</v>
      </c>
      <c r="E530" s="2" t="s">
        <v>2534</v>
      </c>
      <c r="F530" s="3">
        <v>7197</v>
      </c>
      <c r="G530" s="3">
        <v>95</v>
      </c>
      <c r="H530" s="3">
        <v>9</v>
      </c>
      <c r="I530" s="4">
        <v>160.38</v>
      </c>
      <c r="J530" s="4">
        <v>1121.53</v>
      </c>
      <c r="K530" s="3">
        <v>4</v>
      </c>
      <c r="L530" s="2" t="s">
        <v>2518</v>
      </c>
      <c r="M530" s="2" t="s">
        <v>2537</v>
      </c>
      <c r="N530" s="8">
        <f>IFERROR(G530/F530,0)</f>
        <v>1.3199944421286648E-2</v>
      </c>
      <c r="O530" s="8">
        <f>IFERROR(H530/G530,0)</f>
        <v>9.4736842105263161E-2</v>
      </c>
      <c r="P530" s="4">
        <f>IFERROR(I530/G530,0)</f>
        <v>1.6882105263157894</v>
      </c>
      <c r="Q530" s="4">
        <f>IFERROR(I530/H530,0)</f>
        <v>17.82</v>
      </c>
      <c r="R530" s="12">
        <f>IFERROR(J530/I530,0)</f>
        <v>6.9929542336949746</v>
      </c>
      <c r="S530" s="7">
        <f>Tabla_nuevas_columnas[[#This Row],[ROAS]]</f>
        <v>6.9929542336949746</v>
      </c>
      <c r="T530" t="str">
        <f>_xlfn.CONCAT(C530,"-",D530)</f>
        <v>Display-España</v>
      </c>
      <c r="U530">
        <f>YEAR(A530)</f>
        <v>2025</v>
      </c>
      <c r="V530">
        <f>MONTH(A530)</f>
        <v>2</v>
      </c>
      <c r="W530" t="str">
        <f>PROPER(TEXT(A530,"mmmm"))</f>
        <v>Febrero</v>
      </c>
      <c r="X530" t="str">
        <f>PROPER(TEXT(A530,"dddd"))</f>
        <v>Sábado</v>
      </c>
      <c r="Y530" t="str" cm="1">
        <f t="array" ref="Y530">_xlfn.IFS(R530&gt;10,"Excelente",R530&gt;=5,"Bueno",R530&gt;=2,"Débil",R530&lt;2,"Deficiente")</f>
        <v>Bueno</v>
      </c>
      <c r="Z530" t="str">
        <f>IF(AND(R530&lt;2,Q530&gt;=100),"Revisar","OK")</f>
        <v>OK</v>
      </c>
      <c r="AA530" s="55">
        <f>_xlfn.XLOOKUP(C530,'Preguntas de negocio'!$C$114:$C$119,'Preguntas de negocio'!$D$114:$D$119,0)</f>
        <v>5</v>
      </c>
      <c r="AB530" s="55">
        <f>VLOOKUP(C530,'Preguntas de negocio'!$C$121:$D$127,2,FALSE)</f>
        <v>0.5</v>
      </c>
    </row>
    <row r="531" spans="1:28" x14ac:dyDescent="0.3">
      <c r="A531" s="1">
        <v>45969</v>
      </c>
      <c r="B531" s="2" t="s">
        <v>2637</v>
      </c>
      <c r="C531" s="2" t="s">
        <v>2515</v>
      </c>
      <c r="D531" s="2" t="s">
        <v>2522</v>
      </c>
      <c r="E531" s="2" t="s">
        <v>2529</v>
      </c>
      <c r="F531" s="3">
        <v>55259</v>
      </c>
      <c r="G531" s="3">
        <v>3076</v>
      </c>
      <c r="H531" s="3">
        <v>199</v>
      </c>
      <c r="I531" s="4">
        <v>4397.83</v>
      </c>
      <c r="J531" s="4">
        <v>9510.76</v>
      </c>
      <c r="K531" s="3">
        <v>100</v>
      </c>
      <c r="L531" s="2" t="s">
        <v>2536</v>
      </c>
      <c r="M531" s="2" t="s">
        <v>2546</v>
      </c>
      <c r="N531" s="8">
        <f>IFERROR(G531/F531,0)</f>
        <v>5.5665140520096273E-2</v>
      </c>
      <c r="O531" s="8">
        <f>IFERROR(H531/G531,0)</f>
        <v>6.4694408322496746E-2</v>
      </c>
      <c r="P531" s="4">
        <f>IFERROR(I531/G531,0)</f>
        <v>1.4297236671001301</v>
      </c>
      <c r="Q531" s="4">
        <f>IFERROR(I531/H531,0)</f>
        <v>22.09964824120603</v>
      </c>
      <c r="R531" s="12">
        <f>IFERROR(J531/I531,0)</f>
        <v>2.1626029200764925</v>
      </c>
      <c r="S531" s="7">
        <f>Tabla_nuevas_columnas[[#This Row],[ROAS]]</f>
        <v>2.1626029200764925</v>
      </c>
      <c r="T531" t="str">
        <f>_xlfn.CONCAT(C531,"-",D531)</f>
        <v>Email-Italia</v>
      </c>
      <c r="U531">
        <f>YEAR(A531)</f>
        <v>2025</v>
      </c>
      <c r="V531">
        <f>MONTH(A531)</f>
        <v>11</v>
      </c>
      <c r="W531" t="str">
        <f>PROPER(TEXT(A531,"mmmm"))</f>
        <v>Noviembre</v>
      </c>
      <c r="X531" t="str">
        <f>PROPER(TEXT(A531,"dddd"))</f>
        <v>Sábado</v>
      </c>
      <c r="Y531" t="str" cm="1">
        <f t="array" ref="Y531">_xlfn.IFS(R531&gt;10,"Excelente",R531&gt;=5,"Bueno",R531&gt;=2,"Débil",R531&lt;2,"Deficiente")</f>
        <v>Débil</v>
      </c>
      <c r="Z531" t="str">
        <f>IF(AND(R531&lt;2,Q531&gt;=100),"Revisar","OK")</f>
        <v>OK</v>
      </c>
      <c r="AA531" s="55">
        <f>_xlfn.XLOOKUP(C531,'Preguntas de negocio'!$C$114:$C$119,'Preguntas de negocio'!$D$114:$D$119,0)</f>
        <v>5.5</v>
      </c>
      <c r="AB531" s="55">
        <f>VLOOKUP(C531,'Preguntas de negocio'!$C$121:$D$127,2,FALSE)</f>
        <v>0.65</v>
      </c>
    </row>
    <row r="532" spans="1:28" x14ac:dyDescent="0.3">
      <c r="A532" s="1">
        <v>45768</v>
      </c>
      <c r="B532" s="2" t="s">
        <v>2631</v>
      </c>
      <c r="C532" s="2" t="s">
        <v>2515</v>
      </c>
      <c r="D532" s="2" t="s">
        <v>2528</v>
      </c>
      <c r="E532" s="2" t="s">
        <v>2517</v>
      </c>
      <c r="F532" s="3">
        <v>158415</v>
      </c>
      <c r="G532" s="3">
        <v>1114</v>
      </c>
      <c r="H532" s="3">
        <v>54</v>
      </c>
      <c r="I532" s="4">
        <v>910.04</v>
      </c>
      <c r="J532" s="4">
        <v>7523.75</v>
      </c>
      <c r="K532" s="3">
        <v>37</v>
      </c>
      <c r="L532" s="2" t="s">
        <v>2539</v>
      </c>
      <c r="M532" s="2" t="s">
        <v>2537</v>
      </c>
      <c r="N532" s="8">
        <f>IFERROR(G532/F532,0)</f>
        <v>7.0321623583625287E-3</v>
      </c>
      <c r="O532" s="8">
        <f>IFERROR(H532/G532,0)</f>
        <v>4.8473967684021541E-2</v>
      </c>
      <c r="P532" s="4">
        <f>IFERROR(I532/G532,0)</f>
        <v>0.8169120287253141</v>
      </c>
      <c r="Q532" s="4">
        <f>IFERROR(I532/H532,0)</f>
        <v>16.852592592592593</v>
      </c>
      <c r="R532" s="12">
        <f>IFERROR(J532/I532,0)</f>
        <v>8.2674937365390537</v>
      </c>
      <c r="S532" s="7">
        <f>Tabla_nuevas_columnas[[#This Row],[ROAS]]</f>
        <v>8.2674937365390537</v>
      </c>
      <c r="T532" t="str">
        <f>_xlfn.CONCAT(C532,"-",D532)</f>
        <v>Email-España</v>
      </c>
      <c r="U532">
        <f>YEAR(A532)</f>
        <v>2025</v>
      </c>
      <c r="V532">
        <f>MONTH(A532)</f>
        <v>4</v>
      </c>
      <c r="W532" t="str">
        <f>PROPER(TEXT(A532,"mmmm"))</f>
        <v>Abril</v>
      </c>
      <c r="X532" t="str">
        <f>PROPER(TEXT(A532,"dddd"))</f>
        <v>Lunes</v>
      </c>
      <c r="Y532" t="str" cm="1">
        <f t="array" ref="Y532">_xlfn.IFS(R532&gt;10,"Excelente",R532&gt;=5,"Bueno",R532&gt;=2,"Débil",R532&lt;2,"Deficiente")</f>
        <v>Bueno</v>
      </c>
      <c r="Z532" t="str">
        <f>IF(AND(R532&lt;2,Q532&gt;=100),"Revisar","OK")</f>
        <v>OK</v>
      </c>
      <c r="AA532" s="55">
        <f>_xlfn.XLOOKUP(C532,'Preguntas de negocio'!$C$114:$C$119,'Preguntas de negocio'!$D$114:$D$119,0)</f>
        <v>5.5</v>
      </c>
      <c r="AB532" s="55">
        <f>VLOOKUP(C532,'Preguntas de negocio'!$C$121:$D$127,2,FALSE)</f>
        <v>0.65</v>
      </c>
    </row>
    <row r="533" spans="1:28" x14ac:dyDescent="0.3">
      <c r="A533" s="1">
        <v>45918</v>
      </c>
      <c r="B533" s="2" t="s">
        <v>2621</v>
      </c>
      <c r="C533" s="2" t="s">
        <v>2541</v>
      </c>
      <c r="D533" s="2" t="s">
        <v>2528</v>
      </c>
      <c r="E533" s="2" t="s">
        <v>2517</v>
      </c>
      <c r="F533" s="3">
        <v>25674</v>
      </c>
      <c r="G533" s="3">
        <v>1385</v>
      </c>
      <c r="H533" s="3">
        <v>191</v>
      </c>
      <c r="I533" s="4">
        <v>2838.08</v>
      </c>
      <c r="J533" s="4">
        <v>32470.39</v>
      </c>
      <c r="K533" s="3">
        <v>165</v>
      </c>
      <c r="L533" s="2" t="s">
        <v>2518</v>
      </c>
      <c r="M533" s="2" t="s">
        <v>2524</v>
      </c>
      <c r="N533" s="8">
        <f>IFERROR(G533/F533,0)</f>
        <v>5.3945625925060373E-2</v>
      </c>
      <c r="O533" s="8">
        <f>IFERROR(H533/G533,0)</f>
        <v>0.13790613718411551</v>
      </c>
      <c r="P533" s="4">
        <f>IFERROR(I533/G533,0)</f>
        <v>2.0491552346570399</v>
      </c>
      <c r="Q533" s="4">
        <f>IFERROR(I533/H533,0)</f>
        <v>14.859057591623037</v>
      </c>
      <c r="R533" s="12">
        <f>IFERROR(J533/I533,0)</f>
        <v>11.440970656218289</v>
      </c>
      <c r="S533" s="7">
        <f>Tabla_nuevas_columnas[[#This Row],[ROAS]]</f>
        <v>11.440970656218289</v>
      </c>
      <c r="T533" t="str">
        <f>_xlfn.CONCAT(C533,"-",D533)</f>
        <v>Display-España</v>
      </c>
      <c r="U533">
        <f>YEAR(A533)</f>
        <v>2025</v>
      </c>
      <c r="V533">
        <f>MONTH(A533)</f>
        <v>9</v>
      </c>
      <c r="W533" t="str">
        <f>PROPER(TEXT(A533,"mmmm"))</f>
        <v>Septiembre</v>
      </c>
      <c r="X533" t="str">
        <f>PROPER(TEXT(A533,"dddd"))</f>
        <v>Jueves</v>
      </c>
      <c r="Y533" t="str" cm="1">
        <f t="array" ref="Y533">_xlfn.IFS(R533&gt;10,"Excelente",R533&gt;=5,"Bueno",R533&gt;=2,"Débil",R533&lt;2,"Deficiente")</f>
        <v>Excelente</v>
      </c>
      <c r="Z533" t="str">
        <f>IF(AND(R533&lt;2,Q533&gt;=100),"Revisar","OK")</f>
        <v>OK</v>
      </c>
      <c r="AA533" s="55">
        <f>_xlfn.XLOOKUP(C533,'Preguntas de negocio'!$C$114:$C$119,'Preguntas de negocio'!$D$114:$D$119,0)</f>
        <v>5</v>
      </c>
      <c r="AB533" s="55">
        <f>VLOOKUP(C533,'Preguntas de negocio'!$C$121:$D$127,2,FALSE)</f>
        <v>0.5</v>
      </c>
    </row>
    <row r="534" spans="1:28" x14ac:dyDescent="0.3">
      <c r="A534" s="1">
        <v>46010</v>
      </c>
      <c r="B534" s="2" t="s">
        <v>2636</v>
      </c>
      <c r="C534" s="2" t="s">
        <v>2543</v>
      </c>
      <c r="D534" s="2" t="s">
        <v>2516</v>
      </c>
      <c r="E534" s="2" t="s">
        <v>2529</v>
      </c>
      <c r="F534" s="3">
        <v>134740</v>
      </c>
      <c r="G534" s="3">
        <v>1889</v>
      </c>
      <c r="H534" s="3">
        <v>158</v>
      </c>
      <c r="I534" s="4">
        <v>2162.62</v>
      </c>
      <c r="J534" s="4">
        <v>9584.8700000000008</v>
      </c>
      <c r="K534" s="3">
        <v>110</v>
      </c>
      <c r="L534" s="2" t="s">
        <v>2539</v>
      </c>
      <c r="M534" s="2" t="s">
        <v>2526</v>
      </c>
      <c r="N534" s="8">
        <f>IFERROR(G534/F534,0)</f>
        <v>1.4019593290782248E-2</v>
      </c>
      <c r="O534" s="8">
        <f>IFERROR(H534/G534,0)</f>
        <v>8.3642138697723661E-2</v>
      </c>
      <c r="P534" s="4">
        <f>IFERROR(I534/G534,0)</f>
        <v>1.1448491265219691</v>
      </c>
      <c r="Q534" s="4">
        <f>IFERROR(I534/H534,0)</f>
        <v>13.687468354430379</v>
      </c>
      <c r="R534" s="12">
        <f>IFERROR(J534/I534,0)</f>
        <v>4.4320638854722523</v>
      </c>
      <c r="S534" s="7">
        <f>Tabla_nuevas_columnas[[#This Row],[ROAS]]</f>
        <v>4.4320638854722523</v>
      </c>
      <c r="T534" t="str">
        <f>_xlfn.CONCAT(C534,"-",D534)</f>
        <v>Organic Social-México</v>
      </c>
      <c r="U534">
        <f>YEAR(A534)</f>
        <v>2025</v>
      </c>
      <c r="V534">
        <f>MONTH(A534)</f>
        <v>12</v>
      </c>
      <c r="W534" t="str">
        <f>PROPER(TEXT(A534,"mmmm"))</f>
        <v>Diciembre</v>
      </c>
      <c r="X534" t="str">
        <f>PROPER(TEXT(A534,"dddd"))</f>
        <v>Viernes</v>
      </c>
      <c r="Y534" t="str" cm="1">
        <f t="array" ref="Y534">_xlfn.IFS(R534&gt;10,"Excelente",R534&gt;=5,"Bueno",R534&gt;=2,"Débil",R534&lt;2,"Deficiente")</f>
        <v>Débil</v>
      </c>
      <c r="Z534" t="str">
        <f>IF(AND(R534&lt;2,Q534&gt;=100),"Revisar","OK")</f>
        <v>OK</v>
      </c>
      <c r="AA534" s="55">
        <f>_xlfn.XLOOKUP(C534,'Preguntas de negocio'!$C$114:$C$119,'Preguntas de negocio'!$D$114:$D$119,0)</f>
        <v>4</v>
      </c>
      <c r="AB534" s="55">
        <f>VLOOKUP(C534,'Preguntas de negocio'!$C$121:$D$127,2,FALSE)</f>
        <v>0.95</v>
      </c>
    </row>
    <row r="535" spans="1:28" x14ac:dyDescent="0.3">
      <c r="A535" s="1">
        <v>45676</v>
      </c>
      <c r="B535" s="2" t="s">
        <v>2634</v>
      </c>
      <c r="C535" s="2" t="s">
        <v>2515</v>
      </c>
      <c r="D535" s="2" t="s">
        <v>2522</v>
      </c>
      <c r="E535" s="2" t="s">
        <v>2529</v>
      </c>
      <c r="F535" s="3">
        <v>41430</v>
      </c>
      <c r="G535" s="3">
        <v>1764</v>
      </c>
      <c r="H535" s="3">
        <v>45</v>
      </c>
      <c r="I535" s="4">
        <v>1319.49</v>
      </c>
      <c r="J535" s="4">
        <v>3724.67</v>
      </c>
      <c r="K535" s="3">
        <v>22</v>
      </c>
      <c r="L535" s="2" t="s">
        <v>2536</v>
      </c>
      <c r="M535" s="2" t="s">
        <v>2524</v>
      </c>
      <c r="N535" s="8">
        <f>IFERROR(G535/F535,0)</f>
        <v>4.2577842143374366E-2</v>
      </c>
      <c r="O535" s="8">
        <f>IFERROR(H535/G535,0)</f>
        <v>2.5510204081632654E-2</v>
      </c>
      <c r="P535" s="4">
        <f>IFERROR(I535/G535,0)</f>
        <v>0.74801020408163266</v>
      </c>
      <c r="Q535" s="4">
        <f>IFERROR(I535/H535,0)</f>
        <v>29.321999999999999</v>
      </c>
      <c r="R535" s="12">
        <f>IFERROR(J535/I535,0)</f>
        <v>2.8228103282328778</v>
      </c>
      <c r="S535" s="7">
        <f>Tabla_nuevas_columnas[[#This Row],[ROAS]]</f>
        <v>2.8228103282328778</v>
      </c>
      <c r="T535" t="str">
        <f>_xlfn.CONCAT(C535,"-",D535)</f>
        <v>Email-Italia</v>
      </c>
      <c r="U535">
        <f>YEAR(A535)</f>
        <v>2025</v>
      </c>
      <c r="V535">
        <f>MONTH(A535)</f>
        <v>1</v>
      </c>
      <c r="W535" t="str">
        <f>PROPER(TEXT(A535,"mmmm"))</f>
        <v>Enero</v>
      </c>
      <c r="X535" t="str">
        <f>PROPER(TEXT(A535,"dddd"))</f>
        <v>Domingo</v>
      </c>
      <c r="Y535" t="str" cm="1">
        <f t="array" ref="Y535">_xlfn.IFS(R535&gt;10,"Excelente",R535&gt;=5,"Bueno",R535&gt;=2,"Débil",R535&lt;2,"Deficiente")</f>
        <v>Débil</v>
      </c>
      <c r="Z535" t="str">
        <f>IF(AND(R535&lt;2,Q535&gt;=100),"Revisar","OK")</f>
        <v>OK</v>
      </c>
      <c r="AA535" s="55">
        <f>_xlfn.XLOOKUP(C535,'Preguntas de negocio'!$C$114:$C$119,'Preguntas de negocio'!$D$114:$D$119,0)</f>
        <v>5.5</v>
      </c>
      <c r="AB535" s="55">
        <f>VLOOKUP(C535,'Preguntas de negocio'!$C$121:$D$127,2,FALSE)</f>
        <v>0.65</v>
      </c>
    </row>
    <row r="536" spans="1:28" x14ac:dyDescent="0.3">
      <c r="A536" s="1">
        <v>45774</v>
      </c>
      <c r="B536" s="2" t="s">
        <v>2636</v>
      </c>
      <c r="C536" s="2" t="s">
        <v>2527</v>
      </c>
      <c r="D536" s="2" t="s">
        <v>2528</v>
      </c>
      <c r="E536" s="2" t="s">
        <v>2529</v>
      </c>
      <c r="F536" s="3">
        <v>76076</v>
      </c>
      <c r="G536" s="3">
        <v>6252</v>
      </c>
      <c r="H536" s="3">
        <v>88</v>
      </c>
      <c r="I536" s="4">
        <v>12712.37</v>
      </c>
      <c r="J536" s="4">
        <v>5792.79</v>
      </c>
      <c r="K536" s="3">
        <v>69</v>
      </c>
      <c r="L536" s="2" t="s">
        <v>2539</v>
      </c>
      <c r="M536" s="2" t="s">
        <v>2526</v>
      </c>
      <c r="N536" s="8">
        <f>IFERROR(G536/F536,0)</f>
        <v>8.2180976917819018E-2</v>
      </c>
      <c r="O536" s="8">
        <f>IFERROR(H536/G536,0)</f>
        <v>1.4075495841330775E-2</v>
      </c>
      <c r="P536" s="4">
        <f>IFERROR(I536/G536,0)</f>
        <v>2.0333285348688421</v>
      </c>
      <c r="Q536" s="4">
        <f>IFERROR(I536/H536,0)</f>
        <v>144.45875000000001</v>
      </c>
      <c r="R536" s="12">
        <f>IFERROR(J536/I536,0)</f>
        <v>0.45568135603353266</v>
      </c>
      <c r="S536" s="7">
        <f>Tabla_nuevas_columnas[[#This Row],[ROAS]]</f>
        <v>0.45568135603353266</v>
      </c>
      <c r="T536" t="str">
        <f>_xlfn.CONCAT(C536,"-",D536)</f>
        <v>Affiliate-España</v>
      </c>
      <c r="U536">
        <f>YEAR(A536)</f>
        <v>2025</v>
      </c>
      <c r="V536">
        <f>MONTH(A536)</f>
        <v>4</v>
      </c>
      <c r="W536" t="str">
        <f>PROPER(TEXT(A536,"mmmm"))</f>
        <v>Abril</v>
      </c>
      <c r="X536" t="str">
        <f>PROPER(TEXT(A536,"dddd"))</f>
        <v>Domingo</v>
      </c>
      <c r="Y536" t="str" cm="1">
        <f t="array" ref="Y536">_xlfn.IFS(R536&gt;10,"Excelente",R536&gt;=5,"Bueno",R536&gt;=2,"Débil",R536&lt;2,"Deficiente")</f>
        <v>Deficiente</v>
      </c>
      <c r="Z536" t="str">
        <f>IF(AND(R536&lt;2,Q536&gt;=100),"Revisar","OK")</f>
        <v>Revisar</v>
      </c>
      <c r="AA536" s="55">
        <f>_xlfn.XLOOKUP(C536,'Preguntas de negocio'!$C$114:$C$119,'Preguntas de negocio'!$D$114:$D$119,0)</f>
        <v>4.5</v>
      </c>
      <c r="AB536" s="55">
        <f>VLOOKUP(C536,'Preguntas de negocio'!$C$121:$D$127,2,FALSE)</f>
        <v>0.35</v>
      </c>
    </row>
    <row r="537" spans="1:28" x14ac:dyDescent="0.3">
      <c r="A537" s="1">
        <v>45908</v>
      </c>
      <c r="B537" s="2" t="s">
        <v>2637</v>
      </c>
      <c r="C537" s="2" t="s">
        <v>2521</v>
      </c>
      <c r="D537" s="2" t="s">
        <v>2525</v>
      </c>
      <c r="E537" s="2" t="s">
        <v>2534</v>
      </c>
      <c r="F537" s="3">
        <v>35282</v>
      </c>
      <c r="G537" s="3">
        <v>2628</v>
      </c>
      <c r="H537" s="3">
        <v>72</v>
      </c>
      <c r="I537" s="4">
        <v>1105.06</v>
      </c>
      <c r="J537" s="4">
        <v>2969.77</v>
      </c>
      <c r="K537" s="3">
        <v>64</v>
      </c>
      <c r="L537" s="2" t="s">
        <v>2539</v>
      </c>
      <c r="M537" s="2" t="s">
        <v>2519</v>
      </c>
      <c r="N537" s="8">
        <f>IFERROR(G537/F537,0)</f>
        <v>7.4485573380193862E-2</v>
      </c>
      <c r="O537" s="8">
        <f>IFERROR(H537/G537,0)</f>
        <v>2.7397260273972601E-2</v>
      </c>
      <c r="P537" s="4">
        <f>IFERROR(I537/G537,0)</f>
        <v>0.42049467275494673</v>
      </c>
      <c r="Q537" s="4">
        <f>IFERROR(I537/H537,0)</f>
        <v>15.348055555555554</v>
      </c>
      <c r="R537" s="12">
        <f>IFERROR(J537/I537,0)</f>
        <v>2.6874287369011638</v>
      </c>
      <c r="S537" s="7">
        <f>Tabla_nuevas_columnas[[#This Row],[ROAS]]</f>
        <v>2.6874287369011638</v>
      </c>
      <c r="T537" t="str">
        <f>_xlfn.CONCAT(C537,"-",D537)</f>
        <v>Paid Search-Francia</v>
      </c>
      <c r="U537">
        <f>YEAR(A537)</f>
        <v>2025</v>
      </c>
      <c r="V537">
        <f>MONTH(A537)</f>
        <v>9</v>
      </c>
      <c r="W537" t="str">
        <f>PROPER(TEXT(A537,"mmmm"))</f>
        <v>Septiembre</v>
      </c>
      <c r="X537" t="str">
        <f>PROPER(TEXT(A537,"dddd"))</f>
        <v>Lunes</v>
      </c>
      <c r="Y537" t="str" cm="1">
        <f t="array" ref="Y537">_xlfn.IFS(R537&gt;10,"Excelente",R537&gt;=5,"Bueno",R537&gt;=2,"Débil",R537&lt;2,"Deficiente")</f>
        <v>Débil</v>
      </c>
      <c r="Z537" t="str">
        <f>IF(AND(R537&lt;2,Q537&gt;=100),"Revisar","OK")</f>
        <v>OK</v>
      </c>
      <c r="AA537" s="55">
        <f>_xlfn.XLOOKUP(C537,'Preguntas de negocio'!$C$114:$C$119,'Preguntas de negocio'!$D$114:$D$119,0)</f>
        <v>5</v>
      </c>
      <c r="AB537" s="55">
        <f>VLOOKUP(C537,'Preguntas de negocio'!$C$121:$D$127,2,FALSE)</f>
        <v>1.1000000000000001</v>
      </c>
    </row>
    <row r="538" spans="1:28" x14ac:dyDescent="0.3">
      <c r="A538" s="1">
        <v>45675</v>
      </c>
      <c r="B538" s="2" t="s">
        <v>2635</v>
      </c>
      <c r="C538" s="2" t="s">
        <v>2533</v>
      </c>
      <c r="D538" s="2" t="s">
        <v>2528</v>
      </c>
      <c r="E538" s="2" t="s">
        <v>2517</v>
      </c>
      <c r="F538" s="3">
        <v>126334</v>
      </c>
      <c r="G538" s="3">
        <v>9346</v>
      </c>
      <c r="H538" s="3">
        <v>246</v>
      </c>
      <c r="I538" s="4">
        <v>4917.71</v>
      </c>
      <c r="J538" s="4">
        <v>15174.97</v>
      </c>
      <c r="K538" s="3">
        <v>133</v>
      </c>
      <c r="L538" s="2" t="s">
        <v>2536</v>
      </c>
      <c r="M538" s="2" t="s">
        <v>2526</v>
      </c>
      <c r="N538" s="8">
        <f>IFERROR(G538/F538,0)</f>
        <v>7.397850143271012E-2</v>
      </c>
      <c r="O538" s="8">
        <f>IFERROR(H538/G538,0)</f>
        <v>2.6321420928739566E-2</v>
      </c>
      <c r="P538" s="4">
        <f>IFERROR(I538/G538,0)</f>
        <v>0.52618339396533276</v>
      </c>
      <c r="Q538" s="4">
        <f>IFERROR(I538/H538,0)</f>
        <v>19.99069105691057</v>
      </c>
      <c r="R538" s="12">
        <f>IFERROR(J538/I538,0)</f>
        <v>3.0857797633451343</v>
      </c>
      <c r="S538" s="7">
        <f>Tabla_nuevas_columnas[[#This Row],[ROAS]]</f>
        <v>3.0857797633451343</v>
      </c>
      <c r="T538" t="str">
        <f>_xlfn.CONCAT(C538,"-",D538)</f>
        <v>Paid Social-España</v>
      </c>
      <c r="U538">
        <f>YEAR(A538)</f>
        <v>2025</v>
      </c>
      <c r="V538">
        <f>MONTH(A538)</f>
        <v>1</v>
      </c>
      <c r="W538" t="str">
        <f>PROPER(TEXT(A538,"mmmm"))</f>
        <v>Enero</v>
      </c>
      <c r="X538" t="str">
        <f>PROPER(TEXT(A538,"dddd"))</f>
        <v>Sábado</v>
      </c>
      <c r="Y538" t="str" cm="1">
        <f t="array" ref="Y538">_xlfn.IFS(R538&gt;10,"Excelente",R538&gt;=5,"Bueno",R538&gt;=2,"Débil",R538&lt;2,"Deficiente")</f>
        <v>Débil</v>
      </c>
      <c r="Z538" t="str">
        <f>IF(AND(R538&lt;2,Q538&gt;=100),"Revisar","OK")</f>
        <v>OK</v>
      </c>
      <c r="AA538" s="55">
        <f>_xlfn.XLOOKUP(C538,'Preguntas de negocio'!$C$114:$C$119,'Preguntas de negocio'!$D$114:$D$119,0)</f>
        <v>6</v>
      </c>
      <c r="AB538" s="55">
        <f>VLOOKUP(C538,'Preguntas de negocio'!$C$121:$D$127,2,FALSE)</f>
        <v>0.8</v>
      </c>
    </row>
    <row r="539" spans="1:28" x14ac:dyDescent="0.3">
      <c r="A539" s="1">
        <v>45677</v>
      </c>
      <c r="B539" s="2" t="s">
        <v>2644</v>
      </c>
      <c r="C539" s="2" t="s">
        <v>2543</v>
      </c>
      <c r="D539" s="2" t="s">
        <v>2525</v>
      </c>
      <c r="E539" s="2" t="s">
        <v>2529</v>
      </c>
      <c r="F539" s="3">
        <v>170456</v>
      </c>
      <c r="G539" s="3">
        <v>3801</v>
      </c>
      <c r="H539" s="3">
        <v>153</v>
      </c>
      <c r="I539" s="4">
        <v>1729.77</v>
      </c>
      <c r="J539" s="4">
        <v>32060.02</v>
      </c>
      <c r="K539" s="3">
        <v>71</v>
      </c>
      <c r="L539" s="2" t="s">
        <v>2539</v>
      </c>
      <c r="M539" s="2" t="s">
        <v>2524</v>
      </c>
      <c r="N539" s="8">
        <f>IFERROR(G539/F539,0)</f>
        <v>2.2299009715117099E-2</v>
      </c>
      <c r="O539" s="8">
        <f>IFERROR(H539/G539,0)</f>
        <v>4.025256511444357E-2</v>
      </c>
      <c r="P539" s="4">
        <f>IFERROR(I539/G539,0)</f>
        <v>0.45508287292817678</v>
      </c>
      <c r="Q539" s="4">
        <f>IFERROR(I539/H539,0)</f>
        <v>11.305686274509803</v>
      </c>
      <c r="R539" s="12">
        <f>IFERROR(J539/I539,0)</f>
        <v>18.534267561583331</v>
      </c>
      <c r="S539" s="7">
        <f>Tabla_nuevas_columnas[[#This Row],[ROAS]]</f>
        <v>18.534267561583331</v>
      </c>
      <c r="T539" t="str">
        <f>_xlfn.CONCAT(C539,"-",D539)</f>
        <v>Organic Social-Francia</v>
      </c>
      <c r="U539">
        <f>YEAR(A539)</f>
        <v>2025</v>
      </c>
      <c r="V539">
        <f>MONTH(A539)</f>
        <v>1</v>
      </c>
      <c r="W539" t="str">
        <f>PROPER(TEXT(A539,"mmmm"))</f>
        <v>Enero</v>
      </c>
      <c r="X539" t="str">
        <f>PROPER(TEXT(A539,"dddd"))</f>
        <v>Lunes</v>
      </c>
      <c r="Y539" t="str" cm="1">
        <f t="array" ref="Y539">_xlfn.IFS(R539&gt;10,"Excelente",R539&gt;=5,"Bueno",R539&gt;=2,"Débil",R539&lt;2,"Deficiente")</f>
        <v>Excelente</v>
      </c>
      <c r="Z539" t="str">
        <f>IF(AND(R539&lt;2,Q539&gt;=100),"Revisar","OK")</f>
        <v>OK</v>
      </c>
      <c r="AA539" s="55">
        <f>_xlfn.XLOOKUP(C539,'Preguntas de negocio'!$C$114:$C$119,'Preguntas de negocio'!$D$114:$D$119,0)</f>
        <v>4</v>
      </c>
      <c r="AB539" s="55">
        <f>VLOOKUP(C539,'Preguntas de negocio'!$C$121:$D$127,2,FALSE)</f>
        <v>0.95</v>
      </c>
    </row>
    <row r="540" spans="1:28" x14ac:dyDescent="0.3">
      <c r="A540" s="1">
        <v>45959</v>
      </c>
      <c r="B540" s="2" t="s">
        <v>2625</v>
      </c>
      <c r="C540" s="2" t="s">
        <v>2541</v>
      </c>
      <c r="D540" s="2" t="s">
        <v>2516</v>
      </c>
      <c r="E540" s="2" t="s">
        <v>2529</v>
      </c>
      <c r="F540" s="3">
        <v>160113</v>
      </c>
      <c r="G540" s="3">
        <v>7821</v>
      </c>
      <c r="H540" s="3">
        <v>487</v>
      </c>
      <c r="I540" s="4">
        <v>15375.48</v>
      </c>
      <c r="J540" s="4">
        <v>84113.12</v>
      </c>
      <c r="K540" s="3">
        <v>263</v>
      </c>
      <c r="L540" s="2" t="s">
        <v>2523</v>
      </c>
      <c r="M540" s="2" t="s">
        <v>2519</v>
      </c>
      <c r="N540" s="8">
        <f>IFERROR(G540/F540,0)</f>
        <v>4.8846751981413125E-2</v>
      </c>
      <c r="O540" s="8">
        <f>IFERROR(H540/G540,0)</f>
        <v>6.2268252141669866E-2</v>
      </c>
      <c r="P540" s="4">
        <f>IFERROR(I540/G540,0)</f>
        <v>1.9659225163022631</v>
      </c>
      <c r="Q540" s="4">
        <f>IFERROR(I540/H540,0)</f>
        <v>31.571827515400411</v>
      </c>
      <c r="R540" s="12">
        <f>IFERROR(J540/I540,0)</f>
        <v>5.4706012430181037</v>
      </c>
      <c r="S540" s="7">
        <f>Tabla_nuevas_columnas[[#This Row],[ROAS]]</f>
        <v>5.4706012430181037</v>
      </c>
      <c r="T540" t="str">
        <f>_xlfn.CONCAT(C540,"-",D540)</f>
        <v>Display-México</v>
      </c>
      <c r="U540">
        <f>YEAR(A540)</f>
        <v>2025</v>
      </c>
      <c r="V540">
        <f>MONTH(A540)</f>
        <v>10</v>
      </c>
      <c r="W540" t="str">
        <f>PROPER(TEXT(A540,"mmmm"))</f>
        <v>Octubre</v>
      </c>
      <c r="X540" t="str">
        <f>PROPER(TEXT(A540,"dddd"))</f>
        <v>Miércoles</v>
      </c>
      <c r="Y540" t="str" cm="1">
        <f t="array" ref="Y540">_xlfn.IFS(R540&gt;10,"Excelente",R540&gt;=5,"Bueno",R540&gt;=2,"Débil",R540&lt;2,"Deficiente")</f>
        <v>Bueno</v>
      </c>
      <c r="Z540" t="str">
        <f>IF(AND(R540&lt;2,Q540&gt;=100),"Revisar","OK")</f>
        <v>OK</v>
      </c>
      <c r="AA540" s="55">
        <f>_xlfn.XLOOKUP(C540,'Preguntas de negocio'!$C$114:$C$119,'Preguntas de negocio'!$D$114:$D$119,0)</f>
        <v>5</v>
      </c>
      <c r="AB540" s="55">
        <f>VLOOKUP(C540,'Preguntas de negocio'!$C$121:$D$127,2,FALSE)</f>
        <v>0.5</v>
      </c>
    </row>
    <row r="541" spans="1:28" x14ac:dyDescent="0.3">
      <c r="A541" s="1">
        <v>45779</v>
      </c>
      <c r="B541" s="2" t="s">
        <v>2618</v>
      </c>
      <c r="C541" s="2" t="s">
        <v>2541</v>
      </c>
      <c r="D541" s="2" t="s">
        <v>2531</v>
      </c>
      <c r="E541" s="2" t="s">
        <v>2534</v>
      </c>
      <c r="F541" s="3">
        <v>171194</v>
      </c>
      <c r="G541" s="3">
        <v>8972</v>
      </c>
      <c r="H541" s="3">
        <v>723</v>
      </c>
      <c r="I541" s="4">
        <v>4497.55</v>
      </c>
      <c r="J541" s="4">
        <v>134133.66</v>
      </c>
      <c r="K541" s="3">
        <v>352</v>
      </c>
      <c r="L541" s="2" t="s">
        <v>2539</v>
      </c>
      <c r="M541" s="2" t="s">
        <v>2537</v>
      </c>
      <c r="N541" s="8">
        <f>IFERROR(G541/F541,0)</f>
        <v>5.2408378798322372E-2</v>
      </c>
      <c r="O541" s="8">
        <f>IFERROR(H541/G541,0)</f>
        <v>8.0584039233169868E-2</v>
      </c>
      <c r="P541" s="4">
        <f>IFERROR(I541/G541,0)</f>
        <v>0.50128733838609008</v>
      </c>
      <c r="Q541" s="4">
        <f>IFERROR(I541/H541,0)</f>
        <v>6.2206777316735824</v>
      </c>
      <c r="R541" s="12">
        <f>IFERROR(J541/I541,0)</f>
        <v>29.823717357227824</v>
      </c>
      <c r="S541" s="7">
        <f>Tabla_nuevas_columnas[[#This Row],[ROAS]]</f>
        <v>29.823717357227824</v>
      </c>
      <c r="T541" t="str">
        <f>_xlfn.CONCAT(C541,"-",D541)</f>
        <v>Display-Portugal</v>
      </c>
      <c r="U541">
        <f>YEAR(A541)</f>
        <v>2025</v>
      </c>
      <c r="V541">
        <f>MONTH(A541)</f>
        <v>5</v>
      </c>
      <c r="W541" t="str">
        <f>PROPER(TEXT(A541,"mmmm"))</f>
        <v>Mayo</v>
      </c>
      <c r="X541" t="str">
        <f>PROPER(TEXT(A541,"dddd"))</f>
        <v>Viernes</v>
      </c>
      <c r="Y541" t="str" cm="1">
        <f t="array" ref="Y541">_xlfn.IFS(R541&gt;10,"Excelente",R541&gt;=5,"Bueno",R541&gt;=2,"Débil",R541&lt;2,"Deficiente")</f>
        <v>Excelente</v>
      </c>
      <c r="Z541" t="str">
        <f>IF(AND(R541&lt;2,Q541&gt;=100),"Revisar","OK")</f>
        <v>OK</v>
      </c>
      <c r="AA541" s="55">
        <f>_xlfn.XLOOKUP(C541,'Preguntas de negocio'!$C$114:$C$119,'Preguntas de negocio'!$D$114:$D$119,0)</f>
        <v>5</v>
      </c>
      <c r="AB541" s="55">
        <f>VLOOKUP(C541,'Preguntas de negocio'!$C$121:$D$127,2,FALSE)</f>
        <v>0.5</v>
      </c>
    </row>
    <row r="542" spans="1:28" x14ac:dyDescent="0.3">
      <c r="A542" s="1">
        <v>45896</v>
      </c>
      <c r="B542" s="2" t="s">
        <v>2619</v>
      </c>
      <c r="C542" s="2" t="s">
        <v>2533</v>
      </c>
      <c r="D542" s="2" t="s">
        <v>2528</v>
      </c>
      <c r="E542" s="2" t="s">
        <v>2529</v>
      </c>
      <c r="F542" s="3">
        <v>106927</v>
      </c>
      <c r="G542" s="3">
        <v>7189</v>
      </c>
      <c r="H542" s="3">
        <v>972</v>
      </c>
      <c r="I542" s="4">
        <v>7497.92</v>
      </c>
      <c r="J542" s="4">
        <v>47868.88</v>
      </c>
      <c r="K542" s="3">
        <v>558</v>
      </c>
      <c r="L542" s="2" t="s">
        <v>2536</v>
      </c>
      <c r="M542" s="2" t="s">
        <v>2524</v>
      </c>
      <c r="N542" s="8">
        <f>IFERROR(G542/F542,0)</f>
        <v>6.7232784984148058E-2</v>
      </c>
      <c r="O542" s="8">
        <f>IFERROR(H542/G542,0)</f>
        <v>0.13520656558631242</v>
      </c>
      <c r="P542" s="4">
        <f>IFERROR(I542/G542,0)</f>
        <v>1.0429712060091807</v>
      </c>
      <c r="Q542" s="4">
        <f>IFERROR(I542/H542,0)</f>
        <v>7.713909465020576</v>
      </c>
      <c r="R542" s="12">
        <f>IFERROR(J542/I542,0)</f>
        <v>6.3842879091801459</v>
      </c>
      <c r="S542" s="7">
        <f>Tabla_nuevas_columnas[[#This Row],[ROAS]]</f>
        <v>6.3842879091801459</v>
      </c>
      <c r="T542" t="str">
        <f>_xlfn.CONCAT(C542,"-",D542)</f>
        <v>Paid Social-España</v>
      </c>
      <c r="U542">
        <f>YEAR(A542)</f>
        <v>2025</v>
      </c>
      <c r="V542">
        <f>MONTH(A542)</f>
        <v>8</v>
      </c>
      <c r="W542" t="str">
        <f>PROPER(TEXT(A542,"mmmm"))</f>
        <v>Agosto</v>
      </c>
      <c r="X542" t="str">
        <f>PROPER(TEXT(A542,"dddd"))</f>
        <v>Miércoles</v>
      </c>
      <c r="Y542" t="str" cm="1">
        <f t="array" ref="Y542">_xlfn.IFS(R542&gt;10,"Excelente",R542&gt;=5,"Bueno",R542&gt;=2,"Débil",R542&lt;2,"Deficiente")</f>
        <v>Bueno</v>
      </c>
      <c r="Z542" t="str">
        <f>IF(AND(R542&lt;2,Q542&gt;=100),"Revisar","OK")</f>
        <v>OK</v>
      </c>
      <c r="AA542" s="55">
        <f>_xlfn.XLOOKUP(C542,'Preguntas de negocio'!$C$114:$C$119,'Preguntas de negocio'!$D$114:$D$119,0)</f>
        <v>6</v>
      </c>
      <c r="AB542" s="55">
        <f>VLOOKUP(C542,'Preguntas de negocio'!$C$121:$D$127,2,FALSE)</f>
        <v>0.8</v>
      </c>
    </row>
    <row r="543" spans="1:28" x14ac:dyDescent="0.3">
      <c r="A543" s="1">
        <v>45948</v>
      </c>
      <c r="B543" s="2" t="s">
        <v>2638</v>
      </c>
      <c r="C543" s="2" t="s">
        <v>2521</v>
      </c>
      <c r="D543" s="2" t="s">
        <v>2528</v>
      </c>
      <c r="E543" s="2" t="s">
        <v>2517</v>
      </c>
      <c r="F543" s="3">
        <v>52188</v>
      </c>
      <c r="G543" s="3">
        <v>795</v>
      </c>
      <c r="H543" s="3">
        <v>21</v>
      </c>
      <c r="I543" s="4">
        <v>1482.99</v>
      </c>
      <c r="J543" s="4">
        <v>1736.66</v>
      </c>
      <c r="K543" s="3">
        <v>17</v>
      </c>
      <c r="L543" s="2" t="s">
        <v>2536</v>
      </c>
      <c r="M543" s="2" t="s">
        <v>2526</v>
      </c>
      <c r="N543" s="8">
        <f>IFERROR(G543/F543,0)</f>
        <v>1.5233386985513912E-2</v>
      </c>
      <c r="O543" s="8">
        <f>IFERROR(H543/G543,0)</f>
        <v>2.6415094339622643E-2</v>
      </c>
      <c r="P543" s="4">
        <f>IFERROR(I543/G543,0)</f>
        <v>1.8653962264150943</v>
      </c>
      <c r="Q543" s="4">
        <f>IFERROR(I543/H543,0)</f>
        <v>70.618571428571428</v>
      </c>
      <c r="R543" s="12">
        <f>IFERROR(J543/I543,0)</f>
        <v>1.1710530752061714</v>
      </c>
      <c r="S543" s="7">
        <f>Tabla_nuevas_columnas[[#This Row],[ROAS]]</f>
        <v>1.1710530752061714</v>
      </c>
      <c r="T543" t="str">
        <f>_xlfn.CONCAT(C543,"-",D543)</f>
        <v>Paid Search-España</v>
      </c>
      <c r="U543">
        <f>YEAR(A543)</f>
        <v>2025</v>
      </c>
      <c r="V543">
        <f>MONTH(A543)</f>
        <v>10</v>
      </c>
      <c r="W543" t="str">
        <f>PROPER(TEXT(A543,"mmmm"))</f>
        <v>Octubre</v>
      </c>
      <c r="X543" t="str">
        <f>PROPER(TEXT(A543,"dddd"))</f>
        <v>Sábado</v>
      </c>
      <c r="Y543" t="str" cm="1">
        <f t="array" ref="Y543">_xlfn.IFS(R543&gt;10,"Excelente",R543&gt;=5,"Bueno",R543&gt;=2,"Débil",R543&lt;2,"Deficiente")</f>
        <v>Deficiente</v>
      </c>
      <c r="Z543" t="str">
        <f>IF(AND(R543&lt;2,Q543&gt;=100),"Revisar","OK")</f>
        <v>OK</v>
      </c>
      <c r="AA543" s="55">
        <f>_xlfn.XLOOKUP(C543,'Preguntas de negocio'!$C$114:$C$119,'Preguntas de negocio'!$D$114:$D$119,0)</f>
        <v>5</v>
      </c>
      <c r="AB543" s="55">
        <f>VLOOKUP(C543,'Preguntas de negocio'!$C$121:$D$127,2,FALSE)</f>
        <v>1.1000000000000001</v>
      </c>
    </row>
    <row r="544" spans="1:28" x14ac:dyDescent="0.3">
      <c r="A544" s="1">
        <v>45935</v>
      </c>
      <c r="B544" s="2" t="s">
        <v>2630</v>
      </c>
      <c r="C544" s="2" t="s">
        <v>2521</v>
      </c>
      <c r="D544" s="2" t="s">
        <v>2528</v>
      </c>
      <c r="E544" s="2" t="s">
        <v>2517</v>
      </c>
      <c r="F544" s="3">
        <v>44539</v>
      </c>
      <c r="G544" s="3">
        <v>3798</v>
      </c>
      <c r="H544" s="3">
        <v>334</v>
      </c>
      <c r="I544" s="4">
        <v>2992.84</v>
      </c>
      <c r="J544" s="4">
        <v>36798.730000000003</v>
      </c>
      <c r="K544" s="3">
        <v>237</v>
      </c>
      <c r="L544" s="2" t="s">
        <v>2523</v>
      </c>
      <c r="M544" s="2" t="s">
        <v>2546</v>
      </c>
      <c r="N544" s="8">
        <f>IFERROR(G544/F544,0)</f>
        <v>8.5273580457576506E-2</v>
      </c>
      <c r="O544" s="8">
        <f>IFERROR(H544/G544,0)</f>
        <v>8.7941021590310683E-2</v>
      </c>
      <c r="P544" s="4">
        <f>IFERROR(I544/G544,0)</f>
        <v>0.78800421274354926</v>
      </c>
      <c r="Q544" s="4">
        <f>IFERROR(I544/H544,0)</f>
        <v>8.9605988023952108</v>
      </c>
      <c r="R544" s="12">
        <f>IFERROR(J544/I544,0)</f>
        <v>12.295588805281939</v>
      </c>
      <c r="S544" s="7">
        <f>Tabla_nuevas_columnas[[#This Row],[ROAS]]</f>
        <v>12.295588805281939</v>
      </c>
      <c r="T544" t="str">
        <f>_xlfn.CONCAT(C544,"-",D544)</f>
        <v>Paid Search-España</v>
      </c>
      <c r="U544">
        <f>YEAR(A544)</f>
        <v>2025</v>
      </c>
      <c r="V544">
        <f>MONTH(A544)</f>
        <v>10</v>
      </c>
      <c r="W544" t="str">
        <f>PROPER(TEXT(A544,"mmmm"))</f>
        <v>Octubre</v>
      </c>
      <c r="X544" t="str">
        <f>PROPER(TEXT(A544,"dddd"))</f>
        <v>Domingo</v>
      </c>
      <c r="Y544" t="str" cm="1">
        <f t="array" ref="Y544">_xlfn.IFS(R544&gt;10,"Excelente",R544&gt;=5,"Bueno",R544&gt;=2,"Débil",R544&lt;2,"Deficiente")</f>
        <v>Excelente</v>
      </c>
      <c r="Z544" t="str">
        <f>IF(AND(R544&lt;2,Q544&gt;=100),"Revisar","OK")</f>
        <v>OK</v>
      </c>
      <c r="AA544" s="55">
        <f>_xlfn.XLOOKUP(C544,'Preguntas de negocio'!$C$114:$C$119,'Preguntas de negocio'!$D$114:$D$119,0)</f>
        <v>5</v>
      </c>
      <c r="AB544" s="55">
        <f>VLOOKUP(C544,'Preguntas de negocio'!$C$121:$D$127,2,FALSE)</f>
        <v>1.1000000000000001</v>
      </c>
    </row>
    <row r="545" spans="1:28" x14ac:dyDescent="0.3">
      <c r="A545" s="1">
        <v>45856</v>
      </c>
      <c r="B545" s="2" t="s">
        <v>2627</v>
      </c>
      <c r="C545" s="2" t="s">
        <v>2527</v>
      </c>
      <c r="D545" s="2" t="s">
        <v>2531</v>
      </c>
      <c r="E545" s="2" t="s">
        <v>2529</v>
      </c>
      <c r="F545" s="3">
        <v>125485</v>
      </c>
      <c r="G545" s="3">
        <v>4174</v>
      </c>
      <c r="H545" s="3">
        <v>413</v>
      </c>
      <c r="I545" s="4">
        <v>5305.02</v>
      </c>
      <c r="J545" s="4">
        <v>69968.84</v>
      </c>
      <c r="K545" s="3">
        <v>266</v>
      </c>
      <c r="L545" s="2" t="s">
        <v>2518</v>
      </c>
      <c r="M545" s="2" t="s">
        <v>2526</v>
      </c>
      <c r="N545" s="8">
        <f>IFERROR(G545/F545,0)</f>
        <v>3.3262939793600829E-2</v>
      </c>
      <c r="O545" s="8">
        <f>IFERROR(H545/G545,0)</f>
        <v>9.8945855294681362E-2</v>
      </c>
      <c r="P545" s="4">
        <f>IFERROR(I545/G545,0)</f>
        <v>1.2709678965021562</v>
      </c>
      <c r="Q545" s="4">
        <f>IFERROR(I545/H545,0)</f>
        <v>12.845084745762714</v>
      </c>
      <c r="R545" s="12">
        <f>IFERROR(J545/I545,0)</f>
        <v>13.189175535624747</v>
      </c>
      <c r="S545" s="7">
        <f>Tabla_nuevas_columnas[[#This Row],[ROAS]]</f>
        <v>13.189175535624747</v>
      </c>
      <c r="T545" t="str">
        <f>_xlfn.CONCAT(C545,"-",D545)</f>
        <v>Affiliate-Portugal</v>
      </c>
      <c r="U545">
        <f>YEAR(A545)</f>
        <v>2025</v>
      </c>
      <c r="V545">
        <f>MONTH(A545)</f>
        <v>7</v>
      </c>
      <c r="W545" t="str">
        <f>PROPER(TEXT(A545,"mmmm"))</f>
        <v>Julio</v>
      </c>
      <c r="X545" t="str">
        <f>PROPER(TEXT(A545,"dddd"))</f>
        <v>Viernes</v>
      </c>
      <c r="Y545" t="str" cm="1">
        <f t="array" ref="Y545">_xlfn.IFS(R545&gt;10,"Excelente",R545&gt;=5,"Bueno",R545&gt;=2,"Débil",R545&lt;2,"Deficiente")</f>
        <v>Excelente</v>
      </c>
      <c r="Z545" t="str">
        <f>IF(AND(R545&lt;2,Q545&gt;=100),"Revisar","OK")</f>
        <v>OK</v>
      </c>
      <c r="AA545" s="55">
        <f>_xlfn.XLOOKUP(C545,'Preguntas de negocio'!$C$114:$C$119,'Preguntas de negocio'!$D$114:$D$119,0)</f>
        <v>4.5</v>
      </c>
      <c r="AB545" s="55">
        <f>VLOOKUP(C545,'Preguntas de negocio'!$C$121:$D$127,2,FALSE)</f>
        <v>0.35</v>
      </c>
    </row>
    <row r="546" spans="1:28" x14ac:dyDescent="0.3">
      <c r="A546" s="1">
        <v>45882</v>
      </c>
      <c r="B546" s="2" t="s">
        <v>2617</v>
      </c>
      <c r="C546" s="2" t="s">
        <v>2515</v>
      </c>
      <c r="D546" s="2" t="s">
        <v>2531</v>
      </c>
      <c r="E546" s="2" t="s">
        <v>2529</v>
      </c>
      <c r="F546" s="3">
        <v>106819</v>
      </c>
      <c r="G546" s="3">
        <v>6457</v>
      </c>
      <c r="H546" s="3">
        <v>261</v>
      </c>
      <c r="I546" s="4">
        <v>13028.48</v>
      </c>
      <c r="J546" s="4">
        <v>53526.559999999998</v>
      </c>
      <c r="K546" s="3">
        <v>164</v>
      </c>
      <c r="L546" s="2" t="s">
        <v>2518</v>
      </c>
      <c r="M546" s="2" t="s">
        <v>2524</v>
      </c>
      <c r="N546" s="8">
        <f>IFERROR(G546/F546,0)</f>
        <v>6.0448047631975588E-2</v>
      </c>
      <c r="O546" s="8">
        <f>IFERROR(H546/G546,0)</f>
        <v>4.0421248257704816E-2</v>
      </c>
      <c r="P546" s="4">
        <f>IFERROR(I546/G546,0)</f>
        <v>2.0177295957875172</v>
      </c>
      <c r="Q546" s="4">
        <f>IFERROR(I546/H546,0)</f>
        <v>49.917547892720307</v>
      </c>
      <c r="R546" s="12">
        <f>IFERROR(J546/I546,0)</f>
        <v>4.1084270766812399</v>
      </c>
      <c r="S546" s="7">
        <f>Tabla_nuevas_columnas[[#This Row],[ROAS]]</f>
        <v>4.1084270766812399</v>
      </c>
      <c r="T546" t="str">
        <f>_xlfn.CONCAT(C546,"-",D546)</f>
        <v>Email-Portugal</v>
      </c>
      <c r="U546">
        <f>YEAR(A546)</f>
        <v>2025</v>
      </c>
      <c r="V546">
        <f>MONTH(A546)</f>
        <v>8</v>
      </c>
      <c r="W546" t="str">
        <f>PROPER(TEXT(A546,"mmmm"))</f>
        <v>Agosto</v>
      </c>
      <c r="X546" t="str">
        <f>PROPER(TEXT(A546,"dddd"))</f>
        <v>Miércoles</v>
      </c>
      <c r="Y546" t="str" cm="1">
        <f t="array" ref="Y546">_xlfn.IFS(R546&gt;10,"Excelente",R546&gt;=5,"Bueno",R546&gt;=2,"Débil",R546&lt;2,"Deficiente")</f>
        <v>Débil</v>
      </c>
      <c r="Z546" t="str">
        <f>IF(AND(R546&lt;2,Q546&gt;=100),"Revisar","OK")</f>
        <v>OK</v>
      </c>
      <c r="AA546" s="55">
        <f>_xlfn.XLOOKUP(C546,'Preguntas de negocio'!$C$114:$C$119,'Preguntas de negocio'!$D$114:$D$119,0)</f>
        <v>5.5</v>
      </c>
      <c r="AB546" s="55">
        <f>VLOOKUP(C546,'Preguntas de negocio'!$C$121:$D$127,2,FALSE)</f>
        <v>0.65</v>
      </c>
    </row>
    <row r="547" spans="1:28" x14ac:dyDescent="0.3">
      <c r="A547" s="1">
        <v>46011</v>
      </c>
      <c r="B547" s="2" t="s">
        <v>2643</v>
      </c>
      <c r="C547" s="2" t="s">
        <v>2515</v>
      </c>
      <c r="D547" s="2" t="s">
        <v>2528</v>
      </c>
      <c r="E547" s="2" t="s">
        <v>2529</v>
      </c>
      <c r="F547" s="3">
        <v>26059</v>
      </c>
      <c r="G547" s="3">
        <v>427</v>
      </c>
      <c r="H547" s="3">
        <v>22</v>
      </c>
      <c r="I547" s="4">
        <v>271.81</v>
      </c>
      <c r="J547" s="4">
        <v>3786.04</v>
      </c>
      <c r="K547" s="3">
        <v>18</v>
      </c>
      <c r="L547" s="2" t="s">
        <v>2518</v>
      </c>
      <c r="M547" s="2" t="s">
        <v>2519</v>
      </c>
      <c r="N547" s="8">
        <f>IFERROR(G547/F547,0)</f>
        <v>1.6385893549253617E-2</v>
      </c>
      <c r="O547" s="8">
        <f>IFERROR(H547/G547,0)</f>
        <v>5.1522248243559721E-2</v>
      </c>
      <c r="P547" s="4">
        <f>IFERROR(I547/G547,0)</f>
        <v>0.63655737704918036</v>
      </c>
      <c r="Q547" s="4">
        <f>IFERROR(I547/H547,0)</f>
        <v>12.355</v>
      </c>
      <c r="R547" s="12">
        <f>IFERROR(J547/I547,0)</f>
        <v>13.928994518229645</v>
      </c>
      <c r="S547" s="7">
        <f>Tabla_nuevas_columnas[[#This Row],[ROAS]]</f>
        <v>13.928994518229645</v>
      </c>
      <c r="T547" t="str">
        <f>_xlfn.CONCAT(C547,"-",D547)</f>
        <v>Email-España</v>
      </c>
      <c r="U547">
        <f>YEAR(A547)</f>
        <v>2025</v>
      </c>
      <c r="V547">
        <f>MONTH(A547)</f>
        <v>12</v>
      </c>
      <c r="W547" t="str">
        <f>PROPER(TEXT(A547,"mmmm"))</f>
        <v>Diciembre</v>
      </c>
      <c r="X547" t="str">
        <f>PROPER(TEXT(A547,"dddd"))</f>
        <v>Sábado</v>
      </c>
      <c r="Y547" t="str" cm="1">
        <f t="array" ref="Y547">_xlfn.IFS(R547&gt;10,"Excelente",R547&gt;=5,"Bueno",R547&gt;=2,"Débil",R547&lt;2,"Deficiente")</f>
        <v>Excelente</v>
      </c>
      <c r="Z547" t="str">
        <f>IF(AND(R547&lt;2,Q547&gt;=100),"Revisar","OK")</f>
        <v>OK</v>
      </c>
      <c r="AA547" s="55">
        <f>_xlfn.XLOOKUP(C547,'Preguntas de negocio'!$C$114:$C$119,'Preguntas de negocio'!$D$114:$D$119,0)</f>
        <v>5.5</v>
      </c>
      <c r="AB547" s="55">
        <f>VLOOKUP(C547,'Preguntas de negocio'!$C$121:$D$127,2,FALSE)</f>
        <v>0.65</v>
      </c>
    </row>
    <row r="548" spans="1:28" x14ac:dyDescent="0.3">
      <c r="A548" s="1">
        <v>45682</v>
      </c>
      <c r="B548" s="2" t="s">
        <v>2631</v>
      </c>
      <c r="C548" s="2" t="s">
        <v>2533</v>
      </c>
      <c r="D548" s="2" t="s">
        <v>2531</v>
      </c>
      <c r="E548" s="2" t="s">
        <v>2534</v>
      </c>
      <c r="F548" s="3">
        <v>49350</v>
      </c>
      <c r="G548" s="3">
        <v>955</v>
      </c>
      <c r="H548" s="3">
        <v>44</v>
      </c>
      <c r="I548" s="4">
        <v>1281.1400000000001</v>
      </c>
      <c r="J548" s="4">
        <v>8267.9</v>
      </c>
      <c r="K548" s="3">
        <v>29</v>
      </c>
      <c r="L548" s="2" t="s">
        <v>2539</v>
      </c>
      <c r="M548" s="2" t="s">
        <v>2519</v>
      </c>
      <c r="N548" s="8">
        <f>IFERROR(G548/F548,0)</f>
        <v>1.9351570415400202E-2</v>
      </c>
      <c r="O548" s="8">
        <f>IFERROR(H548/G548,0)</f>
        <v>4.607329842931937E-2</v>
      </c>
      <c r="P548" s="4">
        <f>IFERROR(I548/G548,0)</f>
        <v>1.3415078534031415</v>
      </c>
      <c r="Q548" s="4">
        <f>IFERROR(I548/H548,0)</f>
        <v>29.116818181818186</v>
      </c>
      <c r="R548" s="12">
        <f>IFERROR(J548/I548,0)</f>
        <v>6.4535491827591045</v>
      </c>
      <c r="S548" s="7">
        <f>Tabla_nuevas_columnas[[#This Row],[ROAS]]</f>
        <v>6.4535491827591045</v>
      </c>
      <c r="T548" t="str">
        <f>_xlfn.CONCAT(C548,"-",D548)</f>
        <v>Paid Social-Portugal</v>
      </c>
      <c r="U548">
        <f>YEAR(A548)</f>
        <v>2025</v>
      </c>
      <c r="V548">
        <f>MONTH(A548)</f>
        <v>1</v>
      </c>
      <c r="W548" t="str">
        <f>PROPER(TEXT(A548,"mmmm"))</f>
        <v>Enero</v>
      </c>
      <c r="X548" t="str">
        <f>PROPER(TEXT(A548,"dddd"))</f>
        <v>Sábado</v>
      </c>
      <c r="Y548" t="str" cm="1">
        <f t="array" ref="Y548">_xlfn.IFS(R548&gt;10,"Excelente",R548&gt;=5,"Bueno",R548&gt;=2,"Débil",R548&lt;2,"Deficiente")</f>
        <v>Bueno</v>
      </c>
      <c r="Z548" t="str">
        <f>IF(AND(R548&lt;2,Q548&gt;=100),"Revisar","OK")</f>
        <v>OK</v>
      </c>
      <c r="AA548" s="55">
        <f>_xlfn.XLOOKUP(C548,'Preguntas de negocio'!$C$114:$C$119,'Preguntas de negocio'!$D$114:$D$119,0)</f>
        <v>6</v>
      </c>
      <c r="AB548" s="55">
        <f>VLOOKUP(C548,'Preguntas de negocio'!$C$121:$D$127,2,FALSE)</f>
        <v>0.8</v>
      </c>
    </row>
    <row r="549" spans="1:28" x14ac:dyDescent="0.3">
      <c r="A549" s="1">
        <v>45805</v>
      </c>
      <c r="B549" s="2" t="s">
        <v>2634</v>
      </c>
      <c r="C549" s="2" t="s">
        <v>2645</v>
      </c>
      <c r="D549" s="2" t="s">
        <v>2531</v>
      </c>
      <c r="E549" s="2" t="s">
        <v>2534</v>
      </c>
      <c r="F549" s="3">
        <v>120476</v>
      </c>
      <c r="G549" s="3">
        <v>6343</v>
      </c>
      <c r="H549" s="3">
        <v>51</v>
      </c>
      <c r="I549" s="4">
        <v>2115.96</v>
      </c>
      <c r="J549" s="4">
        <v>6349.25</v>
      </c>
      <c r="K549" s="3">
        <v>34</v>
      </c>
      <c r="L549" s="2" t="s">
        <v>2518</v>
      </c>
      <c r="M549" s="2" t="s">
        <v>2519</v>
      </c>
      <c r="N549" s="8">
        <f>IFERROR(G549/F549,0)</f>
        <v>5.2649490354925464E-2</v>
      </c>
      <c r="O549" s="8">
        <f>IFERROR(H549/G549,0)</f>
        <v>8.0403594513637072E-3</v>
      </c>
      <c r="P549" s="4">
        <f>IFERROR(I549/G549,0)</f>
        <v>0.33358978401387357</v>
      </c>
      <c r="Q549" s="4">
        <f>IFERROR(I549/H549,0)</f>
        <v>41.489411764705885</v>
      </c>
      <c r="R549" s="12">
        <f>IFERROR(J549/I549,0)</f>
        <v>3.0006474602544473</v>
      </c>
      <c r="S549" s="7">
        <f>Tabla_nuevas_columnas[[#This Row],[ROAS]]</f>
        <v>3.0006474602544473</v>
      </c>
      <c r="T549" t="str">
        <f>_xlfn.CONCAT(C549,"-",D549)</f>
        <v>Por identificar-Portugal</v>
      </c>
      <c r="U549">
        <f>YEAR(A549)</f>
        <v>2025</v>
      </c>
      <c r="V549">
        <f>MONTH(A549)</f>
        <v>5</v>
      </c>
      <c r="W549" t="str">
        <f>PROPER(TEXT(A549,"mmmm"))</f>
        <v>Mayo</v>
      </c>
      <c r="X549" t="str">
        <f>PROPER(TEXT(A549,"dddd"))</f>
        <v>Miércoles</v>
      </c>
      <c r="Y549" t="str" cm="1">
        <f t="array" ref="Y549">_xlfn.IFS(R549&gt;10,"Excelente",R549&gt;=5,"Bueno",R549&gt;=2,"Débil",R549&lt;2,"Deficiente")</f>
        <v>Débil</v>
      </c>
      <c r="Z549" t="str">
        <f>IF(AND(R549&lt;2,Q549&gt;=100),"Revisar","OK")</f>
        <v>OK</v>
      </c>
      <c r="AA549" s="55">
        <f>_xlfn.XLOOKUP(C549,'Preguntas de negocio'!$C$114:$C$119,'Preguntas de negocio'!$D$114:$D$119,0)</f>
        <v>0</v>
      </c>
      <c r="AB549" s="55">
        <f>VLOOKUP(C549,'Preguntas de negocio'!$C$121:$D$127,2,FALSE)</f>
        <v>0</v>
      </c>
    </row>
    <row r="550" spans="1:28" x14ac:dyDescent="0.3">
      <c r="A550" s="1">
        <v>45803</v>
      </c>
      <c r="B550" s="2" t="s">
        <v>2626</v>
      </c>
      <c r="C550" s="2" t="s">
        <v>2515</v>
      </c>
      <c r="D550" s="2" t="s">
        <v>2528</v>
      </c>
      <c r="E550" s="2" t="s">
        <v>2529</v>
      </c>
      <c r="F550" s="3">
        <v>56913</v>
      </c>
      <c r="G550" s="3">
        <v>935</v>
      </c>
      <c r="H550" s="3">
        <v>30</v>
      </c>
      <c r="I550" s="4">
        <v>1248.47</v>
      </c>
      <c r="J550" s="4">
        <v>1651.84</v>
      </c>
      <c r="K550" s="3">
        <v>18</v>
      </c>
      <c r="L550" s="2" t="s">
        <v>2539</v>
      </c>
      <c r="M550" s="2" t="s">
        <v>2537</v>
      </c>
      <c r="N550" s="8">
        <f>IFERROR(G550/F550,0)</f>
        <v>1.6428583979055753E-2</v>
      </c>
      <c r="O550" s="8">
        <f>IFERROR(H550/G550,0)</f>
        <v>3.2085561497326207E-2</v>
      </c>
      <c r="P550" s="4">
        <f>IFERROR(I550/G550,0)</f>
        <v>1.3352620320855615</v>
      </c>
      <c r="Q550" s="4">
        <f>IFERROR(I550/H550,0)</f>
        <v>41.615666666666669</v>
      </c>
      <c r="R550" s="12">
        <f>IFERROR(J550/I550,0)</f>
        <v>1.3230914639518769</v>
      </c>
      <c r="S550" s="7">
        <f>Tabla_nuevas_columnas[[#This Row],[ROAS]]</f>
        <v>1.3230914639518769</v>
      </c>
      <c r="T550" t="str">
        <f>_xlfn.CONCAT(C550,"-",D550)</f>
        <v>Email-España</v>
      </c>
      <c r="U550">
        <f>YEAR(A550)</f>
        <v>2025</v>
      </c>
      <c r="V550">
        <f>MONTH(A550)</f>
        <v>5</v>
      </c>
      <c r="W550" t="str">
        <f>PROPER(TEXT(A550,"mmmm"))</f>
        <v>Mayo</v>
      </c>
      <c r="X550" t="str">
        <f>PROPER(TEXT(A550,"dddd"))</f>
        <v>Lunes</v>
      </c>
      <c r="Y550" t="str" cm="1">
        <f t="array" ref="Y550">_xlfn.IFS(R550&gt;10,"Excelente",R550&gt;=5,"Bueno",R550&gt;=2,"Débil",R550&lt;2,"Deficiente")</f>
        <v>Deficiente</v>
      </c>
      <c r="Z550" t="str">
        <f>IF(AND(R550&lt;2,Q550&gt;=100),"Revisar","OK")</f>
        <v>OK</v>
      </c>
      <c r="AA550" s="55">
        <f>_xlfn.XLOOKUP(C550,'Preguntas de negocio'!$C$114:$C$119,'Preguntas de negocio'!$D$114:$D$119,0)</f>
        <v>5.5</v>
      </c>
      <c r="AB550" s="55">
        <f>VLOOKUP(C550,'Preguntas de negocio'!$C$121:$D$127,2,FALSE)</f>
        <v>0.65</v>
      </c>
    </row>
    <row r="551" spans="1:28" x14ac:dyDescent="0.3">
      <c r="A551" s="1">
        <v>46018</v>
      </c>
      <c r="B551" s="2" t="s">
        <v>2623</v>
      </c>
      <c r="C551" s="2" t="s">
        <v>2543</v>
      </c>
      <c r="D551" s="2" t="s">
        <v>2528</v>
      </c>
      <c r="E551" s="2" t="s">
        <v>2529</v>
      </c>
      <c r="F551" s="3">
        <v>74281</v>
      </c>
      <c r="G551" s="3">
        <v>6672</v>
      </c>
      <c r="H551" s="3">
        <v>679</v>
      </c>
      <c r="I551" s="4">
        <v>11982.8</v>
      </c>
      <c r="J551" s="4">
        <v>86471.32</v>
      </c>
      <c r="K551" s="3">
        <v>431</v>
      </c>
      <c r="L551" s="2" t="s">
        <v>2523</v>
      </c>
      <c r="M551" s="2" t="s">
        <v>2526</v>
      </c>
      <c r="N551" s="8">
        <f>IFERROR(G551/F551,0)</f>
        <v>8.9821084799612289E-2</v>
      </c>
      <c r="O551" s="8">
        <f>IFERROR(H551/G551,0)</f>
        <v>0.10176858513189449</v>
      </c>
      <c r="P551" s="4">
        <f>IFERROR(I551/G551,0)</f>
        <v>1.7959832134292564</v>
      </c>
      <c r="Q551" s="4">
        <f>IFERROR(I551/H551,0)</f>
        <v>17.647717231222384</v>
      </c>
      <c r="R551" s="12">
        <f>IFERROR(J551/I551,0)</f>
        <v>7.216286677571186</v>
      </c>
      <c r="S551" s="7">
        <f>Tabla_nuevas_columnas[[#This Row],[ROAS]]</f>
        <v>7.216286677571186</v>
      </c>
      <c r="T551" t="str">
        <f>_xlfn.CONCAT(C551,"-",D551)</f>
        <v>Organic Social-España</v>
      </c>
      <c r="U551">
        <f>YEAR(A551)</f>
        <v>2025</v>
      </c>
      <c r="V551">
        <f>MONTH(A551)</f>
        <v>12</v>
      </c>
      <c r="W551" t="str">
        <f>PROPER(TEXT(A551,"mmmm"))</f>
        <v>Diciembre</v>
      </c>
      <c r="X551" t="str">
        <f>PROPER(TEXT(A551,"dddd"))</f>
        <v>Sábado</v>
      </c>
      <c r="Y551" t="str" cm="1">
        <f t="array" ref="Y551">_xlfn.IFS(R551&gt;10,"Excelente",R551&gt;=5,"Bueno",R551&gt;=2,"Débil",R551&lt;2,"Deficiente")</f>
        <v>Bueno</v>
      </c>
      <c r="Z551" t="str">
        <f>IF(AND(R551&lt;2,Q551&gt;=100),"Revisar","OK")</f>
        <v>OK</v>
      </c>
      <c r="AA551" s="55">
        <f>_xlfn.XLOOKUP(C551,'Preguntas de negocio'!$C$114:$C$119,'Preguntas de negocio'!$D$114:$D$119,0)</f>
        <v>4</v>
      </c>
      <c r="AB551" s="55">
        <f>VLOOKUP(C551,'Preguntas de negocio'!$C$121:$D$127,2,FALSE)</f>
        <v>0.95</v>
      </c>
    </row>
    <row r="552" spans="1:28" x14ac:dyDescent="0.3">
      <c r="A552" s="1">
        <v>45749</v>
      </c>
      <c r="B552" s="2" t="s">
        <v>2641</v>
      </c>
      <c r="C552" s="2" t="s">
        <v>2515</v>
      </c>
      <c r="D552" s="2" t="s">
        <v>2531</v>
      </c>
      <c r="E552" s="2" t="s">
        <v>2517</v>
      </c>
      <c r="F552" s="3">
        <v>42773</v>
      </c>
      <c r="G552" s="3">
        <v>2533</v>
      </c>
      <c r="H552" s="3">
        <v>186</v>
      </c>
      <c r="I552" s="4">
        <v>3024.78</v>
      </c>
      <c r="J552" s="4">
        <v>5936.8</v>
      </c>
      <c r="K552" s="3">
        <v>110</v>
      </c>
      <c r="L552" s="2" t="s">
        <v>2539</v>
      </c>
      <c r="M552" s="2" t="s">
        <v>2537</v>
      </c>
      <c r="N552" s="8">
        <f>IFERROR(G552/F552,0)</f>
        <v>5.9219601150258337E-2</v>
      </c>
      <c r="O552" s="8">
        <f>IFERROR(H552/G552,0)</f>
        <v>7.3430714567706279E-2</v>
      </c>
      <c r="P552" s="4">
        <f>IFERROR(I552/G552,0)</f>
        <v>1.1941492301618635</v>
      </c>
      <c r="Q552" s="4">
        <f>IFERROR(I552/H552,0)</f>
        <v>16.262258064516129</v>
      </c>
      <c r="R552" s="12">
        <f>IFERROR(J552/I552,0)</f>
        <v>1.9627212557607494</v>
      </c>
      <c r="S552" s="7">
        <f>Tabla_nuevas_columnas[[#This Row],[ROAS]]</f>
        <v>1.9627212557607494</v>
      </c>
      <c r="T552" t="str">
        <f>_xlfn.CONCAT(C552,"-",D552)</f>
        <v>Email-Portugal</v>
      </c>
      <c r="U552">
        <f>YEAR(A552)</f>
        <v>2025</v>
      </c>
      <c r="V552">
        <f>MONTH(A552)</f>
        <v>4</v>
      </c>
      <c r="W552" t="str">
        <f>PROPER(TEXT(A552,"mmmm"))</f>
        <v>Abril</v>
      </c>
      <c r="X552" t="str">
        <f>PROPER(TEXT(A552,"dddd"))</f>
        <v>Miércoles</v>
      </c>
      <c r="Y552" t="str" cm="1">
        <f t="array" ref="Y552">_xlfn.IFS(R552&gt;10,"Excelente",R552&gt;=5,"Bueno",R552&gt;=2,"Débil",R552&lt;2,"Deficiente")</f>
        <v>Deficiente</v>
      </c>
      <c r="Z552" t="str">
        <f>IF(AND(R552&lt;2,Q552&gt;=100),"Revisar","OK")</f>
        <v>OK</v>
      </c>
      <c r="AA552" s="55">
        <f>_xlfn.XLOOKUP(C552,'Preguntas de negocio'!$C$114:$C$119,'Preguntas de negocio'!$D$114:$D$119,0)</f>
        <v>5.5</v>
      </c>
      <c r="AB552" s="55">
        <f>VLOOKUP(C552,'Preguntas de negocio'!$C$121:$D$127,2,FALSE)</f>
        <v>0.65</v>
      </c>
    </row>
    <row r="553" spans="1:28" x14ac:dyDescent="0.3">
      <c r="A553" s="1">
        <v>45662</v>
      </c>
      <c r="B553" s="2" t="s">
        <v>2615</v>
      </c>
      <c r="C553" s="2" t="s">
        <v>2541</v>
      </c>
      <c r="D553" s="2" t="s">
        <v>2528</v>
      </c>
      <c r="E553" s="2" t="s">
        <v>2517</v>
      </c>
      <c r="F553" s="3">
        <v>70617</v>
      </c>
      <c r="G553" s="3">
        <v>6249</v>
      </c>
      <c r="H553" s="3">
        <v>100</v>
      </c>
      <c r="I553" s="4">
        <v>11461.52</v>
      </c>
      <c r="J553" s="4">
        <v>4341.01</v>
      </c>
      <c r="K553" s="3">
        <v>54</v>
      </c>
      <c r="L553" s="2" t="s">
        <v>2539</v>
      </c>
      <c r="M553" s="2" t="s">
        <v>2519</v>
      </c>
      <c r="N553" s="8">
        <f>IFERROR(G553/F553,0)</f>
        <v>8.8491439738306643E-2</v>
      </c>
      <c r="O553" s="8">
        <f>IFERROR(H553/G553,0)</f>
        <v>1.6002560409665547E-2</v>
      </c>
      <c r="P553" s="4">
        <f>IFERROR(I553/G553,0)</f>
        <v>1.8341366618658985</v>
      </c>
      <c r="Q553" s="4">
        <f>IFERROR(I553/H553,0)</f>
        <v>114.6152</v>
      </c>
      <c r="R553" s="12">
        <f>IFERROR(J553/I553,0)</f>
        <v>0.37874644898756882</v>
      </c>
      <c r="S553" s="7">
        <f>Tabla_nuevas_columnas[[#This Row],[ROAS]]</f>
        <v>0.37874644898756882</v>
      </c>
      <c r="T553" t="str">
        <f>_xlfn.CONCAT(C553,"-",D553)</f>
        <v>Display-España</v>
      </c>
      <c r="U553">
        <f>YEAR(A553)</f>
        <v>2025</v>
      </c>
      <c r="V553">
        <f>MONTH(A553)</f>
        <v>1</v>
      </c>
      <c r="W553" t="str">
        <f>PROPER(TEXT(A553,"mmmm"))</f>
        <v>Enero</v>
      </c>
      <c r="X553" t="str">
        <f>PROPER(TEXT(A553,"dddd"))</f>
        <v>Domingo</v>
      </c>
      <c r="Y553" t="str" cm="1">
        <f t="array" ref="Y553">_xlfn.IFS(R553&gt;10,"Excelente",R553&gt;=5,"Bueno",R553&gt;=2,"Débil",R553&lt;2,"Deficiente")</f>
        <v>Deficiente</v>
      </c>
      <c r="Z553" t="str">
        <f>IF(AND(R553&lt;2,Q553&gt;=100),"Revisar","OK")</f>
        <v>Revisar</v>
      </c>
      <c r="AA553" s="55">
        <f>_xlfn.XLOOKUP(C553,'Preguntas de negocio'!$C$114:$C$119,'Preguntas de negocio'!$D$114:$D$119,0)</f>
        <v>5</v>
      </c>
      <c r="AB553" s="55">
        <f>VLOOKUP(C553,'Preguntas de negocio'!$C$121:$D$127,2,FALSE)</f>
        <v>0.5</v>
      </c>
    </row>
    <row r="554" spans="1:28" x14ac:dyDescent="0.3">
      <c r="A554" s="1">
        <v>45825</v>
      </c>
      <c r="B554" s="2" t="s">
        <v>2642</v>
      </c>
      <c r="C554" s="2" t="s">
        <v>2527</v>
      </c>
      <c r="D554" s="2" t="s">
        <v>2528</v>
      </c>
      <c r="E554" s="2" t="s">
        <v>2517</v>
      </c>
      <c r="F554" s="3">
        <v>74727</v>
      </c>
      <c r="G554" s="3">
        <v>830</v>
      </c>
      <c r="H554" s="3">
        <v>86</v>
      </c>
      <c r="I554" s="4">
        <v>711.37</v>
      </c>
      <c r="J554" s="4">
        <v>11249.76</v>
      </c>
      <c r="K554" s="3">
        <v>40</v>
      </c>
      <c r="L554" s="2" t="s">
        <v>2536</v>
      </c>
      <c r="M554" s="2" t="s">
        <v>2537</v>
      </c>
      <c r="N554" s="8">
        <f>IFERROR(G554/F554,0)</f>
        <v>1.1107096497919092E-2</v>
      </c>
      <c r="O554" s="8">
        <f>IFERROR(H554/G554,0)</f>
        <v>0.10361445783132531</v>
      </c>
      <c r="P554" s="4">
        <f>IFERROR(I554/G554,0)</f>
        <v>0.85707228915662648</v>
      </c>
      <c r="Q554" s="4">
        <f>IFERROR(I554/H554,0)</f>
        <v>8.2717441860465115</v>
      </c>
      <c r="R554" s="12">
        <f>IFERROR(J554/I554,0)</f>
        <v>15.814217636391751</v>
      </c>
      <c r="S554" s="7">
        <f>Tabla_nuevas_columnas[[#This Row],[ROAS]]</f>
        <v>15.814217636391751</v>
      </c>
      <c r="T554" t="str">
        <f>_xlfn.CONCAT(C554,"-",D554)</f>
        <v>Affiliate-España</v>
      </c>
      <c r="U554">
        <f>YEAR(A554)</f>
        <v>2025</v>
      </c>
      <c r="V554">
        <f>MONTH(A554)</f>
        <v>6</v>
      </c>
      <c r="W554" t="str">
        <f>PROPER(TEXT(A554,"mmmm"))</f>
        <v>Junio</v>
      </c>
      <c r="X554" t="str">
        <f>PROPER(TEXT(A554,"dddd"))</f>
        <v>Martes</v>
      </c>
      <c r="Y554" t="str" cm="1">
        <f t="array" ref="Y554">_xlfn.IFS(R554&gt;10,"Excelente",R554&gt;=5,"Bueno",R554&gt;=2,"Débil",R554&lt;2,"Deficiente")</f>
        <v>Excelente</v>
      </c>
      <c r="Z554" t="str">
        <f>IF(AND(R554&lt;2,Q554&gt;=100),"Revisar","OK")</f>
        <v>OK</v>
      </c>
      <c r="AA554" s="55">
        <f>_xlfn.XLOOKUP(C554,'Preguntas de negocio'!$C$114:$C$119,'Preguntas de negocio'!$D$114:$D$119,0)</f>
        <v>4.5</v>
      </c>
      <c r="AB554" s="55">
        <f>VLOOKUP(C554,'Preguntas de negocio'!$C$121:$D$127,2,FALSE)</f>
        <v>0.35</v>
      </c>
    </row>
    <row r="555" spans="1:28" x14ac:dyDescent="0.3">
      <c r="A555" s="1">
        <v>45891</v>
      </c>
      <c r="B555" s="2" t="s">
        <v>2615</v>
      </c>
      <c r="C555" s="2" t="s">
        <v>2527</v>
      </c>
      <c r="D555" s="2" t="s">
        <v>2531</v>
      </c>
      <c r="E555" s="2" t="s">
        <v>2517</v>
      </c>
      <c r="F555" s="3">
        <v>90880</v>
      </c>
      <c r="G555" s="3">
        <v>7033</v>
      </c>
      <c r="H555" s="3">
        <v>108</v>
      </c>
      <c r="I555" s="4">
        <v>13104.11</v>
      </c>
      <c r="J555" s="4">
        <v>13560.46</v>
      </c>
      <c r="K555" s="3">
        <v>58</v>
      </c>
      <c r="L555" s="2" t="s">
        <v>2518</v>
      </c>
      <c r="M555" s="2" t="s">
        <v>2526</v>
      </c>
      <c r="N555" s="8">
        <f>IFERROR(G555/F555,0)</f>
        <v>7.7387764084507038E-2</v>
      </c>
      <c r="O555" s="8">
        <f>IFERROR(H555/G555,0)</f>
        <v>1.535617801791554E-2</v>
      </c>
      <c r="P555" s="4">
        <f>IFERROR(I555/G555,0)</f>
        <v>1.8632319067254373</v>
      </c>
      <c r="Q555" s="4">
        <f>IFERROR(I555/H555,0)</f>
        <v>121.33435185185186</v>
      </c>
      <c r="R555" s="12">
        <f>IFERROR(J555/I555,0)</f>
        <v>1.0348249518662465</v>
      </c>
      <c r="S555" s="7">
        <f>Tabla_nuevas_columnas[[#This Row],[ROAS]]</f>
        <v>1.0348249518662465</v>
      </c>
      <c r="T555" t="str">
        <f>_xlfn.CONCAT(C555,"-",D555)</f>
        <v>Affiliate-Portugal</v>
      </c>
      <c r="U555">
        <f>YEAR(A555)</f>
        <v>2025</v>
      </c>
      <c r="V555">
        <f>MONTH(A555)</f>
        <v>8</v>
      </c>
      <c r="W555" t="str">
        <f>PROPER(TEXT(A555,"mmmm"))</f>
        <v>Agosto</v>
      </c>
      <c r="X555" t="str">
        <f>PROPER(TEXT(A555,"dddd"))</f>
        <v>Viernes</v>
      </c>
      <c r="Y555" t="str" cm="1">
        <f t="array" ref="Y555">_xlfn.IFS(R555&gt;10,"Excelente",R555&gt;=5,"Bueno",R555&gt;=2,"Débil",R555&lt;2,"Deficiente")</f>
        <v>Deficiente</v>
      </c>
      <c r="Z555" t="str">
        <f>IF(AND(R555&lt;2,Q555&gt;=100),"Revisar","OK")</f>
        <v>Revisar</v>
      </c>
      <c r="AA555" s="55">
        <f>_xlfn.XLOOKUP(C555,'Preguntas de negocio'!$C$114:$C$119,'Preguntas de negocio'!$D$114:$D$119,0)</f>
        <v>4.5</v>
      </c>
      <c r="AB555" s="55">
        <f>VLOOKUP(C555,'Preguntas de negocio'!$C$121:$D$127,2,FALSE)</f>
        <v>0.35</v>
      </c>
    </row>
    <row r="556" spans="1:28" x14ac:dyDescent="0.3">
      <c r="A556" s="1">
        <v>45978</v>
      </c>
      <c r="B556" s="2" t="s">
        <v>2628</v>
      </c>
      <c r="C556" s="2" t="s">
        <v>2541</v>
      </c>
      <c r="D556" s="2" t="s">
        <v>2528</v>
      </c>
      <c r="E556" s="2" t="s">
        <v>2529</v>
      </c>
      <c r="F556" s="3">
        <v>68941</v>
      </c>
      <c r="G556" s="3">
        <v>3323</v>
      </c>
      <c r="H556" s="3">
        <v>224</v>
      </c>
      <c r="I556" s="4">
        <v>4050.88</v>
      </c>
      <c r="J556" s="4">
        <v>30851.35</v>
      </c>
      <c r="K556" s="3">
        <v>188</v>
      </c>
      <c r="L556" s="2" t="s">
        <v>2523</v>
      </c>
      <c r="M556" s="2" t="s">
        <v>2526</v>
      </c>
      <c r="N556" s="8">
        <f>IFERROR(G556/F556,0)</f>
        <v>4.8200635325858346E-2</v>
      </c>
      <c r="O556" s="8">
        <f>IFERROR(H556/G556,0)</f>
        <v>6.7408967800180561E-2</v>
      </c>
      <c r="P556" s="4">
        <f>IFERROR(I556/G556,0)</f>
        <v>1.2190430334035511</v>
      </c>
      <c r="Q556" s="4">
        <f>IFERROR(I556/H556,0)</f>
        <v>18.084285714285716</v>
      </c>
      <c r="R556" s="12">
        <f>IFERROR(J556/I556,0)</f>
        <v>7.615962457540089</v>
      </c>
      <c r="S556" s="7">
        <f>Tabla_nuevas_columnas[[#This Row],[ROAS]]</f>
        <v>7.615962457540089</v>
      </c>
      <c r="T556" t="str">
        <f>_xlfn.CONCAT(C556,"-",D556)</f>
        <v>Display-España</v>
      </c>
      <c r="U556">
        <f>YEAR(A556)</f>
        <v>2025</v>
      </c>
      <c r="V556">
        <f>MONTH(A556)</f>
        <v>11</v>
      </c>
      <c r="W556" t="str">
        <f>PROPER(TEXT(A556,"mmmm"))</f>
        <v>Noviembre</v>
      </c>
      <c r="X556" t="str">
        <f>PROPER(TEXT(A556,"dddd"))</f>
        <v>Lunes</v>
      </c>
      <c r="Y556" t="str" cm="1">
        <f t="array" ref="Y556">_xlfn.IFS(R556&gt;10,"Excelente",R556&gt;=5,"Bueno",R556&gt;=2,"Débil",R556&lt;2,"Deficiente")</f>
        <v>Bueno</v>
      </c>
      <c r="Z556" t="str">
        <f>IF(AND(R556&lt;2,Q556&gt;=100),"Revisar","OK")</f>
        <v>OK</v>
      </c>
      <c r="AA556" s="55">
        <f>_xlfn.XLOOKUP(C556,'Preguntas de negocio'!$C$114:$C$119,'Preguntas de negocio'!$D$114:$D$119,0)</f>
        <v>5</v>
      </c>
      <c r="AB556" s="55">
        <f>VLOOKUP(C556,'Preguntas de negocio'!$C$121:$D$127,2,FALSE)</f>
        <v>0.5</v>
      </c>
    </row>
    <row r="557" spans="1:28" x14ac:dyDescent="0.3">
      <c r="A557" s="1">
        <v>45880</v>
      </c>
      <c r="B557" s="2" t="s">
        <v>2616</v>
      </c>
      <c r="C557" s="2" t="s">
        <v>2543</v>
      </c>
      <c r="D557" s="2" t="s">
        <v>2516</v>
      </c>
      <c r="E557" s="2" t="s">
        <v>2529</v>
      </c>
      <c r="F557" s="3">
        <v>66392</v>
      </c>
      <c r="G557" s="3">
        <v>3019</v>
      </c>
      <c r="H557" s="3">
        <v>343</v>
      </c>
      <c r="I557" s="4">
        <v>2949.92</v>
      </c>
      <c r="J557" s="4">
        <v>58734.42</v>
      </c>
      <c r="K557" s="3">
        <v>261</v>
      </c>
      <c r="L557" s="2" t="s">
        <v>2539</v>
      </c>
      <c r="M557" s="2" t="s">
        <v>2524</v>
      </c>
      <c r="N557" s="8">
        <f>IFERROR(G557/F557,0)</f>
        <v>4.5472346065791057E-2</v>
      </c>
      <c r="O557" s="8">
        <f>IFERROR(H557/G557,0)</f>
        <v>0.11361377939715138</v>
      </c>
      <c r="P557" s="4">
        <f>IFERROR(I557/G557,0)</f>
        <v>0.9771182510765154</v>
      </c>
      <c r="Q557" s="4">
        <f>IFERROR(I557/H557,0)</f>
        <v>8.6003498542274048</v>
      </c>
      <c r="R557" s="12">
        <f>IFERROR(J557/I557,0)</f>
        <v>19.910512827466505</v>
      </c>
      <c r="S557" s="7">
        <f>Tabla_nuevas_columnas[[#This Row],[ROAS]]</f>
        <v>19.910512827466505</v>
      </c>
      <c r="T557" t="str">
        <f>_xlfn.CONCAT(C557,"-",D557)</f>
        <v>Organic Social-México</v>
      </c>
      <c r="U557">
        <f>YEAR(A557)</f>
        <v>2025</v>
      </c>
      <c r="V557">
        <f>MONTH(A557)</f>
        <v>8</v>
      </c>
      <c r="W557" t="str">
        <f>PROPER(TEXT(A557,"mmmm"))</f>
        <v>Agosto</v>
      </c>
      <c r="X557" t="str">
        <f>PROPER(TEXT(A557,"dddd"))</f>
        <v>Lunes</v>
      </c>
      <c r="Y557" t="str" cm="1">
        <f t="array" ref="Y557">_xlfn.IFS(R557&gt;10,"Excelente",R557&gt;=5,"Bueno",R557&gt;=2,"Débil",R557&lt;2,"Deficiente")</f>
        <v>Excelente</v>
      </c>
      <c r="Z557" t="str">
        <f>IF(AND(R557&lt;2,Q557&gt;=100),"Revisar","OK")</f>
        <v>OK</v>
      </c>
      <c r="AA557" s="55">
        <f>_xlfn.XLOOKUP(C557,'Preguntas de negocio'!$C$114:$C$119,'Preguntas de negocio'!$D$114:$D$119,0)</f>
        <v>4</v>
      </c>
      <c r="AB557" s="55">
        <f>VLOOKUP(C557,'Preguntas de negocio'!$C$121:$D$127,2,FALSE)</f>
        <v>0.95</v>
      </c>
    </row>
    <row r="558" spans="1:28" x14ac:dyDescent="0.3">
      <c r="A558" s="1">
        <v>45985</v>
      </c>
      <c r="B558" s="2" t="s">
        <v>2634</v>
      </c>
      <c r="C558" s="2" t="s">
        <v>2543</v>
      </c>
      <c r="D558" s="2" t="s">
        <v>2528</v>
      </c>
      <c r="E558" s="2" t="s">
        <v>2517</v>
      </c>
      <c r="F558" s="3">
        <v>15386</v>
      </c>
      <c r="G558" s="3">
        <v>172</v>
      </c>
      <c r="H558" s="3">
        <v>23</v>
      </c>
      <c r="I558" s="4">
        <v>349.86</v>
      </c>
      <c r="J558" s="4">
        <v>2274.7399999999998</v>
      </c>
      <c r="K558" s="3">
        <v>18</v>
      </c>
      <c r="L558" s="2" t="s">
        <v>2523</v>
      </c>
      <c r="M558" s="2" t="s">
        <v>2546</v>
      </c>
      <c r="N558" s="8">
        <f>IFERROR(G558/F558,0)</f>
        <v>1.1178993890549851E-2</v>
      </c>
      <c r="O558" s="8">
        <f>IFERROR(H558/G558,0)</f>
        <v>0.13372093023255813</v>
      </c>
      <c r="P558" s="4">
        <f>IFERROR(I558/G558,0)</f>
        <v>2.0340697674418604</v>
      </c>
      <c r="Q558" s="4">
        <f>IFERROR(I558/H558,0)</f>
        <v>15.211304347826088</v>
      </c>
      <c r="R558" s="12">
        <f>IFERROR(J558/I558,0)</f>
        <v>6.501857886011547</v>
      </c>
      <c r="S558" s="7">
        <f>Tabla_nuevas_columnas[[#This Row],[ROAS]]</f>
        <v>6.501857886011547</v>
      </c>
      <c r="T558" t="str">
        <f>_xlfn.CONCAT(C558,"-",D558)</f>
        <v>Organic Social-España</v>
      </c>
      <c r="U558">
        <f>YEAR(A558)</f>
        <v>2025</v>
      </c>
      <c r="V558">
        <f>MONTH(A558)</f>
        <v>11</v>
      </c>
      <c r="W558" t="str">
        <f>PROPER(TEXT(A558,"mmmm"))</f>
        <v>Noviembre</v>
      </c>
      <c r="X558" t="str">
        <f>PROPER(TEXT(A558,"dddd"))</f>
        <v>Lunes</v>
      </c>
      <c r="Y558" t="str" cm="1">
        <f t="array" ref="Y558">_xlfn.IFS(R558&gt;10,"Excelente",R558&gt;=5,"Bueno",R558&gt;=2,"Débil",R558&lt;2,"Deficiente")</f>
        <v>Bueno</v>
      </c>
      <c r="Z558" t="str">
        <f>IF(AND(R558&lt;2,Q558&gt;=100),"Revisar","OK")</f>
        <v>OK</v>
      </c>
      <c r="AA558" s="55">
        <f>_xlfn.XLOOKUP(C558,'Preguntas de negocio'!$C$114:$C$119,'Preguntas de negocio'!$D$114:$D$119,0)</f>
        <v>4</v>
      </c>
      <c r="AB558" s="55">
        <f>VLOOKUP(C558,'Preguntas de negocio'!$C$121:$D$127,2,FALSE)</f>
        <v>0.95</v>
      </c>
    </row>
    <row r="559" spans="1:28" x14ac:dyDescent="0.3">
      <c r="A559" s="1">
        <v>45853</v>
      </c>
      <c r="B559" s="2" t="s">
        <v>2626</v>
      </c>
      <c r="C559" s="2" t="s">
        <v>2527</v>
      </c>
      <c r="D559" s="2" t="s">
        <v>2516</v>
      </c>
      <c r="E559" s="2" t="s">
        <v>2517</v>
      </c>
      <c r="F559" s="3">
        <v>8928</v>
      </c>
      <c r="G559" s="3">
        <v>456</v>
      </c>
      <c r="H559" s="3">
        <v>29</v>
      </c>
      <c r="I559" s="4">
        <v>547.5</v>
      </c>
      <c r="J559" s="4">
        <v>2951.23</v>
      </c>
      <c r="K559" s="3">
        <v>19</v>
      </c>
      <c r="L559" s="2" t="s">
        <v>2536</v>
      </c>
      <c r="M559" s="2" t="s">
        <v>2526</v>
      </c>
      <c r="N559" s="8">
        <f>IFERROR(G559/F559,0)</f>
        <v>5.1075268817204304E-2</v>
      </c>
      <c r="O559" s="8">
        <f>IFERROR(H559/G559,0)</f>
        <v>6.3596491228070179E-2</v>
      </c>
      <c r="P559" s="4">
        <f>IFERROR(I559/G559,0)</f>
        <v>1.200657894736842</v>
      </c>
      <c r="Q559" s="4">
        <f>IFERROR(I559/H559,0)</f>
        <v>18.879310344827587</v>
      </c>
      <c r="R559" s="12">
        <f>IFERROR(J559/I559,0)</f>
        <v>5.3903744292237441</v>
      </c>
      <c r="S559" s="7">
        <f>Tabla_nuevas_columnas[[#This Row],[ROAS]]</f>
        <v>5.3903744292237441</v>
      </c>
      <c r="T559" t="str">
        <f>_xlfn.CONCAT(C559,"-",D559)</f>
        <v>Affiliate-México</v>
      </c>
      <c r="U559">
        <f>YEAR(A559)</f>
        <v>2025</v>
      </c>
      <c r="V559">
        <f>MONTH(A559)</f>
        <v>7</v>
      </c>
      <c r="W559" t="str">
        <f>PROPER(TEXT(A559,"mmmm"))</f>
        <v>Julio</v>
      </c>
      <c r="X559" t="str">
        <f>PROPER(TEXT(A559,"dddd"))</f>
        <v>Martes</v>
      </c>
      <c r="Y559" t="str" cm="1">
        <f t="array" ref="Y559">_xlfn.IFS(R559&gt;10,"Excelente",R559&gt;=5,"Bueno",R559&gt;=2,"Débil",R559&lt;2,"Deficiente")</f>
        <v>Bueno</v>
      </c>
      <c r="Z559" t="str">
        <f>IF(AND(R559&lt;2,Q559&gt;=100),"Revisar","OK")</f>
        <v>OK</v>
      </c>
      <c r="AA559" s="55">
        <f>_xlfn.XLOOKUP(C559,'Preguntas de negocio'!$C$114:$C$119,'Preguntas de negocio'!$D$114:$D$119,0)</f>
        <v>4.5</v>
      </c>
      <c r="AB559" s="55">
        <f>VLOOKUP(C559,'Preguntas de negocio'!$C$121:$D$127,2,FALSE)</f>
        <v>0.35</v>
      </c>
    </row>
    <row r="560" spans="1:28" x14ac:dyDescent="0.3">
      <c r="A560" s="1">
        <v>45708</v>
      </c>
      <c r="B560" s="2" t="s">
        <v>2619</v>
      </c>
      <c r="C560" s="2" t="s">
        <v>2533</v>
      </c>
      <c r="D560" s="2" t="s">
        <v>2528</v>
      </c>
      <c r="E560" s="2" t="s">
        <v>2517</v>
      </c>
      <c r="F560" s="3">
        <v>13231</v>
      </c>
      <c r="G560" s="3">
        <v>133</v>
      </c>
      <c r="H560" s="3">
        <v>1</v>
      </c>
      <c r="I560" s="4">
        <v>170.43</v>
      </c>
      <c r="J560" s="4">
        <v>204.54</v>
      </c>
      <c r="K560" s="3">
        <v>0</v>
      </c>
      <c r="L560" s="2" t="s">
        <v>2539</v>
      </c>
      <c r="M560" s="2" t="s">
        <v>2524</v>
      </c>
      <c r="N560" s="8">
        <f>IFERROR(G560/F560,0)</f>
        <v>1.0052150253193259E-2</v>
      </c>
      <c r="O560" s="8">
        <f>IFERROR(H560/G560,0)</f>
        <v>7.5187969924812026E-3</v>
      </c>
      <c r="P560" s="4">
        <f>IFERROR(I560/G560,0)</f>
        <v>1.2814285714285716</v>
      </c>
      <c r="Q560" s="4">
        <f>IFERROR(I560/H560,0)</f>
        <v>170.43</v>
      </c>
      <c r="R560" s="12">
        <f>IFERROR(J560/I560,0)</f>
        <v>1.2001408202781199</v>
      </c>
      <c r="S560" s="7">
        <f>Tabla_nuevas_columnas[[#This Row],[ROAS]]</f>
        <v>1.2001408202781199</v>
      </c>
      <c r="T560" t="str">
        <f>_xlfn.CONCAT(C560,"-",D560)</f>
        <v>Paid Social-España</v>
      </c>
      <c r="U560">
        <f>YEAR(A560)</f>
        <v>2025</v>
      </c>
      <c r="V560">
        <f>MONTH(A560)</f>
        <v>2</v>
      </c>
      <c r="W560" t="str">
        <f>PROPER(TEXT(A560,"mmmm"))</f>
        <v>Febrero</v>
      </c>
      <c r="X560" t="str">
        <f>PROPER(TEXT(A560,"dddd"))</f>
        <v>Jueves</v>
      </c>
      <c r="Y560" t="str" cm="1">
        <f t="array" ref="Y560">_xlfn.IFS(R560&gt;10,"Excelente",R560&gt;=5,"Bueno",R560&gt;=2,"Débil",R560&lt;2,"Deficiente")</f>
        <v>Deficiente</v>
      </c>
      <c r="Z560" t="str">
        <f>IF(AND(R560&lt;2,Q560&gt;=100),"Revisar","OK")</f>
        <v>Revisar</v>
      </c>
      <c r="AA560" s="55">
        <f>_xlfn.XLOOKUP(C560,'Preguntas de negocio'!$C$114:$C$119,'Preguntas de negocio'!$D$114:$D$119,0)</f>
        <v>6</v>
      </c>
      <c r="AB560" s="55">
        <f>VLOOKUP(C560,'Preguntas de negocio'!$C$121:$D$127,2,FALSE)</f>
        <v>0.8</v>
      </c>
    </row>
    <row r="561" spans="1:28" x14ac:dyDescent="0.3">
      <c r="A561" s="1">
        <v>45891</v>
      </c>
      <c r="B561" s="2" t="s">
        <v>2640</v>
      </c>
      <c r="C561" s="2" t="s">
        <v>2533</v>
      </c>
      <c r="D561" s="2" t="s">
        <v>2528</v>
      </c>
      <c r="E561" s="2" t="s">
        <v>2517</v>
      </c>
      <c r="F561" s="3">
        <v>66443</v>
      </c>
      <c r="G561" s="3">
        <v>3211</v>
      </c>
      <c r="H561" s="3">
        <v>148</v>
      </c>
      <c r="I561" s="4">
        <v>1750.94</v>
      </c>
      <c r="J561" s="4">
        <v>20683.27</v>
      </c>
      <c r="K561" s="3">
        <v>117</v>
      </c>
      <c r="L561" s="2" t="s">
        <v>2536</v>
      </c>
      <c r="M561" s="2" t="s">
        <v>2524</v>
      </c>
      <c r="N561" s="8">
        <f>IFERROR(G561/F561,0)</f>
        <v>4.8327137546468404E-2</v>
      </c>
      <c r="O561" s="8">
        <f>IFERROR(H561/G561,0)</f>
        <v>4.6091560261600745E-2</v>
      </c>
      <c r="P561" s="4">
        <f>IFERROR(I561/G561,0)</f>
        <v>0.54529430084085961</v>
      </c>
      <c r="Q561" s="4">
        <f>IFERROR(I561/H561,0)</f>
        <v>11.830675675675677</v>
      </c>
      <c r="R561" s="12">
        <f>IFERROR(J561/I561,0)</f>
        <v>11.812666339223503</v>
      </c>
      <c r="S561" s="7">
        <f>Tabla_nuevas_columnas[[#This Row],[ROAS]]</f>
        <v>11.812666339223503</v>
      </c>
      <c r="T561" t="str">
        <f>_xlfn.CONCAT(C561,"-",D561)</f>
        <v>Paid Social-España</v>
      </c>
      <c r="U561">
        <f>YEAR(A561)</f>
        <v>2025</v>
      </c>
      <c r="V561">
        <f>MONTH(A561)</f>
        <v>8</v>
      </c>
      <c r="W561" t="str">
        <f>PROPER(TEXT(A561,"mmmm"))</f>
        <v>Agosto</v>
      </c>
      <c r="X561" t="str">
        <f>PROPER(TEXT(A561,"dddd"))</f>
        <v>Viernes</v>
      </c>
      <c r="Y561" t="str" cm="1">
        <f t="array" ref="Y561">_xlfn.IFS(R561&gt;10,"Excelente",R561&gt;=5,"Bueno",R561&gt;=2,"Débil",R561&lt;2,"Deficiente")</f>
        <v>Excelente</v>
      </c>
      <c r="Z561" t="str">
        <f>IF(AND(R561&lt;2,Q561&gt;=100),"Revisar","OK")</f>
        <v>OK</v>
      </c>
      <c r="AA561" s="55">
        <f>_xlfn.XLOOKUP(C561,'Preguntas de negocio'!$C$114:$C$119,'Preguntas de negocio'!$D$114:$D$119,0)</f>
        <v>6</v>
      </c>
      <c r="AB561" s="55">
        <f>VLOOKUP(C561,'Preguntas de negocio'!$C$121:$D$127,2,FALSE)</f>
        <v>0.8</v>
      </c>
    </row>
    <row r="562" spans="1:28" x14ac:dyDescent="0.3">
      <c r="A562" s="1">
        <v>45759</v>
      </c>
      <c r="B562" s="2" t="s">
        <v>2626</v>
      </c>
      <c r="C562" s="2" t="s">
        <v>2533</v>
      </c>
      <c r="D562" s="2" t="s">
        <v>2531</v>
      </c>
      <c r="E562" s="2" t="s">
        <v>2529</v>
      </c>
      <c r="F562" s="3">
        <v>175647</v>
      </c>
      <c r="G562" s="3">
        <v>9025</v>
      </c>
      <c r="H562" s="3">
        <v>152</v>
      </c>
      <c r="I562" s="4">
        <v>11827.49</v>
      </c>
      <c r="J562" s="4">
        <v>28793.54</v>
      </c>
      <c r="K562" s="3">
        <v>135</v>
      </c>
      <c r="L562" s="2" t="s">
        <v>2536</v>
      </c>
      <c r="M562" s="2" t="s">
        <v>2524</v>
      </c>
      <c r="N562" s="8">
        <f>IFERROR(G562/F562,0)</f>
        <v>5.1381463958963147E-2</v>
      </c>
      <c r="O562" s="8">
        <f>IFERROR(H562/G562,0)</f>
        <v>1.6842105263157894E-2</v>
      </c>
      <c r="P562" s="4">
        <f>IFERROR(I562/G562,0)</f>
        <v>1.3105252077562326</v>
      </c>
      <c r="Q562" s="4">
        <f>IFERROR(I562/H562,0)</f>
        <v>77.81243421052632</v>
      </c>
      <c r="R562" s="12">
        <f>IFERROR(J562/I562,0)</f>
        <v>2.4344590441420793</v>
      </c>
      <c r="S562" s="7">
        <f>Tabla_nuevas_columnas[[#This Row],[ROAS]]</f>
        <v>2.4344590441420793</v>
      </c>
      <c r="T562" t="str">
        <f>_xlfn.CONCAT(C562,"-",D562)</f>
        <v>Paid Social-Portugal</v>
      </c>
      <c r="U562">
        <f>YEAR(A562)</f>
        <v>2025</v>
      </c>
      <c r="V562">
        <f>MONTH(A562)</f>
        <v>4</v>
      </c>
      <c r="W562" t="str">
        <f>PROPER(TEXT(A562,"mmmm"))</f>
        <v>Abril</v>
      </c>
      <c r="X562" t="str">
        <f>PROPER(TEXT(A562,"dddd"))</f>
        <v>Sábado</v>
      </c>
      <c r="Y562" t="str" cm="1">
        <f t="array" ref="Y562">_xlfn.IFS(R562&gt;10,"Excelente",R562&gt;=5,"Bueno",R562&gt;=2,"Débil",R562&lt;2,"Deficiente")</f>
        <v>Débil</v>
      </c>
      <c r="Z562" t="str">
        <f>IF(AND(R562&lt;2,Q562&gt;=100),"Revisar","OK")</f>
        <v>OK</v>
      </c>
      <c r="AA562" s="55">
        <f>_xlfn.XLOOKUP(C562,'Preguntas de negocio'!$C$114:$C$119,'Preguntas de negocio'!$D$114:$D$119,0)</f>
        <v>6</v>
      </c>
      <c r="AB562" s="55">
        <f>VLOOKUP(C562,'Preguntas de negocio'!$C$121:$D$127,2,FALSE)</f>
        <v>0.8</v>
      </c>
    </row>
    <row r="563" spans="1:28" x14ac:dyDescent="0.3">
      <c r="A563" s="1">
        <v>45668</v>
      </c>
      <c r="B563" s="2" t="s">
        <v>2622</v>
      </c>
      <c r="C563" s="2" t="s">
        <v>2527</v>
      </c>
      <c r="D563" s="2" t="s">
        <v>2531</v>
      </c>
      <c r="E563" s="2" t="s">
        <v>2517</v>
      </c>
      <c r="F563" s="3">
        <v>12434</v>
      </c>
      <c r="G563" s="3">
        <v>440</v>
      </c>
      <c r="H563" s="3">
        <v>42</v>
      </c>
      <c r="I563" s="4">
        <v>503.59</v>
      </c>
      <c r="J563" s="4">
        <v>2935.28</v>
      </c>
      <c r="K563" s="3">
        <v>36</v>
      </c>
      <c r="L563" s="2" t="s">
        <v>2518</v>
      </c>
      <c r="M563" s="2" t="s">
        <v>2524</v>
      </c>
      <c r="N563" s="8">
        <f>IFERROR(G563/F563,0)</f>
        <v>3.5386842528550747E-2</v>
      </c>
      <c r="O563" s="8">
        <f>IFERROR(H563/G563,0)</f>
        <v>9.5454545454545459E-2</v>
      </c>
      <c r="P563" s="4">
        <f>IFERROR(I563/G563,0)</f>
        <v>1.1445227272727272</v>
      </c>
      <c r="Q563" s="4">
        <f>IFERROR(I563/H563,0)</f>
        <v>11.990238095238094</v>
      </c>
      <c r="R563" s="12">
        <f>IFERROR(J563/I563,0)</f>
        <v>5.8287098631823513</v>
      </c>
      <c r="S563" s="7">
        <f>Tabla_nuevas_columnas[[#This Row],[ROAS]]</f>
        <v>5.8287098631823513</v>
      </c>
      <c r="T563" t="str">
        <f>_xlfn.CONCAT(C563,"-",D563)</f>
        <v>Affiliate-Portugal</v>
      </c>
      <c r="U563">
        <f>YEAR(A563)</f>
        <v>2025</v>
      </c>
      <c r="V563">
        <f>MONTH(A563)</f>
        <v>1</v>
      </c>
      <c r="W563" t="str">
        <f>PROPER(TEXT(A563,"mmmm"))</f>
        <v>Enero</v>
      </c>
      <c r="X563" t="str">
        <f>PROPER(TEXT(A563,"dddd"))</f>
        <v>Sábado</v>
      </c>
      <c r="Y563" t="str" cm="1">
        <f t="array" ref="Y563">_xlfn.IFS(R563&gt;10,"Excelente",R563&gt;=5,"Bueno",R563&gt;=2,"Débil",R563&lt;2,"Deficiente")</f>
        <v>Bueno</v>
      </c>
      <c r="Z563" t="str">
        <f>IF(AND(R563&lt;2,Q563&gt;=100),"Revisar","OK")</f>
        <v>OK</v>
      </c>
      <c r="AA563" s="55">
        <f>_xlfn.XLOOKUP(C563,'Preguntas de negocio'!$C$114:$C$119,'Preguntas de negocio'!$D$114:$D$119,0)</f>
        <v>4.5</v>
      </c>
      <c r="AB563" s="55">
        <f>VLOOKUP(C563,'Preguntas de negocio'!$C$121:$D$127,2,FALSE)</f>
        <v>0.35</v>
      </c>
    </row>
    <row r="564" spans="1:28" x14ac:dyDescent="0.3">
      <c r="A564" s="1">
        <v>45806</v>
      </c>
      <c r="B564" s="2" t="s">
        <v>2624</v>
      </c>
      <c r="C564" s="2" t="s">
        <v>2543</v>
      </c>
      <c r="D564" s="2" t="s">
        <v>2516</v>
      </c>
      <c r="E564" s="2" t="s">
        <v>2517</v>
      </c>
      <c r="F564" s="3">
        <v>139195</v>
      </c>
      <c r="G564" s="3">
        <v>7615</v>
      </c>
      <c r="H564" s="3">
        <v>67</v>
      </c>
      <c r="I564" s="4">
        <v>7958.98</v>
      </c>
      <c r="J564" s="4">
        <v>5996.87</v>
      </c>
      <c r="K564" s="3">
        <v>34</v>
      </c>
      <c r="L564" s="2" t="s">
        <v>2539</v>
      </c>
      <c r="M564" s="2" t="s">
        <v>2546</v>
      </c>
      <c r="N564" s="8">
        <f>IFERROR(G564/F564,0)</f>
        <v>5.4707424835662204E-2</v>
      </c>
      <c r="O564" s="8">
        <f>IFERROR(H564/G564,0)</f>
        <v>8.7984241628365073E-3</v>
      </c>
      <c r="P564" s="4">
        <f>IFERROR(I564/G564,0)</f>
        <v>1.0451713722915299</v>
      </c>
      <c r="Q564" s="4">
        <f>IFERROR(I564/H564,0)</f>
        <v>118.7907462686567</v>
      </c>
      <c r="R564" s="12">
        <f>IFERROR(J564/I564,0)</f>
        <v>0.75347217859574978</v>
      </c>
      <c r="S564" s="7">
        <f>Tabla_nuevas_columnas[[#This Row],[ROAS]]</f>
        <v>0.75347217859574978</v>
      </c>
      <c r="T564" t="str">
        <f>_xlfn.CONCAT(C564,"-",D564)</f>
        <v>Organic Social-México</v>
      </c>
      <c r="U564">
        <f>YEAR(A564)</f>
        <v>2025</v>
      </c>
      <c r="V564">
        <f>MONTH(A564)</f>
        <v>5</v>
      </c>
      <c r="W564" t="str">
        <f>PROPER(TEXT(A564,"mmmm"))</f>
        <v>Mayo</v>
      </c>
      <c r="X564" t="str">
        <f>PROPER(TEXT(A564,"dddd"))</f>
        <v>Jueves</v>
      </c>
      <c r="Y564" t="str" cm="1">
        <f t="array" ref="Y564">_xlfn.IFS(R564&gt;10,"Excelente",R564&gt;=5,"Bueno",R564&gt;=2,"Débil",R564&lt;2,"Deficiente")</f>
        <v>Deficiente</v>
      </c>
      <c r="Z564" t="str">
        <f>IF(AND(R564&lt;2,Q564&gt;=100),"Revisar","OK")</f>
        <v>Revisar</v>
      </c>
      <c r="AA564" s="55">
        <f>_xlfn.XLOOKUP(C564,'Preguntas de negocio'!$C$114:$C$119,'Preguntas de negocio'!$D$114:$D$119,0)</f>
        <v>4</v>
      </c>
      <c r="AB564" s="55">
        <f>VLOOKUP(C564,'Preguntas de negocio'!$C$121:$D$127,2,FALSE)</f>
        <v>0.95</v>
      </c>
    </row>
    <row r="565" spans="1:28" x14ac:dyDescent="0.3">
      <c r="A565" s="1">
        <v>45692</v>
      </c>
      <c r="B565" s="2" t="s">
        <v>2623</v>
      </c>
      <c r="C565" s="2" t="s">
        <v>2515</v>
      </c>
      <c r="D565" s="2" t="s">
        <v>2528</v>
      </c>
      <c r="E565" s="2" t="s">
        <v>2534</v>
      </c>
      <c r="F565" s="3">
        <v>128819</v>
      </c>
      <c r="G565" s="3">
        <v>5095</v>
      </c>
      <c r="H565" s="3">
        <v>652</v>
      </c>
      <c r="I565" s="4">
        <v>4515.97</v>
      </c>
      <c r="J565" s="4">
        <v>82017.38</v>
      </c>
      <c r="K565" s="3">
        <v>494</v>
      </c>
      <c r="L565" s="2" t="s">
        <v>2523</v>
      </c>
      <c r="M565" s="2" t="s">
        <v>2524</v>
      </c>
      <c r="N565" s="8">
        <f>IFERROR(G565/F565,0)</f>
        <v>3.9551618938200112E-2</v>
      </c>
      <c r="O565" s="8">
        <f>IFERROR(H565/G565,0)</f>
        <v>0.1279685966633955</v>
      </c>
      <c r="P565" s="4">
        <f>IFERROR(I565/G565,0)</f>
        <v>0.88635328753680087</v>
      </c>
      <c r="Q565" s="4">
        <f>IFERROR(I565/H565,0)</f>
        <v>6.9263343558282209</v>
      </c>
      <c r="R565" s="12">
        <f>IFERROR(J565/I565,0)</f>
        <v>18.161630834571532</v>
      </c>
      <c r="S565" s="7">
        <f>Tabla_nuevas_columnas[[#This Row],[ROAS]]</f>
        <v>18.161630834571532</v>
      </c>
      <c r="T565" t="str">
        <f>_xlfn.CONCAT(C565,"-",D565)</f>
        <v>Email-España</v>
      </c>
      <c r="U565">
        <f>YEAR(A565)</f>
        <v>2025</v>
      </c>
      <c r="V565">
        <f>MONTH(A565)</f>
        <v>2</v>
      </c>
      <c r="W565" t="str">
        <f>PROPER(TEXT(A565,"mmmm"))</f>
        <v>Febrero</v>
      </c>
      <c r="X565" t="str">
        <f>PROPER(TEXT(A565,"dddd"))</f>
        <v>Martes</v>
      </c>
      <c r="Y565" t="str" cm="1">
        <f t="array" ref="Y565">_xlfn.IFS(R565&gt;10,"Excelente",R565&gt;=5,"Bueno",R565&gt;=2,"Débil",R565&lt;2,"Deficiente")</f>
        <v>Excelente</v>
      </c>
      <c r="Z565" t="str">
        <f>IF(AND(R565&lt;2,Q565&gt;=100),"Revisar","OK")</f>
        <v>OK</v>
      </c>
      <c r="AA565" s="55">
        <f>_xlfn.XLOOKUP(C565,'Preguntas de negocio'!$C$114:$C$119,'Preguntas de negocio'!$D$114:$D$119,0)</f>
        <v>5.5</v>
      </c>
      <c r="AB565" s="55">
        <f>VLOOKUP(C565,'Preguntas de negocio'!$C$121:$D$127,2,FALSE)</f>
        <v>0.65</v>
      </c>
    </row>
    <row r="566" spans="1:28" x14ac:dyDescent="0.3">
      <c r="A566" s="1">
        <v>45753</v>
      </c>
      <c r="B566" s="2" t="s">
        <v>2632</v>
      </c>
      <c r="C566" s="2" t="s">
        <v>2533</v>
      </c>
      <c r="D566" s="2" t="s">
        <v>2528</v>
      </c>
      <c r="E566" s="2" t="s">
        <v>2517</v>
      </c>
      <c r="F566" s="3">
        <v>170815</v>
      </c>
      <c r="G566" s="3">
        <v>9376</v>
      </c>
      <c r="H566" s="3">
        <v>62</v>
      </c>
      <c r="I566" s="4">
        <v>8088.11</v>
      </c>
      <c r="J566" s="4">
        <v>10101.870000000001</v>
      </c>
      <c r="K566" s="3">
        <v>36</v>
      </c>
      <c r="L566" s="2" t="s">
        <v>2523</v>
      </c>
      <c r="M566" s="2" t="s">
        <v>2524</v>
      </c>
      <c r="N566" s="8">
        <f>IFERROR(G566/F566,0)</f>
        <v>5.4889793050961568E-2</v>
      </c>
      <c r="O566" s="8">
        <f>IFERROR(H566/G566,0)</f>
        <v>6.6126279863481232E-3</v>
      </c>
      <c r="P566" s="4">
        <f>IFERROR(I566/G566,0)</f>
        <v>0.86263971843003406</v>
      </c>
      <c r="Q566" s="4">
        <f>IFERROR(I566/H566,0)</f>
        <v>130.45338709677418</v>
      </c>
      <c r="R566" s="12">
        <f>IFERROR(J566/I566,0)</f>
        <v>1.2489778205291473</v>
      </c>
      <c r="S566" s="7">
        <f>Tabla_nuevas_columnas[[#This Row],[ROAS]]</f>
        <v>1.2489778205291473</v>
      </c>
      <c r="T566" t="str">
        <f>_xlfn.CONCAT(C566,"-",D566)</f>
        <v>Paid Social-España</v>
      </c>
      <c r="U566">
        <f>YEAR(A566)</f>
        <v>2025</v>
      </c>
      <c r="V566">
        <f>MONTH(A566)</f>
        <v>4</v>
      </c>
      <c r="W566" t="str">
        <f>PROPER(TEXT(A566,"mmmm"))</f>
        <v>Abril</v>
      </c>
      <c r="X566" t="str">
        <f>PROPER(TEXT(A566,"dddd"))</f>
        <v>Domingo</v>
      </c>
      <c r="Y566" t="str" cm="1">
        <f t="array" ref="Y566">_xlfn.IFS(R566&gt;10,"Excelente",R566&gt;=5,"Bueno",R566&gt;=2,"Débil",R566&lt;2,"Deficiente")</f>
        <v>Deficiente</v>
      </c>
      <c r="Z566" t="str">
        <f>IF(AND(R566&lt;2,Q566&gt;=100),"Revisar","OK")</f>
        <v>Revisar</v>
      </c>
      <c r="AA566" s="55">
        <f>_xlfn.XLOOKUP(C566,'Preguntas de negocio'!$C$114:$C$119,'Preguntas de negocio'!$D$114:$D$119,0)</f>
        <v>6</v>
      </c>
      <c r="AB566" s="55">
        <f>VLOOKUP(C566,'Preguntas de negocio'!$C$121:$D$127,2,FALSE)</f>
        <v>0.8</v>
      </c>
    </row>
    <row r="567" spans="1:28" x14ac:dyDescent="0.3">
      <c r="A567" s="1">
        <v>45832</v>
      </c>
      <c r="B567" s="2" t="s">
        <v>2630</v>
      </c>
      <c r="C567" s="2" t="s">
        <v>2541</v>
      </c>
      <c r="D567" s="2" t="s">
        <v>2528</v>
      </c>
      <c r="E567" s="2" t="s">
        <v>2529</v>
      </c>
      <c r="F567" s="3">
        <v>137607</v>
      </c>
      <c r="G567" s="3">
        <v>8845</v>
      </c>
      <c r="H567" s="3">
        <v>435</v>
      </c>
      <c r="I567" s="4">
        <v>4920.1099999999997</v>
      </c>
      <c r="J567" s="4">
        <v>15525.93</v>
      </c>
      <c r="K567" s="3">
        <v>387</v>
      </c>
      <c r="L567" s="2" t="s">
        <v>2518</v>
      </c>
      <c r="M567" s="2" t="s">
        <v>2546</v>
      </c>
      <c r="N567" s="8">
        <f>IFERROR(G567/F567,0)</f>
        <v>6.427725333740289E-2</v>
      </c>
      <c r="O567" s="8">
        <f>IFERROR(H567/G567,0)</f>
        <v>4.9180327868852458E-2</v>
      </c>
      <c r="P567" s="4">
        <f>IFERROR(I567/G567,0)</f>
        <v>0.55625890333521755</v>
      </c>
      <c r="Q567" s="4">
        <f>IFERROR(I567/H567,0)</f>
        <v>11.310597701149424</v>
      </c>
      <c r="R567" s="12">
        <f>IFERROR(J567/I567,0)</f>
        <v>3.1556062770954312</v>
      </c>
      <c r="S567" s="7">
        <f>Tabla_nuevas_columnas[[#This Row],[ROAS]]</f>
        <v>3.1556062770954312</v>
      </c>
      <c r="T567" t="str">
        <f>_xlfn.CONCAT(C567,"-",D567)</f>
        <v>Display-España</v>
      </c>
      <c r="U567">
        <f>YEAR(A567)</f>
        <v>2025</v>
      </c>
      <c r="V567">
        <f>MONTH(A567)</f>
        <v>6</v>
      </c>
      <c r="W567" t="str">
        <f>PROPER(TEXT(A567,"mmmm"))</f>
        <v>Junio</v>
      </c>
      <c r="X567" t="str">
        <f>PROPER(TEXT(A567,"dddd"))</f>
        <v>Martes</v>
      </c>
      <c r="Y567" t="str" cm="1">
        <f t="array" ref="Y567">_xlfn.IFS(R567&gt;10,"Excelente",R567&gt;=5,"Bueno",R567&gt;=2,"Débil",R567&lt;2,"Deficiente")</f>
        <v>Débil</v>
      </c>
      <c r="Z567" t="str">
        <f>IF(AND(R567&lt;2,Q567&gt;=100),"Revisar","OK")</f>
        <v>OK</v>
      </c>
      <c r="AA567" s="55">
        <f>_xlfn.XLOOKUP(C567,'Preguntas de negocio'!$C$114:$C$119,'Preguntas de negocio'!$D$114:$D$119,0)</f>
        <v>5</v>
      </c>
      <c r="AB567" s="55">
        <f>VLOOKUP(C567,'Preguntas de negocio'!$C$121:$D$127,2,FALSE)</f>
        <v>0.5</v>
      </c>
    </row>
    <row r="568" spans="1:28" x14ac:dyDescent="0.3">
      <c r="A568" s="1">
        <v>45680</v>
      </c>
      <c r="B568" s="2" t="s">
        <v>2622</v>
      </c>
      <c r="C568" s="2" t="s">
        <v>2527</v>
      </c>
      <c r="D568" s="2" t="s">
        <v>2528</v>
      </c>
      <c r="E568" s="2" t="s">
        <v>2529</v>
      </c>
      <c r="F568" s="3">
        <v>170460</v>
      </c>
      <c r="G568" s="3">
        <v>8346</v>
      </c>
      <c r="H568" s="3">
        <v>61</v>
      </c>
      <c r="I568" s="4">
        <v>4775.78</v>
      </c>
      <c r="J568" s="4">
        <v>7127.5</v>
      </c>
      <c r="K568" s="3">
        <v>28</v>
      </c>
      <c r="L568" s="2" t="s">
        <v>2518</v>
      </c>
      <c r="M568" s="2" t="s">
        <v>2524</v>
      </c>
      <c r="N568" s="8">
        <f>IFERROR(G568/F568,0)</f>
        <v>4.8961633227736716E-2</v>
      </c>
      <c r="O568" s="8">
        <f>IFERROR(H568/G568,0)</f>
        <v>7.3088904864605803E-3</v>
      </c>
      <c r="P568" s="4">
        <f>IFERROR(I568/G568,0)</f>
        <v>0.57222381979391324</v>
      </c>
      <c r="Q568" s="4">
        <f>IFERROR(I568/H568,0)</f>
        <v>78.291475409836067</v>
      </c>
      <c r="R568" s="12">
        <f>IFERROR(J568/I568,0)</f>
        <v>1.4924263680487795</v>
      </c>
      <c r="S568" s="7">
        <f>Tabla_nuevas_columnas[[#This Row],[ROAS]]</f>
        <v>1.4924263680487795</v>
      </c>
      <c r="T568" t="str">
        <f>_xlfn.CONCAT(C568,"-",D568)</f>
        <v>Affiliate-España</v>
      </c>
      <c r="U568">
        <f>YEAR(A568)</f>
        <v>2025</v>
      </c>
      <c r="V568">
        <f>MONTH(A568)</f>
        <v>1</v>
      </c>
      <c r="W568" t="str">
        <f>PROPER(TEXT(A568,"mmmm"))</f>
        <v>Enero</v>
      </c>
      <c r="X568" t="str">
        <f>PROPER(TEXT(A568,"dddd"))</f>
        <v>Jueves</v>
      </c>
      <c r="Y568" t="str" cm="1">
        <f t="array" ref="Y568">_xlfn.IFS(R568&gt;10,"Excelente",R568&gt;=5,"Bueno",R568&gt;=2,"Débil",R568&lt;2,"Deficiente")</f>
        <v>Deficiente</v>
      </c>
      <c r="Z568" t="str">
        <f>IF(AND(R568&lt;2,Q568&gt;=100),"Revisar","OK")</f>
        <v>OK</v>
      </c>
      <c r="AA568" s="55">
        <f>_xlfn.XLOOKUP(C568,'Preguntas de negocio'!$C$114:$C$119,'Preguntas de negocio'!$D$114:$D$119,0)</f>
        <v>4.5</v>
      </c>
      <c r="AB568" s="55">
        <f>VLOOKUP(C568,'Preguntas de negocio'!$C$121:$D$127,2,FALSE)</f>
        <v>0.35</v>
      </c>
    </row>
    <row r="569" spans="1:28" x14ac:dyDescent="0.3">
      <c r="A569" s="1">
        <v>45663</v>
      </c>
      <c r="B569" s="2" t="s">
        <v>2633</v>
      </c>
      <c r="C569" s="2" t="s">
        <v>2541</v>
      </c>
      <c r="D569" s="2" t="s">
        <v>2528</v>
      </c>
      <c r="E569" s="2" t="s">
        <v>2529</v>
      </c>
      <c r="F569" s="3">
        <v>8401</v>
      </c>
      <c r="G569" s="3">
        <v>674</v>
      </c>
      <c r="H569" s="3">
        <v>68</v>
      </c>
      <c r="I569" s="4">
        <v>1174.8</v>
      </c>
      <c r="J569" s="4">
        <v>3639.84</v>
      </c>
      <c r="K569" s="3">
        <v>53</v>
      </c>
      <c r="L569" s="2" t="s">
        <v>2518</v>
      </c>
      <c r="M569" s="2" t="s">
        <v>2526</v>
      </c>
      <c r="N569" s="8">
        <f>IFERROR(G569/F569,0)</f>
        <v>8.0228544220926082E-2</v>
      </c>
      <c r="O569" s="8">
        <f>IFERROR(H569/G569,0)</f>
        <v>0.10089020771513353</v>
      </c>
      <c r="P569" s="4">
        <f>IFERROR(I569/G569,0)</f>
        <v>1.7430267062314539</v>
      </c>
      <c r="Q569" s="4">
        <f>IFERROR(I569/H569,0)</f>
        <v>17.276470588235295</v>
      </c>
      <c r="R569" s="12">
        <f>IFERROR(J569/I569,0)</f>
        <v>3.0982635342185905</v>
      </c>
      <c r="S569" s="7">
        <f>Tabla_nuevas_columnas[[#This Row],[ROAS]]</f>
        <v>3.0982635342185905</v>
      </c>
      <c r="T569" t="str">
        <f>_xlfn.CONCAT(C569,"-",D569)</f>
        <v>Display-España</v>
      </c>
      <c r="U569">
        <f>YEAR(A569)</f>
        <v>2025</v>
      </c>
      <c r="V569">
        <f>MONTH(A569)</f>
        <v>1</v>
      </c>
      <c r="W569" t="str">
        <f>PROPER(TEXT(A569,"mmmm"))</f>
        <v>Enero</v>
      </c>
      <c r="X569" t="str">
        <f>PROPER(TEXT(A569,"dddd"))</f>
        <v>Lunes</v>
      </c>
      <c r="Y569" t="str" cm="1">
        <f t="array" ref="Y569">_xlfn.IFS(R569&gt;10,"Excelente",R569&gt;=5,"Bueno",R569&gt;=2,"Débil",R569&lt;2,"Deficiente")</f>
        <v>Débil</v>
      </c>
      <c r="Z569" t="str">
        <f>IF(AND(R569&lt;2,Q569&gt;=100),"Revisar","OK")</f>
        <v>OK</v>
      </c>
      <c r="AA569" s="55">
        <f>_xlfn.XLOOKUP(C569,'Preguntas de negocio'!$C$114:$C$119,'Preguntas de negocio'!$D$114:$D$119,0)</f>
        <v>5</v>
      </c>
      <c r="AB569" s="55">
        <f>VLOOKUP(C569,'Preguntas de negocio'!$C$121:$D$127,2,FALSE)</f>
        <v>0.5</v>
      </c>
    </row>
    <row r="570" spans="1:28" x14ac:dyDescent="0.3">
      <c r="A570" s="1">
        <v>45971</v>
      </c>
      <c r="B570" s="2" t="s">
        <v>2642</v>
      </c>
      <c r="C570" s="2" t="s">
        <v>2515</v>
      </c>
      <c r="D570" s="2" t="s">
        <v>2531</v>
      </c>
      <c r="E570" s="2" t="s">
        <v>2529</v>
      </c>
      <c r="F570" s="3">
        <v>54970</v>
      </c>
      <c r="G570" s="3">
        <v>3819</v>
      </c>
      <c r="H570" s="3">
        <v>213</v>
      </c>
      <c r="I570" s="4">
        <v>3752.24</v>
      </c>
      <c r="J570" s="4">
        <v>22328.83</v>
      </c>
      <c r="K570" s="3">
        <v>153</v>
      </c>
      <c r="L570" s="2" t="s">
        <v>2518</v>
      </c>
      <c r="M570" s="2" t="s">
        <v>2519</v>
      </c>
      <c r="N570" s="8">
        <f>IFERROR(G570/F570,0)</f>
        <v>6.9474258686556309E-2</v>
      </c>
      <c r="O570" s="8">
        <f>IFERROR(H570/G570,0)</f>
        <v>5.5773762765121762E-2</v>
      </c>
      <c r="P570" s="4">
        <f>IFERROR(I570/G570,0)</f>
        <v>0.98251898402723226</v>
      </c>
      <c r="Q570" s="4">
        <f>IFERROR(I570/H570,0)</f>
        <v>17.616150234741784</v>
      </c>
      <c r="R570" s="12">
        <f>IFERROR(J570/I570,0)</f>
        <v>5.9508000554335547</v>
      </c>
      <c r="S570" s="7">
        <f>Tabla_nuevas_columnas[[#This Row],[ROAS]]</f>
        <v>5.9508000554335547</v>
      </c>
      <c r="T570" t="str">
        <f>_xlfn.CONCAT(C570,"-",D570)</f>
        <v>Email-Portugal</v>
      </c>
      <c r="U570">
        <f>YEAR(A570)</f>
        <v>2025</v>
      </c>
      <c r="V570">
        <f>MONTH(A570)</f>
        <v>11</v>
      </c>
      <c r="W570" t="str">
        <f>PROPER(TEXT(A570,"mmmm"))</f>
        <v>Noviembre</v>
      </c>
      <c r="X570" t="str">
        <f>PROPER(TEXT(A570,"dddd"))</f>
        <v>Lunes</v>
      </c>
      <c r="Y570" t="str" cm="1">
        <f t="array" ref="Y570">_xlfn.IFS(R570&gt;10,"Excelente",R570&gt;=5,"Bueno",R570&gt;=2,"Débil",R570&lt;2,"Deficiente")</f>
        <v>Bueno</v>
      </c>
      <c r="Z570" t="str">
        <f>IF(AND(R570&lt;2,Q570&gt;=100),"Revisar","OK")</f>
        <v>OK</v>
      </c>
      <c r="AA570" s="55">
        <f>_xlfn.XLOOKUP(C570,'Preguntas de negocio'!$C$114:$C$119,'Preguntas de negocio'!$D$114:$D$119,0)</f>
        <v>5.5</v>
      </c>
      <c r="AB570" s="55">
        <f>VLOOKUP(C570,'Preguntas de negocio'!$C$121:$D$127,2,FALSE)</f>
        <v>0.65</v>
      </c>
    </row>
    <row r="571" spans="1:28" x14ac:dyDescent="0.3">
      <c r="A571" s="1">
        <v>45757</v>
      </c>
      <c r="B571" s="2" t="s">
        <v>2615</v>
      </c>
      <c r="C571" s="2" t="s">
        <v>2521</v>
      </c>
      <c r="D571" s="2" t="s">
        <v>2516</v>
      </c>
      <c r="E571" s="2" t="s">
        <v>2529</v>
      </c>
      <c r="F571" s="3">
        <v>144557</v>
      </c>
      <c r="G571" s="3">
        <v>5218</v>
      </c>
      <c r="H571" s="3">
        <v>253</v>
      </c>
      <c r="I571" s="4">
        <v>10918.3</v>
      </c>
      <c r="J571" s="4">
        <v>20059.88</v>
      </c>
      <c r="K571" s="3">
        <v>155</v>
      </c>
      <c r="L571" s="2" t="s">
        <v>2539</v>
      </c>
      <c r="M571" s="2" t="s">
        <v>2546</v>
      </c>
      <c r="N571" s="8">
        <f>IFERROR(G571/F571,0)</f>
        <v>3.6096487890589869E-2</v>
      </c>
      <c r="O571" s="8">
        <f>IFERROR(H571/G571,0)</f>
        <v>4.8486009965504027E-2</v>
      </c>
      <c r="P571" s="4">
        <f>IFERROR(I571/G571,0)</f>
        <v>2.0924300498275201</v>
      </c>
      <c r="Q571" s="4">
        <f>IFERROR(I571/H571,0)</f>
        <v>43.155335968379447</v>
      </c>
      <c r="R571" s="12">
        <f>IFERROR(J571/I571,0)</f>
        <v>1.8372713700850867</v>
      </c>
      <c r="S571" s="7">
        <f>Tabla_nuevas_columnas[[#This Row],[ROAS]]</f>
        <v>1.8372713700850867</v>
      </c>
      <c r="T571" t="str">
        <f>_xlfn.CONCAT(C571,"-",D571)</f>
        <v>Paid Search-México</v>
      </c>
      <c r="U571">
        <f>YEAR(A571)</f>
        <v>2025</v>
      </c>
      <c r="V571">
        <f>MONTH(A571)</f>
        <v>4</v>
      </c>
      <c r="W571" t="str">
        <f>PROPER(TEXT(A571,"mmmm"))</f>
        <v>Abril</v>
      </c>
      <c r="X571" t="str">
        <f>PROPER(TEXT(A571,"dddd"))</f>
        <v>Jueves</v>
      </c>
      <c r="Y571" t="str" cm="1">
        <f t="array" ref="Y571">_xlfn.IFS(R571&gt;10,"Excelente",R571&gt;=5,"Bueno",R571&gt;=2,"Débil",R571&lt;2,"Deficiente")</f>
        <v>Deficiente</v>
      </c>
      <c r="Z571" t="str">
        <f>IF(AND(R571&lt;2,Q571&gt;=100),"Revisar","OK")</f>
        <v>OK</v>
      </c>
      <c r="AA571" s="55">
        <f>_xlfn.XLOOKUP(C571,'Preguntas de negocio'!$C$114:$C$119,'Preguntas de negocio'!$D$114:$D$119,0)</f>
        <v>5</v>
      </c>
      <c r="AB571" s="55">
        <f>VLOOKUP(C571,'Preguntas de negocio'!$C$121:$D$127,2,FALSE)</f>
        <v>1.1000000000000001</v>
      </c>
    </row>
    <row r="572" spans="1:28" x14ac:dyDescent="0.3">
      <c r="A572" s="1">
        <v>45696</v>
      </c>
      <c r="B572" s="2" t="s">
        <v>2629</v>
      </c>
      <c r="C572" s="2" t="s">
        <v>2533</v>
      </c>
      <c r="D572" s="2" t="s">
        <v>2531</v>
      </c>
      <c r="E572" s="2" t="s">
        <v>2529</v>
      </c>
      <c r="F572" s="3">
        <v>26839</v>
      </c>
      <c r="G572" s="3">
        <v>1351</v>
      </c>
      <c r="H572" s="3">
        <v>23</v>
      </c>
      <c r="I572" s="4">
        <v>1225.67</v>
      </c>
      <c r="J572" s="4">
        <v>4264.6099999999997</v>
      </c>
      <c r="K572" s="3">
        <v>12</v>
      </c>
      <c r="L572" s="2" t="s">
        <v>2523</v>
      </c>
      <c r="M572" s="2" t="s">
        <v>2526</v>
      </c>
      <c r="N572" s="8">
        <f>IFERROR(G572/F572,0)</f>
        <v>5.0337195871679272E-2</v>
      </c>
      <c r="O572" s="8">
        <f>IFERROR(H572/G572,0)</f>
        <v>1.7024426350851222E-2</v>
      </c>
      <c r="P572" s="4">
        <f>IFERROR(I572/G572,0)</f>
        <v>0.90723168023686163</v>
      </c>
      <c r="Q572" s="4">
        <f>IFERROR(I572/H572,0)</f>
        <v>53.290000000000006</v>
      </c>
      <c r="R572" s="12">
        <f>IFERROR(J572/I572,0)</f>
        <v>3.479411260779818</v>
      </c>
      <c r="S572" s="7">
        <f>Tabla_nuevas_columnas[[#This Row],[ROAS]]</f>
        <v>3.479411260779818</v>
      </c>
      <c r="T572" t="str">
        <f>_xlfn.CONCAT(C572,"-",D572)</f>
        <v>Paid Social-Portugal</v>
      </c>
      <c r="U572">
        <f>YEAR(A572)</f>
        <v>2025</v>
      </c>
      <c r="V572">
        <f>MONTH(A572)</f>
        <v>2</v>
      </c>
      <c r="W572" t="str">
        <f>PROPER(TEXT(A572,"mmmm"))</f>
        <v>Febrero</v>
      </c>
      <c r="X572" t="str">
        <f>PROPER(TEXT(A572,"dddd"))</f>
        <v>Sábado</v>
      </c>
      <c r="Y572" t="str" cm="1">
        <f t="array" ref="Y572">_xlfn.IFS(R572&gt;10,"Excelente",R572&gt;=5,"Bueno",R572&gt;=2,"Débil",R572&lt;2,"Deficiente")</f>
        <v>Débil</v>
      </c>
      <c r="Z572" t="str">
        <f>IF(AND(R572&lt;2,Q572&gt;=100),"Revisar","OK")</f>
        <v>OK</v>
      </c>
      <c r="AA572" s="55">
        <f>_xlfn.XLOOKUP(C572,'Preguntas de negocio'!$C$114:$C$119,'Preguntas de negocio'!$D$114:$D$119,0)</f>
        <v>6</v>
      </c>
      <c r="AB572" s="55">
        <f>VLOOKUP(C572,'Preguntas de negocio'!$C$121:$D$127,2,FALSE)</f>
        <v>0.8</v>
      </c>
    </row>
    <row r="573" spans="1:28" x14ac:dyDescent="0.3">
      <c r="A573" s="1">
        <v>45941</v>
      </c>
      <c r="B573" s="2" t="s">
        <v>2625</v>
      </c>
      <c r="C573" s="2" t="s">
        <v>2541</v>
      </c>
      <c r="D573" s="2" t="s">
        <v>2516</v>
      </c>
      <c r="E573" s="2" t="s">
        <v>2529</v>
      </c>
      <c r="F573" s="3">
        <v>173842</v>
      </c>
      <c r="G573" s="3">
        <v>8923</v>
      </c>
      <c r="H573" s="3">
        <v>967</v>
      </c>
      <c r="I573" s="4">
        <v>16989.91</v>
      </c>
      <c r="J573" s="4">
        <v>152473.5</v>
      </c>
      <c r="K573" s="3">
        <v>817</v>
      </c>
      <c r="L573" s="2" t="s">
        <v>2518</v>
      </c>
      <c r="M573" s="2" t="s">
        <v>2519</v>
      </c>
      <c r="N573" s="8">
        <f>IFERROR(G573/F573,0)</f>
        <v>5.1328217576880157E-2</v>
      </c>
      <c r="O573" s="8">
        <f>IFERROR(H573/G573,0)</f>
        <v>0.10837162389330943</v>
      </c>
      <c r="P573" s="4">
        <f>IFERROR(I573/G573,0)</f>
        <v>1.904058052224588</v>
      </c>
      <c r="Q573" s="4">
        <f>IFERROR(I573/H573,0)</f>
        <v>17.56971044467425</v>
      </c>
      <c r="R573" s="12">
        <f>IFERROR(J573/I573,0)</f>
        <v>8.9743559559762236</v>
      </c>
      <c r="S573" s="7">
        <f>Tabla_nuevas_columnas[[#This Row],[ROAS]]</f>
        <v>8.9743559559762236</v>
      </c>
      <c r="T573" t="str">
        <f>_xlfn.CONCAT(C573,"-",D573)</f>
        <v>Display-México</v>
      </c>
      <c r="U573">
        <f>YEAR(A573)</f>
        <v>2025</v>
      </c>
      <c r="V573">
        <f>MONTH(A573)</f>
        <v>10</v>
      </c>
      <c r="W573" t="str">
        <f>PROPER(TEXT(A573,"mmmm"))</f>
        <v>Octubre</v>
      </c>
      <c r="X573" t="str">
        <f>PROPER(TEXT(A573,"dddd"))</f>
        <v>Sábado</v>
      </c>
      <c r="Y573" t="str" cm="1">
        <f t="array" ref="Y573">_xlfn.IFS(R573&gt;10,"Excelente",R573&gt;=5,"Bueno",R573&gt;=2,"Débil",R573&lt;2,"Deficiente")</f>
        <v>Bueno</v>
      </c>
      <c r="Z573" t="str">
        <f>IF(AND(R573&lt;2,Q573&gt;=100),"Revisar","OK")</f>
        <v>OK</v>
      </c>
      <c r="AA573" s="55">
        <f>_xlfn.XLOOKUP(C573,'Preguntas de negocio'!$C$114:$C$119,'Preguntas de negocio'!$D$114:$D$119,0)</f>
        <v>5</v>
      </c>
      <c r="AB573" s="55">
        <f>VLOOKUP(C573,'Preguntas de negocio'!$C$121:$D$127,2,FALSE)</f>
        <v>0.5</v>
      </c>
    </row>
    <row r="574" spans="1:28" x14ac:dyDescent="0.3">
      <c r="A574" s="1">
        <v>45925</v>
      </c>
      <c r="B574" s="2" t="s">
        <v>2634</v>
      </c>
      <c r="C574" s="2" t="s">
        <v>2521</v>
      </c>
      <c r="D574" s="2" t="s">
        <v>2522</v>
      </c>
      <c r="E574" s="2" t="s">
        <v>2517</v>
      </c>
      <c r="F574" s="3">
        <v>79553</v>
      </c>
      <c r="G574" s="3">
        <v>626</v>
      </c>
      <c r="H574" s="3">
        <v>13</v>
      </c>
      <c r="I574" s="4">
        <v>332.47</v>
      </c>
      <c r="J574" s="4">
        <v>621.79999999999995</v>
      </c>
      <c r="K574" s="3">
        <v>10</v>
      </c>
      <c r="L574" s="2" t="s">
        <v>2518</v>
      </c>
      <c r="M574" s="2" t="s">
        <v>2519</v>
      </c>
      <c r="N574" s="8">
        <f>IFERROR(G574/F574,0)</f>
        <v>7.8689678579060493E-3</v>
      </c>
      <c r="O574" s="8">
        <f>IFERROR(H574/G574,0)</f>
        <v>2.0766773162939296E-2</v>
      </c>
      <c r="P574" s="4">
        <f>IFERROR(I574/G574,0)</f>
        <v>0.53110223642172527</v>
      </c>
      <c r="Q574" s="4">
        <f>IFERROR(I574/H574,0)</f>
        <v>25.574615384615388</v>
      </c>
      <c r="R574" s="12">
        <f>IFERROR(J574/I574,0)</f>
        <v>1.8702439317833186</v>
      </c>
      <c r="S574" s="7">
        <f>Tabla_nuevas_columnas[[#This Row],[ROAS]]</f>
        <v>1.8702439317833186</v>
      </c>
      <c r="T574" t="str">
        <f>_xlfn.CONCAT(C574,"-",D574)</f>
        <v>Paid Search-Italia</v>
      </c>
      <c r="U574">
        <f>YEAR(A574)</f>
        <v>2025</v>
      </c>
      <c r="V574">
        <f>MONTH(A574)</f>
        <v>9</v>
      </c>
      <c r="W574" t="str">
        <f>PROPER(TEXT(A574,"mmmm"))</f>
        <v>Septiembre</v>
      </c>
      <c r="X574" t="str">
        <f>PROPER(TEXT(A574,"dddd"))</f>
        <v>Jueves</v>
      </c>
      <c r="Y574" t="str" cm="1">
        <f t="array" ref="Y574">_xlfn.IFS(R574&gt;10,"Excelente",R574&gt;=5,"Bueno",R574&gt;=2,"Débil",R574&lt;2,"Deficiente")</f>
        <v>Deficiente</v>
      </c>
      <c r="Z574" t="str">
        <f>IF(AND(R574&lt;2,Q574&gt;=100),"Revisar","OK")</f>
        <v>OK</v>
      </c>
      <c r="AA574" s="55">
        <f>_xlfn.XLOOKUP(C574,'Preguntas de negocio'!$C$114:$C$119,'Preguntas de negocio'!$D$114:$D$119,0)</f>
        <v>5</v>
      </c>
      <c r="AB574" s="55">
        <f>VLOOKUP(C574,'Preguntas de negocio'!$C$121:$D$127,2,FALSE)</f>
        <v>1.1000000000000001</v>
      </c>
    </row>
    <row r="575" spans="1:28" x14ac:dyDescent="0.3">
      <c r="A575" s="1">
        <v>45686</v>
      </c>
      <c r="B575" s="2" t="s">
        <v>2632</v>
      </c>
      <c r="C575" s="2" t="s">
        <v>2541</v>
      </c>
      <c r="D575" s="2" t="s">
        <v>2522</v>
      </c>
      <c r="E575" s="2" t="s">
        <v>2529</v>
      </c>
      <c r="F575" s="3">
        <v>161725</v>
      </c>
      <c r="G575" s="3">
        <v>13229</v>
      </c>
      <c r="H575" s="3">
        <v>507</v>
      </c>
      <c r="I575" s="4">
        <v>11992.95</v>
      </c>
      <c r="J575" s="4">
        <v>26635.59</v>
      </c>
      <c r="K575" s="3">
        <v>384</v>
      </c>
      <c r="L575" s="2" t="s">
        <v>2518</v>
      </c>
      <c r="M575" s="2" t="s">
        <v>2519</v>
      </c>
      <c r="N575" s="8">
        <f>IFERROR(G575/F575,0)</f>
        <v>8.179935074972948E-2</v>
      </c>
      <c r="O575" s="8">
        <f>IFERROR(H575/G575,0)</f>
        <v>3.8324892282107489E-2</v>
      </c>
      <c r="P575" s="4">
        <f>IFERROR(I575/G575,0)</f>
        <v>0.90656512208027829</v>
      </c>
      <c r="Q575" s="4">
        <f>IFERROR(I575/H575,0)</f>
        <v>23.654733727810651</v>
      </c>
      <c r="R575" s="12">
        <f>IFERROR(J575/I575,0)</f>
        <v>2.22093730066414</v>
      </c>
      <c r="S575" s="7">
        <f>Tabla_nuevas_columnas[[#This Row],[ROAS]]</f>
        <v>2.22093730066414</v>
      </c>
      <c r="T575" t="str">
        <f>_xlfn.CONCAT(C575,"-",D575)</f>
        <v>Display-Italia</v>
      </c>
      <c r="U575">
        <f>YEAR(A575)</f>
        <v>2025</v>
      </c>
      <c r="V575">
        <f>MONTH(A575)</f>
        <v>1</v>
      </c>
      <c r="W575" t="str">
        <f>PROPER(TEXT(A575,"mmmm"))</f>
        <v>Enero</v>
      </c>
      <c r="X575" t="str">
        <f>PROPER(TEXT(A575,"dddd"))</f>
        <v>Miércoles</v>
      </c>
      <c r="Y575" t="str" cm="1">
        <f t="array" ref="Y575">_xlfn.IFS(R575&gt;10,"Excelente",R575&gt;=5,"Bueno",R575&gt;=2,"Débil",R575&lt;2,"Deficiente")</f>
        <v>Débil</v>
      </c>
      <c r="Z575" t="str">
        <f>IF(AND(R575&lt;2,Q575&gt;=100),"Revisar","OK")</f>
        <v>OK</v>
      </c>
      <c r="AA575" s="55">
        <f>_xlfn.XLOOKUP(C575,'Preguntas de negocio'!$C$114:$C$119,'Preguntas de negocio'!$D$114:$D$119,0)</f>
        <v>5</v>
      </c>
      <c r="AB575" s="55">
        <f>VLOOKUP(C575,'Preguntas de negocio'!$C$121:$D$127,2,FALSE)</f>
        <v>0.5</v>
      </c>
    </row>
    <row r="576" spans="1:28" x14ac:dyDescent="0.3">
      <c r="A576" s="1">
        <v>45831</v>
      </c>
      <c r="B576" s="2" t="s">
        <v>2621</v>
      </c>
      <c r="C576" s="2" t="s">
        <v>2521</v>
      </c>
      <c r="D576" s="2" t="s">
        <v>2528</v>
      </c>
      <c r="E576" s="2" t="s">
        <v>2529</v>
      </c>
      <c r="F576" s="3">
        <v>21844</v>
      </c>
      <c r="G576" s="3">
        <v>147</v>
      </c>
      <c r="H576" s="3">
        <v>16</v>
      </c>
      <c r="I576" s="4">
        <v>54.4</v>
      </c>
      <c r="J576" s="4">
        <v>1948.48</v>
      </c>
      <c r="K576" s="3">
        <v>11</v>
      </c>
      <c r="L576" s="2" t="s">
        <v>2523</v>
      </c>
      <c r="M576" s="2" t="s">
        <v>2519</v>
      </c>
      <c r="N576" s="8">
        <f>IFERROR(G576/F576,0)</f>
        <v>6.7295367148873832E-3</v>
      </c>
      <c r="O576" s="8">
        <f>IFERROR(H576/G576,0)</f>
        <v>0.10884353741496598</v>
      </c>
      <c r="P576" s="4">
        <f>IFERROR(I576/G576,0)</f>
        <v>0.37006802721088433</v>
      </c>
      <c r="Q576" s="4">
        <f>IFERROR(I576/H576,0)</f>
        <v>3.4</v>
      </c>
      <c r="R576" s="12">
        <f>IFERROR(J576/I576,0)</f>
        <v>35.817647058823532</v>
      </c>
      <c r="S576" s="7">
        <f>Tabla_nuevas_columnas[[#This Row],[ROAS]]</f>
        <v>35.817647058823532</v>
      </c>
      <c r="T576" t="str">
        <f>_xlfn.CONCAT(C576,"-",D576)</f>
        <v>Paid Search-España</v>
      </c>
      <c r="U576">
        <f>YEAR(A576)</f>
        <v>2025</v>
      </c>
      <c r="V576">
        <f>MONTH(A576)</f>
        <v>6</v>
      </c>
      <c r="W576" t="str">
        <f>PROPER(TEXT(A576,"mmmm"))</f>
        <v>Junio</v>
      </c>
      <c r="X576" t="str">
        <f>PROPER(TEXT(A576,"dddd"))</f>
        <v>Lunes</v>
      </c>
      <c r="Y576" t="str" cm="1">
        <f t="array" ref="Y576">_xlfn.IFS(R576&gt;10,"Excelente",R576&gt;=5,"Bueno",R576&gt;=2,"Débil",R576&lt;2,"Deficiente")</f>
        <v>Excelente</v>
      </c>
      <c r="Z576" t="str">
        <f>IF(AND(R576&lt;2,Q576&gt;=100),"Revisar","OK")</f>
        <v>OK</v>
      </c>
      <c r="AA576" s="55">
        <f>_xlfn.XLOOKUP(C576,'Preguntas de negocio'!$C$114:$C$119,'Preguntas de negocio'!$D$114:$D$119,0)</f>
        <v>5</v>
      </c>
      <c r="AB576" s="55">
        <f>VLOOKUP(C576,'Preguntas de negocio'!$C$121:$D$127,2,FALSE)</f>
        <v>1.1000000000000001</v>
      </c>
    </row>
    <row r="577" spans="1:28" x14ac:dyDescent="0.3">
      <c r="A577" s="1">
        <v>45757</v>
      </c>
      <c r="B577" s="2" t="s">
        <v>2625</v>
      </c>
      <c r="C577" s="2" t="s">
        <v>2521</v>
      </c>
      <c r="D577" s="2" t="s">
        <v>2528</v>
      </c>
      <c r="E577" s="2" t="s">
        <v>2517</v>
      </c>
      <c r="F577" s="3">
        <v>101859</v>
      </c>
      <c r="G577" s="3">
        <v>2279</v>
      </c>
      <c r="H577" s="3">
        <v>50</v>
      </c>
      <c r="I577" s="4">
        <v>2227.21</v>
      </c>
      <c r="J577" s="4">
        <v>2297.36</v>
      </c>
      <c r="K577" s="3">
        <v>40</v>
      </c>
      <c r="L577" s="2" t="s">
        <v>2523</v>
      </c>
      <c r="M577" s="2" t="s">
        <v>2524</v>
      </c>
      <c r="N577" s="8">
        <f>IFERROR(G577/F577,0)</f>
        <v>2.2374066110996575E-2</v>
      </c>
      <c r="O577" s="8">
        <f>IFERROR(H577/G577,0)</f>
        <v>2.1939447125932425E-2</v>
      </c>
      <c r="P577" s="4">
        <f>IFERROR(I577/G577,0)</f>
        <v>0.97727512066695921</v>
      </c>
      <c r="Q577" s="4">
        <f>IFERROR(I577/H577,0)</f>
        <v>44.544200000000004</v>
      </c>
      <c r="R577" s="12">
        <f>IFERROR(J577/I577,0)</f>
        <v>1.0314968054202343</v>
      </c>
      <c r="S577" s="7">
        <f>Tabla_nuevas_columnas[[#This Row],[ROAS]]</f>
        <v>1.0314968054202343</v>
      </c>
      <c r="T577" t="str">
        <f>_xlfn.CONCAT(C577,"-",D577)</f>
        <v>Paid Search-España</v>
      </c>
      <c r="U577">
        <f>YEAR(A577)</f>
        <v>2025</v>
      </c>
      <c r="V577">
        <f>MONTH(A577)</f>
        <v>4</v>
      </c>
      <c r="W577" t="str">
        <f>PROPER(TEXT(A577,"mmmm"))</f>
        <v>Abril</v>
      </c>
      <c r="X577" t="str">
        <f>PROPER(TEXT(A577,"dddd"))</f>
        <v>Jueves</v>
      </c>
      <c r="Y577" t="str" cm="1">
        <f t="array" ref="Y577">_xlfn.IFS(R577&gt;10,"Excelente",R577&gt;=5,"Bueno",R577&gt;=2,"Débil",R577&lt;2,"Deficiente")</f>
        <v>Deficiente</v>
      </c>
      <c r="Z577" t="str">
        <f>IF(AND(R577&lt;2,Q577&gt;=100),"Revisar","OK")</f>
        <v>OK</v>
      </c>
      <c r="AA577" s="55">
        <f>_xlfn.XLOOKUP(C577,'Preguntas de negocio'!$C$114:$C$119,'Preguntas de negocio'!$D$114:$D$119,0)</f>
        <v>5</v>
      </c>
      <c r="AB577" s="55">
        <f>VLOOKUP(C577,'Preguntas de negocio'!$C$121:$D$127,2,FALSE)</f>
        <v>1.1000000000000001</v>
      </c>
    </row>
    <row r="578" spans="1:28" x14ac:dyDescent="0.3">
      <c r="A578" s="1">
        <v>45751</v>
      </c>
      <c r="B578" s="2" t="s">
        <v>2616</v>
      </c>
      <c r="C578" s="2" t="s">
        <v>2541</v>
      </c>
      <c r="D578" s="2" t="s">
        <v>2531</v>
      </c>
      <c r="E578" s="2" t="s">
        <v>2529</v>
      </c>
      <c r="F578" s="3">
        <v>37646</v>
      </c>
      <c r="G578" s="3">
        <v>2476</v>
      </c>
      <c r="H578" s="3">
        <v>217</v>
      </c>
      <c r="I578" s="4">
        <v>2164.7800000000002</v>
      </c>
      <c r="J578" s="4">
        <v>38992.74</v>
      </c>
      <c r="K578" s="3">
        <v>186</v>
      </c>
      <c r="L578" s="2" t="s">
        <v>2518</v>
      </c>
      <c r="M578" s="2" t="s">
        <v>2537</v>
      </c>
      <c r="N578" s="8">
        <f>IFERROR(G578/F578,0)</f>
        <v>6.577059979811932E-2</v>
      </c>
      <c r="O578" s="8">
        <f>IFERROR(H578/G578,0)</f>
        <v>8.7641357027463646E-2</v>
      </c>
      <c r="P578" s="4">
        <f>IFERROR(I578/G578,0)</f>
        <v>0.87430533117932152</v>
      </c>
      <c r="Q578" s="4">
        <f>IFERROR(I578/H578,0)</f>
        <v>9.9759447004608308</v>
      </c>
      <c r="R578" s="12">
        <f>IFERROR(J578/I578,0)</f>
        <v>18.012333816831269</v>
      </c>
      <c r="S578" s="7">
        <f>Tabla_nuevas_columnas[[#This Row],[ROAS]]</f>
        <v>18.012333816831269</v>
      </c>
      <c r="T578" t="str">
        <f>_xlfn.CONCAT(C578,"-",D578)</f>
        <v>Display-Portugal</v>
      </c>
      <c r="U578">
        <f>YEAR(A578)</f>
        <v>2025</v>
      </c>
      <c r="V578">
        <f>MONTH(A578)</f>
        <v>4</v>
      </c>
      <c r="W578" t="str">
        <f>PROPER(TEXT(A578,"mmmm"))</f>
        <v>Abril</v>
      </c>
      <c r="X578" t="str">
        <f>PROPER(TEXT(A578,"dddd"))</f>
        <v>Viernes</v>
      </c>
      <c r="Y578" t="str" cm="1">
        <f t="array" ref="Y578">_xlfn.IFS(R578&gt;10,"Excelente",R578&gt;=5,"Bueno",R578&gt;=2,"Débil",R578&lt;2,"Deficiente")</f>
        <v>Excelente</v>
      </c>
      <c r="Z578" t="str">
        <f>IF(AND(R578&lt;2,Q578&gt;=100),"Revisar","OK")</f>
        <v>OK</v>
      </c>
      <c r="AA578" s="55">
        <f>_xlfn.XLOOKUP(C578,'Preguntas de negocio'!$C$114:$C$119,'Preguntas de negocio'!$D$114:$D$119,0)</f>
        <v>5</v>
      </c>
      <c r="AB578" s="55">
        <f>VLOOKUP(C578,'Preguntas de negocio'!$C$121:$D$127,2,FALSE)</f>
        <v>0.5</v>
      </c>
    </row>
    <row r="579" spans="1:28" x14ac:dyDescent="0.3">
      <c r="A579" s="1">
        <v>45739</v>
      </c>
      <c r="B579" s="2" t="s">
        <v>2631</v>
      </c>
      <c r="C579" s="2" t="s">
        <v>2541</v>
      </c>
      <c r="D579" s="2" t="s">
        <v>2528</v>
      </c>
      <c r="E579" s="2" t="s">
        <v>2529</v>
      </c>
      <c r="F579" s="3">
        <v>160286</v>
      </c>
      <c r="G579" s="3">
        <v>13760</v>
      </c>
      <c r="H579" s="3">
        <v>1345</v>
      </c>
      <c r="I579" s="4">
        <v>14157.43</v>
      </c>
      <c r="J579" s="4">
        <v>75922.850000000006</v>
      </c>
      <c r="K579" s="3">
        <v>627</v>
      </c>
      <c r="L579" s="2" t="s">
        <v>2518</v>
      </c>
      <c r="M579" s="2" t="s">
        <v>2537</v>
      </c>
      <c r="N579" s="8">
        <f>IFERROR(G579/F579,0)</f>
        <v>8.5846549293138522E-2</v>
      </c>
      <c r="O579" s="8">
        <f>IFERROR(H579/G579,0)</f>
        <v>9.7747093023255807E-2</v>
      </c>
      <c r="P579" s="4">
        <f>IFERROR(I579/G579,0)</f>
        <v>1.0288829941860465</v>
      </c>
      <c r="Q579" s="4">
        <f>IFERROR(I579/H579,0)</f>
        <v>10.525970260223049</v>
      </c>
      <c r="R579" s="12">
        <f>IFERROR(J579/I579,0)</f>
        <v>5.3627565172492471</v>
      </c>
      <c r="S579" s="7">
        <f>Tabla_nuevas_columnas[[#This Row],[ROAS]]</f>
        <v>5.3627565172492471</v>
      </c>
      <c r="T579" t="str">
        <f>_xlfn.CONCAT(C579,"-",D579)</f>
        <v>Display-España</v>
      </c>
      <c r="U579">
        <f>YEAR(A579)</f>
        <v>2025</v>
      </c>
      <c r="V579">
        <f>MONTH(A579)</f>
        <v>3</v>
      </c>
      <c r="W579" t="str">
        <f>PROPER(TEXT(A579,"mmmm"))</f>
        <v>Marzo</v>
      </c>
      <c r="X579" t="str">
        <f>PROPER(TEXT(A579,"dddd"))</f>
        <v>Domingo</v>
      </c>
      <c r="Y579" t="str" cm="1">
        <f t="array" ref="Y579">_xlfn.IFS(R579&gt;10,"Excelente",R579&gt;=5,"Bueno",R579&gt;=2,"Débil",R579&lt;2,"Deficiente")</f>
        <v>Bueno</v>
      </c>
      <c r="Z579" t="str">
        <f>IF(AND(R579&lt;2,Q579&gt;=100),"Revisar","OK")</f>
        <v>OK</v>
      </c>
      <c r="AA579" s="55">
        <f>_xlfn.XLOOKUP(C579,'Preguntas de negocio'!$C$114:$C$119,'Preguntas de negocio'!$D$114:$D$119,0)</f>
        <v>5</v>
      </c>
      <c r="AB579" s="55">
        <f>VLOOKUP(C579,'Preguntas de negocio'!$C$121:$D$127,2,FALSE)</f>
        <v>0.5</v>
      </c>
    </row>
    <row r="580" spans="1:28" x14ac:dyDescent="0.3">
      <c r="A580" s="1">
        <v>45949</v>
      </c>
      <c r="B580" s="2" t="s">
        <v>2636</v>
      </c>
      <c r="C580" s="2" t="s">
        <v>2541</v>
      </c>
      <c r="D580" s="2" t="s">
        <v>2528</v>
      </c>
      <c r="E580" s="2" t="s">
        <v>2529</v>
      </c>
      <c r="F580" s="3">
        <v>88940</v>
      </c>
      <c r="G580" s="3">
        <v>4498</v>
      </c>
      <c r="H580" s="3">
        <v>258</v>
      </c>
      <c r="I580" s="4">
        <v>7097.21</v>
      </c>
      <c r="J580" s="4">
        <v>33353.42</v>
      </c>
      <c r="K580" s="3">
        <v>218</v>
      </c>
      <c r="L580" s="2" t="s">
        <v>2523</v>
      </c>
      <c r="M580" s="2" t="s">
        <v>2526</v>
      </c>
      <c r="N580" s="8">
        <f>IFERROR(G580/F580,0)</f>
        <v>5.0573420283337084E-2</v>
      </c>
      <c r="O580" s="8">
        <f>IFERROR(H580/G580,0)</f>
        <v>5.7358826144953315E-2</v>
      </c>
      <c r="P580" s="4">
        <f>IFERROR(I580/G580,0)</f>
        <v>1.5778590484659849</v>
      </c>
      <c r="Q580" s="4">
        <f>IFERROR(I580/H580,0)</f>
        <v>27.50856589147287</v>
      </c>
      <c r="R580" s="12">
        <f>IFERROR(J580/I580,0)</f>
        <v>4.6995114981802706</v>
      </c>
      <c r="S580" s="7">
        <f>Tabla_nuevas_columnas[[#This Row],[ROAS]]</f>
        <v>4.6995114981802706</v>
      </c>
      <c r="T580" t="str">
        <f>_xlfn.CONCAT(C580,"-",D580)</f>
        <v>Display-España</v>
      </c>
      <c r="U580">
        <f>YEAR(A580)</f>
        <v>2025</v>
      </c>
      <c r="V580">
        <f>MONTH(A580)</f>
        <v>10</v>
      </c>
      <c r="W580" t="str">
        <f>PROPER(TEXT(A580,"mmmm"))</f>
        <v>Octubre</v>
      </c>
      <c r="X580" t="str">
        <f>PROPER(TEXT(A580,"dddd"))</f>
        <v>Domingo</v>
      </c>
      <c r="Y580" t="str" cm="1">
        <f t="array" ref="Y580">_xlfn.IFS(R580&gt;10,"Excelente",R580&gt;=5,"Bueno",R580&gt;=2,"Débil",R580&lt;2,"Deficiente")</f>
        <v>Débil</v>
      </c>
      <c r="Z580" t="str">
        <f>IF(AND(R580&lt;2,Q580&gt;=100),"Revisar","OK")</f>
        <v>OK</v>
      </c>
      <c r="AA580" s="55">
        <f>_xlfn.XLOOKUP(C580,'Preguntas de negocio'!$C$114:$C$119,'Preguntas de negocio'!$D$114:$D$119,0)</f>
        <v>5</v>
      </c>
      <c r="AB580" s="55">
        <f>VLOOKUP(C580,'Preguntas de negocio'!$C$121:$D$127,2,FALSE)</f>
        <v>0.5</v>
      </c>
    </row>
    <row r="581" spans="1:28" x14ac:dyDescent="0.3">
      <c r="A581" s="1">
        <v>45796</v>
      </c>
      <c r="B581" s="2" t="s">
        <v>2634</v>
      </c>
      <c r="C581" s="2" t="s">
        <v>2521</v>
      </c>
      <c r="D581" s="2" t="s">
        <v>2528</v>
      </c>
      <c r="E581" s="2" t="s">
        <v>2529</v>
      </c>
      <c r="F581" s="3">
        <v>132798</v>
      </c>
      <c r="G581" s="3">
        <v>1396</v>
      </c>
      <c r="H581" s="3">
        <v>176</v>
      </c>
      <c r="I581" s="4">
        <v>2011.16</v>
      </c>
      <c r="J581" s="4">
        <v>22320.79</v>
      </c>
      <c r="K581" s="3">
        <v>109</v>
      </c>
      <c r="L581" s="2" t="s">
        <v>2523</v>
      </c>
      <c r="M581" s="2" t="s">
        <v>2546</v>
      </c>
      <c r="N581" s="8">
        <f>IFERROR(G581/F581,0)</f>
        <v>1.0512206509134174E-2</v>
      </c>
      <c r="O581" s="8">
        <f>IFERROR(H581/G581,0)</f>
        <v>0.12607449856733524</v>
      </c>
      <c r="P581" s="4">
        <f>IFERROR(I581/G581,0)</f>
        <v>1.4406590257879657</v>
      </c>
      <c r="Q581" s="4">
        <f>IFERROR(I581/H581,0)</f>
        <v>11.427045454545455</v>
      </c>
      <c r="R581" s="12">
        <f>IFERROR(J581/I581,0)</f>
        <v>11.098465562163129</v>
      </c>
      <c r="S581" s="7">
        <f>Tabla_nuevas_columnas[[#This Row],[ROAS]]</f>
        <v>11.098465562163129</v>
      </c>
      <c r="T581" t="str">
        <f>_xlfn.CONCAT(C581,"-",D581)</f>
        <v>Paid Search-España</v>
      </c>
      <c r="U581">
        <f>YEAR(A581)</f>
        <v>2025</v>
      </c>
      <c r="V581">
        <f>MONTH(A581)</f>
        <v>5</v>
      </c>
      <c r="W581" t="str">
        <f>PROPER(TEXT(A581,"mmmm"))</f>
        <v>Mayo</v>
      </c>
      <c r="X581" t="str">
        <f>PROPER(TEXT(A581,"dddd"))</f>
        <v>Lunes</v>
      </c>
      <c r="Y581" t="str" cm="1">
        <f t="array" ref="Y581">_xlfn.IFS(R581&gt;10,"Excelente",R581&gt;=5,"Bueno",R581&gt;=2,"Débil",R581&lt;2,"Deficiente")</f>
        <v>Excelente</v>
      </c>
      <c r="Z581" t="str">
        <f>IF(AND(R581&lt;2,Q581&gt;=100),"Revisar","OK")</f>
        <v>OK</v>
      </c>
      <c r="AA581" s="55">
        <f>_xlfn.XLOOKUP(C581,'Preguntas de negocio'!$C$114:$C$119,'Preguntas de negocio'!$D$114:$D$119,0)</f>
        <v>5</v>
      </c>
      <c r="AB581" s="55">
        <f>VLOOKUP(C581,'Preguntas de negocio'!$C$121:$D$127,2,FALSE)</f>
        <v>1.1000000000000001</v>
      </c>
    </row>
    <row r="582" spans="1:28" x14ac:dyDescent="0.3">
      <c r="A582" s="1">
        <v>45958</v>
      </c>
      <c r="B582" s="2" t="s">
        <v>2634</v>
      </c>
      <c r="C582" s="2" t="s">
        <v>2515</v>
      </c>
      <c r="D582" s="2" t="s">
        <v>2528</v>
      </c>
      <c r="E582" s="2" t="s">
        <v>2529</v>
      </c>
      <c r="F582" s="3">
        <v>46715</v>
      </c>
      <c r="G582" s="3">
        <v>802</v>
      </c>
      <c r="H582" s="3">
        <v>25</v>
      </c>
      <c r="I582" s="4">
        <v>716.66</v>
      </c>
      <c r="J582" s="4">
        <v>381.22</v>
      </c>
      <c r="K582" s="3">
        <v>18</v>
      </c>
      <c r="L582" s="2" t="s">
        <v>2536</v>
      </c>
      <c r="M582" s="2" t="s">
        <v>2524</v>
      </c>
      <c r="N582" s="8">
        <f>IFERROR(G582/F582,0)</f>
        <v>1.7167933212030397E-2</v>
      </c>
      <c r="O582" s="8">
        <f>IFERROR(H582/G582,0)</f>
        <v>3.117206982543641E-2</v>
      </c>
      <c r="P582" s="4">
        <f>IFERROR(I582/G582,0)</f>
        <v>0.89359102244389021</v>
      </c>
      <c r="Q582" s="4">
        <f>IFERROR(I582/H582,0)</f>
        <v>28.666399999999999</v>
      </c>
      <c r="R582" s="12">
        <f>IFERROR(J582/I582,0)</f>
        <v>0.53193983199843731</v>
      </c>
      <c r="S582" s="7">
        <f>Tabla_nuevas_columnas[[#This Row],[ROAS]]</f>
        <v>0.53193983199843731</v>
      </c>
      <c r="T582" t="str">
        <f>_xlfn.CONCAT(C582,"-",D582)</f>
        <v>Email-España</v>
      </c>
      <c r="U582">
        <f>YEAR(A582)</f>
        <v>2025</v>
      </c>
      <c r="V582">
        <f>MONTH(A582)</f>
        <v>10</v>
      </c>
      <c r="W582" t="str">
        <f>PROPER(TEXT(A582,"mmmm"))</f>
        <v>Octubre</v>
      </c>
      <c r="X582" t="str">
        <f>PROPER(TEXT(A582,"dddd"))</f>
        <v>Martes</v>
      </c>
      <c r="Y582" t="str" cm="1">
        <f t="array" ref="Y582">_xlfn.IFS(R582&gt;10,"Excelente",R582&gt;=5,"Bueno",R582&gt;=2,"Débil",R582&lt;2,"Deficiente")</f>
        <v>Deficiente</v>
      </c>
      <c r="Z582" t="str">
        <f>IF(AND(R582&lt;2,Q582&gt;=100),"Revisar","OK")</f>
        <v>OK</v>
      </c>
      <c r="AA582" s="55">
        <f>_xlfn.XLOOKUP(C582,'Preguntas de negocio'!$C$114:$C$119,'Preguntas de negocio'!$D$114:$D$119,0)</f>
        <v>5.5</v>
      </c>
      <c r="AB582" s="55">
        <f>VLOOKUP(C582,'Preguntas de negocio'!$C$121:$D$127,2,FALSE)</f>
        <v>0.65</v>
      </c>
    </row>
    <row r="583" spans="1:28" x14ac:dyDescent="0.3">
      <c r="A583" s="1">
        <v>45754</v>
      </c>
      <c r="B583" s="2" t="s">
        <v>2628</v>
      </c>
      <c r="C583" s="2" t="s">
        <v>2541</v>
      </c>
      <c r="D583" s="2" t="s">
        <v>2528</v>
      </c>
      <c r="E583" s="2" t="s">
        <v>2529</v>
      </c>
      <c r="F583" s="3">
        <v>133242</v>
      </c>
      <c r="G583" s="3">
        <v>7880</v>
      </c>
      <c r="H583" s="3">
        <v>805</v>
      </c>
      <c r="I583" s="4">
        <v>13300.4</v>
      </c>
      <c r="J583" s="4">
        <v>154240.23000000001</v>
      </c>
      <c r="K583" s="3">
        <v>470</v>
      </c>
      <c r="L583" s="2" t="s">
        <v>2539</v>
      </c>
      <c r="M583" s="2" t="s">
        <v>2519</v>
      </c>
      <c r="N583" s="8">
        <f>IFERROR(G583/F583,0)</f>
        <v>5.914051125020639E-2</v>
      </c>
      <c r="O583" s="8">
        <f>IFERROR(H583/G583,0)</f>
        <v>0.10215736040609137</v>
      </c>
      <c r="P583" s="4">
        <f>IFERROR(I583/G583,0)</f>
        <v>1.6878680203045684</v>
      </c>
      <c r="Q583" s="4">
        <f>IFERROR(I583/H583,0)</f>
        <v>16.52223602484472</v>
      </c>
      <c r="R583" s="12">
        <f>IFERROR(J583/I583,0)</f>
        <v>11.596661002676612</v>
      </c>
      <c r="S583" s="7">
        <f>Tabla_nuevas_columnas[[#This Row],[ROAS]]</f>
        <v>11.596661002676612</v>
      </c>
      <c r="T583" t="str">
        <f>_xlfn.CONCAT(C583,"-",D583)</f>
        <v>Display-España</v>
      </c>
      <c r="U583">
        <f>YEAR(A583)</f>
        <v>2025</v>
      </c>
      <c r="V583">
        <f>MONTH(A583)</f>
        <v>4</v>
      </c>
      <c r="W583" t="str">
        <f>PROPER(TEXT(A583,"mmmm"))</f>
        <v>Abril</v>
      </c>
      <c r="X583" t="str">
        <f>PROPER(TEXT(A583,"dddd"))</f>
        <v>Lunes</v>
      </c>
      <c r="Y583" t="str" cm="1">
        <f t="array" ref="Y583">_xlfn.IFS(R583&gt;10,"Excelente",R583&gt;=5,"Bueno",R583&gt;=2,"Débil",R583&lt;2,"Deficiente")</f>
        <v>Excelente</v>
      </c>
      <c r="Z583" t="str">
        <f>IF(AND(R583&lt;2,Q583&gt;=100),"Revisar","OK")</f>
        <v>OK</v>
      </c>
      <c r="AA583" s="55">
        <f>_xlfn.XLOOKUP(C583,'Preguntas de negocio'!$C$114:$C$119,'Preguntas de negocio'!$D$114:$D$119,0)</f>
        <v>5</v>
      </c>
      <c r="AB583" s="55">
        <f>VLOOKUP(C583,'Preguntas de negocio'!$C$121:$D$127,2,FALSE)</f>
        <v>0.5</v>
      </c>
    </row>
    <row r="584" spans="1:28" x14ac:dyDescent="0.3">
      <c r="A584" s="1">
        <v>45914</v>
      </c>
      <c r="B584" s="2" t="s">
        <v>2624</v>
      </c>
      <c r="C584" s="2" t="s">
        <v>2541</v>
      </c>
      <c r="D584" s="2" t="s">
        <v>2528</v>
      </c>
      <c r="E584" s="2" t="s">
        <v>2529</v>
      </c>
      <c r="F584" s="3">
        <v>27662</v>
      </c>
      <c r="G584" s="3">
        <v>605</v>
      </c>
      <c r="H584" s="3">
        <v>5</v>
      </c>
      <c r="I584" s="4">
        <v>925.64</v>
      </c>
      <c r="J584" s="4">
        <v>940.04</v>
      </c>
      <c r="K584" s="3">
        <v>4</v>
      </c>
      <c r="L584" s="2" t="s">
        <v>2536</v>
      </c>
      <c r="M584" s="2" t="s">
        <v>2526</v>
      </c>
      <c r="N584" s="8">
        <f>IFERROR(G584/F584,0)</f>
        <v>2.1871158990673125E-2</v>
      </c>
      <c r="O584" s="8">
        <f>IFERROR(H584/G584,0)</f>
        <v>8.2644628099173556E-3</v>
      </c>
      <c r="P584" s="4">
        <f>IFERROR(I584/G584,0)</f>
        <v>1.52998347107438</v>
      </c>
      <c r="Q584" s="4">
        <f>IFERROR(I584/H584,0)</f>
        <v>185.12799999999999</v>
      </c>
      <c r="R584" s="12">
        <f>IFERROR(J584/I584,0)</f>
        <v>1.015556803941057</v>
      </c>
      <c r="S584" s="7">
        <f>Tabla_nuevas_columnas[[#This Row],[ROAS]]</f>
        <v>1.015556803941057</v>
      </c>
      <c r="T584" t="str">
        <f>_xlfn.CONCAT(C584,"-",D584)</f>
        <v>Display-España</v>
      </c>
      <c r="U584">
        <f>YEAR(A584)</f>
        <v>2025</v>
      </c>
      <c r="V584">
        <f>MONTH(A584)</f>
        <v>9</v>
      </c>
      <c r="W584" t="str">
        <f>PROPER(TEXT(A584,"mmmm"))</f>
        <v>Septiembre</v>
      </c>
      <c r="X584" t="str">
        <f>PROPER(TEXT(A584,"dddd"))</f>
        <v>Domingo</v>
      </c>
      <c r="Y584" t="str" cm="1">
        <f t="array" ref="Y584">_xlfn.IFS(R584&gt;10,"Excelente",R584&gt;=5,"Bueno",R584&gt;=2,"Débil",R584&lt;2,"Deficiente")</f>
        <v>Deficiente</v>
      </c>
      <c r="Z584" t="str">
        <f>IF(AND(R584&lt;2,Q584&gt;=100),"Revisar","OK")</f>
        <v>Revisar</v>
      </c>
      <c r="AA584" s="55">
        <f>_xlfn.XLOOKUP(C584,'Preguntas de negocio'!$C$114:$C$119,'Preguntas de negocio'!$D$114:$D$119,0)</f>
        <v>5</v>
      </c>
      <c r="AB584" s="55">
        <f>VLOOKUP(C584,'Preguntas de negocio'!$C$121:$D$127,2,FALSE)</f>
        <v>0.5</v>
      </c>
    </row>
    <row r="585" spans="1:28" x14ac:dyDescent="0.3">
      <c r="A585" s="1">
        <v>45836</v>
      </c>
      <c r="B585" s="2" t="s">
        <v>2627</v>
      </c>
      <c r="C585" s="2" t="s">
        <v>2541</v>
      </c>
      <c r="D585" s="2" t="s">
        <v>2522</v>
      </c>
      <c r="E585" s="2" t="s">
        <v>2529</v>
      </c>
      <c r="F585" s="3">
        <v>47996</v>
      </c>
      <c r="G585" s="3">
        <v>1707</v>
      </c>
      <c r="H585" s="3">
        <v>63</v>
      </c>
      <c r="I585" s="4">
        <v>3263.03</v>
      </c>
      <c r="J585" s="4">
        <v>13852.21</v>
      </c>
      <c r="K585" s="3">
        <v>39</v>
      </c>
      <c r="L585" s="2" t="s">
        <v>2523</v>
      </c>
      <c r="M585" s="2" t="s">
        <v>2537</v>
      </c>
      <c r="N585" s="8">
        <f>IFERROR(G585/F585,0)</f>
        <v>3.5565463788649054E-2</v>
      </c>
      <c r="O585" s="8">
        <f>IFERROR(H585/G585,0)</f>
        <v>3.6906854130052721E-2</v>
      </c>
      <c r="P585" s="4">
        <f>IFERROR(I585/G585,0)</f>
        <v>1.9115582893966023</v>
      </c>
      <c r="Q585" s="4">
        <f>IFERROR(I585/H585,0)</f>
        <v>51.79412698412699</v>
      </c>
      <c r="R585" s="12">
        <f>IFERROR(J585/I585,0)</f>
        <v>4.2451984811662777</v>
      </c>
      <c r="S585" s="7">
        <f>Tabla_nuevas_columnas[[#This Row],[ROAS]]</f>
        <v>4.2451984811662777</v>
      </c>
      <c r="T585" t="str">
        <f>_xlfn.CONCAT(C585,"-",D585)</f>
        <v>Display-Italia</v>
      </c>
      <c r="U585">
        <f>YEAR(A585)</f>
        <v>2025</v>
      </c>
      <c r="V585">
        <f>MONTH(A585)</f>
        <v>6</v>
      </c>
      <c r="W585" t="str">
        <f>PROPER(TEXT(A585,"mmmm"))</f>
        <v>Junio</v>
      </c>
      <c r="X585" t="str">
        <f>PROPER(TEXT(A585,"dddd"))</f>
        <v>Sábado</v>
      </c>
      <c r="Y585" t="str" cm="1">
        <f t="array" ref="Y585">_xlfn.IFS(R585&gt;10,"Excelente",R585&gt;=5,"Bueno",R585&gt;=2,"Débil",R585&lt;2,"Deficiente")</f>
        <v>Débil</v>
      </c>
      <c r="Z585" t="str">
        <f>IF(AND(R585&lt;2,Q585&gt;=100),"Revisar","OK")</f>
        <v>OK</v>
      </c>
      <c r="AA585" s="55">
        <f>_xlfn.XLOOKUP(C585,'Preguntas de negocio'!$C$114:$C$119,'Preguntas de negocio'!$D$114:$D$119,0)</f>
        <v>5</v>
      </c>
      <c r="AB585" s="55">
        <f>VLOOKUP(C585,'Preguntas de negocio'!$C$121:$D$127,2,FALSE)</f>
        <v>0.5</v>
      </c>
    </row>
    <row r="586" spans="1:28" x14ac:dyDescent="0.3">
      <c r="A586" s="1">
        <v>45782</v>
      </c>
      <c r="B586" s="2" t="s">
        <v>2629</v>
      </c>
      <c r="C586" s="2" t="s">
        <v>2543</v>
      </c>
      <c r="D586" s="2" t="s">
        <v>2516</v>
      </c>
      <c r="E586" s="2" t="s">
        <v>2517</v>
      </c>
      <c r="F586" s="3">
        <v>101857</v>
      </c>
      <c r="G586" s="3">
        <v>415</v>
      </c>
      <c r="H586" s="3">
        <v>52</v>
      </c>
      <c r="I586" s="4">
        <v>255.48</v>
      </c>
      <c r="J586" s="4">
        <v>5174.42</v>
      </c>
      <c r="K586" s="3">
        <v>46</v>
      </c>
      <c r="L586" s="2" t="s">
        <v>2523</v>
      </c>
      <c r="M586" s="2" t="s">
        <v>2526</v>
      </c>
      <c r="N586" s="8">
        <f>IFERROR(G586/F586,0)</f>
        <v>4.0743395152026858E-3</v>
      </c>
      <c r="O586" s="8">
        <f>IFERROR(H586/G586,0)</f>
        <v>0.12530120481927712</v>
      </c>
      <c r="P586" s="4">
        <f>IFERROR(I586/G586,0)</f>
        <v>0.61561445783132529</v>
      </c>
      <c r="Q586" s="4">
        <f>IFERROR(I586/H586,0)</f>
        <v>4.9130769230769227</v>
      </c>
      <c r="R586" s="12">
        <f>IFERROR(J586/I586,0)</f>
        <v>20.253718490684204</v>
      </c>
      <c r="S586" s="7">
        <f>Tabla_nuevas_columnas[[#This Row],[ROAS]]</f>
        <v>20.253718490684204</v>
      </c>
      <c r="T586" t="str">
        <f>_xlfn.CONCAT(C586,"-",D586)</f>
        <v>Organic Social-México</v>
      </c>
      <c r="U586">
        <f>YEAR(A586)</f>
        <v>2025</v>
      </c>
      <c r="V586">
        <f>MONTH(A586)</f>
        <v>5</v>
      </c>
      <c r="W586" t="str">
        <f>PROPER(TEXT(A586,"mmmm"))</f>
        <v>Mayo</v>
      </c>
      <c r="X586" t="str">
        <f>PROPER(TEXT(A586,"dddd"))</f>
        <v>Lunes</v>
      </c>
      <c r="Y586" t="str" cm="1">
        <f t="array" ref="Y586">_xlfn.IFS(R586&gt;10,"Excelente",R586&gt;=5,"Bueno",R586&gt;=2,"Débil",R586&lt;2,"Deficiente")</f>
        <v>Excelente</v>
      </c>
      <c r="Z586" t="str">
        <f>IF(AND(R586&lt;2,Q586&gt;=100),"Revisar","OK")</f>
        <v>OK</v>
      </c>
      <c r="AA586" s="55">
        <f>_xlfn.XLOOKUP(C586,'Preguntas de negocio'!$C$114:$C$119,'Preguntas de negocio'!$D$114:$D$119,0)</f>
        <v>4</v>
      </c>
      <c r="AB586" s="55">
        <f>VLOOKUP(C586,'Preguntas de negocio'!$C$121:$D$127,2,FALSE)</f>
        <v>0.95</v>
      </c>
    </row>
    <row r="587" spans="1:28" x14ac:dyDescent="0.3">
      <c r="A587" s="1">
        <v>45725</v>
      </c>
      <c r="B587" s="2" t="s">
        <v>2641</v>
      </c>
      <c r="C587" s="2" t="s">
        <v>2543</v>
      </c>
      <c r="D587" s="2" t="s">
        <v>2525</v>
      </c>
      <c r="E587" s="2" t="s">
        <v>2529</v>
      </c>
      <c r="F587" s="3">
        <v>30438</v>
      </c>
      <c r="G587" s="3">
        <v>2569</v>
      </c>
      <c r="H587" s="3">
        <v>130</v>
      </c>
      <c r="I587" s="4">
        <v>4263.6099999999997</v>
      </c>
      <c r="J587" s="4">
        <v>23248.11</v>
      </c>
      <c r="K587" s="3">
        <v>71</v>
      </c>
      <c r="L587" s="2" t="s">
        <v>2518</v>
      </c>
      <c r="M587" s="2" t="s">
        <v>2537</v>
      </c>
      <c r="N587" s="8">
        <f>IFERROR(G587/F587,0)</f>
        <v>8.4401077600367955E-2</v>
      </c>
      <c r="O587" s="8">
        <f>IFERROR(H587/G587,0)</f>
        <v>5.0603347606072401E-2</v>
      </c>
      <c r="P587" s="4">
        <f>IFERROR(I587/G587,0)</f>
        <v>1.6596379914363564</v>
      </c>
      <c r="Q587" s="4">
        <f>IFERROR(I587/H587,0)</f>
        <v>32.796999999999997</v>
      </c>
      <c r="R587" s="12">
        <f>IFERROR(J587/I587,0)</f>
        <v>5.452682116797738</v>
      </c>
      <c r="S587" s="7">
        <f>Tabla_nuevas_columnas[[#This Row],[ROAS]]</f>
        <v>5.452682116797738</v>
      </c>
      <c r="T587" t="str">
        <f>_xlfn.CONCAT(C587,"-",D587)</f>
        <v>Organic Social-Francia</v>
      </c>
      <c r="U587">
        <f>YEAR(A587)</f>
        <v>2025</v>
      </c>
      <c r="V587">
        <f>MONTH(A587)</f>
        <v>3</v>
      </c>
      <c r="W587" t="str">
        <f>PROPER(TEXT(A587,"mmmm"))</f>
        <v>Marzo</v>
      </c>
      <c r="X587" t="str">
        <f>PROPER(TEXT(A587,"dddd"))</f>
        <v>Domingo</v>
      </c>
      <c r="Y587" t="str" cm="1">
        <f t="array" ref="Y587">_xlfn.IFS(R587&gt;10,"Excelente",R587&gt;=5,"Bueno",R587&gt;=2,"Débil",R587&lt;2,"Deficiente")</f>
        <v>Bueno</v>
      </c>
      <c r="Z587" t="str">
        <f>IF(AND(R587&lt;2,Q587&gt;=100),"Revisar","OK")</f>
        <v>OK</v>
      </c>
      <c r="AA587" s="55">
        <f>_xlfn.XLOOKUP(C587,'Preguntas de negocio'!$C$114:$C$119,'Preguntas de negocio'!$D$114:$D$119,0)</f>
        <v>4</v>
      </c>
      <c r="AB587" s="55">
        <f>VLOOKUP(C587,'Preguntas de negocio'!$C$121:$D$127,2,FALSE)</f>
        <v>0.95</v>
      </c>
    </row>
    <row r="588" spans="1:28" x14ac:dyDescent="0.3">
      <c r="A588" s="1">
        <v>45974</v>
      </c>
      <c r="B588" s="2" t="s">
        <v>2634</v>
      </c>
      <c r="C588" s="2" t="s">
        <v>2543</v>
      </c>
      <c r="D588" s="2" t="s">
        <v>2516</v>
      </c>
      <c r="E588" s="2" t="s">
        <v>2534</v>
      </c>
      <c r="F588" s="3">
        <v>91079</v>
      </c>
      <c r="G588" s="3">
        <v>6977</v>
      </c>
      <c r="H588" s="3">
        <v>920</v>
      </c>
      <c r="I588" s="4">
        <v>9778.34</v>
      </c>
      <c r="J588" s="4">
        <v>180286.24</v>
      </c>
      <c r="K588" s="3">
        <v>681</v>
      </c>
      <c r="L588" s="2" t="s">
        <v>2539</v>
      </c>
      <c r="M588" s="2" t="s">
        <v>2524</v>
      </c>
      <c r="N588" s="8">
        <f>IFERROR(G588/F588,0)</f>
        <v>7.6603827446502487E-2</v>
      </c>
      <c r="O588" s="8">
        <f>IFERROR(H588/G588,0)</f>
        <v>0.13186183173283647</v>
      </c>
      <c r="P588" s="4">
        <f>IFERROR(I588/G588,0)</f>
        <v>1.4015106779418087</v>
      </c>
      <c r="Q588" s="4">
        <f>IFERROR(I588/H588,0)</f>
        <v>10.628630434782609</v>
      </c>
      <c r="R588" s="12">
        <f>IFERROR(J588/I588,0)</f>
        <v>18.437305309490156</v>
      </c>
      <c r="S588" s="7">
        <f>Tabla_nuevas_columnas[[#This Row],[ROAS]]</f>
        <v>18.437305309490156</v>
      </c>
      <c r="T588" t="str">
        <f>_xlfn.CONCAT(C588,"-",D588)</f>
        <v>Organic Social-México</v>
      </c>
      <c r="U588">
        <f>YEAR(A588)</f>
        <v>2025</v>
      </c>
      <c r="V588">
        <f>MONTH(A588)</f>
        <v>11</v>
      </c>
      <c r="W588" t="str">
        <f>PROPER(TEXT(A588,"mmmm"))</f>
        <v>Noviembre</v>
      </c>
      <c r="X588" t="str">
        <f>PROPER(TEXT(A588,"dddd"))</f>
        <v>Jueves</v>
      </c>
      <c r="Y588" t="str" cm="1">
        <f t="array" ref="Y588">_xlfn.IFS(R588&gt;10,"Excelente",R588&gt;=5,"Bueno",R588&gt;=2,"Débil",R588&lt;2,"Deficiente")</f>
        <v>Excelente</v>
      </c>
      <c r="Z588" t="str">
        <f>IF(AND(R588&lt;2,Q588&gt;=100),"Revisar","OK")</f>
        <v>OK</v>
      </c>
      <c r="AA588" s="55">
        <f>_xlfn.XLOOKUP(C588,'Preguntas de negocio'!$C$114:$C$119,'Preguntas de negocio'!$D$114:$D$119,0)</f>
        <v>4</v>
      </c>
      <c r="AB588" s="55">
        <f>VLOOKUP(C588,'Preguntas de negocio'!$C$121:$D$127,2,FALSE)</f>
        <v>0.95</v>
      </c>
    </row>
    <row r="589" spans="1:28" x14ac:dyDescent="0.3">
      <c r="A589" s="1">
        <v>45943</v>
      </c>
      <c r="B589" s="2" t="s">
        <v>2641</v>
      </c>
      <c r="C589" s="2" t="s">
        <v>2527</v>
      </c>
      <c r="D589" s="2" t="s">
        <v>2516</v>
      </c>
      <c r="E589" s="2" t="s">
        <v>2517</v>
      </c>
      <c r="F589" s="3">
        <v>129946</v>
      </c>
      <c r="G589" s="3">
        <v>10277</v>
      </c>
      <c r="H589" s="3">
        <v>394</v>
      </c>
      <c r="I589" s="4">
        <v>10676.43</v>
      </c>
      <c r="J589" s="4">
        <v>7471.04</v>
      </c>
      <c r="K589" s="3">
        <v>177</v>
      </c>
      <c r="L589" s="2" t="s">
        <v>2523</v>
      </c>
      <c r="M589" s="2" t="s">
        <v>2524</v>
      </c>
      <c r="N589" s="8">
        <f>IFERROR(G589/F589,0)</f>
        <v>7.9086697551290538E-2</v>
      </c>
      <c r="O589" s="8">
        <f>IFERROR(H589/G589,0)</f>
        <v>3.8338036391943171E-2</v>
      </c>
      <c r="P589" s="4">
        <f>IFERROR(I589/G589,0)</f>
        <v>1.0388664007005937</v>
      </c>
      <c r="Q589" s="4">
        <f>IFERROR(I589/H589,0)</f>
        <v>27.097538071065991</v>
      </c>
      <c r="R589" s="12">
        <f>IFERROR(J589/I589,0)</f>
        <v>0.69976949223663709</v>
      </c>
      <c r="S589" s="7">
        <f>Tabla_nuevas_columnas[[#This Row],[ROAS]]</f>
        <v>0.69976949223663709</v>
      </c>
      <c r="T589" t="str">
        <f>_xlfn.CONCAT(C589,"-",D589)</f>
        <v>Affiliate-México</v>
      </c>
      <c r="U589">
        <f>YEAR(A589)</f>
        <v>2025</v>
      </c>
      <c r="V589">
        <f>MONTH(A589)</f>
        <v>10</v>
      </c>
      <c r="W589" t="str">
        <f>PROPER(TEXT(A589,"mmmm"))</f>
        <v>Octubre</v>
      </c>
      <c r="X589" t="str">
        <f>PROPER(TEXT(A589,"dddd"))</f>
        <v>Lunes</v>
      </c>
      <c r="Y589" t="str" cm="1">
        <f t="array" ref="Y589">_xlfn.IFS(R589&gt;10,"Excelente",R589&gt;=5,"Bueno",R589&gt;=2,"Débil",R589&lt;2,"Deficiente")</f>
        <v>Deficiente</v>
      </c>
      <c r="Z589" t="str">
        <f>IF(AND(R589&lt;2,Q589&gt;=100),"Revisar","OK")</f>
        <v>OK</v>
      </c>
      <c r="AA589" s="55">
        <f>_xlfn.XLOOKUP(C589,'Preguntas de negocio'!$C$114:$C$119,'Preguntas de negocio'!$D$114:$D$119,0)</f>
        <v>4.5</v>
      </c>
      <c r="AB589" s="55">
        <f>VLOOKUP(C589,'Preguntas de negocio'!$C$121:$D$127,2,FALSE)</f>
        <v>0.35</v>
      </c>
    </row>
    <row r="590" spans="1:28" x14ac:dyDescent="0.3">
      <c r="A590" s="1">
        <v>45681</v>
      </c>
      <c r="B590" s="2" t="s">
        <v>2615</v>
      </c>
      <c r="C590" s="2" t="s">
        <v>2515</v>
      </c>
      <c r="D590" s="2" t="s">
        <v>2516</v>
      </c>
      <c r="E590" s="2" t="s">
        <v>2529</v>
      </c>
      <c r="F590" s="3">
        <v>90680</v>
      </c>
      <c r="G590" s="3">
        <v>7967</v>
      </c>
      <c r="H590" s="3">
        <v>853</v>
      </c>
      <c r="I590" s="4">
        <v>11879.65</v>
      </c>
      <c r="J590" s="4">
        <v>57024.19</v>
      </c>
      <c r="K590" s="3">
        <v>653</v>
      </c>
      <c r="L590" s="2" t="s">
        <v>2518</v>
      </c>
      <c r="M590" s="2" t="s">
        <v>2537</v>
      </c>
      <c r="N590" s="8">
        <f>IFERROR(G590/F590,0)</f>
        <v>8.7858403176003533E-2</v>
      </c>
      <c r="O590" s="8">
        <f>IFERROR(H590/G590,0)</f>
        <v>0.10706664993096524</v>
      </c>
      <c r="P590" s="4">
        <f>IFERROR(I590/G590,0)</f>
        <v>1.4911070666499309</v>
      </c>
      <c r="Q590" s="4">
        <f>IFERROR(I590/H590,0)</f>
        <v>13.926905041031652</v>
      </c>
      <c r="R590" s="12">
        <f>IFERROR(J590/I590,0)</f>
        <v>4.8001574120449684</v>
      </c>
      <c r="S590" s="7">
        <f>Tabla_nuevas_columnas[[#This Row],[ROAS]]</f>
        <v>4.8001574120449684</v>
      </c>
      <c r="T590" t="str">
        <f>_xlfn.CONCAT(C590,"-",D590)</f>
        <v>Email-México</v>
      </c>
      <c r="U590">
        <f>YEAR(A590)</f>
        <v>2025</v>
      </c>
      <c r="V590">
        <f>MONTH(A590)</f>
        <v>1</v>
      </c>
      <c r="W590" t="str">
        <f>PROPER(TEXT(A590,"mmmm"))</f>
        <v>Enero</v>
      </c>
      <c r="X590" t="str">
        <f>PROPER(TEXT(A590,"dddd"))</f>
        <v>Viernes</v>
      </c>
      <c r="Y590" t="str" cm="1">
        <f t="array" ref="Y590">_xlfn.IFS(R590&gt;10,"Excelente",R590&gt;=5,"Bueno",R590&gt;=2,"Débil",R590&lt;2,"Deficiente")</f>
        <v>Débil</v>
      </c>
      <c r="Z590" t="str">
        <f>IF(AND(R590&lt;2,Q590&gt;=100),"Revisar","OK")</f>
        <v>OK</v>
      </c>
      <c r="AA590" s="55">
        <f>_xlfn.XLOOKUP(C590,'Preguntas de negocio'!$C$114:$C$119,'Preguntas de negocio'!$D$114:$D$119,0)</f>
        <v>5.5</v>
      </c>
      <c r="AB590" s="55">
        <f>VLOOKUP(C590,'Preguntas de negocio'!$C$121:$D$127,2,FALSE)</f>
        <v>0.65</v>
      </c>
    </row>
    <row r="591" spans="1:28" x14ac:dyDescent="0.3">
      <c r="A591" s="1">
        <v>45831</v>
      </c>
      <c r="B591" s="2" t="s">
        <v>2640</v>
      </c>
      <c r="C591" s="2" t="s">
        <v>2541</v>
      </c>
      <c r="D591" s="2" t="s">
        <v>2528</v>
      </c>
      <c r="E591" s="2" t="s">
        <v>2529</v>
      </c>
      <c r="F591" s="3">
        <v>60465</v>
      </c>
      <c r="G591" s="3">
        <v>3682</v>
      </c>
      <c r="H591" s="3">
        <v>229</v>
      </c>
      <c r="I591" s="4">
        <v>876.17</v>
      </c>
      <c r="J591" s="4">
        <v>15289.48</v>
      </c>
      <c r="K591" s="3">
        <v>182</v>
      </c>
      <c r="L591" s="2" t="s">
        <v>2536</v>
      </c>
      <c r="M591" s="2" t="s">
        <v>2524</v>
      </c>
      <c r="N591" s="8">
        <f>IFERROR(G591/F591,0)</f>
        <v>6.0894732489870172E-2</v>
      </c>
      <c r="O591" s="8">
        <f>IFERROR(H591/G591,0)</f>
        <v>6.2194459532862574E-2</v>
      </c>
      <c r="P591" s="4">
        <f>IFERROR(I591/G591,0)</f>
        <v>0.23796034763715371</v>
      </c>
      <c r="Q591" s="4">
        <f>IFERROR(I591/H591,0)</f>
        <v>3.8260698689956332</v>
      </c>
      <c r="R591" s="12">
        <f>IFERROR(J591/I591,0)</f>
        <v>17.450357807274845</v>
      </c>
      <c r="S591" s="7">
        <f>Tabla_nuevas_columnas[[#This Row],[ROAS]]</f>
        <v>17.450357807274845</v>
      </c>
      <c r="T591" t="str">
        <f>_xlfn.CONCAT(C591,"-",D591)</f>
        <v>Display-España</v>
      </c>
      <c r="U591">
        <f>YEAR(A591)</f>
        <v>2025</v>
      </c>
      <c r="V591">
        <f>MONTH(A591)</f>
        <v>6</v>
      </c>
      <c r="W591" t="str">
        <f>PROPER(TEXT(A591,"mmmm"))</f>
        <v>Junio</v>
      </c>
      <c r="X591" t="str">
        <f>PROPER(TEXT(A591,"dddd"))</f>
        <v>Lunes</v>
      </c>
      <c r="Y591" t="str" cm="1">
        <f t="array" ref="Y591">_xlfn.IFS(R591&gt;10,"Excelente",R591&gt;=5,"Bueno",R591&gt;=2,"Débil",R591&lt;2,"Deficiente")</f>
        <v>Excelente</v>
      </c>
      <c r="Z591" t="str">
        <f>IF(AND(R591&lt;2,Q591&gt;=100),"Revisar","OK")</f>
        <v>OK</v>
      </c>
      <c r="AA591" s="55">
        <f>_xlfn.XLOOKUP(C591,'Preguntas de negocio'!$C$114:$C$119,'Preguntas de negocio'!$D$114:$D$119,0)</f>
        <v>5</v>
      </c>
      <c r="AB591" s="55">
        <f>VLOOKUP(C591,'Preguntas de negocio'!$C$121:$D$127,2,FALSE)</f>
        <v>0.5</v>
      </c>
    </row>
    <row r="592" spans="1:28" x14ac:dyDescent="0.3">
      <c r="A592" s="1">
        <v>45767</v>
      </c>
      <c r="B592" s="2" t="s">
        <v>2630</v>
      </c>
      <c r="C592" s="2" t="s">
        <v>2533</v>
      </c>
      <c r="D592" s="2" t="s">
        <v>2528</v>
      </c>
      <c r="E592" s="2" t="s">
        <v>2529</v>
      </c>
      <c r="F592" s="3">
        <v>161407</v>
      </c>
      <c r="G592" s="3">
        <v>1743</v>
      </c>
      <c r="H592" s="3">
        <v>189</v>
      </c>
      <c r="I592" s="4">
        <v>646.80999999999995</v>
      </c>
      <c r="J592" s="4">
        <v>24511.74</v>
      </c>
      <c r="K592" s="3">
        <v>161</v>
      </c>
      <c r="L592" s="2" t="s">
        <v>2536</v>
      </c>
      <c r="M592" s="2" t="s">
        <v>2524</v>
      </c>
      <c r="N592" s="8">
        <f>IFERROR(G592/F592,0)</f>
        <v>1.0798788156647482E-2</v>
      </c>
      <c r="O592" s="8">
        <f>IFERROR(H592/G592,0)</f>
        <v>0.10843373493975904</v>
      </c>
      <c r="P592" s="4">
        <f>IFERROR(I592/G592,0)</f>
        <v>0.37109007458405047</v>
      </c>
      <c r="Q592" s="4">
        <f>IFERROR(I592/H592,0)</f>
        <v>3.4222751322751321</v>
      </c>
      <c r="R592" s="12">
        <f>IFERROR(J592/I592,0)</f>
        <v>37.896352870240108</v>
      </c>
      <c r="S592" s="7">
        <f>Tabla_nuevas_columnas[[#This Row],[ROAS]]</f>
        <v>37.896352870240108</v>
      </c>
      <c r="T592" t="str">
        <f>_xlfn.CONCAT(C592,"-",D592)</f>
        <v>Paid Social-España</v>
      </c>
      <c r="U592">
        <f>YEAR(A592)</f>
        <v>2025</v>
      </c>
      <c r="V592">
        <f>MONTH(A592)</f>
        <v>4</v>
      </c>
      <c r="W592" t="str">
        <f>PROPER(TEXT(A592,"mmmm"))</f>
        <v>Abril</v>
      </c>
      <c r="X592" t="str">
        <f>PROPER(TEXT(A592,"dddd"))</f>
        <v>Domingo</v>
      </c>
      <c r="Y592" t="str" cm="1">
        <f t="array" ref="Y592">_xlfn.IFS(R592&gt;10,"Excelente",R592&gt;=5,"Bueno",R592&gt;=2,"Débil",R592&lt;2,"Deficiente")</f>
        <v>Excelente</v>
      </c>
      <c r="Z592" t="str">
        <f>IF(AND(R592&lt;2,Q592&gt;=100),"Revisar","OK")</f>
        <v>OK</v>
      </c>
      <c r="AA592" s="55">
        <f>_xlfn.XLOOKUP(C592,'Preguntas de negocio'!$C$114:$C$119,'Preguntas de negocio'!$D$114:$D$119,0)</f>
        <v>6</v>
      </c>
      <c r="AB592" s="55">
        <f>VLOOKUP(C592,'Preguntas de negocio'!$C$121:$D$127,2,FALSE)</f>
        <v>0.8</v>
      </c>
    </row>
    <row r="593" spans="1:28" x14ac:dyDescent="0.3">
      <c r="A593" s="1">
        <v>45865</v>
      </c>
      <c r="B593" s="2" t="s">
        <v>2616</v>
      </c>
      <c r="C593" s="2" t="s">
        <v>2541</v>
      </c>
      <c r="D593" s="2" t="s">
        <v>2531</v>
      </c>
      <c r="E593" s="2" t="s">
        <v>2517</v>
      </c>
      <c r="F593" s="3">
        <v>14418</v>
      </c>
      <c r="G593" s="3">
        <v>371</v>
      </c>
      <c r="H593" s="3">
        <v>39</v>
      </c>
      <c r="I593" s="4">
        <v>117.48</v>
      </c>
      <c r="J593" s="4">
        <v>7714.61</v>
      </c>
      <c r="K593" s="3">
        <v>34</v>
      </c>
      <c r="L593" s="2" t="s">
        <v>2539</v>
      </c>
      <c r="M593" s="2" t="s">
        <v>2519</v>
      </c>
      <c r="N593" s="8">
        <f>IFERROR(G593/F593,0)</f>
        <v>2.5731724233596893E-2</v>
      </c>
      <c r="O593" s="8">
        <f>IFERROR(H593/G593,0)</f>
        <v>0.10512129380053908</v>
      </c>
      <c r="P593" s="4">
        <f>IFERROR(I593/G593,0)</f>
        <v>0.31665768194070082</v>
      </c>
      <c r="Q593" s="4">
        <f>IFERROR(I593/H593,0)</f>
        <v>3.0123076923076924</v>
      </c>
      <c r="R593" s="12">
        <f>IFERROR(J593/I593,0)</f>
        <v>65.667432754511395</v>
      </c>
      <c r="S593" s="7">
        <f>Tabla_nuevas_columnas[[#This Row],[ROAS]]</f>
        <v>65.667432754511395</v>
      </c>
      <c r="T593" t="str">
        <f>_xlfn.CONCAT(C593,"-",D593)</f>
        <v>Display-Portugal</v>
      </c>
      <c r="U593">
        <f>YEAR(A593)</f>
        <v>2025</v>
      </c>
      <c r="V593">
        <f>MONTH(A593)</f>
        <v>7</v>
      </c>
      <c r="W593" t="str">
        <f>PROPER(TEXT(A593,"mmmm"))</f>
        <v>Julio</v>
      </c>
      <c r="X593" t="str">
        <f>PROPER(TEXT(A593,"dddd"))</f>
        <v>Domingo</v>
      </c>
      <c r="Y593" t="str" cm="1">
        <f t="array" ref="Y593">_xlfn.IFS(R593&gt;10,"Excelente",R593&gt;=5,"Bueno",R593&gt;=2,"Débil",R593&lt;2,"Deficiente")</f>
        <v>Excelente</v>
      </c>
      <c r="Z593" t="str">
        <f>IF(AND(R593&lt;2,Q593&gt;=100),"Revisar","OK")</f>
        <v>OK</v>
      </c>
      <c r="AA593" s="55">
        <f>_xlfn.XLOOKUP(C593,'Preguntas de negocio'!$C$114:$C$119,'Preguntas de negocio'!$D$114:$D$119,0)</f>
        <v>5</v>
      </c>
      <c r="AB593" s="55">
        <f>VLOOKUP(C593,'Preguntas de negocio'!$C$121:$D$127,2,FALSE)</f>
        <v>0.5</v>
      </c>
    </row>
    <row r="594" spans="1:28" x14ac:dyDescent="0.3">
      <c r="A594" s="1">
        <v>45788</v>
      </c>
      <c r="B594" s="2" t="s">
        <v>2619</v>
      </c>
      <c r="C594" s="2" t="s">
        <v>2533</v>
      </c>
      <c r="D594" s="2" t="s">
        <v>2516</v>
      </c>
      <c r="E594" s="2" t="s">
        <v>2529</v>
      </c>
      <c r="F594" s="3">
        <v>77533</v>
      </c>
      <c r="G594" s="3">
        <v>2047</v>
      </c>
      <c r="H594" s="3">
        <v>118</v>
      </c>
      <c r="I594" s="4">
        <v>291.76</v>
      </c>
      <c r="J594" s="4">
        <v>24594.58</v>
      </c>
      <c r="K594" s="3">
        <v>97</v>
      </c>
      <c r="L594" s="2" t="s">
        <v>2518</v>
      </c>
      <c r="M594" s="2" t="s">
        <v>2526</v>
      </c>
      <c r="N594" s="8">
        <f>IFERROR(G594/F594,0)</f>
        <v>2.6401661228122219E-2</v>
      </c>
      <c r="O594" s="8">
        <f>IFERROR(H594/G594,0)</f>
        <v>5.7645334636052759E-2</v>
      </c>
      <c r="P594" s="4">
        <f>IFERROR(I594/G594,0)</f>
        <v>0.14253053248656569</v>
      </c>
      <c r="Q594" s="4">
        <f>IFERROR(I594/H594,0)</f>
        <v>2.4725423728813558</v>
      </c>
      <c r="R594" s="12">
        <f>IFERROR(J594/I594,0)</f>
        <v>84.297299149986301</v>
      </c>
      <c r="S594" s="7">
        <f>Tabla_nuevas_columnas[[#This Row],[ROAS]]</f>
        <v>84.297299149986301</v>
      </c>
      <c r="T594" t="str">
        <f>_xlfn.CONCAT(C594,"-",D594)</f>
        <v>Paid Social-México</v>
      </c>
      <c r="U594">
        <f>YEAR(A594)</f>
        <v>2025</v>
      </c>
      <c r="V594">
        <f>MONTH(A594)</f>
        <v>5</v>
      </c>
      <c r="W594" t="str">
        <f>PROPER(TEXT(A594,"mmmm"))</f>
        <v>Mayo</v>
      </c>
      <c r="X594" t="str">
        <f>PROPER(TEXT(A594,"dddd"))</f>
        <v>Domingo</v>
      </c>
      <c r="Y594" t="str" cm="1">
        <f t="array" ref="Y594">_xlfn.IFS(R594&gt;10,"Excelente",R594&gt;=5,"Bueno",R594&gt;=2,"Débil",R594&lt;2,"Deficiente")</f>
        <v>Excelente</v>
      </c>
      <c r="Z594" t="str">
        <f>IF(AND(R594&lt;2,Q594&gt;=100),"Revisar","OK")</f>
        <v>OK</v>
      </c>
      <c r="AA594" s="55">
        <f>_xlfn.XLOOKUP(C594,'Preguntas de negocio'!$C$114:$C$119,'Preguntas de negocio'!$D$114:$D$119,0)</f>
        <v>6</v>
      </c>
      <c r="AB594" s="55">
        <f>VLOOKUP(C594,'Preguntas de negocio'!$C$121:$D$127,2,FALSE)</f>
        <v>0.8</v>
      </c>
    </row>
    <row r="595" spans="1:28" x14ac:dyDescent="0.3">
      <c r="A595" s="1">
        <v>45924</v>
      </c>
      <c r="B595" s="2" t="s">
        <v>2623</v>
      </c>
      <c r="C595" s="2" t="s">
        <v>2515</v>
      </c>
      <c r="D595" s="2" t="s">
        <v>2522</v>
      </c>
      <c r="E595" s="2" t="s">
        <v>2517</v>
      </c>
      <c r="F595" s="3">
        <v>159262</v>
      </c>
      <c r="G595" s="3">
        <v>3347</v>
      </c>
      <c r="H595" s="3">
        <v>291</v>
      </c>
      <c r="I595" s="4">
        <v>3179.13</v>
      </c>
      <c r="J595" s="4">
        <v>34527.14</v>
      </c>
      <c r="K595" s="3">
        <v>209</v>
      </c>
      <c r="L595" s="2" t="s">
        <v>2536</v>
      </c>
      <c r="M595" s="2" t="s">
        <v>2537</v>
      </c>
      <c r="N595" s="8">
        <f>IFERROR(G595/F595,0)</f>
        <v>2.1015684846353806E-2</v>
      </c>
      <c r="O595" s="8">
        <f>IFERROR(H595/G595,0)</f>
        <v>8.6943531520764866E-2</v>
      </c>
      <c r="P595" s="4">
        <f>IFERROR(I595/G595,0)</f>
        <v>0.94984463698834776</v>
      </c>
      <c r="Q595" s="4">
        <f>IFERROR(I595/H595,0)</f>
        <v>10.924845360824742</v>
      </c>
      <c r="R595" s="12">
        <f>IFERROR(J595/I595,0)</f>
        <v>10.860562480930318</v>
      </c>
      <c r="S595" s="7">
        <f>Tabla_nuevas_columnas[[#This Row],[ROAS]]</f>
        <v>10.860562480930318</v>
      </c>
      <c r="T595" t="str">
        <f>_xlfn.CONCAT(C595,"-",D595)</f>
        <v>Email-Italia</v>
      </c>
      <c r="U595">
        <f>YEAR(A595)</f>
        <v>2025</v>
      </c>
      <c r="V595">
        <f>MONTH(A595)</f>
        <v>9</v>
      </c>
      <c r="W595" t="str">
        <f>PROPER(TEXT(A595,"mmmm"))</f>
        <v>Septiembre</v>
      </c>
      <c r="X595" t="str">
        <f>PROPER(TEXT(A595,"dddd"))</f>
        <v>Miércoles</v>
      </c>
      <c r="Y595" t="str" cm="1">
        <f t="array" ref="Y595">_xlfn.IFS(R595&gt;10,"Excelente",R595&gt;=5,"Bueno",R595&gt;=2,"Débil",R595&lt;2,"Deficiente")</f>
        <v>Excelente</v>
      </c>
      <c r="Z595" t="str">
        <f>IF(AND(R595&lt;2,Q595&gt;=100),"Revisar","OK")</f>
        <v>OK</v>
      </c>
      <c r="AA595" s="55">
        <f>_xlfn.XLOOKUP(C595,'Preguntas de negocio'!$C$114:$C$119,'Preguntas de negocio'!$D$114:$D$119,0)</f>
        <v>5.5</v>
      </c>
      <c r="AB595" s="55">
        <f>VLOOKUP(C595,'Preguntas de negocio'!$C$121:$D$127,2,FALSE)</f>
        <v>0.65</v>
      </c>
    </row>
    <row r="596" spans="1:28" x14ac:dyDescent="0.3">
      <c r="A596" s="1">
        <v>45791</v>
      </c>
      <c r="B596" s="2" t="s">
        <v>2639</v>
      </c>
      <c r="C596" s="2" t="s">
        <v>2533</v>
      </c>
      <c r="D596" s="2" t="s">
        <v>2528</v>
      </c>
      <c r="E596" s="2" t="s">
        <v>2529</v>
      </c>
      <c r="F596" s="3">
        <v>101491</v>
      </c>
      <c r="G596" s="3">
        <v>7199</v>
      </c>
      <c r="H596" s="3">
        <v>747</v>
      </c>
      <c r="I596" s="4">
        <v>2510.16</v>
      </c>
      <c r="J596" s="4">
        <v>73824.75</v>
      </c>
      <c r="K596" s="3">
        <v>474</v>
      </c>
      <c r="L596" s="2" t="s">
        <v>2523</v>
      </c>
      <c r="M596" s="2" t="s">
        <v>2546</v>
      </c>
      <c r="N596" s="8">
        <f>IFERROR(G596/F596,0)</f>
        <v>7.093239794661596E-2</v>
      </c>
      <c r="O596" s="8">
        <f>IFERROR(H596/G596,0)</f>
        <v>0.10376441172385054</v>
      </c>
      <c r="P596" s="4">
        <f>IFERROR(I596/G596,0)</f>
        <v>0.34868176135574386</v>
      </c>
      <c r="Q596" s="4">
        <f>IFERROR(I596/H596,0)</f>
        <v>3.3603212851405622</v>
      </c>
      <c r="R596" s="12">
        <f>IFERROR(J596/I596,0)</f>
        <v>29.41037623099723</v>
      </c>
      <c r="S596" s="7">
        <f>Tabla_nuevas_columnas[[#This Row],[ROAS]]</f>
        <v>29.41037623099723</v>
      </c>
      <c r="T596" t="str">
        <f>_xlfn.CONCAT(C596,"-",D596)</f>
        <v>Paid Social-España</v>
      </c>
      <c r="U596">
        <f>YEAR(A596)</f>
        <v>2025</v>
      </c>
      <c r="V596">
        <f>MONTH(A596)</f>
        <v>5</v>
      </c>
      <c r="W596" t="str">
        <f>PROPER(TEXT(A596,"mmmm"))</f>
        <v>Mayo</v>
      </c>
      <c r="X596" t="str">
        <f>PROPER(TEXT(A596,"dddd"))</f>
        <v>Miércoles</v>
      </c>
      <c r="Y596" t="str" cm="1">
        <f t="array" ref="Y596">_xlfn.IFS(R596&gt;10,"Excelente",R596&gt;=5,"Bueno",R596&gt;=2,"Débil",R596&lt;2,"Deficiente")</f>
        <v>Excelente</v>
      </c>
      <c r="Z596" t="str">
        <f>IF(AND(R596&lt;2,Q596&gt;=100),"Revisar","OK")</f>
        <v>OK</v>
      </c>
      <c r="AA596" s="55">
        <f>_xlfn.XLOOKUP(C596,'Preguntas de negocio'!$C$114:$C$119,'Preguntas de negocio'!$D$114:$D$119,0)</f>
        <v>6</v>
      </c>
      <c r="AB596" s="55">
        <f>VLOOKUP(C596,'Preguntas de negocio'!$C$121:$D$127,2,FALSE)</f>
        <v>0.8</v>
      </c>
    </row>
    <row r="597" spans="1:28" x14ac:dyDescent="0.3">
      <c r="A597" s="1">
        <v>45928</v>
      </c>
      <c r="B597" s="2" t="s">
        <v>2625</v>
      </c>
      <c r="C597" s="2" t="s">
        <v>2533</v>
      </c>
      <c r="D597" s="2" t="s">
        <v>2525</v>
      </c>
      <c r="E597" s="2" t="s">
        <v>2517</v>
      </c>
      <c r="F597" s="3">
        <v>177457</v>
      </c>
      <c r="G597" s="3">
        <v>1872</v>
      </c>
      <c r="H597" s="3">
        <v>140</v>
      </c>
      <c r="I597" s="4">
        <v>3126.01</v>
      </c>
      <c r="J597" s="4">
        <v>8528.6299999999992</v>
      </c>
      <c r="K597" s="3">
        <v>79</v>
      </c>
      <c r="L597" s="2" t="s">
        <v>2523</v>
      </c>
      <c r="M597" s="2" t="s">
        <v>2645</v>
      </c>
      <c r="N597" s="8">
        <f>IFERROR(G597/F597,0)</f>
        <v>1.0549034413970709E-2</v>
      </c>
      <c r="O597" s="8">
        <f>IFERROR(H597/G597,0)</f>
        <v>7.4786324786324784E-2</v>
      </c>
      <c r="P597" s="4">
        <f>IFERROR(I597/G597,0)</f>
        <v>1.6698771367521368</v>
      </c>
      <c r="Q597" s="4">
        <f>IFERROR(I597/H597,0)</f>
        <v>22.32864285714286</v>
      </c>
      <c r="R597" s="12">
        <f>IFERROR(J597/I597,0)</f>
        <v>2.7282798199621876</v>
      </c>
      <c r="S597" s="7">
        <f>Tabla_nuevas_columnas[[#This Row],[ROAS]]</f>
        <v>2.7282798199621876</v>
      </c>
      <c r="T597" t="str">
        <f>_xlfn.CONCAT(C597,"-",D597)</f>
        <v>Paid Social-Francia</v>
      </c>
      <c r="U597">
        <f>YEAR(A597)</f>
        <v>2025</v>
      </c>
      <c r="V597">
        <f>MONTH(A597)</f>
        <v>9</v>
      </c>
      <c r="W597" t="str">
        <f>PROPER(TEXT(A597,"mmmm"))</f>
        <v>Septiembre</v>
      </c>
      <c r="X597" t="str">
        <f>PROPER(TEXT(A597,"dddd"))</f>
        <v>Domingo</v>
      </c>
      <c r="Y597" t="str" cm="1">
        <f t="array" ref="Y597">_xlfn.IFS(R597&gt;10,"Excelente",R597&gt;=5,"Bueno",R597&gt;=2,"Débil",R597&lt;2,"Deficiente")</f>
        <v>Débil</v>
      </c>
      <c r="Z597" t="str">
        <f>IF(AND(R597&lt;2,Q597&gt;=100),"Revisar","OK")</f>
        <v>OK</v>
      </c>
      <c r="AA597" s="55">
        <f>_xlfn.XLOOKUP(C597,'Preguntas de negocio'!$C$114:$C$119,'Preguntas de negocio'!$D$114:$D$119,0)</f>
        <v>6</v>
      </c>
      <c r="AB597" s="55">
        <f>VLOOKUP(C597,'Preguntas de negocio'!$C$121:$D$127,2,FALSE)</f>
        <v>0.8</v>
      </c>
    </row>
    <row r="598" spans="1:28" x14ac:dyDescent="0.3">
      <c r="A598" s="1">
        <v>45771</v>
      </c>
      <c r="B598" s="2" t="s">
        <v>2641</v>
      </c>
      <c r="C598" s="2" t="s">
        <v>2541</v>
      </c>
      <c r="D598" s="2" t="s">
        <v>2528</v>
      </c>
      <c r="E598" s="2" t="s">
        <v>2529</v>
      </c>
      <c r="F598" s="3">
        <v>23455</v>
      </c>
      <c r="G598" s="3">
        <v>2008</v>
      </c>
      <c r="H598" s="3">
        <v>277</v>
      </c>
      <c r="I598" s="4">
        <v>492.11</v>
      </c>
      <c r="J598" s="4">
        <v>47655.86</v>
      </c>
      <c r="K598" s="3">
        <v>128</v>
      </c>
      <c r="L598" s="2" t="s">
        <v>2539</v>
      </c>
      <c r="M598" s="2" t="s">
        <v>2546</v>
      </c>
      <c r="N598" s="8">
        <f>IFERROR(G598/F598,0)</f>
        <v>8.561074397782989E-2</v>
      </c>
      <c r="O598" s="8">
        <f>IFERROR(H598/G598,0)</f>
        <v>0.13794820717131473</v>
      </c>
      <c r="P598" s="4">
        <f>IFERROR(I598/G598,0)</f>
        <v>0.24507470119521912</v>
      </c>
      <c r="Q598" s="4">
        <f>IFERROR(I598/H598,0)</f>
        <v>1.7765703971119133</v>
      </c>
      <c r="R598" s="12">
        <f>IFERROR(J598/I598,0)</f>
        <v>96.839852878421496</v>
      </c>
      <c r="S598" s="7">
        <f>Tabla_nuevas_columnas[[#This Row],[ROAS]]</f>
        <v>96.839852878421496</v>
      </c>
      <c r="T598" t="str">
        <f>_xlfn.CONCAT(C598,"-",D598)</f>
        <v>Display-España</v>
      </c>
      <c r="U598">
        <f>YEAR(A598)</f>
        <v>2025</v>
      </c>
      <c r="V598">
        <f>MONTH(A598)</f>
        <v>4</v>
      </c>
      <c r="W598" t="str">
        <f>PROPER(TEXT(A598,"mmmm"))</f>
        <v>Abril</v>
      </c>
      <c r="X598" t="str">
        <f>PROPER(TEXT(A598,"dddd"))</f>
        <v>Jueves</v>
      </c>
      <c r="Y598" t="str" cm="1">
        <f t="array" ref="Y598">_xlfn.IFS(R598&gt;10,"Excelente",R598&gt;=5,"Bueno",R598&gt;=2,"Débil",R598&lt;2,"Deficiente")</f>
        <v>Excelente</v>
      </c>
      <c r="Z598" t="str">
        <f>IF(AND(R598&lt;2,Q598&gt;=100),"Revisar","OK")</f>
        <v>OK</v>
      </c>
      <c r="AA598" s="55">
        <f>_xlfn.XLOOKUP(C598,'Preguntas de negocio'!$C$114:$C$119,'Preguntas de negocio'!$D$114:$D$119,0)</f>
        <v>5</v>
      </c>
      <c r="AB598" s="55">
        <f>VLOOKUP(C598,'Preguntas de negocio'!$C$121:$D$127,2,FALSE)</f>
        <v>0.5</v>
      </c>
    </row>
    <row r="599" spans="1:28" x14ac:dyDescent="0.3">
      <c r="A599" s="1">
        <v>45777</v>
      </c>
      <c r="B599" s="2" t="s">
        <v>2622</v>
      </c>
      <c r="C599" s="2" t="s">
        <v>2541</v>
      </c>
      <c r="D599" s="2" t="s">
        <v>2525</v>
      </c>
      <c r="E599" s="2" t="s">
        <v>2529</v>
      </c>
      <c r="F599" s="3">
        <v>166998</v>
      </c>
      <c r="G599" s="3">
        <v>1308</v>
      </c>
      <c r="H599" s="3">
        <v>133</v>
      </c>
      <c r="I599" s="4">
        <v>1619.03</v>
      </c>
      <c r="J599" s="4">
        <v>23299.06</v>
      </c>
      <c r="K599" s="3">
        <v>109</v>
      </c>
      <c r="L599" s="2" t="s">
        <v>2536</v>
      </c>
      <c r="M599" s="2" t="s">
        <v>2519</v>
      </c>
      <c r="N599" s="8">
        <f>IFERROR(G599/F599,0)</f>
        <v>7.8324291308877955E-3</v>
      </c>
      <c r="O599" s="8">
        <f>IFERROR(H599/G599,0)</f>
        <v>0.10168195718654434</v>
      </c>
      <c r="P599" s="4">
        <f>IFERROR(I599/G599,0)</f>
        <v>1.2377905198776757</v>
      </c>
      <c r="Q599" s="4">
        <f>IFERROR(I599/H599,0)</f>
        <v>12.173157894736843</v>
      </c>
      <c r="R599" s="12">
        <f>IFERROR(J599/I599,0)</f>
        <v>14.390752487600601</v>
      </c>
      <c r="S599" s="7">
        <f>Tabla_nuevas_columnas[[#This Row],[ROAS]]</f>
        <v>14.390752487600601</v>
      </c>
      <c r="T599" t="str">
        <f>_xlfn.CONCAT(C599,"-",D599)</f>
        <v>Display-Francia</v>
      </c>
      <c r="U599">
        <f>YEAR(A599)</f>
        <v>2025</v>
      </c>
      <c r="V599">
        <f>MONTH(A599)</f>
        <v>4</v>
      </c>
      <c r="W599" t="str">
        <f>PROPER(TEXT(A599,"mmmm"))</f>
        <v>Abril</v>
      </c>
      <c r="X599" t="str">
        <f>PROPER(TEXT(A599,"dddd"))</f>
        <v>Miércoles</v>
      </c>
      <c r="Y599" t="str" cm="1">
        <f t="array" ref="Y599">_xlfn.IFS(R599&gt;10,"Excelente",R599&gt;=5,"Bueno",R599&gt;=2,"Débil",R599&lt;2,"Deficiente")</f>
        <v>Excelente</v>
      </c>
      <c r="Z599" t="str">
        <f>IF(AND(R599&lt;2,Q599&gt;=100),"Revisar","OK")</f>
        <v>OK</v>
      </c>
      <c r="AA599" s="55">
        <f>_xlfn.XLOOKUP(C599,'Preguntas de negocio'!$C$114:$C$119,'Preguntas de negocio'!$D$114:$D$119,0)</f>
        <v>5</v>
      </c>
      <c r="AB599" s="55">
        <f>VLOOKUP(C599,'Preguntas de negocio'!$C$121:$D$127,2,FALSE)</f>
        <v>0.5</v>
      </c>
    </row>
    <row r="600" spans="1:28" x14ac:dyDescent="0.3">
      <c r="A600" s="1">
        <v>45872</v>
      </c>
      <c r="B600" s="2" t="s">
        <v>2644</v>
      </c>
      <c r="C600" s="2" t="s">
        <v>2543</v>
      </c>
      <c r="D600" s="2" t="s">
        <v>2528</v>
      </c>
      <c r="E600" s="2" t="s">
        <v>2529</v>
      </c>
      <c r="F600" s="3">
        <v>55672</v>
      </c>
      <c r="G600" s="3">
        <v>2991</v>
      </c>
      <c r="H600" s="3">
        <v>120</v>
      </c>
      <c r="I600" s="4">
        <v>1624.55</v>
      </c>
      <c r="J600" s="4">
        <v>7429.8</v>
      </c>
      <c r="K600" s="3">
        <v>78</v>
      </c>
      <c r="L600" s="2" t="s">
        <v>2518</v>
      </c>
      <c r="M600" s="2" t="s">
        <v>2524</v>
      </c>
      <c r="N600" s="8">
        <f>IFERROR(G600/F600,0)</f>
        <v>5.3725391579249895E-2</v>
      </c>
      <c r="O600" s="8">
        <f>IFERROR(H600/G600,0)</f>
        <v>4.0120361083249748E-2</v>
      </c>
      <c r="P600" s="4">
        <f>IFERROR(I600/G600,0)</f>
        <v>0.54314610498161153</v>
      </c>
      <c r="Q600" s="4">
        <f>IFERROR(I600/H600,0)</f>
        <v>13.537916666666666</v>
      </c>
      <c r="R600" s="12">
        <f>IFERROR(J600/I600,0)</f>
        <v>4.5734511095380261</v>
      </c>
      <c r="S600" s="7">
        <f>Tabla_nuevas_columnas[[#This Row],[ROAS]]</f>
        <v>4.5734511095380261</v>
      </c>
      <c r="T600" t="str">
        <f>_xlfn.CONCAT(C600,"-",D600)</f>
        <v>Organic Social-España</v>
      </c>
      <c r="U600">
        <f>YEAR(A600)</f>
        <v>2025</v>
      </c>
      <c r="V600">
        <f>MONTH(A600)</f>
        <v>8</v>
      </c>
      <c r="W600" t="str">
        <f>PROPER(TEXT(A600,"mmmm"))</f>
        <v>Agosto</v>
      </c>
      <c r="X600" t="str">
        <f>PROPER(TEXT(A600,"dddd"))</f>
        <v>Domingo</v>
      </c>
      <c r="Y600" t="str" cm="1">
        <f t="array" ref="Y600">_xlfn.IFS(R600&gt;10,"Excelente",R600&gt;=5,"Bueno",R600&gt;=2,"Débil",R600&lt;2,"Deficiente")</f>
        <v>Débil</v>
      </c>
      <c r="Z600" t="str">
        <f>IF(AND(R600&lt;2,Q600&gt;=100),"Revisar","OK")</f>
        <v>OK</v>
      </c>
      <c r="AA600" s="55">
        <f>_xlfn.XLOOKUP(C600,'Preguntas de negocio'!$C$114:$C$119,'Preguntas de negocio'!$D$114:$D$119,0)</f>
        <v>4</v>
      </c>
      <c r="AB600" s="55">
        <f>VLOOKUP(C600,'Preguntas de negocio'!$C$121:$D$127,2,FALSE)</f>
        <v>0.95</v>
      </c>
    </row>
    <row r="601" spans="1:28" x14ac:dyDescent="0.3">
      <c r="A601" s="1">
        <v>45951</v>
      </c>
      <c r="B601" s="2" t="s">
        <v>2634</v>
      </c>
      <c r="C601" s="2" t="s">
        <v>2543</v>
      </c>
      <c r="D601" s="2" t="s">
        <v>2525</v>
      </c>
      <c r="E601" s="2" t="s">
        <v>2517</v>
      </c>
      <c r="F601" s="3">
        <v>150544</v>
      </c>
      <c r="G601" s="3">
        <v>10877</v>
      </c>
      <c r="H601" s="3">
        <v>998</v>
      </c>
      <c r="I601" s="4">
        <v>13090.45</v>
      </c>
      <c r="J601" s="4">
        <v>45004.52</v>
      </c>
      <c r="K601" s="3">
        <v>602</v>
      </c>
      <c r="L601" s="2" t="s">
        <v>2536</v>
      </c>
      <c r="M601" s="2" t="s">
        <v>2524</v>
      </c>
      <c r="N601" s="8">
        <f>IFERROR(G601/F601,0)</f>
        <v>7.2251301944946333E-2</v>
      </c>
      <c r="O601" s="8">
        <f>IFERROR(H601/G601,0)</f>
        <v>9.1753240783304227E-2</v>
      </c>
      <c r="P601" s="4">
        <f>IFERROR(I601/G601,0)</f>
        <v>1.2034982072262572</v>
      </c>
      <c r="Q601" s="4">
        <f>IFERROR(I601/H601,0)</f>
        <v>13.116683366733467</v>
      </c>
      <c r="R601" s="12">
        <f>IFERROR(J601/I601,0)</f>
        <v>3.4379658453299919</v>
      </c>
      <c r="S601" s="7">
        <f>Tabla_nuevas_columnas[[#This Row],[ROAS]]</f>
        <v>3.4379658453299919</v>
      </c>
      <c r="T601" t="str">
        <f>_xlfn.CONCAT(C601,"-",D601)</f>
        <v>Organic Social-Francia</v>
      </c>
      <c r="U601">
        <f>YEAR(A601)</f>
        <v>2025</v>
      </c>
      <c r="V601">
        <f>MONTH(A601)</f>
        <v>10</v>
      </c>
      <c r="W601" t="str">
        <f>PROPER(TEXT(A601,"mmmm"))</f>
        <v>Octubre</v>
      </c>
      <c r="X601" t="str">
        <f>PROPER(TEXT(A601,"dddd"))</f>
        <v>Martes</v>
      </c>
      <c r="Y601" t="str" cm="1">
        <f t="array" ref="Y601">_xlfn.IFS(R601&gt;10,"Excelente",R601&gt;=5,"Bueno",R601&gt;=2,"Débil",R601&lt;2,"Deficiente")</f>
        <v>Débil</v>
      </c>
      <c r="Z601" t="str">
        <f>IF(AND(R601&lt;2,Q601&gt;=100),"Revisar","OK")</f>
        <v>OK</v>
      </c>
      <c r="AA601" s="55">
        <f>_xlfn.XLOOKUP(C601,'Preguntas de negocio'!$C$114:$C$119,'Preguntas de negocio'!$D$114:$D$119,0)</f>
        <v>4</v>
      </c>
      <c r="AB601" s="55">
        <f>VLOOKUP(C601,'Preguntas de negocio'!$C$121:$D$127,2,FALSE)</f>
        <v>0.95</v>
      </c>
    </row>
    <row r="602" spans="1:28" x14ac:dyDescent="0.3">
      <c r="A602" s="1">
        <v>45942</v>
      </c>
      <c r="B602" s="2" t="s">
        <v>2619</v>
      </c>
      <c r="C602" s="2" t="s">
        <v>2515</v>
      </c>
      <c r="D602" s="2" t="s">
        <v>2525</v>
      </c>
      <c r="E602" s="2" t="s">
        <v>2529</v>
      </c>
      <c r="F602" s="3">
        <v>151414</v>
      </c>
      <c r="G602" s="3">
        <v>2459</v>
      </c>
      <c r="H602" s="3">
        <v>312</v>
      </c>
      <c r="I602" s="4">
        <v>1466.72</v>
      </c>
      <c r="J602" s="4">
        <v>39785</v>
      </c>
      <c r="K602" s="3">
        <v>184</v>
      </c>
      <c r="L602" s="2" t="s">
        <v>2536</v>
      </c>
      <c r="M602" s="2" t="s">
        <v>2524</v>
      </c>
      <c r="N602" s="8">
        <f>IFERROR(G602/F602,0)</f>
        <v>1.6240241985549554E-2</v>
      </c>
      <c r="O602" s="8">
        <f>IFERROR(H602/G602,0)</f>
        <v>0.1268808458723058</v>
      </c>
      <c r="P602" s="4">
        <f>IFERROR(I602/G602,0)</f>
        <v>0.59647010980073201</v>
      </c>
      <c r="Q602" s="4">
        <f>IFERROR(I602/H602,0)</f>
        <v>4.701025641025641</v>
      </c>
      <c r="R602" s="12">
        <f>IFERROR(J602/I602,0)</f>
        <v>27.125149994545652</v>
      </c>
      <c r="S602" s="7">
        <f>Tabla_nuevas_columnas[[#This Row],[ROAS]]</f>
        <v>27.125149994545652</v>
      </c>
      <c r="T602" t="str">
        <f>_xlfn.CONCAT(C602,"-",D602)</f>
        <v>Email-Francia</v>
      </c>
      <c r="U602">
        <f>YEAR(A602)</f>
        <v>2025</v>
      </c>
      <c r="V602">
        <f>MONTH(A602)</f>
        <v>10</v>
      </c>
      <c r="W602" t="str">
        <f>PROPER(TEXT(A602,"mmmm"))</f>
        <v>Octubre</v>
      </c>
      <c r="X602" t="str">
        <f>PROPER(TEXT(A602,"dddd"))</f>
        <v>Domingo</v>
      </c>
      <c r="Y602" t="str" cm="1">
        <f t="array" ref="Y602">_xlfn.IFS(R602&gt;10,"Excelente",R602&gt;=5,"Bueno",R602&gt;=2,"Débil",R602&lt;2,"Deficiente")</f>
        <v>Excelente</v>
      </c>
      <c r="Z602" t="str">
        <f>IF(AND(R602&lt;2,Q602&gt;=100),"Revisar","OK")</f>
        <v>OK</v>
      </c>
      <c r="AA602" s="55">
        <f>_xlfn.XLOOKUP(C602,'Preguntas de negocio'!$C$114:$C$119,'Preguntas de negocio'!$D$114:$D$119,0)</f>
        <v>5.5</v>
      </c>
      <c r="AB602" s="55">
        <f>VLOOKUP(C602,'Preguntas de negocio'!$C$121:$D$127,2,FALSE)</f>
        <v>0.65</v>
      </c>
    </row>
    <row r="603" spans="1:28" x14ac:dyDescent="0.3">
      <c r="A603" s="1">
        <v>45697</v>
      </c>
      <c r="B603" s="2" t="s">
        <v>2633</v>
      </c>
      <c r="C603" s="2" t="s">
        <v>2533</v>
      </c>
      <c r="D603" s="2" t="s">
        <v>2528</v>
      </c>
      <c r="E603" s="2" t="s">
        <v>2529</v>
      </c>
      <c r="F603" s="3">
        <v>82511</v>
      </c>
      <c r="G603" s="3">
        <v>4275</v>
      </c>
      <c r="H603" s="3">
        <v>175</v>
      </c>
      <c r="I603" s="4">
        <v>4708.25</v>
      </c>
      <c r="J603" s="4">
        <v>3660.85</v>
      </c>
      <c r="K603" s="3">
        <v>132</v>
      </c>
      <c r="L603" s="2" t="s">
        <v>2539</v>
      </c>
      <c r="M603" s="2" t="s">
        <v>2546</v>
      </c>
      <c r="N603" s="8">
        <f>IFERROR(G603/F603,0)</f>
        <v>5.1811273648362036E-2</v>
      </c>
      <c r="O603" s="8">
        <f>IFERROR(H603/G603,0)</f>
        <v>4.0935672514619881E-2</v>
      </c>
      <c r="P603" s="4">
        <f>IFERROR(I603/G603,0)</f>
        <v>1.1013450292397662</v>
      </c>
      <c r="Q603" s="4">
        <f>IFERROR(I603/H603,0)</f>
        <v>26.904285714285713</v>
      </c>
      <c r="R603" s="12">
        <f>IFERROR(J603/I603,0)</f>
        <v>0.77753942547655708</v>
      </c>
      <c r="S603" s="7">
        <f>Tabla_nuevas_columnas[[#This Row],[ROAS]]</f>
        <v>0.77753942547655708</v>
      </c>
      <c r="T603" t="str">
        <f>_xlfn.CONCAT(C603,"-",D603)</f>
        <v>Paid Social-España</v>
      </c>
      <c r="U603">
        <f>YEAR(A603)</f>
        <v>2025</v>
      </c>
      <c r="V603">
        <f>MONTH(A603)</f>
        <v>2</v>
      </c>
      <c r="W603" t="str">
        <f>PROPER(TEXT(A603,"mmmm"))</f>
        <v>Febrero</v>
      </c>
      <c r="X603" t="str">
        <f>PROPER(TEXT(A603,"dddd"))</f>
        <v>Domingo</v>
      </c>
      <c r="Y603" t="str" cm="1">
        <f t="array" ref="Y603">_xlfn.IFS(R603&gt;10,"Excelente",R603&gt;=5,"Bueno",R603&gt;=2,"Débil",R603&lt;2,"Deficiente")</f>
        <v>Deficiente</v>
      </c>
      <c r="Z603" t="str">
        <f>IF(AND(R603&lt;2,Q603&gt;=100),"Revisar","OK")</f>
        <v>OK</v>
      </c>
      <c r="AA603" s="55">
        <f>_xlfn.XLOOKUP(C603,'Preguntas de negocio'!$C$114:$C$119,'Preguntas de negocio'!$D$114:$D$119,0)</f>
        <v>6</v>
      </c>
      <c r="AB603" s="55">
        <f>VLOOKUP(C603,'Preguntas de negocio'!$C$121:$D$127,2,FALSE)</f>
        <v>0.8</v>
      </c>
    </row>
    <row r="604" spans="1:28" x14ac:dyDescent="0.3">
      <c r="A604" s="1">
        <v>45709</v>
      </c>
      <c r="B604" s="2" t="s">
        <v>2622</v>
      </c>
      <c r="C604" s="2" t="s">
        <v>2515</v>
      </c>
      <c r="D604" s="2" t="s">
        <v>2522</v>
      </c>
      <c r="E604" s="2" t="s">
        <v>2529</v>
      </c>
      <c r="F604" s="3">
        <v>144122</v>
      </c>
      <c r="G604" s="3">
        <v>4222</v>
      </c>
      <c r="H604" s="3">
        <v>167</v>
      </c>
      <c r="I604" s="4">
        <v>3146.15</v>
      </c>
      <c r="J604" s="4">
        <v>3272.92</v>
      </c>
      <c r="K604" s="3">
        <v>79</v>
      </c>
      <c r="L604" s="2" t="s">
        <v>2523</v>
      </c>
      <c r="M604" s="2" t="s">
        <v>2546</v>
      </c>
      <c r="N604" s="8">
        <f>IFERROR(G604/F604,0)</f>
        <v>2.9294625386825052E-2</v>
      </c>
      <c r="O604" s="8">
        <f>IFERROR(H604/G604,0)</f>
        <v>3.9554713405968736E-2</v>
      </c>
      <c r="P604" s="4">
        <f>IFERROR(I604/G604,0)</f>
        <v>0.74518000947418284</v>
      </c>
      <c r="Q604" s="4">
        <f>IFERROR(I604/H604,0)</f>
        <v>18.83922155688623</v>
      </c>
      <c r="R604" s="12">
        <f>IFERROR(J604/I604,0)</f>
        <v>1.0402936922905774</v>
      </c>
      <c r="S604" s="7">
        <f>Tabla_nuevas_columnas[[#This Row],[ROAS]]</f>
        <v>1.0402936922905774</v>
      </c>
      <c r="T604" t="str">
        <f>_xlfn.CONCAT(C604,"-",D604)</f>
        <v>Email-Italia</v>
      </c>
      <c r="U604">
        <f>YEAR(A604)</f>
        <v>2025</v>
      </c>
      <c r="V604">
        <f>MONTH(A604)</f>
        <v>2</v>
      </c>
      <c r="W604" t="str">
        <f>PROPER(TEXT(A604,"mmmm"))</f>
        <v>Febrero</v>
      </c>
      <c r="X604" t="str">
        <f>PROPER(TEXT(A604,"dddd"))</f>
        <v>Viernes</v>
      </c>
      <c r="Y604" t="str" cm="1">
        <f t="array" ref="Y604">_xlfn.IFS(R604&gt;10,"Excelente",R604&gt;=5,"Bueno",R604&gt;=2,"Débil",R604&lt;2,"Deficiente")</f>
        <v>Deficiente</v>
      </c>
      <c r="Z604" t="str">
        <f>IF(AND(R604&lt;2,Q604&gt;=100),"Revisar","OK")</f>
        <v>OK</v>
      </c>
      <c r="AA604" s="55">
        <f>_xlfn.XLOOKUP(C604,'Preguntas de negocio'!$C$114:$C$119,'Preguntas de negocio'!$D$114:$D$119,0)</f>
        <v>5.5</v>
      </c>
      <c r="AB604" s="55">
        <f>VLOOKUP(C604,'Preguntas de negocio'!$C$121:$D$127,2,FALSE)</f>
        <v>0.65</v>
      </c>
    </row>
    <row r="605" spans="1:28" x14ac:dyDescent="0.3">
      <c r="A605" s="1">
        <v>45772</v>
      </c>
      <c r="B605" s="2" t="s">
        <v>2619</v>
      </c>
      <c r="C605" s="2" t="s">
        <v>2533</v>
      </c>
      <c r="D605" s="2" t="s">
        <v>2522</v>
      </c>
      <c r="E605" s="2" t="s">
        <v>2517</v>
      </c>
      <c r="F605" s="3">
        <v>51124</v>
      </c>
      <c r="G605" s="3">
        <v>4044</v>
      </c>
      <c r="H605" s="3">
        <v>73</v>
      </c>
      <c r="I605" s="4">
        <v>1393.1</v>
      </c>
      <c r="J605" s="4">
        <v>12949.96</v>
      </c>
      <c r="K605" s="3">
        <v>55</v>
      </c>
      <c r="L605" s="2" t="s">
        <v>2539</v>
      </c>
      <c r="M605" s="2" t="s">
        <v>2526</v>
      </c>
      <c r="N605" s="8">
        <f>IFERROR(G605/F605,0)</f>
        <v>7.9101791722087478E-2</v>
      </c>
      <c r="O605" s="8">
        <f>IFERROR(H605/G605,0)</f>
        <v>1.8051434223541048E-2</v>
      </c>
      <c r="P605" s="4">
        <f>IFERROR(I605/G605,0)</f>
        <v>0.3444856577645895</v>
      </c>
      <c r="Q605" s="4">
        <f>IFERROR(I605/H605,0)</f>
        <v>19.083561643835615</v>
      </c>
      <c r="R605" s="12">
        <f>IFERROR(J605/I605,0)</f>
        <v>9.2957863757088504</v>
      </c>
      <c r="S605" s="7">
        <f>Tabla_nuevas_columnas[[#This Row],[ROAS]]</f>
        <v>9.2957863757088504</v>
      </c>
      <c r="T605" t="str">
        <f>_xlfn.CONCAT(C605,"-",D605)</f>
        <v>Paid Social-Italia</v>
      </c>
      <c r="U605">
        <f>YEAR(A605)</f>
        <v>2025</v>
      </c>
      <c r="V605">
        <f>MONTH(A605)</f>
        <v>4</v>
      </c>
      <c r="W605" t="str">
        <f>PROPER(TEXT(A605,"mmmm"))</f>
        <v>Abril</v>
      </c>
      <c r="X605" t="str">
        <f>PROPER(TEXT(A605,"dddd"))</f>
        <v>Viernes</v>
      </c>
      <c r="Y605" t="str" cm="1">
        <f t="array" ref="Y605">_xlfn.IFS(R605&gt;10,"Excelente",R605&gt;=5,"Bueno",R605&gt;=2,"Débil",R605&lt;2,"Deficiente")</f>
        <v>Bueno</v>
      </c>
      <c r="Z605" t="str">
        <f>IF(AND(R605&lt;2,Q605&gt;=100),"Revisar","OK")</f>
        <v>OK</v>
      </c>
      <c r="AA605" s="55">
        <f>_xlfn.XLOOKUP(C605,'Preguntas de negocio'!$C$114:$C$119,'Preguntas de negocio'!$D$114:$D$119,0)</f>
        <v>6</v>
      </c>
      <c r="AB605" s="55">
        <f>VLOOKUP(C605,'Preguntas de negocio'!$C$121:$D$127,2,FALSE)</f>
        <v>0.8</v>
      </c>
    </row>
    <row r="606" spans="1:28" x14ac:dyDescent="0.3">
      <c r="A606" s="1">
        <v>45947</v>
      </c>
      <c r="B606" s="2" t="s">
        <v>2635</v>
      </c>
      <c r="C606" s="2" t="s">
        <v>2543</v>
      </c>
      <c r="D606" s="2" t="s">
        <v>2528</v>
      </c>
      <c r="E606" s="2" t="s">
        <v>2529</v>
      </c>
      <c r="F606" s="3">
        <v>113540</v>
      </c>
      <c r="G606" s="3">
        <v>6864</v>
      </c>
      <c r="H606" s="3">
        <v>215</v>
      </c>
      <c r="I606" s="4">
        <v>12385.04</v>
      </c>
      <c r="J606" s="4">
        <v>8141.21</v>
      </c>
      <c r="K606" s="3">
        <v>110</v>
      </c>
      <c r="L606" s="2" t="s">
        <v>2518</v>
      </c>
      <c r="M606" s="2" t="s">
        <v>2519</v>
      </c>
      <c r="N606" s="8">
        <f>IFERROR(G606/F606,0)</f>
        <v>6.0454465386647879E-2</v>
      </c>
      <c r="O606" s="8">
        <f>IFERROR(H606/G606,0)</f>
        <v>3.1322843822843824E-2</v>
      </c>
      <c r="P606" s="4">
        <f>IFERROR(I606/G606,0)</f>
        <v>1.8043473193473194</v>
      </c>
      <c r="Q606" s="4">
        <f>IFERROR(I606/H606,0)</f>
        <v>57.604837209302332</v>
      </c>
      <c r="R606" s="12">
        <f>IFERROR(J606/I606,0)</f>
        <v>0.65734224516029016</v>
      </c>
      <c r="S606" s="7">
        <f>Tabla_nuevas_columnas[[#This Row],[ROAS]]</f>
        <v>0.65734224516029016</v>
      </c>
      <c r="T606" t="str">
        <f>_xlfn.CONCAT(C606,"-",D606)</f>
        <v>Organic Social-España</v>
      </c>
      <c r="U606">
        <f>YEAR(A606)</f>
        <v>2025</v>
      </c>
      <c r="V606">
        <f>MONTH(A606)</f>
        <v>10</v>
      </c>
      <c r="W606" t="str">
        <f>PROPER(TEXT(A606,"mmmm"))</f>
        <v>Octubre</v>
      </c>
      <c r="X606" t="str">
        <f>PROPER(TEXT(A606,"dddd"))</f>
        <v>Viernes</v>
      </c>
      <c r="Y606" t="str" cm="1">
        <f t="array" ref="Y606">_xlfn.IFS(R606&gt;10,"Excelente",R606&gt;=5,"Bueno",R606&gt;=2,"Débil",R606&lt;2,"Deficiente")</f>
        <v>Deficiente</v>
      </c>
      <c r="Z606" t="str">
        <f>IF(AND(R606&lt;2,Q606&gt;=100),"Revisar","OK")</f>
        <v>OK</v>
      </c>
      <c r="AA606" s="55">
        <f>_xlfn.XLOOKUP(C606,'Preguntas de negocio'!$C$114:$C$119,'Preguntas de negocio'!$D$114:$D$119,0)</f>
        <v>4</v>
      </c>
      <c r="AB606" s="55">
        <f>VLOOKUP(C606,'Preguntas de negocio'!$C$121:$D$127,2,FALSE)</f>
        <v>0.95</v>
      </c>
    </row>
    <row r="607" spans="1:28" x14ac:dyDescent="0.3">
      <c r="A607" s="1">
        <v>45794</v>
      </c>
      <c r="B607" s="2" t="s">
        <v>2630</v>
      </c>
      <c r="C607" s="2" t="s">
        <v>2543</v>
      </c>
      <c r="D607" s="2" t="s">
        <v>2522</v>
      </c>
      <c r="E607" s="2" t="s">
        <v>2517</v>
      </c>
      <c r="F607" s="3">
        <v>61818</v>
      </c>
      <c r="G607" s="3">
        <v>2591</v>
      </c>
      <c r="H607" s="3">
        <v>355</v>
      </c>
      <c r="I607" s="4">
        <v>2530.02</v>
      </c>
      <c r="J607" s="4">
        <v>69837.16</v>
      </c>
      <c r="K607" s="3">
        <v>180</v>
      </c>
      <c r="L607" s="2" t="s">
        <v>2539</v>
      </c>
      <c r="M607" s="2" t="s">
        <v>2519</v>
      </c>
      <c r="N607" s="8">
        <f>IFERROR(G607/F607,0)</f>
        <v>4.1913358568701674E-2</v>
      </c>
      <c r="O607" s="8">
        <f>IFERROR(H607/G607,0)</f>
        <v>0.13701273639521419</v>
      </c>
      <c r="P607" s="4">
        <f>IFERROR(I607/G607,0)</f>
        <v>0.97646468544963338</v>
      </c>
      <c r="Q607" s="4">
        <f>IFERROR(I607/H607,0)</f>
        <v>7.1268169014084508</v>
      </c>
      <c r="R607" s="12">
        <f>IFERROR(J607/I607,0)</f>
        <v>27.603402344645499</v>
      </c>
      <c r="S607" s="7">
        <f>Tabla_nuevas_columnas[[#This Row],[ROAS]]</f>
        <v>27.603402344645499</v>
      </c>
      <c r="T607" t="str">
        <f>_xlfn.CONCAT(C607,"-",D607)</f>
        <v>Organic Social-Italia</v>
      </c>
      <c r="U607">
        <f>YEAR(A607)</f>
        <v>2025</v>
      </c>
      <c r="V607">
        <f>MONTH(A607)</f>
        <v>5</v>
      </c>
      <c r="W607" t="str">
        <f>PROPER(TEXT(A607,"mmmm"))</f>
        <v>Mayo</v>
      </c>
      <c r="X607" t="str">
        <f>PROPER(TEXT(A607,"dddd"))</f>
        <v>Sábado</v>
      </c>
      <c r="Y607" t="str" cm="1">
        <f t="array" ref="Y607">_xlfn.IFS(R607&gt;10,"Excelente",R607&gt;=5,"Bueno",R607&gt;=2,"Débil",R607&lt;2,"Deficiente")</f>
        <v>Excelente</v>
      </c>
      <c r="Z607" t="str">
        <f>IF(AND(R607&lt;2,Q607&gt;=100),"Revisar","OK")</f>
        <v>OK</v>
      </c>
      <c r="AA607" s="55">
        <f>_xlfn.XLOOKUP(C607,'Preguntas de negocio'!$C$114:$C$119,'Preguntas de negocio'!$D$114:$D$119,0)</f>
        <v>4</v>
      </c>
      <c r="AB607" s="55">
        <f>VLOOKUP(C607,'Preguntas de negocio'!$C$121:$D$127,2,FALSE)</f>
        <v>0.95</v>
      </c>
    </row>
    <row r="608" spans="1:28" x14ac:dyDescent="0.3">
      <c r="A608" s="1">
        <v>45765</v>
      </c>
      <c r="B608" s="2" t="s">
        <v>2620</v>
      </c>
      <c r="C608" s="2" t="s">
        <v>2533</v>
      </c>
      <c r="D608" s="2" t="s">
        <v>2531</v>
      </c>
      <c r="E608" s="2" t="s">
        <v>2517</v>
      </c>
      <c r="F608" s="3">
        <v>55610</v>
      </c>
      <c r="G608" s="3">
        <v>1835</v>
      </c>
      <c r="H608" s="3">
        <v>153</v>
      </c>
      <c r="I608" s="4">
        <v>309.95999999999998</v>
      </c>
      <c r="J608" s="4">
        <v>14800.28</v>
      </c>
      <c r="K608" s="3">
        <v>93</v>
      </c>
      <c r="L608" s="2" t="s">
        <v>2523</v>
      </c>
      <c r="M608" s="2" t="s">
        <v>2519</v>
      </c>
      <c r="N608" s="8">
        <f>IFERROR(G608/F608,0)</f>
        <v>3.2997662290954861E-2</v>
      </c>
      <c r="O608" s="8">
        <f>IFERROR(H608/G608,0)</f>
        <v>8.3378746594005446E-2</v>
      </c>
      <c r="P608" s="4">
        <f>IFERROR(I608/G608,0)</f>
        <v>0.16891553133514986</v>
      </c>
      <c r="Q608" s="4">
        <f>IFERROR(I608/H608,0)</f>
        <v>2.0258823529411765</v>
      </c>
      <c r="R608" s="12">
        <f>IFERROR(J608/I608,0)</f>
        <v>47.748999870951096</v>
      </c>
      <c r="S608" s="7">
        <f>Tabla_nuevas_columnas[[#This Row],[ROAS]]</f>
        <v>47.748999870951096</v>
      </c>
      <c r="T608" t="str">
        <f>_xlfn.CONCAT(C608,"-",D608)</f>
        <v>Paid Social-Portugal</v>
      </c>
      <c r="U608">
        <f>YEAR(A608)</f>
        <v>2025</v>
      </c>
      <c r="V608">
        <f>MONTH(A608)</f>
        <v>4</v>
      </c>
      <c r="W608" t="str">
        <f>PROPER(TEXT(A608,"mmmm"))</f>
        <v>Abril</v>
      </c>
      <c r="X608" t="str">
        <f>PROPER(TEXT(A608,"dddd"))</f>
        <v>Viernes</v>
      </c>
      <c r="Y608" t="str" cm="1">
        <f t="array" ref="Y608">_xlfn.IFS(R608&gt;10,"Excelente",R608&gt;=5,"Bueno",R608&gt;=2,"Débil",R608&lt;2,"Deficiente")</f>
        <v>Excelente</v>
      </c>
      <c r="Z608" t="str">
        <f>IF(AND(R608&lt;2,Q608&gt;=100),"Revisar","OK")</f>
        <v>OK</v>
      </c>
      <c r="AA608" s="55">
        <f>_xlfn.XLOOKUP(C608,'Preguntas de negocio'!$C$114:$C$119,'Preguntas de negocio'!$D$114:$D$119,0)</f>
        <v>6</v>
      </c>
      <c r="AB608" s="55">
        <f>VLOOKUP(C608,'Preguntas de negocio'!$C$121:$D$127,2,FALSE)</f>
        <v>0.8</v>
      </c>
    </row>
    <row r="609" spans="1:28" x14ac:dyDescent="0.3">
      <c r="A609" s="1">
        <v>46000</v>
      </c>
      <c r="B609" s="2" t="s">
        <v>2629</v>
      </c>
      <c r="C609" s="2" t="s">
        <v>2541</v>
      </c>
      <c r="D609" s="2" t="s">
        <v>2528</v>
      </c>
      <c r="E609" s="2" t="s">
        <v>2529</v>
      </c>
      <c r="F609" s="3">
        <v>78787</v>
      </c>
      <c r="G609" s="3">
        <v>5643</v>
      </c>
      <c r="H609" s="3">
        <v>396</v>
      </c>
      <c r="I609" s="4">
        <v>9196.9599999999991</v>
      </c>
      <c r="J609" s="4">
        <v>58416.36</v>
      </c>
      <c r="K609" s="3">
        <v>192</v>
      </c>
      <c r="L609" s="2" t="s">
        <v>2536</v>
      </c>
      <c r="M609" s="2" t="s">
        <v>2537</v>
      </c>
      <c r="N609" s="8">
        <f>IFERROR(G609/F609,0)</f>
        <v>7.1623491185093993E-2</v>
      </c>
      <c r="O609" s="8">
        <f>IFERROR(H609/G609,0)</f>
        <v>7.0175438596491224E-2</v>
      </c>
      <c r="P609" s="4">
        <f>IFERROR(I609/G609,0)</f>
        <v>1.6297997519050149</v>
      </c>
      <c r="Q609" s="4">
        <f>IFERROR(I609/H609,0)</f>
        <v>23.224646464646462</v>
      </c>
      <c r="R609" s="12">
        <f>IFERROR(J609/I609,0)</f>
        <v>6.3517031714827512</v>
      </c>
      <c r="S609" s="7">
        <f>Tabla_nuevas_columnas[[#This Row],[ROAS]]</f>
        <v>6.3517031714827512</v>
      </c>
      <c r="T609" t="str">
        <f>_xlfn.CONCAT(C609,"-",D609)</f>
        <v>Display-España</v>
      </c>
      <c r="U609">
        <f>YEAR(A609)</f>
        <v>2025</v>
      </c>
      <c r="V609">
        <f>MONTH(A609)</f>
        <v>12</v>
      </c>
      <c r="W609" t="str">
        <f>PROPER(TEXT(A609,"mmmm"))</f>
        <v>Diciembre</v>
      </c>
      <c r="X609" t="str">
        <f>PROPER(TEXT(A609,"dddd"))</f>
        <v>Martes</v>
      </c>
      <c r="Y609" t="str" cm="1">
        <f t="array" ref="Y609">_xlfn.IFS(R609&gt;10,"Excelente",R609&gt;=5,"Bueno",R609&gt;=2,"Débil",R609&lt;2,"Deficiente")</f>
        <v>Bueno</v>
      </c>
      <c r="Z609" t="str">
        <f>IF(AND(R609&lt;2,Q609&gt;=100),"Revisar","OK")</f>
        <v>OK</v>
      </c>
      <c r="AA609" s="55">
        <f>_xlfn.XLOOKUP(C609,'Preguntas de negocio'!$C$114:$C$119,'Preguntas de negocio'!$D$114:$D$119,0)</f>
        <v>5</v>
      </c>
      <c r="AB609" s="55">
        <f>VLOOKUP(C609,'Preguntas de negocio'!$C$121:$D$127,2,FALSE)</f>
        <v>0.5</v>
      </c>
    </row>
    <row r="610" spans="1:28" x14ac:dyDescent="0.3">
      <c r="A610" s="1">
        <v>45806</v>
      </c>
      <c r="B610" s="2" t="s">
        <v>2638</v>
      </c>
      <c r="C610" s="2" t="s">
        <v>2515</v>
      </c>
      <c r="D610" s="2" t="s">
        <v>2528</v>
      </c>
      <c r="E610" s="2" t="s">
        <v>2517</v>
      </c>
      <c r="F610" s="3">
        <v>175408</v>
      </c>
      <c r="G610" s="3">
        <v>7460</v>
      </c>
      <c r="H610" s="3">
        <v>64</v>
      </c>
      <c r="I610" s="4">
        <v>12076.65</v>
      </c>
      <c r="J610" s="4">
        <v>4497</v>
      </c>
      <c r="K610" s="3">
        <v>37</v>
      </c>
      <c r="L610" s="2" t="s">
        <v>2536</v>
      </c>
      <c r="M610" s="2" t="s">
        <v>2526</v>
      </c>
      <c r="N610" s="8">
        <f>IFERROR(G610/F610,0)</f>
        <v>4.2529417130347531E-2</v>
      </c>
      <c r="O610" s="8">
        <f>IFERROR(H610/G610,0)</f>
        <v>8.5790884718498668E-3</v>
      </c>
      <c r="P610" s="4">
        <f>IFERROR(I610/G610,0)</f>
        <v>1.6188538873994638</v>
      </c>
      <c r="Q610" s="4">
        <f>IFERROR(I610/H610,0)</f>
        <v>188.69765624999999</v>
      </c>
      <c r="R610" s="12">
        <f>IFERROR(J610/I610,0)</f>
        <v>0.3723714771894524</v>
      </c>
      <c r="S610" s="7">
        <f>Tabla_nuevas_columnas[[#This Row],[ROAS]]</f>
        <v>0.3723714771894524</v>
      </c>
      <c r="T610" t="str">
        <f>_xlfn.CONCAT(C610,"-",D610)</f>
        <v>Email-España</v>
      </c>
      <c r="U610">
        <f>YEAR(A610)</f>
        <v>2025</v>
      </c>
      <c r="V610">
        <f>MONTH(A610)</f>
        <v>5</v>
      </c>
      <c r="W610" t="str">
        <f>PROPER(TEXT(A610,"mmmm"))</f>
        <v>Mayo</v>
      </c>
      <c r="X610" t="str">
        <f>PROPER(TEXT(A610,"dddd"))</f>
        <v>Jueves</v>
      </c>
      <c r="Y610" t="str" cm="1">
        <f t="array" ref="Y610">_xlfn.IFS(R610&gt;10,"Excelente",R610&gt;=5,"Bueno",R610&gt;=2,"Débil",R610&lt;2,"Deficiente")</f>
        <v>Deficiente</v>
      </c>
      <c r="Z610" t="str">
        <f>IF(AND(R610&lt;2,Q610&gt;=100),"Revisar","OK")</f>
        <v>Revisar</v>
      </c>
      <c r="AA610" s="55">
        <f>_xlfn.XLOOKUP(C610,'Preguntas de negocio'!$C$114:$C$119,'Preguntas de negocio'!$D$114:$D$119,0)</f>
        <v>5.5</v>
      </c>
      <c r="AB610" s="55">
        <f>VLOOKUP(C610,'Preguntas de negocio'!$C$121:$D$127,2,FALSE)</f>
        <v>0.65</v>
      </c>
    </row>
    <row r="611" spans="1:28" x14ac:dyDescent="0.3">
      <c r="A611" s="1">
        <v>45983</v>
      </c>
      <c r="B611" s="2" t="s">
        <v>2632</v>
      </c>
      <c r="C611" s="2" t="s">
        <v>2527</v>
      </c>
      <c r="D611" s="2" t="s">
        <v>2528</v>
      </c>
      <c r="E611" s="2" t="s">
        <v>2529</v>
      </c>
      <c r="F611" s="3">
        <v>6662</v>
      </c>
      <c r="G611" s="3">
        <v>342</v>
      </c>
      <c r="H611" s="3">
        <v>27</v>
      </c>
      <c r="I611" s="4">
        <v>476.43</v>
      </c>
      <c r="J611" s="4">
        <v>868.82</v>
      </c>
      <c r="K611" s="3">
        <v>13</v>
      </c>
      <c r="L611" s="2" t="s">
        <v>2518</v>
      </c>
      <c r="M611" s="2" t="s">
        <v>2519</v>
      </c>
      <c r="N611" s="8">
        <f>IFERROR(G611/F611,0)</f>
        <v>5.1335935154608228E-2</v>
      </c>
      <c r="O611" s="8">
        <f>IFERROR(H611/G611,0)</f>
        <v>7.8947368421052627E-2</v>
      </c>
      <c r="P611" s="4">
        <f>IFERROR(I611/G611,0)</f>
        <v>1.3930701754385966</v>
      </c>
      <c r="Q611" s="4">
        <f>IFERROR(I611/H611,0)</f>
        <v>17.645555555555557</v>
      </c>
      <c r="R611" s="12">
        <f>IFERROR(J611/I611,0)</f>
        <v>1.8236047268224085</v>
      </c>
      <c r="S611" s="7">
        <f>Tabla_nuevas_columnas[[#This Row],[ROAS]]</f>
        <v>1.8236047268224085</v>
      </c>
      <c r="T611" t="str">
        <f>_xlfn.CONCAT(C611,"-",D611)</f>
        <v>Affiliate-España</v>
      </c>
      <c r="U611">
        <f>YEAR(A611)</f>
        <v>2025</v>
      </c>
      <c r="V611">
        <f>MONTH(A611)</f>
        <v>11</v>
      </c>
      <c r="W611" t="str">
        <f>PROPER(TEXT(A611,"mmmm"))</f>
        <v>Noviembre</v>
      </c>
      <c r="X611" t="str">
        <f>PROPER(TEXT(A611,"dddd"))</f>
        <v>Sábado</v>
      </c>
      <c r="Y611" t="str" cm="1">
        <f t="array" ref="Y611">_xlfn.IFS(R611&gt;10,"Excelente",R611&gt;=5,"Bueno",R611&gt;=2,"Débil",R611&lt;2,"Deficiente")</f>
        <v>Deficiente</v>
      </c>
      <c r="Z611" t="str">
        <f>IF(AND(R611&lt;2,Q611&gt;=100),"Revisar","OK")</f>
        <v>OK</v>
      </c>
      <c r="AA611" s="55">
        <f>_xlfn.XLOOKUP(C611,'Preguntas de negocio'!$C$114:$C$119,'Preguntas de negocio'!$D$114:$D$119,0)</f>
        <v>4.5</v>
      </c>
      <c r="AB611" s="55">
        <f>VLOOKUP(C611,'Preguntas de negocio'!$C$121:$D$127,2,FALSE)</f>
        <v>0.35</v>
      </c>
    </row>
    <row r="612" spans="1:28" x14ac:dyDescent="0.3">
      <c r="A612" s="1">
        <v>45958</v>
      </c>
      <c r="B612" s="2" t="s">
        <v>2638</v>
      </c>
      <c r="C612" s="2" t="s">
        <v>2543</v>
      </c>
      <c r="D612" s="2" t="s">
        <v>2528</v>
      </c>
      <c r="E612" s="2" t="s">
        <v>2517</v>
      </c>
      <c r="F612" s="3">
        <v>19363</v>
      </c>
      <c r="G612" s="3">
        <v>1014</v>
      </c>
      <c r="H612" s="3">
        <v>27</v>
      </c>
      <c r="I612" s="4">
        <v>1853.9</v>
      </c>
      <c r="J612" s="4">
        <v>469.8</v>
      </c>
      <c r="K612" s="3">
        <v>16</v>
      </c>
      <c r="L612" s="2" t="s">
        <v>2523</v>
      </c>
      <c r="M612" s="2" t="s">
        <v>2524</v>
      </c>
      <c r="N612" s="8">
        <f>IFERROR(G612/F612,0)</f>
        <v>5.2367918194494656E-2</v>
      </c>
      <c r="O612" s="8">
        <f>IFERROR(H612/G612,0)</f>
        <v>2.6627218934911243E-2</v>
      </c>
      <c r="P612" s="4">
        <f>IFERROR(I612/G612,0)</f>
        <v>1.828303747534517</v>
      </c>
      <c r="Q612" s="4">
        <f>IFERROR(I612/H612,0)</f>
        <v>68.662962962962965</v>
      </c>
      <c r="R612" s="12">
        <f>IFERROR(J612/I612,0)</f>
        <v>0.25341172663034683</v>
      </c>
      <c r="S612" s="7">
        <f>Tabla_nuevas_columnas[[#This Row],[ROAS]]</f>
        <v>0.25341172663034683</v>
      </c>
      <c r="T612" t="str">
        <f>_xlfn.CONCAT(C612,"-",D612)</f>
        <v>Organic Social-España</v>
      </c>
      <c r="U612">
        <f>YEAR(A612)</f>
        <v>2025</v>
      </c>
      <c r="V612">
        <f>MONTH(A612)</f>
        <v>10</v>
      </c>
      <c r="W612" t="str">
        <f>PROPER(TEXT(A612,"mmmm"))</f>
        <v>Octubre</v>
      </c>
      <c r="X612" t="str">
        <f>PROPER(TEXT(A612,"dddd"))</f>
        <v>Martes</v>
      </c>
      <c r="Y612" t="str" cm="1">
        <f t="array" ref="Y612">_xlfn.IFS(R612&gt;10,"Excelente",R612&gt;=5,"Bueno",R612&gt;=2,"Débil",R612&lt;2,"Deficiente")</f>
        <v>Deficiente</v>
      </c>
      <c r="Z612" t="str">
        <f>IF(AND(R612&lt;2,Q612&gt;=100),"Revisar","OK")</f>
        <v>OK</v>
      </c>
      <c r="AA612" s="55">
        <f>_xlfn.XLOOKUP(C612,'Preguntas de negocio'!$C$114:$C$119,'Preguntas de negocio'!$D$114:$D$119,0)</f>
        <v>4</v>
      </c>
      <c r="AB612" s="55">
        <f>VLOOKUP(C612,'Preguntas de negocio'!$C$121:$D$127,2,FALSE)</f>
        <v>0.95</v>
      </c>
    </row>
    <row r="613" spans="1:28" x14ac:dyDescent="0.3">
      <c r="A613" s="1">
        <v>45912</v>
      </c>
      <c r="B613" s="2" t="s">
        <v>2629</v>
      </c>
      <c r="C613" s="2" t="s">
        <v>2543</v>
      </c>
      <c r="D613" s="2" t="s">
        <v>2525</v>
      </c>
      <c r="E613" s="2" t="s">
        <v>2529</v>
      </c>
      <c r="F613" s="3">
        <v>125538</v>
      </c>
      <c r="G613" s="3">
        <v>7116</v>
      </c>
      <c r="H613" s="3">
        <v>419</v>
      </c>
      <c r="I613" s="4">
        <v>13150.3</v>
      </c>
      <c r="J613" s="4">
        <v>74135.75</v>
      </c>
      <c r="K613" s="3">
        <v>290</v>
      </c>
      <c r="L613" s="2" t="s">
        <v>2536</v>
      </c>
      <c r="M613" s="2" t="s">
        <v>2519</v>
      </c>
      <c r="N613" s="8">
        <f>IFERROR(G613/F613,0)</f>
        <v>5.6684031926587969E-2</v>
      </c>
      <c r="O613" s="8">
        <f>IFERROR(H613/G613,0)</f>
        <v>5.8881394041596403E-2</v>
      </c>
      <c r="P613" s="4">
        <f>IFERROR(I613/G613,0)</f>
        <v>1.8479904440697019</v>
      </c>
      <c r="Q613" s="4">
        <f>IFERROR(I613/H613,0)</f>
        <v>31.384964200477324</v>
      </c>
      <c r="R613" s="12">
        <f>IFERROR(J613/I613,0)</f>
        <v>5.6375710059846549</v>
      </c>
      <c r="S613" s="7">
        <f>Tabla_nuevas_columnas[[#This Row],[ROAS]]</f>
        <v>5.6375710059846549</v>
      </c>
      <c r="T613" t="str">
        <f>_xlfn.CONCAT(C613,"-",D613)</f>
        <v>Organic Social-Francia</v>
      </c>
      <c r="U613">
        <f>YEAR(A613)</f>
        <v>2025</v>
      </c>
      <c r="V613">
        <f>MONTH(A613)</f>
        <v>9</v>
      </c>
      <c r="W613" t="str">
        <f>PROPER(TEXT(A613,"mmmm"))</f>
        <v>Septiembre</v>
      </c>
      <c r="X613" t="str">
        <f>PROPER(TEXT(A613,"dddd"))</f>
        <v>Viernes</v>
      </c>
      <c r="Y613" t="str" cm="1">
        <f t="array" ref="Y613">_xlfn.IFS(R613&gt;10,"Excelente",R613&gt;=5,"Bueno",R613&gt;=2,"Débil",R613&lt;2,"Deficiente")</f>
        <v>Bueno</v>
      </c>
      <c r="Z613" t="str">
        <f>IF(AND(R613&lt;2,Q613&gt;=100),"Revisar","OK")</f>
        <v>OK</v>
      </c>
      <c r="AA613" s="55">
        <f>_xlfn.XLOOKUP(C613,'Preguntas de negocio'!$C$114:$C$119,'Preguntas de negocio'!$D$114:$D$119,0)</f>
        <v>4</v>
      </c>
      <c r="AB613" s="55">
        <f>VLOOKUP(C613,'Preguntas de negocio'!$C$121:$D$127,2,FALSE)</f>
        <v>0.95</v>
      </c>
    </row>
    <row r="614" spans="1:28" x14ac:dyDescent="0.3">
      <c r="A614" s="1">
        <v>45706</v>
      </c>
      <c r="B614" s="2" t="s">
        <v>2616</v>
      </c>
      <c r="C614" s="2" t="s">
        <v>2543</v>
      </c>
      <c r="D614" s="2" t="s">
        <v>2528</v>
      </c>
      <c r="E614" s="2" t="s">
        <v>2534</v>
      </c>
      <c r="F614" s="3">
        <v>114654</v>
      </c>
      <c r="G614" s="3">
        <v>541</v>
      </c>
      <c r="H614" s="3">
        <v>65</v>
      </c>
      <c r="I614" s="4">
        <v>307.39999999999998</v>
      </c>
      <c r="J614" s="4">
        <v>10923.9</v>
      </c>
      <c r="K614" s="3">
        <v>53</v>
      </c>
      <c r="L614" s="2" t="s">
        <v>2539</v>
      </c>
      <c r="M614" s="2" t="s">
        <v>2546</v>
      </c>
      <c r="N614" s="8">
        <f>IFERROR(G614/F614,0)</f>
        <v>4.7185444903797514E-3</v>
      </c>
      <c r="O614" s="8">
        <f>IFERROR(H614/G614,0)</f>
        <v>0.12014787430683918</v>
      </c>
      <c r="P614" s="4">
        <f>IFERROR(I614/G614,0)</f>
        <v>0.56820702402957479</v>
      </c>
      <c r="Q614" s="4">
        <f>IFERROR(I614/H614,0)</f>
        <v>4.7292307692307691</v>
      </c>
      <c r="R614" s="12">
        <f>IFERROR(J614/I614,0)</f>
        <v>35.536434612882239</v>
      </c>
      <c r="S614" s="7">
        <f>Tabla_nuevas_columnas[[#This Row],[ROAS]]</f>
        <v>35.536434612882239</v>
      </c>
      <c r="T614" t="str">
        <f>_xlfn.CONCAT(C614,"-",D614)</f>
        <v>Organic Social-España</v>
      </c>
      <c r="U614">
        <f>YEAR(A614)</f>
        <v>2025</v>
      </c>
      <c r="V614">
        <f>MONTH(A614)</f>
        <v>2</v>
      </c>
      <c r="W614" t="str">
        <f>PROPER(TEXT(A614,"mmmm"))</f>
        <v>Febrero</v>
      </c>
      <c r="X614" t="str">
        <f>PROPER(TEXT(A614,"dddd"))</f>
        <v>Martes</v>
      </c>
      <c r="Y614" t="str" cm="1">
        <f t="array" ref="Y614">_xlfn.IFS(R614&gt;10,"Excelente",R614&gt;=5,"Bueno",R614&gt;=2,"Débil",R614&lt;2,"Deficiente")</f>
        <v>Excelente</v>
      </c>
      <c r="Z614" t="str">
        <f>IF(AND(R614&lt;2,Q614&gt;=100),"Revisar","OK")</f>
        <v>OK</v>
      </c>
      <c r="AA614" s="55">
        <f>_xlfn.XLOOKUP(C614,'Preguntas de negocio'!$C$114:$C$119,'Preguntas de negocio'!$D$114:$D$119,0)</f>
        <v>4</v>
      </c>
      <c r="AB614" s="55">
        <f>VLOOKUP(C614,'Preguntas de negocio'!$C$121:$D$127,2,FALSE)</f>
        <v>0.95</v>
      </c>
    </row>
    <row r="615" spans="1:28" x14ac:dyDescent="0.3">
      <c r="A615" s="1">
        <v>45682</v>
      </c>
      <c r="B615" s="2" t="s">
        <v>2618</v>
      </c>
      <c r="C615" s="2" t="s">
        <v>2527</v>
      </c>
      <c r="D615" s="2" t="s">
        <v>2528</v>
      </c>
      <c r="E615" s="2" t="s">
        <v>2517</v>
      </c>
      <c r="F615" s="3">
        <v>61626</v>
      </c>
      <c r="G615" s="3">
        <v>3327</v>
      </c>
      <c r="H615" s="3">
        <v>336</v>
      </c>
      <c r="I615" s="4">
        <v>6464.39</v>
      </c>
      <c r="J615" s="4">
        <v>68355.5</v>
      </c>
      <c r="K615" s="3">
        <v>206</v>
      </c>
      <c r="L615" s="2" t="s">
        <v>2536</v>
      </c>
      <c r="M615" s="2" t="s">
        <v>2519</v>
      </c>
      <c r="N615" s="8">
        <f>IFERROR(G615/F615,0)</f>
        <v>5.3986953558562943E-2</v>
      </c>
      <c r="O615" s="8">
        <f>IFERROR(H615/G615,0)</f>
        <v>0.10099188458070334</v>
      </c>
      <c r="P615" s="4">
        <f>IFERROR(I615/G615,0)</f>
        <v>1.9430087165614669</v>
      </c>
      <c r="Q615" s="4">
        <f>IFERROR(I615/H615,0)</f>
        <v>19.239255952380955</v>
      </c>
      <c r="R615" s="12">
        <f>IFERROR(J615/I615,0)</f>
        <v>10.574160903039575</v>
      </c>
      <c r="S615" s="7">
        <f>Tabla_nuevas_columnas[[#This Row],[ROAS]]</f>
        <v>10.574160903039575</v>
      </c>
      <c r="T615" t="str">
        <f>_xlfn.CONCAT(C615,"-",D615)</f>
        <v>Affiliate-España</v>
      </c>
      <c r="U615">
        <f>YEAR(A615)</f>
        <v>2025</v>
      </c>
      <c r="V615">
        <f>MONTH(A615)</f>
        <v>1</v>
      </c>
      <c r="W615" t="str">
        <f>PROPER(TEXT(A615,"mmmm"))</f>
        <v>Enero</v>
      </c>
      <c r="X615" t="str">
        <f>PROPER(TEXT(A615,"dddd"))</f>
        <v>Sábado</v>
      </c>
      <c r="Y615" t="str" cm="1">
        <f t="array" ref="Y615">_xlfn.IFS(R615&gt;10,"Excelente",R615&gt;=5,"Bueno",R615&gt;=2,"Débil",R615&lt;2,"Deficiente")</f>
        <v>Excelente</v>
      </c>
      <c r="Z615" t="str">
        <f>IF(AND(R615&lt;2,Q615&gt;=100),"Revisar","OK")</f>
        <v>OK</v>
      </c>
      <c r="AA615" s="55">
        <f>_xlfn.XLOOKUP(C615,'Preguntas de negocio'!$C$114:$C$119,'Preguntas de negocio'!$D$114:$D$119,0)</f>
        <v>4.5</v>
      </c>
      <c r="AB615" s="55">
        <f>VLOOKUP(C615,'Preguntas de negocio'!$C$121:$D$127,2,FALSE)</f>
        <v>0.35</v>
      </c>
    </row>
    <row r="616" spans="1:28" x14ac:dyDescent="0.3">
      <c r="A616" s="1">
        <v>45964</v>
      </c>
      <c r="B616" s="2" t="s">
        <v>2623</v>
      </c>
      <c r="C616" s="2" t="s">
        <v>2541</v>
      </c>
      <c r="D616" s="2" t="s">
        <v>2516</v>
      </c>
      <c r="E616" s="2" t="s">
        <v>2529</v>
      </c>
      <c r="F616" s="3">
        <v>105283</v>
      </c>
      <c r="G616" s="3">
        <v>1239</v>
      </c>
      <c r="H616" s="3">
        <v>103</v>
      </c>
      <c r="I616" s="4">
        <v>1107.5</v>
      </c>
      <c r="J616" s="4">
        <v>4977.37</v>
      </c>
      <c r="K616" s="3">
        <v>71</v>
      </c>
      <c r="L616" s="2" t="s">
        <v>2518</v>
      </c>
      <c r="M616" s="2" t="s">
        <v>2526</v>
      </c>
      <c r="N616" s="8">
        <f>IFERROR(G616/F616,0)</f>
        <v>1.1768281678903527E-2</v>
      </c>
      <c r="O616" s="8">
        <f>IFERROR(H616/G616,0)</f>
        <v>8.3131557707828888E-2</v>
      </c>
      <c r="P616" s="4">
        <f>IFERROR(I616/G616,0)</f>
        <v>0.89386602098466506</v>
      </c>
      <c r="Q616" s="4">
        <f>IFERROR(I616/H616,0)</f>
        <v>10.75242718446602</v>
      </c>
      <c r="R616" s="12">
        <f>IFERROR(J616/I616,0)</f>
        <v>4.4942392776523699</v>
      </c>
      <c r="S616" s="7">
        <f>Tabla_nuevas_columnas[[#This Row],[ROAS]]</f>
        <v>4.4942392776523699</v>
      </c>
      <c r="T616" t="str">
        <f>_xlfn.CONCAT(C616,"-",D616)</f>
        <v>Display-México</v>
      </c>
      <c r="U616">
        <f>YEAR(A616)</f>
        <v>2025</v>
      </c>
      <c r="V616">
        <f>MONTH(A616)</f>
        <v>11</v>
      </c>
      <c r="W616" t="str">
        <f>PROPER(TEXT(A616,"mmmm"))</f>
        <v>Noviembre</v>
      </c>
      <c r="X616" t="str">
        <f>PROPER(TEXT(A616,"dddd"))</f>
        <v>Lunes</v>
      </c>
      <c r="Y616" t="str" cm="1">
        <f t="array" ref="Y616">_xlfn.IFS(R616&gt;10,"Excelente",R616&gt;=5,"Bueno",R616&gt;=2,"Débil",R616&lt;2,"Deficiente")</f>
        <v>Débil</v>
      </c>
      <c r="Z616" t="str">
        <f>IF(AND(R616&lt;2,Q616&gt;=100),"Revisar","OK")</f>
        <v>OK</v>
      </c>
      <c r="AA616" s="55">
        <f>_xlfn.XLOOKUP(C616,'Preguntas de negocio'!$C$114:$C$119,'Preguntas de negocio'!$D$114:$D$119,0)</f>
        <v>5</v>
      </c>
      <c r="AB616" s="55">
        <f>VLOOKUP(C616,'Preguntas de negocio'!$C$121:$D$127,2,FALSE)</f>
        <v>0.5</v>
      </c>
    </row>
    <row r="617" spans="1:28" x14ac:dyDescent="0.3">
      <c r="A617" s="1">
        <v>45849</v>
      </c>
      <c r="B617" s="2" t="s">
        <v>2634</v>
      </c>
      <c r="C617" s="2" t="s">
        <v>2543</v>
      </c>
      <c r="D617" s="2" t="s">
        <v>2522</v>
      </c>
      <c r="E617" s="2" t="s">
        <v>2517</v>
      </c>
      <c r="F617" s="3">
        <v>74520</v>
      </c>
      <c r="G617" s="3">
        <v>5946</v>
      </c>
      <c r="H617" s="3">
        <v>653</v>
      </c>
      <c r="I617" s="4">
        <v>2725.42</v>
      </c>
      <c r="J617" s="4">
        <v>137235.64000000001</v>
      </c>
      <c r="K617" s="3">
        <v>561</v>
      </c>
      <c r="L617" s="2" t="s">
        <v>2539</v>
      </c>
      <c r="M617" s="2" t="s">
        <v>2519</v>
      </c>
      <c r="N617" s="8">
        <f>IFERROR(G617/F617,0)</f>
        <v>7.979066022544283E-2</v>
      </c>
      <c r="O617" s="8">
        <f>IFERROR(H617/G617,0)</f>
        <v>0.1098217288933737</v>
      </c>
      <c r="P617" s="4">
        <f>IFERROR(I617/G617,0)</f>
        <v>0.45836192398250925</v>
      </c>
      <c r="Q617" s="4">
        <f>IFERROR(I617/H617,0)</f>
        <v>4.1736906584992344</v>
      </c>
      <c r="R617" s="12">
        <f>IFERROR(J617/I617,0)</f>
        <v>50.353941777781046</v>
      </c>
      <c r="S617" s="7">
        <f>Tabla_nuevas_columnas[[#This Row],[ROAS]]</f>
        <v>50.353941777781046</v>
      </c>
      <c r="T617" t="str">
        <f>_xlfn.CONCAT(C617,"-",D617)</f>
        <v>Organic Social-Italia</v>
      </c>
      <c r="U617">
        <f>YEAR(A617)</f>
        <v>2025</v>
      </c>
      <c r="V617">
        <f>MONTH(A617)</f>
        <v>7</v>
      </c>
      <c r="W617" t="str">
        <f>PROPER(TEXT(A617,"mmmm"))</f>
        <v>Julio</v>
      </c>
      <c r="X617" t="str">
        <f>PROPER(TEXT(A617,"dddd"))</f>
        <v>Viernes</v>
      </c>
      <c r="Y617" t="str" cm="1">
        <f t="array" ref="Y617">_xlfn.IFS(R617&gt;10,"Excelente",R617&gt;=5,"Bueno",R617&gt;=2,"Débil",R617&lt;2,"Deficiente")</f>
        <v>Excelente</v>
      </c>
      <c r="Z617" t="str">
        <f>IF(AND(R617&lt;2,Q617&gt;=100),"Revisar","OK")</f>
        <v>OK</v>
      </c>
      <c r="AA617" s="55">
        <f>_xlfn.XLOOKUP(C617,'Preguntas de negocio'!$C$114:$C$119,'Preguntas de negocio'!$D$114:$D$119,0)</f>
        <v>4</v>
      </c>
      <c r="AB617" s="55">
        <f>VLOOKUP(C617,'Preguntas de negocio'!$C$121:$D$127,2,FALSE)</f>
        <v>0.95</v>
      </c>
    </row>
    <row r="618" spans="1:28" x14ac:dyDescent="0.3">
      <c r="A618" s="1">
        <v>45858</v>
      </c>
      <c r="B618" s="2" t="s">
        <v>2633</v>
      </c>
      <c r="C618" s="2" t="s">
        <v>2543</v>
      </c>
      <c r="D618" s="2" t="s">
        <v>2531</v>
      </c>
      <c r="E618" s="2" t="s">
        <v>2529</v>
      </c>
      <c r="F618" s="3">
        <v>1980</v>
      </c>
      <c r="G618" s="3">
        <v>22</v>
      </c>
      <c r="H618" s="3">
        <v>2</v>
      </c>
      <c r="I618" s="4">
        <v>3.12</v>
      </c>
      <c r="J618" s="4">
        <v>343.43</v>
      </c>
      <c r="K618" s="3">
        <v>1</v>
      </c>
      <c r="L618" s="2" t="s">
        <v>2518</v>
      </c>
      <c r="M618" s="2" t="s">
        <v>2526</v>
      </c>
      <c r="N618" s="8">
        <f>IFERROR(G618/F618,0)</f>
        <v>1.1111111111111112E-2</v>
      </c>
      <c r="O618" s="8">
        <f>IFERROR(H618/G618,0)</f>
        <v>9.0909090909090912E-2</v>
      </c>
      <c r="P618" s="4">
        <f>IFERROR(I618/G618,0)</f>
        <v>0.14181818181818182</v>
      </c>
      <c r="Q618" s="4">
        <f>IFERROR(I618/H618,0)</f>
        <v>1.56</v>
      </c>
      <c r="R618" s="12">
        <f>IFERROR(J618/I618,0)</f>
        <v>110.07371794871794</v>
      </c>
      <c r="S618" s="7">
        <f>Tabla_nuevas_columnas[[#This Row],[ROAS]]</f>
        <v>110.07371794871794</v>
      </c>
      <c r="T618" t="str">
        <f>_xlfn.CONCAT(C618,"-",D618)</f>
        <v>Organic Social-Portugal</v>
      </c>
      <c r="U618">
        <f>YEAR(A618)</f>
        <v>2025</v>
      </c>
      <c r="V618">
        <f>MONTH(A618)</f>
        <v>7</v>
      </c>
      <c r="W618" t="str">
        <f>PROPER(TEXT(A618,"mmmm"))</f>
        <v>Julio</v>
      </c>
      <c r="X618" t="str">
        <f>PROPER(TEXT(A618,"dddd"))</f>
        <v>Domingo</v>
      </c>
      <c r="Y618" t="str" cm="1">
        <f t="array" ref="Y618">_xlfn.IFS(R618&gt;10,"Excelente",R618&gt;=5,"Bueno",R618&gt;=2,"Débil",R618&lt;2,"Deficiente")</f>
        <v>Excelente</v>
      </c>
      <c r="Z618" t="str">
        <f>IF(AND(R618&lt;2,Q618&gt;=100),"Revisar","OK")</f>
        <v>OK</v>
      </c>
      <c r="AA618" s="55">
        <f>_xlfn.XLOOKUP(C618,'Preguntas de negocio'!$C$114:$C$119,'Preguntas de negocio'!$D$114:$D$119,0)</f>
        <v>4</v>
      </c>
      <c r="AB618" s="55">
        <f>VLOOKUP(C618,'Preguntas de negocio'!$C$121:$D$127,2,FALSE)</f>
        <v>0.95</v>
      </c>
    </row>
    <row r="619" spans="1:28" x14ac:dyDescent="0.3">
      <c r="A619" s="1">
        <v>45846</v>
      </c>
      <c r="B619" s="2" t="s">
        <v>2628</v>
      </c>
      <c r="C619" s="2" t="s">
        <v>2541</v>
      </c>
      <c r="D619" s="2" t="s">
        <v>2525</v>
      </c>
      <c r="E619" s="2" t="s">
        <v>2529</v>
      </c>
      <c r="F619" s="3">
        <v>66873</v>
      </c>
      <c r="G619" s="3">
        <v>1049</v>
      </c>
      <c r="H619" s="3">
        <v>101</v>
      </c>
      <c r="I619" s="4">
        <v>1738.74</v>
      </c>
      <c r="J619" s="4">
        <v>16691.240000000002</v>
      </c>
      <c r="K619" s="3">
        <v>83</v>
      </c>
      <c r="L619" s="2" t="s">
        <v>2523</v>
      </c>
      <c r="M619" s="2" t="s">
        <v>2524</v>
      </c>
      <c r="N619" s="8">
        <f>IFERROR(G619/F619,0)</f>
        <v>1.5686450435900886E-2</v>
      </c>
      <c r="O619" s="8">
        <f>IFERROR(H619/G619,0)</f>
        <v>9.6282173498570073E-2</v>
      </c>
      <c r="P619" s="4">
        <f>IFERROR(I619/G619,0)</f>
        <v>1.6575214489990466</v>
      </c>
      <c r="Q619" s="4">
        <f>IFERROR(I619/H619,0)</f>
        <v>17.215247524752474</v>
      </c>
      <c r="R619" s="12">
        <f>IFERROR(J619/I619,0)</f>
        <v>9.5996181142666543</v>
      </c>
      <c r="S619" s="7">
        <f>Tabla_nuevas_columnas[[#This Row],[ROAS]]</f>
        <v>9.5996181142666543</v>
      </c>
      <c r="T619" t="str">
        <f>_xlfn.CONCAT(C619,"-",D619)</f>
        <v>Display-Francia</v>
      </c>
      <c r="U619">
        <f>YEAR(A619)</f>
        <v>2025</v>
      </c>
      <c r="V619">
        <f>MONTH(A619)</f>
        <v>7</v>
      </c>
      <c r="W619" t="str">
        <f>PROPER(TEXT(A619,"mmmm"))</f>
        <v>Julio</v>
      </c>
      <c r="X619" t="str">
        <f>PROPER(TEXT(A619,"dddd"))</f>
        <v>Martes</v>
      </c>
      <c r="Y619" t="str" cm="1">
        <f t="array" ref="Y619">_xlfn.IFS(R619&gt;10,"Excelente",R619&gt;=5,"Bueno",R619&gt;=2,"Débil",R619&lt;2,"Deficiente")</f>
        <v>Bueno</v>
      </c>
      <c r="Z619" t="str">
        <f>IF(AND(R619&lt;2,Q619&gt;=100),"Revisar","OK")</f>
        <v>OK</v>
      </c>
      <c r="AA619" s="55">
        <f>_xlfn.XLOOKUP(C619,'Preguntas de negocio'!$C$114:$C$119,'Preguntas de negocio'!$D$114:$D$119,0)</f>
        <v>5</v>
      </c>
      <c r="AB619" s="55">
        <f>VLOOKUP(C619,'Preguntas de negocio'!$C$121:$D$127,2,FALSE)</f>
        <v>0.5</v>
      </c>
    </row>
    <row r="620" spans="1:28" x14ac:dyDescent="0.3">
      <c r="A620" s="1">
        <v>45715</v>
      </c>
      <c r="B620" s="2" t="s">
        <v>2630</v>
      </c>
      <c r="C620" s="2" t="s">
        <v>2543</v>
      </c>
      <c r="D620" s="2" t="s">
        <v>2528</v>
      </c>
      <c r="E620" s="2" t="s">
        <v>2529</v>
      </c>
      <c r="F620" s="3">
        <v>137541</v>
      </c>
      <c r="G620" s="3">
        <v>5636</v>
      </c>
      <c r="H620" s="3">
        <v>273</v>
      </c>
      <c r="I620" s="4">
        <v>3413.76</v>
      </c>
      <c r="J620" s="4">
        <v>28266.14</v>
      </c>
      <c r="K620" s="3">
        <v>135</v>
      </c>
      <c r="L620" s="2" t="s">
        <v>2523</v>
      </c>
      <c r="M620" s="2" t="s">
        <v>2546</v>
      </c>
      <c r="N620" s="8">
        <f>IFERROR(G620/F620,0)</f>
        <v>4.0976872350789943E-2</v>
      </c>
      <c r="O620" s="8">
        <f>IFERROR(H620/G620,0)</f>
        <v>4.8438608942512423E-2</v>
      </c>
      <c r="P620" s="4">
        <f>IFERROR(I620/G620,0)</f>
        <v>0.60570617459190923</v>
      </c>
      <c r="Q620" s="4">
        <f>IFERROR(I620/H620,0)</f>
        <v>12.504615384615386</v>
      </c>
      <c r="R620" s="12">
        <f>IFERROR(J620/I620,0)</f>
        <v>8.2800606955380562</v>
      </c>
      <c r="S620" s="7">
        <f>Tabla_nuevas_columnas[[#This Row],[ROAS]]</f>
        <v>8.2800606955380562</v>
      </c>
      <c r="T620" t="str">
        <f>_xlfn.CONCAT(C620,"-",D620)</f>
        <v>Organic Social-España</v>
      </c>
      <c r="U620">
        <f>YEAR(A620)</f>
        <v>2025</v>
      </c>
      <c r="V620">
        <f>MONTH(A620)</f>
        <v>2</v>
      </c>
      <c r="W620" t="str">
        <f>PROPER(TEXT(A620,"mmmm"))</f>
        <v>Febrero</v>
      </c>
      <c r="X620" t="str">
        <f>PROPER(TEXT(A620,"dddd"))</f>
        <v>Jueves</v>
      </c>
      <c r="Y620" t="str" cm="1">
        <f t="array" ref="Y620">_xlfn.IFS(R620&gt;10,"Excelente",R620&gt;=5,"Bueno",R620&gt;=2,"Débil",R620&lt;2,"Deficiente")</f>
        <v>Bueno</v>
      </c>
      <c r="Z620" t="str">
        <f>IF(AND(R620&lt;2,Q620&gt;=100),"Revisar","OK")</f>
        <v>OK</v>
      </c>
      <c r="AA620" s="55">
        <f>_xlfn.XLOOKUP(C620,'Preguntas de negocio'!$C$114:$C$119,'Preguntas de negocio'!$D$114:$D$119,0)</f>
        <v>4</v>
      </c>
      <c r="AB620" s="55">
        <f>VLOOKUP(C620,'Preguntas de negocio'!$C$121:$D$127,2,FALSE)</f>
        <v>0.95</v>
      </c>
    </row>
    <row r="621" spans="1:28" x14ac:dyDescent="0.3">
      <c r="A621" s="1">
        <v>45863</v>
      </c>
      <c r="B621" s="2" t="s">
        <v>2634</v>
      </c>
      <c r="C621" s="2" t="s">
        <v>2527</v>
      </c>
      <c r="D621" s="2" t="s">
        <v>2522</v>
      </c>
      <c r="E621" s="2" t="s">
        <v>2517</v>
      </c>
      <c r="F621" s="3">
        <v>70688</v>
      </c>
      <c r="G621" s="3">
        <v>4949</v>
      </c>
      <c r="H621" s="3">
        <v>409</v>
      </c>
      <c r="I621" s="4">
        <v>3403.11</v>
      </c>
      <c r="J621" s="4">
        <v>53577.93</v>
      </c>
      <c r="K621" s="3">
        <v>210</v>
      </c>
      <c r="L621" s="2" t="s">
        <v>2536</v>
      </c>
      <c r="M621" s="2" t="s">
        <v>2519</v>
      </c>
      <c r="N621" s="8">
        <f>IFERROR(G621/F621,0)</f>
        <v>7.0011883205070166E-2</v>
      </c>
      <c r="O621" s="8">
        <f>IFERROR(H621/G621,0)</f>
        <v>8.2642958173368364E-2</v>
      </c>
      <c r="P621" s="4">
        <f>IFERROR(I621/G621,0)</f>
        <v>0.68763588603758341</v>
      </c>
      <c r="Q621" s="4">
        <f>IFERROR(I621/H621,0)</f>
        <v>8.3205623471882646</v>
      </c>
      <c r="R621" s="12">
        <f>IFERROR(J621/I621,0)</f>
        <v>15.743813746837452</v>
      </c>
      <c r="S621" s="7">
        <f>Tabla_nuevas_columnas[[#This Row],[ROAS]]</f>
        <v>15.743813746837452</v>
      </c>
      <c r="T621" t="str">
        <f>_xlfn.CONCAT(C621,"-",D621)</f>
        <v>Affiliate-Italia</v>
      </c>
      <c r="U621">
        <f>YEAR(A621)</f>
        <v>2025</v>
      </c>
      <c r="V621">
        <f>MONTH(A621)</f>
        <v>7</v>
      </c>
      <c r="W621" t="str">
        <f>PROPER(TEXT(A621,"mmmm"))</f>
        <v>Julio</v>
      </c>
      <c r="X621" t="str">
        <f>PROPER(TEXT(A621,"dddd"))</f>
        <v>Viernes</v>
      </c>
      <c r="Y621" t="str" cm="1">
        <f t="array" ref="Y621">_xlfn.IFS(R621&gt;10,"Excelente",R621&gt;=5,"Bueno",R621&gt;=2,"Débil",R621&lt;2,"Deficiente")</f>
        <v>Excelente</v>
      </c>
      <c r="Z621" t="str">
        <f>IF(AND(R621&lt;2,Q621&gt;=100),"Revisar","OK")</f>
        <v>OK</v>
      </c>
      <c r="AA621" s="55">
        <f>_xlfn.XLOOKUP(C621,'Preguntas de negocio'!$C$114:$C$119,'Preguntas de negocio'!$D$114:$D$119,0)</f>
        <v>4.5</v>
      </c>
      <c r="AB621" s="55">
        <f>VLOOKUP(C621,'Preguntas de negocio'!$C$121:$D$127,2,FALSE)</f>
        <v>0.35</v>
      </c>
    </row>
    <row r="622" spans="1:28" x14ac:dyDescent="0.3">
      <c r="A622" s="1">
        <v>45665</v>
      </c>
      <c r="B622" s="2" t="s">
        <v>2624</v>
      </c>
      <c r="C622" s="2" t="s">
        <v>2515</v>
      </c>
      <c r="D622" s="2" t="s">
        <v>2516</v>
      </c>
      <c r="E622" s="2" t="s">
        <v>2529</v>
      </c>
      <c r="F622" s="3">
        <v>172846</v>
      </c>
      <c r="G622" s="3">
        <v>6014</v>
      </c>
      <c r="H622" s="3">
        <v>704</v>
      </c>
      <c r="I622" s="4">
        <v>1463.73</v>
      </c>
      <c r="J622" s="4">
        <v>77483.72</v>
      </c>
      <c r="K622" s="3">
        <v>546</v>
      </c>
      <c r="L622" s="2" t="s">
        <v>2518</v>
      </c>
      <c r="M622" s="2" t="s">
        <v>2519</v>
      </c>
      <c r="N622" s="8">
        <f>IFERROR(G622/F622,0)</f>
        <v>3.4793978454809485E-2</v>
      </c>
      <c r="O622" s="8">
        <f>IFERROR(H622/G622,0)</f>
        <v>0.11706019288327237</v>
      </c>
      <c r="P622" s="4">
        <f>IFERROR(I622/G622,0)</f>
        <v>0.24338709677419354</v>
      </c>
      <c r="Q622" s="4">
        <f>IFERROR(I622/H622,0)</f>
        <v>2.0791619318181818</v>
      </c>
      <c r="R622" s="12">
        <f>IFERROR(J622/I622,0)</f>
        <v>52.935801001550836</v>
      </c>
      <c r="S622" s="7">
        <f>Tabla_nuevas_columnas[[#This Row],[ROAS]]</f>
        <v>52.935801001550836</v>
      </c>
      <c r="T622" t="str">
        <f>_xlfn.CONCAT(C622,"-",D622)</f>
        <v>Email-México</v>
      </c>
      <c r="U622">
        <f>YEAR(A622)</f>
        <v>2025</v>
      </c>
      <c r="V622">
        <f>MONTH(A622)</f>
        <v>1</v>
      </c>
      <c r="W622" t="str">
        <f>PROPER(TEXT(A622,"mmmm"))</f>
        <v>Enero</v>
      </c>
      <c r="X622" t="str">
        <f>PROPER(TEXT(A622,"dddd"))</f>
        <v>Miércoles</v>
      </c>
      <c r="Y622" t="str" cm="1">
        <f t="array" ref="Y622">_xlfn.IFS(R622&gt;10,"Excelente",R622&gt;=5,"Bueno",R622&gt;=2,"Débil",R622&lt;2,"Deficiente")</f>
        <v>Excelente</v>
      </c>
      <c r="Z622" t="str">
        <f>IF(AND(R622&lt;2,Q622&gt;=100),"Revisar","OK")</f>
        <v>OK</v>
      </c>
      <c r="AA622" s="55">
        <f>_xlfn.XLOOKUP(C622,'Preguntas de negocio'!$C$114:$C$119,'Preguntas de negocio'!$D$114:$D$119,0)</f>
        <v>5.5</v>
      </c>
      <c r="AB622" s="55">
        <f>VLOOKUP(C622,'Preguntas de negocio'!$C$121:$D$127,2,FALSE)</f>
        <v>0.65</v>
      </c>
    </row>
    <row r="623" spans="1:28" x14ac:dyDescent="0.3">
      <c r="A623" s="1">
        <v>45865</v>
      </c>
      <c r="B623" s="2" t="s">
        <v>2637</v>
      </c>
      <c r="C623" s="2" t="s">
        <v>2521</v>
      </c>
      <c r="D623" s="2" t="s">
        <v>2525</v>
      </c>
      <c r="E623" s="2" t="s">
        <v>2529</v>
      </c>
      <c r="F623" s="3">
        <v>100849</v>
      </c>
      <c r="G623" s="3">
        <v>5626</v>
      </c>
      <c r="H623" s="3">
        <v>210</v>
      </c>
      <c r="I623" s="4">
        <v>2276.66</v>
      </c>
      <c r="J623" s="4">
        <v>16300.07</v>
      </c>
      <c r="K623" s="3">
        <v>111</v>
      </c>
      <c r="L623" s="2" t="s">
        <v>2523</v>
      </c>
      <c r="M623" s="2" t="s">
        <v>2519</v>
      </c>
      <c r="N623" s="8">
        <f>IFERROR(G623/F623,0)</f>
        <v>5.5786373687394024E-2</v>
      </c>
      <c r="O623" s="8">
        <f>IFERROR(H623/G623,0)</f>
        <v>3.7326697476004263E-2</v>
      </c>
      <c r="P623" s="4">
        <f>IFERROR(I623/G623,0)</f>
        <v>0.40466761464628509</v>
      </c>
      <c r="Q623" s="4">
        <f>IFERROR(I623/H623,0)</f>
        <v>10.841238095238095</v>
      </c>
      <c r="R623" s="12">
        <f>IFERROR(J623/I623,0)</f>
        <v>7.1596417559055814</v>
      </c>
      <c r="S623" s="7">
        <f>Tabla_nuevas_columnas[[#This Row],[ROAS]]</f>
        <v>7.1596417559055814</v>
      </c>
      <c r="T623" t="str">
        <f>_xlfn.CONCAT(C623,"-",D623)</f>
        <v>Paid Search-Francia</v>
      </c>
      <c r="U623">
        <f>YEAR(A623)</f>
        <v>2025</v>
      </c>
      <c r="V623">
        <f>MONTH(A623)</f>
        <v>7</v>
      </c>
      <c r="W623" t="str">
        <f>PROPER(TEXT(A623,"mmmm"))</f>
        <v>Julio</v>
      </c>
      <c r="X623" t="str">
        <f>PROPER(TEXT(A623,"dddd"))</f>
        <v>Domingo</v>
      </c>
      <c r="Y623" t="str" cm="1">
        <f t="array" ref="Y623">_xlfn.IFS(R623&gt;10,"Excelente",R623&gt;=5,"Bueno",R623&gt;=2,"Débil",R623&lt;2,"Deficiente")</f>
        <v>Bueno</v>
      </c>
      <c r="Z623" t="str">
        <f>IF(AND(R623&lt;2,Q623&gt;=100),"Revisar","OK")</f>
        <v>OK</v>
      </c>
      <c r="AA623" s="55">
        <f>_xlfn.XLOOKUP(C623,'Preguntas de negocio'!$C$114:$C$119,'Preguntas de negocio'!$D$114:$D$119,0)</f>
        <v>5</v>
      </c>
      <c r="AB623" s="55">
        <f>VLOOKUP(C623,'Preguntas de negocio'!$C$121:$D$127,2,FALSE)</f>
        <v>1.1000000000000001</v>
      </c>
    </row>
    <row r="624" spans="1:28" x14ac:dyDescent="0.3">
      <c r="A624" s="1">
        <v>45765</v>
      </c>
      <c r="B624" s="2" t="s">
        <v>2620</v>
      </c>
      <c r="C624" s="2" t="s">
        <v>2543</v>
      </c>
      <c r="D624" s="2" t="s">
        <v>2528</v>
      </c>
      <c r="E624" s="2" t="s">
        <v>2517</v>
      </c>
      <c r="F624" s="3">
        <v>102532</v>
      </c>
      <c r="G624" s="3">
        <v>9023</v>
      </c>
      <c r="H624" s="3">
        <v>958</v>
      </c>
      <c r="I624" s="4">
        <v>6462.89</v>
      </c>
      <c r="J624" s="4">
        <v>184870.89</v>
      </c>
      <c r="K624" s="3">
        <v>469</v>
      </c>
      <c r="L624" s="2" t="s">
        <v>2536</v>
      </c>
      <c r="M624" s="2" t="s">
        <v>2546</v>
      </c>
      <c r="N624" s="8">
        <f>IFERROR(G624/F624,0)</f>
        <v>8.8001794561697808E-2</v>
      </c>
      <c r="O624" s="8">
        <f>IFERROR(H624/G624,0)</f>
        <v>0.10617311315526987</v>
      </c>
      <c r="P624" s="4">
        <f>IFERROR(I624/G624,0)</f>
        <v>0.71626842513576416</v>
      </c>
      <c r="Q624" s="4">
        <f>IFERROR(I624/H624,0)</f>
        <v>6.7462317327766179</v>
      </c>
      <c r="R624" s="12">
        <f>IFERROR(J624/I624,0)</f>
        <v>28.604987861467549</v>
      </c>
      <c r="S624" s="7">
        <f>Tabla_nuevas_columnas[[#This Row],[ROAS]]</f>
        <v>28.604987861467549</v>
      </c>
      <c r="T624" t="str">
        <f>_xlfn.CONCAT(C624,"-",D624)</f>
        <v>Organic Social-España</v>
      </c>
      <c r="U624">
        <f>YEAR(A624)</f>
        <v>2025</v>
      </c>
      <c r="V624">
        <f>MONTH(A624)</f>
        <v>4</v>
      </c>
      <c r="W624" t="str">
        <f>PROPER(TEXT(A624,"mmmm"))</f>
        <v>Abril</v>
      </c>
      <c r="X624" t="str">
        <f>PROPER(TEXT(A624,"dddd"))</f>
        <v>Viernes</v>
      </c>
      <c r="Y624" t="str" cm="1">
        <f t="array" ref="Y624">_xlfn.IFS(R624&gt;10,"Excelente",R624&gt;=5,"Bueno",R624&gt;=2,"Débil",R624&lt;2,"Deficiente")</f>
        <v>Excelente</v>
      </c>
      <c r="Z624" t="str">
        <f>IF(AND(R624&lt;2,Q624&gt;=100),"Revisar","OK")</f>
        <v>OK</v>
      </c>
      <c r="AA624" s="55">
        <f>_xlfn.XLOOKUP(C624,'Preguntas de negocio'!$C$114:$C$119,'Preguntas de negocio'!$D$114:$D$119,0)</f>
        <v>4</v>
      </c>
      <c r="AB624" s="55">
        <f>VLOOKUP(C624,'Preguntas de negocio'!$C$121:$D$127,2,FALSE)</f>
        <v>0.95</v>
      </c>
    </row>
    <row r="625" spans="1:28" x14ac:dyDescent="0.3">
      <c r="A625" s="1">
        <v>45863</v>
      </c>
      <c r="B625" s="2" t="s">
        <v>2619</v>
      </c>
      <c r="C625" s="2" t="s">
        <v>2541</v>
      </c>
      <c r="D625" s="2" t="s">
        <v>2528</v>
      </c>
      <c r="E625" s="2" t="s">
        <v>2529</v>
      </c>
      <c r="F625" s="3">
        <v>98413</v>
      </c>
      <c r="G625" s="3">
        <v>2172</v>
      </c>
      <c r="H625" s="3">
        <v>186</v>
      </c>
      <c r="I625" s="4">
        <v>905.11</v>
      </c>
      <c r="J625" s="4">
        <v>12273.46</v>
      </c>
      <c r="K625" s="3">
        <v>115</v>
      </c>
      <c r="L625" s="2" t="s">
        <v>2523</v>
      </c>
      <c r="M625" s="2" t="s">
        <v>2526</v>
      </c>
      <c r="N625" s="8">
        <f>IFERROR(G625/F625,0)</f>
        <v>2.2070254945992906E-2</v>
      </c>
      <c r="O625" s="8">
        <f>IFERROR(H625/G625,0)</f>
        <v>8.5635359116022103E-2</v>
      </c>
      <c r="P625" s="4">
        <f>IFERROR(I625/G625,0)</f>
        <v>0.41671731123388583</v>
      </c>
      <c r="Q625" s="4">
        <f>IFERROR(I625/H625,0)</f>
        <v>4.8661827956989248</v>
      </c>
      <c r="R625" s="12">
        <f>IFERROR(J625/I625,0)</f>
        <v>13.560186054733677</v>
      </c>
      <c r="S625" s="7">
        <f>Tabla_nuevas_columnas[[#This Row],[ROAS]]</f>
        <v>13.560186054733677</v>
      </c>
      <c r="T625" t="str">
        <f>_xlfn.CONCAT(C625,"-",D625)</f>
        <v>Display-España</v>
      </c>
      <c r="U625">
        <f>YEAR(A625)</f>
        <v>2025</v>
      </c>
      <c r="V625">
        <f>MONTH(A625)</f>
        <v>7</v>
      </c>
      <c r="W625" t="str">
        <f>PROPER(TEXT(A625,"mmmm"))</f>
        <v>Julio</v>
      </c>
      <c r="X625" t="str">
        <f>PROPER(TEXT(A625,"dddd"))</f>
        <v>Viernes</v>
      </c>
      <c r="Y625" t="str" cm="1">
        <f t="array" ref="Y625">_xlfn.IFS(R625&gt;10,"Excelente",R625&gt;=5,"Bueno",R625&gt;=2,"Débil",R625&lt;2,"Deficiente")</f>
        <v>Excelente</v>
      </c>
      <c r="Z625" t="str">
        <f>IF(AND(R625&lt;2,Q625&gt;=100),"Revisar","OK")</f>
        <v>OK</v>
      </c>
      <c r="AA625" s="55">
        <f>_xlfn.XLOOKUP(C625,'Preguntas de negocio'!$C$114:$C$119,'Preguntas de negocio'!$D$114:$D$119,0)</f>
        <v>5</v>
      </c>
      <c r="AB625" s="55">
        <f>VLOOKUP(C625,'Preguntas de negocio'!$C$121:$D$127,2,FALSE)</f>
        <v>0.5</v>
      </c>
    </row>
    <row r="626" spans="1:28" x14ac:dyDescent="0.3">
      <c r="A626" s="1">
        <v>45963</v>
      </c>
      <c r="B626" s="2" t="s">
        <v>2624</v>
      </c>
      <c r="C626" s="2" t="s">
        <v>2521</v>
      </c>
      <c r="D626" s="2" t="s">
        <v>2516</v>
      </c>
      <c r="E626" s="2" t="s">
        <v>2529</v>
      </c>
      <c r="F626" s="3">
        <v>77029</v>
      </c>
      <c r="G626" s="3">
        <v>77272</v>
      </c>
      <c r="H626" s="3">
        <v>303</v>
      </c>
      <c r="I626" s="4">
        <v>5239.8900000000003</v>
      </c>
      <c r="J626" s="4">
        <v>12309.36</v>
      </c>
      <c r="K626" s="3">
        <v>204</v>
      </c>
      <c r="L626" s="2" t="s">
        <v>2518</v>
      </c>
      <c r="M626" s="2" t="s">
        <v>2537</v>
      </c>
      <c r="N626" s="8">
        <f>IFERROR(G626/F626,0)</f>
        <v>1.0031546560386349</v>
      </c>
      <c r="O626" s="8">
        <f>IFERROR(H626/G626,0)</f>
        <v>3.9212133761258932E-3</v>
      </c>
      <c r="P626" s="4">
        <f>IFERROR(I626/G626,0)</f>
        <v>6.7810979397453161E-2</v>
      </c>
      <c r="Q626" s="4">
        <f>IFERROR(I626/H626,0)</f>
        <v>17.293366336633664</v>
      </c>
      <c r="R626" s="12">
        <f>IFERROR(J626/I626,0)</f>
        <v>2.3491638183244303</v>
      </c>
      <c r="S626" s="7">
        <f>Tabla_nuevas_columnas[[#This Row],[ROAS]]</f>
        <v>2.3491638183244303</v>
      </c>
      <c r="T626" t="str">
        <f>_xlfn.CONCAT(C626,"-",D626)</f>
        <v>Paid Search-México</v>
      </c>
      <c r="U626">
        <f>YEAR(A626)</f>
        <v>2025</v>
      </c>
      <c r="V626">
        <f>MONTH(A626)</f>
        <v>11</v>
      </c>
      <c r="W626" t="str">
        <f>PROPER(TEXT(A626,"mmmm"))</f>
        <v>Noviembre</v>
      </c>
      <c r="X626" t="str">
        <f>PROPER(TEXT(A626,"dddd"))</f>
        <v>Domingo</v>
      </c>
      <c r="Y626" t="str" cm="1">
        <f t="array" ref="Y626">_xlfn.IFS(R626&gt;10,"Excelente",R626&gt;=5,"Bueno",R626&gt;=2,"Débil",R626&lt;2,"Deficiente")</f>
        <v>Débil</v>
      </c>
      <c r="Z626" t="str">
        <f>IF(AND(R626&lt;2,Q626&gt;=100),"Revisar","OK")</f>
        <v>OK</v>
      </c>
      <c r="AA626" s="55">
        <f>_xlfn.XLOOKUP(C626,'Preguntas de negocio'!$C$114:$C$119,'Preguntas de negocio'!$D$114:$D$119,0)</f>
        <v>5</v>
      </c>
      <c r="AB626" s="55">
        <f>VLOOKUP(C626,'Preguntas de negocio'!$C$121:$D$127,2,FALSE)</f>
        <v>1.1000000000000001</v>
      </c>
    </row>
    <row r="627" spans="1:28" x14ac:dyDescent="0.3">
      <c r="A627" s="1">
        <v>45678</v>
      </c>
      <c r="B627" s="2" t="s">
        <v>2621</v>
      </c>
      <c r="C627" s="2" t="s">
        <v>2543</v>
      </c>
      <c r="D627" s="2" t="s">
        <v>2522</v>
      </c>
      <c r="E627" s="2" t="s">
        <v>2517</v>
      </c>
      <c r="F627" s="3">
        <v>50949</v>
      </c>
      <c r="G627" s="3">
        <v>2025</v>
      </c>
      <c r="H627" s="3">
        <v>69</v>
      </c>
      <c r="I627" s="4">
        <v>3336.51</v>
      </c>
      <c r="J627" s="4">
        <v>9142.67</v>
      </c>
      <c r="K627" s="3">
        <v>33</v>
      </c>
      <c r="L627" s="2" t="s">
        <v>2536</v>
      </c>
      <c r="M627" s="2" t="s">
        <v>2537</v>
      </c>
      <c r="N627" s="8">
        <f>IFERROR(G627/F627,0)</f>
        <v>3.9745627980922099E-2</v>
      </c>
      <c r="O627" s="8">
        <f>IFERROR(H627/G627,0)</f>
        <v>3.4074074074074076E-2</v>
      </c>
      <c r="P627" s="4">
        <f>IFERROR(I627/G627,0)</f>
        <v>1.6476592592592594</v>
      </c>
      <c r="Q627" s="4">
        <f>IFERROR(I627/H627,0)</f>
        <v>48.35521739130435</v>
      </c>
      <c r="R627" s="12">
        <f>IFERROR(J627/I627,0)</f>
        <v>2.7401895993118557</v>
      </c>
      <c r="S627" s="7">
        <f>Tabla_nuevas_columnas[[#This Row],[ROAS]]</f>
        <v>2.7401895993118557</v>
      </c>
      <c r="T627" t="str">
        <f>_xlfn.CONCAT(C627,"-",D627)</f>
        <v>Organic Social-Italia</v>
      </c>
      <c r="U627">
        <f>YEAR(A627)</f>
        <v>2025</v>
      </c>
      <c r="V627">
        <f>MONTH(A627)</f>
        <v>1</v>
      </c>
      <c r="W627" t="str">
        <f>PROPER(TEXT(A627,"mmmm"))</f>
        <v>Enero</v>
      </c>
      <c r="X627" t="str">
        <f>PROPER(TEXT(A627,"dddd"))</f>
        <v>Martes</v>
      </c>
      <c r="Y627" t="str" cm="1">
        <f t="array" ref="Y627">_xlfn.IFS(R627&gt;10,"Excelente",R627&gt;=5,"Bueno",R627&gt;=2,"Débil",R627&lt;2,"Deficiente")</f>
        <v>Débil</v>
      </c>
      <c r="Z627" t="str">
        <f>IF(AND(R627&lt;2,Q627&gt;=100),"Revisar","OK")</f>
        <v>OK</v>
      </c>
      <c r="AA627" s="55">
        <f>_xlfn.XLOOKUP(C627,'Preguntas de negocio'!$C$114:$C$119,'Preguntas de negocio'!$D$114:$D$119,0)</f>
        <v>4</v>
      </c>
      <c r="AB627" s="55">
        <f>VLOOKUP(C627,'Preguntas de negocio'!$C$121:$D$127,2,FALSE)</f>
        <v>0.95</v>
      </c>
    </row>
    <row r="628" spans="1:28" x14ac:dyDescent="0.3">
      <c r="A628" s="1">
        <v>45661</v>
      </c>
      <c r="B628" s="2" t="s">
        <v>2626</v>
      </c>
      <c r="C628" s="2" t="s">
        <v>2521</v>
      </c>
      <c r="D628" s="2" t="s">
        <v>2531</v>
      </c>
      <c r="E628" s="2" t="s">
        <v>2534</v>
      </c>
      <c r="F628" s="3">
        <v>117222</v>
      </c>
      <c r="G628" s="3">
        <v>3792</v>
      </c>
      <c r="H628" s="3">
        <v>377</v>
      </c>
      <c r="I628" s="4">
        <v>4978.53</v>
      </c>
      <c r="J628" s="4">
        <v>54629.07</v>
      </c>
      <c r="K628" s="3">
        <v>232</v>
      </c>
      <c r="L628" s="2" t="s">
        <v>2536</v>
      </c>
      <c r="M628" s="2" t="s">
        <v>2519</v>
      </c>
      <c r="N628" s="8">
        <f>IFERROR(G628/F628,0)</f>
        <v>3.2348876490761118E-2</v>
      </c>
      <c r="O628" s="8">
        <f>IFERROR(H628/G628,0)</f>
        <v>9.9419831223628685E-2</v>
      </c>
      <c r="P628" s="4">
        <f>IFERROR(I628/G628,0)</f>
        <v>1.3129034810126581</v>
      </c>
      <c r="Q628" s="4">
        <f>IFERROR(I628/H628,0)</f>
        <v>13.205649867374005</v>
      </c>
      <c r="R628" s="12">
        <f>IFERROR(J628/I628,0)</f>
        <v>10.972931769016157</v>
      </c>
      <c r="S628" s="7">
        <f>Tabla_nuevas_columnas[[#This Row],[ROAS]]</f>
        <v>10.972931769016157</v>
      </c>
      <c r="T628" t="str">
        <f>_xlfn.CONCAT(C628,"-",D628)</f>
        <v>Paid Search-Portugal</v>
      </c>
      <c r="U628">
        <f>YEAR(A628)</f>
        <v>2025</v>
      </c>
      <c r="V628">
        <f>MONTH(A628)</f>
        <v>1</v>
      </c>
      <c r="W628" t="str">
        <f>PROPER(TEXT(A628,"mmmm"))</f>
        <v>Enero</v>
      </c>
      <c r="X628" t="str">
        <f>PROPER(TEXT(A628,"dddd"))</f>
        <v>Sábado</v>
      </c>
      <c r="Y628" t="str" cm="1">
        <f t="array" ref="Y628">_xlfn.IFS(R628&gt;10,"Excelente",R628&gt;=5,"Bueno",R628&gt;=2,"Débil",R628&lt;2,"Deficiente")</f>
        <v>Excelente</v>
      </c>
      <c r="Z628" t="str">
        <f>IF(AND(R628&lt;2,Q628&gt;=100),"Revisar","OK")</f>
        <v>OK</v>
      </c>
      <c r="AA628" s="55">
        <f>_xlfn.XLOOKUP(C628,'Preguntas de negocio'!$C$114:$C$119,'Preguntas de negocio'!$D$114:$D$119,0)</f>
        <v>5</v>
      </c>
      <c r="AB628" s="55">
        <f>VLOOKUP(C628,'Preguntas de negocio'!$C$121:$D$127,2,FALSE)</f>
        <v>1.1000000000000001</v>
      </c>
    </row>
    <row r="629" spans="1:28" x14ac:dyDescent="0.3">
      <c r="A629" s="1">
        <v>45776</v>
      </c>
      <c r="B629" s="2" t="s">
        <v>2617</v>
      </c>
      <c r="C629" s="2" t="s">
        <v>2515</v>
      </c>
      <c r="D629" s="2" t="s">
        <v>2516</v>
      </c>
      <c r="E629" s="2" t="s">
        <v>2529</v>
      </c>
      <c r="F629" s="3">
        <v>9798</v>
      </c>
      <c r="G629" s="3">
        <v>405</v>
      </c>
      <c r="H629" s="3">
        <v>10</v>
      </c>
      <c r="I629" s="4">
        <v>509.77</v>
      </c>
      <c r="J629" s="4">
        <v>1018.24</v>
      </c>
      <c r="K629" s="3">
        <v>7</v>
      </c>
      <c r="L629" s="2" t="s">
        <v>2523</v>
      </c>
      <c r="M629" s="2" t="s">
        <v>2526</v>
      </c>
      <c r="N629" s="8">
        <f>IFERROR(G629/F629,0)</f>
        <v>4.1334966319657072E-2</v>
      </c>
      <c r="O629" s="8">
        <f>IFERROR(H629/G629,0)</f>
        <v>2.4691358024691357E-2</v>
      </c>
      <c r="P629" s="4">
        <f>IFERROR(I629/G629,0)</f>
        <v>1.2586913580246912</v>
      </c>
      <c r="Q629" s="4">
        <f>IFERROR(I629/H629,0)</f>
        <v>50.976999999999997</v>
      </c>
      <c r="R629" s="12">
        <f>IFERROR(J629/I629,0)</f>
        <v>1.9974498303156327</v>
      </c>
      <c r="S629" s="7">
        <f>Tabla_nuevas_columnas[[#This Row],[ROAS]]</f>
        <v>1.9974498303156327</v>
      </c>
      <c r="T629" t="str">
        <f>_xlfn.CONCAT(C629,"-",D629)</f>
        <v>Email-México</v>
      </c>
      <c r="U629">
        <f>YEAR(A629)</f>
        <v>2025</v>
      </c>
      <c r="V629">
        <f>MONTH(A629)</f>
        <v>4</v>
      </c>
      <c r="W629" t="str">
        <f>PROPER(TEXT(A629,"mmmm"))</f>
        <v>Abril</v>
      </c>
      <c r="X629" t="str">
        <f>PROPER(TEXT(A629,"dddd"))</f>
        <v>Martes</v>
      </c>
      <c r="Y629" t="str" cm="1">
        <f t="array" ref="Y629">_xlfn.IFS(R629&gt;10,"Excelente",R629&gt;=5,"Bueno",R629&gt;=2,"Débil",R629&lt;2,"Deficiente")</f>
        <v>Deficiente</v>
      </c>
      <c r="Z629" t="str">
        <f>IF(AND(R629&lt;2,Q629&gt;=100),"Revisar","OK")</f>
        <v>OK</v>
      </c>
      <c r="AA629" s="55">
        <f>_xlfn.XLOOKUP(C629,'Preguntas de negocio'!$C$114:$C$119,'Preguntas de negocio'!$D$114:$D$119,0)</f>
        <v>5.5</v>
      </c>
      <c r="AB629" s="55">
        <f>VLOOKUP(C629,'Preguntas de negocio'!$C$121:$D$127,2,FALSE)</f>
        <v>0.65</v>
      </c>
    </row>
    <row r="630" spans="1:28" x14ac:dyDescent="0.3">
      <c r="A630" s="1">
        <v>45848</v>
      </c>
      <c r="B630" s="2" t="s">
        <v>2628</v>
      </c>
      <c r="C630" s="2" t="s">
        <v>2527</v>
      </c>
      <c r="D630" s="2" t="s">
        <v>2528</v>
      </c>
      <c r="E630" s="2" t="s">
        <v>2534</v>
      </c>
      <c r="F630" s="3">
        <v>50433</v>
      </c>
      <c r="G630" s="3">
        <v>361</v>
      </c>
      <c r="H630" s="3">
        <v>31</v>
      </c>
      <c r="I630" s="4">
        <v>499.36</v>
      </c>
      <c r="J630" s="4">
        <v>4692.1000000000004</v>
      </c>
      <c r="K630" s="3">
        <v>15</v>
      </c>
      <c r="L630" s="2" t="s">
        <v>2539</v>
      </c>
      <c r="M630" s="2" t="s">
        <v>2546</v>
      </c>
      <c r="N630" s="8">
        <f>IFERROR(G630/F630,0)</f>
        <v>7.158011619376202E-3</v>
      </c>
      <c r="O630" s="8">
        <f>IFERROR(H630/G630,0)</f>
        <v>8.5872576177285317E-2</v>
      </c>
      <c r="P630" s="4">
        <f>IFERROR(I630/G630,0)</f>
        <v>1.3832686980609419</v>
      </c>
      <c r="Q630" s="4">
        <f>IFERROR(I630/H630,0)</f>
        <v>16.108387096774194</v>
      </c>
      <c r="R630" s="12">
        <f>IFERROR(J630/I630,0)</f>
        <v>9.3962271707785963</v>
      </c>
      <c r="S630" s="7">
        <f>Tabla_nuevas_columnas[[#This Row],[ROAS]]</f>
        <v>9.3962271707785963</v>
      </c>
      <c r="T630" t="str">
        <f>_xlfn.CONCAT(C630,"-",D630)</f>
        <v>Affiliate-España</v>
      </c>
      <c r="U630">
        <f>YEAR(A630)</f>
        <v>2025</v>
      </c>
      <c r="V630">
        <f>MONTH(A630)</f>
        <v>7</v>
      </c>
      <c r="W630" t="str">
        <f>PROPER(TEXT(A630,"mmmm"))</f>
        <v>Julio</v>
      </c>
      <c r="X630" t="str">
        <f>PROPER(TEXT(A630,"dddd"))</f>
        <v>Jueves</v>
      </c>
      <c r="Y630" t="str" cm="1">
        <f t="array" ref="Y630">_xlfn.IFS(R630&gt;10,"Excelente",R630&gt;=5,"Bueno",R630&gt;=2,"Débil",R630&lt;2,"Deficiente")</f>
        <v>Bueno</v>
      </c>
      <c r="Z630" t="str">
        <f>IF(AND(R630&lt;2,Q630&gt;=100),"Revisar","OK")</f>
        <v>OK</v>
      </c>
      <c r="AA630" s="55">
        <f>_xlfn.XLOOKUP(C630,'Preguntas de negocio'!$C$114:$C$119,'Preguntas de negocio'!$D$114:$D$119,0)</f>
        <v>4.5</v>
      </c>
      <c r="AB630" s="55">
        <f>VLOOKUP(C630,'Preguntas de negocio'!$C$121:$D$127,2,FALSE)</f>
        <v>0.35</v>
      </c>
    </row>
    <row r="631" spans="1:28" x14ac:dyDescent="0.3">
      <c r="A631" s="1">
        <v>45673</v>
      </c>
      <c r="B631" s="2" t="s">
        <v>2640</v>
      </c>
      <c r="C631" s="2" t="s">
        <v>2541</v>
      </c>
      <c r="D631" s="2" t="s">
        <v>2528</v>
      </c>
      <c r="E631" s="2" t="s">
        <v>2517</v>
      </c>
      <c r="F631" s="3">
        <v>91198</v>
      </c>
      <c r="G631" s="3">
        <v>1055</v>
      </c>
      <c r="H631" s="3">
        <v>107</v>
      </c>
      <c r="I631" s="4">
        <v>1102.57</v>
      </c>
      <c r="J631" s="4">
        <v>4468.3100000000004</v>
      </c>
      <c r="K631" s="3">
        <v>83</v>
      </c>
      <c r="L631" s="2" t="s">
        <v>2523</v>
      </c>
      <c r="M631" s="2" t="s">
        <v>2519</v>
      </c>
      <c r="N631" s="8">
        <f>IFERROR(G631/F631,0)</f>
        <v>1.1568236145529508E-2</v>
      </c>
      <c r="O631" s="8">
        <f>IFERROR(H631/G631,0)</f>
        <v>0.1014218009478673</v>
      </c>
      <c r="P631" s="4">
        <f>IFERROR(I631/G631,0)</f>
        <v>1.0450900473933649</v>
      </c>
      <c r="Q631" s="4">
        <f>IFERROR(I631/H631,0)</f>
        <v>10.304392523364486</v>
      </c>
      <c r="R631" s="12">
        <f>IFERROR(J631/I631,0)</f>
        <v>4.052631578947369</v>
      </c>
      <c r="S631" s="7">
        <f>Tabla_nuevas_columnas[[#This Row],[ROAS]]</f>
        <v>4.052631578947369</v>
      </c>
      <c r="T631" t="str">
        <f>_xlfn.CONCAT(C631,"-",D631)</f>
        <v>Display-España</v>
      </c>
      <c r="U631">
        <f>YEAR(A631)</f>
        <v>2025</v>
      </c>
      <c r="V631">
        <f>MONTH(A631)</f>
        <v>1</v>
      </c>
      <c r="W631" t="str">
        <f>PROPER(TEXT(A631,"mmmm"))</f>
        <v>Enero</v>
      </c>
      <c r="X631" t="str">
        <f>PROPER(TEXT(A631,"dddd"))</f>
        <v>Jueves</v>
      </c>
      <c r="Y631" t="str" cm="1">
        <f t="array" ref="Y631">_xlfn.IFS(R631&gt;10,"Excelente",R631&gt;=5,"Bueno",R631&gt;=2,"Débil",R631&lt;2,"Deficiente")</f>
        <v>Débil</v>
      </c>
      <c r="Z631" t="str">
        <f>IF(AND(R631&lt;2,Q631&gt;=100),"Revisar","OK")</f>
        <v>OK</v>
      </c>
      <c r="AA631" s="55">
        <f>_xlfn.XLOOKUP(C631,'Preguntas de negocio'!$C$114:$C$119,'Preguntas de negocio'!$D$114:$D$119,0)</f>
        <v>5</v>
      </c>
      <c r="AB631" s="55">
        <f>VLOOKUP(C631,'Preguntas de negocio'!$C$121:$D$127,2,FALSE)</f>
        <v>0.5</v>
      </c>
    </row>
    <row r="632" spans="1:28" x14ac:dyDescent="0.3">
      <c r="A632" s="1">
        <v>45977</v>
      </c>
      <c r="B632" s="2" t="s">
        <v>2623</v>
      </c>
      <c r="C632" s="2" t="s">
        <v>2521</v>
      </c>
      <c r="D632" s="2" t="s">
        <v>2528</v>
      </c>
      <c r="E632" s="2" t="s">
        <v>2529</v>
      </c>
      <c r="F632" s="3">
        <v>50931</v>
      </c>
      <c r="G632" s="3">
        <v>1955</v>
      </c>
      <c r="H632" s="3">
        <v>166</v>
      </c>
      <c r="I632" s="4">
        <v>3380.33</v>
      </c>
      <c r="J632" s="4">
        <v>28495.71</v>
      </c>
      <c r="K632" s="3">
        <v>101</v>
      </c>
      <c r="L632" s="2" t="s">
        <v>2536</v>
      </c>
      <c r="M632" s="2" t="s">
        <v>2524</v>
      </c>
      <c r="N632" s="8">
        <f>IFERROR(G632/F632,0)</f>
        <v>3.8385266340735504E-2</v>
      </c>
      <c r="O632" s="8">
        <f>IFERROR(H632/G632,0)</f>
        <v>8.4910485933503838E-2</v>
      </c>
      <c r="P632" s="4">
        <f>IFERROR(I632/G632,0)</f>
        <v>1.7290690537084399</v>
      </c>
      <c r="Q632" s="4">
        <f>IFERROR(I632/H632,0)</f>
        <v>20.363433734939758</v>
      </c>
      <c r="R632" s="12">
        <f>IFERROR(J632/I632,0)</f>
        <v>8.4298603982451414</v>
      </c>
      <c r="S632" s="7">
        <f>Tabla_nuevas_columnas[[#This Row],[ROAS]]</f>
        <v>8.4298603982451414</v>
      </c>
      <c r="T632" t="str">
        <f>_xlfn.CONCAT(C632,"-",D632)</f>
        <v>Paid Search-España</v>
      </c>
      <c r="U632">
        <f>YEAR(A632)</f>
        <v>2025</v>
      </c>
      <c r="V632">
        <f>MONTH(A632)</f>
        <v>11</v>
      </c>
      <c r="W632" t="str">
        <f>PROPER(TEXT(A632,"mmmm"))</f>
        <v>Noviembre</v>
      </c>
      <c r="X632" t="str">
        <f>PROPER(TEXT(A632,"dddd"))</f>
        <v>Domingo</v>
      </c>
      <c r="Y632" t="str" cm="1">
        <f t="array" ref="Y632">_xlfn.IFS(R632&gt;10,"Excelente",R632&gt;=5,"Bueno",R632&gt;=2,"Débil",R632&lt;2,"Deficiente")</f>
        <v>Bueno</v>
      </c>
      <c r="Z632" t="str">
        <f>IF(AND(R632&lt;2,Q632&gt;=100),"Revisar","OK")</f>
        <v>OK</v>
      </c>
      <c r="AA632" s="55">
        <f>_xlfn.XLOOKUP(C632,'Preguntas de negocio'!$C$114:$C$119,'Preguntas de negocio'!$D$114:$D$119,0)</f>
        <v>5</v>
      </c>
      <c r="AB632" s="55">
        <f>VLOOKUP(C632,'Preguntas de negocio'!$C$121:$D$127,2,FALSE)</f>
        <v>1.1000000000000001</v>
      </c>
    </row>
    <row r="633" spans="1:28" x14ac:dyDescent="0.3">
      <c r="A633" s="1">
        <v>45673</v>
      </c>
      <c r="B633" s="2" t="s">
        <v>2634</v>
      </c>
      <c r="C633" s="2" t="s">
        <v>2541</v>
      </c>
      <c r="D633" s="2" t="s">
        <v>2528</v>
      </c>
      <c r="E633" s="2" t="s">
        <v>2529</v>
      </c>
      <c r="F633" s="3">
        <v>131451</v>
      </c>
      <c r="G633" s="3">
        <v>10842</v>
      </c>
      <c r="H633" s="3">
        <v>1200</v>
      </c>
      <c r="I633" s="4">
        <v>22247.11</v>
      </c>
      <c r="J633" s="4">
        <v>246975.73</v>
      </c>
      <c r="K633" s="3">
        <v>947</v>
      </c>
      <c r="L633" s="2" t="s">
        <v>2518</v>
      </c>
      <c r="M633" s="2" t="s">
        <v>2546</v>
      </c>
      <c r="N633" s="8">
        <f>IFERROR(G633/F633,0)</f>
        <v>8.2479402971449442E-2</v>
      </c>
      <c r="O633" s="8">
        <f>IFERROR(H633/G633,0)</f>
        <v>0.11068068622025456</v>
      </c>
      <c r="P633" s="4">
        <f>IFERROR(I633/G633,0)</f>
        <v>2.0519378343479064</v>
      </c>
      <c r="Q633" s="4">
        <f>IFERROR(I633/H633,0)</f>
        <v>18.539258333333333</v>
      </c>
      <c r="R633" s="12">
        <f>IFERROR(J633/I633,0)</f>
        <v>11.101474753349986</v>
      </c>
      <c r="S633" s="7">
        <f>Tabla_nuevas_columnas[[#This Row],[ROAS]]</f>
        <v>11.101474753349986</v>
      </c>
      <c r="T633" t="str">
        <f>_xlfn.CONCAT(C633,"-",D633)</f>
        <v>Display-España</v>
      </c>
      <c r="U633">
        <f>YEAR(A633)</f>
        <v>2025</v>
      </c>
      <c r="V633">
        <f>MONTH(A633)</f>
        <v>1</v>
      </c>
      <c r="W633" t="str">
        <f>PROPER(TEXT(A633,"mmmm"))</f>
        <v>Enero</v>
      </c>
      <c r="X633" t="str">
        <f>PROPER(TEXT(A633,"dddd"))</f>
        <v>Jueves</v>
      </c>
      <c r="Y633" t="str" cm="1">
        <f t="array" ref="Y633">_xlfn.IFS(R633&gt;10,"Excelente",R633&gt;=5,"Bueno",R633&gt;=2,"Débil",R633&lt;2,"Deficiente")</f>
        <v>Excelente</v>
      </c>
      <c r="Z633" t="str">
        <f>IF(AND(R633&lt;2,Q633&gt;=100),"Revisar","OK")</f>
        <v>OK</v>
      </c>
      <c r="AA633" s="55">
        <f>_xlfn.XLOOKUP(C633,'Preguntas de negocio'!$C$114:$C$119,'Preguntas de negocio'!$D$114:$D$119,0)</f>
        <v>5</v>
      </c>
      <c r="AB633" s="55">
        <f>VLOOKUP(C633,'Preguntas de negocio'!$C$121:$D$127,2,FALSE)</f>
        <v>0.5</v>
      </c>
    </row>
    <row r="634" spans="1:28" x14ac:dyDescent="0.3">
      <c r="A634" s="1">
        <v>45933</v>
      </c>
      <c r="B634" s="2" t="s">
        <v>2619</v>
      </c>
      <c r="C634" s="2" t="s">
        <v>2521</v>
      </c>
      <c r="D634" s="2" t="s">
        <v>2516</v>
      </c>
      <c r="E634" s="2" t="s">
        <v>2529</v>
      </c>
      <c r="F634" s="3">
        <v>133990</v>
      </c>
      <c r="G634" s="3">
        <v>1889</v>
      </c>
      <c r="H634" s="3">
        <v>31</v>
      </c>
      <c r="I634" s="4">
        <v>2510.4499999999998</v>
      </c>
      <c r="J634" s="4">
        <v>2879.75</v>
      </c>
      <c r="K634" s="3">
        <v>21</v>
      </c>
      <c r="L634" s="2" t="s">
        <v>2536</v>
      </c>
      <c r="M634" s="2" t="s">
        <v>2524</v>
      </c>
      <c r="N634" s="8">
        <f>IFERROR(G634/F634,0)</f>
        <v>1.4098067019926859E-2</v>
      </c>
      <c r="O634" s="8">
        <f>IFERROR(H634/G634,0)</f>
        <v>1.641079936474325E-2</v>
      </c>
      <c r="P634" s="4">
        <f>IFERROR(I634/G634,0)</f>
        <v>1.3289835892006352</v>
      </c>
      <c r="Q634" s="4">
        <f>IFERROR(I634/H634,0)</f>
        <v>80.982258064516117</v>
      </c>
      <c r="R634" s="12">
        <f>IFERROR(J634/I634,0)</f>
        <v>1.1471051006791613</v>
      </c>
      <c r="S634" s="7">
        <f>Tabla_nuevas_columnas[[#This Row],[ROAS]]</f>
        <v>1.1471051006791613</v>
      </c>
      <c r="T634" t="str">
        <f>_xlfn.CONCAT(C634,"-",D634)</f>
        <v>Paid Search-México</v>
      </c>
      <c r="U634">
        <f>YEAR(A634)</f>
        <v>2025</v>
      </c>
      <c r="V634">
        <f>MONTH(A634)</f>
        <v>10</v>
      </c>
      <c r="W634" t="str">
        <f>PROPER(TEXT(A634,"mmmm"))</f>
        <v>Octubre</v>
      </c>
      <c r="X634" t="str">
        <f>PROPER(TEXT(A634,"dddd"))</f>
        <v>Viernes</v>
      </c>
      <c r="Y634" t="str" cm="1">
        <f t="array" ref="Y634">_xlfn.IFS(R634&gt;10,"Excelente",R634&gt;=5,"Bueno",R634&gt;=2,"Débil",R634&lt;2,"Deficiente")</f>
        <v>Deficiente</v>
      </c>
      <c r="Z634" t="str">
        <f>IF(AND(R634&lt;2,Q634&gt;=100),"Revisar","OK")</f>
        <v>OK</v>
      </c>
      <c r="AA634" s="55">
        <f>_xlfn.XLOOKUP(C634,'Preguntas de negocio'!$C$114:$C$119,'Preguntas de negocio'!$D$114:$D$119,0)</f>
        <v>5</v>
      </c>
      <c r="AB634" s="55">
        <f>VLOOKUP(C634,'Preguntas de negocio'!$C$121:$D$127,2,FALSE)</f>
        <v>1.1000000000000001</v>
      </c>
    </row>
    <row r="635" spans="1:28" x14ac:dyDescent="0.3">
      <c r="A635" s="1">
        <v>45782</v>
      </c>
      <c r="B635" s="2" t="s">
        <v>2636</v>
      </c>
      <c r="C635" s="2" t="s">
        <v>2541</v>
      </c>
      <c r="D635" s="2" t="s">
        <v>2528</v>
      </c>
      <c r="E635" s="2" t="s">
        <v>2529</v>
      </c>
      <c r="F635" s="3">
        <v>58227</v>
      </c>
      <c r="G635" s="3">
        <v>1929</v>
      </c>
      <c r="H635" s="3">
        <v>123</v>
      </c>
      <c r="I635" s="4">
        <v>3435.75</v>
      </c>
      <c r="J635" s="4">
        <v>8008.73</v>
      </c>
      <c r="K635" s="3">
        <v>60</v>
      </c>
      <c r="L635" s="2" t="s">
        <v>2518</v>
      </c>
      <c r="M635" s="2" t="s">
        <v>2546</v>
      </c>
      <c r="N635" s="8">
        <f>IFERROR(G635/F635,0)</f>
        <v>3.3128960791385442E-2</v>
      </c>
      <c r="O635" s="8">
        <f>IFERROR(H635/G635,0)</f>
        <v>6.3763608087091764E-2</v>
      </c>
      <c r="P635" s="4">
        <f>IFERROR(I635/G635,0)</f>
        <v>1.7811041990668741</v>
      </c>
      <c r="Q635" s="4">
        <f>IFERROR(I635/H635,0)</f>
        <v>27.932926829268293</v>
      </c>
      <c r="R635" s="12">
        <f>IFERROR(J635/I635,0)</f>
        <v>2.330999054063887</v>
      </c>
      <c r="S635" s="7">
        <f>Tabla_nuevas_columnas[[#This Row],[ROAS]]</f>
        <v>2.330999054063887</v>
      </c>
      <c r="T635" t="str">
        <f>_xlfn.CONCAT(C635,"-",D635)</f>
        <v>Display-España</v>
      </c>
      <c r="U635">
        <f>YEAR(A635)</f>
        <v>2025</v>
      </c>
      <c r="V635">
        <f>MONTH(A635)</f>
        <v>5</v>
      </c>
      <c r="W635" t="str">
        <f>PROPER(TEXT(A635,"mmmm"))</f>
        <v>Mayo</v>
      </c>
      <c r="X635" t="str">
        <f>PROPER(TEXT(A635,"dddd"))</f>
        <v>Lunes</v>
      </c>
      <c r="Y635" t="str" cm="1">
        <f t="array" ref="Y635">_xlfn.IFS(R635&gt;10,"Excelente",R635&gt;=5,"Bueno",R635&gt;=2,"Débil",R635&lt;2,"Deficiente")</f>
        <v>Débil</v>
      </c>
      <c r="Z635" t="str">
        <f>IF(AND(R635&lt;2,Q635&gt;=100),"Revisar","OK")</f>
        <v>OK</v>
      </c>
      <c r="AA635" s="55">
        <f>_xlfn.XLOOKUP(C635,'Preguntas de negocio'!$C$114:$C$119,'Preguntas de negocio'!$D$114:$D$119,0)</f>
        <v>5</v>
      </c>
      <c r="AB635" s="55">
        <f>VLOOKUP(C635,'Preguntas de negocio'!$C$121:$D$127,2,FALSE)</f>
        <v>0.5</v>
      </c>
    </row>
    <row r="636" spans="1:28" x14ac:dyDescent="0.3">
      <c r="A636" s="1">
        <v>45886</v>
      </c>
      <c r="B636" s="2" t="s">
        <v>2628</v>
      </c>
      <c r="C636" s="2" t="s">
        <v>2533</v>
      </c>
      <c r="D636" s="2" t="s">
        <v>2528</v>
      </c>
      <c r="E636" s="2" t="s">
        <v>2517</v>
      </c>
      <c r="F636" s="3">
        <v>81114</v>
      </c>
      <c r="G636" s="3">
        <v>1267</v>
      </c>
      <c r="H636" s="3">
        <v>46</v>
      </c>
      <c r="I636" s="4">
        <v>2487.8000000000002</v>
      </c>
      <c r="J636" s="4">
        <v>1800.26</v>
      </c>
      <c r="K636" s="3">
        <v>40</v>
      </c>
      <c r="L636" s="2" t="s">
        <v>2539</v>
      </c>
      <c r="M636" s="2" t="s">
        <v>2537</v>
      </c>
      <c r="N636" s="8">
        <f>IFERROR(G636/F636,0)</f>
        <v>1.5619991616736937E-2</v>
      </c>
      <c r="O636" s="8">
        <f>IFERROR(H636/G636,0)</f>
        <v>3.6306235201262825E-2</v>
      </c>
      <c r="P636" s="4">
        <f>IFERROR(I636/G636,0)</f>
        <v>1.9635359116022102</v>
      </c>
      <c r="Q636" s="4">
        <f>IFERROR(I636/H636,0)</f>
        <v>54.082608695652176</v>
      </c>
      <c r="R636" s="12">
        <f>IFERROR(J636/I636,0)</f>
        <v>0.72363534046145184</v>
      </c>
      <c r="S636" s="7">
        <f>Tabla_nuevas_columnas[[#This Row],[ROAS]]</f>
        <v>0.72363534046145184</v>
      </c>
      <c r="T636" t="str">
        <f>_xlfn.CONCAT(C636,"-",D636)</f>
        <v>Paid Social-España</v>
      </c>
      <c r="U636">
        <f>YEAR(A636)</f>
        <v>2025</v>
      </c>
      <c r="V636">
        <f>MONTH(A636)</f>
        <v>8</v>
      </c>
      <c r="W636" t="str">
        <f>PROPER(TEXT(A636,"mmmm"))</f>
        <v>Agosto</v>
      </c>
      <c r="X636" t="str">
        <f>PROPER(TEXT(A636,"dddd"))</f>
        <v>Domingo</v>
      </c>
      <c r="Y636" t="str" cm="1">
        <f t="array" ref="Y636">_xlfn.IFS(R636&gt;10,"Excelente",R636&gt;=5,"Bueno",R636&gt;=2,"Débil",R636&lt;2,"Deficiente")</f>
        <v>Deficiente</v>
      </c>
      <c r="Z636" t="str">
        <f>IF(AND(R636&lt;2,Q636&gt;=100),"Revisar","OK")</f>
        <v>OK</v>
      </c>
      <c r="AA636" s="55">
        <f>_xlfn.XLOOKUP(C636,'Preguntas de negocio'!$C$114:$C$119,'Preguntas de negocio'!$D$114:$D$119,0)</f>
        <v>6</v>
      </c>
      <c r="AB636" s="55">
        <f>VLOOKUP(C636,'Preguntas de negocio'!$C$121:$D$127,2,FALSE)</f>
        <v>0.8</v>
      </c>
    </row>
    <row r="637" spans="1:28" x14ac:dyDescent="0.3">
      <c r="A637" s="1">
        <v>45659</v>
      </c>
      <c r="B637" s="2" t="s">
        <v>2635</v>
      </c>
      <c r="C637" s="2" t="s">
        <v>2533</v>
      </c>
      <c r="D637" s="2" t="s">
        <v>2528</v>
      </c>
      <c r="E637" s="2" t="s">
        <v>2517</v>
      </c>
      <c r="F637" s="3">
        <v>149481</v>
      </c>
      <c r="G637" s="3">
        <v>12168</v>
      </c>
      <c r="H637" s="3">
        <v>743</v>
      </c>
      <c r="I637" s="4">
        <v>14646.37</v>
      </c>
      <c r="J637" s="4">
        <v>91148.79</v>
      </c>
      <c r="K637" s="3">
        <v>633</v>
      </c>
      <c r="L637" s="2" t="s">
        <v>2539</v>
      </c>
      <c r="M637" s="2" t="s">
        <v>2524</v>
      </c>
      <c r="N637" s="8">
        <f>IFERROR(G637/F637,0)</f>
        <v>8.1401649707989646E-2</v>
      </c>
      <c r="O637" s="8">
        <f>IFERROR(H637/G637,0)</f>
        <v>6.1061801446416833E-2</v>
      </c>
      <c r="P637" s="4">
        <f>IFERROR(I637/G637,0)</f>
        <v>1.2036793228139382</v>
      </c>
      <c r="Q637" s="4">
        <f>IFERROR(I637/H637,0)</f>
        <v>19.712476446837147</v>
      </c>
      <c r="R637" s="12">
        <f>IFERROR(J637/I637,0)</f>
        <v>6.2233024292025938</v>
      </c>
      <c r="S637" s="7">
        <f>Tabla_nuevas_columnas[[#This Row],[ROAS]]</f>
        <v>6.2233024292025938</v>
      </c>
      <c r="T637" t="str">
        <f>_xlfn.CONCAT(C637,"-",D637)</f>
        <v>Paid Social-España</v>
      </c>
      <c r="U637">
        <f>YEAR(A637)</f>
        <v>2025</v>
      </c>
      <c r="V637">
        <f>MONTH(A637)</f>
        <v>1</v>
      </c>
      <c r="W637" t="str">
        <f>PROPER(TEXT(A637,"mmmm"))</f>
        <v>Enero</v>
      </c>
      <c r="X637" t="str">
        <f>PROPER(TEXT(A637,"dddd"))</f>
        <v>Jueves</v>
      </c>
      <c r="Y637" t="str" cm="1">
        <f t="array" ref="Y637">_xlfn.IFS(R637&gt;10,"Excelente",R637&gt;=5,"Bueno",R637&gt;=2,"Débil",R637&lt;2,"Deficiente")</f>
        <v>Bueno</v>
      </c>
      <c r="Z637" t="str">
        <f>IF(AND(R637&lt;2,Q637&gt;=100),"Revisar","OK")</f>
        <v>OK</v>
      </c>
      <c r="AA637" s="55">
        <f>_xlfn.XLOOKUP(C637,'Preguntas de negocio'!$C$114:$C$119,'Preguntas de negocio'!$D$114:$D$119,0)</f>
        <v>6</v>
      </c>
      <c r="AB637" s="55">
        <f>VLOOKUP(C637,'Preguntas de negocio'!$C$121:$D$127,2,FALSE)</f>
        <v>0.8</v>
      </c>
    </row>
    <row r="638" spans="1:28" x14ac:dyDescent="0.3">
      <c r="A638" s="1">
        <v>45811</v>
      </c>
      <c r="B638" s="2" t="s">
        <v>2624</v>
      </c>
      <c r="C638" s="2" t="s">
        <v>2515</v>
      </c>
      <c r="D638" s="2" t="s">
        <v>2528</v>
      </c>
      <c r="E638" s="2" t="s">
        <v>2517</v>
      </c>
      <c r="F638" s="3">
        <v>33648</v>
      </c>
      <c r="G638" s="3">
        <v>456</v>
      </c>
      <c r="H638" s="3">
        <v>41</v>
      </c>
      <c r="I638" s="4">
        <v>603.47</v>
      </c>
      <c r="J638" s="4">
        <v>1694.01</v>
      </c>
      <c r="K638" s="3">
        <v>28</v>
      </c>
      <c r="L638" s="2" t="s">
        <v>2523</v>
      </c>
      <c r="M638" s="2" t="s">
        <v>2537</v>
      </c>
      <c r="N638" s="8">
        <f>IFERROR(G638/F638,0)</f>
        <v>1.355206847360913E-2</v>
      </c>
      <c r="O638" s="8">
        <f>IFERROR(H638/G638,0)</f>
        <v>8.9912280701754388E-2</v>
      </c>
      <c r="P638" s="4">
        <f>IFERROR(I638/G638,0)</f>
        <v>1.3233991228070177</v>
      </c>
      <c r="Q638" s="4">
        <f>IFERROR(I638/H638,0)</f>
        <v>14.718780487804878</v>
      </c>
      <c r="R638" s="12">
        <f>IFERROR(J638/I638,0)</f>
        <v>2.8071155152700213</v>
      </c>
      <c r="S638" s="7">
        <f>Tabla_nuevas_columnas[[#This Row],[ROAS]]</f>
        <v>2.8071155152700213</v>
      </c>
      <c r="T638" t="str">
        <f>_xlfn.CONCAT(C638,"-",D638)</f>
        <v>Email-España</v>
      </c>
      <c r="U638">
        <f>YEAR(A638)</f>
        <v>2025</v>
      </c>
      <c r="V638">
        <f>MONTH(A638)</f>
        <v>6</v>
      </c>
      <c r="W638" t="str">
        <f>PROPER(TEXT(A638,"mmmm"))</f>
        <v>Junio</v>
      </c>
      <c r="X638" t="str">
        <f>PROPER(TEXT(A638,"dddd"))</f>
        <v>Martes</v>
      </c>
      <c r="Y638" t="str" cm="1">
        <f t="array" ref="Y638">_xlfn.IFS(R638&gt;10,"Excelente",R638&gt;=5,"Bueno",R638&gt;=2,"Débil",R638&lt;2,"Deficiente")</f>
        <v>Débil</v>
      </c>
      <c r="Z638" t="str">
        <f>IF(AND(R638&lt;2,Q638&gt;=100),"Revisar","OK")</f>
        <v>OK</v>
      </c>
      <c r="AA638" s="55">
        <f>_xlfn.XLOOKUP(C638,'Preguntas de negocio'!$C$114:$C$119,'Preguntas de negocio'!$D$114:$D$119,0)</f>
        <v>5.5</v>
      </c>
      <c r="AB638" s="55">
        <f>VLOOKUP(C638,'Preguntas de negocio'!$C$121:$D$127,2,FALSE)</f>
        <v>0.65</v>
      </c>
    </row>
    <row r="639" spans="1:28" x14ac:dyDescent="0.3">
      <c r="A639" s="1">
        <v>45746</v>
      </c>
      <c r="B639" s="2" t="s">
        <v>2627</v>
      </c>
      <c r="C639" s="2" t="s">
        <v>2543</v>
      </c>
      <c r="D639" s="2" t="s">
        <v>2522</v>
      </c>
      <c r="E639" s="2" t="s">
        <v>2529</v>
      </c>
      <c r="F639" s="3">
        <v>53021</v>
      </c>
      <c r="G639" s="3">
        <v>431</v>
      </c>
      <c r="H639" s="3">
        <v>38</v>
      </c>
      <c r="I639" s="4">
        <v>247.25</v>
      </c>
      <c r="J639" s="4">
        <v>1076.1300000000001</v>
      </c>
      <c r="K639" s="3">
        <v>26</v>
      </c>
      <c r="L639" s="2" t="s">
        <v>2539</v>
      </c>
      <c r="M639" s="2" t="s">
        <v>2526</v>
      </c>
      <c r="N639" s="8">
        <f>IFERROR(G639/F639,0)</f>
        <v>8.1288546047792384E-3</v>
      </c>
      <c r="O639" s="8">
        <f>IFERROR(H639/G639,0)</f>
        <v>8.8167053364269138E-2</v>
      </c>
      <c r="P639" s="4">
        <f>IFERROR(I639/G639,0)</f>
        <v>0.57366589327146167</v>
      </c>
      <c r="Q639" s="4">
        <f>IFERROR(I639/H639,0)</f>
        <v>6.5065789473684212</v>
      </c>
      <c r="R639" s="12">
        <f>IFERROR(J639/I639,0)</f>
        <v>4.3523963599595552</v>
      </c>
      <c r="S639" s="7">
        <f>Tabla_nuevas_columnas[[#This Row],[ROAS]]</f>
        <v>4.3523963599595552</v>
      </c>
      <c r="T639" t="str">
        <f>_xlfn.CONCAT(C639,"-",D639)</f>
        <v>Organic Social-Italia</v>
      </c>
      <c r="U639">
        <f>YEAR(A639)</f>
        <v>2025</v>
      </c>
      <c r="V639">
        <f>MONTH(A639)</f>
        <v>3</v>
      </c>
      <c r="W639" t="str">
        <f>PROPER(TEXT(A639,"mmmm"))</f>
        <v>Marzo</v>
      </c>
      <c r="X639" t="str">
        <f>PROPER(TEXT(A639,"dddd"))</f>
        <v>Domingo</v>
      </c>
      <c r="Y639" t="str" cm="1">
        <f t="array" ref="Y639">_xlfn.IFS(R639&gt;10,"Excelente",R639&gt;=5,"Bueno",R639&gt;=2,"Débil",R639&lt;2,"Deficiente")</f>
        <v>Débil</v>
      </c>
      <c r="Z639" t="str">
        <f>IF(AND(R639&lt;2,Q639&gt;=100),"Revisar","OK")</f>
        <v>OK</v>
      </c>
      <c r="AA639" s="55">
        <f>_xlfn.XLOOKUP(C639,'Preguntas de negocio'!$C$114:$C$119,'Preguntas de negocio'!$D$114:$D$119,0)</f>
        <v>4</v>
      </c>
      <c r="AB639" s="55">
        <f>VLOOKUP(C639,'Preguntas de negocio'!$C$121:$D$127,2,FALSE)</f>
        <v>0.95</v>
      </c>
    </row>
    <row r="640" spans="1:28" x14ac:dyDescent="0.3">
      <c r="A640" s="1">
        <v>45930</v>
      </c>
      <c r="B640" s="2" t="s">
        <v>2644</v>
      </c>
      <c r="C640" s="2" t="s">
        <v>2521</v>
      </c>
      <c r="D640" s="2" t="s">
        <v>2522</v>
      </c>
      <c r="E640" s="2" t="s">
        <v>2517</v>
      </c>
      <c r="F640" s="3">
        <v>151125</v>
      </c>
      <c r="G640" s="3">
        <v>11249</v>
      </c>
      <c r="H640" s="3">
        <v>1346</v>
      </c>
      <c r="I640" s="4">
        <v>21963.78</v>
      </c>
      <c r="J640" s="4">
        <v>131704.06</v>
      </c>
      <c r="K640" s="3">
        <v>666</v>
      </c>
      <c r="L640" s="2" t="s">
        <v>2518</v>
      </c>
      <c r="M640" s="2" t="s">
        <v>2526</v>
      </c>
      <c r="N640" s="8">
        <f>IFERROR(G640/F640,0)</f>
        <v>7.4435070306038048E-2</v>
      </c>
      <c r="O640" s="8">
        <f>IFERROR(H640/G640,0)</f>
        <v>0.1196550804515957</v>
      </c>
      <c r="P640" s="4">
        <f>IFERROR(I640/G640,0)</f>
        <v>1.9525095564050137</v>
      </c>
      <c r="Q640" s="4">
        <f>IFERROR(I640/H640,0)</f>
        <v>16.317815750371469</v>
      </c>
      <c r="R640" s="12">
        <f>IFERROR(J640/I640,0)</f>
        <v>5.9964204704290429</v>
      </c>
      <c r="S640" s="7">
        <f>Tabla_nuevas_columnas[[#This Row],[ROAS]]</f>
        <v>5.9964204704290429</v>
      </c>
      <c r="T640" t="str">
        <f>_xlfn.CONCAT(C640,"-",D640)</f>
        <v>Paid Search-Italia</v>
      </c>
      <c r="U640">
        <f>YEAR(A640)</f>
        <v>2025</v>
      </c>
      <c r="V640">
        <f>MONTH(A640)</f>
        <v>9</v>
      </c>
      <c r="W640" t="str">
        <f>PROPER(TEXT(A640,"mmmm"))</f>
        <v>Septiembre</v>
      </c>
      <c r="X640" t="str">
        <f>PROPER(TEXT(A640,"dddd"))</f>
        <v>Martes</v>
      </c>
      <c r="Y640" t="str" cm="1">
        <f t="array" ref="Y640">_xlfn.IFS(R640&gt;10,"Excelente",R640&gt;=5,"Bueno",R640&gt;=2,"Débil",R640&lt;2,"Deficiente")</f>
        <v>Bueno</v>
      </c>
      <c r="Z640" t="str">
        <f>IF(AND(R640&lt;2,Q640&gt;=100),"Revisar","OK")</f>
        <v>OK</v>
      </c>
      <c r="AA640" s="55">
        <f>_xlfn.XLOOKUP(C640,'Preguntas de negocio'!$C$114:$C$119,'Preguntas de negocio'!$D$114:$D$119,0)</f>
        <v>5</v>
      </c>
      <c r="AB640" s="55">
        <f>VLOOKUP(C640,'Preguntas de negocio'!$C$121:$D$127,2,FALSE)</f>
        <v>1.1000000000000001</v>
      </c>
    </row>
    <row r="641" spans="1:28" x14ac:dyDescent="0.3">
      <c r="A641" s="1">
        <v>45928</v>
      </c>
      <c r="B641" s="2" t="s">
        <v>2625</v>
      </c>
      <c r="C641" s="2" t="s">
        <v>2521</v>
      </c>
      <c r="D641" s="2" t="s">
        <v>2528</v>
      </c>
      <c r="E641" s="2" t="s">
        <v>2517</v>
      </c>
      <c r="F641" s="3">
        <v>95160</v>
      </c>
      <c r="G641" s="3">
        <v>3905</v>
      </c>
      <c r="H641" s="3">
        <v>216</v>
      </c>
      <c r="I641" s="4">
        <v>5486.17</v>
      </c>
      <c r="J641" s="4">
        <v>25201.43</v>
      </c>
      <c r="K641" s="3">
        <v>162</v>
      </c>
      <c r="L641" s="2" t="s">
        <v>2523</v>
      </c>
      <c r="M641" s="2" t="s">
        <v>2546</v>
      </c>
      <c r="N641" s="8">
        <f>IFERROR(G641/F641,0)</f>
        <v>4.103614964270702E-2</v>
      </c>
      <c r="O641" s="8">
        <f>IFERROR(H641/G641,0)</f>
        <v>5.5313700384122921E-2</v>
      </c>
      <c r="P641" s="4">
        <f>IFERROR(I641/G641,0)</f>
        <v>1.4049090909090909</v>
      </c>
      <c r="Q641" s="4">
        <f>IFERROR(I641/H641,0)</f>
        <v>25.398935185185184</v>
      </c>
      <c r="R641" s="12">
        <f>IFERROR(J641/I641,0)</f>
        <v>4.5936290709183272</v>
      </c>
      <c r="S641" s="7">
        <f>Tabla_nuevas_columnas[[#This Row],[ROAS]]</f>
        <v>4.5936290709183272</v>
      </c>
      <c r="T641" t="str">
        <f>_xlfn.CONCAT(C641,"-",D641)</f>
        <v>Paid Search-España</v>
      </c>
      <c r="U641">
        <f>YEAR(A641)</f>
        <v>2025</v>
      </c>
      <c r="V641">
        <f>MONTH(A641)</f>
        <v>9</v>
      </c>
      <c r="W641" t="str">
        <f>PROPER(TEXT(A641,"mmmm"))</f>
        <v>Septiembre</v>
      </c>
      <c r="X641" t="str">
        <f>PROPER(TEXT(A641,"dddd"))</f>
        <v>Domingo</v>
      </c>
      <c r="Y641" t="str" cm="1">
        <f t="array" ref="Y641">_xlfn.IFS(R641&gt;10,"Excelente",R641&gt;=5,"Bueno",R641&gt;=2,"Débil",R641&lt;2,"Deficiente")</f>
        <v>Débil</v>
      </c>
      <c r="Z641" t="str">
        <f>IF(AND(R641&lt;2,Q641&gt;=100),"Revisar","OK")</f>
        <v>OK</v>
      </c>
      <c r="AA641" s="55">
        <f>_xlfn.XLOOKUP(C641,'Preguntas de negocio'!$C$114:$C$119,'Preguntas de negocio'!$D$114:$D$119,0)</f>
        <v>5</v>
      </c>
      <c r="AB641" s="55">
        <f>VLOOKUP(C641,'Preguntas de negocio'!$C$121:$D$127,2,FALSE)</f>
        <v>1.1000000000000001</v>
      </c>
    </row>
    <row r="642" spans="1:28" x14ac:dyDescent="0.3">
      <c r="A642" s="1">
        <v>45731</v>
      </c>
      <c r="B642" s="2" t="s">
        <v>2624</v>
      </c>
      <c r="C642" s="2" t="s">
        <v>2533</v>
      </c>
      <c r="D642" s="2" t="s">
        <v>2528</v>
      </c>
      <c r="E642" s="2" t="s">
        <v>2517</v>
      </c>
      <c r="F642" s="3">
        <v>87005</v>
      </c>
      <c r="G642" s="3">
        <v>6512</v>
      </c>
      <c r="H642" s="3">
        <v>713</v>
      </c>
      <c r="I642" s="4">
        <v>12440.06</v>
      </c>
      <c r="J642" s="4">
        <v>115661.44</v>
      </c>
      <c r="K642" s="3">
        <v>353</v>
      </c>
      <c r="L642" s="2" t="s">
        <v>2536</v>
      </c>
      <c r="M642" s="2" t="s">
        <v>2526</v>
      </c>
      <c r="N642" s="8">
        <f>IFERROR(G642/F642,0)</f>
        <v>7.4846273202689495E-2</v>
      </c>
      <c r="O642" s="8">
        <f>IFERROR(H642/G642,0)</f>
        <v>0.10949017199017198</v>
      </c>
      <c r="P642" s="4">
        <f>IFERROR(I642/G642,0)</f>
        <v>1.9103286240786239</v>
      </c>
      <c r="Q642" s="4">
        <f>IFERROR(I642/H642,0)</f>
        <v>17.447489481065919</v>
      </c>
      <c r="R642" s="12">
        <f>IFERROR(J642/I642,0)</f>
        <v>9.2974985651194615</v>
      </c>
      <c r="S642" s="7">
        <f>Tabla_nuevas_columnas[[#This Row],[ROAS]]</f>
        <v>9.2974985651194615</v>
      </c>
      <c r="T642" t="str">
        <f>_xlfn.CONCAT(C642,"-",D642)</f>
        <v>Paid Social-España</v>
      </c>
      <c r="U642">
        <f>YEAR(A642)</f>
        <v>2025</v>
      </c>
      <c r="V642">
        <f>MONTH(A642)</f>
        <v>3</v>
      </c>
      <c r="W642" t="str">
        <f>PROPER(TEXT(A642,"mmmm"))</f>
        <v>Marzo</v>
      </c>
      <c r="X642" t="str">
        <f>PROPER(TEXT(A642,"dddd"))</f>
        <v>Sábado</v>
      </c>
      <c r="Y642" t="str" cm="1">
        <f t="array" ref="Y642">_xlfn.IFS(R642&gt;10,"Excelente",R642&gt;=5,"Bueno",R642&gt;=2,"Débil",R642&lt;2,"Deficiente")</f>
        <v>Bueno</v>
      </c>
      <c r="Z642" t="str">
        <f>IF(AND(R642&lt;2,Q642&gt;=100),"Revisar","OK")</f>
        <v>OK</v>
      </c>
      <c r="AA642" s="55">
        <f>_xlfn.XLOOKUP(C642,'Preguntas de negocio'!$C$114:$C$119,'Preguntas de negocio'!$D$114:$D$119,0)</f>
        <v>6</v>
      </c>
      <c r="AB642" s="55">
        <f>VLOOKUP(C642,'Preguntas de negocio'!$C$121:$D$127,2,FALSE)</f>
        <v>0.8</v>
      </c>
    </row>
    <row r="643" spans="1:28" x14ac:dyDescent="0.3">
      <c r="A643" s="1">
        <v>45721</v>
      </c>
      <c r="B643" s="2" t="s">
        <v>2629</v>
      </c>
      <c r="C643" s="2" t="s">
        <v>2515</v>
      </c>
      <c r="D643" s="2" t="s">
        <v>2528</v>
      </c>
      <c r="E643" s="2" t="s">
        <v>2517</v>
      </c>
      <c r="F643" s="3">
        <v>81159</v>
      </c>
      <c r="G643" s="3">
        <v>2594</v>
      </c>
      <c r="H643" s="3">
        <v>281</v>
      </c>
      <c r="I643" s="4">
        <v>1977.55</v>
      </c>
      <c r="J643" s="4">
        <v>16439.189999999999</v>
      </c>
      <c r="K643" s="3">
        <v>140</v>
      </c>
      <c r="L643" s="2" t="s">
        <v>2536</v>
      </c>
      <c r="M643" s="2" t="s">
        <v>2524</v>
      </c>
      <c r="N643" s="8">
        <f>IFERROR(G643/F643,0)</f>
        <v>3.1961951231533163E-2</v>
      </c>
      <c r="O643" s="8">
        <f>IFERROR(H643/G643,0)</f>
        <v>0.10832690824980724</v>
      </c>
      <c r="P643" s="4">
        <f>IFERROR(I643/G643,0)</f>
        <v>0.7623554356206631</v>
      </c>
      <c r="Q643" s="4">
        <f>IFERROR(I643/H643,0)</f>
        <v>7.0375444839857648</v>
      </c>
      <c r="R643" s="12">
        <f>IFERROR(J643/I643,0)</f>
        <v>8.3129073854011271</v>
      </c>
      <c r="S643" s="7">
        <f>Tabla_nuevas_columnas[[#This Row],[ROAS]]</f>
        <v>8.3129073854011271</v>
      </c>
      <c r="T643" t="str">
        <f>_xlfn.CONCAT(C643,"-",D643)</f>
        <v>Email-España</v>
      </c>
      <c r="U643">
        <f>YEAR(A643)</f>
        <v>2025</v>
      </c>
      <c r="V643">
        <f>MONTH(A643)</f>
        <v>3</v>
      </c>
      <c r="W643" t="str">
        <f>PROPER(TEXT(A643,"mmmm"))</f>
        <v>Marzo</v>
      </c>
      <c r="X643" t="str">
        <f>PROPER(TEXT(A643,"dddd"))</f>
        <v>Miércoles</v>
      </c>
      <c r="Y643" t="str" cm="1">
        <f t="array" ref="Y643">_xlfn.IFS(R643&gt;10,"Excelente",R643&gt;=5,"Bueno",R643&gt;=2,"Débil",R643&lt;2,"Deficiente")</f>
        <v>Bueno</v>
      </c>
      <c r="Z643" t="str">
        <f>IF(AND(R643&lt;2,Q643&gt;=100),"Revisar","OK")</f>
        <v>OK</v>
      </c>
      <c r="AA643" s="55">
        <f>_xlfn.XLOOKUP(C643,'Preguntas de negocio'!$C$114:$C$119,'Preguntas de negocio'!$D$114:$D$119,0)</f>
        <v>5.5</v>
      </c>
      <c r="AB643" s="55">
        <f>VLOOKUP(C643,'Preguntas de negocio'!$C$121:$D$127,2,FALSE)</f>
        <v>0.65</v>
      </c>
    </row>
    <row r="644" spans="1:28" x14ac:dyDescent="0.3">
      <c r="A644" s="1">
        <v>46016</v>
      </c>
      <c r="B644" s="2" t="s">
        <v>2617</v>
      </c>
      <c r="C644" s="2" t="s">
        <v>2541</v>
      </c>
      <c r="D644" s="2" t="s">
        <v>2531</v>
      </c>
      <c r="E644" s="2" t="s">
        <v>2534</v>
      </c>
      <c r="F644" s="3">
        <v>146738</v>
      </c>
      <c r="G644" s="3">
        <v>11190</v>
      </c>
      <c r="H644" s="3">
        <v>809</v>
      </c>
      <c r="I644" s="4">
        <v>3671.31</v>
      </c>
      <c r="J644" s="4">
        <v>171892.14</v>
      </c>
      <c r="K644" s="3">
        <v>716</v>
      </c>
      <c r="L644" s="2" t="s">
        <v>2523</v>
      </c>
      <c r="M644" s="2" t="s">
        <v>2519</v>
      </c>
      <c r="N644" s="8">
        <f>IFERROR(G644/F644,0)</f>
        <v>7.625836524962859E-2</v>
      </c>
      <c r="O644" s="8">
        <f>IFERROR(H644/G644,0)</f>
        <v>7.2296693476318147E-2</v>
      </c>
      <c r="P644" s="4">
        <f>IFERROR(I644/G644,0)</f>
        <v>0.32808847184986595</v>
      </c>
      <c r="Q644" s="4">
        <f>IFERROR(I644/H644,0)</f>
        <v>4.5380840543881336</v>
      </c>
      <c r="R644" s="12">
        <f>IFERROR(J644/I644,0)</f>
        <v>46.820382915090256</v>
      </c>
      <c r="S644" s="7">
        <f>Tabla_nuevas_columnas[[#This Row],[ROAS]]</f>
        <v>46.820382915090256</v>
      </c>
      <c r="T644" t="str">
        <f>_xlfn.CONCAT(C644,"-",D644)</f>
        <v>Display-Portugal</v>
      </c>
      <c r="U644">
        <f>YEAR(A644)</f>
        <v>2025</v>
      </c>
      <c r="V644">
        <f>MONTH(A644)</f>
        <v>12</v>
      </c>
      <c r="W644" t="str">
        <f>PROPER(TEXT(A644,"mmmm"))</f>
        <v>Diciembre</v>
      </c>
      <c r="X644" t="str">
        <f>PROPER(TEXT(A644,"dddd"))</f>
        <v>Jueves</v>
      </c>
      <c r="Y644" t="str" cm="1">
        <f t="array" ref="Y644">_xlfn.IFS(R644&gt;10,"Excelente",R644&gt;=5,"Bueno",R644&gt;=2,"Débil",R644&lt;2,"Deficiente")</f>
        <v>Excelente</v>
      </c>
      <c r="Z644" t="str">
        <f>IF(AND(R644&lt;2,Q644&gt;=100),"Revisar","OK")</f>
        <v>OK</v>
      </c>
      <c r="AA644" s="55">
        <f>_xlfn.XLOOKUP(C644,'Preguntas de negocio'!$C$114:$C$119,'Preguntas de negocio'!$D$114:$D$119,0)</f>
        <v>5</v>
      </c>
      <c r="AB644" s="55">
        <f>VLOOKUP(C644,'Preguntas de negocio'!$C$121:$D$127,2,FALSE)</f>
        <v>0.5</v>
      </c>
    </row>
    <row r="645" spans="1:28" x14ac:dyDescent="0.3">
      <c r="A645" s="1">
        <v>45960</v>
      </c>
      <c r="B645" s="2" t="s">
        <v>2635</v>
      </c>
      <c r="C645" s="2" t="s">
        <v>2521</v>
      </c>
      <c r="D645" s="2" t="s">
        <v>2525</v>
      </c>
      <c r="E645" s="2" t="s">
        <v>2529</v>
      </c>
      <c r="F645" s="3">
        <v>74760</v>
      </c>
      <c r="G645" s="3">
        <v>5526</v>
      </c>
      <c r="H645" s="3">
        <v>276</v>
      </c>
      <c r="I645" s="4">
        <v>10694.04</v>
      </c>
      <c r="J645" s="4">
        <v>54850.02</v>
      </c>
      <c r="K645" s="3">
        <v>149</v>
      </c>
      <c r="L645" s="2" t="s">
        <v>2536</v>
      </c>
      <c r="M645" s="2" t="s">
        <v>2537</v>
      </c>
      <c r="N645" s="8">
        <f>IFERROR(G645/F645,0)</f>
        <v>7.3916532905296956E-2</v>
      </c>
      <c r="O645" s="8">
        <f>IFERROR(H645/G645,0)</f>
        <v>4.9945711183496201E-2</v>
      </c>
      <c r="P645" s="4">
        <f>IFERROR(I645/G645,0)</f>
        <v>1.9352225841476658</v>
      </c>
      <c r="Q645" s="4">
        <f>IFERROR(I645/H645,0)</f>
        <v>38.746521739130436</v>
      </c>
      <c r="R645" s="12">
        <f>IFERROR(J645/I645,0)</f>
        <v>5.1290270094370314</v>
      </c>
      <c r="S645" s="7">
        <f>Tabla_nuevas_columnas[[#This Row],[ROAS]]</f>
        <v>5.1290270094370314</v>
      </c>
      <c r="T645" t="str">
        <f>_xlfn.CONCAT(C645,"-",D645)</f>
        <v>Paid Search-Francia</v>
      </c>
      <c r="U645">
        <f>YEAR(A645)</f>
        <v>2025</v>
      </c>
      <c r="V645">
        <f>MONTH(A645)</f>
        <v>10</v>
      </c>
      <c r="W645" t="str">
        <f>PROPER(TEXT(A645,"mmmm"))</f>
        <v>Octubre</v>
      </c>
      <c r="X645" t="str">
        <f>PROPER(TEXT(A645,"dddd"))</f>
        <v>Jueves</v>
      </c>
      <c r="Y645" t="str" cm="1">
        <f t="array" ref="Y645">_xlfn.IFS(R645&gt;10,"Excelente",R645&gt;=5,"Bueno",R645&gt;=2,"Débil",R645&lt;2,"Deficiente")</f>
        <v>Bueno</v>
      </c>
      <c r="Z645" t="str">
        <f>IF(AND(R645&lt;2,Q645&gt;=100),"Revisar","OK")</f>
        <v>OK</v>
      </c>
      <c r="AA645" s="55">
        <f>_xlfn.XLOOKUP(C645,'Preguntas de negocio'!$C$114:$C$119,'Preguntas de negocio'!$D$114:$D$119,0)</f>
        <v>5</v>
      </c>
      <c r="AB645" s="55">
        <f>VLOOKUP(C645,'Preguntas de negocio'!$C$121:$D$127,2,FALSE)</f>
        <v>1.1000000000000001</v>
      </c>
    </row>
    <row r="646" spans="1:28" x14ac:dyDescent="0.3">
      <c r="A646" s="1">
        <v>45832</v>
      </c>
      <c r="B646" s="2" t="s">
        <v>2624</v>
      </c>
      <c r="C646" s="2" t="s">
        <v>2541</v>
      </c>
      <c r="D646" s="2" t="s">
        <v>2525</v>
      </c>
      <c r="E646" s="2" t="s">
        <v>2534</v>
      </c>
      <c r="F646" s="3">
        <v>86482</v>
      </c>
      <c r="G646" s="3">
        <v>629</v>
      </c>
      <c r="H646" s="3">
        <v>43</v>
      </c>
      <c r="I646" s="4">
        <v>1227.1199999999999</v>
      </c>
      <c r="J646" s="4">
        <v>1018.31</v>
      </c>
      <c r="K646" s="3">
        <v>28</v>
      </c>
      <c r="L646" s="2" t="s">
        <v>2518</v>
      </c>
      <c r="M646" s="2" t="s">
        <v>2519</v>
      </c>
      <c r="N646" s="8">
        <f>IFERROR(G646/F646,0)</f>
        <v>7.2731897967207053E-3</v>
      </c>
      <c r="O646" s="8">
        <f>IFERROR(H646/G646,0)</f>
        <v>6.8362480127186015E-2</v>
      </c>
      <c r="P646" s="4">
        <f>IFERROR(I646/G646,0)</f>
        <v>1.9509062003179649</v>
      </c>
      <c r="Q646" s="4">
        <f>IFERROR(I646/H646,0)</f>
        <v>28.537674418604649</v>
      </c>
      <c r="R646" s="12">
        <f>IFERROR(J646/I646,0)</f>
        <v>0.82983734272116827</v>
      </c>
      <c r="S646" s="7">
        <f>Tabla_nuevas_columnas[[#This Row],[ROAS]]</f>
        <v>0.82983734272116827</v>
      </c>
      <c r="T646" t="str">
        <f>_xlfn.CONCAT(C646,"-",D646)</f>
        <v>Display-Francia</v>
      </c>
      <c r="U646">
        <f>YEAR(A646)</f>
        <v>2025</v>
      </c>
      <c r="V646">
        <f>MONTH(A646)</f>
        <v>6</v>
      </c>
      <c r="W646" t="str">
        <f>PROPER(TEXT(A646,"mmmm"))</f>
        <v>Junio</v>
      </c>
      <c r="X646" t="str">
        <f>PROPER(TEXT(A646,"dddd"))</f>
        <v>Martes</v>
      </c>
      <c r="Y646" t="str" cm="1">
        <f t="array" ref="Y646">_xlfn.IFS(R646&gt;10,"Excelente",R646&gt;=5,"Bueno",R646&gt;=2,"Débil",R646&lt;2,"Deficiente")</f>
        <v>Deficiente</v>
      </c>
      <c r="Z646" t="str">
        <f>IF(AND(R646&lt;2,Q646&gt;=100),"Revisar","OK")</f>
        <v>OK</v>
      </c>
      <c r="AA646" s="55">
        <f>_xlfn.XLOOKUP(C646,'Preguntas de negocio'!$C$114:$C$119,'Preguntas de negocio'!$D$114:$D$119,0)</f>
        <v>5</v>
      </c>
      <c r="AB646" s="55">
        <f>VLOOKUP(C646,'Preguntas de negocio'!$C$121:$D$127,2,FALSE)</f>
        <v>0.5</v>
      </c>
    </row>
    <row r="647" spans="1:28" x14ac:dyDescent="0.3">
      <c r="A647" s="1">
        <v>45677</v>
      </c>
      <c r="B647" s="2" t="s">
        <v>2633</v>
      </c>
      <c r="C647" s="2" t="s">
        <v>2527</v>
      </c>
      <c r="D647" s="2" t="s">
        <v>2531</v>
      </c>
      <c r="E647" s="2" t="s">
        <v>2529</v>
      </c>
      <c r="F647" s="3">
        <v>44918</v>
      </c>
      <c r="G647" s="3">
        <v>1633</v>
      </c>
      <c r="H647" s="3">
        <v>208</v>
      </c>
      <c r="I647" s="4">
        <v>2262.04</v>
      </c>
      <c r="J647" s="4">
        <v>9065.77</v>
      </c>
      <c r="K647" s="3">
        <v>179</v>
      </c>
      <c r="L647" s="2" t="s">
        <v>2518</v>
      </c>
      <c r="M647" s="2" t="s">
        <v>2524</v>
      </c>
      <c r="N647" s="8">
        <f>IFERROR(G647/F647,0)</f>
        <v>3.6355136025646731E-2</v>
      </c>
      <c r="O647" s="8">
        <f>IFERROR(H647/G647,0)</f>
        <v>0.12737293325168403</v>
      </c>
      <c r="P647" s="4">
        <f>IFERROR(I647/G647,0)</f>
        <v>1.3852051439069197</v>
      </c>
      <c r="Q647" s="4">
        <f>IFERROR(I647/H647,0)</f>
        <v>10.875192307692307</v>
      </c>
      <c r="R647" s="12">
        <f>IFERROR(J647/I647,0)</f>
        <v>4.0077850082226663</v>
      </c>
      <c r="S647" s="7">
        <f>Tabla_nuevas_columnas[[#This Row],[ROAS]]</f>
        <v>4.0077850082226663</v>
      </c>
      <c r="T647" t="str">
        <f>_xlfn.CONCAT(C647,"-",D647)</f>
        <v>Affiliate-Portugal</v>
      </c>
      <c r="U647">
        <f>YEAR(A647)</f>
        <v>2025</v>
      </c>
      <c r="V647">
        <f>MONTH(A647)</f>
        <v>1</v>
      </c>
      <c r="W647" t="str">
        <f>PROPER(TEXT(A647,"mmmm"))</f>
        <v>Enero</v>
      </c>
      <c r="X647" t="str">
        <f>PROPER(TEXT(A647,"dddd"))</f>
        <v>Lunes</v>
      </c>
      <c r="Y647" t="str" cm="1">
        <f t="array" ref="Y647">_xlfn.IFS(R647&gt;10,"Excelente",R647&gt;=5,"Bueno",R647&gt;=2,"Débil",R647&lt;2,"Deficiente")</f>
        <v>Débil</v>
      </c>
      <c r="Z647" t="str">
        <f>IF(AND(R647&lt;2,Q647&gt;=100),"Revisar","OK")</f>
        <v>OK</v>
      </c>
      <c r="AA647" s="55">
        <f>_xlfn.XLOOKUP(C647,'Preguntas de negocio'!$C$114:$C$119,'Preguntas de negocio'!$D$114:$D$119,0)</f>
        <v>4.5</v>
      </c>
      <c r="AB647" s="55">
        <f>VLOOKUP(C647,'Preguntas de negocio'!$C$121:$D$127,2,FALSE)</f>
        <v>0.35</v>
      </c>
    </row>
    <row r="648" spans="1:28" x14ac:dyDescent="0.3">
      <c r="A648" s="1">
        <v>45893</v>
      </c>
      <c r="B648" s="2" t="s">
        <v>2624</v>
      </c>
      <c r="C648" s="2" t="s">
        <v>2515</v>
      </c>
      <c r="D648" s="2" t="s">
        <v>2525</v>
      </c>
      <c r="E648" s="2" t="s">
        <v>2517</v>
      </c>
      <c r="F648" s="3">
        <v>126350</v>
      </c>
      <c r="G648" s="3">
        <v>6760</v>
      </c>
      <c r="H648" s="3">
        <v>630</v>
      </c>
      <c r="I648" s="4">
        <v>3975.02</v>
      </c>
      <c r="J648" s="4">
        <v>91938.97</v>
      </c>
      <c r="K648" s="3">
        <v>544</v>
      </c>
      <c r="L648" s="2" t="s">
        <v>2523</v>
      </c>
      <c r="M648" s="2" t="s">
        <v>2645</v>
      </c>
      <c r="N648" s="8">
        <f>IFERROR(G648/F648,0)</f>
        <v>5.3502176493866245E-2</v>
      </c>
      <c r="O648" s="8">
        <f>IFERROR(H648/G648,0)</f>
        <v>9.3195266272189353E-2</v>
      </c>
      <c r="P648" s="4">
        <f>IFERROR(I648/G648,0)</f>
        <v>0.58802071005917156</v>
      </c>
      <c r="Q648" s="4">
        <f>IFERROR(I648/H648,0)</f>
        <v>6.3095555555555558</v>
      </c>
      <c r="R648" s="12">
        <f>IFERROR(J648/I648,0)</f>
        <v>23.129184255676702</v>
      </c>
      <c r="S648" s="7">
        <f>Tabla_nuevas_columnas[[#This Row],[ROAS]]</f>
        <v>23.129184255676702</v>
      </c>
      <c r="T648" t="str">
        <f>_xlfn.CONCAT(C648,"-",D648)</f>
        <v>Email-Francia</v>
      </c>
      <c r="U648">
        <f>YEAR(A648)</f>
        <v>2025</v>
      </c>
      <c r="V648">
        <f>MONTH(A648)</f>
        <v>8</v>
      </c>
      <c r="W648" t="str">
        <f>PROPER(TEXT(A648,"mmmm"))</f>
        <v>Agosto</v>
      </c>
      <c r="X648" t="str">
        <f>PROPER(TEXT(A648,"dddd"))</f>
        <v>Domingo</v>
      </c>
      <c r="Y648" t="str" cm="1">
        <f t="array" ref="Y648">_xlfn.IFS(R648&gt;10,"Excelente",R648&gt;=5,"Bueno",R648&gt;=2,"Débil",R648&lt;2,"Deficiente")</f>
        <v>Excelente</v>
      </c>
      <c r="Z648" t="str">
        <f>IF(AND(R648&lt;2,Q648&gt;=100),"Revisar","OK")</f>
        <v>OK</v>
      </c>
      <c r="AA648" s="55">
        <f>_xlfn.XLOOKUP(C648,'Preguntas de negocio'!$C$114:$C$119,'Preguntas de negocio'!$D$114:$D$119,0)</f>
        <v>5.5</v>
      </c>
      <c r="AB648" s="55">
        <f>VLOOKUP(C648,'Preguntas de negocio'!$C$121:$D$127,2,FALSE)</f>
        <v>0.65</v>
      </c>
    </row>
    <row r="649" spans="1:28" x14ac:dyDescent="0.3">
      <c r="A649" s="1">
        <v>45734</v>
      </c>
      <c r="B649" s="2" t="s">
        <v>2628</v>
      </c>
      <c r="C649" s="2" t="s">
        <v>2543</v>
      </c>
      <c r="D649" s="2" t="s">
        <v>2522</v>
      </c>
      <c r="E649" s="2" t="s">
        <v>2534</v>
      </c>
      <c r="F649" s="3">
        <v>47013</v>
      </c>
      <c r="G649" s="3">
        <v>930</v>
      </c>
      <c r="H649" s="3">
        <v>8</v>
      </c>
      <c r="I649" s="4">
        <v>936.32</v>
      </c>
      <c r="J649" s="4">
        <v>1098.92</v>
      </c>
      <c r="K649" s="3">
        <v>6</v>
      </c>
      <c r="L649" s="2" t="s">
        <v>2523</v>
      </c>
      <c r="M649" s="2" t="s">
        <v>2537</v>
      </c>
      <c r="N649" s="8">
        <f>IFERROR(G649/F649,0)</f>
        <v>1.9781762491225832E-2</v>
      </c>
      <c r="O649" s="8">
        <f>IFERROR(H649/G649,0)</f>
        <v>8.6021505376344086E-3</v>
      </c>
      <c r="P649" s="4">
        <f>IFERROR(I649/G649,0)</f>
        <v>1.0067956989247313</v>
      </c>
      <c r="Q649" s="4">
        <f>IFERROR(I649/H649,0)</f>
        <v>117.04</v>
      </c>
      <c r="R649" s="12">
        <f>IFERROR(J649/I649,0)</f>
        <v>1.1736585782638413</v>
      </c>
      <c r="S649" s="7">
        <f>Tabla_nuevas_columnas[[#This Row],[ROAS]]</f>
        <v>1.1736585782638413</v>
      </c>
      <c r="T649" t="str">
        <f>_xlfn.CONCAT(C649,"-",D649)</f>
        <v>Organic Social-Italia</v>
      </c>
      <c r="U649">
        <f>YEAR(A649)</f>
        <v>2025</v>
      </c>
      <c r="V649">
        <f>MONTH(A649)</f>
        <v>3</v>
      </c>
      <c r="W649" t="str">
        <f>PROPER(TEXT(A649,"mmmm"))</f>
        <v>Marzo</v>
      </c>
      <c r="X649" t="str">
        <f>PROPER(TEXT(A649,"dddd"))</f>
        <v>Martes</v>
      </c>
      <c r="Y649" t="str" cm="1">
        <f t="array" ref="Y649">_xlfn.IFS(R649&gt;10,"Excelente",R649&gt;=5,"Bueno",R649&gt;=2,"Débil",R649&lt;2,"Deficiente")</f>
        <v>Deficiente</v>
      </c>
      <c r="Z649" t="str">
        <f>IF(AND(R649&lt;2,Q649&gt;=100),"Revisar","OK")</f>
        <v>Revisar</v>
      </c>
      <c r="AA649" s="55">
        <f>_xlfn.XLOOKUP(C649,'Preguntas de negocio'!$C$114:$C$119,'Preguntas de negocio'!$D$114:$D$119,0)</f>
        <v>4</v>
      </c>
      <c r="AB649" s="55">
        <f>VLOOKUP(C649,'Preguntas de negocio'!$C$121:$D$127,2,FALSE)</f>
        <v>0.95</v>
      </c>
    </row>
    <row r="650" spans="1:28" x14ac:dyDescent="0.3">
      <c r="A650" s="1">
        <v>45703</v>
      </c>
      <c r="B650" s="2" t="s">
        <v>2622</v>
      </c>
      <c r="C650" s="2" t="s">
        <v>2541</v>
      </c>
      <c r="D650" s="2" t="s">
        <v>2528</v>
      </c>
      <c r="E650" s="2" t="s">
        <v>2529</v>
      </c>
      <c r="F650" s="3">
        <v>161969</v>
      </c>
      <c r="G650" s="3">
        <v>2844</v>
      </c>
      <c r="H650" s="3">
        <v>392</v>
      </c>
      <c r="I650" s="4">
        <v>3952.39</v>
      </c>
      <c r="J650" s="4">
        <v>27562.18</v>
      </c>
      <c r="K650" s="3">
        <v>273</v>
      </c>
      <c r="L650" s="2" t="s">
        <v>2539</v>
      </c>
      <c r="M650" s="2" t="s">
        <v>2546</v>
      </c>
      <c r="N650" s="8">
        <f>IFERROR(G650/F650,0)</f>
        <v>1.7558915594959531E-2</v>
      </c>
      <c r="O650" s="8">
        <f>IFERROR(H650/G650,0)</f>
        <v>0.13783403656821377</v>
      </c>
      <c r="P650" s="4">
        <f>IFERROR(I650/G650,0)</f>
        <v>1.3897292545710267</v>
      </c>
      <c r="Q650" s="4">
        <f>IFERROR(I650/H650,0)</f>
        <v>10.082627551020408</v>
      </c>
      <c r="R650" s="12">
        <f>IFERROR(J650/I650,0)</f>
        <v>6.973547650915016</v>
      </c>
      <c r="S650" s="7">
        <f>Tabla_nuevas_columnas[[#This Row],[ROAS]]</f>
        <v>6.973547650915016</v>
      </c>
      <c r="T650" t="str">
        <f>_xlfn.CONCAT(C650,"-",D650)</f>
        <v>Display-España</v>
      </c>
      <c r="U650">
        <f>YEAR(A650)</f>
        <v>2025</v>
      </c>
      <c r="V650">
        <f>MONTH(A650)</f>
        <v>2</v>
      </c>
      <c r="W650" t="str">
        <f>PROPER(TEXT(A650,"mmmm"))</f>
        <v>Febrero</v>
      </c>
      <c r="X650" t="str">
        <f>PROPER(TEXT(A650,"dddd"))</f>
        <v>Sábado</v>
      </c>
      <c r="Y650" t="str" cm="1">
        <f t="array" ref="Y650">_xlfn.IFS(R650&gt;10,"Excelente",R650&gt;=5,"Bueno",R650&gt;=2,"Débil",R650&lt;2,"Deficiente")</f>
        <v>Bueno</v>
      </c>
      <c r="Z650" t="str">
        <f>IF(AND(R650&lt;2,Q650&gt;=100),"Revisar","OK")</f>
        <v>OK</v>
      </c>
      <c r="AA650" s="55">
        <f>_xlfn.XLOOKUP(C650,'Preguntas de negocio'!$C$114:$C$119,'Preguntas de negocio'!$D$114:$D$119,0)</f>
        <v>5</v>
      </c>
      <c r="AB650" s="55">
        <f>VLOOKUP(C650,'Preguntas de negocio'!$C$121:$D$127,2,FALSE)</f>
        <v>0.5</v>
      </c>
    </row>
    <row r="651" spans="1:28" x14ac:dyDescent="0.3">
      <c r="A651" s="1">
        <v>45804</v>
      </c>
      <c r="B651" s="2" t="s">
        <v>2641</v>
      </c>
      <c r="C651" s="2" t="s">
        <v>2533</v>
      </c>
      <c r="D651" s="2" t="s">
        <v>2528</v>
      </c>
      <c r="E651" s="2" t="s">
        <v>2529</v>
      </c>
      <c r="F651" s="3">
        <v>159275</v>
      </c>
      <c r="G651" s="3">
        <v>3864</v>
      </c>
      <c r="H651" s="3">
        <v>313</v>
      </c>
      <c r="I651" s="4">
        <v>4832.8900000000003</v>
      </c>
      <c r="J651" s="4">
        <v>39914.720000000001</v>
      </c>
      <c r="K651" s="3">
        <v>224</v>
      </c>
      <c r="L651" s="2" t="s">
        <v>2536</v>
      </c>
      <c r="M651" s="2" t="s">
        <v>2537</v>
      </c>
      <c r="N651" s="8">
        <f>IFERROR(G651/F651,0)</f>
        <v>2.4259927797833935E-2</v>
      </c>
      <c r="O651" s="8">
        <f>IFERROR(H651/G651,0)</f>
        <v>8.1004140786749487E-2</v>
      </c>
      <c r="P651" s="4">
        <f>IFERROR(I651/G651,0)</f>
        <v>1.2507479296066253</v>
      </c>
      <c r="Q651" s="4">
        <f>IFERROR(I651/H651,0)</f>
        <v>15.440543130990417</v>
      </c>
      <c r="R651" s="12">
        <f>IFERROR(J651/I651,0)</f>
        <v>8.2589754784404352</v>
      </c>
      <c r="S651" s="7">
        <f>Tabla_nuevas_columnas[[#This Row],[ROAS]]</f>
        <v>8.2589754784404352</v>
      </c>
      <c r="T651" t="str">
        <f>_xlfn.CONCAT(C651,"-",D651)</f>
        <v>Paid Social-España</v>
      </c>
      <c r="U651">
        <f>YEAR(A651)</f>
        <v>2025</v>
      </c>
      <c r="V651">
        <f>MONTH(A651)</f>
        <v>5</v>
      </c>
      <c r="W651" t="str">
        <f>PROPER(TEXT(A651,"mmmm"))</f>
        <v>Mayo</v>
      </c>
      <c r="X651" t="str">
        <f>PROPER(TEXT(A651,"dddd"))</f>
        <v>Martes</v>
      </c>
      <c r="Y651" t="str" cm="1">
        <f t="array" ref="Y651">_xlfn.IFS(R651&gt;10,"Excelente",R651&gt;=5,"Bueno",R651&gt;=2,"Débil",R651&lt;2,"Deficiente")</f>
        <v>Bueno</v>
      </c>
      <c r="Z651" t="str">
        <f>IF(AND(R651&lt;2,Q651&gt;=100),"Revisar","OK")</f>
        <v>OK</v>
      </c>
      <c r="AA651" s="55">
        <f>_xlfn.XLOOKUP(C651,'Preguntas de negocio'!$C$114:$C$119,'Preguntas de negocio'!$D$114:$D$119,0)</f>
        <v>6</v>
      </c>
      <c r="AB651" s="55">
        <f>VLOOKUP(C651,'Preguntas de negocio'!$C$121:$D$127,2,FALSE)</f>
        <v>0.8</v>
      </c>
    </row>
    <row r="652" spans="1:28" x14ac:dyDescent="0.3">
      <c r="A652" s="1">
        <v>45913</v>
      </c>
      <c r="B652" s="2" t="s">
        <v>2643</v>
      </c>
      <c r="C652" s="2" t="s">
        <v>2521</v>
      </c>
      <c r="D652" s="2" t="s">
        <v>2528</v>
      </c>
      <c r="E652" s="2" t="s">
        <v>2517</v>
      </c>
      <c r="F652" s="3">
        <v>1702</v>
      </c>
      <c r="G652" s="3">
        <v>96</v>
      </c>
      <c r="H652" s="3">
        <v>9</v>
      </c>
      <c r="I652" s="4">
        <v>15.89</v>
      </c>
      <c r="J652" s="4">
        <v>1009.66</v>
      </c>
      <c r="K652" s="3">
        <v>7</v>
      </c>
      <c r="L652" s="2" t="s">
        <v>2518</v>
      </c>
      <c r="M652" s="2" t="s">
        <v>2526</v>
      </c>
      <c r="N652" s="8">
        <f>IFERROR(G652/F652,0)</f>
        <v>5.6404230317273797E-2</v>
      </c>
      <c r="O652" s="8">
        <f>IFERROR(H652/G652,0)</f>
        <v>9.375E-2</v>
      </c>
      <c r="P652" s="4">
        <f>IFERROR(I652/G652,0)</f>
        <v>0.16552083333333334</v>
      </c>
      <c r="Q652" s="4">
        <f>IFERROR(I652/H652,0)</f>
        <v>1.7655555555555555</v>
      </c>
      <c r="R652" s="12">
        <f>IFERROR(J652/I652,0)</f>
        <v>63.540591567023277</v>
      </c>
      <c r="S652" s="7">
        <f>Tabla_nuevas_columnas[[#This Row],[ROAS]]</f>
        <v>63.540591567023277</v>
      </c>
      <c r="T652" t="str">
        <f>_xlfn.CONCAT(C652,"-",D652)</f>
        <v>Paid Search-España</v>
      </c>
      <c r="U652">
        <f>YEAR(A652)</f>
        <v>2025</v>
      </c>
      <c r="V652">
        <f>MONTH(A652)</f>
        <v>9</v>
      </c>
      <c r="W652" t="str">
        <f>PROPER(TEXT(A652,"mmmm"))</f>
        <v>Septiembre</v>
      </c>
      <c r="X652" t="str">
        <f>PROPER(TEXT(A652,"dddd"))</f>
        <v>Sábado</v>
      </c>
      <c r="Y652" t="str" cm="1">
        <f t="array" ref="Y652">_xlfn.IFS(R652&gt;10,"Excelente",R652&gt;=5,"Bueno",R652&gt;=2,"Débil",R652&lt;2,"Deficiente")</f>
        <v>Excelente</v>
      </c>
      <c r="Z652" t="str">
        <f>IF(AND(R652&lt;2,Q652&gt;=100),"Revisar","OK")</f>
        <v>OK</v>
      </c>
      <c r="AA652" s="55">
        <f>_xlfn.XLOOKUP(C652,'Preguntas de negocio'!$C$114:$C$119,'Preguntas de negocio'!$D$114:$D$119,0)</f>
        <v>5</v>
      </c>
      <c r="AB652" s="55">
        <f>VLOOKUP(C652,'Preguntas de negocio'!$C$121:$D$127,2,FALSE)</f>
        <v>1.1000000000000001</v>
      </c>
    </row>
    <row r="653" spans="1:28" x14ac:dyDescent="0.3">
      <c r="A653" s="1">
        <v>45730</v>
      </c>
      <c r="B653" s="2" t="s">
        <v>2636</v>
      </c>
      <c r="C653" s="2" t="s">
        <v>2543</v>
      </c>
      <c r="D653" s="2" t="s">
        <v>2525</v>
      </c>
      <c r="E653" s="2" t="s">
        <v>2517</v>
      </c>
      <c r="F653" s="3">
        <v>135293</v>
      </c>
      <c r="G653" s="3">
        <v>5402</v>
      </c>
      <c r="H653" s="3">
        <v>408</v>
      </c>
      <c r="I653" s="4">
        <v>5556.44</v>
      </c>
      <c r="J653" s="4">
        <v>78557.27</v>
      </c>
      <c r="K653" s="3">
        <v>207</v>
      </c>
      <c r="L653" s="2" t="s">
        <v>2518</v>
      </c>
      <c r="M653" s="2" t="s">
        <v>2546</v>
      </c>
      <c r="N653" s="8">
        <f>IFERROR(G653/F653,0)</f>
        <v>3.9928155928244627E-2</v>
      </c>
      <c r="O653" s="8">
        <f>IFERROR(H653/G653,0)</f>
        <v>7.552758237689744E-2</v>
      </c>
      <c r="P653" s="4">
        <f>IFERROR(I653/G653,0)</f>
        <v>1.0285894113291374</v>
      </c>
      <c r="Q653" s="4">
        <f>IFERROR(I653/H653,0)</f>
        <v>13.618725490196077</v>
      </c>
      <c r="R653" s="12">
        <f>IFERROR(J653/I653,0)</f>
        <v>14.138057821194867</v>
      </c>
      <c r="S653" s="7">
        <f>Tabla_nuevas_columnas[[#This Row],[ROAS]]</f>
        <v>14.138057821194867</v>
      </c>
      <c r="T653" t="str">
        <f>_xlfn.CONCAT(C653,"-",D653)</f>
        <v>Organic Social-Francia</v>
      </c>
      <c r="U653">
        <f>YEAR(A653)</f>
        <v>2025</v>
      </c>
      <c r="V653">
        <f>MONTH(A653)</f>
        <v>3</v>
      </c>
      <c r="W653" t="str">
        <f>PROPER(TEXT(A653,"mmmm"))</f>
        <v>Marzo</v>
      </c>
      <c r="X653" t="str">
        <f>PROPER(TEXT(A653,"dddd"))</f>
        <v>Viernes</v>
      </c>
      <c r="Y653" t="str" cm="1">
        <f t="array" ref="Y653">_xlfn.IFS(R653&gt;10,"Excelente",R653&gt;=5,"Bueno",R653&gt;=2,"Débil",R653&lt;2,"Deficiente")</f>
        <v>Excelente</v>
      </c>
      <c r="Z653" t="str">
        <f>IF(AND(R653&lt;2,Q653&gt;=100),"Revisar","OK")</f>
        <v>OK</v>
      </c>
      <c r="AA653" s="55">
        <f>_xlfn.XLOOKUP(C653,'Preguntas de negocio'!$C$114:$C$119,'Preguntas de negocio'!$D$114:$D$119,0)</f>
        <v>4</v>
      </c>
      <c r="AB653" s="55">
        <f>VLOOKUP(C653,'Preguntas de negocio'!$C$121:$D$127,2,FALSE)</f>
        <v>0.95</v>
      </c>
    </row>
    <row r="654" spans="1:28" x14ac:dyDescent="0.3">
      <c r="A654" s="1">
        <v>45779</v>
      </c>
      <c r="B654" s="2" t="s">
        <v>2638</v>
      </c>
      <c r="C654" s="2" t="s">
        <v>2541</v>
      </c>
      <c r="D654" s="2" t="s">
        <v>2528</v>
      </c>
      <c r="E654" s="2" t="s">
        <v>2517</v>
      </c>
      <c r="F654" s="3">
        <v>44362</v>
      </c>
      <c r="G654" s="3">
        <v>1486</v>
      </c>
      <c r="H654" s="3">
        <v>86</v>
      </c>
      <c r="I654" s="4">
        <v>2994.64</v>
      </c>
      <c r="J654" s="4">
        <v>8399.7099999999991</v>
      </c>
      <c r="K654" s="3">
        <v>70</v>
      </c>
      <c r="L654" s="2" t="s">
        <v>2523</v>
      </c>
      <c r="M654" s="2" t="s">
        <v>2524</v>
      </c>
      <c r="N654" s="8">
        <f>IFERROR(G654/F654,0)</f>
        <v>3.3497137189486499E-2</v>
      </c>
      <c r="O654" s="8">
        <f>IFERROR(H654/G654,0)</f>
        <v>5.7873485868102287E-2</v>
      </c>
      <c r="P654" s="4">
        <f>IFERROR(I654/G654,0)</f>
        <v>2.0152355316285329</v>
      </c>
      <c r="Q654" s="4">
        <f>IFERROR(I654/H654,0)</f>
        <v>34.821395348837207</v>
      </c>
      <c r="R654" s="12">
        <f>IFERROR(J654/I654,0)</f>
        <v>2.8049147810755213</v>
      </c>
      <c r="S654" s="7">
        <f>Tabla_nuevas_columnas[[#This Row],[ROAS]]</f>
        <v>2.8049147810755213</v>
      </c>
      <c r="T654" t="str">
        <f>_xlfn.CONCAT(C654,"-",D654)</f>
        <v>Display-España</v>
      </c>
      <c r="U654">
        <f>YEAR(A654)</f>
        <v>2025</v>
      </c>
      <c r="V654">
        <f>MONTH(A654)</f>
        <v>5</v>
      </c>
      <c r="W654" t="str">
        <f>PROPER(TEXT(A654,"mmmm"))</f>
        <v>Mayo</v>
      </c>
      <c r="X654" t="str">
        <f>PROPER(TEXT(A654,"dddd"))</f>
        <v>Viernes</v>
      </c>
      <c r="Y654" t="str" cm="1">
        <f t="array" ref="Y654">_xlfn.IFS(R654&gt;10,"Excelente",R654&gt;=5,"Bueno",R654&gt;=2,"Débil",R654&lt;2,"Deficiente")</f>
        <v>Débil</v>
      </c>
      <c r="Z654" t="str">
        <f>IF(AND(R654&lt;2,Q654&gt;=100),"Revisar","OK")</f>
        <v>OK</v>
      </c>
      <c r="AA654" s="55">
        <f>_xlfn.XLOOKUP(C654,'Preguntas de negocio'!$C$114:$C$119,'Preguntas de negocio'!$D$114:$D$119,0)</f>
        <v>5</v>
      </c>
      <c r="AB654" s="55">
        <f>VLOOKUP(C654,'Preguntas de negocio'!$C$121:$D$127,2,FALSE)</f>
        <v>0.5</v>
      </c>
    </row>
    <row r="655" spans="1:28" x14ac:dyDescent="0.3">
      <c r="A655" s="1">
        <v>45922</v>
      </c>
      <c r="B655" s="2" t="s">
        <v>2637</v>
      </c>
      <c r="C655" s="2" t="s">
        <v>2515</v>
      </c>
      <c r="D655" s="2" t="s">
        <v>2528</v>
      </c>
      <c r="E655" s="2" t="s">
        <v>2534</v>
      </c>
      <c r="F655" s="3">
        <v>99175</v>
      </c>
      <c r="G655" s="3">
        <v>7418</v>
      </c>
      <c r="H655" s="3">
        <v>728</v>
      </c>
      <c r="I655" s="4">
        <v>3074.55</v>
      </c>
      <c r="J655" s="4">
        <v>93339.63</v>
      </c>
      <c r="K655" s="3">
        <v>330</v>
      </c>
      <c r="L655" s="2" t="s">
        <v>2518</v>
      </c>
      <c r="M655" s="2" t="s">
        <v>2526</v>
      </c>
      <c r="N655" s="8">
        <f>IFERROR(G655/F655,0)</f>
        <v>7.479707587597681E-2</v>
      </c>
      <c r="O655" s="8">
        <f>IFERROR(H655/G655,0)</f>
        <v>9.8139660285791325E-2</v>
      </c>
      <c r="P655" s="4">
        <f>IFERROR(I655/G655,0)</f>
        <v>0.41447155567538424</v>
      </c>
      <c r="Q655" s="4">
        <f>IFERROR(I655/H655,0)</f>
        <v>4.2232829670329677</v>
      </c>
      <c r="R655" s="12">
        <f>IFERROR(J655/I655,0)</f>
        <v>30.358793969849245</v>
      </c>
      <c r="S655" s="7">
        <f>Tabla_nuevas_columnas[[#This Row],[ROAS]]</f>
        <v>30.358793969849245</v>
      </c>
      <c r="T655" t="str">
        <f>_xlfn.CONCAT(C655,"-",D655)</f>
        <v>Email-España</v>
      </c>
      <c r="U655">
        <f>YEAR(A655)</f>
        <v>2025</v>
      </c>
      <c r="V655">
        <f>MONTH(A655)</f>
        <v>9</v>
      </c>
      <c r="W655" t="str">
        <f>PROPER(TEXT(A655,"mmmm"))</f>
        <v>Septiembre</v>
      </c>
      <c r="X655" t="str">
        <f>PROPER(TEXT(A655,"dddd"))</f>
        <v>Lunes</v>
      </c>
      <c r="Y655" t="str" cm="1">
        <f t="array" ref="Y655">_xlfn.IFS(R655&gt;10,"Excelente",R655&gt;=5,"Bueno",R655&gt;=2,"Débil",R655&lt;2,"Deficiente")</f>
        <v>Excelente</v>
      </c>
      <c r="Z655" t="str">
        <f>IF(AND(R655&lt;2,Q655&gt;=100),"Revisar","OK")</f>
        <v>OK</v>
      </c>
      <c r="AA655" s="55">
        <f>_xlfn.XLOOKUP(C655,'Preguntas de negocio'!$C$114:$C$119,'Preguntas de negocio'!$D$114:$D$119,0)</f>
        <v>5.5</v>
      </c>
      <c r="AB655" s="55">
        <f>VLOOKUP(C655,'Preguntas de negocio'!$C$121:$D$127,2,FALSE)</f>
        <v>0.65</v>
      </c>
    </row>
    <row r="656" spans="1:28" x14ac:dyDescent="0.3">
      <c r="A656" s="1">
        <v>46017</v>
      </c>
      <c r="B656" s="2" t="s">
        <v>2639</v>
      </c>
      <c r="C656" s="2" t="s">
        <v>2533</v>
      </c>
      <c r="D656" s="2" t="s">
        <v>2528</v>
      </c>
      <c r="E656" s="2" t="s">
        <v>2529</v>
      </c>
      <c r="F656" s="3">
        <v>109986</v>
      </c>
      <c r="G656" s="3">
        <v>9817</v>
      </c>
      <c r="H656" s="3">
        <v>535</v>
      </c>
      <c r="I656" s="4">
        <v>14561.54</v>
      </c>
      <c r="J656" s="4">
        <v>45881.61</v>
      </c>
      <c r="K656" s="3">
        <v>287</v>
      </c>
      <c r="L656" s="2" t="s">
        <v>2539</v>
      </c>
      <c r="M656" s="2" t="s">
        <v>2526</v>
      </c>
      <c r="N656" s="8">
        <f>IFERROR(G656/F656,0)</f>
        <v>8.92568145036641E-2</v>
      </c>
      <c r="O656" s="8">
        <f>IFERROR(H656/G656,0)</f>
        <v>5.4497300600998271E-2</v>
      </c>
      <c r="P656" s="4">
        <f>IFERROR(I656/G656,0)</f>
        <v>1.4832983599877765</v>
      </c>
      <c r="Q656" s="4">
        <f>IFERROR(I656/H656,0)</f>
        <v>27.217831775700937</v>
      </c>
      <c r="R656" s="12">
        <f>IFERROR(J656/I656,0)</f>
        <v>3.150876212268757</v>
      </c>
      <c r="S656" s="7">
        <f>Tabla_nuevas_columnas[[#This Row],[ROAS]]</f>
        <v>3.150876212268757</v>
      </c>
      <c r="T656" t="str">
        <f>_xlfn.CONCAT(C656,"-",D656)</f>
        <v>Paid Social-España</v>
      </c>
      <c r="U656">
        <f>YEAR(A656)</f>
        <v>2025</v>
      </c>
      <c r="V656">
        <f>MONTH(A656)</f>
        <v>12</v>
      </c>
      <c r="W656" t="str">
        <f>PROPER(TEXT(A656,"mmmm"))</f>
        <v>Diciembre</v>
      </c>
      <c r="X656" t="str">
        <f>PROPER(TEXT(A656,"dddd"))</f>
        <v>Viernes</v>
      </c>
      <c r="Y656" t="str" cm="1">
        <f t="array" ref="Y656">_xlfn.IFS(R656&gt;10,"Excelente",R656&gt;=5,"Bueno",R656&gt;=2,"Débil",R656&lt;2,"Deficiente")</f>
        <v>Débil</v>
      </c>
      <c r="Z656" t="str">
        <f>IF(AND(R656&lt;2,Q656&gt;=100),"Revisar","OK")</f>
        <v>OK</v>
      </c>
      <c r="AA656" s="55">
        <f>_xlfn.XLOOKUP(C656,'Preguntas de negocio'!$C$114:$C$119,'Preguntas de negocio'!$D$114:$D$119,0)</f>
        <v>6</v>
      </c>
      <c r="AB656" s="55">
        <f>VLOOKUP(C656,'Preguntas de negocio'!$C$121:$D$127,2,FALSE)</f>
        <v>0.8</v>
      </c>
    </row>
    <row r="657" spans="1:28" x14ac:dyDescent="0.3">
      <c r="A657" s="1">
        <v>45811</v>
      </c>
      <c r="B657" s="2" t="s">
        <v>2643</v>
      </c>
      <c r="C657" s="2" t="s">
        <v>2515</v>
      </c>
      <c r="D657" s="2" t="s">
        <v>2525</v>
      </c>
      <c r="E657" s="2" t="s">
        <v>2517</v>
      </c>
      <c r="F657" s="3">
        <v>135869</v>
      </c>
      <c r="G657" s="3">
        <v>136843</v>
      </c>
      <c r="H657" s="3">
        <v>75</v>
      </c>
      <c r="I657" s="4">
        <v>1587.29</v>
      </c>
      <c r="J657" s="4">
        <v>5593.64</v>
      </c>
      <c r="K657" s="3">
        <v>49</v>
      </c>
      <c r="L657" s="2" t="s">
        <v>2539</v>
      </c>
      <c r="M657" s="2" t="s">
        <v>2526</v>
      </c>
      <c r="N657" s="8">
        <f>IFERROR(G657/F657,0)</f>
        <v>1.0071686698216664</v>
      </c>
      <c r="O657" s="8">
        <f>IFERROR(H657/G657,0)</f>
        <v>5.4807333952047233E-4</v>
      </c>
      <c r="P657" s="4">
        <f>IFERROR(I657/G657,0)</f>
        <v>1.1599351081166007E-2</v>
      </c>
      <c r="Q657" s="4">
        <f>IFERROR(I657/H657,0)</f>
        <v>21.163866666666667</v>
      </c>
      <c r="R657" s="12">
        <f>IFERROR(J657/I657,0)</f>
        <v>3.5240189253381553</v>
      </c>
      <c r="S657" s="7">
        <f>Tabla_nuevas_columnas[[#This Row],[ROAS]]</f>
        <v>3.5240189253381553</v>
      </c>
      <c r="T657" t="str">
        <f>_xlfn.CONCAT(C657,"-",D657)</f>
        <v>Email-Francia</v>
      </c>
      <c r="U657">
        <f>YEAR(A657)</f>
        <v>2025</v>
      </c>
      <c r="V657">
        <f>MONTH(A657)</f>
        <v>6</v>
      </c>
      <c r="W657" t="str">
        <f>PROPER(TEXT(A657,"mmmm"))</f>
        <v>Junio</v>
      </c>
      <c r="X657" t="str">
        <f>PROPER(TEXT(A657,"dddd"))</f>
        <v>Martes</v>
      </c>
      <c r="Y657" t="str" cm="1">
        <f t="array" ref="Y657">_xlfn.IFS(R657&gt;10,"Excelente",R657&gt;=5,"Bueno",R657&gt;=2,"Débil",R657&lt;2,"Deficiente")</f>
        <v>Débil</v>
      </c>
      <c r="Z657" t="str">
        <f>IF(AND(R657&lt;2,Q657&gt;=100),"Revisar","OK")</f>
        <v>OK</v>
      </c>
      <c r="AA657" s="55">
        <f>_xlfn.XLOOKUP(C657,'Preguntas de negocio'!$C$114:$C$119,'Preguntas de negocio'!$D$114:$D$119,0)</f>
        <v>5.5</v>
      </c>
      <c r="AB657" s="55">
        <f>VLOOKUP(C657,'Preguntas de negocio'!$C$121:$D$127,2,FALSE)</f>
        <v>0.65</v>
      </c>
    </row>
    <row r="658" spans="1:28" x14ac:dyDescent="0.3">
      <c r="A658" s="1">
        <v>45895</v>
      </c>
      <c r="B658" s="2" t="s">
        <v>2637</v>
      </c>
      <c r="C658" s="2" t="s">
        <v>2527</v>
      </c>
      <c r="D658" s="2" t="s">
        <v>2528</v>
      </c>
      <c r="E658" s="2" t="s">
        <v>2529</v>
      </c>
      <c r="F658" s="3">
        <v>162662</v>
      </c>
      <c r="G658" s="3">
        <v>4815</v>
      </c>
      <c r="H658" s="3">
        <v>566</v>
      </c>
      <c r="I658" s="4">
        <v>9443.9</v>
      </c>
      <c r="J658" s="4">
        <v>56501.69</v>
      </c>
      <c r="K658" s="3">
        <v>434</v>
      </c>
      <c r="L658" s="2" t="s">
        <v>2539</v>
      </c>
      <c r="M658" s="2" t="s">
        <v>2537</v>
      </c>
      <c r="N658" s="8">
        <f>IFERROR(G658/F658,0)</f>
        <v>2.96012590525138E-2</v>
      </c>
      <c r="O658" s="8">
        <f>IFERROR(H658/G658,0)</f>
        <v>0.11754932502596054</v>
      </c>
      <c r="P658" s="4">
        <f>IFERROR(I658/G658,0)</f>
        <v>1.96134994807892</v>
      </c>
      <c r="Q658" s="4">
        <f>IFERROR(I658/H658,0)</f>
        <v>16.685335689045935</v>
      </c>
      <c r="R658" s="12">
        <f>IFERROR(J658/I658,0)</f>
        <v>5.982876777602474</v>
      </c>
      <c r="S658" s="7">
        <f>Tabla_nuevas_columnas[[#This Row],[ROAS]]</f>
        <v>5.982876777602474</v>
      </c>
      <c r="T658" t="str">
        <f>_xlfn.CONCAT(C658,"-",D658)</f>
        <v>Affiliate-España</v>
      </c>
      <c r="U658">
        <f>YEAR(A658)</f>
        <v>2025</v>
      </c>
      <c r="V658">
        <f>MONTH(A658)</f>
        <v>8</v>
      </c>
      <c r="W658" t="str">
        <f>PROPER(TEXT(A658,"mmmm"))</f>
        <v>Agosto</v>
      </c>
      <c r="X658" t="str">
        <f>PROPER(TEXT(A658,"dddd"))</f>
        <v>Martes</v>
      </c>
      <c r="Y658" t="str" cm="1">
        <f t="array" ref="Y658">_xlfn.IFS(R658&gt;10,"Excelente",R658&gt;=5,"Bueno",R658&gt;=2,"Débil",R658&lt;2,"Deficiente")</f>
        <v>Bueno</v>
      </c>
      <c r="Z658" t="str">
        <f>IF(AND(R658&lt;2,Q658&gt;=100),"Revisar","OK")</f>
        <v>OK</v>
      </c>
      <c r="AA658" s="55">
        <f>_xlfn.XLOOKUP(C658,'Preguntas de negocio'!$C$114:$C$119,'Preguntas de negocio'!$D$114:$D$119,0)</f>
        <v>4.5</v>
      </c>
      <c r="AB658" s="55">
        <f>VLOOKUP(C658,'Preguntas de negocio'!$C$121:$D$127,2,FALSE)</f>
        <v>0.35</v>
      </c>
    </row>
    <row r="659" spans="1:28" x14ac:dyDescent="0.3">
      <c r="A659" s="1">
        <v>45842</v>
      </c>
      <c r="B659" s="2" t="s">
        <v>2628</v>
      </c>
      <c r="C659" s="2" t="s">
        <v>2521</v>
      </c>
      <c r="D659" s="2" t="s">
        <v>2525</v>
      </c>
      <c r="E659" s="2" t="s">
        <v>2517</v>
      </c>
      <c r="F659" s="3">
        <v>152078</v>
      </c>
      <c r="G659" s="3">
        <v>3574</v>
      </c>
      <c r="H659" s="3">
        <v>457</v>
      </c>
      <c r="I659" s="4">
        <v>2691.66</v>
      </c>
      <c r="J659" s="4">
        <v>13195.07</v>
      </c>
      <c r="K659" s="3">
        <v>360</v>
      </c>
      <c r="L659" s="2" t="s">
        <v>2523</v>
      </c>
      <c r="M659" s="2" t="s">
        <v>2537</v>
      </c>
      <c r="N659" s="8">
        <f>IFERROR(G659/F659,0)</f>
        <v>2.3501098120701218E-2</v>
      </c>
      <c r="O659" s="8">
        <f>IFERROR(H659/G659,0)</f>
        <v>0.12786793508673755</v>
      </c>
      <c r="P659" s="4">
        <f>IFERROR(I659/G659,0)</f>
        <v>0.7531225517627308</v>
      </c>
      <c r="Q659" s="4">
        <f>IFERROR(I659/H659,0)</f>
        <v>5.8898468271334785</v>
      </c>
      <c r="R659" s="12">
        <f>IFERROR(J659/I659,0)</f>
        <v>4.9022053305395188</v>
      </c>
      <c r="S659" s="7">
        <f>Tabla_nuevas_columnas[[#This Row],[ROAS]]</f>
        <v>4.9022053305395188</v>
      </c>
      <c r="T659" t="str">
        <f>_xlfn.CONCAT(C659,"-",D659)</f>
        <v>Paid Search-Francia</v>
      </c>
      <c r="U659">
        <f>YEAR(A659)</f>
        <v>2025</v>
      </c>
      <c r="V659">
        <f>MONTH(A659)</f>
        <v>7</v>
      </c>
      <c r="W659" t="str">
        <f>PROPER(TEXT(A659,"mmmm"))</f>
        <v>Julio</v>
      </c>
      <c r="X659" t="str">
        <f>PROPER(TEXT(A659,"dddd"))</f>
        <v>Viernes</v>
      </c>
      <c r="Y659" t="str" cm="1">
        <f t="array" ref="Y659">_xlfn.IFS(R659&gt;10,"Excelente",R659&gt;=5,"Bueno",R659&gt;=2,"Débil",R659&lt;2,"Deficiente")</f>
        <v>Débil</v>
      </c>
      <c r="Z659" t="str">
        <f>IF(AND(R659&lt;2,Q659&gt;=100),"Revisar","OK")</f>
        <v>OK</v>
      </c>
      <c r="AA659" s="55">
        <f>_xlfn.XLOOKUP(C659,'Preguntas de negocio'!$C$114:$C$119,'Preguntas de negocio'!$D$114:$D$119,0)</f>
        <v>5</v>
      </c>
      <c r="AB659" s="55">
        <f>VLOOKUP(C659,'Preguntas de negocio'!$C$121:$D$127,2,FALSE)</f>
        <v>1.1000000000000001</v>
      </c>
    </row>
    <row r="660" spans="1:28" x14ac:dyDescent="0.3">
      <c r="A660" s="1">
        <v>45754</v>
      </c>
      <c r="B660" s="2" t="s">
        <v>2636</v>
      </c>
      <c r="C660" s="2" t="s">
        <v>2541</v>
      </c>
      <c r="D660" s="2" t="s">
        <v>2528</v>
      </c>
      <c r="E660" s="2" t="s">
        <v>2529</v>
      </c>
      <c r="F660" s="3">
        <v>148477</v>
      </c>
      <c r="G660" s="3">
        <v>8778</v>
      </c>
      <c r="H660" s="3">
        <v>358</v>
      </c>
      <c r="I660" s="4">
        <v>10750.86</v>
      </c>
      <c r="J660" s="4">
        <v>62423.5</v>
      </c>
      <c r="K660" s="3">
        <v>238</v>
      </c>
      <c r="L660" s="2" t="s">
        <v>2523</v>
      </c>
      <c r="M660" s="2" t="s">
        <v>2537</v>
      </c>
      <c r="N660" s="8">
        <f>IFERROR(G660/F660,0)</f>
        <v>5.912026778558295E-2</v>
      </c>
      <c r="O660" s="8">
        <f>IFERROR(H660/G660,0)</f>
        <v>4.0783777625882887E-2</v>
      </c>
      <c r="P660" s="4">
        <f>IFERROR(I660/G660,0)</f>
        <v>1.2247505126452496</v>
      </c>
      <c r="Q660" s="4">
        <f>IFERROR(I660/H660,0)</f>
        <v>30.030335195530728</v>
      </c>
      <c r="R660" s="12">
        <f>IFERROR(J660/I660,0)</f>
        <v>5.8063726994863663</v>
      </c>
      <c r="S660" s="7">
        <f>Tabla_nuevas_columnas[[#This Row],[ROAS]]</f>
        <v>5.8063726994863663</v>
      </c>
      <c r="T660" t="str">
        <f>_xlfn.CONCAT(C660,"-",D660)</f>
        <v>Display-España</v>
      </c>
      <c r="U660">
        <f>YEAR(A660)</f>
        <v>2025</v>
      </c>
      <c r="V660">
        <f>MONTH(A660)</f>
        <v>4</v>
      </c>
      <c r="W660" t="str">
        <f>PROPER(TEXT(A660,"mmmm"))</f>
        <v>Abril</v>
      </c>
      <c r="X660" t="str">
        <f>PROPER(TEXT(A660,"dddd"))</f>
        <v>Lunes</v>
      </c>
      <c r="Y660" t="str" cm="1">
        <f t="array" ref="Y660">_xlfn.IFS(R660&gt;10,"Excelente",R660&gt;=5,"Bueno",R660&gt;=2,"Débil",R660&lt;2,"Deficiente")</f>
        <v>Bueno</v>
      </c>
      <c r="Z660" t="str">
        <f>IF(AND(R660&lt;2,Q660&gt;=100),"Revisar","OK")</f>
        <v>OK</v>
      </c>
      <c r="AA660" s="55">
        <f>_xlfn.XLOOKUP(C660,'Preguntas de negocio'!$C$114:$C$119,'Preguntas de negocio'!$D$114:$D$119,0)</f>
        <v>5</v>
      </c>
      <c r="AB660" s="55">
        <f>VLOOKUP(C660,'Preguntas de negocio'!$C$121:$D$127,2,FALSE)</f>
        <v>0.5</v>
      </c>
    </row>
    <row r="661" spans="1:28" x14ac:dyDescent="0.3">
      <c r="A661" s="1">
        <v>45834</v>
      </c>
      <c r="B661" s="2" t="s">
        <v>2616</v>
      </c>
      <c r="C661" s="2" t="s">
        <v>2543</v>
      </c>
      <c r="D661" s="2" t="s">
        <v>2525</v>
      </c>
      <c r="E661" s="2" t="s">
        <v>2517</v>
      </c>
      <c r="F661" s="3">
        <v>2680</v>
      </c>
      <c r="G661" s="3">
        <v>179</v>
      </c>
      <c r="H661" s="3">
        <v>15</v>
      </c>
      <c r="I661" s="4">
        <v>76.08</v>
      </c>
      <c r="J661" s="4">
        <v>2679.01</v>
      </c>
      <c r="K661" s="3">
        <v>11</v>
      </c>
      <c r="L661" s="2" t="s">
        <v>2536</v>
      </c>
      <c r="M661" s="2" t="s">
        <v>2524</v>
      </c>
      <c r="N661" s="8">
        <f>IFERROR(G661/F661,0)</f>
        <v>6.6791044776119399E-2</v>
      </c>
      <c r="O661" s="8">
        <f>IFERROR(H661/G661,0)</f>
        <v>8.3798882681564241E-2</v>
      </c>
      <c r="P661" s="4">
        <f>IFERROR(I661/G661,0)</f>
        <v>0.42502793296089386</v>
      </c>
      <c r="Q661" s="4">
        <f>IFERROR(I661/H661,0)</f>
        <v>5.0720000000000001</v>
      </c>
      <c r="R661" s="12">
        <f>IFERROR(J661/I661,0)</f>
        <v>35.213065194532078</v>
      </c>
      <c r="S661" s="7">
        <f>Tabla_nuevas_columnas[[#This Row],[ROAS]]</f>
        <v>35.213065194532078</v>
      </c>
      <c r="T661" t="str">
        <f>_xlfn.CONCAT(C661,"-",D661)</f>
        <v>Organic Social-Francia</v>
      </c>
      <c r="U661">
        <f>YEAR(A661)</f>
        <v>2025</v>
      </c>
      <c r="V661">
        <f>MONTH(A661)</f>
        <v>6</v>
      </c>
      <c r="W661" t="str">
        <f>PROPER(TEXT(A661,"mmmm"))</f>
        <v>Junio</v>
      </c>
      <c r="X661" t="str">
        <f>PROPER(TEXT(A661,"dddd"))</f>
        <v>Jueves</v>
      </c>
      <c r="Y661" t="str" cm="1">
        <f t="array" ref="Y661">_xlfn.IFS(R661&gt;10,"Excelente",R661&gt;=5,"Bueno",R661&gt;=2,"Débil",R661&lt;2,"Deficiente")</f>
        <v>Excelente</v>
      </c>
      <c r="Z661" t="str">
        <f>IF(AND(R661&lt;2,Q661&gt;=100),"Revisar","OK")</f>
        <v>OK</v>
      </c>
      <c r="AA661" s="55">
        <f>_xlfn.XLOOKUP(C661,'Preguntas de negocio'!$C$114:$C$119,'Preguntas de negocio'!$D$114:$D$119,0)</f>
        <v>4</v>
      </c>
      <c r="AB661" s="55">
        <f>VLOOKUP(C661,'Preguntas de negocio'!$C$121:$D$127,2,FALSE)</f>
        <v>0.95</v>
      </c>
    </row>
    <row r="662" spans="1:28" x14ac:dyDescent="0.3">
      <c r="A662" s="1">
        <v>45709</v>
      </c>
      <c r="B662" s="2" t="s">
        <v>2619</v>
      </c>
      <c r="C662" s="2" t="s">
        <v>2543</v>
      </c>
      <c r="D662" s="2" t="s">
        <v>2525</v>
      </c>
      <c r="E662" s="2" t="s">
        <v>2529</v>
      </c>
      <c r="F662" s="3">
        <v>58488</v>
      </c>
      <c r="G662" s="3">
        <v>3347</v>
      </c>
      <c r="H662" s="3">
        <v>142</v>
      </c>
      <c r="I662" s="4">
        <v>2706.93</v>
      </c>
      <c r="J662" s="4">
        <v>14894.22</v>
      </c>
      <c r="K662" s="3">
        <v>85</v>
      </c>
      <c r="L662" s="2" t="s">
        <v>2518</v>
      </c>
      <c r="M662" s="2" t="s">
        <v>2524</v>
      </c>
      <c r="N662" s="8">
        <f>IFERROR(G662/F662,0)</f>
        <v>5.7225413760087537E-2</v>
      </c>
      <c r="O662" s="8">
        <f>IFERROR(H662/G662,0)</f>
        <v>4.2426053181953992E-2</v>
      </c>
      <c r="P662" s="4">
        <f>IFERROR(I662/G662,0)</f>
        <v>0.80876307140723036</v>
      </c>
      <c r="Q662" s="4">
        <f>IFERROR(I662/H662,0)</f>
        <v>19.062887323943659</v>
      </c>
      <c r="R662" s="12">
        <f>IFERROR(J662/I662,0)</f>
        <v>5.5022553224501554</v>
      </c>
      <c r="S662" s="7">
        <f>Tabla_nuevas_columnas[[#This Row],[ROAS]]</f>
        <v>5.5022553224501554</v>
      </c>
      <c r="T662" t="str">
        <f>_xlfn.CONCAT(C662,"-",D662)</f>
        <v>Organic Social-Francia</v>
      </c>
      <c r="U662">
        <f>YEAR(A662)</f>
        <v>2025</v>
      </c>
      <c r="V662">
        <f>MONTH(A662)</f>
        <v>2</v>
      </c>
      <c r="W662" t="str">
        <f>PROPER(TEXT(A662,"mmmm"))</f>
        <v>Febrero</v>
      </c>
      <c r="X662" t="str">
        <f>PROPER(TEXT(A662,"dddd"))</f>
        <v>Viernes</v>
      </c>
      <c r="Y662" t="str" cm="1">
        <f t="array" ref="Y662">_xlfn.IFS(R662&gt;10,"Excelente",R662&gt;=5,"Bueno",R662&gt;=2,"Débil",R662&lt;2,"Deficiente")</f>
        <v>Bueno</v>
      </c>
      <c r="Z662" t="str">
        <f>IF(AND(R662&lt;2,Q662&gt;=100),"Revisar","OK")</f>
        <v>OK</v>
      </c>
      <c r="AA662" s="55">
        <f>_xlfn.XLOOKUP(C662,'Preguntas de negocio'!$C$114:$C$119,'Preguntas de negocio'!$D$114:$D$119,0)</f>
        <v>4</v>
      </c>
      <c r="AB662" s="55">
        <f>VLOOKUP(C662,'Preguntas de negocio'!$C$121:$D$127,2,FALSE)</f>
        <v>0.95</v>
      </c>
    </row>
    <row r="663" spans="1:28" x14ac:dyDescent="0.3">
      <c r="A663" s="1">
        <v>45658</v>
      </c>
      <c r="B663" s="2" t="s">
        <v>2626</v>
      </c>
      <c r="C663" s="2" t="s">
        <v>2533</v>
      </c>
      <c r="D663" s="2" t="s">
        <v>2528</v>
      </c>
      <c r="E663" s="2" t="s">
        <v>2529</v>
      </c>
      <c r="F663" s="3">
        <v>147855</v>
      </c>
      <c r="G663" s="3">
        <v>7882</v>
      </c>
      <c r="H663" s="3">
        <v>234</v>
      </c>
      <c r="I663" s="4">
        <v>6499.3</v>
      </c>
      <c r="J663" s="4">
        <v>36565.64</v>
      </c>
      <c r="K663" s="3">
        <v>152</v>
      </c>
      <c r="L663" s="2" t="s">
        <v>2523</v>
      </c>
      <c r="M663" s="2" t="s">
        <v>2546</v>
      </c>
      <c r="N663" s="8">
        <f>IFERROR(G663/F663,0)</f>
        <v>5.3308985154374218E-2</v>
      </c>
      <c r="O663" s="8">
        <f>IFERROR(H663/G663,0)</f>
        <v>2.9687896472976403E-2</v>
      </c>
      <c r="P663" s="4">
        <f>IFERROR(I663/G663,0)</f>
        <v>0.82457498096929716</v>
      </c>
      <c r="Q663" s="4">
        <f>IFERROR(I663/H663,0)</f>
        <v>27.774786324786326</v>
      </c>
      <c r="R663" s="12">
        <f>IFERROR(J663/I663,0)</f>
        <v>5.6260889634268301</v>
      </c>
      <c r="S663" s="7">
        <f>Tabla_nuevas_columnas[[#This Row],[ROAS]]</f>
        <v>5.6260889634268301</v>
      </c>
      <c r="T663" t="str">
        <f>_xlfn.CONCAT(C663,"-",D663)</f>
        <v>Paid Social-España</v>
      </c>
      <c r="U663">
        <f>YEAR(A663)</f>
        <v>2025</v>
      </c>
      <c r="V663">
        <f>MONTH(A663)</f>
        <v>1</v>
      </c>
      <c r="W663" t="str">
        <f>PROPER(TEXT(A663,"mmmm"))</f>
        <v>Enero</v>
      </c>
      <c r="X663" t="str">
        <f>PROPER(TEXT(A663,"dddd"))</f>
        <v>Miércoles</v>
      </c>
      <c r="Y663" t="str" cm="1">
        <f t="array" ref="Y663">_xlfn.IFS(R663&gt;10,"Excelente",R663&gt;=5,"Bueno",R663&gt;=2,"Débil",R663&lt;2,"Deficiente")</f>
        <v>Bueno</v>
      </c>
      <c r="Z663" t="str">
        <f>IF(AND(R663&lt;2,Q663&gt;=100),"Revisar","OK")</f>
        <v>OK</v>
      </c>
      <c r="AA663" s="55">
        <f>_xlfn.XLOOKUP(C663,'Preguntas de negocio'!$C$114:$C$119,'Preguntas de negocio'!$D$114:$D$119,0)</f>
        <v>6</v>
      </c>
      <c r="AB663" s="55">
        <f>VLOOKUP(C663,'Preguntas de negocio'!$C$121:$D$127,2,FALSE)</f>
        <v>0.8</v>
      </c>
    </row>
    <row r="664" spans="1:28" x14ac:dyDescent="0.3">
      <c r="A664" s="1">
        <v>45830</v>
      </c>
      <c r="B664" s="2" t="s">
        <v>2618</v>
      </c>
      <c r="C664" s="2" t="s">
        <v>2541</v>
      </c>
      <c r="D664" s="2" t="s">
        <v>2522</v>
      </c>
      <c r="E664" s="2" t="s">
        <v>2529</v>
      </c>
      <c r="F664" s="3">
        <v>94806</v>
      </c>
      <c r="G664" s="3">
        <v>6109</v>
      </c>
      <c r="H664" s="3">
        <v>341</v>
      </c>
      <c r="I664" s="4">
        <v>9131.02</v>
      </c>
      <c r="J664" s="4">
        <v>73804.23</v>
      </c>
      <c r="K664" s="3">
        <v>168</v>
      </c>
      <c r="L664" s="2" t="s">
        <v>2518</v>
      </c>
      <c r="M664" s="2" t="s">
        <v>2524</v>
      </c>
      <c r="N664" s="8">
        <f>IFERROR(G664/F664,0)</f>
        <v>6.4436849988397354E-2</v>
      </c>
      <c r="O664" s="8">
        <f>IFERROR(H664/G664,0)</f>
        <v>5.5819283025045019E-2</v>
      </c>
      <c r="P664" s="4">
        <f>IFERROR(I664/G664,0)</f>
        <v>1.4946832542150925</v>
      </c>
      <c r="Q664" s="4">
        <f>IFERROR(I664/H664,0)</f>
        <v>26.777184750733138</v>
      </c>
      <c r="R664" s="12">
        <f>IFERROR(J664/I664,0)</f>
        <v>8.0828023594297225</v>
      </c>
      <c r="S664" s="7">
        <f>Tabla_nuevas_columnas[[#This Row],[ROAS]]</f>
        <v>8.0828023594297225</v>
      </c>
      <c r="T664" t="str">
        <f>_xlfn.CONCAT(C664,"-",D664)</f>
        <v>Display-Italia</v>
      </c>
      <c r="U664">
        <f>YEAR(A664)</f>
        <v>2025</v>
      </c>
      <c r="V664">
        <f>MONTH(A664)</f>
        <v>6</v>
      </c>
      <c r="W664" t="str">
        <f>PROPER(TEXT(A664,"mmmm"))</f>
        <v>Junio</v>
      </c>
      <c r="X664" t="str">
        <f>PROPER(TEXT(A664,"dddd"))</f>
        <v>Domingo</v>
      </c>
      <c r="Y664" t="str" cm="1">
        <f t="array" ref="Y664">_xlfn.IFS(R664&gt;10,"Excelente",R664&gt;=5,"Bueno",R664&gt;=2,"Débil",R664&lt;2,"Deficiente")</f>
        <v>Bueno</v>
      </c>
      <c r="Z664" t="str">
        <f>IF(AND(R664&lt;2,Q664&gt;=100),"Revisar","OK")</f>
        <v>OK</v>
      </c>
      <c r="AA664" s="55">
        <f>_xlfn.XLOOKUP(C664,'Preguntas de negocio'!$C$114:$C$119,'Preguntas de negocio'!$D$114:$D$119,0)</f>
        <v>5</v>
      </c>
      <c r="AB664" s="55">
        <f>VLOOKUP(C664,'Preguntas de negocio'!$C$121:$D$127,2,FALSE)</f>
        <v>0.5</v>
      </c>
    </row>
    <row r="665" spans="1:28" x14ac:dyDescent="0.3">
      <c r="A665" s="1">
        <v>45816</v>
      </c>
      <c r="B665" s="2" t="s">
        <v>2643</v>
      </c>
      <c r="C665" s="2" t="s">
        <v>2541</v>
      </c>
      <c r="D665" s="2" t="s">
        <v>2528</v>
      </c>
      <c r="E665" s="2" t="s">
        <v>2529</v>
      </c>
      <c r="F665" s="3">
        <v>52683</v>
      </c>
      <c r="G665" s="3">
        <v>2255</v>
      </c>
      <c r="H665" s="3">
        <v>83</v>
      </c>
      <c r="I665" s="4">
        <v>3965.47</v>
      </c>
      <c r="J665" s="4">
        <v>11563.97</v>
      </c>
      <c r="K665" s="3">
        <v>39</v>
      </c>
      <c r="L665" s="2" t="s">
        <v>2518</v>
      </c>
      <c r="M665" s="2" t="s">
        <v>2524</v>
      </c>
      <c r="N665" s="8">
        <f>IFERROR(G665/F665,0)</f>
        <v>4.2803181291877837E-2</v>
      </c>
      <c r="O665" s="8">
        <f>IFERROR(H665/G665,0)</f>
        <v>3.6807095343680707E-2</v>
      </c>
      <c r="P665" s="4">
        <f>IFERROR(I665/G665,0)</f>
        <v>1.7585232815964522</v>
      </c>
      <c r="Q665" s="4">
        <f>IFERROR(I665/H665,0)</f>
        <v>47.776746987951803</v>
      </c>
      <c r="R665" s="12">
        <f>IFERROR(J665/I665,0)</f>
        <v>2.91616630563338</v>
      </c>
      <c r="S665" s="7">
        <f>Tabla_nuevas_columnas[[#This Row],[ROAS]]</f>
        <v>2.91616630563338</v>
      </c>
      <c r="T665" t="str">
        <f>_xlfn.CONCAT(C665,"-",D665)</f>
        <v>Display-España</v>
      </c>
      <c r="U665">
        <f>YEAR(A665)</f>
        <v>2025</v>
      </c>
      <c r="V665">
        <f>MONTH(A665)</f>
        <v>6</v>
      </c>
      <c r="W665" t="str">
        <f>PROPER(TEXT(A665,"mmmm"))</f>
        <v>Junio</v>
      </c>
      <c r="X665" t="str">
        <f>PROPER(TEXT(A665,"dddd"))</f>
        <v>Domingo</v>
      </c>
      <c r="Y665" t="str" cm="1">
        <f t="array" ref="Y665">_xlfn.IFS(R665&gt;10,"Excelente",R665&gt;=5,"Bueno",R665&gt;=2,"Débil",R665&lt;2,"Deficiente")</f>
        <v>Débil</v>
      </c>
      <c r="Z665" t="str">
        <f>IF(AND(R665&lt;2,Q665&gt;=100),"Revisar","OK")</f>
        <v>OK</v>
      </c>
      <c r="AA665" s="55">
        <f>_xlfn.XLOOKUP(C665,'Preguntas de negocio'!$C$114:$C$119,'Preguntas de negocio'!$D$114:$D$119,0)</f>
        <v>5</v>
      </c>
      <c r="AB665" s="55">
        <f>VLOOKUP(C665,'Preguntas de negocio'!$C$121:$D$127,2,FALSE)</f>
        <v>0.5</v>
      </c>
    </row>
    <row r="666" spans="1:28" x14ac:dyDescent="0.3">
      <c r="A666" s="1">
        <v>45781</v>
      </c>
      <c r="B666" s="2" t="s">
        <v>2622</v>
      </c>
      <c r="C666" s="2" t="s">
        <v>2527</v>
      </c>
      <c r="D666" s="2" t="s">
        <v>2528</v>
      </c>
      <c r="E666" s="2" t="s">
        <v>2529</v>
      </c>
      <c r="F666" s="3">
        <v>129483</v>
      </c>
      <c r="G666" s="3">
        <v>1420</v>
      </c>
      <c r="H666" s="3">
        <v>186</v>
      </c>
      <c r="I666" s="4">
        <v>1310.1300000000001</v>
      </c>
      <c r="J666" s="4">
        <v>7578.48</v>
      </c>
      <c r="K666" s="3">
        <v>135</v>
      </c>
      <c r="L666" s="2" t="s">
        <v>2539</v>
      </c>
      <c r="M666" s="2" t="s">
        <v>2537</v>
      </c>
      <c r="N666" s="8">
        <f>IFERROR(G666/F666,0)</f>
        <v>1.0966690608033488E-2</v>
      </c>
      <c r="O666" s="8">
        <f>IFERROR(H666/G666,0)</f>
        <v>0.13098591549295774</v>
      </c>
      <c r="P666" s="4">
        <f>IFERROR(I666/G666,0)</f>
        <v>0.92262676056338033</v>
      </c>
      <c r="Q666" s="4">
        <f>IFERROR(I666/H666,0)</f>
        <v>7.0437096774193551</v>
      </c>
      <c r="R666" s="12">
        <f>IFERROR(J666/I666,0)</f>
        <v>5.784525199789333</v>
      </c>
      <c r="S666" s="7">
        <f>Tabla_nuevas_columnas[[#This Row],[ROAS]]</f>
        <v>5.784525199789333</v>
      </c>
      <c r="T666" t="str">
        <f>_xlfn.CONCAT(C666,"-",D666)</f>
        <v>Affiliate-España</v>
      </c>
      <c r="U666">
        <f>YEAR(A666)</f>
        <v>2025</v>
      </c>
      <c r="V666">
        <f>MONTH(A666)</f>
        <v>5</v>
      </c>
      <c r="W666" t="str">
        <f>PROPER(TEXT(A666,"mmmm"))</f>
        <v>Mayo</v>
      </c>
      <c r="X666" t="str">
        <f>PROPER(TEXT(A666,"dddd"))</f>
        <v>Domingo</v>
      </c>
      <c r="Y666" t="str" cm="1">
        <f t="array" ref="Y666">_xlfn.IFS(R666&gt;10,"Excelente",R666&gt;=5,"Bueno",R666&gt;=2,"Débil",R666&lt;2,"Deficiente")</f>
        <v>Bueno</v>
      </c>
      <c r="Z666" t="str">
        <f>IF(AND(R666&lt;2,Q666&gt;=100),"Revisar","OK")</f>
        <v>OK</v>
      </c>
      <c r="AA666" s="55">
        <f>_xlfn.XLOOKUP(C666,'Preguntas de negocio'!$C$114:$C$119,'Preguntas de negocio'!$D$114:$D$119,0)</f>
        <v>4.5</v>
      </c>
      <c r="AB666" s="55">
        <f>VLOOKUP(C666,'Preguntas de negocio'!$C$121:$D$127,2,FALSE)</f>
        <v>0.35</v>
      </c>
    </row>
    <row r="667" spans="1:28" x14ac:dyDescent="0.3">
      <c r="A667" s="1">
        <v>45960</v>
      </c>
      <c r="B667" s="2" t="s">
        <v>2619</v>
      </c>
      <c r="C667" s="2" t="s">
        <v>2515</v>
      </c>
      <c r="D667" s="2" t="s">
        <v>2516</v>
      </c>
      <c r="E667" s="2" t="s">
        <v>2529</v>
      </c>
      <c r="F667" s="3">
        <v>165650</v>
      </c>
      <c r="G667" s="3">
        <v>5047</v>
      </c>
      <c r="H667" s="3">
        <v>292</v>
      </c>
      <c r="I667" s="4">
        <v>2537.9699999999998</v>
      </c>
      <c r="J667" s="4">
        <v>32206.3</v>
      </c>
      <c r="K667" s="3">
        <v>156</v>
      </c>
      <c r="L667" s="2" t="s">
        <v>2523</v>
      </c>
      <c r="M667" s="2" t="s">
        <v>2524</v>
      </c>
      <c r="N667" s="8">
        <f>IFERROR(G667/F667,0)</f>
        <v>3.0467853908843948E-2</v>
      </c>
      <c r="O667" s="8">
        <f>IFERROR(H667/G667,0)</f>
        <v>5.7856152169605705E-2</v>
      </c>
      <c r="P667" s="4">
        <f>IFERROR(I667/G667,0)</f>
        <v>0.50286704973251428</v>
      </c>
      <c r="Q667" s="4">
        <f>IFERROR(I667/H667,0)</f>
        <v>8.6916780821917801</v>
      </c>
      <c r="R667" s="12">
        <f>IFERROR(J667/I667,0)</f>
        <v>12.689787507338544</v>
      </c>
      <c r="S667" s="7">
        <f>Tabla_nuevas_columnas[[#This Row],[ROAS]]</f>
        <v>12.689787507338544</v>
      </c>
      <c r="T667" t="str">
        <f>_xlfn.CONCAT(C667,"-",D667)</f>
        <v>Email-México</v>
      </c>
      <c r="U667">
        <f>YEAR(A667)</f>
        <v>2025</v>
      </c>
      <c r="V667">
        <f>MONTH(A667)</f>
        <v>10</v>
      </c>
      <c r="W667" t="str">
        <f>PROPER(TEXT(A667,"mmmm"))</f>
        <v>Octubre</v>
      </c>
      <c r="X667" t="str">
        <f>PROPER(TEXT(A667,"dddd"))</f>
        <v>Jueves</v>
      </c>
      <c r="Y667" t="str" cm="1">
        <f t="array" ref="Y667">_xlfn.IFS(R667&gt;10,"Excelente",R667&gt;=5,"Bueno",R667&gt;=2,"Débil",R667&lt;2,"Deficiente")</f>
        <v>Excelente</v>
      </c>
      <c r="Z667" t="str">
        <f>IF(AND(R667&lt;2,Q667&gt;=100),"Revisar","OK")</f>
        <v>OK</v>
      </c>
      <c r="AA667" s="55">
        <f>_xlfn.XLOOKUP(C667,'Preguntas de negocio'!$C$114:$C$119,'Preguntas de negocio'!$D$114:$D$119,0)</f>
        <v>5.5</v>
      </c>
      <c r="AB667" s="55">
        <f>VLOOKUP(C667,'Preguntas de negocio'!$C$121:$D$127,2,FALSE)</f>
        <v>0.65</v>
      </c>
    </row>
    <row r="668" spans="1:28" x14ac:dyDescent="0.3">
      <c r="A668" s="1">
        <v>45762</v>
      </c>
      <c r="B668" s="2" t="s">
        <v>2635</v>
      </c>
      <c r="C668" s="2" t="s">
        <v>2515</v>
      </c>
      <c r="D668" s="2" t="s">
        <v>2528</v>
      </c>
      <c r="E668" s="2" t="s">
        <v>2529</v>
      </c>
      <c r="F668" s="3">
        <v>22582</v>
      </c>
      <c r="G668" s="3">
        <v>433</v>
      </c>
      <c r="H668" s="3">
        <v>14</v>
      </c>
      <c r="I668" s="4">
        <v>794.38</v>
      </c>
      <c r="J668" s="4">
        <v>1345.65</v>
      </c>
      <c r="K668" s="3">
        <v>10</v>
      </c>
      <c r="L668" s="2" t="s">
        <v>2523</v>
      </c>
      <c r="M668" s="2" t="s">
        <v>2526</v>
      </c>
      <c r="N668" s="8">
        <f>IFERROR(G668/F668,0)</f>
        <v>1.9174563811885571E-2</v>
      </c>
      <c r="O668" s="8">
        <f>IFERROR(H668/G668,0)</f>
        <v>3.2332563510392612E-2</v>
      </c>
      <c r="P668" s="4">
        <f>IFERROR(I668/G668,0)</f>
        <v>1.83459584295612</v>
      </c>
      <c r="Q668" s="4">
        <f>IFERROR(I668/H668,0)</f>
        <v>56.741428571428571</v>
      </c>
      <c r="R668" s="12">
        <f>IFERROR(J668/I668,0)</f>
        <v>1.6939625871749038</v>
      </c>
      <c r="S668" s="7">
        <f>Tabla_nuevas_columnas[[#This Row],[ROAS]]</f>
        <v>1.6939625871749038</v>
      </c>
      <c r="T668" t="str">
        <f>_xlfn.CONCAT(C668,"-",D668)</f>
        <v>Email-España</v>
      </c>
      <c r="U668">
        <f>YEAR(A668)</f>
        <v>2025</v>
      </c>
      <c r="V668">
        <f>MONTH(A668)</f>
        <v>4</v>
      </c>
      <c r="W668" t="str">
        <f>PROPER(TEXT(A668,"mmmm"))</f>
        <v>Abril</v>
      </c>
      <c r="X668" t="str">
        <f>PROPER(TEXT(A668,"dddd"))</f>
        <v>Martes</v>
      </c>
      <c r="Y668" t="str" cm="1">
        <f t="array" ref="Y668">_xlfn.IFS(R668&gt;10,"Excelente",R668&gt;=5,"Bueno",R668&gt;=2,"Débil",R668&lt;2,"Deficiente")</f>
        <v>Deficiente</v>
      </c>
      <c r="Z668" t="str">
        <f>IF(AND(R668&lt;2,Q668&gt;=100),"Revisar","OK")</f>
        <v>OK</v>
      </c>
      <c r="AA668" s="55">
        <f>_xlfn.XLOOKUP(C668,'Preguntas de negocio'!$C$114:$C$119,'Preguntas de negocio'!$D$114:$D$119,0)</f>
        <v>5.5</v>
      </c>
      <c r="AB668" s="55">
        <f>VLOOKUP(C668,'Preguntas de negocio'!$C$121:$D$127,2,FALSE)</f>
        <v>0.65</v>
      </c>
    </row>
    <row r="669" spans="1:28" x14ac:dyDescent="0.3">
      <c r="A669" s="1">
        <v>45929</v>
      </c>
      <c r="B669" s="2" t="s">
        <v>2622</v>
      </c>
      <c r="C669" s="2" t="s">
        <v>2515</v>
      </c>
      <c r="D669" s="2" t="s">
        <v>2522</v>
      </c>
      <c r="E669" s="2" t="s">
        <v>2517</v>
      </c>
      <c r="F669" s="3">
        <v>125690</v>
      </c>
      <c r="G669" s="3">
        <v>5482</v>
      </c>
      <c r="H669" s="3">
        <v>432</v>
      </c>
      <c r="I669" s="4">
        <v>9711.41</v>
      </c>
      <c r="J669" s="4">
        <v>21270.66</v>
      </c>
      <c r="K669" s="3">
        <v>347</v>
      </c>
      <c r="L669" s="2" t="s">
        <v>2518</v>
      </c>
      <c r="M669" s="2" t="s">
        <v>2546</v>
      </c>
      <c r="N669" s="8">
        <f>IFERROR(G669/F669,0)</f>
        <v>4.3615243853926323E-2</v>
      </c>
      <c r="O669" s="8">
        <f>IFERROR(H669/G669,0)</f>
        <v>7.8803356439255748E-2</v>
      </c>
      <c r="P669" s="4">
        <f>IFERROR(I669/G669,0)</f>
        <v>1.7715085735133163</v>
      </c>
      <c r="Q669" s="4">
        <f>IFERROR(I669/H669,0)</f>
        <v>22.480115740740739</v>
      </c>
      <c r="R669" s="12">
        <f>IFERROR(J669/I669,0)</f>
        <v>2.1902751505703084</v>
      </c>
      <c r="S669" s="7">
        <f>Tabla_nuevas_columnas[[#This Row],[ROAS]]</f>
        <v>2.1902751505703084</v>
      </c>
      <c r="T669" t="str">
        <f>_xlfn.CONCAT(C669,"-",D669)</f>
        <v>Email-Italia</v>
      </c>
      <c r="U669">
        <f>YEAR(A669)</f>
        <v>2025</v>
      </c>
      <c r="V669">
        <f>MONTH(A669)</f>
        <v>9</v>
      </c>
      <c r="W669" t="str">
        <f>PROPER(TEXT(A669,"mmmm"))</f>
        <v>Septiembre</v>
      </c>
      <c r="X669" t="str">
        <f>PROPER(TEXT(A669,"dddd"))</f>
        <v>Lunes</v>
      </c>
      <c r="Y669" t="str" cm="1">
        <f t="array" ref="Y669">_xlfn.IFS(R669&gt;10,"Excelente",R669&gt;=5,"Bueno",R669&gt;=2,"Débil",R669&lt;2,"Deficiente")</f>
        <v>Débil</v>
      </c>
      <c r="Z669" t="str">
        <f>IF(AND(R669&lt;2,Q669&gt;=100),"Revisar","OK")</f>
        <v>OK</v>
      </c>
      <c r="AA669" s="55">
        <f>_xlfn.XLOOKUP(C669,'Preguntas de negocio'!$C$114:$C$119,'Preguntas de negocio'!$D$114:$D$119,0)</f>
        <v>5.5</v>
      </c>
      <c r="AB669" s="55">
        <f>VLOOKUP(C669,'Preguntas de negocio'!$C$121:$D$127,2,FALSE)</f>
        <v>0.65</v>
      </c>
    </row>
    <row r="670" spans="1:28" x14ac:dyDescent="0.3">
      <c r="A670" s="1">
        <v>45860</v>
      </c>
      <c r="B670" s="2" t="s">
        <v>2622</v>
      </c>
      <c r="C670" s="2" t="s">
        <v>2541</v>
      </c>
      <c r="D670" s="2" t="s">
        <v>2522</v>
      </c>
      <c r="E670" s="2" t="s">
        <v>2529</v>
      </c>
      <c r="F670" s="3">
        <v>57099</v>
      </c>
      <c r="G670" s="3">
        <v>4595</v>
      </c>
      <c r="H670" s="3">
        <v>242</v>
      </c>
      <c r="I670" s="4">
        <v>8110.22</v>
      </c>
      <c r="J670" s="4">
        <v>21665.16</v>
      </c>
      <c r="K670" s="3">
        <v>121</v>
      </c>
      <c r="L670" s="2" t="s">
        <v>2536</v>
      </c>
      <c r="M670" s="2" t="s">
        <v>2519</v>
      </c>
      <c r="N670" s="8">
        <f>IFERROR(G670/F670,0)</f>
        <v>8.0474263997618173E-2</v>
      </c>
      <c r="O670" s="8">
        <f>IFERROR(H670/G670,0)</f>
        <v>5.2665941240478784E-2</v>
      </c>
      <c r="P670" s="4">
        <f>IFERROR(I670/G670,0)</f>
        <v>1.7650097932535365</v>
      </c>
      <c r="Q670" s="4">
        <f>IFERROR(I670/H670,0)</f>
        <v>33.513305785123968</v>
      </c>
      <c r="R670" s="12">
        <f>IFERROR(J670/I670,0)</f>
        <v>2.6713406048171318</v>
      </c>
      <c r="S670" s="7">
        <f>Tabla_nuevas_columnas[[#This Row],[ROAS]]</f>
        <v>2.6713406048171318</v>
      </c>
      <c r="T670" t="str">
        <f>_xlfn.CONCAT(C670,"-",D670)</f>
        <v>Display-Italia</v>
      </c>
      <c r="U670">
        <f>YEAR(A670)</f>
        <v>2025</v>
      </c>
      <c r="V670">
        <f>MONTH(A670)</f>
        <v>7</v>
      </c>
      <c r="W670" t="str">
        <f>PROPER(TEXT(A670,"mmmm"))</f>
        <v>Julio</v>
      </c>
      <c r="X670" t="str">
        <f>PROPER(TEXT(A670,"dddd"))</f>
        <v>Martes</v>
      </c>
      <c r="Y670" t="str" cm="1">
        <f t="array" ref="Y670">_xlfn.IFS(R670&gt;10,"Excelente",R670&gt;=5,"Bueno",R670&gt;=2,"Débil",R670&lt;2,"Deficiente")</f>
        <v>Débil</v>
      </c>
      <c r="Z670" t="str">
        <f>IF(AND(R670&lt;2,Q670&gt;=100),"Revisar","OK")</f>
        <v>OK</v>
      </c>
      <c r="AA670" s="55">
        <f>_xlfn.XLOOKUP(C670,'Preguntas de negocio'!$C$114:$C$119,'Preguntas de negocio'!$D$114:$D$119,0)</f>
        <v>5</v>
      </c>
      <c r="AB670" s="55">
        <f>VLOOKUP(C670,'Preguntas de negocio'!$C$121:$D$127,2,FALSE)</f>
        <v>0.5</v>
      </c>
    </row>
    <row r="671" spans="1:28" x14ac:dyDescent="0.3">
      <c r="A671" s="1">
        <v>45672</v>
      </c>
      <c r="B671" s="2" t="s">
        <v>2635</v>
      </c>
      <c r="C671" s="2" t="s">
        <v>2527</v>
      </c>
      <c r="D671" s="2" t="s">
        <v>2531</v>
      </c>
      <c r="E671" s="2" t="s">
        <v>2529</v>
      </c>
      <c r="F671" s="3">
        <v>75640</v>
      </c>
      <c r="G671" s="3">
        <v>4641</v>
      </c>
      <c r="H671" s="3">
        <v>140</v>
      </c>
      <c r="I671" s="4">
        <v>5644.18</v>
      </c>
      <c r="J671" s="4">
        <v>14349.7</v>
      </c>
      <c r="K671" s="3">
        <v>78</v>
      </c>
      <c r="L671" s="2" t="s">
        <v>2539</v>
      </c>
      <c r="M671" s="2" t="s">
        <v>2546</v>
      </c>
      <c r="N671" s="8">
        <f>IFERROR(G671/F671,0)</f>
        <v>6.1356425171866735E-2</v>
      </c>
      <c r="O671" s="8">
        <f>IFERROR(H671/G671,0)</f>
        <v>3.0165912518853696E-2</v>
      </c>
      <c r="P671" s="4">
        <f>IFERROR(I671/G671,0)</f>
        <v>1.2161560008618832</v>
      </c>
      <c r="Q671" s="4">
        <f>IFERROR(I671/H671,0)</f>
        <v>40.315571428571431</v>
      </c>
      <c r="R671" s="12">
        <f>IFERROR(J671/I671,0)</f>
        <v>2.5423887969554477</v>
      </c>
      <c r="S671" s="7">
        <f>Tabla_nuevas_columnas[[#This Row],[ROAS]]</f>
        <v>2.5423887969554477</v>
      </c>
      <c r="T671" t="str">
        <f>_xlfn.CONCAT(C671,"-",D671)</f>
        <v>Affiliate-Portugal</v>
      </c>
      <c r="U671">
        <f>YEAR(A671)</f>
        <v>2025</v>
      </c>
      <c r="V671">
        <f>MONTH(A671)</f>
        <v>1</v>
      </c>
      <c r="W671" t="str">
        <f>PROPER(TEXT(A671,"mmmm"))</f>
        <v>Enero</v>
      </c>
      <c r="X671" t="str">
        <f>PROPER(TEXT(A671,"dddd"))</f>
        <v>Miércoles</v>
      </c>
      <c r="Y671" t="str" cm="1">
        <f t="array" ref="Y671">_xlfn.IFS(R671&gt;10,"Excelente",R671&gt;=5,"Bueno",R671&gt;=2,"Débil",R671&lt;2,"Deficiente")</f>
        <v>Débil</v>
      </c>
      <c r="Z671" t="str">
        <f>IF(AND(R671&lt;2,Q671&gt;=100),"Revisar","OK")</f>
        <v>OK</v>
      </c>
      <c r="AA671" s="55">
        <f>_xlfn.XLOOKUP(C671,'Preguntas de negocio'!$C$114:$C$119,'Preguntas de negocio'!$D$114:$D$119,0)</f>
        <v>4.5</v>
      </c>
      <c r="AB671" s="55">
        <f>VLOOKUP(C671,'Preguntas de negocio'!$C$121:$D$127,2,FALSE)</f>
        <v>0.35</v>
      </c>
    </row>
    <row r="672" spans="1:28" x14ac:dyDescent="0.3">
      <c r="A672" s="1">
        <v>45849</v>
      </c>
      <c r="B672" s="2" t="s">
        <v>2618</v>
      </c>
      <c r="C672" s="2" t="s">
        <v>2533</v>
      </c>
      <c r="D672" s="2" t="s">
        <v>2531</v>
      </c>
      <c r="E672" s="2" t="s">
        <v>2534</v>
      </c>
      <c r="F672" s="3">
        <v>168003</v>
      </c>
      <c r="G672" s="3">
        <v>8511</v>
      </c>
      <c r="H672" s="3">
        <v>464</v>
      </c>
      <c r="I672" s="4">
        <v>10605.75</v>
      </c>
      <c r="J672" s="4">
        <v>78496.539999999994</v>
      </c>
      <c r="K672" s="3">
        <v>291</v>
      </c>
      <c r="L672" s="2" t="s">
        <v>2518</v>
      </c>
      <c r="M672" s="2" t="s">
        <v>2524</v>
      </c>
      <c r="N672" s="8">
        <f>IFERROR(G672/F672,0)</f>
        <v>5.0659809646256319E-2</v>
      </c>
      <c r="O672" s="8">
        <f>IFERROR(H672/G672,0)</f>
        <v>5.4517682998472566E-2</v>
      </c>
      <c r="P672" s="4">
        <f>IFERROR(I672/G672,0)</f>
        <v>1.2461226647867465</v>
      </c>
      <c r="Q672" s="4">
        <f>IFERROR(I672/H672,0)</f>
        <v>22.857219827586206</v>
      </c>
      <c r="R672" s="12">
        <f>IFERROR(J672/I672,0)</f>
        <v>7.4013190957735189</v>
      </c>
      <c r="S672" s="7">
        <f>Tabla_nuevas_columnas[[#This Row],[ROAS]]</f>
        <v>7.4013190957735189</v>
      </c>
      <c r="T672" t="str">
        <f>_xlfn.CONCAT(C672,"-",D672)</f>
        <v>Paid Social-Portugal</v>
      </c>
      <c r="U672">
        <f>YEAR(A672)</f>
        <v>2025</v>
      </c>
      <c r="V672">
        <f>MONTH(A672)</f>
        <v>7</v>
      </c>
      <c r="W672" t="str">
        <f>PROPER(TEXT(A672,"mmmm"))</f>
        <v>Julio</v>
      </c>
      <c r="X672" t="str">
        <f>PROPER(TEXT(A672,"dddd"))</f>
        <v>Viernes</v>
      </c>
      <c r="Y672" t="str" cm="1">
        <f t="array" ref="Y672">_xlfn.IFS(R672&gt;10,"Excelente",R672&gt;=5,"Bueno",R672&gt;=2,"Débil",R672&lt;2,"Deficiente")</f>
        <v>Bueno</v>
      </c>
      <c r="Z672" t="str">
        <f>IF(AND(R672&lt;2,Q672&gt;=100),"Revisar","OK")</f>
        <v>OK</v>
      </c>
      <c r="AA672" s="55">
        <f>_xlfn.XLOOKUP(C672,'Preguntas de negocio'!$C$114:$C$119,'Preguntas de negocio'!$D$114:$D$119,0)</f>
        <v>6</v>
      </c>
      <c r="AB672" s="55">
        <f>VLOOKUP(C672,'Preguntas de negocio'!$C$121:$D$127,2,FALSE)</f>
        <v>0.8</v>
      </c>
    </row>
    <row r="673" spans="1:28" x14ac:dyDescent="0.3">
      <c r="A673" s="1">
        <v>45980</v>
      </c>
      <c r="B673" s="2" t="s">
        <v>2636</v>
      </c>
      <c r="C673" s="2" t="s">
        <v>2533</v>
      </c>
      <c r="D673" s="2" t="s">
        <v>2528</v>
      </c>
      <c r="E673" s="2" t="s">
        <v>2517</v>
      </c>
      <c r="F673" s="3">
        <v>48844</v>
      </c>
      <c r="G673" s="3">
        <v>1237</v>
      </c>
      <c r="H673" s="3">
        <v>129</v>
      </c>
      <c r="I673" s="4">
        <v>355.96</v>
      </c>
      <c r="J673" s="4">
        <v>16266.25</v>
      </c>
      <c r="K673" s="3">
        <v>93</v>
      </c>
      <c r="L673" s="2" t="s">
        <v>2536</v>
      </c>
      <c r="M673" s="2" t="s">
        <v>2526</v>
      </c>
      <c r="N673" s="8">
        <f>IFERROR(G673/F673,0)</f>
        <v>2.5325526164933256E-2</v>
      </c>
      <c r="O673" s="8">
        <f>IFERROR(H673/G673,0)</f>
        <v>0.10428455941794665</v>
      </c>
      <c r="P673" s="4">
        <f>IFERROR(I673/G673,0)</f>
        <v>0.28776071139854487</v>
      </c>
      <c r="Q673" s="4">
        <f>IFERROR(I673/H673,0)</f>
        <v>2.7593798449612401</v>
      </c>
      <c r="R673" s="12">
        <f>IFERROR(J673/I673,0)</f>
        <v>45.696847960444998</v>
      </c>
      <c r="S673" s="7">
        <f>Tabla_nuevas_columnas[[#This Row],[ROAS]]</f>
        <v>45.696847960444998</v>
      </c>
      <c r="T673" t="str">
        <f>_xlfn.CONCAT(C673,"-",D673)</f>
        <v>Paid Social-España</v>
      </c>
      <c r="U673">
        <f>YEAR(A673)</f>
        <v>2025</v>
      </c>
      <c r="V673">
        <f>MONTH(A673)</f>
        <v>11</v>
      </c>
      <c r="W673" t="str">
        <f>PROPER(TEXT(A673,"mmmm"))</f>
        <v>Noviembre</v>
      </c>
      <c r="X673" t="str">
        <f>PROPER(TEXT(A673,"dddd"))</f>
        <v>Miércoles</v>
      </c>
      <c r="Y673" t="str" cm="1">
        <f t="array" ref="Y673">_xlfn.IFS(R673&gt;10,"Excelente",R673&gt;=5,"Bueno",R673&gt;=2,"Débil",R673&lt;2,"Deficiente")</f>
        <v>Excelente</v>
      </c>
      <c r="Z673" t="str">
        <f>IF(AND(R673&lt;2,Q673&gt;=100),"Revisar","OK")</f>
        <v>OK</v>
      </c>
      <c r="AA673" s="55">
        <f>_xlfn.XLOOKUP(C673,'Preguntas de negocio'!$C$114:$C$119,'Preguntas de negocio'!$D$114:$D$119,0)</f>
        <v>6</v>
      </c>
      <c r="AB673" s="55">
        <f>VLOOKUP(C673,'Preguntas de negocio'!$C$121:$D$127,2,FALSE)</f>
        <v>0.8</v>
      </c>
    </row>
    <row r="674" spans="1:28" x14ac:dyDescent="0.3">
      <c r="A674" s="1">
        <v>45907</v>
      </c>
      <c r="B674" s="2" t="s">
        <v>2631</v>
      </c>
      <c r="C674" s="2" t="s">
        <v>2527</v>
      </c>
      <c r="D674" s="2" t="s">
        <v>2528</v>
      </c>
      <c r="E674" s="2" t="s">
        <v>2529</v>
      </c>
      <c r="F674" s="3">
        <v>157605</v>
      </c>
      <c r="G674" s="3">
        <v>10945</v>
      </c>
      <c r="H674" s="3">
        <v>753</v>
      </c>
      <c r="I674" s="4">
        <v>7928.79</v>
      </c>
      <c r="J674" s="4">
        <v>147210.54999999999</v>
      </c>
      <c r="K674" s="3">
        <v>493</v>
      </c>
      <c r="L674" s="2" t="s">
        <v>2518</v>
      </c>
      <c r="M674" s="2" t="s">
        <v>2537</v>
      </c>
      <c r="N674" s="8">
        <f>IFERROR(G674/F674,0)</f>
        <v>6.9445766314520485E-2</v>
      </c>
      <c r="O674" s="8">
        <f>IFERROR(H674/G674,0)</f>
        <v>6.8798538145271815E-2</v>
      </c>
      <c r="P674" s="4">
        <f>IFERROR(I674/G674,0)</f>
        <v>0.72442119689355866</v>
      </c>
      <c r="Q674" s="4">
        <f>IFERROR(I674/H674,0)</f>
        <v>10.529601593625499</v>
      </c>
      <c r="R674" s="12">
        <f>IFERROR(J674/I674,0)</f>
        <v>18.566584560822015</v>
      </c>
      <c r="S674" s="7">
        <f>Tabla_nuevas_columnas[[#This Row],[ROAS]]</f>
        <v>18.566584560822015</v>
      </c>
      <c r="T674" t="str">
        <f>_xlfn.CONCAT(C674,"-",D674)</f>
        <v>Affiliate-España</v>
      </c>
      <c r="U674">
        <f>YEAR(A674)</f>
        <v>2025</v>
      </c>
      <c r="V674">
        <f>MONTH(A674)</f>
        <v>9</v>
      </c>
      <c r="W674" t="str">
        <f>PROPER(TEXT(A674,"mmmm"))</f>
        <v>Septiembre</v>
      </c>
      <c r="X674" t="str">
        <f>PROPER(TEXT(A674,"dddd"))</f>
        <v>Domingo</v>
      </c>
      <c r="Y674" t="str" cm="1">
        <f t="array" ref="Y674">_xlfn.IFS(R674&gt;10,"Excelente",R674&gt;=5,"Bueno",R674&gt;=2,"Débil",R674&lt;2,"Deficiente")</f>
        <v>Excelente</v>
      </c>
      <c r="Z674" t="str">
        <f>IF(AND(R674&lt;2,Q674&gt;=100),"Revisar","OK")</f>
        <v>OK</v>
      </c>
      <c r="AA674" s="55">
        <f>_xlfn.XLOOKUP(C674,'Preguntas de negocio'!$C$114:$C$119,'Preguntas de negocio'!$D$114:$D$119,0)</f>
        <v>4.5</v>
      </c>
      <c r="AB674" s="55">
        <f>VLOOKUP(C674,'Preguntas de negocio'!$C$121:$D$127,2,FALSE)</f>
        <v>0.35</v>
      </c>
    </row>
    <row r="675" spans="1:28" x14ac:dyDescent="0.3">
      <c r="A675" s="1">
        <v>45879</v>
      </c>
      <c r="B675" s="2" t="s">
        <v>2625</v>
      </c>
      <c r="C675" s="2" t="s">
        <v>2521</v>
      </c>
      <c r="D675" s="2" t="s">
        <v>2522</v>
      </c>
      <c r="E675" s="2" t="s">
        <v>2529</v>
      </c>
      <c r="F675" s="3">
        <v>117821</v>
      </c>
      <c r="G675" s="3">
        <v>1769</v>
      </c>
      <c r="H675" s="3">
        <v>134</v>
      </c>
      <c r="I675" s="4">
        <v>559</v>
      </c>
      <c r="J675" s="4">
        <v>3711</v>
      </c>
      <c r="K675" s="3">
        <v>117</v>
      </c>
      <c r="L675" s="2" t="s">
        <v>2539</v>
      </c>
      <c r="M675" s="2" t="s">
        <v>2537</v>
      </c>
      <c r="N675" s="8">
        <f>IFERROR(G675/F675,0)</f>
        <v>1.5014301355445974E-2</v>
      </c>
      <c r="O675" s="8">
        <f>IFERROR(H675/G675,0)</f>
        <v>7.5749010740531378E-2</v>
      </c>
      <c r="P675" s="4">
        <f>IFERROR(I675/G675,0)</f>
        <v>0.31599773883550031</v>
      </c>
      <c r="Q675" s="4">
        <f>IFERROR(I675/H675,0)</f>
        <v>4.1716417910447765</v>
      </c>
      <c r="R675" s="12">
        <f>IFERROR(J675/I675,0)</f>
        <v>6.6386404293381034</v>
      </c>
      <c r="S675" s="7">
        <f>Tabla_nuevas_columnas[[#This Row],[ROAS]]</f>
        <v>6.6386404293381034</v>
      </c>
      <c r="T675" t="str">
        <f>_xlfn.CONCAT(C675,"-",D675)</f>
        <v>Paid Search-Italia</v>
      </c>
      <c r="U675">
        <f>YEAR(A675)</f>
        <v>2025</v>
      </c>
      <c r="V675">
        <f>MONTH(A675)</f>
        <v>8</v>
      </c>
      <c r="W675" t="str">
        <f>PROPER(TEXT(A675,"mmmm"))</f>
        <v>Agosto</v>
      </c>
      <c r="X675" t="str">
        <f>PROPER(TEXT(A675,"dddd"))</f>
        <v>Domingo</v>
      </c>
      <c r="Y675" t="str" cm="1">
        <f t="array" ref="Y675">_xlfn.IFS(R675&gt;10,"Excelente",R675&gt;=5,"Bueno",R675&gt;=2,"Débil",R675&lt;2,"Deficiente")</f>
        <v>Bueno</v>
      </c>
      <c r="Z675" t="str">
        <f>IF(AND(R675&lt;2,Q675&gt;=100),"Revisar","OK")</f>
        <v>OK</v>
      </c>
      <c r="AA675" s="55">
        <f>_xlfn.XLOOKUP(C675,'Preguntas de negocio'!$C$114:$C$119,'Preguntas de negocio'!$D$114:$D$119,0)</f>
        <v>5</v>
      </c>
      <c r="AB675" s="55">
        <f>VLOOKUP(C675,'Preguntas de negocio'!$C$121:$D$127,2,FALSE)</f>
        <v>1.1000000000000001</v>
      </c>
    </row>
    <row r="676" spans="1:28" x14ac:dyDescent="0.3">
      <c r="A676" s="1">
        <v>45950</v>
      </c>
      <c r="B676" s="2" t="s">
        <v>2630</v>
      </c>
      <c r="C676" s="2" t="s">
        <v>2521</v>
      </c>
      <c r="D676" s="2" t="s">
        <v>2531</v>
      </c>
      <c r="E676" s="2" t="s">
        <v>2517</v>
      </c>
      <c r="F676" s="3">
        <v>90138</v>
      </c>
      <c r="G676" s="3">
        <v>1952</v>
      </c>
      <c r="H676" s="3">
        <v>182</v>
      </c>
      <c r="I676" s="4">
        <v>3510.27</v>
      </c>
      <c r="J676" s="4">
        <v>29254.3</v>
      </c>
      <c r="K676" s="3">
        <v>145</v>
      </c>
      <c r="L676" s="2" t="s">
        <v>2539</v>
      </c>
      <c r="M676" s="2" t="s">
        <v>2546</v>
      </c>
      <c r="N676" s="8">
        <f>IFERROR(G676/F676,0)</f>
        <v>2.1655683507510706E-2</v>
      </c>
      <c r="O676" s="8">
        <f>IFERROR(H676/G676,0)</f>
        <v>9.3237704918032793E-2</v>
      </c>
      <c r="P676" s="4">
        <f>IFERROR(I676/G676,0)</f>
        <v>1.7982940573770492</v>
      </c>
      <c r="Q676" s="4">
        <f>IFERROR(I676/H676,0)</f>
        <v>19.287197802197802</v>
      </c>
      <c r="R676" s="12">
        <f>IFERROR(J676/I676,0)</f>
        <v>8.3339173339942505</v>
      </c>
      <c r="S676" s="7">
        <f>Tabla_nuevas_columnas[[#This Row],[ROAS]]</f>
        <v>8.3339173339942505</v>
      </c>
      <c r="T676" t="str">
        <f>_xlfn.CONCAT(C676,"-",D676)</f>
        <v>Paid Search-Portugal</v>
      </c>
      <c r="U676">
        <f>YEAR(A676)</f>
        <v>2025</v>
      </c>
      <c r="V676">
        <f>MONTH(A676)</f>
        <v>10</v>
      </c>
      <c r="W676" t="str">
        <f>PROPER(TEXT(A676,"mmmm"))</f>
        <v>Octubre</v>
      </c>
      <c r="X676" t="str">
        <f>PROPER(TEXT(A676,"dddd"))</f>
        <v>Lunes</v>
      </c>
      <c r="Y676" t="str" cm="1">
        <f t="array" ref="Y676">_xlfn.IFS(R676&gt;10,"Excelente",R676&gt;=5,"Bueno",R676&gt;=2,"Débil",R676&lt;2,"Deficiente")</f>
        <v>Bueno</v>
      </c>
      <c r="Z676" t="str">
        <f>IF(AND(R676&lt;2,Q676&gt;=100),"Revisar","OK")</f>
        <v>OK</v>
      </c>
      <c r="AA676" s="55">
        <f>_xlfn.XLOOKUP(C676,'Preguntas de negocio'!$C$114:$C$119,'Preguntas de negocio'!$D$114:$D$119,0)</f>
        <v>5</v>
      </c>
      <c r="AB676" s="55">
        <f>VLOOKUP(C676,'Preguntas de negocio'!$C$121:$D$127,2,FALSE)</f>
        <v>1.1000000000000001</v>
      </c>
    </row>
    <row r="677" spans="1:28" x14ac:dyDescent="0.3">
      <c r="A677" s="1">
        <v>45877</v>
      </c>
      <c r="B677" s="2" t="s">
        <v>2628</v>
      </c>
      <c r="C677" s="2" t="s">
        <v>2645</v>
      </c>
      <c r="D677" s="2" t="s">
        <v>2516</v>
      </c>
      <c r="E677" s="2" t="s">
        <v>2529</v>
      </c>
      <c r="F677" s="3">
        <v>96911</v>
      </c>
      <c r="G677" s="3">
        <v>4918</v>
      </c>
      <c r="H677" s="3">
        <v>612</v>
      </c>
      <c r="I677" s="4">
        <v>8914.11</v>
      </c>
      <c r="J677" s="4">
        <v>66408.649999999994</v>
      </c>
      <c r="K677" s="3">
        <v>543</v>
      </c>
      <c r="L677" s="2" t="s">
        <v>2536</v>
      </c>
      <c r="M677" s="2" t="s">
        <v>2526</v>
      </c>
      <c r="N677" s="8">
        <f>IFERROR(G677/F677,0)</f>
        <v>5.0747593152480112E-2</v>
      </c>
      <c r="O677" s="8">
        <f>IFERROR(H677/G677,0)</f>
        <v>0.1244408296055307</v>
      </c>
      <c r="P677" s="4">
        <f>IFERROR(I677/G677,0)</f>
        <v>1.8125477836518911</v>
      </c>
      <c r="Q677" s="4">
        <f>IFERROR(I677/H677,0)</f>
        <v>14.565539215686275</v>
      </c>
      <c r="R677" s="12">
        <f>IFERROR(J677/I677,0)</f>
        <v>7.4498351489941212</v>
      </c>
      <c r="S677" s="7">
        <f>Tabla_nuevas_columnas[[#This Row],[ROAS]]</f>
        <v>7.4498351489941212</v>
      </c>
      <c r="T677" t="str">
        <f>_xlfn.CONCAT(C677,"-",D677)</f>
        <v>Por identificar-México</v>
      </c>
      <c r="U677">
        <f>YEAR(A677)</f>
        <v>2025</v>
      </c>
      <c r="V677">
        <f>MONTH(A677)</f>
        <v>8</v>
      </c>
      <c r="W677" t="str">
        <f>PROPER(TEXT(A677,"mmmm"))</f>
        <v>Agosto</v>
      </c>
      <c r="X677" t="str">
        <f>PROPER(TEXT(A677,"dddd"))</f>
        <v>Viernes</v>
      </c>
      <c r="Y677" t="str" cm="1">
        <f t="array" ref="Y677">_xlfn.IFS(R677&gt;10,"Excelente",R677&gt;=5,"Bueno",R677&gt;=2,"Débil",R677&lt;2,"Deficiente")</f>
        <v>Bueno</v>
      </c>
      <c r="Z677" t="str">
        <f>IF(AND(R677&lt;2,Q677&gt;=100),"Revisar","OK")</f>
        <v>OK</v>
      </c>
      <c r="AA677" s="55">
        <f>_xlfn.XLOOKUP(C677,'Preguntas de negocio'!$C$114:$C$119,'Preguntas de negocio'!$D$114:$D$119,0)</f>
        <v>0</v>
      </c>
      <c r="AB677" s="55">
        <f>VLOOKUP(C677,'Preguntas de negocio'!$C$121:$D$127,2,FALSE)</f>
        <v>0</v>
      </c>
    </row>
    <row r="678" spans="1:28" x14ac:dyDescent="0.3">
      <c r="A678" s="1">
        <v>45891</v>
      </c>
      <c r="B678" s="2" t="s">
        <v>2635</v>
      </c>
      <c r="C678" s="2" t="s">
        <v>2527</v>
      </c>
      <c r="D678" s="2" t="s">
        <v>2528</v>
      </c>
      <c r="E678" s="2" t="s">
        <v>2534</v>
      </c>
      <c r="F678" s="3">
        <v>124883</v>
      </c>
      <c r="G678" s="3">
        <v>2655</v>
      </c>
      <c r="H678" s="3">
        <v>19</v>
      </c>
      <c r="I678" s="4">
        <v>3617.88</v>
      </c>
      <c r="J678" s="4">
        <v>3756.92</v>
      </c>
      <c r="K678" s="3">
        <v>15</v>
      </c>
      <c r="L678" s="2" t="s">
        <v>2518</v>
      </c>
      <c r="M678" s="2" t="s">
        <v>2546</v>
      </c>
      <c r="N678" s="8">
        <f>IFERROR(G678/F678,0)</f>
        <v>2.1259899265712708E-2</v>
      </c>
      <c r="O678" s="8">
        <f>IFERROR(H678/G678,0)</f>
        <v>7.1563088512241052E-3</v>
      </c>
      <c r="P678" s="4">
        <f>IFERROR(I678/G678,0)</f>
        <v>1.3626666666666667</v>
      </c>
      <c r="Q678" s="4">
        <f>IFERROR(I678/H678,0)</f>
        <v>190.41473684210527</v>
      </c>
      <c r="R678" s="12">
        <f>IFERROR(J678/I678,0)</f>
        <v>1.0384313465344346</v>
      </c>
      <c r="S678" s="7">
        <f>Tabla_nuevas_columnas[[#This Row],[ROAS]]</f>
        <v>1.0384313465344346</v>
      </c>
      <c r="T678" t="str">
        <f>_xlfn.CONCAT(C678,"-",D678)</f>
        <v>Affiliate-España</v>
      </c>
      <c r="U678">
        <f>YEAR(A678)</f>
        <v>2025</v>
      </c>
      <c r="V678">
        <f>MONTH(A678)</f>
        <v>8</v>
      </c>
      <c r="W678" t="str">
        <f>PROPER(TEXT(A678,"mmmm"))</f>
        <v>Agosto</v>
      </c>
      <c r="X678" t="str">
        <f>PROPER(TEXT(A678,"dddd"))</f>
        <v>Viernes</v>
      </c>
      <c r="Y678" t="str" cm="1">
        <f t="array" ref="Y678">_xlfn.IFS(R678&gt;10,"Excelente",R678&gt;=5,"Bueno",R678&gt;=2,"Débil",R678&lt;2,"Deficiente")</f>
        <v>Deficiente</v>
      </c>
      <c r="Z678" t="str">
        <f>IF(AND(R678&lt;2,Q678&gt;=100),"Revisar","OK")</f>
        <v>Revisar</v>
      </c>
      <c r="AA678" s="55">
        <f>_xlfn.XLOOKUP(C678,'Preguntas de negocio'!$C$114:$C$119,'Preguntas de negocio'!$D$114:$D$119,0)</f>
        <v>4.5</v>
      </c>
      <c r="AB678" s="55">
        <f>VLOOKUP(C678,'Preguntas de negocio'!$C$121:$D$127,2,FALSE)</f>
        <v>0.35</v>
      </c>
    </row>
    <row r="679" spans="1:28" x14ac:dyDescent="0.3">
      <c r="A679" s="1">
        <v>45662</v>
      </c>
      <c r="B679" s="2" t="s">
        <v>2623</v>
      </c>
      <c r="C679" s="2" t="s">
        <v>2541</v>
      </c>
      <c r="D679" s="2" t="s">
        <v>2516</v>
      </c>
      <c r="E679" s="2" t="s">
        <v>2517</v>
      </c>
      <c r="F679" s="3">
        <v>162176</v>
      </c>
      <c r="G679" s="3">
        <v>7106</v>
      </c>
      <c r="H679" s="3">
        <v>872</v>
      </c>
      <c r="I679" s="4">
        <v>5250.62</v>
      </c>
      <c r="J679" s="4">
        <v>63653.01</v>
      </c>
      <c r="K679" s="3">
        <v>685</v>
      </c>
      <c r="L679" s="2" t="s">
        <v>2536</v>
      </c>
      <c r="M679" s="2" t="s">
        <v>2524</v>
      </c>
      <c r="N679" s="8">
        <f>IFERROR(G679/F679,0)</f>
        <v>4.3816594317284928E-2</v>
      </c>
      <c r="O679" s="8">
        <f>IFERROR(H679/G679,0)</f>
        <v>0.12271320011258091</v>
      </c>
      <c r="P679" s="4">
        <f>IFERROR(I679/G679,0)</f>
        <v>0.7388995215311005</v>
      </c>
      <c r="Q679" s="4">
        <f>IFERROR(I679/H679,0)</f>
        <v>6.0213532110091741</v>
      </c>
      <c r="R679" s="12">
        <f>IFERROR(J679/I679,0)</f>
        <v>12.122951194335146</v>
      </c>
      <c r="S679" s="7">
        <f>Tabla_nuevas_columnas[[#This Row],[ROAS]]</f>
        <v>12.122951194335146</v>
      </c>
      <c r="T679" t="str">
        <f>_xlfn.CONCAT(C679,"-",D679)</f>
        <v>Display-México</v>
      </c>
      <c r="U679">
        <f>YEAR(A679)</f>
        <v>2025</v>
      </c>
      <c r="V679">
        <f>MONTH(A679)</f>
        <v>1</v>
      </c>
      <c r="W679" t="str">
        <f>PROPER(TEXT(A679,"mmmm"))</f>
        <v>Enero</v>
      </c>
      <c r="X679" t="str">
        <f>PROPER(TEXT(A679,"dddd"))</f>
        <v>Domingo</v>
      </c>
      <c r="Y679" t="str" cm="1">
        <f t="array" ref="Y679">_xlfn.IFS(R679&gt;10,"Excelente",R679&gt;=5,"Bueno",R679&gt;=2,"Débil",R679&lt;2,"Deficiente")</f>
        <v>Excelente</v>
      </c>
      <c r="Z679" t="str">
        <f>IF(AND(R679&lt;2,Q679&gt;=100),"Revisar","OK")</f>
        <v>OK</v>
      </c>
      <c r="AA679" s="55">
        <f>_xlfn.XLOOKUP(C679,'Preguntas de negocio'!$C$114:$C$119,'Preguntas de negocio'!$D$114:$D$119,0)</f>
        <v>5</v>
      </c>
      <c r="AB679" s="55">
        <f>VLOOKUP(C679,'Preguntas de negocio'!$C$121:$D$127,2,FALSE)</f>
        <v>0.5</v>
      </c>
    </row>
    <row r="680" spans="1:28" x14ac:dyDescent="0.3">
      <c r="A680" s="1">
        <v>45980</v>
      </c>
      <c r="B680" s="2" t="s">
        <v>2623</v>
      </c>
      <c r="C680" s="2" t="s">
        <v>2521</v>
      </c>
      <c r="D680" s="2" t="s">
        <v>2528</v>
      </c>
      <c r="E680" s="2" t="s">
        <v>2529</v>
      </c>
      <c r="F680" s="3">
        <v>8595</v>
      </c>
      <c r="G680" s="3">
        <v>237</v>
      </c>
      <c r="H680" s="3">
        <v>13</v>
      </c>
      <c r="I680" s="4">
        <v>217.65</v>
      </c>
      <c r="J680" s="4">
        <v>241.9</v>
      </c>
      <c r="K680" s="3">
        <v>6</v>
      </c>
      <c r="L680" s="2" t="s">
        <v>2539</v>
      </c>
      <c r="M680" s="2" t="s">
        <v>2526</v>
      </c>
      <c r="N680" s="8">
        <f>IFERROR(G680/F680,0)</f>
        <v>2.7574171029668412E-2</v>
      </c>
      <c r="O680" s="8">
        <f>IFERROR(H680/G680,0)</f>
        <v>5.4852320675105488E-2</v>
      </c>
      <c r="P680" s="4">
        <f>IFERROR(I680/G680,0)</f>
        <v>0.91835443037974684</v>
      </c>
      <c r="Q680" s="4">
        <f>IFERROR(I680/H680,0)</f>
        <v>16.742307692307694</v>
      </c>
      <c r="R680" s="12">
        <f>IFERROR(J680/I680,0)</f>
        <v>1.1114174132781989</v>
      </c>
      <c r="S680" s="7">
        <f>Tabla_nuevas_columnas[[#This Row],[ROAS]]</f>
        <v>1.1114174132781989</v>
      </c>
      <c r="T680" t="str">
        <f>_xlfn.CONCAT(C680,"-",D680)</f>
        <v>Paid Search-España</v>
      </c>
      <c r="U680">
        <f>YEAR(A680)</f>
        <v>2025</v>
      </c>
      <c r="V680">
        <f>MONTH(A680)</f>
        <v>11</v>
      </c>
      <c r="W680" t="str">
        <f>PROPER(TEXT(A680,"mmmm"))</f>
        <v>Noviembre</v>
      </c>
      <c r="X680" t="str">
        <f>PROPER(TEXT(A680,"dddd"))</f>
        <v>Miércoles</v>
      </c>
      <c r="Y680" t="str" cm="1">
        <f t="array" ref="Y680">_xlfn.IFS(R680&gt;10,"Excelente",R680&gt;=5,"Bueno",R680&gt;=2,"Débil",R680&lt;2,"Deficiente")</f>
        <v>Deficiente</v>
      </c>
      <c r="Z680" t="str">
        <f>IF(AND(R680&lt;2,Q680&gt;=100),"Revisar","OK")</f>
        <v>OK</v>
      </c>
      <c r="AA680" s="55">
        <f>_xlfn.XLOOKUP(C680,'Preguntas de negocio'!$C$114:$C$119,'Preguntas de negocio'!$D$114:$D$119,0)</f>
        <v>5</v>
      </c>
      <c r="AB680" s="55">
        <f>VLOOKUP(C680,'Preguntas de negocio'!$C$121:$D$127,2,FALSE)</f>
        <v>1.1000000000000001</v>
      </c>
    </row>
    <row r="681" spans="1:28" x14ac:dyDescent="0.3">
      <c r="A681" s="1">
        <v>45705</v>
      </c>
      <c r="B681" s="2" t="s">
        <v>2621</v>
      </c>
      <c r="C681" s="2" t="s">
        <v>2515</v>
      </c>
      <c r="D681" s="2" t="s">
        <v>2516</v>
      </c>
      <c r="E681" s="2" t="s">
        <v>2529</v>
      </c>
      <c r="F681" s="3">
        <v>44692</v>
      </c>
      <c r="G681" s="3">
        <v>1730</v>
      </c>
      <c r="H681" s="3">
        <v>54</v>
      </c>
      <c r="I681" s="4">
        <v>1823.76</v>
      </c>
      <c r="J681" s="4">
        <v>8757.1299999999992</v>
      </c>
      <c r="K681" s="3">
        <v>26</v>
      </c>
      <c r="L681" s="2" t="s">
        <v>2536</v>
      </c>
      <c r="M681" s="2" t="s">
        <v>2519</v>
      </c>
      <c r="N681" s="8">
        <f>IFERROR(G681/F681,0)</f>
        <v>3.8709388704913632E-2</v>
      </c>
      <c r="O681" s="8">
        <f>IFERROR(H681/G681,0)</f>
        <v>3.121387283236994E-2</v>
      </c>
      <c r="P681" s="4">
        <f>IFERROR(I681/G681,0)</f>
        <v>1.0541965317919075</v>
      </c>
      <c r="Q681" s="4">
        <f>IFERROR(I681/H681,0)</f>
        <v>33.773333333333333</v>
      </c>
      <c r="R681" s="12">
        <f>IFERROR(J681/I681,0)</f>
        <v>4.801689915339737</v>
      </c>
      <c r="S681" s="7">
        <f>Tabla_nuevas_columnas[[#This Row],[ROAS]]</f>
        <v>4.801689915339737</v>
      </c>
      <c r="T681" t="str">
        <f>_xlfn.CONCAT(C681,"-",D681)</f>
        <v>Email-México</v>
      </c>
      <c r="U681">
        <f>YEAR(A681)</f>
        <v>2025</v>
      </c>
      <c r="V681">
        <f>MONTH(A681)</f>
        <v>2</v>
      </c>
      <c r="W681" t="str">
        <f>PROPER(TEXT(A681,"mmmm"))</f>
        <v>Febrero</v>
      </c>
      <c r="X681" t="str">
        <f>PROPER(TEXT(A681,"dddd"))</f>
        <v>Lunes</v>
      </c>
      <c r="Y681" t="str" cm="1">
        <f t="array" ref="Y681">_xlfn.IFS(R681&gt;10,"Excelente",R681&gt;=5,"Bueno",R681&gt;=2,"Débil",R681&lt;2,"Deficiente")</f>
        <v>Débil</v>
      </c>
      <c r="Z681" t="str">
        <f>IF(AND(R681&lt;2,Q681&gt;=100),"Revisar","OK")</f>
        <v>OK</v>
      </c>
      <c r="AA681" s="55">
        <f>_xlfn.XLOOKUP(C681,'Preguntas de negocio'!$C$114:$C$119,'Preguntas de negocio'!$D$114:$D$119,0)</f>
        <v>5.5</v>
      </c>
      <c r="AB681" s="55">
        <f>VLOOKUP(C681,'Preguntas de negocio'!$C$121:$D$127,2,FALSE)</f>
        <v>0.65</v>
      </c>
    </row>
    <row r="682" spans="1:28" x14ac:dyDescent="0.3">
      <c r="A682" s="1">
        <v>45966</v>
      </c>
      <c r="B682" s="2" t="s">
        <v>2644</v>
      </c>
      <c r="C682" s="2" t="s">
        <v>2541</v>
      </c>
      <c r="D682" s="2" t="s">
        <v>2528</v>
      </c>
      <c r="E682" s="2" t="s">
        <v>2529</v>
      </c>
      <c r="F682" s="3">
        <v>169276</v>
      </c>
      <c r="G682" s="3">
        <v>1538</v>
      </c>
      <c r="H682" s="3">
        <v>200</v>
      </c>
      <c r="I682" s="4">
        <v>993.49</v>
      </c>
      <c r="J682" s="4">
        <v>27118.27</v>
      </c>
      <c r="K682" s="3">
        <v>95</v>
      </c>
      <c r="L682" s="2" t="s">
        <v>2536</v>
      </c>
      <c r="M682" s="2" t="s">
        <v>2537</v>
      </c>
      <c r="N682" s="8">
        <f>IFERROR(G682/F682,0)</f>
        <v>9.0857534440794922E-3</v>
      </c>
      <c r="O682" s="8">
        <f>IFERROR(H682/G682,0)</f>
        <v>0.13003901170351106</v>
      </c>
      <c r="P682" s="4">
        <f>IFERROR(I682/G682,0)</f>
        <v>0.64596228868660599</v>
      </c>
      <c r="Q682" s="4">
        <f>IFERROR(I682/H682,0)</f>
        <v>4.9674500000000004</v>
      </c>
      <c r="R682" s="12">
        <f>IFERROR(J682/I682,0)</f>
        <v>27.295966743500188</v>
      </c>
      <c r="S682" s="7">
        <f>Tabla_nuevas_columnas[[#This Row],[ROAS]]</f>
        <v>27.295966743500188</v>
      </c>
      <c r="T682" t="str">
        <f>_xlfn.CONCAT(C682,"-",D682)</f>
        <v>Display-España</v>
      </c>
      <c r="U682">
        <f>YEAR(A682)</f>
        <v>2025</v>
      </c>
      <c r="V682">
        <f>MONTH(A682)</f>
        <v>11</v>
      </c>
      <c r="W682" t="str">
        <f>PROPER(TEXT(A682,"mmmm"))</f>
        <v>Noviembre</v>
      </c>
      <c r="X682" t="str">
        <f>PROPER(TEXT(A682,"dddd"))</f>
        <v>Miércoles</v>
      </c>
      <c r="Y682" t="str" cm="1">
        <f t="array" ref="Y682">_xlfn.IFS(R682&gt;10,"Excelente",R682&gt;=5,"Bueno",R682&gt;=2,"Débil",R682&lt;2,"Deficiente")</f>
        <v>Excelente</v>
      </c>
      <c r="Z682" t="str">
        <f>IF(AND(R682&lt;2,Q682&gt;=100),"Revisar","OK")</f>
        <v>OK</v>
      </c>
      <c r="AA682" s="55">
        <f>_xlfn.XLOOKUP(C682,'Preguntas de negocio'!$C$114:$C$119,'Preguntas de negocio'!$D$114:$D$119,0)</f>
        <v>5</v>
      </c>
      <c r="AB682" s="55">
        <f>VLOOKUP(C682,'Preguntas de negocio'!$C$121:$D$127,2,FALSE)</f>
        <v>0.5</v>
      </c>
    </row>
    <row r="683" spans="1:28" x14ac:dyDescent="0.3">
      <c r="A683" s="1">
        <v>45677</v>
      </c>
      <c r="B683" s="2" t="s">
        <v>2644</v>
      </c>
      <c r="C683" s="2" t="s">
        <v>2521</v>
      </c>
      <c r="D683" s="2" t="s">
        <v>2528</v>
      </c>
      <c r="E683" s="2" t="s">
        <v>2517</v>
      </c>
      <c r="F683" s="3">
        <v>152530</v>
      </c>
      <c r="G683" s="3">
        <v>7322</v>
      </c>
      <c r="H683" s="3">
        <v>373</v>
      </c>
      <c r="I683" s="4">
        <v>14004.51</v>
      </c>
      <c r="J683" s="4">
        <v>41976.75</v>
      </c>
      <c r="K683" s="3">
        <v>235</v>
      </c>
      <c r="L683" s="2" t="s">
        <v>2523</v>
      </c>
      <c r="M683" s="2" t="s">
        <v>2537</v>
      </c>
      <c r="N683" s="8">
        <f>IFERROR(G683/F683,0)</f>
        <v>4.8003671408903166E-2</v>
      </c>
      <c r="O683" s="8">
        <f>IFERROR(H683/G683,0)</f>
        <v>5.0942365473914231E-2</v>
      </c>
      <c r="P683" s="4">
        <f>IFERROR(I683/G683,0)</f>
        <v>1.9126618410270417</v>
      </c>
      <c r="Q683" s="4">
        <f>IFERROR(I683/H683,0)</f>
        <v>37.545603217158181</v>
      </c>
      <c r="R683" s="12">
        <f>IFERROR(J683/I683,0)</f>
        <v>2.9973737031856165</v>
      </c>
      <c r="S683" s="7">
        <f>Tabla_nuevas_columnas[[#This Row],[ROAS]]</f>
        <v>2.9973737031856165</v>
      </c>
      <c r="T683" t="str">
        <f>_xlfn.CONCAT(C683,"-",D683)</f>
        <v>Paid Search-España</v>
      </c>
      <c r="U683">
        <f>YEAR(A683)</f>
        <v>2025</v>
      </c>
      <c r="V683">
        <f>MONTH(A683)</f>
        <v>1</v>
      </c>
      <c r="W683" t="str">
        <f>PROPER(TEXT(A683,"mmmm"))</f>
        <v>Enero</v>
      </c>
      <c r="X683" t="str">
        <f>PROPER(TEXT(A683,"dddd"))</f>
        <v>Lunes</v>
      </c>
      <c r="Y683" t="str" cm="1">
        <f t="array" ref="Y683">_xlfn.IFS(R683&gt;10,"Excelente",R683&gt;=5,"Bueno",R683&gt;=2,"Débil",R683&lt;2,"Deficiente")</f>
        <v>Débil</v>
      </c>
      <c r="Z683" t="str">
        <f>IF(AND(R683&lt;2,Q683&gt;=100),"Revisar","OK")</f>
        <v>OK</v>
      </c>
      <c r="AA683" s="55">
        <f>_xlfn.XLOOKUP(C683,'Preguntas de negocio'!$C$114:$C$119,'Preguntas de negocio'!$D$114:$D$119,0)</f>
        <v>5</v>
      </c>
      <c r="AB683" s="55">
        <f>VLOOKUP(C683,'Preguntas de negocio'!$C$121:$D$127,2,FALSE)</f>
        <v>1.1000000000000001</v>
      </c>
    </row>
    <row r="684" spans="1:28" x14ac:dyDescent="0.3">
      <c r="A684" s="1">
        <v>45821</v>
      </c>
      <c r="B684" s="2" t="s">
        <v>2615</v>
      </c>
      <c r="C684" s="2" t="s">
        <v>2533</v>
      </c>
      <c r="D684" s="2" t="s">
        <v>2528</v>
      </c>
      <c r="E684" s="2" t="s">
        <v>2529</v>
      </c>
      <c r="F684" s="3">
        <v>140560</v>
      </c>
      <c r="G684" s="3">
        <v>9208</v>
      </c>
      <c r="H684" s="3">
        <v>1003</v>
      </c>
      <c r="I684" s="4">
        <v>10197.780000000001</v>
      </c>
      <c r="J684" s="4">
        <v>175123.41</v>
      </c>
      <c r="K684" s="3">
        <v>501</v>
      </c>
      <c r="L684" s="2" t="s">
        <v>2523</v>
      </c>
      <c r="M684" s="2" t="s">
        <v>2519</v>
      </c>
      <c r="N684" s="8">
        <f>IFERROR(G684/F684,0)</f>
        <v>6.550939100739897E-2</v>
      </c>
      <c r="O684" s="8">
        <f>IFERROR(H684/G684,0)</f>
        <v>0.1089270199826238</v>
      </c>
      <c r="P684" s="4">
        <f>IFERROR(I684/G684,0)</f>
        <v>1.1074913119026935</v>
      </c>
      <c r="Q684" s="4">
        <f>IFERROR(I684/H684,0)</f>
        <v>10.16727816550349</v>
      </c>
      <c r="R684" s="12">
        <f>IFERROR(J684/I684,0)</f>
        <v>17.17269935221195</v>
      </c>
      <c r="S684" s="7">
        <f>Tabla_nuevas_columnas[[#This Row],[ROAS]]</f>
        <v>17.17269935221195</v>
      </c>
      <c r="T684" t="str">
        <f>_xlfn.CONCAT(C684,"-",D684)</f>
        <v>Paid Social-España</v>
      </c>
      <c r="U684">
        <f>YEAR(A684)</f>
        <v>2025</v>
      </c>
      <c r="V684">
        <f>MONTH(A684)</f>
        <v>6</v>
      </c>
      <c r="W684" t="str">
        <f>PROPER(TEXT(A684,"mmmm"))</f>
        <v>Junio</v>
      </c>
      <c r="X684" t="str">
        <f>PROPER(TEXT(A684,"dddd"))</f>
        <v>Viernes</v>
      </c>
      <c r="Y684" t="str" cm="1">
        <f t="array" ref="Y684">_xlfn.IFS(R684&gt;10,"Excelente",R684&gt;=5,"Bueno",R684&gt;=2,"Débil",R684&lt;2,"Deficiente")</f>
        <v>Excelente</v>
      </c>
      <c r="Z684" t="str">
        <f>IF(AND(R684&lt;2,Q684&gt;=100),"Revisar","OK")</f>
        <v>OK</v>
      </c>
      <c r="AA684" s="55">
        <f>_xlfn.XLOOKUP(C684,'Preguntas de negocio'!$C$114:$C$119,'Preguntas de negocio'!$D$114:$D$119,0)</f>
        <v>6</v>
      </c>
      <c r="AB684" s="55">
        <f>VLOOKUP(C684,'Preguntas de negocio'!$C$121:$D$127,2,FALSE)</f>
        <v>0.8</v>
      </c>
    </row>
    <row r="685" spans="1:28" x14ac:dyDescent="0.3">
      <c r="A685" s="1">
        <v>45812</v>
      </c>
      <c r="B685" s="2" t="s">
        <v>2640</v>
      </c>
      <c r="C685" s="2" t="s">
        <v>2527</v>
      </c>
      <c r="D685" s="2" t="s">
        <v>2516</v>
      </c>
      <c r="E685" s="2" t="s">
        <v>2529</v>
      </c>
      <c r="F685" s="3">
        <v>83050</v>
      </c>
      <c r="G685" s="3">
        <v>4655</v>
      </c>
      <c r="H685" s="3">
        <v>43</v>
      </c>
      <c r="I685" s="4">
        <v>6003.72</v>
      </c>
      <c r="J685" s="4">
        <v>5642.28</v>
      </c>
      <c r="K685" s="3">
        <v>20</v>
      </c>
      <c r="L685" s="2" t="s">
        <v>2518</v>
      </c>
      <c r="M685" s="2" t="s">
        <v>2519</v>
      </c>
      <c r="N685" s="8">
        <f>IFERROR(G685/F685,0)</f>
        <v>5.6050571944611681E-2</v>
      </c>
      <c r="O685" s="8">
        <f>IFERROR(H685/G685,0)</f>
        <v>9.2373791621911915E-3</v>
      </c>
      <c r="P685" s="4">
        <f>IFERROR(I685/G685,0)</f>
        <v>1.2897357679914072</v>
      </c>
      <c r="Q685" s="4">
        <f>IFERROR(I685/H685,0)</f>
        <v>139.62139534883721</v>
      </c>
      <c r="R685" s="12">
        <f>IFERROR(J685/I685,0)</f>
        <v>0.93979732565809193</v>
      </c>
      <c r="S685" s="7">
        <f>Tabla_nuevas_columnas[[#This Row],[ROAS]]</f>
        <v>0.93979732565809193</v>
      </c>
      <c r="T685" t="str">
        <f>_xlfn.CONCAT(C685,"-",D685)</f>
        <v>Affiliate-México</v>
      </c>
      <c r="U685">
        <f>YEAR(A685)</f>
        <v>2025</v>
      </c>
      <c r="V685">
        <f>MONTH(A685)</f>
        <v>6</v>
      </c>
      <c r="W685" t="str">
        <f>PROPER(TEXT(A685,"mmmm"))</f>
        <v>Junio</v>
      </c>
      <c r="X685" t="str">
        <f>PROPER(TEXT(A685,"dddd"))</f>
        <v>Miércoles</v>
      </c>
      <c r="Y685" t="str" cm="1">
        <f t="array" ref="Y685">_xlfn.IFS(R685&gt;10,"Excelente",R685&gt;=5,"Bueno",R685&gt;=2,"Débil",R685&lt;2,"Deficiente")</f>
        <v>Deficiente</v>
      </c>
      <c r="Z685" t="str">
        <f>IF(AND(R685&lt;2,Q685&gt;=100),"Revisar","OK")</f>
        <v>Revisar</v>
      </c>
      <c r="AA685" s="55">
        <f>_xlfn.XLOOKUP(C685,'Preguntas de negocio'!$C$114:$C$119,'Preguntas de negocio'!$D$114:$D$119,0)</f>
        <v>4.5</v>
      </c>
      <c r="AB685" s="55">
        <f>VLOOKUP(C685,'Preguntas de negocio'!$C$121:$D$127,2,FALSE)</f>
        <v>0.35</v>
      </c>
    </row>
    <row r="686" spans="1:28" x14ac:dyDescent="0.3">
      <c r="A686" s="1">
        <v>45673</v>
      </c>
      <c r="B686" s="2" t="s">
        <v>2616</v>
      </c>
      <c r="C686" s="2" t="s">
        <v>2543</v>
      </c>
      <c r="D686" s="2" t="s">
        <v>2522</v>
      </c>
      <c r="E686" s="2" t="s">
        <v>2517</v>
      </c>
      <c r="F686" s="3">
        <v>50916</v>
      </c>
      <c r="G686" s="3">
        <v>2977</v>
      </c>
      <c r="H686" s="3">
        <v>256</v>
      </c>
      <c r="I686" s="4">
        <v>3954.53</v>
      </c>
      <c r="J686" s="4">
        <v>15565.99</v>
      </c>
      <c r="K686" s="3">
        <v>197</v>
      </c>
      <c r="L686" s="2" t="s">
        <v>2536</v>
      </c>
      <c r="M686" s="2" t="s">
        <v>2519</v>
      </c>
      <c r="N686" s="8">
        <f>IFERROR(G686/F686,0)</f>
        <v>5.8468850655982403E-2</v>
      </c>
      <c r="O686" s="8">
        <f>IFERROR(H686/G686,0)</f>
        <v>8.5992610010077256E-2</v>
      </c>
      <c r="P686" s="4">
        <f>IFERROR(I686/G686,0)</f>
        <v>1.3283607658716829</v>
      </c>
      <c r="Q686" s="4">
        <f>IFERROR(I686/H686,0)</f>
        <v>15.447382812500001</v>
      </c>
      <c r="R686" s="12">
        <f>IFERROR(J686/I686,0)</f>
        <v>3.9362427393394408</v>
      </c>
      <c r="S686" s="7">
        <f>Tabla_nuevas_columnas[[#This Row],[ROAS]]</f>
        <v>3.9362427393394408</v>
      </c>
      <c r="T686" t="str">
        <f>_xlfn.CONCAT(C686,"-",D686)</f>
        <v>Organic Social-Italia</v>
      </c>
      <c r="U686">
        <f>YEAR(A686)</f>
        <v>2025</v>
      </c>
      <c r="V686">
        <f>MONTH(A686)</f>
        <v>1</v>
      </c>
      <c r="W686" t="str">
        <f>PROPER(TEXT(A686,"mmmm"))</f>
        <v>Enero</v>
      </c>
      <c r="X686" t="str">
        <f>PROPER(TEXT(A686,"dddd"))</f>
        <v>Jueves</v>
      </c>
      <c r="Y686" t="str" cm="1">
        <f t="array" ref="Y686">_xlfn.IFS(R686&gt;10,"Excelente",R686&gt;=5,"Bueno",R686&gt;=2,"Débil",R686&lt;2,"Deficiente")</f>
        <v>Débil</v>
      </c>
      <c r="Z686" t="str">
        <f>IF(AND(R686&lt;2,Q686&gt;=100),"Revisar","OK")</f>
        <v>OK</v>
      </c>
      <c r="AA686" s="55">
        <f>_xlfn.XLOOKUP(C686,'Preguntas de negocio'!$C$114:$C$119,'Preguntas de negocio'!$D$114:$D$119,0)</f>
        <v>4</v>
      </c>
      <c r="AB686" s="55">
        <f>VLOOKUP(C686,'Preguntas de negocio'!$C$121:$D$127,2,FALSE)</f>
        <v>0.95</v>
      </c>
    </row>
    <row r="687" spans="1:28" x14ac:dyDescent="0.3">
      <c r="A687" s="1">
        <v>45871</v>
      </c>
      <c r="B687" s="2" t="s">
        <v>2640</v>
      </c>
      <c r="C687" s="2" t="s">
        <v>2533</v>
      </c>
      <c r="D687" s="2" t="s">
        <v>2528</v>
      </c>
      <c r="E687" s="2" t="s">
        <v>2517</v>
      </c>
      <c r="F687" s="3">
        <v>122929</v>
      </c>
      <c r="G687" s="3">
        <v>9675</v>
      </c>
      <c r="H687" s="3">
        <v>765</v>
      </c>
      <c r="I687" s="4">
        <v>18052.349999999999</v>
      </c>
      <c r="J687" s="4">
        <v>164213.48000000001</v>
      </c>
      <c r="K687" s="3">
        <v>670</v>
      </c>
      <c r="L687" s="2" t="s">
        <v>2539</v>
      </c>
      <c r="M687" s="2" t="s">
        <v>2537</v>
      </c>
      <c r="N687" s="8">
        <f>IFERROR(G687/F687,0)</f>
        <v>7.8703967330735633E-2</v>
      </c>
      <c r="O687" s="8">
        <f>IFERROR(H687/G687,0)</f>
        <v>7.9069767441860464E-2</v>
      </c>
      <c r="P687" s="4">
        <f>IFERROR(I687/G687,0)</f>
        <v>1.8658759689922479</v>
      </c>
      <c r="Q687" s="4">
        <f>IFERROR(I687/H687,0)</f>
        <v>23.597843137254902</v>
      </c>
      <c r="R687" s="12">
        <f>IFERROR(J687/I687,0)</f>
        <v>9.0965154121208602</v>
      </c>
      <c r="S687" s="7">
        <f>Tabla_nuevas_columnas[[#This Row],[ROAS]]</f>
        <v>9.0965154121208602</v>
      </c>
      <c r="T687" t="str">
        <f>_xlfn.CONCAT(C687,"-",D687)</f>
        <v>Paid Social-España</v>
      </c>
      <c r="U687">
        <f>YEAR(A687)</f>
        <v>2025</v>
      </c>
      <c r="V687">
        <f>MONTH(A687)</f>
        <v>8</v>
      </c>
      <c r="W687" t="str">
        <f>PROPER(TEXT(A687,"mmmm"))</f>
        <v>Agosto</v>
      </c>
      <c r="X687" t="str">
        <f>PROPER(TEXT(A687,"dddd"))</f>
        <v>Sábado</v>
      </c>
      <c r="Y687" t="str" cm="1">
        <f t="array" ref="Y687">_xlfn.IFS(R687&gt;10,"Excelente",R687&gt;=5,"Bueno",R687&gt;=2,"Débil",R687&lt;2,"Deficiente")</f>
        <v>Bueno</v>
      </c>
      <c r="Z687" t="str">
        <f>IF(AND(R687&lt;2,Q687&gt;=100),"Revisar","OK")</f>
        <v>OK</v>
      </c>
      <c r="AA687" s="55">
        <f>_xlfn.XLOOKUP(C687,'Preguntas de negocio'!$C$114:$C$119,'Preguntas de negocio'!$D$114:$D$119,0)</f>
        <v>6</v>
      </c>
      <c r="AB687" s="55">
        <f>VLOOKUP(C687,'Preguntas de negocio'!$C$121:$D$127,2,FALSE)</f>
        <v>0.8</v>
      </c>
    </row>
    <row r="688" spans="1:28" x14ac:dyDescent="0.3">
      <c r="A688" s="1">
        <v>46011</v>
      </c>
      <c r="B688" s="2" t="s">
        <v>2637</v>
      </c>
      <c r="C688" s="2" t="s">
        <v>2533</v>
      </c>
      <c r="D688" s="2" t="s">
        <v>2516</v>
      </c>
      <c r="E688" s="2" t="s">
        <v>2529</v>
      </c>
      <c r="F688" s="3">
        <v>132460</v>
      </c>
      <c r="G688" s="3">
        <v>9522</v>
      </c>
      <c r="H688" s="3">
        <v>930</v>
      </c>
      <c r="I688" s="4">
        <v>3561.49</v>
      </c>
      <c r="J688" s="4">
        <v>188777.57</v>
      </c>
      <c r="K688" s="3">
        <v>461</v>
      </c>
      <c r="L688" s="2" t="s">
        <v>2536</v>
      </c>
      <c r="M688" s="2" t="s">
        <v>2519</v>
      </c>
      <c r="N688" s="8">
        <f>IFERROR(G688/F688,0)</f>
        <v>7.1885852332779707E-2</v>
      </c>
      <c r="O688" s="8">
        <f>IFERROR(H688/G688,0)</f>
        <v>9.7668557025834907E-2</v>
      </c>
      <c r="P688" s="4">
        <f>IFERROR(I688/G688,0)</f>
        <v>0.37402751522789329</v>
      </c>
      <c r="Q688" s="4">
        <f>IFERROR(I688/H688,0)</f>
        <v>3.829559139784946</v>
      </c>
      <c r="R688" s="12">
        <f>IFERROR(J688/I688,0)</f>
        <v>53.005222533265574</v>
      </c>
      <c r="S688" s="7">
        <f>Tabla_nuevas_columnas[[#This Row],[ROAS]]</f>
        <v>53.005222533265574</v>
      </c>
      <c r="T688" t="str">
        <f>_xlfn.CONCAT(C688,"-",D688)</f>
        <v>Paid Social-México</v>
      </c>
      <c r="U688">
        <f>YEAR(A688)</f>
        <v>2025</v>
      </c>
      <c r="V688">
        <f>MONTH(A688)</f>
        <v>12</v>
      </c>
      <c r="W688" t="str">
        <f>PROPER(TEXT(A688,"mmmm"))</f>
        <v>Diciembre</v>
      </c>
      <c r="X688" t="str">
        <f>PROPER(TEXT(A688,"dddd"))</f>
        <v>Sábado</v>
      </c>
      <c r="Y688" t="str" cm="1">
        <f t="array" ref="Y688">_xlfn.IFS(R688&gt;10,"Excelente",R688&gt;=5,"Bueno",R688&gt;=2,"Débil",R688&lt;2,"Deficiente")</f>
        <v>Excelente</v>
      </c>
      <c r="Z688" t="str">
        <f>IF(AND(R688&lt;2,Q688&gt;=100),"Revisar","OK")</f>
        <v>OK</v>
      </c>
      <c r="AA688" s="55">
        <f>_xlfn.XLOOKUP(C688,'Preguntas de negocio'!$C$114:$C$119,'Preguntas de negocio'!$D$114:$D$119,0)</f>
        <v>6</v>
      </c>
      <c r="AB688" s="55">
        <f>VLOOKUP(C688,'Preguntas de negocio'!$C$121:$D$127,2,FALSE)</f>
        <v>0.8</v>
      </c>
    </row>
    <row r="689" spans="1:28" x14ac:dyDescent="0.3">
      <c r="A689" s="1">
        <v>45695</v>
      </c>
      <c r="B689" s="2" t="s">
        <v>2640</v>
      </c>
      <c r="C689" s="2" t="s">
        <v>2645</v>
      </c>
      <c r="D689" s="2" t="s">
        <v>2516</v>
      </c>
      <c r="E689" s="2" t="s">
        <v>2529</v>
      </c>
      <c r="F689" s="3">
        <v>22543</v>
      </c>
      <c r="G689" s="3">
        <v>1542</v>
      </c>
      <c r="H689" s="3">
        <v>135</v>
      </c>
      <c r="I689" s="4">
        <v>1832.85</v>
      </c>
      <c r="J689" s="4">
        <v>24155.74</v>
      </c>
      <c r="K689" s="3">
        <v>82</v>
      </c>
      <c r="L689" s="2" t="s">
        <v>2523</v>
      </c>
      <c r="M689" s="2" t="s">
        <v>2645</v>
      </c>
      <c r="N689" s="8">
        <f>IFERROR(G689/F689,0)</f>
        <v>6.8402608348489546E-2</v>
      </c>
      <c r="O689" s="8">
        <f>IFERROR(H689/G689,0)</f>
        <v>8.7548638132295714E-2</v>
      </c>
      <c r="P689" s="4">
        <f>IFERROR(I689/G689,0)</f>
        <v>1.1886186770428016</v>
      </c>
      <c r="Q689" s="4">
        <f>IFERROR(I689/H689,0)</f>
        <v>13.576666666666666</v>
      </c>
      <c r="R689" s="12">
        <f>IFERROR(J689/I689,0)</f>
        <v>13.17933273317511</v>
      </c>
      <c r="S689" s="7">
        <f>Tabla_nuevas_columnas[[#This Row],[ROAS]]</f>
        <v>13.17933273317511</v>
      </c>
      <c r="T689" t="str">
        <f>_xlfn.CONCAT(C689,"-",D689)</f>
        <v>Por identificar-México</v>
      </c>
      <c r="U689">
        <f>YEAR(A689)</f>
        <v>2025</v>
      </c>
      <c r="V689">
        <f>MONTH(A689)</f>
        <v>2</v>
      </c>
      <c r="W689" t="str">
        <f>PROPER(TEXT(A689,"mmmm"))</f>
        <v>Febrero</v>
      </c>
      <c r="X689" t="str">
        <f>PROPER(TEXT(A689,"dddd"))</f>
        <v>Viernes</v>
      </c>
      <c r="Y689" t="str" cm="1">
        <f t="array" ref="Y689">_xlfn.IFS(R689&gt;10,"Excelente",R689&gt;=5,"Bueno",R689&gt;=2,"Débil",R689&lt;2,"Deficiente")</f>
        <v>Excelente</v>
      </c>
      <c r="Z689" t="str">
        <f>IF(AND(R689&lt;2,Q689&gt;=100),"Revisar","OK")</f>
        <v>OK</v>
      </c>
      <c r="AA689" s="55">
        <f>_xlfn.XLOOKUP(C689,'Preguntas de negocio'!$C$114:$C$119,'Preguntas de negocio'!$D$114:$D$119,0)</f>
        <v>0</v>
      </c>
      <c r="AB689" s="55">
        <f>VLOOKUP(C689,'Preguntas de negocio'!$C$121:$D$127,2,FALSE)</f>
        <v>0</v>
      </c>
    </row>
    <row r="690" spans="1:28" x14ac:dyDescent="0.3">
      <c r="A690" s="1">
        <v>45867</v>
      </c>
      <c r="B690" s="2" t="s">
        <v>2640</v>
      </c>
      <c r="C690" s="2" t="s">
        <v>2515</v>
      </c>
      <c r="D690" s="2" t="s">
        <v>2528</v>
      </c>
      <c r="E690" s="2" t="s">
        <v>2534</v>
      </c>
      <c r="F690" s="3">
        <v>123717</v>
      </c>
      <c r="G690" s="3">
        <v>1968</v>
      </c>
      <c r="H690" s="3">
        <v>256</v>
      </c>
      <c r="I690" s="4">
        <v>4074.84</v>
      </c>
      <c r="J690" s="4">
        <v>23475.75</v>
      </c>
      <c r="K690" s="3">
        <v>218</v>
      </c>
      <c r="L690" s="2" t="s">
        <v>2523</v>
      </c>
      <c r="M690" s="2" t="s">
        <v>2524</v>
      </c>
      <c r="N690" s="8">
        <f>IFERROR(G690/F690,0)</f>
        <v>1.5907272242294913E-2</v>
      </c>
      <c r="O690" s="8">
        <f>IFERROR(H690/G690,0)</f>
        <v>0.13008130081300814</v>
      </c>
      <c r="P690" s="4">
        <f>IFERROR(I690/G690,0)</f>
        <v>2.0705487804878051</v>
      </c>
      <c r="Q690" s="4">
        <f>IFERROR(I690/H690,0)</f>
        <v>15.917343750000001</v>
      </c>
      <c r="R690" s="12">
        <f>IFERROR(J690/I690,0)</f>
        <v>5.7611464499219602</v>
      </c>
      <c r="S690" s="7">
        <f>Tabla_nuevas_columnas[[#This Row],[ROAS]]</f>
        <v>5.7611464499219602</v>
      </c>
      <c r="T690" t="str">
        <f>_xlfn.CONCAT(C690,"-",D690)</f>
        <v>Email-España</v>
      </c>
      <c r="U690">
        <f>YEAR(A690)</f>
        <v>2025</v>
      </c>
      <c r="V690">
        <f>MONTH(A690)</f>
        <v>7</v>
      </c>
      <c r="W690" t="str">
        <f>PROPER(TEXT(A690,"mmmm"))</f>
        <v>Julio</v>
      </c>
      <c r="X690" t="str">
        <f>PROPER(TEXT(A690,"dddd"))</f>
        <v>Martes</v>
      </c>
      <c r="Y690" t="str" cm="1">
        <f t="array" ref="Y690">_xlfn.IFS(R690&gt;10,"Excelente",R690&gt;=5,"Bueno",R690&gt;=2,"Débil",R690&lt;2,"Deficiente")</f>
        <v>Bueno</v>
      </c>
      <c r="Z690" t="str">
        <f>IF(AND(R690&lt;2,Q690&gt;=100),"Revisar","OK")</f>
        <v>OK</v>
      </c>
      <c r="AA690" s="55">
        <f>_xlfn.XLOOKUP(C690,'Preguntas de negocio'!$C$114:$C$119,'Preguntas de negocio'!$D$114:$D$119,0)</f>
        <v>5.5</v>
      </c>
      <c r="AB690" s="55">
        <f>VLOOKUP(C690,'Preguntas de negocio'!$C$121:$D$127,2,FALSE)</f>
        <v>0.65</v>
      </c>
    </row>
    <row r="691" spans="1:28" x14ac:dyDescent="0.3">
      <c r="A691" s="1">
        <v>45729</v>
      </c>
      <c r="B691" s="2" t="s">
        <v>2622</v>
      </c>
      <c r="C691" s="2" t="s">
        <v>2541</v>
      </c>
      <c r="D691" s="2" t="s">
        <v>2528</v>
      </c>
      <c r="E691" s="2" t="s">
        <v>2517</v>
      </c>
      <c r="F691" s="3">
        <v>40808</v>
      </c>
      <c r="G691" s="3">
        <v>1997</v>
      </c>
      <c r="H691" s="3">
        <v>245</v>
      </c>
      <c r="I691" s="4">
        <v>1451.18</v>
      </c>
      <c r="J691" s="4">
        <v>22368.11</v>
      </c>
      <c r="K691" s="3">
        <v>150</v>
      </c>
      <c r="L691" s="2" t="s">
        <v>2539</v>
      </c>
      <c r="M691" s="2" t="s">
        <v>2519</v>
      </c>
      <c r="N691" s="8">
        <f>IFERROR(G691/F691,0)</f>
        <v>4.8936483042540675E-2</v>
      </c>
      <c r="O691" s="8">
        <f>IFERROR(H691/G691,0)</f>
        <v>0.12268402603905859</v>
      </c>
      <c r="P691" s="4">
        <f>IFERROR(I691/G691,0)</f>
        <v>0.72668002003004506</v>
      </c>
      <c r="Q691" s="4">
        <f>IFERROR(I691/H691,0)</f>
        <v>5.9231836734693877</v>
      </c>
      <c r="R691" s="12">
        <f>IFERROR(J691/I691,0)</f>
        <v>15.413739163990684</v>
      </c>
      <c r="S691" s="7">
        <f>Tabla_nuevas_columnas[[#This Row],[ROAS]]</f>
        <v>15.413739163990684</v>
      </c>
      <c r="T691" t="str">
        <f>_xlfn.CONCAT(C691,"-",D691)</f>
        <v>Display-España</v>
      </c>
      <c r="U691">
        <f>YEAR(A691)</f>
        <v>2025</v>
      </c>
      <c r="V691">
        <f>MONTH(A691)</f>
        <v>3</v>
      </c>
      <c r="W691" t="str">
        <f>PROPER(TEXT(A691,"mmmm"))</f>
        <v>Marzo</v>
      </c>
      <c r="X691" t="str">
        <f>PROPER(TEXT(A691,"dddd"))</f>
        <v>Jueves</v>
      </c>
      <c r="Y691" t="str" cm="1">
        <f t="array" ref="Y691">_xlfn.IFS(R691&gt;10,"Excelente",R691&gt;=5,"Bueno",R691&gt;=2,"Débil",R691&lt;2,"Deficiente")</f>
        <v>Excelente</v>
      </c>
      <c r="Z691" t="str">
        <f>IF(AND(R691&lt;2,Q691&gt;=100),"Revisar","OK")</f>
        <v>OK</v>
      </c>
      <c r="AA691" s="55">
        <f>_xlfn.XLOOKUP(C691,'Preguntas de negocio'!$C$114:$C$119,'Preguntas de negocio'!$D$114:$D$119,0)</f>
        <v>5</v>
      </c>
      <c r="AB691" s="55">
        <f>VLOOKUP(C691,'Preguntas de negocio'!$C$121:$D$127,2,FALSE)</f>
        <v>0.5</v>
      </c>
    </row>
    <row r="692" spans="1:28" x14ac:dyDescent="0.3">
      <c r="A692" s="1">
        <v>45981</v>
      </c>
      <c r="B692" s="2" t="s">
        <v>2636</v>
      </c>
      <c r="C692" s="2" t="s">
        <v>2515</v>
      </c>
      <c r="D692" s="2" t="s">
        <v>2528</v>
      </c>
      <c r="E692" s="2" t="s">
        <v>2517</v>
      </c>
      <c r="F692" s="3">
        <v>4453</v>
      </c>
      <c r="G692" s="3">
        <v>258</v>
      </c>
      <c r="H692" s="3">
        <v>30</v>
      </c>
      <c r="I692" s="4">
        <v>469.78</v>
      </c>
      <c r="J692" s="4">
        <v>1241.54</v>
      </c>
      <c r="K692" s="3">
        <v>14</v>
      </c>
      <c r="L692" s="2" t="s">
        <v>2518</v>
      </c>
      <c r="M692" s="2" t="s">
        <v>2526</v>
      </c>
      <c r="N692" s="8">
        <f>IFERROR(G692/F692,0)</f>
        <v>5.7938468448237142E-2</v>
      </c>
      <c r="O692" s="8">
        <f>IFERROR(H692/G692,0)</f>
        <v>0.11627906976744186</v>
      </c>
      <c r="P692" s="4">
        <f>IFERROR(I692/G692,0)</f>
        <v>1.8208527131782946</v>
      </c>
      <c r="Q692" s="4">
        <f>IFERROR(I692/H692,0)</f>
        <v>15.659333333333333</v>
      </c>
      <c r="R692" s="12">
        <f>IFERROR(J692/I692,0)</f>
        <v>2.6428115288007152</v>
      </c>
      <c r="S692" s="7">
        <f>Tabla_nuevas_columnas[[#This Row],[ROAS]]</f>
        <v>2.6428115288007152</v>
      </c>
      <c r="T692" t="str">
        <f>_xlfn.CONCAT(C692,"-",D692)</f>
        <v>Email-España</v>
      </c>
      <c r="U692">
        <f>YEAR(A692)</f>
        <v>2025</v>
      </c>
      <c r="V692">
        <f>MONTH(A692)</f>
        <v>11</v>
      </c>
      <c r="W692" t="str">
        <f>PROPER(TEXT(A692,"mmmm"))</f>
        <v>Noviembre</v>
      </c>
      <c r="X692" t="str">
        <f>PROPER(TEXT(A692,"dddd"))</f>
        <v>Jueves</v>
      </c>
      <c r="Y692" t="str" cm="1">
        <f t="array" ref="Y692">_xlfn.IFS(R692&gt;10,"Excelente",R692&gt;=5,"Bueno",R692&gt;=2,"Débil",R692&lt;2,"Deficiente")</f>
        <v>Débil</v>
      </c>
      <c r="Z692" t="str">
        <f>IF(AND(R692&lt;2,Q692&gt;=100),"Revisar","OK")</f>
        <v>OK</v>
      </c>
      <c r="AA692" s="55">
        <f>_xlfn.XLOOKUP(C692,'Preguntas de negocio'!$C$114:$C$119,'Preguntas de negocio'!$D$114:$D$119,0)</f>
        <v>5.5</v>
      </c>
      <c r="AB692" s="55">
        <f>VLOOKUP(C692,'Preguntas de negocio'!$C$121:$D$127,2,FALSE)</f>
        <v>0.65</v>
      </c>
    </row>
    <row r="693" spans="1:28" x14ac:dyDescent="0.3">
      <c r="A693" s="1">
        <v>45952</v>
      </c>
      <c r="B693" s="2" t="s">
        <v>2642</v>
      </c>
      <c r="C693" s="2" t="s">
        <v>2541</v>
      </c>
      <c r="D693" s="2" t="s">
        <v>2528</v>
      </c>
      <c r="E693" s="2" t="s">
        <v>2529</v>
      </c>
      <c r="F693" s="3">
        <v>86311</v>
      </c>
      <c r="G693" s="3">
        <v>4893</v>
      </c>
      <c r="H693" s="3">
        <v>91</v>
      </c>
      <c r="I693" s="4">
        <v>8967.0499999999993</v>
      </c>
      <c r="J693" s="4">
        <v>17490.52</v>
      </c>
      <c r="K693" s="3">
        <v>46</v>
      </c>
      <c r="L693" s="2" t="s">
        <v>2539</v>
      </c>
      <c r="M693" s="2" t="s">
        <v>2519</v>
      </c>
      <c r="N693" s="8">
        <f>IFERROR(G693/F693,0)</f>
        <v>5.6690340744516919E-2</v>
      </c>
      <c r="O693" s="8">
        <f>IFERROR(H693/G693,0)</f>
        <v>1.8597997138769671E-2</v>
      </c>
      <c r="P693" s="4">
        <f>IFERROR(I693/G693,0)</f>
        <v>1.8326282444308193</v>
      </c>
      <c r="Q693" s="4">
        <f>IFERROR(I693/H693,0)</f>
        <v>98.539010989010976</v>
      </c>
      <c r="R693" s="12">
        <f>IFERROR(J693/I693,0)</f>
        <v>1.9505322263174625</v>
      </c>
      <c r="S693" s="7">
        <f>Tabla_nuevas_columnas[[#This Row],[ROAS]]</f>
        <v>1.9505322263174625</v>
      </c>
      <c r="T693" t="str">
        <f>_xlfn.CONCAT(C693,"-",D693)</f>
        <v>Display-España</v>
      </c>
      <c r="U693">
        <f>YEAR(A693)</f>
        <v>2025</v>
      </c>
      <c r="V693">
        <f>MONTH(A693)</f>
        <v>10</v>
      </c>
      <c r="W693" t="str">
        <f>PROPER(TEXT(A693,"mmmm"))</f>
        <v>Octubre</v>
      </c>
      <c r="X693" t="str">
        <f>PROPER(TEXT(A693,"dddd"))</f>
        <v>Miércoles</v>
      </c>
      <c r="Y693" t="str" cm="1">
        <f t="array" ref="Y693">_xlfn.IFS(R693&gt;10,"Excelente",R693&gt;=5,"Bueno",R693&gt;=2,"Débil",R693&lt;2,"Deficiente")</f>
        <v>Deficiente</v>
      </c>
      <c r="Z693" t="str">
        <f>IF(AND(R693&lt;2,Q693&gt;=100),"Revisar","OK")</f>
        <v>OK</v>
      </c>
      <c r="AA693" s="55">
        <f>_xlfn.XLOOKUP(C693,'Preguntas de negocio'!$C$114:$C$119,'Preguntas de negocio'!$D$114:$D$119,0)</f>
        <v>5</v>
      </c>
      <c r="AB693" s="55">
        <f>VLOOKUP(C693,'Preguntas de negocio'!$C$121:$D$127,2,FALSE)</f>
        <v>0.5</v>
      </c>
    </row>
    <row r="694" spans="1:28" x14ac:dyDescent="0.3">
      <c r="A694" s="1">
        <v>45826</v>
      </c>
      <c r="B694" s="2" t="s">
        <v>2628</v>
      </c>
      <c r="C694" s="2" t="s">
        <v>2521</v>
      </c>
      <c r="D694" s="2" t="s">
        <v>2525</v>
      </c>
      <c r="E694" s="2" t="s">
        <v>2534</v>
      </c>
      <c r="F694" s="3">
        <v>135061</v>
      </c>
      <c r="G694" s="3">
        <v>9589</v>
      </c>
      <c r="H694" s="3">
        <v>243</v>
      </c>
      <c r="I694" s="4">
        <v>10952.39</v>
      </c>
      <c r="J694" s="4">
        <v>15138.07</v>
      </c>
      <c r="K694" s="3">
        <v>113</v>
      </c>
      <c r="L694" s="2" t="s">
        <v>2518</v>
      </c>
      <c r="M694" s="2" t="s">
        <v>2546</v>
      </c>
      <c r="N694" s="8">
        <f>IFERROR(G694/F694,0)</f>
        <v>7.0997549255521583E-2</v>
      </c>
      <c r="O694" s="8">
        <f>IFERROR(H694/G694,0)</f>
        <v>2.5341537178016477E-2</v>
      </c>
      <c r="P694" s="4">
        <f>IFERROR(I694/G694,0)</f>
        <v>1.1421827093544685</v>
      </c>
      <c r="Q694" s="4">
        <f>IFERROR(I694/H694,0)</f>
        <v>45.071563786008227</v>
      </c>
      <c r="R694" s="12">
        <f>IFERROR(J694/I694,0)</f>
        <v>1.3821704669026578</v>
      </c>
      <c r="S694" s="7">
        <f>Tabla_nuevas_columnas[[#This Row],[ROAS]]</f>
        <v>1.3821704669026578</v>
      </c>
      <c r="T694" t="str">
        <f>_xlfn.CONCAT(C694,"-",D694)</f>
        <v>Paid Search-Francia</v>
      </c>
      <c r="U694">
        <f>YEAR(A694)</f>
        <v>2025</v>
      </c>
      <c r="V694">
        <f>MONTH(A694)</f>
        <v>6</v>
      </c>
      <c r="W694" t="str">
        <f>PROPER(TEXT(A694,"mmmm"))</f>
        <v>Junio</v>
      </c>
      <c r="X694" t="str">
        <f>PROPER(TEXT(A694,"dddd"))</f>
        <v>Miércoles</v>
      </c>
      <c r="Y694" t="str" cm="1">
        <f t="array" ref="Y694">_xlfn.IFS(R694&gt;10,"Excelente",R694&gt;=5,"Bueno",R694&gt;=2,"Débil",R694&lt;2,"Deficiente")</f>
        <v>Deficiente</v>
      </c>
      <c r="Z694" t="str">
        <f>IF(AND(R694&lt;2,Q694&gt;=100),"Revisar","OK")</f>
        <v>OK</v>
      </c>
      <c r="AA694" s="55">
        <f>_xlfn.XLOOKUP(C694,'Preguntas de negocio'!$C$114:$C$119,'Preguntas de negocio'!$D$114:$D$119,0)</f>
        <v>5</v>
      </c>
      <c r="AB694" s="55">
        <f>VLOOKUP(C694,'Preguntas de negocio'!$C$121:$D$127,2,FALSE)</f>
        <v>1.1000000000000001</v>
      </c>
    </row>
    <row r="695" spans="1:28" x14ac:dyDescent="0.3">
      <c r="A695" s="1">
        <v>45852</v>
      </c>
      <c r="B695" s="2" t="s">
        <v>2639</v>
      </c>
      <c r="C695" s="2" t="s">
        <v>2541</v>
      </c>
      <c r="D695" s="2" t="s">
        <v>2528</v>
      </c>
      <c r="E695" s="2" t="s">
        <v>2517</v>
      </c>
      <c r="F695" s="3">
        <v>140482</v>
      </c>
      <c r="G695" s="3">
        <v>7004</v>
      </c>
      <c r="H695" s="3">
        <v>317</v>
      </c>
      <c r="I695" s="4">
        <v>6340.18</v>
      </c>
      <c r="J695" s="4">
        <v>68644.59</v>
      </c>
      <c r="K695" s="3">
        <v>237</v>
      </c>
      <c r="L695" s="2" t="s">
        <v>2518</v>
      </c>
      <c r="M695" s="2" t="s">
        <v>2524</v>
      </c>
      <c r="N695" s="8">
        <f>IFERROR(G695/F695,0)</f>
        <v>4.9856921171395625E-2</v>
      </c>
      <c r="O695" s="8">
        <f>IFERROR(H695/G695,0)</f>
        <v>4.52598515134209E-2</v>
      </c>
      <c r="P695" s="4">
        <f>IFERROR(I695/G695,0)</f>
        <v>0.90522272986864649</v>
      </c>
      <c r="Q695" s="4">
        <f>IFERROR(I695/H695,0)</f>
        <v>20.00056782334385</v>
      </c>
      <c r="R695" s="12">
        <f>IFERROR(J695/I695,0)</f>
        <v>10.826915008722148</v>
      </c>
      <c r="S695" s="7">
        <f>Tabla_nuevas_columnas[[#This Row],[ROAS]]</f>
        <v>10.826915008722148</v>
      </c>
      <c r="T695" t="str">
        <f>_xlfn.CONCAT(C695,"-",D695)</f>
        <v>Display-España</v>
      </c>
      <c r="U695">
        <f>YEAR(A695)</f>
        <v>2025</v>
      </c>
      <c r="V695">
        <f>MONTH(A695)</f>
        <v>7</v>
      </c>
      <c r="W695" t="str">
        <f>PROPER(TEXT(A695,"mmmm"))</f>
        <v>Julio</v>
      </c>
      <c r="X695" t="str">
        <f>PROPER(TEXT(A695,"dddd"))</f>
        <v>Lunes</v>
      </c>
      <c r="Y695" t="str" cm="1">
        <f t="array" ref="Y695">_xlfn.IFS(R695&gt;10,"Excelente",R695&gt;=5,"Bueno",R695&gt;=2,"Débil",R695&lt;2,"Deficiente")</f>
        <v>Excelente</v>
      </c>
      <c r="Z695" t="str">
        <f>IF(AND(R695&lt;2,Q695&gt;=100),"Revisar","OK")</f>
        <v>OK</v>
      </c>
      <c r="AA695" s="55">
        <f>_xlfn.XLOOKUP(C695,'Preguntas de negocio'!$C$114:$C$119,'Preguntas de negocio'!$D$114:$D$119,0)</f>
        <v>5</v>
      </c>
      <c r="AB695" s="55">
        <f>VLOOKUP(C695,'Preguntas de negocio'!$C$121:$D$127,2,FALSE)</f>
        <v>0.5</v>
      </c>
    </row>
    <row r="696" spans="1:28" x14ac:dyDescent="0.3">
      <c r="A696" s="1">
        <v>45758</v>
      </c>
      <c r="B696" s="2" t="s">
        <v>2617</v>
      </c>
      <c r="C696" s="2" t="s">
        <v>2533</v>
      </c>
      <c r="D696" s="2" t="s">
        <v>2528</v>
      </c>
      <c r="E696" s="2" t="s">
        <v>2517</v>
      </c>
      <c r="F696" s="3">
        <v>103816</v>
      </c>
      <c r="G696" s="3">
        <v>4253</v>
      </c>
      <c r="H696" s="3">
        <v>423</v>
      </c>
      <c r="I696" s="4">
        <v>5951.44</v>
      </c>
      <c r="J696" s="4">
        <v>64888.19</v>
      </c>
      <c r="K696" s="3">
        <v>222</v>
      </c>
      <c r="L696" s="2" t="s">
        <v>2539</v>
      </c>
      <c r="M696" s="2" t="s">
        <v>2524</v>
      </c>
      <c r="N696" s="8">
        <f>IFERROR(G696/F696,0)</f>
        <v>4.0966710333667257E-2</v>
      </c>
      <c r="O696" s="8">
        <f>IFERROR(H696/G696,0)</f>
        <v>9.9459205266870451E-2</v>
      </c>
      <c r="P696" s="4">
        <f>IFERROR(I696/G696,0)</f>
        <v>1.3993510463202445</v>
      </c>
      <c r="Q696" s="4">
        <f>IFERROR(I696/H696,0)</f>
        <v>14.069598108747044</v>
      </c>
      <c r="R696" s="12">
        <f>IFERROR(J696/I696,0)</f>
        <v>10.902939456669312</v>
      </c>
      <c r="S696" s="7">
        <f>Tabla_nuevas_columnas[[#This Row],[ROAS]]</f>
        <v>10.902939456669312</v>
      </c>
      <c r="T696" t="str">
        <f>_xlfn.CONCAT(C696,"-",D696)</f>
        <v>Paid Social-España</v>
      </c>
      <c r="U696">
        <f>YEAR(A696)</f>
        <v>2025</v>
      </c>
      <c r="V696">
        <f>MONTH(A696)</f>
        <v>4</v>
      </c>
      <c r="W696" t="str">
        <f>PROPER(TEXT(A696,"mmmm"))</f>
        <v>Abril</v>
      </c>
      <c r="X696" t="str">
        <f>PROPER(TEXT(A696,"dddd"))</f>
        <v>Viernes</v>
      </c>
      <c r="Y696" t="str" cm="1">
        <f t="array" ref="Y696">_xlfn.IFS(R696&gt;10,"Excelente",R696&gt;=5,"Bueno",R696&gt;=2,"Débil",R696&lt;2,"Deficiente")</f>
        <v>Excelente</v>
      </c>
      <c r="Z696" t="str">
        <f>IF(AND(R696&lt;2,Q696&gt;=100),"Revisar","OK")</f>
        <v>OK</v>
      </c>
      <c r="AA696" s="55">
        <f>_xlfn.XLOOKUP(C696,'Preguntas de negocio'!$C$114:$C$119,'Preguntas de negocio'!$D$114:$D$119,0)</f>
        <v>6</v>
      </c>
      <c r="AB696" s="55">
        <f>VLOOKUP(C696,'Preguntas de negocio'!$C$121:$D$127,2,FALSE)</f>
        <v>0.8</v>
      </c>
    </row>
    <row r="697" spans="1:28" x14ac:dyDescent="0.3">
      <c r="A697" s="1">
        <v>45854</v>
      </c>
      <c r="B697" s="2" t="s">
        <v>2630</v>
      </c>
      <c r="C697" s="2" t="s">
        <v>2543</v>
      </c>
      <c r="D697" s="2" t="s">
        <v>2525</v>
      </c>
      <c r="E697" s="2" t="s">
        <v>2517</v>
      </c>
      <c r="F697" s="3">
        <v>41550</v>
      </c>
      <c r="G697" s="3">
        <v>2067</v>
      </c>
      <c r="H697" s="3">
        <v>177</v>
      </c>
      <c r="I697" s="4">
        <v>4241.22</v>
      </c>
      <c r="J697" s="4">
        <v>8388.51</v>
      </c>
      <c r="K697" s="3">
        <v>90</v>
      </c>
      <c r="L697" s="2" t="s">
        <v>2536</v>
      </c>
      <c r="M697" s="2" t="s">
        <v>2524</v>
      </c>
      <c r="N697" s="8">
        <f>IFERROR(G697/F697,0)</f>
        <v>4.9747292418772564E-2</v>
      </c>
      <c r="O697" s="8">
        <f>IFERROR(H697/G697,0)</f>
        <v>8.5631349782293184E-2</v>
      </c>
      <c r="P697" s="4">
        <f>IFERROR(I697/G697,0)</f>
        <v>2.0518722786647317</v>
      </c>
      <c r="Q697" s="4">
        <f>IFERROR(I697/H697,0)</f>
        <v>23.961694915254238</v>
      </c>
      <c r="R697" s="12">
        <f>IFERROR(J697/I697,0)</f>
        <v>1.9778530705787485</v>
      </c>
      <c r="S697" s="7">
        <f>Tabla_nuevas_columnas[[#This Row],[ROAS]]</f>
        <v>1.9778530705787485</v>
      </c>
      <c r="T697" t="str">
        <f>_xlfn.CONCAT(C697,"-",D697)</f>
        <v>Organic Social-Francia</v>
      </c>
      <c r="U697">
        <f>YEAR(A697)</f>
        <v>2025</v>
      </c>
      <c r="V697">
        <f>MONTH(A697)</f>
        <v>7</v>
      </c>
      <c r="W697" t="str">
        <f>PROPER(TEXT(A697,"mmmm"))</f>
        <v>Julio</v>
      </c>
      <c r="X697" t="str">
        <f>PROPER(TEXT(A697,"dddd"))</f>
        <v>Miércoles</v>
      </c>
      <c r="Y697" t="str" cm="1">
        <f t="array" ref="Y697">_xlfn.IFS(R697&gt;10,"Excelente",R697&gt;=5,"Bueno",R697&gt;=2,"Débil",R697&lt;2,"Deficiente")</f>
        <v>Deficiente</v>
      </c>
      <c r="Z697" t="str">
        <f>IF(AND(R697&lt;2,Q697&gt;=100),"Revisar","OK")</f>
        <v>OK</v>
      </c>
      <c r="AA697" s="55">
        <f>_xlfn.XLOOKUP(C697,'Preguntas de negocio'!$C$114:$C$119,'Preguntas de negocio'!$D$114:$D$119,0)</f>
        <v>4</v>
      </c>
      <c r="AB697" s="55">
        <f>VLOOKUP(C697,'Preguntas de negocio'!$C$121:$D$127,2,FALSE)</f>
        <v>0.95</v>
      </c>
    </row>
    <row r="698" spans="1:28" x14ac:dyDescent="0.3">
      <c r="A698" s="1">
        <v>45793</v>
      </c>
      <c r="B698" s="2" t="s">
        <v>2635</v>
      </c>
      <c r="C698" s="2" t="s">
        <v>2515</v>
      </c>
      <c r="D698" s="2" t="s">
        <v>2528</v>
      </c>
      <c r="E698" s="2" t="s">
        <v>2529</v>
      </c>
      <c r="F698" s="3">
        <v>133765</v>
      </c>
      <c r="G698" s="3">
        <v>2011</v>
      </c>
      <c r="H698" s="3">
        <v>194</v>
      </c>
      <c r="I698" s="4">
        <v>3295.87</v>
      </c>
      <c r="J698" s="4">
        <v>18557.849999999999</v>
      </c>
      <c r="K698" s="3">
        <v>142</v>
      </c>
      <c r="L698" s="2" t="s">
        <v>2536</v>
      </c>
      <c r="M698" s="2" t="s">
        <v>2524</v>
      </c>
      <c r="N698" s="8">
        <f>IFERROR(G698/F698,0)</f>
        <v>1.5033827981908571E-2</v>
      </c>
      <c r="O698" s="8">
        <f>IFERROR(H698/G698,0)</f>
        <v>9.6469418199900542E-2</v>
      </c>
      <c r="P698" s="4">
        <f>IFERROR(I698/G698,0)</f>
        <v>1.6389209348582794</v>
      </c>
      <c r="Q698" s="4">
        <f>IFERROR(I698/H698,0)</f>
        <v>16.989020618556701</v>
      </c>
      <c r="R698" s="12">
        <f>IFERROR(J698/I698,0)</f>
        <v>5.6306377375321235</v>
      </c>
      <c r="S698" s="7">
        <f>Tabla_nuevas_columnas[[#This Row],[ROAS]]</f>
        <v>5.6306377375321235</v>
      </c>
      <c r="T698" t="str">
        <f>_xlfn.CONCAT(C698,"-",D698)</f>
        <v>Email-España</v>
      </c>
      <c r="U698">
        <f>YEAR(A698)</f>
        <v>2025</v>
      </c>
      <c r="V698">
        <f>MONTH(A698)</f>
        <v>5</v>
      </c>
      <c r="W698" t="str">
        <f>PROPER(TEXT(A698,"mmmm"))</f>
        <v>Mayo</v>
      </c>
      <c r="X698" t="str">
        <f>PROPER(TEXT(A698,"dddd"))</f>
        <v>Viernes</v>
      </c>
      <c r="Y698" t="str" cm="1">
        <f t="array" ref="Y698">_xlfn.IFS(R698&gt;10,"Excelente",R698&gt;=5,"Bueno",R698&gt;=2,"Débil",R698&lt;2,"Deficiente")</f>
        <v>Bueno</v>
      </c>
      <c r="Z698" t="str">
        <f>IF(AND(R698&lt;2,Q698&gt;=100),"Revisar","OK")</f>
        <v>OK</v>
      </c>
      <c r="AA698" s="55">
        <f>_xlfn.XLOOKUP(C698,'Preguntas de negocio'!$C$114:$C$119,'Preguntas de negocio'!$D$114:$D$119,0)</f>
        <v>5.5</v>
      </c>
      <c r="AB698" s="55">
        <f>VLOOKUP(C698,'Preguntas de negocio'!$C$121:$D$127,2,FALSE)</f>
        <v>0.65</v>
      </c>
    </row>
    <row r="699" spans="1:28" x14ac:dyDescent="0.3">
      <c r="A699" s="1">
        <v>45824</v>
      </c>
      <c r="B699" s="2" t="s">
        <v>2639</v>
      </c>
      <c r="C699" s="2" t="s">
        <v>2541</v>
      </c>
      <c r="D699" s="2" t="s">
        <v>2528</v>
      </c>
      <c r="E699" s="2" t="s">
        <v>2517</v>
      </c>
      <c r="F699" s="3">
        <v>17060</v>
      </c>
      <c r="G699" s="3">
        <v>1013</v>
      </c>
      <c r="H699" s="3">
        <v>108</v>
      </c>
      <c r="I699" s="4">
        <v>1567.57</v>
      </c>
      <c r="J699" s="4">
        <v>3655.69</v>
      </c>
      <c r="K699" s="3">
        <v>50</v>
      </c>
      <c r="L699" s="2" t="s">
        <v>2539</v>
      </c>
      <c r="M699" s="2" t="s">
        <v>2524</v>
      </c>
      <c r="N699" s="8">
        <f>IFERROR(G699/F699,0)</f>
        <v>5.9378663540445485E-2</v>
      </c>
      <c r="O699" s="8">
        <f>IFERROR(H699/G699,0)</f>
        <v>0.10661401776900296</v>
      </c>
      <c r="P699" s="4">
        <f>IFERROR(I699/G699,0)</f>
        <v>1.5474531095755182</v>
      </c>
      <c r="Q699" s="4">
        <f>IFERROR(I699/H699,0)</f>
        <v>14.514537037037037</v>
      </c>
      <c r="R699" s="12">
        <f>IFERROR(J699/I699,0)</f>
        <v>2.3320744847120065</v>
      </c>
      <c r="S699" s="7">
        <f>Tabla_nuevas_columnas[[#This Row],[ROAS]]</f>
        <v>2.3320744847120065</v>
      </c>
      <c r="T699" t="str">
        <f>_xlfn.CONCAT(C699,"-",D699)</f>
        <v>Display-España</v>
      </c>
      <c r="U699">
        <f>YEAR(A699)</f>
        <v>2025</v>
      </c>
      <c r="V699">
        <f>MONTH(A699)</f>
        <v>6</v>
      </c>
      <c r="W699" t="str">
        <f>PROPER(TEXT(A699,"mmmm"))</f>
        <v>Junio</v>
      </c>
      <c r="X699" t="str">
        <f>PROPER(TEXT(A699,"dddd"))</f>
        <v>Lunes</v>
      </c>
      <c r="Y699" t="str" cm="1">
        <f t="array" ref="Y699">_xlfn.IFS(R699&gt;10,"Excelente",R699&gt;=5,"Bueno",R699&gt;=2,"Débil",R699&lt;2,"Deficiente")</f>
        <v>Débil</v>
      </c>
      <c r="Z699" t="str">
        <f>IF(AND(R699&lt;2,Q699&gt;=100),"Revisar","OK")</f>
        <v>OK</v>
      </c>
      <c r="AA699" s="55">
        <f>_xlfn.XLOOKUP(C699,'Preguntas de negocio'!$C$114:$C$119,'Preguntas de negocio'!$D$114:$D$119,0)</f>
        <v>5</v>
      </c>
      <c r="AB699" s="55">
        <f>VLOOKUP(C699,'Preguntas de negocio'!$C$121:$D$127,2,FALSE)</f>
        <v>0.5</v>
      </c>
    </row>
    <row r="700" spans="1:28" x14ac:dyDescent="0.3">
      <c r="A700" s="1">
        <v>45888</v>
      </c>
      <c r="B700" s="2" t="s">
        <v>2642</v>
      </c>
      <c r="C700" s="2" t="s">
        <v>2515</v>
      </c>
      <c r="D700" s="2" t="s">
        <v>2528</v>
      </c>
      <c r="E700" s="2" t="s">
        <v>2529</v>
      </c>
      <c r="F700" s="3">
        <v>4683</v>
      </c>
      <c r="G700" s="3">
        <v>222</v>
      </c>
      <c r="H700" s="3">
        <v>26</v>
      </c>
      <c r="I700" s="4">
        <v>317.05</v>
      </c>
      <c r="J700" s="4">
        <v>5622.11</v>
      </c>
      <c r="K700" s="3">
        <v>21</v>
      </c>
      <c r="L700" s="2" t="s">
        <v>2539</v>
      </c>
      <c r="M700" s="2" t="s">
        <v>2524</v>
      </c>
      <c r="N700" s="8">
        <f>IFERROR(G700/F700,0)</f>
        <v>4.7405509288917361E-2</v>
      </c>
      <c r="O700" s="8">
        <f>IFERROR(H700/G700,0)</f>
        <v>0.11711711711711711</v>
      </c>
      <c r="P700" s="4">
        <f>IFERROR(I700/G700,0)</f>
        <v>1.4281531531531533</v>
      </c>
      <c r="Q700" s="4">
        <f>IFERROR(I700/H700,0)</f>
        <v>12.194230769230769</v>
      </c>
      <c r="R700" s="12">
        <f>IFERROR(J700/I700,0)</f>
        <v>17.732565841349942</v>
      </c>
      <c r="S700" s="7">
        <f>Tabla_nuevas_columnas[[#This Row],[ROAS]]</f>
        <v>17.732565841349942</v>
      </c>
      <c r="T700" t="str">
        <f>_xlfn.CONCAT(C700,"-",D700)</f>
        <v>Email-España</v>
      </c>
      <c r="U700">
        <f>YEAR(A700)</f>
        <v>2025</v>
      </c>
      <c r="V700">
        <f>MONTH(A700)</f>
        <v>8</v>
      </c>
      <c r="W700" t="str">
        <f>PROPER(TEXT(A700,"mmmm"))</f>
        <v>Agosto</v>
      </c>
      <c r="X700" t="str">
        <f>PROPER(TEXT(A700,"dddd"))</f>
        <v>Martes</v>
      </c>
      <c r="Y700" t="str" cm="1">
        <f t="array" ref="Y700">_xlfn.IFS(R700&gt;10,"Excelente",R700&gt;=5,"Bueno",R700&gt;=2,"Débil",R700&lt;2,"Deficiente")</f>
        <v>Excelente</v>
      </c>
      <c r="Z700" t="str">
        <f>IF(AND(R700&lt;2,Q700&gt;=100),"Revisar","OK")</f>
        <v>OK</v>
      </c>
      <c r="AA700" s="55">
        <f>_xlfn.XLOOKUP(C700,'Preguntas de negocio'!$C$114:$C$119,'Preguntas de negocio'!$D$114:$D$119,0)</f>
        <v>5.5</v>
      </c>
      <c r="AB700" s="55">
        <f>VLOOKUP(C700,'Preguntas de negocio'!$C$121:$D$127,2,FALSE)</f>
        <v>0.65</v>
      </c>
    </row>
    <row r="701" spans="1:28" x14ac:dyDescent="0.3">
      <c r="A701" s="1">
        <v>45870</v>
      </c>
      <c r="B701" s="2" t="s">
        <v>2637</v>
      </c>
      <c r="C701" s="2" t="s">
        <v>2543</v>
      </c>
      <c r="D701" s="2" t="s">
        <v>2525</v>
      </c>
      <c r="E701" s="2" t="s">
        <v>2529</v>
      </c>
      <c r="F701" s="3">
        <v>8037</v>
      </c>
      <c r="G701" s="3">
        <v>663</v>
      </c>
      <c r="H701" s="3">
        <v>62</v>
      </c>
      <c r="I701" s="4">
        <v>96.2</v>
      </c>
      <c r="J701" s="4">
        <v>11757.49</v>
      </c>
      <c r="K701" s="3">
        <v>37</v>
      </c>
      <c r="L701" s="2" t="s">
        <v>2518</v>
      </c>
      <c r="M701" s="2" t="s">
        <v>2537</v>
      </c>
      <c r="N701" s="8">
        <f>IFERROR(G701/F701,0)</f>
        <v>8.2493467711832774E-2</v>
      </c>
      <c r="O701" s="8">
        <f>IFERROR(H701/G701,0)</f>
        <v>9.3514328808446456E-2</v>
      </c>
      <c r="P701" s="4">
        <f>IFERROR(I701/G701,0)</f>
        <v>0.14509803921568629</v>
      </c>
      <c r="Q701" s="4">
        <f>IFERROR(I701/H701,0)</f>
        <v>1.5516129032258066</v>
      </c>
      <c r="R701" s="12">
        <f>IFERROR(J701/I701,0)</f>
        <v>122.21923076923076</v>
      </c>
      <c r="S701" s="7">
        <f>Tabla_nuevas_columnas[[#This Row],[ROAS]]</f>
        <v>122.21923076923076</v>
      </c>
      <c r="T701" t="str">
        <f>_xlfn.CONCAT(C701,"-",D701)</f>
        <v>Organic Social-Francia</v>
      </c>
      <c r="U701">
        <f>YEAR(A701)</f>
        <v>2025</v>
      </c>
      <c r="V701">
        <f>MONTH(A701)</f>
        <v>8</v>
      </c>
      <c r="W701" t="str">
        <f>PROPER(TEXT(A701,"mmmm"))</f>
        <v>Agosto</v>
      </c>
      <c r="X701" t="str">
        <f>PROPER(TEXT(A701,"dddd"))</f>
        <v>Viernes</v>
      </c>
      <c r="Y701" t="str" cm="1">
        <f t="array" ref="Y701">_xlfn.IFS(R701&gt;10,"Excelente",R701&gt;=5,"Bueno",R701&gt;=2,"Débil",R701&lt;2,"Deficiente")</f>
        <v>Excelente</v>
      </c>
      <c r="Z701" t="str">
        <f>IF(AND(R701&lt;2,Q701&gt;=100),"Revisar","OK")</f>
        <v>OK</v>
      </c>
      <c r="AA701" s="55">
        <f>_xlfn.XLOOKUP(C701,'Preguntas de negocio'!$C$114:$C$119,'Preguntas de negocio'!$D$114:$D$119,0)</f>
        <v>4</v>
      </c>
      <c r="AB701" s="55">
        <f>VLOOKUP(C701,'Preguntas de negocio'!$C$121:$D$127,2,FALSE)</f>
        <v>0.95</v>
      </c>
    </row>
    <row r="702" spans="1:28" x14ac:dyDescent="0.3">
      <c r="A702" s="1">
        <v>45661</v>
      </c>
      <c r="B702" s="2" t="s">
        <v>2616</v>
      </c>
      <c r="C702" s="2" t="s">
        <v>2521</v>
      </c>
      <c r="D702" s="2" t="s">
        <v>2531</v>
      </c>
      <c r="E702" s="2" t="s">
        <v>2529</v>
      </c>
      <c r="F702" s="3">
        <v>100711</v>
      </c>
      <c r="G702" s="3">
        <v>1307</v>
      </c>
      <c r="H702" s="3">
        <v>141</v>
      </c>
      <c r="I702" s="4">
        <v>569.47</v>
      </c>
      <c r="J702" s="4">
        <v>20151.16</v>
      </c>
      <c r="K702" s="3">
        <v>106</v>
      </c>
      <c r="L702" s="2" t="s">
        <v>2539</v>
      </c>
      <c r="M702" s="2" t="s">
        <v>2519</v>
      </c>
      <c r="N702" s="8">
        <f>IFERROR(G702/F702,0)</f>
        <v>1.2977728351421395E-2</v>
      </c>
      <c r="O702" s="8">
        <f>IFERROR(H702/G702,0)</f>
        <v>0.10788064269319052</v>
      </c>
      <c r="P702" s="4">
        <f>IFERROR(I702/G702,0)</f>
        <v>0.43570772762050497</v>
      </c>
      <c r="Q702" s="4">
        <f>IFERROR(I702/H702,0)</f>
        <v>4.0387943262411348</v>
      </c>
      <c r="R702" s="12">
        <f>IFERROR(J702/I702,0)</f>
        <v>35.38581488050292</v>
      </c>
      <c r="S702" s="7">
        <f>Tabla_nuevas_columnas[[#This Row],[ROAS]]</f>
        <v>35.38581488050292</v>
      </c>
      <c r="T702" t="str">
        <f>_xlfn.CONCAT(C702,"-",D702)</f>
        <v>Paid Search-Portugal</v>
      </c>
      <c r="U702">
        <f>YEAR(A702)</f>
        <v>2025</v>
      </c>
      <c r="V702">
        <f>MONTH(A702)</f>
        <v>1</v>
      </c>
      <c r="W702" t="str">
        <f>PROPER(TEXT(A702,"mmmm"))</f>
        <v>Enero</v>
      </c>
      <c r="X702" t="str">
        <f>PROPER(TEXT(A702,"dddd"))</f>
        <v>Sábado</v>
      </c>
      <c r="Y702" t="str" cm="1">
        <f t="array" ref="Y702">_xlfn.IFS(R702&gt;10,"Excelente",R702&gt;=5,"Bueno",R702&gt;=2,"Débil",R702&lt;2,"Deficiente")</f>
        <v>Excelente</v>
      </c>
      <c r="Z702" t="str">
        <f>IF(AND(R702&lt;2,Q702&gt;=100),"Revisar","OK")</f>
        <v>OK</v>
      </c>
      <c r="AA702" s="55">
        <f>_xlfn.XLOOKUP(C702,'Preguntas de negocio'!$C$114:$C$119,'Preguntas de negocio'!$D$114:$D$119,0)</f>
        <v>5</v>
      </c>
      <c r="AB702" s="55">
        <f>VLOOKUP(C702,'Preguntas de negocio'!$C$121:$D$127,2,FALSE)</f>
        <v>1.1000000000000001</v>
      </c>
    </row>
    <row r="703" spans="1:28" x14ac:dyDescent="0.3">
      <c r="A703" s="1">
        <v>45994</v>
      </c>
      <c r="B703" s="2" t="s">
        <v>2631</v>
      </c>
      <c r="C703" s="2" t="s">
        <v>2533</v>
      </c>
      <c r="D703" s="2" t="s">
        <v>2528</v>
      </c>
      <c r="E703" s="2" t="s">
        <v>2517</v>
      </c>
      <c r="F703" s="3">
        <v>138259</v>
      </c>
      <c r="G703" s="3">
        <v>6040</v>
      </c>
      <c r="H703" s="3">
        <v>417</v>
      </c>
      <c r="I703" s="4">
        <v>718.58</v>
      </c>
      <c r="J703" s="4">
        <v>91241.69</v>
      </c>
      <c r="K703" s="3">
        <v>188</v>
      </c>
      <c r="L703" s="2" t="s">
        <v>2523</v>
      </c>
      <c r="M703" s="2" t="s">
        <v>2537</v>
      </c>
      <c r="N703" s="8">
        <f>IFERROR(G703/F703,0)</f>
        <v>4.3686125315530996E-2</v>
      </c>
      <c r="O703" s="8">
        <f>IFERROR(H703/G703,0)</f>
        <v>6.9039735099337751E-2</v>
      </c>
      <c r="P703" s="4">
        <f>IFERROR(I703/G703,0)</f>
        <v>0.1189701986754967</v>
      </c>
      <c r="Q703" s="4">
        <f>IFERROR(I703/H703,0)</f>
        <v>1.7232134292565948</v>
      </c>
      <c r="R703" s="12">
        <f>IFERROR(J703/I703,0)</f>
        <v>126.97499234601575</v>
      </c>
      <c r="S703" s="7">
        <f>Tabla_nuevas_columnas[[#This Row],[ROAS]]</f>
        <v>126.97499234601575</v>
      </c>
      <c r="T703" t="str">
        <f>_xlfn.CONCAT(C703,"-",D703)</f>
        <v>Paid Social-España</v>
      </c>
      <c r="U703">
        <f>YEAR(A703)</f>
        <v>2025</v>
      </c>
      <c r="V703">
        <f>MONTH(A703)</f>
        <v>12</v>
      </c>
      <c r="W703" t="str">
        <f>PROPER(TEXT(A703,"mmmm"))</f>
        <v>Diciembre</v>
      </c>
      <c r="X703" t="str">
        <f>PROPER(TEXT(A703,"dddd"))</f>
        <v>Miércoles</v>
      </c>
      <c r="Y703" t="str" cm="1">
        <f t="array" ref="Y703">_xlfn.IFS(R703&gt;10,"Excelente",R703&gt;=5,"Bueno",R703&gt;=2,"Débil",R703&lt;2,"Deficiente")</f>
        <v>Excelente</v>
      </c>
      <c r="Z703" t="str">
        <f>IF(AND(R703&lt;2,Q703&gt;=100),"Revisar","OK")</f>
        <v>OK</v>
      </c>
      <c r="AA703" s="55">
        <f>_xlfn.XLOOKUP(C703,'Preguntas de negocio'!$C$114:$C$119,'Preguntas de negocio'!$D$114:$D$119,0)</f>
        <v>6</v>
      </c>
      <c r="AB703" s="55">
        <f>VLOOKUP(C703,'Preguntas de negocio'!$C$121:$D$127,2,FALSE)</f>
        <v>0.8</v>
      </c>
    </row>
    <row r="704" spans="1:28" x14ac:dyDescent="0.3">
      <c r="A704" s="1">
        <v>45746</v>
      </c>
      <c r="B704" s="2" t="s">
        <v>2634</v>
      </c>
      <c r="C704" s="2" t="s">
        <v>2521</v>
      </c>
      <c r="D704" s="2" t="s">
        <v>2531</v>
      </c>
      <c r="E704" s="2" t="s">
        <v>2517</v>
      </c>
      <c r="F704" s="3">
        <v>69919</v>
      </c>
      <c r="G704" s="3">
        <v>1287</v>
      </c>
      <c r="H704" s="3">
        <v>69</v>
      </c>
      <c r="I704" s="4">
        <v>1184.23</v>
      </c>
      <c r="J704" s="4">
        <v>4859.4399999999996</v>
      </c>
      <c r="K704" s="3">
        <v>37</v>
      </c>
      <c r="L704" s="2" t="s">
        <v>2536</v>
      </c>
      <c r="M704" s="2" t="s">
        <v>2524</v>
      </c>
      <c r="N704" s="8">
        <f>IFERROR(G704/F704,0)</f>
        <v>1.8407013830289334E-2</v>
      </c>
      <c r="O704" s="8">
        <f>IFERROR(H704/G704,0)</f>
        <v>5.3613053613053616E-2</v>
      </c>
      <c r="P704" s="4">
        <f>IFERROR(I704/G704,0)</f>
        <v>0.92014763014763012</v>
      </c>
      <c r="Q704" s="4">
        <f>IFERROR(I704/H704,0)</f>
        <v>17.162753623188404</v>
      </c>
      <c r="R704" s="12">
        <f>IFERROR(J704/I704,0)</f>
        <v>4.1034596319971621</v>
      </c>
      <c r="S704" s="7">
        <f>Tabla_nuevas_columnas[[#This Row],[ROAS]]</f>
        <v>4.1034596319971621</v>
      </c>
      <c r="T704" t="str">
        <f>_xlfn.CONCAT(C704,"-",D704)</f>
        <v>Paid Search-Portugal</v>
      </c>
      <c r="U704">
        <f>YEAR(A704)</f>
        <v>2025</v>
      </c>
      <c r="V704">
        <f>MONTH(A704)</f>
        <v>3</v>
      </c>
      <c r="W704" t="str">
        <f>PROPER(TEXT(A704,"mmmm"))</f>
        <v>Marzo</v>
      </c>
      <c r="X704" t="str">
        <f>PROPER(TEXT(A704,"dddd"))</f>
        <v>Domingo</v>
      </c>
      <c r="Y704" t="str" cm="1">
        <f t="array" ref="Y704">_xlfn.IFS(R704&gt;10,"Excelente",R704&gt;=5,"Bueno",R704&gt;=2,"Débil",R704&lt;2,"Deficiente")</f>
        <v>Débil</v>
      </c>
      <c r="Z704" t="str">
        <f>IF(AND(R704&lt;2,Q704&gt;=100),"Revisar","OK")</f>
        <v>OK</v>
      </c>
      <c r="AA704" s="55">
        <f>_xlfn.XLOOKUP(C704,'Preguntas de negocio'!$C$114:$C$119,'Preguntas de negocio'!$D$114:$D$119,0)</f>
        <v>5</v>
      </c>
      <c r="AB704" s="55">
        <f>VLOOKUP(C704,'Preguntas de negocio'!$C$121:$D$127,2,FALSE)</f>
        <v>1.1000000000000001</v>
      </c>
    </row>
    <row r="705" spans="1:28" x14ac:dyDescent="0.3">
      <c r="A705" s="1">
        <v>45688</v>
      </c>
      <c r="B705" s="2" t="s">
        <v>2635</v>
      </c>
      <c r="C705" s="2" t="s">
        <v>2527</v>
      </c>
      <c r="D705" s="2" t="s">
        <v>2528</v>
      </c>
      <c r="E705" s="2" t="s">
        <v>2529</v>
      </c>
      <c r="F705" s="3">
        <v>165022</v>
      </c>
      <c r="G705" s="3">
        <v>2044</v>
      </c>
      <c r="H705" s="3">
        <v>174</v>
      </c>
      <c r="I705" s="4">
        <v>2422.5300000000002</v>
      </c>
      <c r="J705" s="4">
        <v>30348.91</v>
      </c>
      <c r="K705" s="3">
        <v>140</v>
      </c>
      <c r="L705" s="2" t="s">
        <v>2523</v>
      </c>
      <c r="M705" s="2" t="s">
        <v>2524</v>
      </c>
      <c r="N705" s="8">
        <f>IFERROR(G705/F705,0)</f>
        <v>1.2386227290906666E-2</v>
      </c>
      <c r="O705" s="8">
        <f>IFERROR(H705/G705,0)</f>
        <v>8.5127201565557725E-2</v>
      </c>
      <c r="P705" s="4">
        <f>IFERROR(I705/G705,0)</f>
        <v>1.1851908023483366</v>
      </c>
      <c r="Q705" s="4">
        <f>IFERROR(I705/H705,0)</f>
        <v>13.922586206896552</v>
      </c>
      <c r="R705" s="12">
        <f>IFERROR(J705/I705,0)</f>
        <v>12.527774681840885</v>
      </c>
      <c r="S705" s="7">
        <f>Tabla_nuevas_columnas[[#This Row],[ROAS]]</f>
        <v>12.527774681840885</v>
      </c>
      <c r="T705" t="str">
        <f>_xlfn.CONCAT(C705,"-",D705)</f>
        <v>Affiliate-España</v>
      </c>
      <c r="U705">
        <f>YEAR(A705)</f>
        <v>2025</v>
      </c>
      <c r="V705">
        <f>MONTH(A705)</f>
        <v>1</v>
      </c>
      <c r="W705" t="str">
        <f>PROPER(TEXT(A705,"mmmm"))</f>
        <v>Enero</v>
      </c>
      <c r="X705" t="str">
        <f>PROPER(TEXT(A705,"dddd"))</f>
        <v>Viernes</v>
      </c>
      <c r="Y705" t="str" cm="1">
        <f t="array" ref="Y705">_xlfn.IFS(R705&gt;10,"Excelente",R705&gt;=5,"Bueno",R705&gt;=2,"Débil",R705&lt;2,"Deficiente")</f>
        <v>Excelente</v>
      </c>
      <c r="Z705" t="str">
        <f>IF(AND(R705&lt;2,Q705&gt;=100),"Revisar","OK")</f>
        <v>OK</v>
      </c>
      <c r="AA705" s="55">
        <f>_xlfn.XLOOKUP(C705,'Preguntas de negocio'!$C$114:$C$119,'Preguntas de negocio'!$D$114:$D$119,0)</f>
        <v>4.5</v>
      </c>
      <c r="AB705" s="55">
        <f>VLOOKUP(C705,'Preguntas de negocio'!$C$121:$D$127,2,FALSE)</f>
        <v>0.35</v>
      </c>
    </row>
    <row r="706" spans="1:28" x14ac:dyDescent="0.3">
      <c r="A706" s="1">
        <v>45690</v>
      </c>
      <c r="B706" s="2" t="s">
        <v>2626</v>
      </c>
      <c r="C706" s="2" t="s">
        <v>2527</v>
      </c>
      <c r="D706" s="2" t="s">
        <v>2516</v>
      </c>
      <c r="E706" s="2" t="s">
        <v>2529</v>
      </c>
      <c r="F706" s="3">
        <v>163084</v>
      </c>
      <c r="G706" s="3">
        <v>1315</v>
      </c>
      <c r="H706" s="3">
        <v>83</v>
      </c>
      <c r="I706" s="4">
        <v>516.35</v>
      </c>
      <c r="J706" s="4">
        <v>9630.57</v>
      </c>
      <c r="K706" s="3">
        <v>57</v>
      </c>
      <c r="L706" s="2" t="s">
        <v>2539</v>
      </c>
      <c r="M706" s="2" t="s">
        <v>2526</v>
      </c>
      <c r="N706" s="8">
        <f>IFERROR(G706/F706,0)</f>
        <v>8.0633293272178753E-3</v>
      </c>
      <c r="O706" s="8">
        <f>IFERROR(H706/G706,0)</f>
        <v>6.3117870722433467E-2</v>
      </c>
      <c r="P706" s="4">
        <f>IFERROR(I706/G706,0)</f>
        <v>0.39266159695817493</v>
      </c>
      <c r="Q706" s="4">
        <f>IFERROR(I706/H706,0)</f>
        <v>6.2210843373493976</v>
      </c>
      <c r="R706" s="12">
        <f>IFERROR(J706/I706,0)</f>
        <v>18.651244311029338</v>
      </c>
      <c r="S706" s="7">
        <f>Tabla_nuevas_columnas[[#This Row],[ROAS]]</f>
        <v>18.651244311029338</v>
      </c>
      <c r="T706" t="str">
        <f>_xlfn.CONCAT(C706,"-",D706)</f>
        <v>Affiliate-México</v>
      </c>
      <c r="U706">
        <f>YEAR(A706)</f>
        <v>2025</v>
      </c>
      <c r="V706">
        <f>MONTH(A706)</f>
        <v>2</v>
      </c>
      <c r="W706" t="str">
        <f>PROPER(TEXT(A706,"mmmm"))</f>
        <v>Febrero</v>
      </c>
      <c r="X706" t="str">
        <f>PROPER(TEXT(A706,"dddd"))</f>
        <v>Domingo</v>
      </c>
      <c r="Y706" t="str" cm="1">
        <f t="array" ref="Y706">_xlfn.IFS(R706&gt;10,"Excelente",R706&gt;=5,"Bueno",R706&gt;=2,"Débil",R706&lt;2,"Deficiente")</f>
        <v>Excelente</v>
      </c>
      <c r="Z706" t="str">
        <f>IF(AND(R706&lt;2,Q706&gt;=100),"Revisar","OK")</f>
        <v>OK</v>
      </c>
      <c r="AA706" s="55">
        <f>_xlfn.XLOOKUP(C706,'Preguntas de negocio'!$C$114:$C$119,'Preguntas de negocio'!$D$114:$D$119,0)</f>
        <v>4.5</v>
      </c>
      <c r="AB706" s="55">
        <f>VLOOKUP(C706,'Preguntas de negocio'!$C$121:$D$127,2,FALSE)</f>
        <v>0.35</v>
      </c>
    </row>
    <row r="707" spans="1:28" x14ac:dyDescent="0.3">
      <c r="A707" s="1">
        <v>45920</v>
      </c>
      <c r="B707" s="2" t="s">
        <v>2624</v>
      </c>
      <c r="C707" s="2" t="s">
        <v>2543</v>
      </c>
      <c r="D707" s="2" t="s">
        <v>2516</v>
      </c>
      <c r="E707" s="2" t="s">
        <v>2529</v>
      </c>
      <c r="F707" s="3">
        <v>16201</v>
      </c>
      <c r="G707" s="3">
        <v>973</v>
      </c>
      <c r="H707" s="3">
        <v>102</v>
      </c>
      <c r="I707" s="4">
        <v>576.88</v>
      </c>
      <c r="J707" s="4">
        <v>10063.280000000001</v>
      </c>
      <c r="K707" s="3">
        <v>81</v>
      </c>
      <c r="L707" s="2" t="s">
        <v>2518</v>
      </c>
      <c r="M707" s="2" t="s">
        <v>2519</v>
      </c>
      <c r="N707" s="8">
        <f>IFERROR(G707/F707,0)</f>
        <v>6.0058021109808034E-2</v>
      </c>
      <c r="O707" s="8">
        <f>IFERROR(H707/G707,0)</f>
        <v>0.10483042137718397</v>
      </c>
      <c r="P707" s="4">
        <f>IFERROR(I707/G707,0)</f>
        <v>0.59288797533401849</v>
      </c>
      <c r="Q707" s="4">
        <f>IFERROR(I707/H707,0)</f>
        <v>5.6556862745098035</v>
      </c>
      <c r="R707" s="12">
        <f>IFERROR(J707/I707,0)</f>
        <v>17.444321175981141</v>
      </c>
      <c r="S707" s="7">
        <f>Tabla_nuevas_columnas[[#This Row],[ROAS]]</f>
        <v>17.444321175981141</v>
      </c>
      <c r="T707" t="str">
        <f>_xlfn.CONCAT(C707,"-",D707)</f>
        <v>Organic Social-México</v>
      </c>
      <c r="U707">
        <f>YEAR(A707)</f>
        <v>2025</v>
      </c>
      <c r="V707">
        <f>MONTH(A707)</f>
        <v>9</v>
      </c>
      <c r="W707" t="str">
        <f>PROPER(TEXT(A707,"mmmm"))</f>
        <v>Septiembre</v>
      </c>
      <c r="X707" t="str">
        <f>PROPER(TEXT(A707,"dddd"))</f>
        <v>Sábado</v>
      </c>
      <c r="Y707" t="str" cm="1">
        <f t="array" ref="Y707">_xlfn.IFS(R707&gt;10,"Excelente",R707&gt;=5,"Bueno",R707&gt;=2,"Débil",R707&lt;2,"Deficiente")</f>
        <v>Excelente</v>
      </c>
      <c r="Z707" t="str">
        <f>IF(AND(R707&lt;2,Q707&gt;=100),"Revisar","OK")</f>
        <v>OK</v>
      </c>
      <c r="AA707" s="55">
        <f>_xlfn.XLOOKUP(C707,'Preguntas de negocio'!$C$114:$C$119,'Preguntas de negocio'!$D$114:$D$119,0)</f>
        <v>4</v>
      </c>
      <c r="AB707" s="55">
        <f>VLOOKUP(C707,'Preguntas de negocio'!$C$121:$D$127,2,FALSE)</f>
        <v>0.95</v>
      </c>
    </row>
    <row r="708" spans="1:28" x14ac:dyDescent="0.3">
      <c r="A708" s="1">
        <v>45956</v>
      </c>
      <c r="B708" s="2" t="s">
        <v>2633</v>
      </c>
      <c r="C708" s="2" t="s">
        <v>2515</v>
      </c>
      <c r="D708" s="2" t="s">
        <v>2531</v>
      </c>
      <c r="E708" s="2" t="s">
        <v>2529</v>
      </c>
      <c r="F708" s="3">
        <v>77018</v>
      </c>
      <c r="G708" s="3">
        <v>522</v>
      </c>
      <c r="H708" s="3">
        <v>24</v>
      </c>
      <c r="I708" s="4">
        <v>272.86</v>
      </c>
      <c r="J708" s="4">
        <v>4052.72</v>
      </c>
      <c r="K708" s="3">
        <v>18</v>
      </c>
      <c r="L708" s="2" t="s">
        <v>2536</v>
      </c>
      <c r="M708" s="2" t="s">
        <v>2519</v>
      </c>
      <c r="N708" s="8">
        <f>IFERROR(G708/F708,0)</f>
        <v>6.7776363966864893E-3</v>
      </c>
      <c r="O708" s="8">
        <f>IFERROR(H708/G708,0)</f>
        <v>4.5977011494252873E-2</v>
      </c>
      <c r="P708" s="4">
        <f>IFERROR(I708/G708,0)</f>
        <v>0.52272030651340995</v>
      </c>
      <c r="Q708" s="4">
        <f>IFERROR(I708/H708,0)</f>
        <v>11.369166666666667</v>
      </c>
      <c r="R708" s="12">
        <f>IFERROR(J708/I708,0)</f>
        <v>14.852744997434581</v>
      </c>
      <c r="S708" s="7">
        <f>Tabla_nuevas_columnas[[#This Row],[ROAS]]</f>
        <v>14.852744997434581</v>
      </c>
      <c r="T708" t="str">
        <f>_xlfn.CONCAT(C708,"-",D708)</f>
        <v>Email-Portugal</v>
      </c>
      <c r="U708">
        <f>YEAR(A708)</f>
        <v>2025</v>
      </c>
      <c r="V708">
        <f>MONTH(A708)</f>
        <v>10</v>
      </c>
      <c r="W708" t="str">
        <f>PROPER(TEXT(A708,"mmmm"))</f>
        <v>Octubre</v>
      </c>
      <c r="X708" t="str">
        <f>PROPER(TEXT(A708,"dddd"))</f>
        <v>Domingo</v>
      </c>
      <c r="Y708" t="str" cm="1">
        <f t="array" ref="Y708">_xlfn.IFS(R708&gt;10,"Excelente",R708&gt;=5,"Bueno",R708&gt;=2,"Débil",R708&lt;2,"Deficiente")</f>
        <v>Excelente</v>
      </c>
      <c r="Z708" t="str">
        <f>IF(AND(R708&lt;2,Q708&gt;=100),"Revisar","OK")</f>
        <v>OK</v>
      </c>
      <c r="AA708" s="55">
        <f>_xlfn.XLOOKUP(C708,'Preguntas de negocio'!$C$114:$C$119,'Preguntas de negocio'!$D$114:$D$119,0)</f>
        <v>5.5</v>
      </c>
      <c r="AB708" s="55">
        <f>VLOOKUP(C708,'Preguntas de negocio'!$C$121:$D$127,2,FALSE)</f>
        <v>0.65</v>
      </c>
    </row>
    <row r="709" spans="1:28" x14ac:dyDescent="0.3">
      <c r="A709" s="1">
        <v>45674</v>
      </c>
      <c r="B709" s="2" t="s">
        <v>2630</v>
      </c>
      <c r="C709" s="2" t="s">
        <v>2533</v>
      </c>
      <c r="D709" s="2" t="s">
        <v>2531</v>
      </c>
      <c r="E709" s="2" t="s">
        <v>2517</v>
      </c>
      <c r="F709" s="3">
        <v>108937</v>
      </c>
      <c r="G709" s="3">
        <v>3881</v>
      </c>
      <c r="H709" s="3">
        <v>453</v>
      </c>
      <c r="I709" s="4">
        <v>3823.58</v>
      </c>
      <c r="J709" s="4">
        <v>62221.98</v>
      </c>
      <c r="K709" s="3">
        <v>204</v>
      </c>
      <c r="L709" s="2" t="s">
        <v>2518</v>
      </c>
      <c r="M709" s="2" t="s">
        <v>2526</v>
      </c>
      <c r="N709" s="8">
        <f>IFERROR(G709/F709,0)</f>
        <v>3.5626095816848273E-2</v>
      </c>
      <c r="O709" s="8">
        <f>IFERROR(H709/G709,0)</f>
        <v>0.11672249420252512</v>
      </c>
      <c r="P709" s="4">
        <f>IFERROR(I709/G709,0)</f>
        <v>0.98520484411234222</v>
      </c>
      <c r="Q709" s="4">
        <f>IFERROR(I709/H709,0)</f>
        <v>8.4405739514348781</v>
      </c>
      <c r="R709" s="12">
        <f>IFERROR(J709/I709,0)</f>
        <v>16.273225615784163</v>
      </c>
      <c r="S709" s="7">
        <f>Tabla_nuevas_columnas[[#This Row],[ROAS]]</f>
        <v>16.273225615784163</v>
      </c>
      <c r="T709" t="str">
        <f>_xlfn.CONCAT(C709,"-",D709)</f>
        <v>Paid Social-Portugal</v>
      </c>
      <c r="U709">
        <f>YEAR(A709)</f>
        <v>2025</v>
      </c>
      <c r="V709">
        <f>MONTH(A709)</f>
        <v>1</v>
      </c>
      <c r="W709" t="str">
        <f>PROPER(TEXT(A709,"mmmm"))</f>
        <v>Enero</v>
      </c>
      <c r="X709" t="str">
        <f>PROPER(TEXT(A709,"dddd"))</f>
        <v>Viernes</v>
      </c>
      <c r="Y709" t="str" cm="1">
        <f t="array" ref="Y709">_xlfn.IFS(R709&gt;10,"Excelente",R709&gt;=5,"Bueno",R709&gt;=2,"Débil",R709&lt;2,"Deficiente")</f>
        <v>Excelente</v>
      </c>
      <c r="Z709" t="str">
        <f>IF(AND(R709&lt;2,Q709&gt;=100),"Revisar","OK")</f>
        <v>OK</v>
      </c>
      <c r="AA709" s="55">
        <f>_xlfn.XLOOKUP(C709,'Preguntas de negocio'!$C$114:$C$119,'Preguntas de negocio'!$D$114:$D$119,0)</f>
        <v>6</v>
      </c>
      <c r="AB709" s="55">
        <f>VLOOKUP(C709,'Preguntas de negocio'!$C$121:$D$127,2,FALSE)</f>
        <v>0.8</v>
      </c>
    </row>
    <row r="710" spans="1:28" x14ac:dyDescent="0.3">
      <c r="A710" s="1">
        <v>45826</v>
      </c>
      <c r="B710" s="2" t="s">
        <v>2640</v>
      </c>
      <c r="C710" s="2" t="s">
        <v>2543</v>
      </c>
      <c r="D710" s="2" t="s">
        <v>2516</v>
      </c>
      <c r="E710" s="2" t="s">
        <v>2534</v>
      </c>
      <c r="F710" s="3">
        <v>122451</v>
      </c>
      <c r="G710" s="3">
        <v>836</v>
      </c>
      <c r="H710" s="3">
        <v>30</v>
      </c>
      <c r="I710" s="4">
        <v>841.1</v>
      </c>
      <c r="J710" s="4">
        <v>2204.09</v>
      </c>
      <c r="K710" s="3">
        <v>15</v>
      </c>
      <c r="L710" s="2" t="s">
        <v>2536</v>
      </c>
      <c r="M710" s="2" t="s">
        <v>2526</v>
      </c>
      <c r="N710" s="8">
        <f>IFERROR(G710/F710,0)</f>
        <v>6.8272206841920443E-3</v>
      </c>
      <c r="O710" s="8">
        <f>IFERROR(H710/G710,0)</f>
        <v>3.5885167464114832E-2</v>
      </c>
      <c r="P710" s="4">
        <f>IFERROR(I710/G710,0)</f>
        <v>1.0061004784688996</v>
      </c>
      <c r="Q710" s="4">
        <f>IFERROR(I710/H710,0)</f>
        <v>28.036666666666669</v>
      </c>
      <c r="R710" s="12">
        <f>IFERROR(J710/I710,0)</f>
        <v>2.6204850790631316</v>
      </c>
      <c r="S710" s="7">
        <f>Tabla_nuevas_columnas[[#This Row],[ROAS]]</f>
        <v>2.6204850790631316</v>
      </c>
      <c r="T710" t="str">
        <f>_xlfn.CONCAT(C710,"-",D710)</f>
        <v>Organic Social-México</v>
      </c>
      <c r="U710">
        <f>YEAR(A710)</f>
        <v>2025</v>
      </c>
      <c r="V710">
        <f>MONTH(A710)</f>
        <v>6</v>
      </c>
      <c r="W710" t="str">
        <f>PROPER(TEXT(A710,"mmmm"))</f>
        <v>Junio</v>
      </c>
      <c r="X710" t="str">
        <f>PROPER(TEXT(A710,"dddd"))</f>
        <v>Miércoles</v>
      </c>
      <c r="Y710" t="str" cm="1">
        <f t="array" ref="Y710">_xlfn.IFS(R710&gt;10,"Excelente",R710&gt;=5,"Bueno",R710&gt;=2,"Débil",R710&lt;2,"Deficiente")</f>
        <v>Débil</v>
      </c>
      <c r="Z710" t="str">
        <f>IF(AND(R710&lt;2,Q710&gt;=100),"Revisar","OK")</f>
        <v>OK</v>
      </c>
      <c r="AA710" s="55">
        <f>_xlfn.XLOOKUP(C710,'Preguntas de negocio'!$C$114:$C$119,'Preguntas de negocio'!$D$114:$D$119,0)</f>
        <v>4</v>
      </c>
      <c r="AB710" s="55">
        <f>VLOOKUP(C710,'Preguntas de negocio'!$C$121:$D$127,2,FALSE)</f>
        <v>0.95</v>
      </c>
    </row>
    <row r="711" spans="1:28" x14ac:dyDescent="0.3">
      <c r="A711" s="1">
        <v>45860</v>
      </c>
      <c r="B711" s="2" t="s">
        <v>2637</v>
      </c>
      <c r="C711" s="2" t="s">
        <v>2541</v>
      </c>
      <c r="D711" s="2" t="s">
        <v>2528</v>
      </c>
      <c r="E711" s="2" t="s">
        <v>2517</v>
      </c>
      <c r="F711" s="3">
        <v>47533</v>
      </c>
      <c r="G711" s="3">
        <v>3471</v>
      </c>
      <c r="H711" s="3">
        <v>226</v>
      </c>
      <c r="I711" s="4">
        <v>4610.2</v>
      </c>
      <c r="J711" s="4">
        <v>22228.51</v>
      </c>
      <c r="K711" s="3">
        <v>123</v>
      </c>
      <c r="L711" s="2" t="s">
        <v>2539</v>
      </c>
      <c r="M711" s="2" t="s">
        <v>2537</v>
      </c>
      <c r="N711" s="8">
        <f>IFERROR(G711/F711,0)</f>
        <v>7.3022952475122541E-2</v>
      </c>
      <c r="O711" s="8">
        <f>IFERROR(H711/G711,0)</f>
        <v>6.5110919043503315E-2</v>
      </c>
      <c r="P711" s="4">
        <f>IFERROR(I711/G711,0)</f>
        <v>1.3282051282051281</v>
      </c>
      <c r="Q711" s="4">
        <f>IFERROR(I711/H711,0)</f>
        <v>20.399115044247786</v>
      </c>
      <c r="R711" s="12">
        <f>IFERROR(J711/I711,0)</f>
        <v>4.8215934232788165</v>
      </c>
      <c r="S711" s="7">
        <f>Tabla_nuevas_columnas[[#This Row],[ROAS]]</f>
        <v>4.8215934232788165</v>
      </c>
      <c r="T711" t="str">
        <f>_xlfn.CONCAT(C711,"-",D711)</f>
        <v>Display-España</v>
      </c>
      <c r="U711">
        <f>YEAR(A711)</f>
        <v>2025</v>
      </c>
      <c r="V711">
        <f>MONTH(A711)</f>
        <v>7</v>
      </c>
      <c r="W711" t="str">
        <f>PROPER(TEXT(A711,"mmmm"))</f>
        <v>Julio</v>
      </c>
      <c r="X711" t="str">
        <f>PROPER(TEXT(A711,"dddd"))</f>
        <v>Martes</v>
      </c>
      <c r="Y711" t="str" cm="1">
        <f t="array" ref="Y711">_xlfn.IFS(R711&gt;10,"Excelente",R711&gt;=5,"Bueno",R711&gt;=2,"Débil",R711&lt;2,"Deficiente")</f>
        <v>Débil</v>
      </c>
      <c r="Z711" t="str">
        <f>IF(AND(R711&lt;2,Q711&gt;=100),"Revisar","OK")</f>
        <v>OK</v>
      </c>
      <c r="AA711" s="55">
        <f>_xlfn.XLOOKUP(C711,'Preguntas de negocio'!$C$114:$C$119,'Preguntas de negocio'!$D$114:$D$119,0)</f>
        <v>5</v>
      </c>
      <c r="AB711" s="55">
        <f>VLOOKUP(C711,'Preguntas de negocio'!$C$121:$D$127,2,FALSE)</f>
        <v>0.5</v>
      </c>
    </row>
    <row r="712" spans="1:28" x14ac:dyDescent="0.3">
      <c r="A712" s="1">
        <v>45853</v>
      </c>
      <c r="B712" s="2" t="s">
        <v>2640</v>
      </c>
      <c r="C712" s="2" t="s">
        <v>2541</v>
      </c>
      <c r="D712" s="2" t="s">
        <v>2525</v>
      </c>
      <c r="E712" s="2" t="s">
        <v>2534</v>
      </c>
      <c r="F712" s="3">
        <v>82120</v>
      </c>
      <c r="G712" s="3">
        <v>4611</v>
      </c>
      <c r="H712" s="3">
        <v>272</v>
      </c>
      <c r="I712" s="4">
        <v>2313.8000000000002</v>
      </c>
      <c r="J712" s="4">
        <v>4159.42</v>
      </c>
      <c r="K712" s="3">
        <v>142</v>
      </c>
      <c r="L712" s="2" t="s">
        <v>2518</v>
      </c>
      <c r="M712" s="2" t="s">
        <v>2546</v>
      </c>
      <c r="N712" s="8">
        <f>IFERROR(G712/F712,0)</f>
        <v>5.6149537262542619E-2</v>
      </c>
      <c r="O712" s="8">
        <f>IFERROR(H712/G712,0)</f>
        <v>5.898937323790935E-2</v>
      </c>
      <c r="P712" s="4">
        <f>IFERROR(I712/G712,0)</f>
        <v>0.50180004337453921</v>
      </c>
      <c r="Q712" s="4">
        <f>IFERROR(I712/H712,0)</f>
        <v>8.5066176470588246</v>
      </c>
      <c r="R712" s="12">
        <f>IFERROR(J712/I712,0)</f>
        <v>1.7976575330624944</v>
      </c>
      <c r="S712" s="7">
        <f>Tabla_nuevas_columnas[[#This Row],[ROAS]]</f>
        <v>1.7976575330624944</v>
      </c>
      <c r="T712" t="str">
        <f>_xlfn.CONCAT(C712,"-",D712)</f>
        <v>Display-Francia</v>
      </c>
      <c r="U712">
        <f>YEAR(A712)</f>
        <v>2025</v>
      </c>
      <c r="V712">
        <f>MONTH(A712)</f>
        <v>7</v>
      </c>
      <c r="W712" t="str">
        <f>PROPER(TEXT(A712,"mmmm"))</f>
        <v>Julio</v>
      </c>
      <c r="X712" t="str">
        <f>PROPER(TEXT(A712,"dddd"))</f>
        <v>Martes</v>
      </c>
      <c r="Y712" t="str" cm="1">
        <f t="array" ref="Y712">_xlfn.IFS(R712&gt;10,"Excelente",R712&gt;=5,"Bueno",R712&gt;=2,"Débil",R712&lt;2,"Deficiente")</f>
        <v>Deficiente</v>
      </c>
      <c r="Z712" t="str">
        <f>IF(AND(R712&lt;2,Q712&gt;=100),"Revisar","OK")</f>
        <v>OK</v>
      </c>
      <c r="AA712" s="55">
        <f>_xlfn.XLOOKUP(C712,'Preguntas de negocio'!$C$114:$C$119,'Preguntas de negocio'!$D$114:$D$119,0)</f>
        <v>5</v>
      </c>
      <c r="AB712" s="55">
        <f>VLOOKUP(C712,'Preguntas de negocio'!$C$121:$D$127,2,FALSE)</f>
        <v>0.5</v>
      </c>
    </row>
    <row r="713" spans="1:28" x14ac:dyDescent="0.3">
      <c r="A713" s="1">
        <v>45771</v>
      </c>
      <c r="B713" s="2" t="s">
        <v>2635</v>
      </c>
      <c r="C713" s="2" t="s">
        <v>2515</v>
      </c>
      <c r="D713" s="2" t="s">
        <v>2528</v>
      </c>
      <c r="E713" s="2" t="s">
        <v>2529</v>
      </c>
      <c r="F713" s="3">
        <v>38503</v>
      </c>
      <c r="G713" s="3">
        <v>1614</v>
      </c>
      <c r="H713" s="3">
        <v>117</v>
      </c>
      <c r="I713" s="4">
        <v>3054.19</v>
      </c>
      <c r="J713" s="4">
        <v>9729.19</v>
      </c>
      <c r="K713" s="3">
        <v>54</v>
      </c>
      <c r="L713" s="2" t="s">
        <v>2539</v>
      </c>
      <c r="M713" s="2" t="s">
        <v>2519</v>
      </c>
      <c r="N713" s="8">
        <f>IFERROR(G713/F713,0)</f>
        <v>4.1918811521180169E-2</v>
      </c>
      <c r="O713" s="8">
        <f>IFERROR(H713/G713,0)</f>
        <v>7.24907063197026E-2</v>
      </c>
      <c r="P713" s="4">
        <f>IFERROR(I713/G713,0)</f>
        <v>1.8923110285006197</v>
      </c>
      <c r="Q713" s="4">
        <f>IFERROR(I713/H713,0)</f>
        <v>26.104188034188034</v>
      </c>
      <c r="R713" s="12">
        <f>IFERROR(J713/I713,0)</f>
        <v>3.1855221842779922</v>
      </c>
      <c r="S713" s="7">
        <f>Tabla_nuevas_columnas[[#This Row],[ROAS]]</f>
        <v>3.1855221842779922</v>
      </c>
      <c r="T713" t="str">
        <f>_xlfn.CONCAT(C713,"-",D713)</f>
        <v>Email-España</v>
      </c>
      <c r="U713">
        <f>YEAR(A713)</f>
        <v>2025</v>
      </c>
      <c r="V713">
        <f>MONTH(A713)</f>
        <v>4</v>
      </c>
      <c r="W713" t="str">
        <f>PROPER(TEXT(A713,"mmmm"))</f>
        <v>Abril</v>
      </c>
      <c r="X713" t="str">
        <f>PROPER(TEXT(A713,"dddd"))</f>
        <v>Jueves</v>
      </c>
      <c r="Y713" t="str" cm="1">
        <f t="array" ref="Y713">_xlfn.IFS(R713&gt;10,"Excelente",R713&gt;=5,"Bueno",R713&gt;=2,"Débil",R713&lt;2,"Deficiente")</f>
        <v>Débil</v>
      </c>
      <c r="Z713" t="str">
        <f>IF(AND(R713&lt;2,Q713&gt;=100),"Revisar","OK")</f>
        <v>OK</v>
      </c>
      <c r="AA713" s="55">
        <f>_xlfn.XLOOKUP(C713,'Preguntas de negocio'!$C$114:$C$119,'Preguntas de negocio'!$D$114:$D$119,0)</f>
        <v>5.5</v>
      </c>
      <c r="AB713" s="55">
        <f>VLOOKUP(C713,'Preguntas de negocio'!$C$121:$D$127,2,FALSE)</f>
        <v>0.65</v>
      </c>
    </row>
    <row r="714" spans="1:28" x14ac:dyDescent="0.3">
      <c r="A714" s="1">
        <v>46008</v>
      </c>
      <c r="B714" s="2" t="s">
        <v>2630</v>
      </c>
      <c r="C714" s="2" t="s">
        <v>2533</v>
      </c>
      <c r="D714" s="2" t="s">
        <v>2528</v>
      </c>
      <c r="E714" s="2" t="s">
        <v>2529</v>
      </c>
      <c r="F714" s="3">
        <v>11744</v>
      </c>
      <c r="G714" s="3">
        <v>897</v>
      </c>
      <c r="H714" s="3">
        <v>120</v>
      </c>
      <c r="I714" s="4">
        <v>1453.94</v>
      </c>
      <c r="J714" s="4">
        <v>3353.92</v>
      </c>
      <c r="K714" s="3">
        <v>96</v>
      </c>
      <c r="L714" s="2" t="s">
        <v>2536</v>
      </c>
      <c r="M714" s="2" t="s">
        <v>2537</v>
      </c>
      <c r="N714" s="8">
        <f>IFERROR(G714/F714,0)</f>
        <v>7.6379427792915525E-2</v>
      </c>
      <c r="O714" s="8">
        <f>IFERROR(H714/G714,0)</f>
        <v>0.13377926421404682</v>
      </c>
      <c r="P714" s="4">
        <f>IFERROR(I714/G714,0)</f>
        <v>1.620891861761427</v>
      </c>
      <c r="Q714" s="4">
        <f>IFERROR(I714/H714,0)</f>
        <v>12.116166666666667</v>
      </c>
      <c r="R714" s="12">
        <f>IFERROR(J714/I714,0)</f>
        <v>2.3067801972571083</v>
      </c>
      <c r="S714" s="7">
        <f>Tabla_nuevas_columnas[[#This Row],[ROAS]]</f>
        <v>2.3067801972571083</v>
      </c>
      <c r="T714" t="str">
        <f>_xlfn.CONCAT(C714,"-",D714)</f>
        <v>Paid Social-España</v>
      </c>
      <c r="U714">
        <f>YEAR(A714)</f>
        <v>2025</v>
      </c>
      <c r="V714">
        <f>MONTH(A714)</f>
        <v>12</v>
      </c>
      <c r="W714" t="str">
        <f>PROPER(TEXT(A714,"mmmm"))</f>
        <v>Diciembre</v>
      </c>
      <c r="X714" t="str">
        <f>PROPER(TEXT(A714,"dddd"))</f>
        <v>Miércoles</v>
      </c>
      <c r="Y714" t="str" cm="1">
        <f t="array" ref="Y714">_xlfn.IFS(R714&gt;10,"Excelente",R714&gt;=5,"Bueno",R714&gt;=2,"Débil",R714&lt;2,"Deficiente")</f>
        <v>Débil</v>
      </c>
      <c r="Z714" t="str">
        <f>IF(AND(R714&lt;2,Q714&gt;=100),"Revisar","OK")</f>
        <v>OK</v>
      </c>
      <c r="AA714" s="55">
        <f>_xlfn.XLOOKUP(C714,'Preguntas de negocio'!$C$114:$C$119,'Preguntas de negocio'!$D$114:$D$119,0)</f>
        <v>6</v>
      </c>
      <c r="AB714" s="55">
        <f>VLOOKUP(C714,'Preguntas de negocio'!$C$121:$D$127,2,FALSE)</f>
        <v>0.8</v>
      </c>
    </row>
    <row r="715" spans="1:28" x14ac:dyDescent="0.3">
      <c r="A715" s="1">
        <v>45757</v>
      </c>
      <c r="B715" s="2" t="s">
        <v>2627</v>
      </c>
      <c r="C715" s="2" t="s">
        <v>2541</v>
      </c>
      <c r="D715" s="2" t="s">
        <v>2531</v>
      </c>
      <c r="E715" s="2" t="s">
        <v>2529</v>
      </c>
      <c r="F715" s="3">
        <v>158762</v>
      </c>
      <c r="G715" s="3">
        <v>2877</v>
      </c>
      <c r="H715" s="3">
        <v>394</v>
      </c>
      <c r="I715" s="4">
        <v>2254.1999999999998</v>
      </c>
      <c r="J715" s="4">
        <v>9774.61</v>
      </c>
      <c r="K715" s="3">
        <v>238</v>
      </c>
      <c r="L715" s="2" t="s">
        <v>2536</v>
      </c>
      <c r="M715" s="2" t="s">
        <v>2537</v>
      </c>
      <c r="N715" s="8">
        <f>IFERROR(G715/F715,0)</f>
        <v>1.812146483415427E-2</v>
      </c>
      <c r="O715" s="8">
        <f>IFERROR(H715/G715,0)</f>
        <v>0.13694820994091067</v>
      </c>
      <c r="P715" s="4">
        <f>IFERROR(I715/G715,0)</f>
        <v>0.78352450469238788</v>
      </c>
      <c r="Q715" s="4">
        <f>IFERROR(I715/H715,0)</f>
        <v>5.7213197969543144</v>
      </c>
      <c r="R715" s="12">
        <f>IFERROR(J715/I715,0)</f>
        <v>4.3361769142045965</v>
      </c>
      <c r="S715" s="7">
        <f>Tabla_nuevas_columnas[[#This Row],[ROAS]]</f>
        <v>4.3361769142045965</v>
      </c>
      <c r="T715" t="str">
        <f>_xlfn.CONCAT(C715,"-",D715)</f>
        <v>Display-Portugal</v>
      </c>
      <c r="U715">
        <f>YEAR(A715)</f>
        <v>2025</v>
      </c>
      <c r="V715">
        <f>MONTH(A715)</f>
        <v>4</v>
      </c>
      <c r="W715" t="str">
        <f>PROPER(TEXT(A715,"mmmm"))</f>
        <v>Abril</v>
      </c>
      <c r="X715" t="str">
        <f>PROPER(TEXT(A715,"dddd"))</f>
        <v>Jueves</v>
      </c>
      <c r="Y715" t="str" cm="1">
        <f t="array" ref="Y715">_xlfn.IFS(R715&gt;10,"Excelente",R715&gt;=5,"Bueno",R715&gt;=2,"Débil",R715&lt;2,"Deficiente")</f>
        <v>Débil</v>
      </c>
      <c r="Z715" t="str">
        <f>IF(AND(R715&lt;2,Q715&gt;=100),"Revisar","OK")</f>
        <v>OK</v>
      </c>
      <c r="AA715" s="55">
        <f>_xlfn.XLOOKUP(C715,'Preguntas de negocio'!$C$114:$C$119,'Preguntas de negocio'!$D$114:$D$119,0)</f>
        <v>5</v>
      </c>
      <c r="AB715" s="55">
        <f>VLOOKUP(C715,'Preguntas de negocio'!$C$121:$D$127,2,FALSE)</f>
        <v>0.5</v>
      </c>
    </row>
    <row r="716" spans="1:28" x14ac:dyDescent="0.3">
      <c r="A716" s="1">
        <v>45816</v>
      </c>
      <c r="B716" s="2" t="s">
        <v>2633</v>
      </c>
      <c r="C716" s="2" t="s">
        <v>2533</v>
      </c>
      <c r="D716" s="2" t="s">
        <v>2525</v>
      </c>
      <c r="E716" s="2" t="s">
        <v>2517</v>
      </c>
      <c r="F716" s="3">
        <v>70439</v>
      </c>
      <c r="G716" s="3">
        <v>3020</v>
      </c>
      <c r="H716" s="3">
        <v>285</v>
      </c>
      <c r="I716" s="4">
        <v>3072.76</v>
      </c>
      <c r="J716" s="4">
        <v>50081.89</v>
      </c>
      <c r="K716" s="3">
        <v>216</v>
      </c>
      <c r="L716" s="2" t="s">
        <v>2523</v>
      </c>
      <c r="M716" s="2" t="s">
        <v>2546</v>
      </c>
      <c r="N716" s="8">
        <f>IFERROR(G716/F716,0)</f>
        <v>4.2873976064396142E-2</v>
      </c>
      <c r="O716" s="8">
        <f>IFERROR(H716/G716,0)</f>
        <v>9.4370860927152314E-2</v>
      </c>
      <c r="P716" s="4">
        <f>IFERROR(I716/G716,0)</f>
        <v>1.0174701986754968</v>
      </c>
      <c r="Q716" s="4">
        <f>IFERROR(I716/H716,0)</f>
        <v>10.781614035087721</v>
      </c>
      <c r="R716" s="12">
        <f>IFERROR(J716/I716,0)</f>
        <v>16.29866634556555</v>
      </c>
      <c r="S716" s="7">
        <f>Tabla_nuevas_columnas[[#This Row],[ROAS]]</f>
        <v>16.29866634556555</v>
      </c>
      <c r="T716" t="str">
        <f>_xlfn.CONCAT(C716,"-",D716)</f>
        <v>Paid Social-Francia</v>
      </c>
      <c r="U716">
        <f>YEAR(A716)</f>
        <v>2025</v>
      </c>
      <c r="V716">
        <f>MONTH(A716)</f>
        <v>6</v>
      </c>
      <c r="W716" t="str">
        <f>PROPER(TEXT(A716,"mmmm"))</f>
        <v>Junio</v>
      </c>
      <c r="X716" t="str">
        <f>PROPER(TEXT(A716,"dddd"))</f>
        <v>Domingo</v>
      </c>
      <c r="Y716" t="str" cm="1">
        <f t="array" ref="Y716">_xlfn.IFS(R716&gt;10,"Excelente",R716&gt;=5,"Bueno",R716&gt;=2,"Débil",R716&lt;2,"Deficiente")</f>
        <v>Excelente</v>
      </c>
      <c r="Z716" t="str">
        <f>IF(AND(R716&lt;2,Q716&gt;=100),"Revisar","OK")</f>
        <v>OK</v>
      </c>
      <c r="AA716" s="55">
        <f>_xlfn.XLOOKUP(C716,'Preguntas de negocio'!$C$114:$C$119,'Preguntas de negocio'!$D$114:$D$119,0)</f>
        <v>6</v>
      </c>
      <c r="AB716" s="55">
        <f>VLOOKUP(C716,'Preguntas de negocio'!$C$121:$D$127,2,FALSE)</f>
        <v>0.8</v>
      </c>
    </row>
    <row r="717" spans="1:28" x14ac:dyDescent="0.3">
      <c r="A717" s="1">
        <v>45698</v>
      </c>
      <c r="B717" s="2" t="s">
        <v>2643</v>
      </c>
      <c r="C717" s="2" t="s">
        <v>2515</v>
      </c>
      <c r="D717" s="2" t="s">
        <v>2525</v>
      </c>
      <c r="E717" s="2" t="s">
        <v>2529</v>
      </c>
      <c r="F717" s="3">
        <v>139390</v>
      </c>
      <c r="G717" s="3">
        <v>2428</v>
      </c>
      <c r="H717" s="3">
        <v>282</v>
      </c>
      <c r="I717" s="4">
        <v>798.42</v>
      </c>
      <c r="J717" s="4">
        <v>60827.41</v>
      </c>
      <c r="K717" s="3">
        <v>204</v>
      </c>
      <c r="L717" s="2" t="s">
        <v>2536</v>
      </c>
      <c r="M717" s="2" t="s">
        <v>2546</v>
      </c>
      <c r="N717" s="8">
        <f>IFERROR(G717/F717,0)</f>
        <v>1.741875313867566E-2</v>
      </c>
      <c r="O717" s="8">
        <f>IFERROR(H717/G717,0)</f>
        <v>0.11614497528830313</v>
      </c>
      <c r="P717" s="4">
        <f>IFERROR(I717/G717,0)</f>
        <v>0.32883855024711695</v>
      </c>
      <c r="Q717" s="4">
        <f>IFERROR(I717/H717,0)</f>
        <v>2.8312765957446806</v>
      </c>
      <c r="R717" s="12">
        <f>IFERROR(J717/I717,0)</f>
        <v>76.184727336489573</v>
      </c>
      <c r="S717" s="7">
        <f>Tabla_nuevas_columnas[[#This Row],[ROAS]]</f>
        <v>76.184727336489573</v>
      </c>
      <c r="T717" t="str">
        <f>_xlfn.CONCAT(C717,"-",D717)</f>
        <v>Email-Francia</v>
      </c>
      <c r="U717">
        <f>YEAR(A717)</f>
        <v>2025</v>
      </c>
      <c r="V717">
        <f>MONTH(A717)</f>
        <v>2</v>
      </c>
      <c r="W717" t="str">
        <f>PROPER(TEXT(A717,"mmmm"))</f>
        <v>Febrero</v>
      </c>
      <c r="X717" t="str">
        <f>PROPER(TEXT(A717,"dddd"))</f>
        <v>Lunes</v>
      </c>
      <c r="Y717" t="str" cm="1">
        <f t="array" ref="Y717">_xlfn.IFS(R717&gt;10,"Excelente",R717&gt;=5,"Bueno",R717&gt;=2,"Débil",R717&lt;2,"Deficiente")</f>
        <v>Excelente</v>
      </c>
      <c r="Z717" t="str">
        <f>IF(AND(R717&lt;2,Q717&gt;=100),"Revisar","OK")</f>
        <v>OK</v>
      </c>
      <c r="AA717" s="55">
        <f>_xlfn.XLOOKUP(C717,'Preguntas de negocio'!$C$114:$C$119,'Preguntas de negocio'!$D$114:$D$119,0)</f>
        <v>5.5</v>
      </c>
      <c r="AB717" s="55">
        <f>VLOOKUP(C717,'Preguntas de negocio'!$C$121:$D$127,2,FALSE)</f>
        <v>0.65</v>
      </c>
    </row>
    <row r="718" spans="1:28" x14ac:dyDescent="0.3">
      <c r="A718" s="1">
        <v>45931</v>
      </c>
      <c r="B718" s="2" t="s">
        <v>2619</v>
      </c>
      <c r="C718" s="2" t="s">
        <v>2527</v>
      </c>
      <c r="D718" s="2" t="s">
        <v>2522</v>
      </c>
      <c r="E718" s="2" t="s">
        <v>2517</v>
      </c>
      <c r="F718" s="3">
        <v>83329</v>
      </c>
      <c r="G718" s="3">
        <v>4118</v>
      </c>
      <c r="H718" s="3">
        <v>295</v>
      </c>
      <c r="I718" s="4">
        <v>5296.06</v>
      </c>
      <c r="J718" s="4">
        <v>64681.17</v>
      </c>
      <c r="K718" s="3">
        <v>175</v>
      </c>
      <c r="L718" s="2" t="s">
        <v>2536</v>
      </c>
      <c r="M718" s="2" t="s">
        <v>2526</v>
      </c>
      <c r="N718" s="8">
        <f>IFERROR(G718/F718,0)</f>
        <v>4.9418569765627814E-2</v>
      </c>
      <c r="O718" s="8">
        <f>IFERROR(H718/G718,0)</f>
        <v>7.163671685284119E-2</v>
      </c>
      <c r="P718" s="4">
        <f>IFERROR(I718/G718,0)</f>
        <v>1.2860757649344343</v>
      </c>
      <c r="Q718" s="4">
        <f>IFERROR(I718/H718,0)</f>
        <v>17.952745762711867</v>
      </c>
      <c r="R718" s="12">
        <f>IFERROR(J718/I718,0)</f>
        <v>12.213073492369798</v>
      </c>
      <c r="S718" s="7">
        <f>Tabla_nuevas_columnas[[#This Row],[ROAS]]</f>
        <v>12.213073492369798</v>
      </c>
      <c r="T718" t="str">
        <f>_xlfn.CONCAT(C718,"-",D718)</f>
        <v>Affiliate-Italia</v>
      </c>
      <c r="U718">
        <f>YEAR(A718)</f>
        <v>2025</v>
      </c>
      <c r="V718">
        <f>MONTH(A718)</f>
        <v>10</v>
      </c>
      <c r="W718" t="str">
        <f>PROPER(TEXT(A718,"mmmm"))</f>
        <v>Octubre</v>
      </c>
      <c r="X718" t="str">
        <f>PROPER(TEXT(A718,"dddd"))</f>
        <v>Miércoles</v>
      </c>
      <c r="Y718" t="str" cm="1">
        <f t="array" ref="Y718">_xlfn.IFS(R718&gt;10,"Excelente",R718&gt;=5,"Bueno",R718&gt;=2,"Débil",R718&lt;2,"Deficiente")</f>
        <v>Excelente</v>
      </c>
      <c r="Z718" t="str">
        <f>IF(AND(R718&lt;2,Q718&gt;=100),"Revisar","OK")</f>
        <v>OK</v>
      </c>
      <c r="AA718" s="55">
        <f>_xlfn.XLOOKUP(C718,'Preguntas de negocio'!$C$114:$C$119,'Preguntas de negocio'!$D$114:$D$119,0)</f>
        <v>4.5</v>
      </c>
      <c r="AB718" s="55">
        <f>VLOOKUP(C718,'Preguntas de negocio'!$C$121:$D$127,2,FALSE)</f>
        <v>0.35</v>
      </c>
    </row>
    <row r="719" spans="1:28" x14ac:dyDescent="0.3">
      <c r="A719" s="1">
        <v>45924</v>
      </c>
      <c r="B719" s="2" t="s">
        <v>2632</v>
      </c>
      <c r="C719" s="2" t="s">
        <v>2527</v>
      </c>
      <c r="D719" s="2" t="s">
        <v>2516</v>
      </c>
      <c r="E719" s="2" t="s">
        <v>2517</v>
      </c>
      <c r="F719" s="3">
        <v>144675</v>
      </c>
      <c r="G719" s="3">
        <v>2845</v>
      </c>
      <c r="H719" s="3">
        <v>294</v>
      </c>
      <c r="I719" s="4">
        <v>4611.5</v>
      </c>
      <c r="J719" s="4">
        <v>27756.52</v>
      </c>
      <c r="K719" s="3">
        <v>142</v>
      </c>
      <c r="L719" s="2" t="s">
        <v>2523</v>
      </c>
      <c r="M719" s="2" t="s">
        <v>2519</v>
      </c>
      <c r="N719" s="8">
        <f>IFERROR(G719/F719,0)</f>
        <v>1.966476585450147E-2</v>
      </c>
      <c r="O719" s="8">
        <f>IFERROR(H719/G719,0)</f>
        <v>0.10333919156414763</v>
      </c>
      <c r="P719" s="4">
        <f>IFERROR(I719/G719,0)</f>
        <v>1.6209138840070298</v>
      </c>
      <c r="Q719" s="4">
        <f>IFERROR(I719/H719,0)</f>
        <v>15.685374149659864</v>
      </c>
      <c r="R719" s="12">
        <f>IFERROR(J719/I719,0)</f>
        <v>6.0189786403556331</v>
      </c>
      <c r="S719" s="7">
        <f>Tabla_nuevas_columnas[[#This Row],[ROAS]]</f>
        <v>6.0189786403556331</v>
      </c>
      <c r="T719" t="str">
        <f>_xlfn.CONCAT(C719,"-",D719)</f>
        <v>Affiliate-México</v>
      </c>
      <c r="U719">
        <f>YEAR(A719)</f>
        <v>2025</v>
      </c>
      <c r="V719">
        <f>MONTH(A719)</f>
        <v>9</v>
      </c>
      <c r="W719" t="str">
        <f>PROPER(TEXT(A719,"mmmm"))</f>
        <v>Septiembre</v>
      </c>
      <c r="X719" t="str">
        <f>PROPER(TEXT(A719,"dddd"))</f>
        <v>Miércoles</v>
      </c>
      <c r="Y719" t="str" cm="1">
        <f t="array" ref="Y719">_xlfn.IFS(R719&gt;10,"Excelente",R719&gt;=5,"Bueno",R719&gt;=2,"Débil",R719&lt;2,"Deficiente")</f>
        <v>Bueno</v>
      </c>
      <c r="Z719" t="str">
        <f>IF(AND(R719&lt;2,Q719&gt;=100),"Revisar","OK")</f>
        <v>OK</v>
      </c>
      <c r="AA719" s="55">
        <f>_xlfn.XLOOKUP(C719,'Preguntas de negocio'!$C$114:$C$119,'Preguntas de negocio'!$D$114:$D$119,0)</f>
        <v>4.5</v>
      </c>
      <c r="AB719" s="55">
        <f>VLOOKUP(C719,'Preguntas de negocio'!$C$121:$D$127,2,FALSE)</f>
        <v>0.35</v>
      </c>
    </row>
    <row r="720" spans="1:28" x14ac:dyDescent="0.3">
      <c r="A720" s="1">
        <v>45799</v>
      </c>
      <c r="B720" s="2" t="s">
        <v>2629</v>
      </c>
      <c r="C720" s="2" t="s">
        <v>2527</v>
      </c>
      <c r="D720" s="2" t="s">
        <v>2531</v>
      </c>
      <c r="E720" s="2" t="s">
        <v>2517</v>
      </c>
      <c r="F720" s="3">
        <v>25946</v>
      </c>
      <c r="G720" s="3">
        <v>679</v>
      </c>
      <c r="H720" s="3">
        <v>94</v>
      </c>
      <c r="I720" s="4">
        <v>785.09</v>
      </c>
      <c r="J720" s="4">
        <v>14844.03</v>
      </c>
      <c r="K720" s="3">
        <v>48</v>
      </c>
      <c r="L720" s="2" t="s">
        <v>2518</v>
      </c>
      <c r="M720" s="2" t="s">
        <v>2537</v>
      </c>
      <c r="N720" s="8">
        <f>IFERROR(G720/F720,0)</f>
        <v>2.6169737146380944E-2</v>
      </c>
      <c r="O720" s="8">
        <f>IFERROR(H720/G720,0)</f>
        <v>0.13843888070692195</v>
      </c>
      <c r="P720" s="4">
        <f>IFERROR(I720/G720,0)</f>
        <v>1.1562444771723124</v>
      </c>
      <c r="Q720" s="4">
        <f>IFERROR(I720/H720,0)</f>
        <v>8.3520212765957442</v>
      </c>
      <c r="R720" s="12">
        <f>IFERROR(J720/I720,0)</f>
        <v>18.907424626475944</v>
      </c>
      <c r="S720" s="7">
        <f>Tabla_nuevas_columnas[[#This Row],[ROAS]]</f>
        <v>18.907424626475944</v>
      </c>
      <c r="T720" t="str">
        <f>_xlfn.CONCAT(C720,"-",D720)</f>
        <v>Affiliate-Portugal</v>
      </c>
      <c r="U720">
        <f>YEAR(A720)</f>
        <v>2025</v>
      </c>
      <c r="V720">
        <f>MONTH(A720)</f>
        <v>5</v>
      </c>
      <c r="W720" t="str">
        <f>PROPER(TEXT(A720,"mmmm"))</f>
        <v>Mayo</v>
      </c>
      <c r="X720" t="str">
        <f>PROPER(TEXT(A720,"dddd"))</f>
        <v>Jueves</v>
      </c>
      <c r="Y720" t="str" cm="1">
        <f t="array" ref="Y720">_xlfn.IFS(R720&gt;10,"Excelente",R720&gt;=5,"Bueno",R720&gt;=2,"Débil",R720&lt;2,"Deficiente")</f>
        <v>Excelente</v>
      </c>
      <c r="Z720" t="str">
        <f>IF(AND(R720&lt;2,Q720&gt;=100),"Revisar","OK")</f>
        <v>OK</v>
      </c>
      <c r="AA720" s="55">
        <f>_xlfn.XLOOKUP(C720,'Preguntas de negocio'!$C$114:$C$119,'Preguntas de negocio'!$D$114:$D$119,0)</f>
        <v>4.5</v>
      </c>
      <c r="AB720" s="55">
        <f>VLOOKUP(C720,'Preguntas de negocio'!$C$121:$D$127,2,FALSE)</f>
        <v>0.35</v>
      </c>
    </row>
    <row r="721" spans="1:28" x14ac:dyDescent="0.3">
      <c r="A721" s="1">
        <v>45959</v>
      </c>
      <c r="B721" s="2" t="s">
        <v>2615</v>
      </c>
      <c r="C721" s="2" t="s">
        <v>2533</v>
      </c>
      <c r="D721" s="2" t="s">
        <v>2516</v>
      </c>
      <c r="E721" s="2" t="s">
        <v>2529</v>
      </c>
      <c r="F721" s="3">
        <v>143247</v>
      </c>
      <c r="G721" s="3">
        <v>3851</v>
      </c>
      <c r="H721" s="3">
        <v>426</v>
      </c>
      <c r="I721" s="4">
        <v>6567.88</v>
      </c>
      <c r="J721" s="4">
        <v>66057.87</v>
      </c>
      <c r="K721" s="3">
        <v>360</v>
      </c>
      <c r="L721" s="2" t="s">
        <v>2536</v>
      </c>
      <c r="M721" s="2" t="s">
        <v>2519</v>
      </c>
      <c r="N721" s="8">
        <f>IFERROR(G721/F721,0)</f>
        <v>2.688363456128226E-2</v>
      </c>
      <c r="O721" s="8">
        <f>IFERROR(H721/G721,0)</f>
        <v>0.11062061802129317</v>
      </c>
      <c r="P721" s="4">
        <f>IFERROR(I721/G721,0)</f>
        <v>1.7054998701635939</v>
      </c>
      <c r="Q721" s="4">
        <f>IFERROR(I721/H721,0)</f>
        <v>15.417558685446009</v>
      </c>
      <c r="R721" s="12">
        <f>IFERROR(J721/I721,0)</f>
        <v>10.057715731712515</v>
      </c>
      <c r="S721" s="7">
        <f>Tabla_nuevas_columnas[[#This Row],[ROAS]]</f>
        <v>10.057715731712515</v>
      </c>
      <c r="T721" t="str">
        <f>_xlfn.CONCAT(C721,"-",D721)</f>
        <v>Paid Social-México</v>
      </c>
      <c r="U721">
        <f>YEAR(A721)</f>
        <v>2025</v>
      </c>
      <c r="V721">
        <f>MONTH(A721)</f>
        <v>10</v>
      </c>
      <c r="W721" t="str">
        <f>PROPER(TEXT(A721,"mmmm"))</f>
        <v>Octubre</v>
      </c>
      <c r="X721" t="str">
        <f>PROPER(TEXT(A721,"dddd"))</f>
        <v>Miércoles</v>
      </c>
      <c r="Y721" t="str" cm="1">
        <f t="array" ref="Y721">_xlfn.IFS(R721&gt;10,"Excelente",R721&gt;=5,"Bueno",R721&gt;=2,"Débil",R721&lt;2,"Deficiente")</f>
        <v>Excelente</v>
      </c>
      <c r="Z721" t="str">
        <f>IF(AND(R721&lt;2,Q721&gt;=100),"Revisar","OK")</f>
        <v>OK</v>
      </c>
      <c r="AA721" s="55">
        <f>_xlfn.XLOOKUP(C721,'Preguntas de negocio'!$C$114:$C$119,'Preguntas de negocio'!$D$114:$D$119,0)</f>
        <v>6</v>
      </c>
      <c r="AB721" s="55">
        <f>VLOOKUP(C721,'Preguntas de negocio'!$C$121:$D$127,2,FALSE)</f>
        <v>0.8</v>
      </c>
    </row>
    <row r="722" spans="1:28" x14ac:dyDescent="0.3">
      <c r="A722" s="1">
        <v>45992</v>
      </c>
      <c r="B722" s="2" t="s">
        <v>2637</v>
      </c>
      <c r="C722" s="2" t="s">
        <v>2543</v>
      </c>
      <c r="D722" s="2" t="s">
        <v>2525</v>
      </c>
      <c r="E722" s="2" t="s">
        <v>2529</v>
      </c>
      <c r="F722" s="3">
        <v>46246</v>
      </c>
      <c r="G722" s="3">
        <v>3300</v>
      </c>
      <c r="H722" s="3">
        <v>92</v>
      </c>
      <c r="I722" s="4">
        <v>6353.65</v>
      </c>
      <c r="J722" s="4">
        <v>18476.07</v>
      </c>
      <c r="K722" s="3">
        <v>45</v>
      </c>
      <c r="L722" s="2" t="s">
        <v>2523</v>
      </c>
      <c r="M722" s="2" t="s">
        <v>2524</v>
      </c>
      <c r="N722" s="8">
        <f>IFERROR(G722/F722,0)</f>
        <v>7.1357522812783805E-2</v>
      </c>
      <c r="O722" s="8">
        <f>IFERROR(H722/G722,0)</f>
        <v>2.7878787878787878E-2</v>
      </c>
      <c r="P722" s="4">
        <f>IFERROR(I722/G722,0)</f>
        <v>1.9253484848484848</v>
      </c>
      <c r="Q722" s="4">
        <f>IFERROR(I722/H722,0)</f>
        <v>69.061413043478254</v>
      </c>
      <c r="R722" s="12">
        <f>IFERROR(J722/I722,0)</f>
        <v>2.9079458264147382</v>
      </c>
      <c r="S722" s="7">
        <f>Tabla_nuevas_columnas[[#This Row],[ROAS]]</f>
        <v>2.9079458264147382</v>
      </c>
      <c r="T722" t="str">
        <f>_xlfn.CONCAT(C722,"-",D722)</f>
        <v>Organic Social-Francia</v>
      </c>
      <c r="U722">
        <f>YEAR(A722)</f>
        <v>2025</v>
      </c>
      <c r="V722">
        <f>MONTH(A722)</f>
        <v>12</v>
      </c>
      <c r="W722" t="str">
        <f>PROPER(TEXT(A722,"mmmm"))</f>
        <v>Diciembre</v>
      </c>
      <c r="X722" t="str">
        <f>PROPER(TEXT(A722,"dddd"))</f>
        <v>Lunes</v>
      </c>
      <c r="Y722" t="str" cm="1">
        <f t="array" ref="Y722">_xlfn.IFS(R722&gt;10,"Excelente",R722&gt;=5,"Bueno",R722&gt;=2,"Débil",R722&lt;2,"Deficiente")</f>
        <v>Débil</v>
      </c>
      <c r="Z722" t="str">
        <f>IF(AND(R722&lt;2,Q722&gt;=100),"Revisar","OK")</f>
        <v>OK</v>
      </c>
      <c r="AA722" s="55">
        <f>_xlfn.XLOOKUP(C722,'Preguntas de negocio'!$C$114:$C$119,'Preguntas de negocio'!$D$114:$D$119,0)</f>
        <v>4</v>
      </c>
      <c r="AB722" s="55">
        <f>VLOOKUP(C722,'Preguntas de negocio'!$C$121:$D$127,2,FALSE)</f>
        <v>0.95</v>
      </c>
    </row>
    <row r="723" spans="1:28" x14ac:dyDescent="0.3">
      <c r="A723" s="1">
        <v>45861</v>
      </c>
      <c r="B723" s="2" t="s">
        <v>2623</v>
      </c>
      <c r="C723" s="2" t="s">
        <v>2533</v>
      </c>
      <c r="D723" s="2" t="s">
        <v>2528</v>
      </c>
      <c r="E723" s="2" t="s">
        <v>2529</v>
      </c>
      <c r="F723" s="3">
        <v>101042</v>
      </c>
      <c r="G723" s="3">
        <v>3646</v>
      </c>
      <c r="H723" s="3">
        <v>68</v>
      </c>
      <c r="I723" s="4">
        <v>1267.02</v>
      </c>
      <c r="J723" s="4">
        <v>6990.29</v>
      </c>
      <c r="K723" s="3">
        <v>51</v>
      </c>
      <c r="L723" s="2" t="s">
        <v>2523</v>
      </c>
      <c r="M723" s="2" t="s">
        <v>2526</v>
      </c>
      <c r="N723" s="8">
        <f>IFERROR(G723/F723,0)</f>
        <v>3.6084004671324797E-2</v>
      </c>
      <c r="O723" s="8">
        <f>IFERROR(H723/G723,0)</f>
        <v>1.8650575973669776E-2</v>
      </c>
      <c r="P723" s="4">
        <f>IFERROR(I723/G723,0)</f>
        <v>0.3475095995611629</v>
      </c>
      <c r="Q723" s="4">
        <f>IFERROR(I723/H723,0)</f>
        <v>18.63264705882353</v>
      </c>
      <c r="R723" s="12">
        <f>IFERROR(J723/I723,0)</f>
        <v>5.5171110164006887</v>
      </c>
      <c r="S723" s="7">
        <f>Tabla_nuevas_columnas[[#This Row],[ROAS]]</f>
        <v>5.5171110164006887</v>
      </c>
      <c r="T723" t="str">
        <f>_xlfn.CONCAT(C723,"-",D723)</f>
        <v>Paid Social-España</v>
      </c>
      <c r="U723">
        <f>YEAR(A723)</f>
        <v>2025</v>
      </c>
      <c r="V723">
        <f>MONTH(A723)</f>
        <v>7</v>
      </c>
      <c r="W723" t="str">
        <f>PROPER(TEXT(A723,"mmmm"))</f>
        <v>Julio</v>
      </c>
      <c r="X723" t="str">
        <f>PROPER(TEXT(A723,"dddd"))</f>
        <v>Miércoles</v>
      </c>
      <c r="Y723" t="str" cm="1">
        <f t="array" ref="Y723">_xlfn.IFS(R723&gt;10,"Excelente",R723&gt;=5,"Bueno",R723&gt;=2,"Débil",R723&lt;2,"Deficiente")</f>
        <v>Bueno</v>
      </c>
      <c r="Z723" t="str">
        <f>IF(AND(R723&lt;2,Q723&gt;=100),"Revisar","OK")</f>
        <v>OK</v>
      </c>
      <c r="AA723" s="55">
        <f>_xlfn.XLOOKUP(C723,'Preguntas de negocio'!$C$114:$C$119,'Preguntas de negocio'!$D$114:$D$119,0)</f>
        <v>6</v>
      </c>
      <c r="AB723" s="55">
        <f>VLOOKUP(C723,'Preguntas de negocio'!$C$121:$D$127,2,FALSE)</f>
        <v>0.8</v>
      </c>
    </row>
    <row r="724" spans="1:28" x14ac:dyDescent="0.3">
      <c r="A724" s="1">
        <v>45843</v>
      </c>
      <c r="B724" s="2" t="s">
        <v>2622</v>
      </c>
      <c r="C724" s="2" t="s">
        <v>2543</v>
      </c>
      <c r="D724" s="2" t="s">
        <v>2516</v>
      </c>
      <c r="E724" s="2" t="s">
        <v>2517</v>
      </c>
      <c r="F724" s="3">
        <v>50040</v>
      </c>
      <c r="G724" s="3">
        <v>1259</v>
      </c>
      <c r="H724" s="3">
        <v>139</v>
      </c>
      <c r="I724" s="4">
        <v>1706.27</v>
      </c>
      <c r="J724" s="4">
        <v>10810.01</v>
      </c>
      <c r="K724" s="3">
        <v>95</v>
      </c>
      <c r="L724" s="2" t="s">
        <v>2536</v>
      </c>
      <c r="M724" s="2" t="s">
        <v>2519</v>
      </c>
      <c r="N724" s="8">
        <f>IFERROR(G724/F724,0)</f>
        <v>2.5159872102318147E-2</v>
      </c>
      <c r="O724" s="8">
        <f>IFERROR(H724/G724,0)</f>
        <v>0.11040508339952343</v>
      </c>
      <c r="P724" s="4">
        <f>IFERROR(I724/G724,0)</f>
        <v>1.3552581413820493</v>
      </c>
      <c r="Q724" s="4">
        <f>IFERROR(I724/H724,0)</f>
        <v>12.275323741007194</v>
      </c>
      <c r="R724" s="12">
        <f>IFERROR(J724/I724,0)</f>
        <v>6.3354627345027463</v>
      </c>
      <c r="S724" s="7">
        <f>Tabla_nuevas_columnas[[#This Row],[ROAS]]</f>
        <v>6.3354627345027463</v>
      </c>
      <c r="T724" t="str">
        <f>_xlfn.CONCAT(C724,"-",D724)</f>
        <v>Organic Social-México</v>
      </c>
      <c r="U724">
        <f>YEAR(A724)</f>
        <v>2025</v>
      </c>
      <c r="V724">
        <f>MONTH(A724)</f>
        <v>7</v>
      </c>
      <c r="W724" t="str">
        <f>PROPER(TEXT(A724,"mmmm"))</f>
        <v>Julio</v>
      </c>
      <c r="X724" t="str">
        <f>PROPER(TEXT(A724,"dddd"))</f>
        <v>Sábado</v>
      </c>
      <c r="Y724" t="str" cm="1">
        <f t="array" ref="Y724">_xlfn.IFS(R724&gt;10,"Excelente",R724&gt;=5,"Bueno",R724&gt;=2,"Débil",R724&lt;2,"Deficiente")</f>
        <v>Bueno</v>
      </c>
      <c r="Z724" t="str">
        <f>IF(AND(R724&lt;2,Q724&gt;=100),"Revisar","OK")</f>
        <v>OK</v>
      </c>
      <c r="AA724" s="55">
        <f>_xlfn.XLOOKUP(C724,'Preguntas de negocio'!$C$114:$C$119,'Preguntas de negocio'!$D$114:$D$119,0)</f>
        <v>4</v>
      </c>
      <c r="AB724" s="55">
        <f>VLOOKUP(C724,'Preguntas de negocio'!$C$121:$D$127,2,FALSE)</f>
        <v>0.95</v>
      </c>
    </row>
    <row r="725" spans="1:28" x14ac:dyDescent="0.3">
      <c r="A725" s="1">
        <v>45909</v>
      </c>
      <c r="B725" s="2" t="s">
        <v>2643</v>
      </c>
      <c r="C725" s="2" t="s">
        <v>2533</v>
      </c>
      <c r="D725" s="2" t="s">
        <v>2528</v>
      </c>
      <c r="E725" s="2" t="s">
        <v>2517</v>
      </c>
      <c r="F725" s="3">
        <v>27535</v>
      </c>
      <c r="G725" s="3">
        <v>1096</v>
      </c>
      <c r="H725" s="3">
        <v>102</v>
      </c>
      <c r="I725" s="4">
        <v>2110.41</v>
      </c>
      <c r="J725" s="4">
        <v>14556.7</v>
      </c>
      <c r="K725" s="3">
        <v>88</v>
      </c>
      <c r="L725" s="2" t="s">
        <v>2539</v>
      </c>
      <c r="M725" s="2" t="s">
        <v>2546</v>
      </c>
      <c r="N725" s="8">
        <f>IFERROR(G725/F725,0)</f>
        <v>3.9803885963319414E-2</v>
      </c>
      <c r="O725" s="8">
        <f>IFERROR(H725/G725,0)</f>
        <v>9.3065693430656932E-2</v>
      </c>
      <c r="P725" s="4">
        <f>IFERROR(I725/G725,0)</f>
        <v>1.9255565693430656</v>
      </c>
      <c r="Q725" s="4">
        <f>IFERROR(I725/H725,0)</f>
        <v>20.690294117647056</v>
      </c>
      <c r="R725" s="12">
        <f>IFERROR(J725/I725,0)</f>
        <v>6.8975696665576836</v>
      </c>
      <c r="S725" s="7">
        <f>Tabla_nuevas_columnas[[#This Row],[ROAS]]</f>
        <v>6.8975696665576836</v>
      </c>
      <c r="T725" t="str">
        <f>_xlfn.CONCAT(C725,"-",D725)</f>
        <v>Paid Social-España</v>
      </c>
      <c r="U725">
        <f>YEAR(A725)</f>
        <v>2025</v>
      </c>
      <c r="V725">
        <f>MONTH(A725)</f>
        <v>9</v>
      </c>
      <c r="W725" t="str">
        <f>PROPER(TEXT(A725,"mmmm"))</f>
        <v>Septiembre</v>
      </c>
      <c r="X725" t="str">
        <f>PROPER(TEXT(A725,"dddd"))</f>
        <v>Martes</v>
      </c>
      <c r="Y725" t="str" cm="1">
        <f t="array" ref="Y725">_xlfn.IFS(R725&gt;10,"Excelente",R725&gt;=5,"Bueno",R725&gt;=2,"Débil",R725&lt;2,"Deficiente")</f>
        <v>Bueno</v>
      </c>
      <c r="Z725" t="str">
        <f>IF(AND(R725&lt;2,Q725&gt;=100),"Revisar","OK")</f>
        <v>OK</v>
      </c>
      <c r="AA725" s="55">
        <f>_xlfn.XLOOKUP(C725,'Preguntas de negocio'!$C$114:$C$119,'Preguntas de negocio'!$D$114:$D$119,0)</f>
        <v>6</v>
      </c>
      <c r="AB725" s="55">
        <f>VLOOKUP(C725,'Preguntas de negocio'!$C$121:$D$127,2,FALSE)</f>
        <v>0.8</v>
      </c>
    </row>
    <row r="726" spans="1:28" x14ac:dyDescent="0.3">
      <c r="A726" s="1">
        <v>45770</v>
      </c>
      <c r="B726" s="2" t="s">
        <v>2625</v>
      </c>
      <c r="C726" s="2" t="s">
        <v>2543</v>
      </c>
      <c r="D726" s="2" t="s">
        <v>2528</v>
      </c>
      <c r="E726" s="2" t="s">
        <v>2534</v>
      </c>
      <c r="F726" s="3">
        <v>135863</v>
      </c>
      <c r="G726" s="3">
        <v>7737</v>
      </c>
      <c r="H726" s="3">
        <v>610</v>
      </c>
      <c r="I726" s="4">
        <v>3671.31</v>
      </c>
      <c r="J726" s="4">
        <v>102362.6</v>
      </c>
      <c r="K726" s="3">
        <v>296</v>
      </c>
      <c r="L726" s="2" t="s">
        <v>2539</v>
      </c>
      <c r="M726" s="2" t="s">
        <v>2537</v>
      </c>
      <c r="N726" s="8">
        <f>IFERROR(G726/F726,0)</f>
        <v>5.6947071682503701E-2</v>
      </c>
      <c r="O726" s="8">
        <f>IFERROR(H726/G726,0)</f>
        <v>7.8841928396019126E-2</v>
      </c>
      <c r="P726" s="4">
        <f>IFERROR(I726/G726,0)</f>
        <v>0.47451337727801474</v>
      </c>
      <c r="Q726" s="4">
        <f>IFERROR(I726/H726,0)</f>
        <v>6.0185409836065569</v>
      </c>
      <c r="R726" s="12">
        <f>IFERROR(J726/I726,0)</f>
        <v>27.881764274877362</v>
      </c>
      <c r="S726" s="7">
        <f>Tabla_nuevas_columnas[[#This Row],[ROAS]]</f>
        <v>27.881764274877362</v>
      </c>
      <c r="T726" t="str">
        <f>_xlfn.CONCAT(C726,"-",D726)</f>
        <v>Organic Social-España</v>
      </c>
      <c r="U726">
        <f>YEAR(A726)</f>
        <v>2025</v>
      </c>
      <c r="V726">
        <f>MONTH(A726)</f>
        <v>4</v>
      </c>
      <c r="W726" t="str">
        <f>PROPER(TEXT(A726,"mmmm"))</f>
        <v>Abril</v>
      </c>
      <c r="X726" t="str">
        <f>PROPER(TEXT(A726,"dddd"))</f>
        <v>Miércoles</v>
      </c>
      <c r="Y726" t="str" cm="1">
        <f t="array" ref="Y726">_xlfn.IFS(R726&gt;10,"Excelente",R726&gt;=5,"Bueno",R726&gt;=2,"Débil",R726&lt;2,"Deficiente")</f>
        <v>Excelente</v>
      </c>
      <c r="Z726" t="str">
        <f>IF(AND(R726&lt;2,Q726&gt;=100),"Revisar","OK")</f>
        <v>OK</v>
      </c>
      <c r="AA726" s="55">
        <f>_xlfn.XLOOKUP(C726,'Preguntas de negocio'!$C$114:$C$119,'Preguntas de negocio'!$D$114:$D$119,0)</f>
        <v>4</v>
      </c>
      <c r="AB726" s="55">
        <f>VLOOKUP(C726,'Preguntas de negocio'!$C$121:$D$127,2,FALSE)</f>
        <v>0.95</v>
      </c>
    </row>
    <row r="727" spans="1:28" x14ac:dyDescent="0.3">
      <c r="A727" s="1">
        <v>45922</v>
      </c>
      <c r="B727" s="2" t="s">
        <v>2634</v>
      </c>
      <c r="C727" s="2" t="s">
        <v>2543</v>
      </c>
      <c r="D727" s="2" t="s">
        <v>2531</v>
      </c>
      <c r="E727" s="2" t="s">
        <v>2534</v>
      </c>
      <c r="F727" s="3">
        <v>65094</v>
      </c>
      <c r="G727" s="3">
        <v>1450</v>
      </c>
      <c r="H727" s="3">
        <v>191</v>
      </c>
      <c r="I727" s="4">
        <v>1850.3</v>
      </c>
      <c r="J727" s="4">
        <v>15422.98</v>
      </c>
      <c r="K727" s="3">
        <v>163</v>
      </c>
      <c r="L727" s="2" t="s">
        <v>2539</v>
      </c>
      <c r="M727" s="2" t="s">
        <v>2526</v>
      </c>
      <c r="N727" s="8">
        <f>IFERROR(G727/F727,0)</f>
        <v>2.2275478538728608E-2</v>
      </c>
      <c r="O727" s="8">
        <f>IFERROR(H727/G727,0)</f>
        <v>0.13172413793103449</v>
      </c>
      <c r="P727" s="4">
        <f>IFERROR(I727/G727,0)</f>
        <v>1.2760689655172412</v>
      </c>
      <c r="Q727" s="4">
        <f>IFERROR(I727/H727,0)</f>
        <v>9.6874345549738212</v>
      </c>
      <c r="R727" s="12">
        <f>IFERROR(J727/I727,0)</f>
        <v>8.3353942603902063</v>
      </c>
      <c r="S727" s="7">
        <f>Tabla_nuevas_columnas[[#This Row],[ROAS]]</f>
        <v>8.3353942603902063</v>
      </c>
      <c r="T727" t="str">
        <f>_xlfn.CONCAT(C727,"-",D727)</f>
        <v>Organic Social-Portugal</v>
      </c>
      <c r="U727">
        <f>YEAR(A727)</f>
        <v>2025</v>
      </c>
      <c r="V727">
        <f>MONTH(A727)</f>
        <v>9</v>
      </c>
      <c r="W727" t="str">
        <f>PROPER(TEXT(A727,"mmmm"))</f>
        <v>Septiembre</v>
      </c>
      <c r="X727" t="str">
        <f>PROPER(TEXT(A727,"dddd"))</f>
        <v>Lunes</v>
      </c>
      <c r="Y727" t="str" cm="1">
        <f t="array" ref="Y727">_xlfn.IFS(R727&gt;10,"Excelente",R727&gt;=5,"Bueno",R727&gt;=2,"Débil",R727&lt;2,"Deficiente")</f>
        <v>Bueno</v>
      </c>
      <c r="Z727" t="str">
        <f>IF(AND(R727&lt;2,Q727&gt;=100),"Revisar","OK")</f>
        <v>OK</v>
      </c>
      <c r="AA727" s="55">
        <f>_xlfn.XLOOKUP(C727,'Preguntas de negocio'!$C$114:$C$119,'Preguntas de negocio'!$D$114:$D$119,0)</f>
        <v>4</v>
      </c>
      <c r="AB727" s="55">
        <f>VLOOKUP(C727,'Preguntas de negocio'!$C$121:$D$127,2,FALSE)</f>
        <v>0.95</v>
      </c>
    </row>
    <row r="728" spans="1:28" x14ac:dyDescent="0.3">
      <c r="A728" s="1">
        <v>45956</v>
      </c>
      <c r="B728" s="2" t="s">
        <v>2639</v>
      </c>
      <c r="C728" s="2" t="s">
        <v>2541</v>
      </c>
      <c r="D728" s="2" t="s">
        <v>2516</v>
      </c>
      <c r="E728" s="2" t="s">
        <v>2534</v>
      </c>
      <c r="F728" s="3">
        <v>46578</v>
      </c>
      <c r="G728" s="3">
        <v>1781</v>
      </c>
      <c r="H728" s="3">
        <v>113</v>
      </c>
      <c r="I728" s="4">
        <v>3522.64</v>
      </c>
      <c r="J728" s="4">
        <v>10737.39</v>
      </c>
      <c r="K728" s="3">
        <v>66</v>
      </c>
      <c r="L728" s="2" t="s">
        <v>2518</v>
      </c>
      <c r="M728" s="2" t="s">
        <v>2519</v>
      </c>
      <c r="N728" s="8">
        <f>IFERROR(G728/F728,0)</f>
        <v>3.8236935892481429E-2</v>
      </c>
      <c r="O728" s="8">
        <f>IFERROR(H728/G728,0)</f>
        <v>6.3447501403705781E-2</v>
      </c>
      <c r="P728" s="4">
        <f>IFERROR(I728/G728,0)</f>
        <v>1.9779000561482312</v>
      </c>
      <c r="Q728" s="4">
        <f>IFERROR(I728/H728,0)</f>
        <v>31.173805309734512</v>
      </c>
      <c r="R728" s="12">
        <f>IFERROR(J728/I728,0)</f>
        <v>3.0481088047600662</v>
      </c>
      <c r="S728" s="7">
        <f>Tabla_nuevas_columnas[[#This Row],[ROAS]]</f>
        <v>3.0481088047600662</v>
      </c>
      <c r="T728" t="str">
        <f>_xlfn.CONCAT(C728,"-",D728)</f>
        <v>Display-México</v>
      </c>
      <c r="U728">
        <f>YEAR(A728)</f>
        <v>2025</v>
      </c>
      <c r="V728">
        <f>MONTH(A728)</f>
        <v>10</v>
      </c>
      <c r="W728" t="str">
        <f>PROPER(TEXT(A728,"mmmm"))</f>
        <v>Octubre</v>
      </c>
      <c r="X728" t="str">
        <f>PROPER(TEXT(A728,"dddd"))</f>
        <v>Domingo</v>
      </c>
      <c r="Y728" t="str" cm="1">
        <f t="array" ref="Y728">_xlfn.IFS(R728&gt;10,"Excelente",R728&gt;=5,"Bueno",R728&gt;=2,"Débil",R728&lt;2,"Deficiente")</f>
        <v>Débil</v>
      </c>
      <c r="Z728" t="str">
        <f>IF(AND(R728&lt;2,Q728&gt;=100),"Revisar","OK")</f>
        <v>OK</v>
      </c>
      <c r="AA728" s="55">
        <f>_xlfn.XLOOKUP(C728,'Preguntas de negocio'!$C$114:$C$119,'Preguntas de negocio'!$D$114:$D$119,0)</f>
        <v>5</v>
      </c>
      <c r="AB728" s="55">
        <f>VLOOKUP(C728,'Preguntas de negocio'!$C$121:$D$127,2,FALSE)</f>
        <v>0.5</v>
      </c>
    </row>
    <row r="729" spans="1:28" x14ac:dyDescent="0.3">
      <c r="A729" s="1">
        <v>45768</v>
      </c>
      <c r="B729" s="2" t="s">
        <v>2633</v>
      </c>
      <c r="C729" s="2" t="s">
        <v>2527</v>
      </c>
      <c r="D729" s="2" t="s">
        <v>2516</v>
      </c>
      <c r="E729" s="2" t="s">
        <v>2517</v>
      </c>
      <c r="F729" s="3">
        <v>49899</v>
      </c>
      <c r="G729" s="3">
        <v>1109</v>
      </c>
      <c r="H729" s="3">
        <v>37</v>
      </c>
      <c r="I729" s="4">
        <v>406.24</v>
      </c>
      <c r="J729" s="4">
        <v>989.68</v>
      </c>
      <c r="K729" s="3">
        <v>18</v>
      </c>
      <c r="L729" s="2" t="s">
        <v>2518</v>
      </c>
      <c r="M729" s="2" t="s">
        <v>2546</v>
      </c>
      <c r="N729" s="8">
        <f>IFERROR(G729/F729,0)</f>
        <v>2.2224894286458647E-2</v>
      </c>
      <c r="O729" s="8">
        <f>IFERROR(H729/G729,0)</f>
        <v>3.3363390441839495E-2</v>
      </c>
      <c r="P729" s="4">
        <f>IFERROR(I729/G729,0)</f>
        <v>0.36631199278629395</v>
      </c>
      <c r="Q729" s="4">
        <f>IFERROR(I729/H729,0)</f>
        <v>10.979459459459459</v>
      </c>
      <c r="R729" s="12">
        <f>IFERROR(J729/I729,0)</f>
        <v>2.4361953525009845</v>
      </c>
      <c r="S729" s="7">
        <f>Tabla_nuevas_columnas[[#This Row],[ROAS]]</f>
        <v>2.4361953525009845</v>
      </c>
      <c r="T729" t="str">
        <f>_xlfn.CONCAT(C729,"-",D729)</f>
        <v>Affiliate-México</v>
      </c>
      <c r="U729">
        <f>YEAR(A729)</f>
        <v>2025</v>
      </c>
      <c r="V729">
        <f>MONTH(A729)</f>
        <v>4</v>
      </c>
      <c r="W729" t="str">
        <f>PROPER(TEXT(A729,"mmmm"))</f>
        <v>Abril</v>
      </c>
      <c r="X729" t="str">
        <f>PROPER(TEXT(A729,"dddd"))</f>
        <v>Lunes</v>
      </c>
      <c r="Y729" t="str" cm="1">
        <f t="array" ref="Y729">_xlfn.IFS(R729&gt;10,"Excelente",R729&gt;=5,"Bueno",R729&gt;=2,"Débil",R729&lt;2,"Deficiente")</f>
        <v>Débil</v>
      </c>
      <c r="Z729" t="str">
        <f>IF(AND(R729&lt;2,Q729&gt;=100),"Revisar","OK")</f>
        <v>OK</v>
      </c>
      <c r="AA729" s="55">
        <f>_xlfn.XLOOKUP(C729,'Preguntas de negocio'!$C$114:$C$119,'Preguntas de negocio'!$D$114:$D$119,0)</f>
        <v>4.5</v>
      </c>
      <c r="AB729" s="55">
        <f>VLOOKUP(C729,'Preguntas de negocio'!$C$121:$D$127,2,FALSE)</f>
        <v>0.35</v>
      </c>
    </row>
    <row r="730" spans="1:28" x14ac:dyDescent="0.3">
      <c r="A730" s="1">
        <v>45801</v>
      </c>
      <c r="B730" s="2" t="s">
        <v>2635</v>
      </c>
      <c r="C730" s="2" t="s">
        <v>2533</v>
      </c>
      <c r="D730" s="2" t="s">
        <v>2516</v>
      </c>
      <c r="E730" s="2" t="s">
        <v>2517</v>
      </c>
      <c r="F730" s="3">
        <v>63818</v>
      </c>
      <c r="G730" s="3">
        <v>3546</v>
      </c>
      <c r="H730" s="3">
        <v>188</v>
      </c>
      <c r="I730" s="4">
        <v>5263.57</v>
      </c>
      <c r="J730" s="4">
        <v>12005.05</v>
      </c>
      <c r="K730" s="3">
        <v>135</v>
      </c>
      <c r="L730" s="2" t="s">
        <v>2523</v>
      </c>
      <c r="M730" s="2" t="s">
        <v>2524</v>
      </c>
      <c r="N730" s="8">
        <f>IFERROR(G730/F730,0)</f>
        <v>5.5564260866840076E-2</v>
      </c>
      <c r="O730" s="8">
        <f>IFERROR(H730/G730,0)</f>
        <v>5.3017484489565711E-2</v>
      </c>
      <c r="P730" s="4">
        <f>IFERROR(I730/G730,0)</f>
        <v>1.4843683023124647</v>
      </c>
      <c r="Q730" s="4">
        <f>IFERROR(I730/H730,0)</f>
        <v>27.997712765957445</v>
      </c>
      <c r="R730" s="12">
        <f>IFERROR(J730/I730,0)</f>
        <v>2.280780914854367</v>
      </c>
      <c r="S730" s="7">
        <f>Tabla_nuevas_columnas[[#This Row],[ROAS]]</f>
        <v>2.280780914854367</v>
      </c>
      <c r="T730" t="str">
        <f>_xlfn.CONCAT(C730,"-",D730)</f>
        <v>Paid Social-México</v>
      </c>
      <c r="U730">
        <f>YEAR(A730)</f>
        <v>2025</v>
      </c>
      <c r="V730">
        <f>MONTH(A730)</f>
        <v>5</v>
      </c>
      <c r="W730" t="str">
        <f>PROPER(TEXT(A730,"mmmm"))</f>
        <v>Mayo</v>
      </c>
      <c r="X730" t="str">
        <f>PROPER(TEXT(A730,"dddd"))</f>
        <v>Sábado</v>
      </c>
      <c r="Y730" t="str" cm="1">
        <f t="array" ref="Y730">_xlfn.IFS(R730&gt;10,"Excelente",R730&gt;=5,"Bueno",R730&gt;=2,"Débil",R730&lt;2,"Deficiente")</f>
        <v>Débil</v>
      </c>
      <c r="Z730" t="str">
        <f>IF(AND(R730&lt;2,Q730&gt;=100),"Revisar","OK")</f>
        <v>OK</v>
      </c>
      <c r="AA730" s="55">
        <f>_xlfn.XLOOKUP(C730,'Preguntas de negocio'!$C$114:$C$119,'Preguntas de negocio'!$D$114:$D$119,0)</f>
        <v>6</v>
      </c>
      <c r="AB730" s="55">
        <f>VLOOKUP(C730,'Preguntas de negocio'!$C$121:$D$127,2,FALSE)</f>
        <v>0.8</v>
      </c>
    </row>
    <row r="731" spans="1:28" x14ac:dyDescent="0.3">
      <c r="A731" s="1">
        <v>45894</v>
      </c>
      <c r="B731" s="2" t="s">
        <v>2629</v>
      </c>
      <c r="C731" s="2" t="s">
        <v>2527</v>
      </c>
      <c r="D731" s="2" t="s">
        <v>2525</v>
      </c>
      <c r="E731" s="2" t="s">
        <v>2529</v>
      </c>
      <c r="F731" s="3">
        <v>30638</v>
      </c>
      <c r="G731" s="3">
        <v>532</v>
      </c>
      <c r="H731" s="3">
        <v>68</v>
      </c>
      <c r="I731" s="4">
        <v>1091.68</v>
      </c>
      <c r="J731" s="4">
        <v>13486.37</v>
      </c>
      <c r="K731" s="3">
        <v>55</v>
      </c>
      <c r="L731" s="2" t="s">
        <v>2539</v>
      </c>
      <c r="M731" s="2" t="s">
        <v>2524</v>
      </c>
      <c r="N731" s="8">
        <f>IFERROR(G731/F731,0)</f>
        <v>1.7364057706116588E-2</v>
      </c>
      <c r="O731" s="8">
        <f>IFERROR(H731/G731,0)</f>
        <v>0.12781954887218044</v>
      </c>
      <c r="P731" s="4">
        <f>IFERROR(I731/G731,0)</f>
        <v>2.0520300751879699</v>
      </c>
      <c r="Q731" s="4">
        <f>IFERROR(I731/H731,0)</f>
        <v>16.054117647058824</v>
      </c>
      <c r="R731" s="12">
        <f>IFERROR(J731/I731,0)</f>
        <v>12.353775831745567</v>
      </c>
      <c r="S731" s="7">
        <f>Tabla_nuevas_columnas[[#This Row],[ROAS]]</f>
        <v>12.353775831745567</v>
      </c>
      <c r="T731" t="str">
        <f>_xlfn.CONCAT(C731,"-",D731)</f>
        <v>Affiliate-Francia</v>
      </c>
      <c r="U731">
        <f>YEAR(A731)</f>
        <v>2025</v>
      </c>
      <c r="V731">
        <f>MONTH(A731)</f>
        <v>8</v>
      </c>
      <c r="W731" t="str">
        <f>PROPER(TEXT(A731,"mmmm"))</f>
        <v>Agosto</v>
      </c>
      <c r="X731" t="str">
        <f>PROPER(TEXT(A731,"dddd"))</f>
        <v>Lunes</v>
      </c>
      <c r="Y731" t="str" cm="1">
        <f t="array" ref="Y731">_xlfn.IFS(R731&gt;10,"Excelente",R731&gt;=5,"Bueno",R731&gt;=2,"Débil",R731&lt;2,"Deficiente")</f>
        <v>Excelente</v>
      </c>
      <c r="Z731" t="str">
        <f>IF(AND(R731&lt;2,Q731&gt;=100),"Revisar","OK")</f>
        <v>OK</v>
      </c>
      <c r="AA731" s="55">
        <f>_xlfn.XLOOKUP(C731,'Preguntas de negocio'!$C$114:$C$119,'Preguntas de negocio'!$D$114:$D$119,0)</f>
        <v>4.5</v>
      </c>
      <c r="AB731" s="55">
        <f>VLOOKUP(C731,'Preguntas de negocio'!$C$121:$D$127,2,FALSE)</f>
        <v>0.35</v>
      </c>
    </row>
    <row r="732" spans="1:28" x14ac:dyDescent="0.3">
      <c r="A732" s="1">
        <v>46003</v>
      </c>
      <c r="B732" s="2" t="s">
        <v>2640</v>
      </c>
      <c r="C732" s="2" t="s">
        <v>2515</v>
      </c>
      <c r="D732" s="2" t="s">
        <v>2516</v>
      </c>
      <c r="E732" s="2" t="s">
        <v>2517</v>
      </c>
      <c r="F732" s="3">
        <v>16480</v>
      </c>
      <c r="G732" s="3">
        <v>1002</v>
      </c>
      <c r="H732" s="3">
        <v>103</v>
      </c>
      <c r="I732" s="4">
        <v>269.98</v>
      </c>
      <c r="J732" s="4">
        <v>20077.27</v>
      </c>
      <c r="K732" s="3">
        <v>67</v>
      </c>
      <c r="L732" s="2" t="s">
        <v>2523</v>
      </c>
      <c r="M732" s="2" t="s">
        <v>2546</v>
      </c>
      <c r="N732" s="8">
        <f>IFERROR(G732/F732,0)</f>
        <v>6.0800970873786407E-2</v>
      </c>
      <c r="O732" s="8">
        <f>IFERROR(H732/G732,0)</f>
        <v>0.10279441117764471</v>
      </c>
      <c r="P732" s="4">
        <f>IFERROR(I732/G732,0)</f>
        <v>0.26944111776447105</v>
      </c>
      <c r="Q732" s="4">
        <f>IFERROR(I732/H732,0)</f>
        <v>2.6211650485436895</v>
      </c>
      <c r="R732" s="12">
        <f>IFERROR(J732/I732,0)</f>
        <v>74.36576783465442</v>
      </c>
      <c r="S732" s="7">
        <f>Tabla_nuevas_columnas[[#This Row],[ROAS]]</f>
        <v>74.36576783465442</v>
      </c>
      <c r="T732" t="str">
        <f>_xlfn.CONCAT(C732,"-",D732)</f>
        <v>Email-México</v>
      </c>
      <c r="U732">
        <f>YEAR(A732)</f>
        <v>2025</v>
      </c>
      <c r="V732">
        <f>MONTH(A732)</f>
        <v>12</v>
      </c>
      <c r="W732" t="str">
        <f>PROPER(TEXT(A732,"mmmm"))</f>
        <v>Diciembre</v>
      </c>
      <c r="X732" t="str">
        <f>PROPER(TEXT(A732,"dddd"))</f>
        <v>Viernes</v>
      </c>
      <c r="Y732" t="str" cm="1">
        <f t="array" ref="Y732">_xlfn.IFS(R732&gt;10,"Excelente",R732&gt;=5,"Bueno",R732&gt;=2,"Débil",R732&lt;2,"Deficiente")</f>
        <v>Excelente</v>
      </c>
      <c r="Z732" t="str">
        <f>IF(AND(R732&lt;2,Q732&gt;=100),"Revisar","OK")</f>
        <v>OK</v>
      </c>
      <c r="AA732" s="55">
        <f>_xlfn.XLOOKUP(C732,'Preguntas de negocio'!$C$114:$C$119,'Preguntas de negocio'!$D$114:$D$119,0)</f>
        <v>5.5</v>
      </c>
      <c r="AB732" s="55">
        <f>VLOOKUP(C732,'Preguntas de negocio'!$C$121:$D$127,2,FALSE)</f>
        <v>0.65</v>
      </c>
    </row>
    <row r="733" spans="1:28" x14ac:dyDescent="0.3">
      <c r="A733" s="1">
        <v>45716</v>
      </c>
      <c r="B733" s="2" t="s">
        <v>2618</v>
      </c>
      <c r="C733" s="2" t="s">
        <v>2533</v>
      </c>
      <c r="D733" s="2" t="s">
        <v>2528</v>
      </c>
      <c r="E733" s="2" t="s">
        <v>2517</v>
      </c>
      <c r="F733" s="3">
        <v>119149</v>
      </c>
      <c r="G733" s="3">
        <v>1015</v>
      </c>
      <c r="H733" s="3">
        <v>118</v>
      </c>
      <c r="I733" s="4">
        <v>1161.76</v>
      </c>
      <c r="J733" s="4">
        <v>10503.91</v>
      </c>
      <c r="K733" s="3">
        <v>83</v>
      </c>
      <c r="L733" s="2" t="s">
        <v>2518</v>
      </c>
      <c r="M733" s="2" t="s">
        <v>2537</v>
      </c>
      <c r="N733" s="8">
        <f>IFERROR(G733/F733,0)</f>
        <v>8.5187454363863727E-3</v>
      </c>
      <c r="O733" s="8">
        <f>IFERROR(H733/G733,0)</f>
        <v>0.11625615763546798</v>
      </c>
      <c r="P733" s="4">
        <f>IFERROR(I733/G733,0)</f>
        <v>1.1445911330049261</v>
      </c>
      <c r="Q733" s="4">
        <f>IFERROR(I733/H733,0)</f>
        <v>9.8454237288135591</v>
      </c>
      <c r="R733" s="12">
        <f>IFERROR(J733/I733,0)</f>
        <v>9.0413768764632962</v>
      </c>
      <c r="S733" s="7">
        <f>Tabla_nuevas_columnas[[#This Row],[ROAS]]</f>
        <v>9.0413768764632962</v>
      </c>
      <c r="T733" t="str">
        <f>_xlfn.CONCAT(C733,"-",D733)</f>
        <v>Paid Social-España</v>
      </c>
      <c r="U733">
        <f>YEAR(A733)</f>
        <v>2025</v>
      </c>
      <c r="V733">
        <f>MONTH(A733)</f>
        <v>2</v>
      </c>
      <c r="W733" t="str">
        <f>PROPER(TEXT(A733,"mmmm"))</f>
        <v>Febrero</v>
      </c>
      <c r="X733" t="str">
        <f>PROPER(TEXT(A733,"dddd"))</f>
        <v>Viernes</v>
      </c>
      <c r="Y733" t="str" cm="1">
        <f t="array" ref="Y733">_xlfn.IFS(R733&gt;10,"Excelente",R733&gt;=5,"Bueno",R733&gt;=2,"Débil",R733&lt;2,"Deficiente")</f>
        <v>Bueno</v>
      </c>
      <c r="Z733" t="str">
        <f>IF(AND(R733&lt;2,Q733&gt;=100),"Revisar","OK")</f>
        <v>OK</v>
      </c>
      <c r="AA733" s="55">
        <f>_xlfn.XLOOKUP(C733,'Preguntas de negocio'!$C$114:$C$119,'Preguntas de negocio'!$D$114:$D$119,0)</f>
        <v>6</v>
      </c>
      <c r="AB733" s="55">
        <f>VLOOKUP(C733,'Preguntas de negocio'!$C$121:$D$127,2,FALSE)</f>
        <v>0.8</v>
      </c>
    </row>
    <row r="734" spans="1:28" x14ac:dyDescent="0.3">
      <c r="A734" s="1">
        <v>45871</v>
      </c>
      <c r="B734" s="2" t="s">
        <v>2632</v>
      </c>
      <c r="C734" s="2" t="s">
        <v>2541</v>
      </c>
      <c r="D734" s="2" t="s">
        <v>2516</v>
      </c>
      <c r="E734" s="2" t="s">
        <v>2517</v>
      </c>
      <c r="F734" s="3">
        <v>116079</v>
      </c>
      <c r="G734" s="3">
        <v>4906</v>
      </c>
      <c r="H734" s="3">
        <v>626</v>
      </c>
      <c r="I734" s="4">
        <v>6054.74</v>
      </c>
      <c r="J734" s="4">
        <v>33695.96</v>
      </c>
      <c r="K734" s="3">
        <v>411</v>
      </c>
      <c r="L734" s="2" t="s">
        <v>2518</v>
      </c>
      <c r="M734" s="2" t="s">
        <v>2537</v>
      </c>
      <c r="N734" s="8">
        <f>IFERROR(G734/F734,0)</f>
        <v>4.226431998897303E-2</v>
      </c>
      <c r="O734" s="8">
        <f>IFERROR(H734/G734,0)</f>
        <v>0.12759885854056258</v>
      </c>
      <c r="P734" s="4">
        <f>IFERROR(I734/G734,0)</f>
        <v>1.2341500203832041</v>
      </c>
      <c r="Q734" s="4">
        <f>IFERROR(I734/H734,0)</f>
        <v>9.6721086261980833</v>
      </c>
      <c r="R734" s="12">
        <f>IFERROR(J734/I734,0)</f>
        <v>5.5652199764151726</v>
      </c>
      <c r="S734" s="7">
        <f>Tabla_nuevas_columnas[[#This Row],[ROAS]]</f>
        <v>5.5652199764151726</v>
      </c>
      <c r="T734" t="str">
        <f>_xlfn.CONCAT(C734,"-",D734)</f>
        <v>Display-México</v>
      </c>
      <c r="U734">
        <f>YEAR(A734)</f>
        <v>2025</v>
      </c>
      <c r="V734">
        <f>MONTH(A734)</f>
        <v>8</v>
      </c>
      <c r="W734" t="str">
        <f>PROPER(TEXT(A734,"mmmm"))</f>
        <v>Agosto</v>
      </c>
      <c r="X734" t="str">
        <f>PROPER(TEXT(A734,"dddd"))</f>
        <v>Sábado</v>
      </c>
      <c r="Y734" t="str" cm="1">
        <f t="array" ref="Y734">_xlfn.IFS(R734&gt;10,"Excelente",R734&gt;=5,"Bueno",R734&gt;=2,"Débil",R734&lt;2,"Deficiente")</f>
        <v>Bueno</v>
      </c>
      <c r="Z734" t="str">
        <f>IF(AND(R734&lt;2,Q734&gt;=100),"Revisar","OK")</f>
        <v>OK</v>
      </c>
      <c r="AA734" s="55">
        <f>_xlfn.XLOOKUP(C734,'Preguntas de negocio'!$C$114:$C$119,'Preguntas de negocio'!$D$114:$D$119,0)</f>
        <v>5</v>
      </c>
      <c r="AB734" s="55">
        <f>VLOOKUP(C734,'Preguntas de negocio'!$C$121:$D$127,2,FALSE)</f>
        <v>0.5</v>
      </c>
    </row>
    <row r="735" spans="1:28" x14ac:dyDescent="0.3">
      <c r="A735" s="1">
        <v>45773</v>
      </c>
      <c r="B735" s="2" t="s">
        <v>2635</v>
      </c>
      <c r="C735" s="2" t="s">
        <v>2521</v>
      </c>
      <c r="D735" s="2" t="s">
        <v>2528</v>
      </c>
      <c r="E735" s="2" t="s">
        <v>2529</v>
      </c>
      <c r="F735" s="3">
        <v>163278</v>
      </c>
      <c r="G735" s="3">
        <v>6742</v>
      </c>
      <c r="H735" s="3">
        <v>120</v>
      </c>
      <c r="I735" s="4">
        <v>2803.16</v>
      </c>
      <c r="J735" s="4">
        <v>24446.27</v>
      </c>
      <c r="K735" s="3">
        <v>57</v>
      </c>
      <c r="L735" s="2" t="s">
        <v>2536</v>
      </c>
      <c r="M735" s="2" t="s">
        <v>2524</v>
      </c>
      <c r="N735" s="8">
        <f>IFERROR(G735/F735,0)</f>
        <v>4.1291539582797437E-2</v>
      </c>
      <c r="O735" s="8">
        <f>IFERROR(H735/G735,0)</f>
        <v>1.7798872738059923E-2</v>
      </c>
      <c r="P735" s="4">
        <f>IFERROR(I735/G735,0)</f>
        <v>0.41577573420350045</v>
      </c>
      <c r="Q735" s="4">
        <f>IFERROR(I735/H735,0)</f>
        <v>23.359666666666666</v>
      </c>
      <c r="R735" s="12">
        <f>IFERROR(J735/I735,0)</f>
        <v>8.7209684784314856</v>
      </c>
      <c r="S735" s="7">
        <f>Tabla_nuevas_columnas[[#This Row],[ROAS]]</f>
        <v>8.7209684784314856</v>
      </c>
      <c r="T735" t="str">
        <f>_xlfn.CONCAT(C735,"-",D735)</f>
        <v>Paid Search-España</v>
      </c>
      <c r="U735">
        <f>YEAR(A735)</f>
        <v>2025</v>
      </c>
      <c r="V735">
        <f>MONTH(A735)</f>
        <v>4</v>
      </c>
      <c r="W735" t="str">
        <f>PROPER(TEXT(A735,"mmmm"))</f>
        <v>Abril</v>
      </c>
      <c r="X735" t="str">
        <f>PROPER(TEXT(A735,"dddd"))</f>
        <v>Sábado</v>
      </c>
      <c r="Y735" t="str" cm="1">
        <f t="array" ref="Y735">_xlfn.IFS(R735&gt;10,"Excelente",R735&gt;=5,"Bueno",R735&gt;=2,"Débil",R735&lt;2,"Deficiente")</f>
        <v>Bueno</v>
      </c>
      <c r="Z735" t="str">
        <f>IF(AND(R735&lt;2,Q735&gt;=100),"Revisar","OK")</f>
        <v>OK</v>
      </c>
      <c r="AA735" s="55">
        <f>_xlfn.XLOOKUP(C735,'Preguntas de negocio'!$C$114:$C$119,'Preguntas de negocio'!$D$114:$D$119,0)</f>
        <v>5</v>
      </c>
      <c r="AB735" s="55">
        <f>VLOOKUP(C735,'Preguntas de negocio'!$C$121:$D$127,2,FALSE)</f>
        <v>1.1000000000000001</v>
      </c>
    </row>
    <row r="736" spans="1:28" x14ac:dyDescent="0.3">
      <c r="A736" s="1">
        <v>45681</v>
      </c>
      <c r="B736" s="2" t="s">
        <v>2626</v>
      </c>
      <c r="C736" s="2" t="s">
        <v>2541</v>
      </c>
      <c r="D736" s="2" t="s">
        <v>2522</v>
      </c>
      <c r="E736" s="2" t="s">
        <v>2517</v>
      </c>
      <c r="F736" s="3">
        <v>9002</v>
      </c>
      <c r="G736" s="3">
        <v>182</v>
      </c>
      <c r="H736" s="3">
        <v>2</v>
      </c>
      <c r="I736" s="4">
        <v>261.54000000000002</v>
      </c>
      <c r="J736" s="4">
        <v>116.36</v>
      </c>
      <c r="K736" s="3">
        <v>1</v>
      </c>
      <c r="L736" s="2" t="s">
        <v>2536</v>
      </c>
      <c r="M736" s="2" t="s">
        <v>2519</v>
      </c>
      <c r="N736" s="8">
        <f>IFERROR(G736/F736,0)</f>
        <v>2.0217729393468119E-2</v>
      </c>
      <c r="O736" s="8">
        <f>IFERROR(H736/G736,0)</f>
        <v>1.098901098901099E-2</v>
      </c>
      <c r="P736" s="4">
        <f>IFERROR(I736/G736,0)</f>
        <v>1.4370329670329671</v>
      </c>
      <c r="Q736" s="4">
        <f>IFERROR(I736/H736,0)</f>
        <v>130.77000000000001</v>
      </c>
      <c r="R736" s="12">
        <f>IFERROR(J736/I736,0)</f>
        <v>0.44490326527491009</v>
      </c>
      <c r="S736" s="7">
        <f>Tabla_nuevas_columnas[[#This Row],[ROAS]]</f>
        <v>0.44490326527491009</v>
      </c>
      <c r="T736" t="str">
        <f>_xlfn.CONCAT(C736,"-",D736)</f>
        <v>Display-Italia</v>
      </c>
      <c r="U736">
        <f>YEAR(A736)</f>
        <v>2025</v>
      </c>
      <c r="V736">
        <f>MONTH(A736)</f>
        <v>1</v>
      </c>
      <c r="W736" t="str">
        <f>PROPER(TEXT(A736,"mmmm"))</f>
        <v>Enero</v>
      </c>
      <c r="X736" t="str">
        <f>PROPER(TEXT(A736,"dddd"))</f>
        <v>Viernes</v>
      </c>
      <c r="Y736" t="str" cm="1">
        <f t="array" ref="Y736">_xlfn.IFS(R736&gt;10,"Excelente",R736&gt;=5,"Bueno",R736&gt;=2,"Débil",R736&lt;2,"Deficiente")</f>
        <v>Deficiente</v>
      </c>
      <c r="Z736" t="str">
        <f>IF(AND(R736&lt;2,Q736&gt;=100),"Revisar","OK")</f>
        <v>Revisar</v>
      </c>
      <c r="AA736" s="55">
        <f>_xlfn.XLOOKUP(C736,'Preguntas de negocio'!$C$114:$C$119,'Preguntas de negocio'!$D$114:$D$119,0)</f>
        <v>5</v>
      </c>
      <c r="AB736" s="55">
        <f>VLOOKUP(C736,'Preguntas de negocio'!$C$121:$D$127,2,FALSE)</f>
        <v>0.5</v>
      </c>
    </row>
    <row r="737" spans="1:28" x14ac:dyDescent="0.3">
      <c r="A737" s="1">
        <v>45954</v>
      </c>
      <c r="B737" s="2" t="s">
        <v>2628</v>
      </c>
      <c r="C737" s="2" t="s">
        <v>2543</v>
      </c>
      <c r="D737" s="2" t="s">
        <v>2528</v>
      </c>
      <c r="E737" s="2" t="s">
        <v>2529</v>
      </c>
      <c r="F737" s="3">
        <v>167184</v>
      </c>
      <c r="G737" s="3">
        <v>8796</v>
      </c>
      <c r="H737" s="3">
        <v>254</v>
      </c>
      <c r="I737" s="4">
        <v>7287.67</v>
      </c>
      <c r="J737" s="4">
        <v>52424.67</v>
      </c>
      <c r="K737" s="3">
        <v>165</v>
      </c>
      <c r="L737" s="2" t="s">
        <v>2539</v>
      </c>
      <c r="M737" s="2" t="s">
        <v>2526</v>
      </c>
      <c r="N737" s="8">
        <f>IFERROR(G737/F737,0)</f>
        <v>5.2612690209589433E-2</v>
      </c>
      <c r="O737" s="8">
        <f>IFERROR(H737/G737,0)</f>
        <v>2.8876762164620283E-2</v>
      </c>
      <c r="P737" s="4">
        <f>IFERROR(I737/G737,0)</f>
        <v>0.82852091859936339</v>
      </c>
      <c r="Q737" s="4">
        <f>IFERROR(I737/H737,0)</f>
        <v>28.691614173228349</v>
      </c>
      <c r="R737" s="12">
        <f>IFERROR(J737/I737,0)</f>
        <v>7.1936119500471341</v>
      </c>
      <c r="S737" s="7">
        <f>Tabla_nuevas_columnas[[#This Row],[ROAS]]</f>
        <v>7.1936119500471341</v>
      </c>
      <c r="T737" t="str">
        <f>_xlfn.CONCAT(C737,"-",D737)</f>
        <v>Organic Social-España</v>
      </c>
      <c r="U737">
        <f>YEAR(A737)</f>
        <v>2025</v>
      </c>
      <c r="V737">
        <f>MONTH(A737)</f>
        <v>10</v>
      </c>
      <c r="W737" t="str">
        <f>PROPER(TEXT(A737,"mmmm"))</f>
        <v>Octubre</v>
      </c>
      <c r="X737" t="str">
        <f>PROPER(TEXT(A737,"dddd"))</f>
        <v>Viernes</v>
      </c>
      <c r="Y737" t="str" cm="1">
        <f t="array" ref="Y737">_xlfn.IFS(R737&gt;10,"Excelente",R737&gt;=5,"Bueno",R737&gt;=2,"Débil",R737&lt;2,"Deficiente")</f>
        <v>Bueno</v>
      </c>
      <c r="Z737" t="str">
        <f>IF(AND(R737&lt;2,Q737&gt;=100),"Revisar","OK")</f>
        <v>OK</v>
      </c>
      <c r="AA737" s="55">
        <f>_xlfn.XLOOKUP(C737,'Preguntas de negocio'!$C$114:$C$119,'Preguntas de negocio'!$D$114:$D$119,0)</f>
        <v>4</v>
      </c>
      <c r="AB737" s="55">
        <f>VLOOKUP(C737,'Preguntas de negocio'!$C$121:$D$127,2,FALSE)</f>
        <v>0.95</v>
      </c>
    </row>
    <row r="738" spans="1:28" x14ac:dyDescent="0.3">
      <c r="A738" s="1">
        <v>45897</v>
      </c>
      <c r="B738" s="2" t="s">
        <v>2640</v>
      </c>
      <c r="C738" s="2" t="s">
        <v>2541</v>
      </c>
      <c r="D738" s="2" t="s">
        <v>2516</v>
      </c>
      <c r="E738" s="2" t="s">
        <v>2529</v>
      </c>
      <c r="F738" s="3">
        <v>165266</v>
      </c>
      <c r="G738" s="3">
        <v>12817</v>
      </c>
      <c r="H738" s="3">
        <v>101</v>
      </c>
      <c r="I738" s="4">
        <v>8409.6299999999992</v>
      </c>
      <c r="J738" s="4">
        <v>17234.509999999998</v>
      </c>
      <c r="K738" s="3">
        <v>74</v>
      </c>
      <c r="L738" s="2" t="s">
        <v>2539</v>
      </c>
      <c r="M738" s="2" t="s">
        <v>2519</v>
      </c>
      <c r="N738" s="8">
        <f>IFERROR(G738/F738,0)</f>
        <v>7.7553761814287275E-2</v>
      </c>
      <c r="O738" s="8">
        <f>IFERROR(H738/G738,0)</f>
        <v>7.8801591636108292E-3</v>
      </c>
      <c r="P738" s="4">
        <f>IFERROR(I738/G738,0)</f>
        <v>0.65613091987204486</v>
      </c>
      <c r="Q738" s="4">
        <f>IFERROR(I738/H738,0)</f>
        <v>83.26366336633663</v>
      </c>
      <c r="R738" s="12">
        <f>IFERROR(J738/I738,0)</f>
        <v>2.0493779155563323</v>
      </c>
      <c r="S738" s="7">
        <f>Tabla_nuevas_columnas[[#This Row],[ROAS]]</f>
        <v>2.0493779155563323</v>
      </c>
      <c r="T738" t="str">
        <f>_xlfn.CONCAT(C738,"-",D738)</f>
        <v>Display-México</v>
      </c>
      <c r="U738">
        <f>YEAR(A738)</f>
        <v>2025</v>
      </c>
      <c r="V738">
        <f>MONTH(A738)</f>
        <v>8</v>
      </c>
      <c r="W738" t="str">
        <f>PROPER(TEXT(A738,"mmmm"))</f>
        <v>Agosto</v>
      </c>
      <c r="X738" t="str">
        <f>PROPER(TEXT(A738,"dddd"))</f>
        <v>Jueves</v>
      </c>
      <c r="Y738" t="str" cm="1">
        <f t="array" ref="Y738">_xlfn.IFS(R738&gt;10,"Excelente",R738&gt;=5,"Bueno",R738&gt;=2,"Débil",R738&lt;2,"Deficiente")</f>
        <v>Débil</v>
      </c>
      <c r="Z738" t="str">
        <f>IF(AND(R738&lt;2,Q738&gt;=100),"Revisar","OK")</f>
        <v>OK</v>
      </c>
      <c r="AA738" s="55">
        <f>_xlfn.XLOOKUP(C738,'Preguntas de negocio'!$C$114:$C$119,'Preguntas de negocio'!$D$114:$D$119,0)</f>
        <v>5</v>
      </c>
      <c r="AB738" s="55">
        <f>VLOOKUP(C738,'Preguntas de negocio'!$C$121:$D$127,2,FALSE)</f>
        <v>0.5</v>
      </c>
    </row>
    <row r="739" spans="1:28" x14ac:dyDescent="0.3">
      <c r="A739" s="1">
        <v>45667</v>
      </c>
      <c r="B739" s="2" t="s">
        <v>2630</v>
      </c>
      <c r="C739" s="2" t="s">
        <v>2645</v>
      </c>
      <c r="D739" s="2" t="s">
        <v>2528</v>
      </c>
      <c r="E739" s="2" t="s">
        <v>2529</v>
      </c>
      <c r="F739" s="3">
        <v>151425</v>
      </c>
      <c r="G739" s="3">
        <v>6267</v>
      </c>
      <c r="H739" s="3">
        <v>732</v>
      </c>
      <c r="I739" s="4">
        <v>9867.48</v>
      </c>
      <c r="J739" s="4">
        <v>40433.919999999998</v>
      </c>
      <c r="K739" s="3">
        <v>512</v>
      </c>
      <c r="L739" s="2" t="s">
        <v>2518</v>
      </c>
      <c r="M739" s="2" t="s">
        <v>2526</v>
      </c>
      <c r="N739" s="8">
        <f>IFERROR(G739/F739,0)</f>
        <v>4.138682516097078E-2</v>
      </c>
      <c r="O739" s="8">
        <f>IFERROR(H739/G739,0)</f>
        <v>0.11680229775011967</v>
      </c>
      <c r="P739" s="4">
        <f>IFERROR(I739/G739,0)</f>
        <v>1.5745141215892771</v>
      </c>
      <c r="Q739" s="4">
        <f>IFERROR(I739/H739,0)</f>
        <v>13.480163934426228</v>
      </c>
      <c r="R739" s="12">
        <f>IFERROR(J739/I739,0)</f>
        <v>4.097694649495109</v>
      </c>
      <c r="S739" s="7">
        <f>Tabla_nuevas_columnas[[#This Row],[ROAS]]</f>
        <v>4.097694649495109</v>
      </c>
      <c r="T739" t="str">
        <f>_xlfn.CONCAT(C739,"-",D739)</f>
        <v>Por identificar-España</v>
      </c>
      <c r="U739">
        <f>YEAR(A739)</f>
        <v>2025</v>
      </c>
      <c r="V739">
        <f>MONTH(A739)</f>
        <v>1</v>
      </c>
      <c r="W739" t="str">
        <f>PROPER(TEXT(A739,"mmmm"))</f>
        <v>Enero</v>
      </c>
      <c r="X739" t="str">
        <f>PROPER(TEXT(A739,"dddd"))</f>
        <v>Viernes</v>
      </c>
      <c r="Y739" t="str" cm="1">
        <f t="array" ref="Y739">_xlfn.IFS(R739&gt;10,"Excelente",R739&gt;=5,"Bueno",R739&gt;=2,"Débil",R739&lt;2,"Deficiente")</f>
        <v>Débil</v>
      </c>
      <c r="Z739" t="str">
        <f>IF(AND(R739&lt;2,Q739&gt;=100),"Revisar","OK")</f>
        <v>OK</v>
      </c>
      <c r="AA739" s="55">
        <f>_xlfn.XLOOKUP(C739,'Preguntas de negocio'!$C$114:$C$119,'Preguntas de negocio'!$D$114:$D$119,0)</f>
        <v>0</v>
      </c>
      <c r="AB739" s="55">
        <f>VLOOKUP(C739,'Preguntas de negocio'!$C$121:$D$127,2,FALSE)</f>
        <v>0</v>
      </c>
    </row>
    <row r="740" spans="1:28" x14ac:dyDescent="0.3">
      <c r="A740" s="1">
        <v>45972</v>
      </c>
      <c r="B740" s="2" t="s">
        <v>2626</v>
      </c>
      <c r="C740" s="2" t="s">
        <v>2527</v>
      </c>
      <c r="D740" s="2" t="s">
        <v>2528</v>
      </c>
      <c r="E740" s="2" t="s">
        <v>2529</v>
      </c>
      <c r="F740" s="3">
        <v>54088</v>
      </c>
      <c r="G740" s="3">
        <v>790</v>
      </c>
      <c r="H740" s="3">
        <v>106</v>
      </c>
      <c r="I740" s="4">
        <v>732.9</v>
      </c>
      <c r="J740" s="4">
        <v>12409.69</v>
      </c>
      <c r="K740" s="3">
        <v>85</v>
      </c>
      <c r="L740" s="2" t="s">
        <v>2536</v>
      </c>
      <c r="M740" s="2" t="s">
        <v>2537</v>
      </c>
      <c r="N740" s="8">
        <f>IFERROR(G740/F740,0)</f>
        <v>1.4605827540304688E-2</v>
      </c>
      <c r="O740" s="8">
        <f>IFERROR(H740/G740,0)</f>
        <v>0.13417721518987341</v>
      </c>
      <c r="P740" s="4">
        <f>IFERROR(I740/G740,0)</f>
        <v>0.92772151898734179</v>
      </c>
      <c r="Q740" s="4">
        <f>IFERROR(I740/H740,0)</f>
        <v>6.9141509433962263</v>
      </c>
      <c r="R740" s="12">
        <f>IFERROR(J740/I740,0)</f>
        <v>16.932310001364442</v>
      </c>
      <c r="S740" s="7">
        <f>Tabla_nuevas_columnas[[#This Row],[ROAS]]</f>
        <v>16.932310001364442</v>
      </c>
      <c r="T740" t="str">
        <f>_xlfn.CONCAT(C740,"-",D740)</f>
        <v>Affiliate-España</v>
      </c>
      <c r="U740">
        <f>YEAR(A740)</f>
        <v>2025</v>
      </c>
      <c r="V740">
        <f>MONTH(A740)</f>
        <v>11</v>
      </c>
      <c r="W740" t="str">
        <f>PROPER(TEXT(A740,"mmmm"))</f>
        <v>Noviembre</v>
      </c>
      <c r="X740" t="str">
        <f>PROPER(TEXT(A740,"dddd"))</f>
        <v>Martes</v>
      </c>
      <c r="Y740" t="str" cm="1">
        <f t="array" ref="Y740">_xlfn.IFS(R740&gt;10,"Excelente",R740&gt;=5,"Bueno",R740&gt;=2,"Débil",R740&lt;2,"Deficiente")</f>
        <v>Excelente</v>
      </c>
      <c r="Z740" t="str">
        <f>IF(AND(R740&lt;2,Q740&gt;=100),"Revisar","OK")</f>
        <v>OK</v>
      </c>
      <c r="AA740" s="55">
        <f>_xlfn.XLOOKUP(C740,'Preguntas de negocio'!$C$114:$C$119,'Preguntas de negocio'!$D$114:$D$119,0)</f>
        <v>4.5</v>
      </c>
      <c r="AB740" s="55">
        <f>VLOOKUP(C740,'Preguntas de negocio'!$C$121:$D$127,2,FALSE)</f>
        <v>0.35</v>
      </c>
    </row>
    <row r="741" spans="1:28" x14ac:dyDescent="0.3">
      <c r="A741" s="1">
        <v>45752</v>
      </c>
      <c r="B741" s="2" t="s">
        <v>2625</v>
      </c>
      <c r="C741" s="2" t="s">
        <v>2533</v>
      </c>
      <c r="D741" s="2" t="s">
        <v>2516</v>
      </c>
      <c r="E741" s="2" t="s">
        <v>2517</v>
      </c>
      <c r="F741" s="3">
        <v>54678</v>
      </c>
      <c r="G741" s="3">
        <v>2415</v>
      </c>
      <c r="H741" s="3">
        <v>68</v>
      </c>
      <c r="I741" s="4">
        <v>2038.76</v>
      </c>
      <c r="J741" s="4">
        <v>5177.91</v>
      </c>
      <c r="K741" s="3">
        <v>36</v>
      </c>
      <c r="L741" s="2" t="s">
        <v>2518</v>
      </c>
      <c r="M741" s="2" t="s">
        <v>2537</v>
      </c>
      <c r="N741" s="8">
        <f>IFERROR(G741/F741,0)</f>
        <v>4.4167672555689673E-2</v>
      </c>
      <c r="O741" s="8">
        <f>IFERROR(H741/G741,0)</f>
        <v>2.8157349896480333E-2</v>
      </c>
      <c r="P741" s="4">
        <f>IFERROR(I741/G741,0)</f>
        <v>0.8442070393374741</v>
      </c>
      <c r="Q741" s="4">
        <f>IFERROR(I741/H741,0)</f>
        <v>29.981764705882352</v>
      </c>
      <c r="R741" s="12">
        <f>IFERROR(J741/I741,0)</f>
        <v>2.5397349369224429</v>
      </c>
      <c r="S741" s="7">
        <f>Tabla_nuevas_columnas[[#This Row],[ROAS]]</f>
        <v>2.5397349369224429</v>
      </c>
      <c r="T741" t="str">
        <f>_xlfn.CONCAT(C741,"-",D741)</f>
        <v>Paid Social-México</v>
      </c>
      <c r="U741">
        <f>YEAR(A741)</f>
        <v>2025</v>
      </c>
      <c r="V741">
        <f>MONTH(A741)</f>
        <v>4</v>
      </c>
      <c r="W741" t="str">
        <f>PROPER(TEXT(A741,"mmmm"))</f>
        <v>Abril</v>
      </c>
      <c r="X741" t="str">
        <f>PROPER(TEXT(A741,"dddd"))</f>
        <v>Sábado</v>
      </c>
      <c r="Y741" t="str" cm="1">
        <f t="array" ref="Y741">_xlfn.IFS(R741&gt;10,"Excelente",R741&gt;=5,"Bueno",R741&gt;=2,"Débil",R741&lt;2,"Deficiente")</f>
        <v>Débil</v>
      </c>
      <c r="Z741" t="str">
        <f>IF(AND(R741&lt;2,Q741&gt;=100),"Revisar","OK")</f>
        <v>OK</v>
      </c>
      <c r="AA741" s="55">
        <f>_xlfn.XLOOKUP(C741,'Preguntas de negocio'!$C$114:$C$119,'Preguntas de negocio'!$D$114:$D$119,0)</f>
        <v>6</v>
      </c>
      <c r="AB741" s="55">
        <f>VLOOKUP(C741,'Preguntas de negocio'!$C$121:$D$127,2,FALSE)</f>
        <v>0.8</v>
      </c>
    </row>
    <row r="742" spans="1:28" x14ac:dyDescent="0.3">
      <c r="A742" s="1">
        <v>46013</v>
      </c>
      <c r="B742" s="2" t="s">
        <v>2625</v>
      </c>
      <c r="C742" s="2" t="s">
        <v>2533</v>
      </c>
      <c r="D742" s="2" t="s">
        <v>2528</v>
      </c>
      <c r="E742" s="2" t="s">
        <v>2517</v>
      </c>
      <c r="F742" s="3">
        <v>65088</v>
      </c>
      <c r="G742" s="3">
        <v>3003</v>
      </c>
      <c r="H742" s="3">
        <v>21</v>
      </c>
      <c r="I742" s="4">
        <v>2878.21</v>
      </c>
      <c r="J742" s="4">
        <v>1777.93</v>
      </c>
      <c r="K742" s="3">
        <v>13</v>
      </c>
      <c r="L742" s="2" t="s">
        <v>2518</v>
      </c>
      <c r="M742" s="2" t="s">
        <v>2524</v>
      </c>
      <c r="N742" s="8">
        <f>IFERROR(G742/F742,0)</f>
        <v>4.6137536873156339E-2</v>
      </c>
      <c r="O742" s="8">
        <f>IFERROR(H742/G742,0)</f>
        <v>6.993006993006993E-3</v>
      </c>
      <c r="P742" s="4">
        <f>IFERROR(I742/G742,0)</f>
        <v>0.95844488844488851</v>
      </c>
      <c r="Q742" s="4">
        <f>IFERROR(I742/H742,0)</f>
        <v>137.05761904761906</v>
      </c>
      <c r="R742" s="12">
        <f>IFERROR(J742/I742,0)</f>
        <v>0.61772073615198342</v>
      </c>
      <c r="S742" s="7">
        <f>Tabla_nuevas_columnas[[#This Row],[ROAS]]</f>
        <v>0.61772073615198342</v>
      </c>
      <c r="T742" t="str">
        <f>_xlfn.CONCAT(C742,"-",D742)</f>
        <v>Paid Social-España</v>
      </c>
      <c r="U742">
        <f>YEAR(A742)</f>
        <v>2025</v>
      </c>
      <c r="V742">
        <f>MONTH(A742)</f>
        <v>12</v>
      </c>
      <c r="W742" t="str">
        <f>PROPER(TEXT(A742,"mmmm"))</f>
        <v>Diciembre</v>
      </c>
      <c r="X742" t="str">
        <f>PROPER(TEXT(A742,"dddd"))</f>
        <v>Lunes</v>
      </c>
      <c r="Y742" t="str" cm="1">
        <f t="array" ref="Y742">_xlfn.IFS(R742&gt;10,"Excelente",R742&gt;=5,"Bueno",R742&gt;=2,"Débil",R742&lt;2,"Deficiente")</f>
        <v>Deficiente</v>
      </c>
      <c r="Z742" t="str">
        <f>IF(AND(R742&lt;2,Q742&gt;=100),"Revisar","OK")</f>
        <v>Revisar</v>
      </c>
      <c r="AA742" s="55">
        <f>_xlfn.XLOOKUP(C742,'Preguntas de negocio'!$C$114:$C$119,'Preguntas de negocio'!$D$114:$D$119,0)</f>
        <v>6</v>
      </c>
      <c r="AB742" s="55">
        <f>VLOOKUP(C742,'Preguntas de negocio'!$C$121:$D$127,2,FALSE)</f>
        <v>0.8</v>
      </c>
    </row>
    <row r="743" spans="1:28" x14ac:dyDescent="0.3">
      <c r="A743" s="1">
        <v>45714</v>
      </c>
      <c r="B743" s="2" t="s">
        <v>2641</v>
      </c>
      <c r="C743" s="2" t="s">
        <v>2541</v>
      </c>
      <c r="D743" s="2" t="s">
        <v>2525</v>
      </c>
      <c r="E743" s="2" t="s">
        <v>2529</v>
      </c>
      <c r="F743" s="3">
        <v>42796</v>
      </c>
      <c r="G743" s="3">
        <v>1696</v>
      </c>
      <c r="H743" s="3">
        <v>150</v>
      </c>
      <c r="I743" s="4">
        <v>3534.31</v>
      </c>
      <c r="J743" s="4">
        <v>32902.639999999999</v>
      </c>
      <c r="K743" s="3">
        <v>125</v>
      </c>
      <c r="L743" s="2" t="s">
        <v>2539</v>
      </c>
      <c r="M743" s="2" t="s">
        <v>2546</v>
      </c>
      <c r="N743" s="8">
        <f>IFERROR(G743/F743,0)</f>
        <v>3.9629871950649591E-2</v>
      </c>
      <c r="O743" s="8">
        <f>IFERROR(H743/G743,0)</f>
        <v>8.8443396226415089E-2</v>
      </c>
      <c r="P743" s="4">
        <f>IFERROR(I743/G743,0)</f>
        <v>2.0839091981132074</v>
      </c>
      <c r="Q743" s="4">
        <f>IFERROR(I743/H743,0)</f>
        <v>23.562066666666666</v>
      </c>
      <c r="R743" s="12">
        <f>IFERROR(J743/I743,0)</f>
        <v>9.309494639689218</v>
      </c>
      <c r="S743" s="7">
        <f>Tabla_nuevas_columnas[[#This Row],[ROAS]]</f>
        <v>9.309494639689218</v>
      </c>
      <c r="T743" t="str">
        <f>_xlfn.CONCAT(C743,"-",D743)</f>
        <v>Display-Francia</v>
      </c>
      <c r="U743">
        <f>YEAR(A743)</f>
        <v>2025</v>
      </c>
      <c r="V743">
        <f>MONTH(A743)</f>
        <v>2</v>
      </c>
      <c r="W743" t="str">
        <f>PROPER(TEXT(A743,"mmmm"))</f>
        <v>Febrero</v>
      </c>
      <c r="X743" t="str">
        <f>PROPER(TEXT(A743,"dddd"))</f>
        <v>Miércoles</v>
      </c>
      <c r="Y743" t="str" cm="1">
        <f t="array" ref="Y743">_xlfn.IFS(R743&gt;10,"Excelente",R743&gt;=5,"Bueno",R743&gt;=2,"Débil",R743&lt;2,"Deficiente")</f>
        <v>Bueno</v>
      </c>
      <c r="Z743" t="str">
        <f>IF(AND(R743&lt;2,Q743&gt;=100),"Revisar","OK")</f>
        <v>OK</v>
      </c>
      <c r="AA743" s="55">
        <f>_xlfn.XLOOKUP(C743,'Preguntas de negocio'!$C$114:$C$119,'Preguntas de negocio'!$D$114:$D$119,0)</f>
        <v>5</v>
      </c>
      <c r="AB743" s="55">
        <f>VLOOKUP(C743,'Preguntas de negocio'!$C$121:$D$127,2,FALSE)</f>
        <v>0.5</v>
      </c>
    </row>
    <row r="744" spans="1:28" x14ac:dyDescent="0.3">
      <c r="A744" s="1">
        <v>46012</v>
      </c>
      <c r="B744" s="2" t="s">
        <v>2638</v>
      </c>
      <c r="C744" s="2" t="s">
        <v>2533</v>
      </c>
      <c r="D744" s="2" t="s">
        <v>2522</v>
      </c>
      <c r="E744" s="2" t="s">
        <v>2517</v>
      </c>
      <c r="F744" s="3">
        <v>91944</v>
      </c>
      <c r="G744" s="3">
        <v>6325</v>
      </c>
      <c r="H744" s="3">
        <v>96</v>
      </c>
      <c r="I744" s="4">
        <v>4317.38</v>
      </c>
      <c r="J744" s="4">
        <v>11882.21</v>
      </c>
      <c r="K744" s="3">
        <v>47</v>
      </c>
      <c r="L744" s="2" t="s">
        <v>2518</v>
      </c>
      <c r="M744" s="2" t="s">
        <v>2526</v>
      </c>
      <c r="N744" s="8">
        <f>IFERROR(G744/F744,0)</f>
        <v>6.8791873314191246E-2</v>
      </c>
      <c r="O744" s="8">
        <f>IFERROR(H744/G744,0)</f>
        <v>1.5177865612648221E-2</v>
      </c>
      <c r="P744" s="4">
        <f>IFERROR(I744/G744,0)</f>
        <v>0.6825897233201581</v>
      </c>
      <c r="Q744" s="4">
        <f>IFERROR(I744/H744,0)</f>
        <v>44.972708333333337</v>
      </c>
      <c r="R744" s="12">
        <f>IFERROR(J744/I744,0)</f>
        <v>2.7521807207148776</v>
      </c>
      <c r="S744" s="7">
        <f>Tabla_nuevas_columnas[[#This Row],[ROAS]]</f>
        <v>2.7521807207148776</v>
      </c>
      <c r="T744" t="str">
        <f>_xlfn.CONCAT(C744,"-",D744)</f>
        <v>Paid Social-Italia</v>
      </c>
      <c r="U744">
        <f>YEAR(A744)</f>
        <v>2025</v>
      </c>
      <c r="V744">
        <f>MONTH(A744)</f>
        <v>12</v>
      </c>
      <c r="W744" t="str">
        <f>PROPER(TEXT(A744,"mmmm"))</f>
        <v>Diciembre</v>
      </c>
      <c r="X744" t="str">
        <f>PROPER(TEXT(A744,"dddd"))</f>
        <v>Domingo</v>
      </c>
      <c r="Y744" t="str" cm="1">
        <f t="array" ref="Y744">_xlfn.IFS(R744&gt;10,"Excelente",R744&gt;=5,"Bueno",R744&gt;=2,"Débil",R744&lt;2,"Deficiente")</f>
        <v>Débil</v>
      </c>
      <c r="Z744" t="str">
        <f>IF(AND(R744&lt;2,Q744&gt;=100),"Revisar","OK")</f>
        <v>OK</v>
      </c>
      <c r="AA744" s="55">
        <f>_xlfn.XLOOKUP(C744,'Preguntas de negocio'!$C$114:$C$119,'Preguntas de negocio'!$D$114:$D$119,0)</f>
        <v>6</v>
      </c>
      <c r="AB744" s="55">
        <f>VLOOKUP(C744,'Preguntas de negocio'!$C$121:$D$127,2,FALSE)</f>
        <v>0.8</v>
      </c>
    </row>
    <row r="745" spans="1:28" x14ac:dyDescent="0.3">
      <c r="A745" s="1">
        <v>45893</v>
      </c>
      <c r="B745" s="2" t="s">
        <v>2619</v>
      </c>
      <c r="C745" s="2" t="s">
        <v>2527</v>
      </c>
      <c r="D745" s="2" t="s">
        <v>2528</v>
      </c>
      <c r="E745" s="2" t="s">
        <v>2517</v>
      </c>
      <c r="F745" s="3">
        <v>82054</v>
      </c>
      <c r="G745" s="3">
        <v>7351</v>
      </c>
      <c r="H745" s="3">
        <v>551</v>
      </c>
      <c r="I745" s="4">
        <v>4641.66</v>
      </c>
      <c r="J745" s="4">
        <v>93199.89</v>
      </c>
      <c r="K745" s="3">
        <v>388</v>
      </c>
      <c r="L745" s="2" t="s">
        <v>2518</v>
      </c>
      <c r="M745" s="2" t="s">
        <v>2526</v>
      </c>
      <c r="N745" s="8">
        <f>IFERROR(G745/F745,0)</f>
        <v>8.9587344919199549E-2</v>
      </c>
      <c r="O745" s="8">
        <f>IFERROR(H745/G745,0)</f>
        <v>7.4955788328118625E-2</v>
      </c>
      <c r="P745" s="4">
        <f>IFERROR(I745/G745,0)</f>
        <v>0.63143245816895655</v>
      </c>
      <c r="Q745" s="4">
        <f>IFERROR(I745/H745,0)</f>
        <v>8.4240653357531752</v>
      </c>
      <c r="R745" s="12">
        <f>IFERROR(J745/I745,0)</f>
        <v>20.078999754398211</v>
      </c>
      <c r="S745" s="7">
        <f>Tabla_nuevas_columnas[[#This Row],[ROAS]]</f>
        <v>20.078999754398211</v>
      </c>
      <c r="T745" t="str">
        <f>_xlfn.CONCAT(C745,"-",D745)</f>
        <v>Affiliate-España</v>
      </c>
      <c r="U745">
        <f>YEAR(A745)</f>
        <v>2025</v>
      </c>
      <c r="V745">
        <f>MONTH(A745)</f>
        <v>8</v>
      </c>
      <c r="W745" t="str">
        <f>PROPER(TEXT(A745,"mmmm"))</f>
        <v>Agosto</v>
      </c>
      <c r="X745" t="str">
        <f>PROPER(TEXT(A745,"dddd"))</f>
        <v>Domingo</v>
      </c>
      <c r="Y745" t="str" cm="1">
        <f t="array" ref="Y745">_xlfn.IFS(R745&gt;10,"Excelente",R745&gt;=5,"Bueno",R745&gt;=2,"Débil",R745&lt;2,"Deficiente")</f>
        <v>Excelente</v>
      </c>
      <c r="Z745" t="str">
        <f>IF(AND(R745&lt;2,Q745&gt;=100),"Revisar","OK")</f>
        <v>OK</v>
      </c>
      <c r="AA745" s="55">
        <f>_xlfn.XLOOKUP(C745,'Preguntas de negocio'!$C$114:$C$119,'Preguntas de negocio'!$D$114:$D$119,0)</f>
        <v>4.5</v>
      </c>
      <c r="AB745" s="55">
        <f>VLOOKUP(C745,'Preguntas de negocio'!$C$121:$D$127,2,FALSE)</f>
        <v>0.35</v>
      </c>
    </row>
    <row r="746" spans="1:28" x14ac:dyDescent="0.3">
      <c r="A746" s="1">
        <v>45743</v>
      </c>
      <c r="B746" s="2" t="s">
        <v>2635</v>
      </c>
      <c r="C746" s="2" t="s">
        <v>2515</v>
      </c>
      <c r="D746" s="2" t="s">
        <v>2528</v>
      </c>
      <c r="E746" s="2" t="s">
        <v>2529</v>
      </c>
      <c r="F746" s="3">
        <v>120467</v>
      </c>
      <c r="G746" s="3">
        <v>7430</v>
      </c>
      <c r="H746" s="3">
        <v>464</v>
      </c>
      <c r="I746" s="4">
        <v>8519.35</v>
      </c>
      <c r="J746" s="4">
        <v>89816.69</v>
      </c>
      <c r="K746" s="3">
        <v>240</v>
      </c>
      <c r="L746" s="2" t="s">
        <v>2539</v>
      </c>
      <c r="M746" s="2" t="s">
        <v>2519</v>
      </c>
      <c r="N746" s="8">
        <f>IFERROR(G746/F746,0)</f>
        <v>6.1676641735911079E-2</v>
      </c>
      <c r="O746" s="8">
        <f>IFERROR(H746/G746,0)</f>
        <v>6.2449528936742937E-2</v>
      </c>
      <c r="P746" s="4">
        <f>IFERROR(I746/G746,0)</f>
        <v>1.1466150740242262</v>
      </c>
      <c r="Q746" s="4">
        <f>IFERROR(I746/H746,0)</f>
        <v>18.360668103448276</v>
      </c>
      <c r="R746" s="12">
        <f>IFERROR(J746/I746,0)</f>
        <v>10.542669335101856</v>
      </c>
      <c r="S746" s="7">
        <f>Tabla_nuevas_columnas[[#This Row],[ROAS]]</f>
        <v>10.542669335101856</v>
      </c>
      <c r="T746" t="str">
        <f>_xlfn.CONCAT(C746,"-",D746)</f>
        <v>Email-España</v>
      </c>
      <c r="U746">
        <f>YEAR(A746)</f>
        <v>2025</v>
      </c>
      <c r="V746">
        <f>MONTH(A746)</f>
        <v>3</v>
      </c>
      <c r="W746" t="str">
        <f>PROPER(TEXT(A746,"mmmm"))</f>
        <v>Marzo</v>
      </c>
      <c r="X746" t="str">
        <f>PROPER(TEXT(A746,"dddd"))</f>
        <v>Jueves</v>
      </c>
      <c r="Y746" t="str" cm="1">
        <f t="array" ref="Y746">_xlfn.IFS(R746&gt;10,"Excelente",R746&gt;=5,"Bueno",R746&gt;=2,"Débil",R746&lt;2,"Deficiente")</f>
        <v>Excelente</v>
      </c>
      <c r="Z746" t="str">
        <f>IF(AND(R746&lt;2,Q746&gt;=100),"Revisar","OK")</f>
        <v>OK</v>
      </c>
      <c r="AA746" s="55">
        <f>_xlfn.XLOOKUP(C746,'Preguntas de negocio'!$C$114:$C$119,'Preguntas de negocio'!$D$114:$D$119,0)</f>
        <v>5.5</v>
      </c>
      <c r="AB746" s="55">
        <f>VLOOKUP(C746,'Preguntas de negocio'!$C$121:$D$127,2,FALSE)</f>
        <v>0.65</v>
      </c>
    </row>
    <row r="747" spans="1:28" x14ac:dyDescent="0.3">
      <c r="A747" s="1">
        <v>45956</v>
      </c>
      <c r="B747" s="2" t="s">
        <v>2633</v>
      </c>
      <c r="C747" s="2" t="s">
        <v>2527</v>
      </c>
      <c r="D747" s="2" t="s">
        <v>2525</v>
      </c>
      <c r="E747" s="2" t="s">
        <v>2517</v>
      </c>
      <c r="F747" s="3">
        <v>102121</v>
      </c>
      <c r="G747" s="3">
        <v>3387</v>
      </c>
      <c r="H747" s="3">
        <v>80</v>
      </c>
      <c r="I747" s="4">
        <v>1947.51</v>
      </c>
      <c r="J747" s="4">
        <v>15005.61</v>
      </c>
      <c r="K747" s="3">
        <v>64</v>
      </c>
      <c r="L747" s="2" t="s">
        <v>2539</v>
      </c>
      <c r="M747" s="2" t="s">
        <v>2519</v>
      </c>
      <c r="N747" s="8">
        <f>IFERROR(G747/F747,0)</f>
        <v>3.3166537734648116E-2</v>
      </c>
      <c r="O747" s="8">
        <f>IFERROR(H747/G747,0)</f>
        <v>2.3619722468260999E-2</v>
      </c>
      <c r="P747" s="4">
        <f>IFERROR(I747/G747,0)</f>
        <v>0.57499557130203716</v>
      </c>
      <c r="Q747" s="4">
        <f>IFERROR(I747/H747,0)</f>
        <v>24.343875000000001</v>
      </c>
      <c r="R747" s="12">
        <f>IFERROR(J747/I747,0)</f>
        <v>7.7050233374924906</v>
      </c>
      <c r="S747" s="7">
        <f>Tabla_nuevas_columnas[[#This Row],[ROAS]]</f>
        <v>7.7050233374924906</v>
      </c>
      <c r="T747" t="str">
        <f>_xlfn.CONCAT(C747,"-",D747)</f>
        <v>Affiliate-Francia</v>
      </c>
      <c r="U747">
        <f>YEAR(A747)</f>
        <v>2025</v>
      </c>
      <c r="V747">
        <f>MONTH(A747)</f>
        <v>10</v>
      </c>
      <c r="W747" t="str">
        <f>PROPER(TEXT(A747,"mmmm"))</f>
        <v>Octubre</v>
      </c>
      <c r="X747" t="str">
        <f>PROPER(TEXT(A747,"dddd"))</f>
        <v>Domingo</v>
      </c>
      <c r="Y747" t="str" cm="1">
        <f t="array" ref="Y747">_xlfn.IFS(R747&gt;10,"Excelente",R747&gt;=5,"Bueno",R747&gt;=2,"Débil",R747&lt;2,"Deficiente")</f>
        <v>Bueno</v>
      </c>
      <c r="Z747" t="str">
        <f>IF(AND(R747&lt;2,Q747&gt;=100),"Revisar","OK")</f>
        <v>OK</v>
      </c>
      <c r="AA747" s="55">
        <f>_xlfn.XLOOKUP(C747,'Preguntas de negocio'!$C$114:$C$119,'Preguntas de negocio'!$D$114:$D$119,0)</f>
        <v>4.5</v>
      </c>
      <c r="AB747" s="55">
        <f>VLOOKUP(C747,'Preguntas de negocio'!$C$121:$D$127,2,FALSE)</f>
        <v>0.35</v>
      </c>
    </row>
    <row r="748" spans="1:28" x14ac:dyDescent="0.3">
      <c r="A748" s="1">
        <v>46013</v>
      </c>
      <c r="B748" s="2" t="s">
        <v>2621</v>
      </c>
      <c r="C748" s="2" t="s">
        <v>2515</v>
      </c>
      <c r="D748" s="2" t="s">
        <v>2528</v>
      </c>
      <c r="E748" s="2" t="s">
        <v>2517</v>
      </c>
      <c r="F748" s="3">
        <v>53461</v>
      </c>
      <c r="G748" s="3">
        <v>1511</v>
      </c>
      <c r="H748" s="3">
        <v>99</v>
      </c>
      <c r="I748" s="4">
        <v>1560.39</v>
      </c>
      <c r="J748" s="4">
        <v>3052.32</v>
      </c>
      <c r="K748" s="3">
        <v>64</v>
      </c>
      <c r="L748" s="2" t="s">
        <v>2518</v>
      </c>
      <c r="M748" s="2" t="s">
        <v>2526</v>
      </c>
      <c r="N748" s="8">
        <f>IFERROR(G748/F748,0)</f>
        <v>2.8263594021810293E-2</v>
      </c>
      <c r="O748" s="8">
        <f>IFERROR(H748/G748,0)</f>
        <v>6.5519523494374593E-2</v>
      </c>
      <c r="P748" s="4">
        <f>IFERROR(I748/G748,0)</f>
        <v>1.0326869622766381</v>
      </c>
      <c r="Q748" s="4">
        <f>IFERROR(I748/H748,0)</f>
        <v>15.761515151515152</v>
      </c>
      <c r="R748" s="12">
        <f>IFERROR(J748/I748,0)</f>
        <v>1.9561263530271278</v>
      </c>
      <c r="S748" s="7">
        <f>Tabla_nuevas_columnas[[#This Row],[ROAS]]</f>
        <v>1.9561263530271278</v>
      </c>
      <c r="T748" t="str">
        <f>_xlfn.CONCAT(C748,"-",D748)</f>
        <v>Email-España</v>
      </c>
      <c r="U748">
        <f>YEAR(A748)</f>
        <v>2025</v>
      </c>
      <c r="V748">
        <f>MONTH(A748)</f>
        <v>12</v>
      </c>
      <c r="W748" t="str">
        <f>PROPER(TEXT(A748,"mmmm"))</f>
        <v>Diciembre</v>
      </c>
      <c r="X748" t="str">
        <f>PROPER(TEXT(A748,"dddd"))</f>
        <v>Lunes</v>
      </c>
      <c r="Y748" t="str" cm="1">
        <f t="array" ref="Y748">_xlfn.IFS(R748&gt;10,"Excelente",R748&gt;=5,"Bueno",R748&gt;=2,"Débil",R748&lt;2,"Deficiente")</f>
        <v>Deficiente</v>
      </c>
      <c r="Z748" t="str">
        <f>IF(AND(R748&lt;2,Q748&gt;=100),"Revisar","OK")</f>
        <v>OK</v>
      </c>
      <c r="AA748" s="55">
        <f>_xlfn.XLOOKUP(C748,'Preguntas de negocio'!$C$114:$C$119,'Preguntas de negocio'!$D$114:$D$119,0)</f>
        <v>5.5</v>
      </c>
      <c r="AB748" s="55">
        <f>VLOOKUP(C748,'Preguntas de negocio'!$C$121:$D$127,2,FALSE)</f>
        <v>0.65</v>
      </c>
    </row>
    <row r="749" spans="1:28" x14ac:dyDescent="0.3">
      <c r="A749" s="1">
        <v>45866</v>
      </c>
      <c r="B749" s="2" t="s">
        <v>2616</v>
      </c>
      <c r="C749" s="2" t="s">
        <v>2527</v>
      </c>
      <c r="D749" s="2" t="s">
        <v>2528</v>
      </c>
      <c r="E749" s="2" t="s">
        <v>2529</v>
      </c>
      <c r="F749" s="3">
        <v>22283</v>
      </c>
      <c r="G749" s="3">
        <v>888</v>
      </c>
      <c r="H749" s="3">
        <v>69</v>
      </c>
      <c r="I749" s="4">
        <v>1735.99</v>
      </c>
      <c r="J749" s="4">
        <v>14236.12</v>
      </c>
      <c r="K749" s="3">
        <v>45</v>
      </c>
      <c r="L749" s="2" t="s">
        <v>2539</v>
      </c>
      <c r="M749" s="2" t="s">
        <v>2519</v>
      </c>
      <c r="N749" s="8">
        <f>IFERROR(G749/F749,0)</f>
        <v>3.9851007494502537E-2</v>
      </c>
      <c r="O749" s="8">
        <f>IFERROR(H749/G749,0)</f>
        <v>7.77027027027027E-2</v>
      </c>
      <c r="P749" s="4">
        <f>IFERROR(I749/G749,0)</f>
        <v>1.9549436936936937</v>
      </c>
      <c r="Q749" s="4">
        <f>IFERROR(I749/H749,0)</f>
        <v>25.159275362318841</v>
      </c>
      <c r="R749" s="12">
        <f>IFERROR(J749/I749,0)</f>
        <v>8.200577192264932</v>
      </c>
      <c r="S749" s="7">
        <f>Tabla_nuevas_columnas[[#This Row],[ROAS]]</f>
        <v>8.200577192264932</v>
      </c>
      <c r="T749" t="str">
        <f>_xlfn.CONCAT(C749,"-",D749)</f>
        <v>Affiliate-España</v>
      </c>
      <c r="U749">
        <f>YEAR(A749)</f>
        <v>2025</v>
      </c>
      <c r="V749">
        <f>MONTH(A749)</f>
        <v>7</v>
      </c>
      <c r="W749" t="str">
        <f>PROPER(TEXT(A749,"mmmm"))</f>
        <v>Julio</v>
      </c>
      <c r="X749" t="str">
        <f>PROPER(TEXT(A749,"dddd"))</f>
        <v>Lunes</v>
      </c>
      <c r="Y749" t="str" cm="1">
        <f t="array" ref="Y749">_xlfn.IFS(R749&gt;10,"Excelente",R749&gt;=5,"Bueno",R749&gt;=2,"Débil",R749&lt;2,"Deficiente")</f>
        <v>Bueno</v>
      </c>
      <c r="Z749" t="str">
        <f>IF(AND(R749&lt;2,Q749&gt;=100),"Revisar","OK")</f>
        <v>OK</v>
      </c>
      <c r="AA749" s="55">
        <f>_xlfn.XLOOKUP(C749,'Preguntas de negocio'!$C$114:$C$119,'Preguntas de negocio'!$D$114:$D$119,0)</f>
        <v>4.5</v>
      </c>
      <c r="AB749" s="55">
        <f>VLOOKUP(C749,'Preguntas de negocio'!$C$121:$D$127,2,FALSE)</f>
        <v>0.35</v>
      </c>
    </row>
    <row r="750" spans="1:28" x14ac:dyDescent="0.3">
      <c r="A750" s="1">
        <v>45978</v>
      </c>
      <c r="B750" s="2" t="s">
        <v>2643</v>
      </c>
      <c r="C750" s="2" t="s">
        <v>2543</v>
      </c>
      <c r="D750" s="2" t="s">
        <v>2525</v>
      </c>
      <c r="E750" s="2" t="s">
        <v>2529</v>
      </c>
      <c r="F750" s="3">
        <v>28046</v>
      </c>
      <c r="G750" s="3">
        <v>765</v>
      </c>
      <c r="H750" s="3">
        <v>87</v>
      </c>
      <c r="I750" s="4">
        <v>1081.6199999999999</v>
      </c>
      <c r="J750" s="4">
        <v>10782.28</v>
      </c>
      <c r="K750" s="3">
        <v>76</v>
      </c>
      <c r="L750" s="2" t="s">
        <v>2518</v>
      </c>
      <c r="M750" s="2" t="s">
        <v>2519</v>
      </c>
      <c r="N750" s="8">
        <f>IFERROR(G750/F750,0)</f>
        <v>2.727661698637952E-2</v>
      </c>
      <c r="O750" s="8">
        <f>IFERROR(H750/G750,0)</f>
        <v>0.11372549019607843</v>
      </c>
      <c r="P750" s="4">
        <f>IFERROR(I750/G750,0)</f>
        <v>1.4138823529411764</v>
      </c>
      <c r="Q750" s="4">
        <f>IFERROR(I750/H750,0)</f>
        <v>12.432413793103446</v>
      </c>
      <c r="R750" s="12">
        <f>IFERROR(J750/I750,0)</f>
        <v>9.9686396331428799</v>
      </c>
      <c r="S750" s="7">
        <f>Tabla_nuevas_columnas[[#This Row],[ROAS]]</f>
        <v>9.9686396331428799</v>
      </c>
      <c r="T750" t="str">
        <f>_xlfn.CONCAT(C750,"-",D750)</f>
        <v>Organic Social-Francia</v>
      </c>
      <c r="U750">
        <f>YEAR(A750)</f>
        <v>2025</v>
      </c>
      <c r="V750">
        <f>MONTH(A750)</f>
        <v>11</v>
      </c>
      <c r="W750" t="str">
        <f>PROPER(TEXT(A750,"mmmm"))</f>
        <v>Noviembre</v>
      </c>
      <c r="X750" t="str">
        <f>PROPER(TEXT(A750,"dddd"))</f>
        <v>Lunes</v>
      </c>
      <c r="Y750" t="str" cm="1">
        <f t="array" ref="Y750">_xlfn.IFS(R750&gt;10,"Excelente",R750&gt;=5,"Bueno",R750&gt;=2,"Débil",R750&lt;2,"Deficiente")</f>
        <v>Bueno</v>
      </c>
      <c r="Z750" t="str">
        <f>IF(AND(R750&lt;2,Q750&gt;=100),"Revisar","OK")</f>
        <v>OK</v>
      </c>
      <c r="AA750" s="55">
        <f>_xlfn.XLOOKUP(C750,'Preguntas de negocio'!$C$114:$C$119,'Preguntas de negocio'!$D$114:$D$119,0)</f>
        <v>4</v>
      </c>
      <c r="AB750" s="55">
        <f>VLOOKUP(C750,'Preguntas de negocio'!$C$121:$D$127,2,FALSE)</f>
        <v>0.95</v>
      </c>
    </row>
    <row r="751" spans="1:28" x14ac:dyDescent="0.3">
      <c r="A751" s="1">
        <v>45911</v>
      </c>
      <c r="B751" s="2" t="s">
        <v>2635</v>
      </c>
      <c r="C751" s="2" t="s">
        <v>2527</v>
      </c>
      <c r="D751" s="2" t="s">
        <v>2528</v>
      </c>
      <c r="E751" s="2" t="s">
        <v>2517</v>
      </c>
      <c r="F751" s="3">
        <v>27301</v>
      </c>
      <c r="G751" s="3">
        <v>2196</v>
      </c>
      <c r="H751" s="3">
        <v>18</v>
      </c>
      <c r="I751" s="4">
        <v>2795.96</v>
      </c>
      <c r="J751" s="4">
        <v>1053.48</v>
      </c>
      <c r="K751" s="3">
        <v>9</v>
      </c>
      <c r="L751" s="2" t="s">
        <v>2539</v>
      </c>
      <c r="M751" s="2" t="s">
        <v>2526</v>
      </c>
      <c r="N751" s="8">
        <f>IFERROR(G751/F751,0)</f>
        <v>8.0436614043441629E-2</v>
      </c>
      <c r="O751" s="8">
        <f>IFERROR(H751/G751,0)</f>
        <v>8.1967213114754103E-3</v>
      </c>
      <c r="P751" s="4">
        <f>IFERROR(I751/G751,0)</f>
        <v>1.2732058287795993</v>
      </c>
      <c r="Q751" s="4">
        <f>IFERROR(I751/H751,0)</f>
        <v>155.33111111111111</v>
      </c>
      <c r="R751" s="12">
        <f>IFERROR(J751/I751,0)</f>
        <v>0.37678650624472454</v>
      </c>
      <c r="S751" s="7">
        <f>Tabla_nuevas_columnas[[#This Row],[ROAS]]</f>
        <v>0.37678650624472454</v>
      </c>
      <c r="T751" t="str">
        <f>_xlfn.CONCAT(C751,"-",D751)</f>
        <v>Affiliate-España</v>
      </c>
      <c r="U751">
        <f>YEAR(A751)</f>
        <v>2025</v>
      </c>
      <c r="V751">
        <f>MONTH(A751)</f>
        <v>9</v>
      </c>
      <c r="W751" t="str">
        <f>PROPER(TEXT(A751,"mmmm"))</f>
        <v>Septiembre</v>
      </c>
      <c r="X751" t="str">
        <f>PROPER(TEXT(A751,"dddd"))</f>
        <v>Jueves</v>
      </c>
      <c r="Y751" t="str" cm="1">
        <f t="array" ref="Y751">_xlfn.IFS(R751&gt;10,"Excelente",R751&gt;=5,"Bueno",R751&gt;=2,"Débil",R751&lt;2,"Deficiente")</f>
        <v>Deficiente</v>
      </c>
      <c r="Z751" t="str">
        <f>IF(AND(R751&lt;2,Q751&gt;=100),"Revisar","OK")</f>
        <v>Revisar</v>
      </c>
      <c r="AA751" s="55">
        <f>_xlfn.XLOOKUP(C751,'Preguntas de negocio'!$C$114:$C$119,'Preguntas de negocio'!$D$114:$D$119,0)</f>
        <v>4.5</v>
      </c>
      <c r="AB751" s="55">
        <f>VLOOKUP(C751,'Preguntas de negocio'!$C$121:$D$127,2,FALSE)</f>
        <v>0.35</v>
      </c>
    </row>
    <row r="752" spans="1:28" x14ac:dyDescent="0.3">
      <c r="A752" s="1">
        <v>45911</v>
      </c>
      <c r="B752" s="2" t="s">
        <v>2615</v>
      </c>
      <c r="C752" s="2" t="s">
        <v>2543</v>
      </c>
      <c r="D752" s="2" t="s">
        <v>2525</v>
      </c>
      <c r="E752" s="2" t="s">
        <v>2529</v>
      </c>
      <c r="F752" s="3">
        <v>21900</v>
      </c>
      <c r="G752" s="3">
        <v>1871</v>
      </c>
      <c r="H752" s="3">
        <v>46</v>
      </c>
      <c r="I752" s="4">
        <v>3152.95</v>
      </c>
      <c r="J752" s="4">
        <v>2841.2</v>
      </c>
      <c r="K752" s="3">
        <v>35</v>
      </c>
      <c r="L752" s="2" t="s">
        <v>2536</v>
      </c>
      <c r="M752" s="2" t="s">
        <v>2546</v>
      </c>
      <c r="N752" s="8">
        <f>IFERROR(G752/F752,0)</f>
        <v>8.5433789954337896E-2</v>
      </c>
      <c r="O752" s="8">
        <f>IFERROR(H752/G752,0)</f>
        <v>2.4585783003741316E-2</v>
      </c>
      <c r="P752" s="4">
        <f>IFERROR(I752/G752,0)</f>
        <v>1.6851683591662212</v>
      </c>
      <c r="Q752" s="4">
        <f>IFERROR(I752/H752,0)</f>
        <v>68.542391304347817</v>
      </c>
      <c r="R752" s="12">
        <f>IFERROR(J752/I752,0)</f>
        <v>0.90112434386844065</v>
      </c>
      <c r="S752" s="7">
        <f>Tabla_nuevas_columnas[[#This Row],[ROAS]]</f>
        <v>0.90112434386844065</v>
      </c>
      <c r="T752" t="str">
        <f>_xlfn.CONCAT(C752,"-",D752)</f>
        <v>Organic Social-Francia</v>
      </c>
      <c r="U752">
        <f>YEAR(A752)</f>
        <v>2025</v>
      </c>
      <c r="V752">
        <f>MONTH(A752)</f>
        <v>9</v>
      </c>
      <c r="W752" t="str">
        <f>PROPER(TEXT(A752,"mmmm"))</f>
        <v>Septiembre</v>
      </c>
      <c r="X752" t="str">
        <f>PROPER(TEXT(A752,"dddd"))</f>
        <v>Jueves</v>
      </c>
      <c r="Y752" t="str" cm="1">
        <f t="array" ref="Y752">_xlfn.IFS(R752&gt;10,"Excelente",R752&gt;=5,"Bueno",R752&gt;=2,"Débil",R752&lt;2,"Deficiente")</f>
        <v>Deficiente</v>
      </c>
      <c r="Z752" t="str">
        <f>IF(AND(R752&lt;2,Q752&gt;=100),"Revisar","OK")</f>
        <v>OK</v>
      </c>
      <c r="AA752" s="55">
        <f>_xlfn.XLOOKUP(C752,'Preguntas de negocio'!$C$114:$C$119,'Preguntas de negocio'!$D$114:$D$119,0)</f>
        <v>4</v>
      </c>
      <c r="AB752" s="55">
        <f>VLOOKUP(C752,'Preguntas de negocio'!$C$121:$D$127,2,FALSE)</f>
        <v>0.95</v>
      </c>
    </row>
    <row r="753" spans="1:28" x14ac:dyDescent="0.3">
      <c r="A753" s="1">
        <v>45884</v>
      </c>
      <c r="B753" s="2" t="s">
        <v>2628</v>
      </c>
      <c r="C753" s="2" t="s">
        <v>2533</v>
      </c>
      <c r="D753" s="2" t="s">
        <v>2528</v>
      </c>
      <c r="E753" s="2" t="s">
        <v>2517</v>
      </c>
      <c r="F753" s="3">
        <v>21145</v>
      </c>
      <c r="G753" s="3">
        <v>312</v>
      </c>
      <c r="H753" s="3">
        <v>37</v>
      </c>
      <c r="I753" s="4">
        <v>95.27</v>
      </c>
      <c r="J753" s="4">
        <v>1987.06</v>
      </c>
      <c r="K753" s="3">
        <v>32</v>
      </c>
      <c r="L753" s="2" t="s">
        <v>2539</v>
      </c>
      <c r="M753" s="2" t="s">
        <v>2526</v>
      </c>
      <c r="N753" s="8">
        <f>IFERROR(G753/F753,0)</f>
        <v>1.4755261291085363E-2</v>
      </c>
      <c r="O753" s="8">
        <f>IFERROR(H753/G753,0)</f>
        <v>0.11858974358974358</v>
      </c>
      <c r="P753" s="4">
        <f>IFERROR(I753/G753,0)</f>
        <v>0.30535256410256412</v>
      </c>
      <c r="Q753" s="4">
        <f>IFERROR(I753/H753,0)</f>
        <v>2.5748648648648649</v>
      </c>
      <c r="R753" s="12">
        <f>IFERROR(J753/I753,0)</f>
        <v>20.857142857142858</v>
      </c>
      <c r="S753" s="7">
        <f>Tabla_nuevas_columnas[[#This Row],[ROAS]]</f>
        <v>20.857142857142858</v>
      </c>
      <c r="T753" t="str">
        <f>_xlfn.CONCAT(C753,"-",D753)</f>
        <v>Paid Social-España</v>
      </c>
      <c r="U753">
        <f>YEAR(A753)</f>
        <v>2025</v>
      </c>
      <c r="V753">
        <f>MONTH(A753)</f>
        <v>8</v>
      </c>
      <c r="W753" t="str">
        <f>PROPER(TEXT(A753,"mmmm"))</f>
        <v>Agosto</v>
      </c>
      <c r="X753" t="str">
        <f>PROPER(TEXT(A753,"dddd"))</f>
        <v>Viernes</v>
      </c>
      <c r="Y753" t="str" cm="1">
        <f t="array" ref="Y753">_xlfn.IFS(R753&gt;10,"Excelente",R753&gt;=5,"Bueno",R753&gt;=2,"Débil",R753&lt;2,"Deficiente")</f>
        <v>Excelente</v>
      </c>
      <c r="Z753" t="str">
        <f>IF(AND(R753&lt;2,Q753&gt;=100),"Revisar","OK")</f>
        <v>OK</v>
      </c>
      <c r="AA753" s="55">
        <f>_xlfn.XLOOKUP(C753,'Preguntas de negocio'!$C$114:$C$119,'Preguntas de negocio'!$D$114:$D$119,0)</f>
        <v>6</v>
      </c>
      <c r="AB753" s="55">
        <f>VLOOKUP(C753,'Preguntas de negocio'!$C$121:$D$127,2,FALSE)</f>
        <v>0.8</v>
      </c>
    </row>
    <row r="754" spans="1:28" x14ac:dyDescent="0.3">
      <c r="A754" s="1">
        <v>45985</v>
      </c>
      <c r="B754" s="2" t="s">
        <v>2622</v>
      </c>
      <c r="C754" s="2" t="s">
        <v>2541</v>
      </c>
      <c r="D754" s="2" t="s">
        <v>2528</v>
      </c>
      <c r="E754" s="2" t="s">
        <v>2529</v>
      </c>
      <c r="F754" s="3">
        <v>99270</v>
      </c>
      <c r="G754" s="3">
        <v>5091</v>
      </c>
      <c r="H754" s="3">
        <v>479</v>
      </c>
      <c r="I754" s="4">
        <v>9174.77</v>
      </c>
      <c r="J754" s="4">
        <v>95271.37</v>
      </c>
      <c r="K754" s="3">
        <v>300</v>
      </c>
      <c r="L754" s="2" t="s">
        <v>2536</v>
      </c>
      <c r="M754" s="2" t="s">
        <v>2537</v>
      </c>
      <c r="N754" s="8">
        <f>IFERROR(G754/F754,0)</f>
        <v>5.1284375944394077E-2</v>
      </c>
      <c r="O754" s="8">
        <f>IFERROR(H754/G754,0)</f>
        <v>9.4087605578471817E-2</v>
      </c>
      <c r="P754" s="4">
        <f>IFERROR(I754/G754,0)</f>
        <v>1.8021547829503046</v>
      </c>
      <c r="Q754" s="4">
        <f>IFERROR(I754/H754,0)</f>
        <v>19.154008350730688</v>
      </c>
      <c r="R754" s="12">
        <f>IFERROR(J754/I754,0)</f>
        <v>10.384060853841566</v>
      </c>
      <c r="S754" s="7">
        <f>Tabla_nuevas_columnas[[#This Row],[ROAS]]</f>
        <v>10.384060853841566</v>
      </c>
      <c r="T754" t="str">
        <f>_xlfn.CONCAT(C754,"-",D754)</f>
        <v>Display-España</v>
      </c>
      <c r="U754">
        <f>YEAR(A754)</f>
        <v>2025</v>
      </c>
      <c r="V754">
        <f>MONTH(A754)</f>
        <v>11</v>
      </c>
      <c r="W754" t="str">
        <f>PROPER(TEXT(A754,"mmmm"))</f>
        <v>Noviembre</v>
      </c>
      <c r="X754" t="str">
        <f>PROPER(TEXT(A754,"dddd"))</f>
        <v>Lunes</v>
      </c>
      <c r="Y754" t="str" cm="1">
        <f t="array" ref="Y754">_xlfn.IFS(R754&gt;10,"Excelente",R754&gt;=5,"Bueno",R754&gt;=2,"Débil",R754&lt;2,"Deficiente")</f>
        <v>Excelente</v>
      </c>
      <c r="Z754" t="str">
        <f>IF(AND(R754&lt;2,Q754&gt;=100),"Revisar","OK")</f>
        <v>OK</v>
      </c>
      <c r="AA754" s="55">
        <f>_xlfn.XLOOKUP(C754,'Preguntas de negocio'!$C$114:$C$119,'Preguntas de negocio'!$D$114:$D$119,0)</f>
        <v>5</v>
      </c>
      <c r="AB754" s="55">
        <f>VLOOKUP(C754,'Preguntas de negocio'!$C$121:$D$127,2,FALSE)</f>
        <v>0.5</v>
      </c>
    </row>
    <row r="755" spans="1:28" x14ac:dyDescent="0.3">
      <c r="A755" s="1">
        <v>45728</v>
      </c>
      <c r="B755" s="2" t="s">
        <v>2621</v>
      </c>
      <c r="C755" s="2" t="s">
        <v>2541</v>
      </c>
      <c r="D755" s="2" t="s">
        <v>2531</v>
      </c>
      <c r="E755" s="2" t="s">
        <v>2517</v>
      </c>
      <c r="F755" s="3">
        <v>34220</v>
      </c>
      <c r="G755" s="3">
        <v>1476</v>
      </c>
      <c r="H755" s="3">
        <v>119</v>
      </c>
      <c r="I755" s="4">
        <v>2550.65</v>
      </c>
      <c r="J755" s="4">
        <v>3059.4</v>
      </c>
      <c r="K755" s="3">
        <v>89</v>
      </c>
      <c r="L755" s="2" t="s">
        <v>2518</v>
      </c>
      <c r="M755" s="2" t="s">
        <v>2519</v>
      </c>
      <c r="N755" s="8">
        <f>IFERROR(G755/F755,0)</f>
        <v>4.3132670952659262E-2</v>
      </c>
      <c r="O755" s="8">
        <f>IFERROR(H755/G755,0)</f>
        <v>8.0623306233062325E-2</v>
      </c>
      <c r="P755" s="4">
        <f>IFERROR(I755/G755,0)</f>
        <v>1.7280826558265583</v>
      </c>
      <c r="Q755" s="4">
        <f>IFERROR(I755/H755,0)</f>
        <v>21.434033613445379</v>
      </c>
      <c r="R755" s="12">
        <f>IFERROR(J755/I755,0)</f>
        <v>1.1994589614412012</v>
      </c>
      <c r="S755" s="7">
        <f>Tabla_nuevas_columnas[[#This Row],[ROAS]]</f>
        <v>1.1994589614412012</v>
      </c>
      <c r="T755" t="str">
        <f>_xlfn.CONCAT(C755,"-",D755)</f>
        <v>Display-Portugal</v>
      </c>
      <c r="U755">
        <f>YEAR(A755)</f>
        <v>2025</v>
      </c>
      <c r="V755">
        <f>MONTH(A755)</f>
        <v>3</v>
      </c>
      <c r="W755" t="str">
        <f>PROPER(TEXT(A755,"mmmm"))</f>
        <v>Marzo</v>
      </c>
      <c r="X755" t="str">
        <f>PROPER(TEXT(A755,"dddd"))</f>
        <v>Miércoles</v>
      </c>
      <c r="Y755" t="str" cm="1">
        <f t="array" ref="Y755">_xlfn.IFS(R755&gt;10,"Excelente",R755&gt;=5,"Bueno",R755&gt;=2,"Débil",R755&lt;2,"Deficiente")</f>
        <v>Deficiente</v>
      </c>
      <c r="Z755" t="str">
        <f>IF(AND(R755&lt;2,Q755&gt;=100),"Revisar","OK")</f>
        <v>OK</v>
      </c>
      <c r="AA755" s="55">
        <f>_xlfn.XLOOKUP(C755,'Preguntas de negocio'!$C$114:$C$119,'Preguntas de negocio'!$D$114:$D$119,0)</f>
        <v>5</v>
      </c>
      <c r="AB755" s="55">
        <f>VLOOKUP(C755,'Preguntas de negocio'!$C$121:$D$127,2,FALSE)</f>
        <v>0.5</v>
      </c>
    </row>
    <row r="756" spans="1:28" x14ac:dyDescent="0.3">
      <c r="A756" s="1">
        <v>46013</v>
      </c>
      <c r="B756" s="2" t="s">
        <v>2622</v>
      </c>
      <c r="C756" s="2" t="s">
        <v>2543</v>
      </c>
      <c r="D756" s="2" t="s">
        <v>2531</v>
      </c>
      <c r="E756" s="2" t="s">
        <v>2529</v>
      </c>
      <c r="F756" s="3">
        <v>28165</v>
      </c>
      <c r="G756" s="3">
        <v>782</v>
      </c>
      <c r="H756" s="3">
        <v>82</v>
      </c>
      <c r="I756" s="4">
        <v>827.74</v>
      </c>
      <c r="J756" s="4">
        <v>12117.77</v>
      </c>
      <c r="K756" s="3">
        <v>41</v>
      </c>
      <c r="L756" s="2" t="s">
        <v>2539</v>
      </c>
      <c r="M756" s="2" t="s">
        <v>2546</v>
      </c>
      <c r="N756" s="8">
        <f>IFERROR(G756/F756,0)</f>
        <v>2.7764956506302146E-2</v>
      </c>
      <c r="O756" s="8">
        <f>IFERROR(H756/G756,0)</f>
        <v>0.10485933503836317</v>
      </c>
      <c r="P756" s="4">
        <f>IFERROR(I756/G756,0)</f>
        <v>1.0584910485933503</v>
      </c>
      <c r="Q756" s="4">
        <f>IFERROR(I756/H756,0)</f>
        <v>10.094390243902438</v>
      </c>
      <c r="R756" s="12">
        <f>IFERROR(J756/I756,0)</f>
        <v>14.639584893807234</v>
      </c>
      <c r="S756" s="7">
        <f>Tabla_nuevas_columnas[[#This Row],[ROAS]]</f>
        <v>14.639584893807234</v>
      </c>
      <c r="T756" t="str">
        <f>_xlfn.CONCAT(C756,"-",D756)</f>
        <v>Organic Social-Portugal</v>
      </c>
      <c r="U756">
        <f>YEAR(A756)</f>
        <v>2025</v>
      </c>
      <c r="V756">
        <f>MONTH(A756)</f>
        <v>12</v>
      </c>
      <c r="W756" t="str">
        <f>PROPER(TEXT(A756,"mmmm"))</f>
        <v>Diciembre</v>
      </c>
      <c r="X756" t="str">
        <f>PROPER(TEXT(A756,"dddd"))</f>
        <v>Lunes</v>
      </c>
      <c r="Y756" t="str" cm="1">
        <f t="array" ref="Y756">_xlfn.IFS(R756&gt;10,"Excelente",R756&gt;=5,"Bueno",R756&gt;=2,"Débil",R756&lt;2,"Deficiente")</f>
        <v>Excelente</v>
      </c>
      <c r="Z756" t="str">
        <f>IF(AND(R756&lt;2,Q756&gt;=100),"Revisar","OK")</f>
        <v>OK</v>
      </c>
      <c r="AA756" s="55">
        <f>_xlfn.XLOOKUP(C756,'Preguntas de negocio'!$C$114:$C$119,'Preguntas de negocio'!$D$114:$D$119,0)</f>
        <v>4</v>
      </c>
      <c r="AB756" s="55">
        <f>VLOOKUP(C756,'Preguntas de negocio'!$C$121:$D$127,2,FALSE)</f>
        <v>0.95</v>
      </c>
    </row>
    <row r="757" spans="1:28" x14ac:dyDescent="0.3">
      <c r="A757" s="1">
        <v>45815</v>
      </c>
      <c r="B757" s="2" t="s">
        <v>2641</v>
      </c>
      <c r="C757" s="2" t="s">
        <v>2527</v>
      </c>
      <c r="D757" s="2" t="s">
        <v>2522</v>
      </c>
      <c r="E757" s="2" t="s">
        <v>2517</v>
      </c>
      <c r="F757" s="3">
        <v>160813</v>
      </c>
      <c r="G757" s="3">
        <v>11849</v>
      </c>
      <c r="H757" s="3">
        <v>1514</v>
      </c>
      <c r="I757" s="4">
        <v>20480.599999999999</v>
      </c>
      <c r="J757" s="4">
        <v>71723.09</v>
      </c>
      <c r="K757" s="3">
        <v>731</v>
      </c>
      <c r="L757" s="2" t="s">
        <v>2518</v>
      </c>
      <c r="M757" s="2" t="s">
        <v>2537</v>
      </c>
      <c r="N757" s="8">
        <f>IFERROR(G757/F757,0)</f>
        <v>7.3681854078961273E-2</v>
      </c>
      <c r="O757" s="8">
        <f>IFERROR(H757/G757,0)</f>
        <v>0.12777449573803695</v>
      </c>
      <c r="P757" s="4">
        <f>IFERROR(I757/G757,0)</f>
        <v>1.7284665372605281</v>
      </c>
      <c r="Q757" s="4">
        <f>IFERROR(I757/H757,0)</f>
        <v>13.527476882430646</v>
      </c>
      <c r="R757" s="12">
        <f>IFERROR(J757/I757,0)</f>
        <v>3.5020014062088025</v>
      </c>
      <c r="S757" s="7">
        <f>Tabla_nuevas_columnas[[#This Row],[ROAS]]</f>
        <v>3.5020014062088025</v>
      </c>
      <c r="T757" t="str">
        <f>_xlfn.CONCAT(C757,"-",D757)</f>
        <v>Affiliate-Italia</v>
      </c>
      <c r="U757">
        <f>YEAR(A757)</f>
        <v>2025</v>
      </c>
      <c r="V757">
        <f>MONTH(A757)</f>
        <v>6</v>
      </c>
      <c r="W757" t="str">
        <f>PROPER(TEXT(A757,"mmmm"))</f>
        <v>Junio</v>
      </c>
      <c r="X757" t="str">
        <f>PROPER(TEXT(A757,"dddd"))</f>
        <v>Sábado</v>
      </c>
      <c r="Y757" t="str" cm="1">
        <f t="array" ref="Y757">_xlfn.IFS(R757&gt;10,"Excelente",R757&gt;=5,"Bueno",R757&gt;=2,"Débil",R757&lt;2,"Deficiente")</f>
        <v>Débil</v>
      </c>
      <c r="Z757" t="str">
        <f>IF(AND(R757&lt;2,Q757&gt;=100),"Revisar","OK")</f>
        <v>OK</v>
      </c>
      <c r="AA757" s="55">
        <f>_xlfn.XLOOKUP(C757,'Preguntas de negocio'!$C$114:$C$119,'Preguntas de negocio'!$D$114:$D$119,0)</f>
        <v>4.5</v>
      </c>
      <c r="AB757" s="55">
        <f>VLOOKUP(C757,'Preguntas de negocio'!$C$121:$D$127,2,FALSE)</f>
        <v>0.35</v>
      </c>
    </row>
    <row r="758" spans="1:28" x14ac:dyDescent="0.3">
      <c r="A758" s="1">
        <v>45662</v>
      </c>
      <c r="B758" s="2" t="s">
        <v>2643</v>
      </c>
      <c r="C758" s="2" t="s">
        <v>2521</v>
      </c>
      <c r="D758" s="2" t="s">
        <v>2516</v>
      </c>
      <c r="E758" s="2" t="s">
        <v>2517</v>
      </c>
      <c r="F758" s="3">
        <v>17559</v>
      </c>
      <c r="G758" s="3">
        <v>1552</v>
      </c>
      <c r="H758" s="3">
        <v>47</v>
      </c>
      <c r="I758" s="4">
        <v>2773.89</v>
      </c>
      <c r="J758" s="4">
        <v>7527.78</v>
      </c>
      <c r="K758" s="3">
        <v>21</v>
      </c>
      <c r="L758" s="2" t="s">
        <v>2518</v>
      </c>
      <c r="M758" s="2" t="s">
        <v>2524</v>
      </c>
      <c r="N758" s="8">
        <f>IFERROR(G758/F758,0)</f>
        <v>8.8387721396434873E-2</v>
      </c>
      <c r="O758" s="8">
        <f>IFERROR(H758/G758,0)</f>
        <v>3.0283505154639175E-2</v>
      </c>
      <c r="P758" s="4">
        <f>IFERROR(I758/G758,0)</f>
        <v>1.7873002577319588</v>
      </c>
      <c r="Q758" s="4">
        <f>IFERROR(I758/H758,0)</f>
        <v>59.018936170212761</v>
      </c>
      <c r="R758" s="12">
        <f>IFERROR(J758/I758,0)</f>
        <v>2.7137990331267643</v>
      </c>
      <c r="S758" s="7">
        <f>Tabla_nuevas_columnas[[#This Row],[ROAS]]</f>
        <v>2.7137990331267643</v>
      </c>
      <c r="T758" t="str">
        <f>_xlfn.CONCAT(C758,"-",D758)</f>
        <v>Paid Search-México</v>
      </c>
      <c r="U758">
        <f>YEAR(A758)</f>
        <v>2025</v>
      </c>
      <c r="V758">
        <f>MONTH(A758)</f>
        <v>1</v>
      </c>
      <c r="W758" t="str">
        <f>PROPER(TEXT(A758,"mmmm"))</f>
        <v>Enero</v>
      </c>
      <c r="X758" t="str">
        <f>PROPER(TEXT(A758,"dddd"))</f>
        <v>Domingo</v>
      </c>
      <c r="Y758" t="str" cm="1">
        <f t="array" ref="Y758">_xlfn.IFS(R758&gt;10,"Excelente",R758&gt;=5,"Bueno",R758&gt;=2,"Débil",R758&lt;2,"Deficiente")</f>
        <v>Débil</v>
      </c>
      <c r="Z758" t="str">
        <f>IF(AND(R758&lt;2,Q758&gt;=100),"Revisar","OK")</f>
        <v>OK</v>
      </c>
      <c r="AA758" s="55">
        <f>_xlfn.XLOOKUP(C758,'Preguntas de negocio'!$C$114:$C$119,'Preguntas de negocio'!$D$114:$D$119,0)</f>
        <v>5</v>
      </c>
      <c r="AB758" s="55">
        <f>VLOOKUP(C758,'Preguntas de negocio'!$C$121:$D$127,2,FALSE)</f>
        <v>1.1000000000000001</v>
      </c>
    </row>
    <row r="759" spans="1:28" x14ac:dyDescent="0.3">
      <c r="A759" s="1">
        <v>45849</v>
      </c>
      <c r="B759" s="2" t="s">
        <v>2627</v>
      </c>
      <c r="C759" s="2" t="s">
        <v>2515</v>
      </c>
      <c r="D759" s="2" t="s">
        <v>2516</v>
      </c>
      <c r="E759" s="2" t="s">
        <v>2529</v>
      </c>
      <c r="F759" s="3">
        <v>31244</v>
      </c>
      <c r="G759" s="3">
        <v>1928</v>
      </c>
      <c r="H759" s="3">
        <v>121</v>
      </c>
      <c r="I759" s="4">
        <v>1116.72</v>
      </c>
      <c r="J759" s="4">
        <v>4479.5200000000004</v>
      </c>
      <c r="K759" s="3">
        <v>70</v>
      </c>
      <c r="L759" s="2" t="s">
        <v>2518</v>
      </c>
      <c r="M759" s="2" t="s">
        <v>2546</v>
      </c>
      <c r="N759" s="8">
        <f>IFERROR(G759/F759,0)</f>
        <v>6.1707847906798105E-2</v>
      </c>
      <c r="O759" s="8">
        <f>IFERROR(H759/G759,0)</f>
        <v>6.2759336099585061E-2</v>
      </c>
      <c r="P759" s="4">
        <f>IFERROR(I759/G759,0)</f>
        <v>0.57921161825726142</v>
      </c>
      <c r="Q759" s="4">
        <f>IFERROR(I759/H759,0)</f>
        <v>9.2290909090909086</v>
      </c>
      <c r="R759" s="12">
        <f>IFERROR(J759/I759,0)</f>
        <v>4.0113188623826925</v>
      </c>
      <c r="S759" s="7">
        <f>Tabla_nuevas_columnas[[#This Row],[ROAS]]</f>
        <v>4.0113188623826925</v>
      </c>
      <c r="T759" t="str">
        <f>_xlfn.CONCAT(C759,"-",D759)</f>
        <v>Email-México</v>
      </c>
      <c r="U759">
        <f>YEAR(A759)</f>
        <v>2025</v>
      </c>
      <c r="V759">
        <f>MONTH(A759)</f>
        <v>7</v>
      </c>
      <c r="W759" t="str">
        <f>PROPER(TEXT(A759,"mmmm"))</f>
        <v>Julio</v>
      </c>
      <c r="X759" t="str">
        <f>PROPER(TEXT(A759,"dddd"))</f>
        <v>Viernes</v>
      </c>
      <c r="Y759" t="str" cm="1">
        <f t="array" ref="Y759">_xlfn.IFS(R759&gt;10,"Excelente",R759&gt;=5,"Bueno",R759&gt;=2,"Débil",R759&lt;2,"Deficiente")</f>
        <v>Débil</v>
      </c>
      <c r="Z759" t="str">
        <f>IF(AND(R759&lt;2,Q759&gt;=100),"Revisar","OK")</f>
        <v>OK</v>
      </c>
      <c r="AA759" s="55">
        <f>_xlfn.XLOOKUP(C759,'Preguntas de negocio'!$C$114:$C$119,'Preguntas de negocio'!$D$114:$D$119,0)</f>
        <v>5.5</v>
      </c>
      <c r="AB759" s="55">
        <f>VLOOKUP(C759,'Preguntas de negocio'!$C$121:$D$127,2,FALSE)</f>
        <v>0.65</v>
      </c>
    </row>
    <row r="760" spans="1:28" x14ac:dyDescent="0.3">
      <c r="A760" s="1">
        <v>45949</v>
      </c>
      <c r="B760" s="2" t="s">
        <v>2644</v>
      </c>
      <c r="C760" s="2" t="s">
        <v>2541</v>
      </c>
      <c r="D760" s="2" t="s">
        <v>2528</v>
      </c>
      <c r="E760" s="2" t="s">
        <v>2517</v>
      </c>
      <c r="F760" s="3">
        <v>38829</v>
      </c>
      <c r="G760" s="3">
        <v>447</v>
      </c>
      <c r="H760" s="3">
        <v>61</v>
      </c>
      <c r="I760" s="4">
        <v>477.42</v>
      </c>
      <c r="J760" s="4">
        <v>8526.36</v>
      </c>
      <c r="K760" s="3">
        <v>53</v>
      </c>
      <c r="L760" s="2" t="s">
        <v>2518</v>
      </c>
      <c r="M760" s="2" t="s">
        <v>2524</v>
      </c>
      <c r="N760" s="8">
        <f>IFERROR(G760/F760,0)</f>
        <v>1.151201421617863E-2</v>
      </c>
      <c r="O760" s="8">
        <f>IFERROR(H760/G760,0)</f>
        <v>0.13646532438478748</v>
      </c>
      <c r="P760" s="4">
        <f>IFERROR(I760/G760,0)</f>
        <v>1.0680536912751679</v>
      </c>
      <c r="Q760" s="4">
        <f>IFERROR(I760/H760,0)</f>
        <v>7.8265573770491805</v>
      </c>
      <c r="R760" s="12">
        <f>IFERROR(J760/I760,0)</f>
        <v>17.859243433454822</v>
      </c>
      <c r="S760" s="7">
        <f>Tabla_nuevas_columnas[[#This Row],[ROAS]]</f>
        <v>17.859243433454822</v>
      </c>
      <c r="T760" t="str">
        <f>_xlfn.CONCAT(C760,"-",D760)</f>
        <v>Display-España</v>
      </c>
      <c r="U760">
        <f>YEAR(A760)</f>
        <v>2025</v>
      </c>
      <c r="V760">
        <f>MONTH(A760)</f>
        <v>10</v>
      </c>
      <c r="W760" t="str">
        <f>PROPER(TEXT(A760,"mmmm"))</f>
        <v>Octubre</v>
      </c>
      <c r="X760" t="str">
        <f>PROPER(TEXT(A760,"dddd"))</f>
        <v>Domingo</v>
      </c>
      <c r="Y760" t="str" cm="1">
        <f t="array" ref="Y760">_xlfn.IFS(R760&gt;10,"Excelente",R760&gt;=5,"Bueno",R760&gt;=2,"Débil",R760&lt;2,"Deficiente")</f>
        <v>Excelente</v>
      </c>
      <c r="Z760" t="str">
        <f>IF(AND(R760&lt;2,Q760&gt;=100),"Revisar","OK")</f>
        <v>OK</v>
      </c>
      <c r="AA760" s="55">
        <f>_xlfn.XLOOKUP(C760,'Preguntas de negocio'!$C$114:$C$119,'Preguntas de negocio'!$D$114:$D$119,0)</f>
        <v>5</v>
      </c>
      <c r="AB760" s="55">
        <f>VLOOKUP(C760,'Preguntas de negocio'!$C$121:$D$127,2,FALSE)</f>
        <v>0.5</v>
      </c>
    </row>
    <row r="761" spans="1:28" x14ac:dyDescent="0.3">
      <c r="A761" s="1">
        <v>45806</v>
      </c>
      <c r="B761" s="2" t="s">
        <v>2625</v>
      </c>
      <c r="C761" s="2" t="s">
        <v>2533</v>
      </c>
      <c r="D761" s="2" t="s">
        <v>2516</v>
      </c>
      <c r="E761" s="2" t="s">
        <v>2517</v>
      </c>
      <c r="F761" s="3">
        <v>92328</v>
      </c>
      <c r="G761" s="3">
        <v>620</v>
      </c>
      <c r="H761" s="3">
        <v>55</v>
      </c>
      <c r="I761" s="4">
        <v>813.04</v>
      </c>
      <c r="J761" s="4">
        <v>11242.87</v>
      </c>
      <c r="K761" s="3">
        <v>26</v>
      </c>
      <c r="L761" s="2" t="s">
        <v>2539</v>
      </c>
      <c r="M761" s="2" t="s">
        <v>2524</v>
      </c>
      <c r="N761" s="8">
        <f>IFERROR(G761/F761,0)</f>
        <v>6.7151893250151631E-3</v>
      </c>
      <c r="O761" s="8">
        <f>IFERROR(H761/G761,0)</f>
        <v>8.8709677419354843E-2</v>
      </c>
      <c r="P761" s="4">
        <f>IFERROR(I761/G761,0)</f>
        <v>1.3113548387096774</v>
      </c>
      <c r="Q761" s="4">
        <f>IFERROR(I761/H761,0)</f>
        <v>14.782545454545454</v>
      </c>
      <c r="R761" s="12">
        <f>IFERROR(J761/I761,0)</f>
        <v>13.828188035029028</v>
      </c>
      <c r="S761" s="7">
        <f>Tabla_nuevas_columnas[[#This Row],[ROAS]]</f>
        <v>13.828188035029028</v>
      </c>
      <c r="T761" t="str">
        <f>_xlfn.CONCAT(C761,"-",D761)</f>
        <v>Paid Social-México</v>
      </c>
      <c r="U761">
        <f>YEAR(A761)</f>
        <v>2025</v>
      </c>
      <c r="V761">
        <f>MONTH(A761)</f>
        <v>5</v>
      </c>
      <c r="W761" t="str">
        <f>PROPER(TEXT(A761,"mmmm"))</f>
        <v>Mayo</v>
      </c>
      <c r="X761" t="str">
        <f>PROPER(TEXT(A761,"dddd"))</f>
        <v>Jueves</v>
      </c>
      <c r="Y761" t="str" cm="1">
        <f t="array" ref="Y761">_xlfn.IFS(R761&gt;10,"Excelente",R761&gt;=5,"Bueno",R761&gt;=2,"Débil",R761&lt;2,"Deficiente")</f>
        <v>Excelente</v>
      </c>
      <c r="Z761" t="str">
        <f>IF(AND(R761&lt;2,Q761&gt;=100),"Revisar","OK")</f>
        <v>OK</v>
      </c>
      <c r="AA761" s="55">
        <f>_xlfn.XLOOKUP(C761,'Preguntas de negocio'!$C$114:$C$119,'Preguntas de negocio'!$D$114:$D$119,0)</f>
        <v>6</v>
      </c>
      <c r="AB761" s="55">
        <f>VLOOKUP(C761,'Preguntas de negocio'!$C$121:$D$127,2,FALSE)</f>
        <v>0.8</v>
      </c>
    </row>
    <row r="762" spans="1:28" x14ac:dyDescent="0.3">
      <c r="A762" s="1">
        <v>45908</v>
      </c>
      <c r="B762" s="2" t="s">
        <v>2629</v>
      </c>
      <c r="C762" s="2" t="s">
        <v>2541</v>
      </c>
      <c r="D762" s="2" t="s">
        <v>2531</v>
      </c>
      <c r="E762" s="2" t="s">
        <v>2529</v>
      </c>
      <c r="F762" s="3">
        <v>150675</v>
      </c>
      <c r="G762" s="3">
        <v>2762</v>
      </c>
      <c r="H762" s="3">
        <v>140</v>
      </c>
      <c r="I762" s="4">
        <v>4660.5600000000004</v>
      </c>
      <c r="J762" s="4">
        <v>21888.61</v>
      </c>
      <c r="K762" s="3">
        <v>89</v>
      </c>
      <c r="L762" s="2" t="s">
        <v>2523</v>
      </c>
      <c r="M762" s="2" t="s">
        <v>2519</v>
      </c>
      <c r="N762" s="8">
        <f>IFERROR(G762/F762,0)</f>
        <v>1.8330844532935126E-2</v>
      </c>
      <c r="O762" s="8">
        <f>IFERROR(H762/G762,0)</f>
        <v>5.0687907313540913E-2</v>
      </c>
      <c r="P762" s="4">
        <f>IFERROR(I762/G762,0)</f>
        <v>1.6873859522085446</v>
      </c>
      <c r="Q762" s="4">
        <f>IFERROR(I762/H762,0)</f>
        <v>33.28971428571429</v>
      </c>
      <c r="R762" s="12">
        <f>IFERROR(J762/I762,0)</f>
        <v>4.6965622156994007</v>
      </c>
      <c r="S762" s="7">
        <f>Tabla_nuevas_columnas[[#This Row],[ROAS]]</f>
        <v>4.6965622156994007</v>
      </c>
      <c r="T762" t="str">
        <f>_xlfn.CONCAT(C762,"-",D762)</f>
        <v>Display-Portugal</v>
      </c>
      <c r="U762">
        <f>YEAR(A762)</f>
        <v>2025</v>
      </c>
      <c r="V762">
        <f>MONTH(A762)</f>
        <v>9</v>
      </c>
      <c r="W762" t="str">
        <f>PROPER(TEXT(A762,"mmmm"))</f>
        <v>Septiembre</v>
      </c>
      <c r="X762" t="str">
        <f>PROPER(TEXT(A762,"dddd"))</f>
        <v>Lunes</v>
      </c>
      <c r="Y762" t="str" cm="1">
        <f t="array" ref="Y762">_xlfn.IFS(R762&gt;10,"Excelente",R762&gt;=5,"Bueno",R762&gt;=2,"Débil",R762&lt;2,"Deficiente")</f>
        <v>Débil</v>
      </c>
      <c r="Z762" t="str">
        <f>IF(AND(R762&lt;2,Q762&gt;=100),"Revisar","OK")</f>
        <v>OK</v>
      </c>
      <c r="AA762" s="55">
        <f>_xlfn.XLOOKUP(C762,'Preguntas de negocio'!$C$114:$C$119,'Preguntas de negocio'!$D$114:$D$119,0)</f>
        <v>5</v>
      </c>
      <c r="AB762" s="55">
        <f>VLOOKUP(C762,'Preguntas de negocio'!$C$121:$D$127,2,FALSE)</f>
        <v>0.5</v>
      </c>
    </row>
    <row r="763" spans="1:28" x14ac:dyDescent="0.3">
      <c r="A763" s="1">
        <v>45830</v>
      </c>
      <c r="B763" s="2" t="s">
        <v>2617</v>
      </c>
      <c r="C763" s="2" t="s">
        <v>2543</v>
      </c>
      <c r="D763" s="2" t="s">
        <v>2525</v>
      </c>
      <c r="E763" s="2" t="s">
        <v>2517</v>
      </c>
      <c r="F763" s="3">
        <v>150489</v>
      </c>
      <c r="G763" s="3">
        <v>12127</v>
      </c>
      <c r="H763" s="3">
        <v>1038</v>
      </c>
      <c r="I763" s="4">
        <v>14823.38</v>
      </c>
      <c r="J763" s="4">
        <v>147547.07</v>
      </c>
      <c r="K763" s="3">
        <v>817</v>
      </c>
      <c r="L763" s="2" t="s">
        <v>2539</v>
      </c>
      <c r="M763" s="2" t="s">
        <v>2524</v>
      </c>
      <c r="N763" s="8">
        <f>IFERROR(G763/F763,0)</f>
        <v>8.0583962947457954E-2</v>
      </c>
      <c r="O763" s="8">
        <f>IFERROR(H763/G763,0)</f>
        <v>8.559412880349633E-2</v>
      </c>
      <c r="P763" s="4">
        <f>IFERROR(I763/G763,0)</f>
        <v>1.2223451801764658</v>
      </c>
      <c r="Q763" s="4">
        <f>IFERROR(I763/H763,0)</f>
        <v>14.280712909441233</v>
      </c>
      <c r="R763" s="12">
        <f>IFERROR(J763/I763,0)</f>
        <v>9.9536725092387854</v>
      </c>
      <c r="S763" s="7">
        <f>Tabla_nuevas_columnas[[#This Row],[ROAS]]</f>
        <v>9.9536725092387854</v>
      </c>
      <c r="T763" t="str">
        <f>_xlfn.CONCAT(C763,"-",D763)</f>
        <v>Organic Social-Francia</v>
      </c>
      <c r="U763">
        <f>YEAR(A763)</f>
        <v>2025</v>
      </c>
      <c r="V763">
        <f>MONTH(A763)</f>
        <v>6</v>
      </c>
      <c r="W763" t="str">
        <f>PROPER(TEXT(A763,"mmmm"))</f>
        <v>Junio</v>
      </c>
      <c r="X763" t="str">
        <f>PROPER(TEXT(A763,"dddd"))</f>
        <v>Domingo</v>
      </c>
      <c r="Y763" t="str" cm="1">
        <f t="array" ref="Y763">_xlfn.IFS(R763&gt;10,"Excelente",R763&gt;=5,"Bueno",R763&gt;=2,"Débil",R763&lt;2,"Deficiente")</f>
        <v>Bueno</v>
      </c>
      <c r="Z763" t="str">
        <f>IF(AND(R763&lt;2,Q763&gt;=100),"Revisar","OK")</f>
        <v>OK</v>
      </c>
      <c r="AA763" s="55">
        <f>_xlfn.XLOOKUP(C763,'Preguntas de negocio'!$C$114:$C$119,'Preguntas de negocio'!$D$114:$D$119,0)</f>
        <v>4</v>
      </c>
      <c r="AB763" s="55">
        <f>VLOOKUP(C763,'Preguntas de negocio'!$C$121:$D$127,2,FALSE)</f>
        <v>0.95</v>
      </c>
    </row>
    <row r="764" spans="1:28" x14ac:dyDescent="0.3">
      <c r="A764" s="1">
        <v>45983</v>
      </c>
      <c r="B764" s="2" t="s">
        <v>2637</v>
      </c>
      <c r="C764" s="2" t="s">
        <v>2541</v>
      </c>
      <c r="D764" s="2" t="s">
        <v>2528</v>
      </c>
      <c r="E764" s="2" t="s">
        <v>2517</v>
      </c>
      <c r="F764" s="3">
        <v>8118</v>
      </c>
      <c r="G764" s="3">
        <v>86</v>
      </c>
      <c r="H764" s="3">
        <v>8</v>
      </c>
      <c r="I764" s="4">
        <v>47.61</v>
      </c>
      <c r="J764" s="4">
        <v>1384.94</v>
      </c>
      <c r="K764" s="3">
        <v>4</v>
      </c>
      <c r="L764" s="2" t="s">
        <v>2536</v>
      </c>
      <c r="M764" s="2" t="s">
        <v>2546</v>
      </c>
      <c r="N764" s="8">
        <f>IFERROR(G764/F764,0)</f>
        <v>1.0593742301059375E-2</v>
      </c>
      <c r="O764" s="8">
        <f>IFERROR(H764/G764,0)</f>
        <v>9.3023255813953487E-2</v>
      </c>
      <c r="P764" s="4">
        <f>IFERROR(I764/G764,0)</f>
        <v>0.55360465116279067</v>
      </c>
      <c r="Q764" s="4">
        <f>IFERROR(I764/H764,0)</f>
        <v>5.9512499999999999</v>
      </c>
      <c r="R764" s="12">
        <f>IFERROR(J764/I764,0)</f>
        <v>29.08926696072254</v>
      </c>
      <c r="S764" s="7">
        <f>Tabla_nuevas_columnas[[#This Row],[ROAS]]</f>
        <v>29.08926696072254</v>
      </c>
      <c r="T764" t="str">
        <f>_xlfn.CONCAT(C764,"-",D764)</f>
        <v>Display-España</v>
      </c>
      <c r="U764">
        <f>YEAR(A764)</f>
        <v>2025</v>
      </c>
      <c r="V764">
        <f>MONTH(A764)</f>
        <v>11</v>
      </c>
      <c r="W764" t="str">
        <f>PROPER(TEXT(A764,"mmmm"))</f>
        <v>Noviembre</v>
      </c>
      <c r="X764" t="str">
        <f>PROPER(TEXT(A764,"dddd"))</f>
        <v>Sábado</v>
      </c>
      <c r="Y764" t="str" cm="1">
        <f t="array" ref="Y764">_xlfn.IFS(R764&gt;10,"Excelente",R764&gt;=5,"Bueno",R764&gt;=2,"Débil",R764&lt;2,"Deficiente")</f>
        <v>Excelente</v>
      </c>
      <c r="Z764" t="str">
        <f>IF(AND(R764&lt;2,Q764&gt;=100),"Revisar","OK")</f>
        <v>OK</v>
      </c>
      <c r="AA764" s="55">
        <f>_xlfn.XLOOKUP(C764,'Preguntas de negocio'!$C$114:$C$119,'Preguntas de negocio'!$D$114:$D$119,0)</f>
        <v>5</v>
      </c>
      <c r="AB764" s="55">
        <f>VLOOKUP(C764,'Preguntas de negocio'!$C$121:$D$127,2,FALSE)</f>
        <v>0.5</v>
      </c>
    </row>
    <row r="765" spans="1:28" x14ac:dyDescent="0.3">
      <c r="A765" s="1">
        <v>45737</v>
      </c>
      <c r="B765" s="2" t="s">
        <v>2633</v>
      </c>
      <c r="C765" s="2" t="s">
        <v>2543</v>
      </c>
      <c r="D765" s="2" t="s">
        <v>2525</v>
      </c>
      <c r="E765" s="2" t="s">
        <v>2529</v>
      </c>
      <c r="F765" s="3">
        <v>37879</v>
      </c>
      <c r="G765" s="3">
        <v>406</v>
      </c>
      <c r="H765" s="3">
        <v>40</v>
      </c>
      <c r="I765" s="4">
        <v>123.6</v>
      </c>
      <c r="J765" s="4">
        <v>975.87</v>
      </c>
      <c r="K765" s="3">
        <v>25</v>
      </c>
      <c r="L765" s="2" t="s">
        <v>2539</v>
      </c>
      <c r="M765" s="2" t="s">
        <v>2519</v>
      </c>
      <c r="N765" s="8">
        <f>IFERROR(G765/F765,0)</f>
        <v>1.0718339977296126E-2</v>
      </c>
      <c r="O765" s="8">
        <f>IFERROR(H765/G765,0)</f>
        <v>9.8522167487684734E-2</v>
      </c>
      <c r="P765" s="4">
        <f>IFERROR(I765/G765,0)</f>
        <v>0.30443349753694582</v>
      </c>
      <c r="Q765" s="4">
        <f>IFERROR(I765/H765,0)</f>
        <v>3.09</v>
      </c>
      <c r="R765" s="12">
        <f>IFERROR(J765/I765,0)</f>
        <v>7.8953883495145636</v>
      </c>
      <c r="S765" s="7">
        <f>Tabla_nuevas_columnas[[#This Row],[ROAS]]</f>
        <v>7.8953883495145636</v>
      </c>
      <c r="T765" t="str">
        <f>_xlfn.CONCAT(C765,"-",D765)</f>
        <v>Organic Social-Francia</v>
      </c>
      <c r="U765">
        <f>YEAR(A765)</f>
        <v>2025</v>
      </c>
      <c r="V765">
        <f>MONTH(A765)</f>
        <v>3</v>
      </c>
      <c r="W765" t="str">
        <f>PROPER(TEXT(A765,"mmmm"))</f>
        <v>Marzo</v>
      </c>
      <c r="X765" t="str">
        <f>PROPER(TEXT(A765,"dddd"))</f>
        <v>Viernes</v>
      </c>
      <c r="Y765" t="str" cm="1">
        <f t="array" ref="Y765">_xlfn.IFS(R765&gt;10,"Excelente",R765&gt;=5,"Bueno",R765&gt;=2,"Débil",R765&lt;2,"Deficiente")</f>
        <v>Bueno</v>
      </c>
      <c r="Z765" t="str">
        <f>IF(AND(R765&lt;2,Q765&gt;=100),"Revisar","OK")</f>
        <v>OK</v>
      </c>
      <c r="AA765" s="55">
        <f>_xlfn.XLOOKUP(C765,'Preguntas de negocio'!$C$114:$C$119,'Preguntas de negocio'!$D$114:$D$119,0)</f>
        <v>4</v>
      </c>
      <c r="AB765" s="55">
        <f>VLOOKUP(C765,'Preguntas de negocio'!$C$121:$D$127,2,FALSE)</f>
        <v>0.95</v>
      </c>
    </row>
    <row r="766" spans="1:28" x14ac:dyDescent="0.3">
      <c r="A766" s="1">
        <v>45663</v>
      </c>
      <c r="B766" s="2" t="s">
        <v>2622</v>
      </c>
      <c r="C766" s="2" t="s">
        <v>2521</v>
      </c>
      <c r="D766" s="2" t="s">
        <v>2528</v>
      </c>
      <c r="E766" s="2" t="s">
        <v>2529</v>
      </c>
      <c r="F766" s="3">
        <v>24633</v>
      </c>
      <c r="G766" s="3">
        <v>854</v>
      </c>
      <c r="H766" s="3">
        <v>43</v>
      </c>
      <c r="I766" s="4">
        <v>445.47</v>
      </c>
      <c r="J766" s="4">
        <v>9288.15</v>
      </c>
      <c r="K766" s="3">
        <v>25</v>
      </c>
      <c r="L766" s="2" t="s">
        <v>2518</v>
      </c>
      <c r="M766" s="2" t="s">
        <v>2546</v>
      </c>
      <c r="N766" s="8">
        <f>IFERROR(G766/F766,0)</f>
        <v>3.4668940039784032E-2</v>
      </c>
      <c r="O766" s="8">
        <f>IFERROR(H766/G766,0)</f>
        <v>5.0351288056206089E-2</v>
      </c>
      <c r="P766" s="4">
        <f>IFERROR(I766/G766,0)</f>
        <v>0.52162763466042161</v>
      </c>
      <c r="Q766" s="4">
        <f>IFERROR(I766/H766,0)</f>
        <v>10.359767441860466</v>
      </c>
      <c r="R766" s="12">
        <f>IFERROR(J766/I766,0)</f>
        <v>20.850225604417805</v>
      </c>
      <c r="S766" s="7">
        <f>Tabla_nuevas_columnas[[#This Row],[ROAS]]</f>
        <v>20.850225604417805</v>
      </c>
      <c r="T766" t="str">
        <f>_xlfn.CONCAT(C766,"-",D766)</f>
        <v>Paid Search-España</v>
      </c>
      <c r="U766">
        <f>YEAR(A766)</f>
        <v>2025</v>
      </c>
      <c r="V766">
        <f>MONTH(A766)</f>
        <v>1</v>
      </c>
      <c r="W766" t="str">
        <f>PROPER(TEXT(A766,"mmmm"))</f>
        <v>Enero</v>
      </c>
      <c r="X766" t="str">
        <f>PROPER(TEXT(A766,"dddd"))</f>
        <v>Lunes</v>
      </c>
      <c r="Y766" t="str" cm="1">
        <f t="array" ref="Y766">_xlfn.IFS(R766&gt;10,"Excelente",R766&gt;=5,"Bueno",R766&gt;=2,"Débil",R766&lt;2,"Deficiente")</f>
        <v>Excelente</v>
      </c>
      <c r="Z766" t="str">
        <f>IF(AND(R766&lt;2,Q766&gt;=100),"Revisar","OK")</f>
        <v>OK</v>
      </c>
      <c r="AA766" s="55">
        <f>_xlfn.XLOOKUP(C766,'Preguntas de negocio'!$C$114:$C$119,'Preguntas de negocio'!$D$114:$D$119,0)</f>
        <v>5</v>
      </c>
      <c r="AB766" s="55">
        <f>VLOOKUP(C766,'Preguntas de negocio'!$C$121:$D$127,2,FALSE)</f>
        <v>1.1000000000000001</v>
      </c>
    </row>
    <row r="767" spans="1:28" x14ac:dyDescent="0.3">
      <c r="A767" s="1">
        <v>45732</v>
      </c>
      <c r="B767" s="2" t="s">
        <v>2622</v>
      </c>
      <c r="C767" s="2" t="s">
        <v>2521</v>
      </c>
      <c r="D767" s="2" t="s">
        <v>2516</v>
      </c>
      <c r="E767" s="2" t="s">
        <v>2529</v>
      </c>
      <c r="F767" s="3">
        <v>49234</v>
      </c>
      <c r="G767" s="3">
        <v>1641</v>
      </c>
      <c r="H767" s="3">
        <v>150</v>
      </c>
      <c r="I767" s="4">
        <v>1635.05</v>
      </c>
      <c r="J767" s="4">
        <v>7538.28</v>
      </c>
      <c r="K767" s="3">
        <v>81</v>
      </c>
      <c r="L767" s="2" t="s">
        <v>2539</v>
      </c>
      <c r="M767" s="2" t="s">
        <v>2546</v>
      </c>
      <c r="N767" s="8">
        <f>IFERROR(G767/F767,0)</f>
        <v>3.3330625177722714E-2</v>
      </c>
      <c r="O767" s="8">
        <f>IFERROR(H767/G767,0)</f>
        <v>9.1407678244972576E-2</v>
      </c>
      <c r="P767" s="4">
        <f>IFERROR(I767/G767,0)</f>
        <v>0.99637416209628271</v>
      </c>
      <c r="Q767" s="4">
        <f>IFERROR(I767/H767,0)</f>
        <v>10.900333333333332</v>
      </c>
      <c r="R767" s="12">
        <f>IFERROR(J767/I767,0)</f>
        <v>4.6104278156631295</v>
      </c>
      <c r="S767" s="7">
        <f>Tabla_nuevas_columnas[[#This Row],[ROAS]]</f>
        <v>4.6104278156631295</v>
      </c>
      <c r="T767" t="str">
        <f>_xlfn.CONCAT(C767,"-",D767)</f>
        <v>Paid Search-México</v>
      </c>
      <c r="U767">
        <f>YEAR(A767)</f>
        <v>2025</v>
      </c>
      <c r="V767">
        <f>MONTH(A767)</f>
        <v>3</v>
      </c>
      <c r="W767" t="str">
        <f>PROPER(TEXT(A767,"mmmm"))</f>
        <v>Marzo</v>
      </c>
      <c r="X767" t="str">
        <f>PROPER(TEXT(A767,"dddd"))</f>
        <v>Domingo</v>
      </c>
      <c r="Y767" t="str" cm="1">
        <f t="array" ref="Y767">_xlfn.IFS(R767&gt;10,"Excelente",R767&gt;=5,"Bueno",R767&gt;=2,"Débil",R767&lt;2,"Deficiente")</f>
        <v>Débil</v>
      </c>
      <c r="Z767" t="str">
        <f>IF(AND(R767&lt;2,Q767&gt;=100),"Revisar","OK")</f>
        <v>OK</v>
      </c>
      <c r="AA767" s="55">
        <f>_xlfn.XLOOKUP(C767,'Preguntas de negocio'!$C$114:$C$119,'Preguntas de negocio'!$D$114:$D$119,0)</f>
        <v>5</v>
      </c>
      <c r="AB767" s="55">
        <f>VLOOKUP(C767,'Preguntas de negocio'!$C$121:$D$127,2,FALSE)</f>
        <v>1.1000000000000001</v>
      </c>
    </row>
    <row r="768" spans="1:28" x14ac:dyDescent="0.3">
      <c r="A768" s="1">
        <v>45920</v>
      </c>
      <c r="B768" s="2" t="s">
        <v>2621</v>
      </c>
      <c r="C768" s="2" t="s">
        <v>2541</v>
      </c>
      <c r="D768" s="2" t="s">
        <v>2528</v>
      </c>
      <c r="E768" s="2" t="s">
        <v>2529</v>
      </c>
      <c r="F768" s="3">
        <v>73196</v>
      </c>
      <c r="G768" s="3">
        <v>5815</v>
      </c>
      <c r="H768" s="3">
        <v>610</v>
      </c>
      <c r="I768" s="4">
        <v>10601.46</v>
      </c>
      <c r="J768" s="4">
        <v>11783.54</v>
      </c>
      <c r="K768" s="3">
        <v>372</v>
      </c>
      <c r="L768" s="2" t="s">
        <v>2539</v>
      </c>
      <c r="M768" s="2" t="s">
        <v>2546</v>
      </c>
      <c r="N768" s="8">
        <f>IFERROR(G768/F768,0)</f>
        <v>7.9444231925241818E-2</v>
      </c>
      <c r="O768" s="8">
        <f>IFERROR(H768/G768,0)</f>
        <v>0.10490111779879621</v>
      </c>
      <c r="P768" s="4">
        <f>IFERROR(I768/G768,0)</f>
        <v>1.8231229578675836</v>
      </c>
      <c r="Q768" s="4">
        <f>IFERROR(I768/H768,0)</f>
        <v>17.379442622950819</v>
      </c>
      <c r="R768" s="12">
        <f>IFERROR(J768/I768,0)</f>
        <v>1.1115016233613109</v>
      </c>
      <c r="S768" s="7">
        <f>Tabla_nuevas_columnas[[#This Row],[ROAS]]</f>
        <v>1.1115016233613109</v>
      </c>
      <c r="T768" t="str">
        <f>_xlfn.CONCAT(C768,"-",D768)</f>
        <v>Display-España</v>
      </c>
      <c r="U768">
        <f>YEAR(A768)</f>
        <v>2025</v>
      </c>
      <c r="V768">
        <f>MONTH(A768)</f>
        <v>9</v>
      </c>
      <c r="W768" t="str">
        <f>PROPER(TEXT(A768,"mmmm"))</f>
        <v>Septiembre</v>
      </c>
      <c r="X768" t="str">
        <f>PROPER(TEXT(A768,"dddd"))</f>
        <v>Sábado</v>
      </c>
      <c r="Y768" t="str" cm="1">
        <f t="array" ref="Y768">_xlfn.IFS(R768&gt;10,"Excelente",R768&gt;=5,"Bueno",R768&gt;=2,"Débil",R768&lt;2,"Deficiente")</f>
        <v>Deficiente</v>
      </c>
      <c r="Z768" t="str">
        <f>IF(AND(R768&lt;2,Q768&gt;=100),"Revisar","OK")</f>
        <v>OK</v>
      </c>
      <c r="AA768" s="55">
        <f>_xlfn.XLOOKUP(C768,'Preguntas de negocio'!$C$114:$C$119,'Preguntas de negocio'!$D$114:$D$119,0)</f>
        <v>5</v>
      </c>
      <c r="AB768" s="55">
        <f>VLOOKUP(C768,'Preguntas de negocio'!$C$121:$D$127,2,FALSE)</f>
        <v>0.5</v>
      </c>
    </row>
    <row r="769" spans="1:28" x14ac:dyDescent="0.3">
      <c r="A769" s="1">
        <v>45988</v>
      </c>
      <c r="B769" s="2" t="s">
        <v>2629</v>
      </c>
      <c r="C769" s="2" t="s">
        <v>2533</v>
      </c>
      <c r="D769" s="2" t="s">
        <v>2525</v>
      </c>
      <c r="E769" s="2" t="s">
        <v>2529</v>
      </c>
      <c r="F769" s="3">
        <v>101646</v>
      </c>
      <c r="G769" s="3">
        <v>5125</v>
      </c>
      <c r="H769" s="3">
        <v>653</v>
      </c>
      <c r="I769" s="4">
        <v>1100.9100000000001</v>
      </c>
      <c r="J769" s="4">
        <v>130268.63</v>
      </c>
      <c r="K769" s="3">
        <v>459</v>
      </c>
      <c r="L769" s="2" t="s">
        <v>2523</v>
      </c>
      <c r="M769" s="2" t="s">
        <v>2537</v>
      </c>
      <c r="N769" s="8">
        <f>IFERROR(G769/F769,0)</f>
        <v>5.0420085394408044E-2</v>
      </c>
      <c r="O769" s="8">
        <f>IFERROR(H769/G769,0)</f>
        <v>0.12741463414634147</v>
      </c>
      <c r="P769" s="4">
        <f>IFERROR(I769/G769,0)</f>
        <v>0.21481170731707319</v>
      </c>
      <c r="Q769" s="4">
        <f>IFERROR(I769/H769,0)</f>
        <v>1.685926493108729</v>
      </c>
      <c r="R769" s="12">
        <f>IFERROR(J769/I769,0)</f>
        <v>118.32813763159568</v>
      </c>
      <c r="S769" s="7">
        <f>Tabla_nuevas_columnas[[#This Row],[ROAS]]</f>
        <v>118.32813763159568</v>
      </c>
      <c r="T769" t="str">
        <f>_xlfn.CONCAT(C769,"-",D769)</f>
        <v>Paid Social-Francia</v>
      </c>
      <c r="U769">
        <f>YEAR(A769)</f>
        <v>2025</v>
      </c>
      <c r="V769">
        <f>MONTH(A769)</f>
        <v>11</v>
      </c>
      <c r="W769" t="str">
        <f>PROPER(TEXT(A769,"mmmm"))</f>
        <v>Noviembre</v>
      </c>
      <c r="X769" t="str">
        <f>PROPER(TEXT(A769,"dddd"))</f>
        <v>Jueves</v>
      </c>
      <c r="Y769" t="str" cm="1">
        <f t="array" ref="Y769">_xlfn.IFS(R769&gt;10,"Excelente",R769&gt;=5,"Bueno",R769&gt;=2,"Débil",R769&lt;2,"Deficiente")</f>
        <v>Excelente</v>
      </c>
      <c r="Z769" t="str">
        <f>IF(AND(R769&lt;2,Q769&gt;=100),"Revisar","OK")</f>
        <v>OK</v>
      </c>
      <c r="AA769" s="55">
        <f>_xlfn.XLOOKUP(C769,'Preguntas de negocio'!$C$114:$C$119,'Preguntas de negocio'!$D$114:$D$119,0)</f>
        <v>6</v>
      </c>
      <c r="AB769" s="55">
        <f>VLOOKUP(C769,'Preguntas de negocio'!$C$121:$D$127,2,FALSE)</f>
        <v>0.8</v>
      </c>
    </row>
    <row r="770" spans="1:28" x14ac:dyDescent="0.3">
      <c r="A770" s="1">
        <v>45859</v>
      </c>
      <c r="B770" s="2" t="s">
        <v>2622</v>
      </c>
      <c r="C770" s="2" t="s">
        <v>2521</v>
      </c>
      <c r="D770" s="2" t="s">
        <v>2516</v>
      </c>
      <c r="E770" s="2" t="s">
        <v>2529</v>
      </c>
      <c r="F770" s="3">
        <v>128452</v>
      </c>
      <c r="G770" s="3">
        <v>11301</v>
      </c>
      <c r="H770" s="3">
        <v>1108</v>
      </c>
      <c r="I770" s="4">
        <v>16753.939999999999</v>
      </c>
      <c r="J770" s="4">
        <v>173037.04</v>
      </c>
      <c r="K770" s="3">
        <v>674</v>
      </c>
      <c r="L770" s="2" t="s">
        <v>2518</v>
      </c>
      <c r="M770" s="2" t="s">
        <v>2524</v>
      </c>
      <c r="N770" s="8">
        <f>IFERROR(G770/F770,0)</f>
        <v>8.7978388814498806E-2</v>
      </c>
      <c r="O770" s="8">
        <f>IFERROR(H770/G770,0)</f>
        <v>9.8044420847712588E-2</v>
      </c>
      <c r="P770" s="4">
        <f>IFERROR(I770/G770,0)</f>
        <v>1.4825183612069728</v>
      </c>
      <c r="Q770" s="4">
        <f>IFERROR(I770/H770,0)</f>
        <v>15.120884476534295</v>
      </c>
      <c r="R770" s="12">
        <f>IFERROR(J770/I770,0)</f>
        <v>10.328140127038775</v>
      </c>
      <c r="S770" s="7">
        <f>Tabla_nuevas_columnas[[#This Row],[ROAS]]</f>
        <v>10.328140127038775</v>
      </c>
      <c r="T770" t="str">
        <f>_xlfn.CONCAT(C770,"-",D770)</f>
        <v>Paid Search-México</v>
      </c>
      <c r="U770">
        <f>YEAR(A770)</f>
        <v>2025</v>
      </c>
      <c r="V770">
        <f>MONTH(A770)</f>
        <v>7</v>
      </c>
      <c r="W770" t="str">
        <f>PROPER(TEXT(A770,"mmmm"))</f>
        <v>Julio</v>
      </c>
      <c r="X770" t="str">
        <f>PROPER(TEXT(A770,"dddd"))</f>
        <v>Lunes</v>
      </c>
      <c r="Y770" t="str" cm="1">
        <f t="array" ref="Y770">_xlfn.IFS(R770&gt;10,"Excelente",R770&gt;=5,"Bueno",R770&gt;=2,"Débil",R770&lt;2,"Deficiente")</f>
        <v>Excelente</v>
      </c>
      <c r="Z770" t="str">
        <f>IF(AND(R770&lt;2,Q770&gt;=100),"Revisar","OK")</f>
        <v>OK</v>
      </c>
      <c r="AA770" s="55">
        <f>_xlfn.XLOOKUP(C770,'Preguntas de negocio'!$C$114:$C$119,'Preguntas de negocio'!$D$114:$D$119,0)</f>
        <v>5</v>
      </c>
      <c r="AB770" s="55">
        <f>VLOOKUP(C770,'Preguntas de negocio'!$C$121:$D$127,2,FALSE)</f>
        <v>1.1000000000000001</v>
      </c>
    </row>
    <row r="771" spans="1:28" x14ac:dyDescent="0.3">
      <c r="A771" s="1">
        <v>45916</v>
      </c>
      <c r="B771" s="2" t="s">
        <v>2637</v>
      </c>
      <c r="C771" s="2" t="s">
        <v>2515</v>
      </c>
      <c r="D771" s="2" t="s">
        <v>2528</v>
      </c>
      <c r="E771" s="2" t="s">
        <v>2517</v>
      </c>
      <c r="F771" s="3">
        <v>85155</v>
      </c>
      <c r="G771" s="3">
        <v>6228</v>
      </c>
      <c r="H771" s="3">
        <v>491</v>
      </c>
      <c r="I771" s="4">
        <v>6653.61</v>
      </c>
      <c r="J771" s="4">
        <v>31486.41</v>
      </c>
      <c r="K771" s="3">
        <v>249</v>
      </c>
      <c r="L771" s="2" t="s">
        <v>2539</v>
      </c>
      <c r="M771" s="2" t="s">
        <v>2537</v>
      </c>
      <c r="N771" s="8">
        <f>IFERROR(G771/F771,0)</f>
        <v>7.3137220362867711E-2</v>
      </c>
      <c r="O771" s="8">
        <f>IFERROR(H771/G771,0)</f>
        <v>7.8837508028259479E-2</v>
      </c>
      <c r="P771" s="4">
        <f>IFERROR(I771/G771,0)</f>
        <v>1.0683381502890172</v>
      </c>
      <c r="Q771" s="4">
        <f>IFERROR(I771/H771,0)</f>
        <v>13.551140529531567</v>
      </c>
      <c r="R771" s="12">
        <f>IFERROR(J771/I771,0)</f>
        <v>4.7322295716160099</v>
      </c>
      <c r="S771" s="7">
        <f>Tabla_nuevas_columnas[[#This Row],[ROAS]]</f>
        <v>4.7322295716160099</v>
      </c>
      <c r="T771" t="str">
        <f>_xlfn.CONCAT(C771,"-",D771)</f>
        <v>Email-España</v>
      </c>
      <c r="U771">
        <f>YEAR(A771)</f>
        <v>2025</v>
      </c>
      <c r="V771">
        <f>MONTH(A771)</f>
        <v>9</v>
      </c>
      <c r="W771" t="str">
        <f>PROPER(TEXT(A771,"mmmm"))</f>
        <v>Septiembre</v>
      </c>
      <c r="X771" t="str">
        <f>PROPER(TEXT(A771,"dddd"))</f>
        <v>Martes</v>
      </c>
      <c r="Y771" t="str" cm="1">
        <f t="array" ref="Y771">_xlfn.IFS(R771&gt;10,"Excelente",R771&gt;=5,"Bueno",R771&gt;=2,"Débil",R771&lt;2,"Deficiente")</f>
        <v>Débil</v>
      </c>
      <c r="Z771" t="str">
        <f>IF(AND(R771&lt;2,Q771&gt;=100),"Revisar","OK")</f>
        <v>OK</v>
      </c>
      <c r="AA771" s="55">
        <f>_xlfn.XLOOKUP(C771,'Preguntas de negocio'!$C$114:$C$119,'Preguntas de negocio'!$D$114:$D$119,0)</f>
        <v>5.5</v>
      </c>
      <c r="AB771" s="55">
        <f>VLOOKUP(C771,'Preguntas de negocio'!$C$121:$D$127,2,FALSE)</f>
        <v>0.65</v>
      </c>
    </row>
    <row r="772" spans="1:28" x14ac:dyDescent="0.3">
      <c r="A772" s="1">
        <v>45832</v>
      </c>
      <c r="B772" s="2" t="s">
        <v>2633</v>
      </c>
      <c r="C772" s="2" t="s">
        <v>2527</v>
      </c>
      <c r="D772" s="2" t="s">
        <v>2528</v>
      </c>
      <c r="E772" s="2" t="s">
        <v>2529</v>
      </c>
      <c r="F772" s="3">
        <v>139134</v>
      </c>
      <c r="G772" s="3">
        <v>985</v>
      </c>
      <c r="H772" s="3">
        <v>9</v>
      </c>
      <c r="I772" s="4">
        <v>183.45</v>
      </c>
      <c r="J772" s="4">
        <v>641.09</v>
      </c>
      <c r="K772" s="3">
        <v>4</v>
      </c>
      <c r="L772" s="2" t="s">
        <v>2539</v>
      </c>
      <c r="M772" s="2" t="s">
        <v>2537</v>
      </c>
      <c r="N772" s="8">
        <f>IFERROR(G772/F772,0)</f>
        <v>7.0795060876565038E-3</v>
      </c>
      <c r="O772" s="8">
        <f>IFERROR(H772/G772,0)</f>
        <v>9.1370558375634525E-3</v>
      </c>
      <c r="P772" s="4">
        <f>IFERROR(I772/G772,0)</f>
        <v>0.18624365482233501</v>
      </c>
      <c r="Q772" s="4">
        <f>IFERROR(I772/H772,0)</f>
        <v>20.383333333333333</v>
      </c>
      <c r="R772" s="12">
        <f>IFERROR(J772/I772,0)</f>
        <v>3.4946306895611889</v>
      </c>
      <c r="S772" s="7">
        <f>Tabla_nuevas_columnas[[#This Row],[ROAS]]</f>
        <v>3.4946306895611889</v>
      </c>
      <c r="T772" t="str">
        <f>_xlfn.CONCAT(C772,"-",D772)</f>
        <v>Affiliate-España</v>
      </c>
      <c r="U772">
        <f>YEAR(A772)</f>
        <v>2025</v>
      </c>
      <c r="V772">
        <f>MONTH(A772)</f>
        <v>6</v>
      </c>
      <c r="W772" t="str">
        <f>PROPER(TEXT(A772,"mmmm"))</f>
        <v>Junio</v>
      </c>
      <c r="X772" t="str">
        <f>PROPER(TEXT(A772,"dddd"))</f>
        <v>Martes</v>
      </c>
      <c r="Y772" t="str" cm="1">
        <f t="array" ref="Y772">_xlfn.IFS(R772&gt;10,"Excelente",R772&gt;=5,"Bueno",R772&gt;=2,"Débil",R772&lt;2,"Deficiente")</f>
        <v>Débil</v>
      </c>
      <c r="Z772" t="str">
        <f>IF(AND(R772&lt;2,Q772&gt;=100),"Revisar","OK")</f>
        <v>OK</v>
      </c>
      <c r="AA772" s="55">
        <f>_xlfn.XLOOKUP(C772,'Preguntas de negocio'!$C$114:$C$119,'Preguntas de negocio'!$D$114:$D$119,0)</f>
        <v>4.5</v>
      </c>
      <c r="AB772" s="55">
        <f>VLOOKUP(C772,'Preguntas de negocio'!$C$121:$D$127,2,FALSE)</f>
        <v>0.35</v>
      </c>
    </row>
    <row r="773" spans="1:28" x14ac:dyDescent="0.3">
      <c r="A773" s="1">
        <v>45691</v>
      </c>
      <c r="B773" s="2" t="s">
        <v>2616</v>
      </c>
      <c r="C773" s="2" t="s">
        <v>2541</v>
      </c>
      <c r="D773" s="2" t="s">
        <v>2528</v>
      </c>
      <c r="E773" s="2" t="s">
        <v>2517</v>
      </c>
      <c r="F773" s="3">
        <v>74707</v>
      </c>
      <c r="G773" s="3">
        <v>4255</v>
      </c>
      <c r="H773" s="3">
        <v>363</v>
      </c>
      <c r="I773" s="4">
        <v>7191.6</v>
      </c>
      <c r="J773" s="4">
        <v>66107.460000000006</v>
      </c>
      <c r="K773" s="3">
        <v>208</v>
      </c>
      <c r="L773" s="2" t="s">
        <v>2536</v>
      </c>
      <c r="M773" s="2" t="s">
        <v>2519</v>
      </c>
      <c r="N773" s="8">
        <f>IFERROR(G773/F773,0)</f>
        <v>5.6955840818129495E-2</v>
      </c>
      <c r="O773" s="8">
        <f>IFERROR(H773/G773,0)</f>
        <v>8.5311398354876611E-2</v>
      </c>
      <c r="P773" s="4">
        <f>IFERROR(I773/G773,0)</f>
        <v>1.6901527614571095</v>
      </c>
      <c r="Q773" s="4">
        <f>IFERROR(I773/H773,0)</f>
        <v>19.811570247933886</v>
      </c>
      <c r="R773" s="12">
        <f>IFERROR(J773/I773,0)</f>
        <v>9.1923160353746045</v>
      </c>
      <c r="S773" s="7">
        <f>Tabla_nuevas_columnas[[#This Row],[ROAS]]</f>
        <v>9.1923160353746045</v>
      </c>
      <c r="T773" t="str">
        <f>_xlfn.CONCAT(C773,"-",D773)</f>
        <v>Display-España</v>
      </c>
      <c r="U773">
        <f>YEAR(A773)</f>
        <v>2025</v>
      </c>
      <c r="V773">
        <f>MONTH(A773)</f>
        <v>2</v>
      </c>
      <c r="W773" t="str">
        <f>PROPER(TEXT(A773,"mmmm"))</f>
        <v>Febrero</v>
      </c>
      <c r="X773" t="str">
        <f>PROPER(TEXT(A773,"dddd"))</f>
        <v>Lunes</v>
      </c>
      <c r="Y773" t="str" cm="1">
        <f t="array" ref="Y773">_xlfn.IFS(R773&gt;10,"Excelente",R773&gt;=5,"Bueno",R773&gt;=2,"Débil",R773&lt;2,"Deficiente")</f>
        <v>Bueno</v>
      </c>
      <c r="Z773" t="str">
        <f>IF(AND(R773&lt;2,Q773&gt;=100),"Revisar","OK")</f>
        <v>OK</v>
      </c>
      <c r="AA773" s="55">
        <f>_xlfn.XLOOKUP(C773,'Preguntas de negocio'!$C$114:$C$119,'Preguntas de negocio'!$D$114:$D$119,0)</f>
        <v>5</v>
      </c>
      <c r="AB773" s="55">
        <f>VLOOKUP(C773,'Preguntas de negocio'!$C$121:$D$127,2,FALSE)</f>
        <v>0.5</v>
      </c>
    </row>
    <row r="774" spans="1:28" x14ac:dyDescent="0.3">
      <c r="A774" s="1">
        <v>45731</v>
      </c>
      <c r="B774" s="2" t="s">
        <v>2619</v>
      </c>
      <c r="C774" s="2" t="s">
        <v>2541</v>
      </c>
      <c r="D774" s="2" t="s">
        <v>2528</v>
      </c>
      <c r="E774" s="2" t="s">
        <v>2529</v>
      </c>
      <c r="F774" s="3">
        <v>166112</v>
      </c>
      <c r="G774" s="3">
        <v>3732</v>
      </c>
      <c r="H774" s="3">
        <v>143</v>
      </c>
      <c r="I774" s="4">
        <v>490.92</v>
      </c>
      <c r="J774" s="4">
        <v>25789.09</v>
      </c>
      <c r="K774" s="3">
        <v>126</v>
      </c>
      <c r="L774" s="2" t="s">
        <v>2539</v>
      </c>
      <c r="M774" s="2" t="s">
        <v>2519</v>
      </c>
      <c r="N774" s="8">
        <f>IFERROR(G774/F774,0)</f>
        <v>2.2466769408591793E-2</v>
      </c>
      <c r="O774" s="8">
        <f>IFERROR(H774/G774,0)</f>
        <v>3.8317256162915328E-2</v>
      </c>
      <c r="P774" s="4">
        <f>IFERROR(I774/G774,0)</f>
        <v>0.13154340836012862</v>
      </c>
      <c r="Q774" s="4">
        <f>IFERROR(I774/H774,0)</f>
        <v>3.4330069930069933</v>
      </c>
      <c r="R774" s="12">
        <f>IFERROR(J774/I774,0)</f>
        <v>52.532164100057031</v>
      </c>
      <c r="S774" s="7">
        <f>Tabla_nuevas_columnas[[#This Row],[ROAS]]</f>
        <v>52.532164100057031</v>
      </c>
      <c r="T774" t="str">
        <f>_xlfn.CONCAT(C774,"-",D774)</f>
        <v>Display-España</v>
      </c>
      <c r="U774">
        <f>YEAR(A774)</f>
        <v>2025</v>
      </c>
      <c r="V774">
        <f>MONTH(A774)</f>
        <v>3</v>
      </c>
      <c r="W774" t="str">
        <f>PROPER(TEXT(A774,"mmmm"))</f>
        <v>Marzo</v>
      </c>
      <c r="X774" t="str">
        <f>PROPER(TEXT(A774,"dddd"))</f>
        <v>Sábado</v>
      </c>
      <c r="Y774" t="str" cm="1">
        <f t="array" ref="Y774">_xlfn.IFS(R774&gt;10,"Excelente",R774&gt;=5,"Bueno",R774&gt;=2,"Débil",R774&lt;2,"Deficiente")</f>
        <v>Excelente</v>
      </c>
      <c r="Z774" t="str">
        <f>IF(AND(R774&lt;2,Q774&gt;=100),"Revisar","OK")</f>
        <v>OK</v>
      </c>
      <c r="AA774" s="55">
        <f>_xlfn.XLOOKUP(C774,'Preguntas de negocio'!$C$114:$C$119,'Preguntas de negocio'!$D$114:$D$119,0)</f>
        <v>5</v>
      </c>
      <c r="AB774" s="55">
        <f>VLOOKUP(C774,'Preguntas de negocio'!$C$121:$D$127,2,FALSE)</f>
        <v>0.5</v>
      </c>
    </row>
    <row r="775" spans="1:28" x14ac:dyDescent="0.3">
      <c r="A775" s="1">
        <v>45827</v>
      </c>
      <c r="B775" s="2" t="s">
        <v>2629</v>
      </c>
      <c r="C775" s="2" t="s">
        <v>2543</v>
      </c>
      <c r="D775" s="2" t="s">
        <v>2516</v>
      </c>
      <c r="E775" s="2" t="s">
        <v>2517</v>
      </c>
      <c r="F775" s="3">
        <v>61091</v>
      </c>
      <c r="G775" s="3">
        <v>1135</v>
      </c>
      <c r="H775" s="3">
        <v>154</v>
      </c>
      <c r="I775" s="4">
        <v>1348.65</v>
      </c>
      <c r="J775" s="4">
        <v>18227.86</v>
      </c>
      <c r="K775" s="3">
        <v>123</v>
      </c>
      <c r="L775" s="2" t="s">
        <v>2536</v>
      </c>
      <c r="M775" s="2" t="s">
        <v>2524</v>
      </c>
      <c r="N775" s="8">
        <f>IFERROR(G775/F775,0)</f>
        <v>1.8578841400533629E-2</v>
      </c>
      <c r="O775" s="8">
        <f>IFERROR(H775/G775,0)</f>
        <v>0.13568281938325991</v>
      </c>
      <c r="P775" s="4">
        <f>IFERROR(I775/G775,0)</f>
        <v>1.188237885462555</v>
      </c>
      <c r="Q775" s="4">
        <f>IFERROR(I775/H775,0)</f>
        <v>8.7574675324675333</v>
      </c>
      <c r="R775" s="12">
        <f>IFERROR(J775/I775,0)</f>
        <v>13.51563415267119</v>
      </c>
      <c r="S775" s="7">
        <f>Tabla_nuevas_columnas[[#This Row],[ROAS]]</f>
        <v>13.51563415267119</v>
      </c>
      <c r="T775" t="str">
        <f>_xlfn.CONCAT(C775,"-",D775)</f>
        <v>Organic Social-México</v>
      </c>
      <c r="U775">
        <f>YEAR(A775)</f>
        <v>2025</v>
      </c>
      <c r="V775">
        <f>MONTH(A775)</f>
        <v>6</v>
      </c>
      <c r="W775" t="str">
        <f>PROPER(TEXT(A775,"mmmm"))</f>
        <v>Junio</v>
      </c>
      <c r="X775" t="str">
        <f>PROPER(TEXT(A775,"dddd"))</f>
        <v>Jueves</v>
      </c>
      <c r="Y775" t="str" cm="1">
        <f t="array" ref="Y775">_xlfn.IFS(R775&gt;10,"Excelente",R775&gt;=5,"Bueno",R775&gt;=2,"Débil",R775&lt;2,"Deficiente")</f>
        <v>Excelente</v>
      </c>
      <c r="Z775" t="str">
        <f>IF(AND(R775&lt;2,Q775&gt;=100),"Revisar","OK")</f>
        <v>OK</v>
      </c>
      <c r="AA775" s="55">
        <f>_xlfn.XLOOKUP(C775,'Preguntas de negocio'!$C$114:$C$119,'Preguntas de negocio'!$D$114:$D$119,0)</f>
        <v>4</v>
      </c>
      <c r="AB775" s="55">
        <f>VLOOKUP(C775,'Preguntas de negocio'!$C$121:$D$127,2,FALSE)</f>
        <v>0.95</v>
      </c>
    </row>
    <row r="776" spans="1:28" x14ac:dyDescent="0.3">
      <c r="A776" s="1">
        <v>45725</v>
      </c>
      <c r="B776" s="2" t="s">
        <v>2620</v>
      </c>
      <c r="C776" s="2" t="s">
        <v>2533</v>
      </c>
      <c r="D776" s="2" t="s">
        <v>2528</v>
      </c>
      <c r="E776" s="2" t="s">
        <v>2517</v>
      </c>
      <c r="F776" s="3">
        <v>90473</v>
      </c>
      <c r="G776" s="3">
        <v>7819</v>
      </c>
      <c r="H776" s="3">
        <v>864</v>
      </c>
      <c r="I776" s="4">
        <v>5021.29</v>
      </c>
      <c r="J776" s="4">
        <v>68341.570000000007</v>
      </c>
      <c r="K776" s="3">
        <v>390</v>
      </c>
      <c r="L776" s="2" t="s">
        <v>2523</v>
      </c>
      <c r="M776" s="2" t="s">
        <v>2524</v>
      </c>
      <c r="N776" s="8">
        <f>IFERROR(G776/F776,0)</f>
        <v>8.6423573883921176E-2</v>
      </c>
      <c r="O776" s="8">
        <f>IFERROR(H776/G776,0)</f>
        <v>0.11050006394679626</v>
      </c>
      <c r="P776" s="4">
        <f>IFERROR(I776/G776,0)</f>
        <v>0.64219081724005622</v>
      </c>
      <c r="Q776" s="4">
        <f>IFERROR(I776/H776,0)</f>
        <v>5.8116782407407408</v>
      </c>
      <c r="R776" s="12">
        <f>IFERROR(J776/I776,0)</f>
        <v>13.610361082510671</v>
      </c>
      <c r="S776" s="7">
        <f>Tabla_nuevas_columnas[[#This Row],[ROAS]]</f>
        <v>13.610361082510671</v>
      </c>
      <c r="T776" t="str">
        <f>_xlfn.CONCAT(C776,"-",D776)</f>
        <v>Paid Social-España</v>
      </c>
      <c r="U776">
        <f>YEAR(A776)</f>
        <v>2025</v>
      </c>
      <c r="V776">
        <f>MONTH(A776)</f>
        <v>3</v>
      </c>
      <c r="W776" t="str">
        <f>PROPER(TEXT(A776,"mmmm"))</f>
        <v>Marzo</v>
      </c>
      <c r="X776" t="str">
        <f>PROPER(TEXT(A776,"dddd"))</f>
        <v>Domingo</v>
      </c>
      <c r="Y776" t="str" cm="1">
        <f t="array" ref="Y776">_xlfn.IFS(R776&gt;10,"Excelente",R776&gt;=5,"Bueno",R776&gt;=2,"Débil",R776&lt;2,"Deficiente")</f>
        <v>Excelente</v>
      </c>
      <c r="Z776" t="str">
        <f>IF(AND(R776&lt;2,Q776&gt;=100),"Revisar","OK")</f>
        <v>OK</v>
      </c>
      <c r="AA776" s="55">
        <f>_xlfn.XLOOKUP(C776,'Preguntas de negocio'!$C$114:$C$119,'Preguntas de negocio'!$D$114:$D$119,0)</f>
        <v>6</v>
      </c>
      <c r="AB776" s="55">
        <f>VLOOKUP(C776,'Preguntas de negocio'!$C$121:$D$127,2,FALSE)</f>
        <v>0.8</v>
      </c>
    </row>
    <row r="777" spans="1:28" x14ac:dyDescent="0.3">
      <c r="A777" s="1">
        <v>46004</v>
      </c>
      <c r="B777" s="2" t="s">
        <v>2627</v>
      </c>
      <c r="C777" s="2" t="s">
        <v>2541</v>
      </c>
      <c r="D777" s="2" t="s">
        <v>2516</v>
      </c>
      <c r="E777" s="2" t="s">
        <v>2529</v>
      </c>
      <c r="F777" s="3">
        <v>23565</v>
      </c>
      <c r="G777" s="3">
        <v>1207</v>
      </c>
      <c r="H777" s="3">
        <v>136</v>
      </c>
      <c r="I777" s="4">
        <v>1109.26</v>
      </c>
      <c r="J777" s="4">
        <v>26944.22</v>
      </c>
      <c r="K777" s="3">
        <v>104</v>
      </c>
      <c r="L777" s="2" t="s">
        <v>2523</v>
      </c>
      <c r="M777" s="2" t="s">
        <v>2546</v>
      </c>
      <c r="N777" s="8">
        <f>IFERROR(G777/F777,0)</f>
        <v>5.1220029705071078E-2</v>
      </c>
      <c r="O777" s="8">
        <f>IFERROR(H777/G777,0)</f>
        <v>0.11267605633802817</v>
      </c>
      <c r="P777" s="4">
        <f>IFERROR(I777/G777,0)</f>
        <v>0.91902236951118477</v>
      </c>
      <c r="Q777" s="4">
        <f>IFERROR(I777/H777,0)</f>
        <v>8.1563235294117646</v>
      </c>
      <c r="R777" s="12">
        <f>IFERROR(J777/I777,0)</f>
        <v>24.290265582460382</v>
      </c>
      <c r="S777" s="7">
        <f>Tabla_nuevas_columnas[[#This Row],[ROAS]]</f>
        <v>24.290265582460382</v>
      </c>
      <c r="T777" t="str">
        <f>_xlfn.CONCAT(C777,"-",D777)</f>
        <v>Display-México</v>
      </c>
      <c r="U777">
        <f>YEAR(A777)</f>
        <v>2025</v>
      </c>
      <c r="V777">
        <f>MONTH(A777)</f>
        <v>12</v>
      </c>
      <c r="W777" t="str">
        <f>PROPER(TEXT(A777,"mmmm"))</f>
        <v>Diciembre</v>
      </c>
      <c r="X777" t="str">
        <f>PROPER(TEXT(A777,"dddd"))</f>
        <v>Sábado</v>
      </c>
      <c r="Y777" t="str" cm="1">
        <f t="array" ref="Y777">_xlfn.IFS(R777&gt;10,"Excelente",R777&gt;=5,"Bueno",R777&gt;=2,"Débil",R777&lt;2,"Deficiente")</f>
        <v>Excelente</v>
      </c>
      <c r="Z777" t="str">
        <f>IF(AND(R777&lt;2,Q777&gt;=100),"Revisar","OK")</f>
        <v>OK</v>
      </c>
      <c r="AA777" s="55">
        <f>_xlfn.XLOOKUP(C777,'Preguntas de negocio'!$C$114:$C$119,'Preguntas de negocio'!$D$114:$D$119,0)</f>
        <v>5</v>
      </c>
      <c r="AB777" s="55">
        <f>VLOOKUP(C777,'Preguntas de negocio'!$C$121:$D$127,2,FALSE)</f>
        <v>0.5</v>
      </c>
    </row>
    <row r="778" spans="1:28" x14ac:dyDescent="0.3">
      <c r="A778" s="1">
        <v>45745</v>
      </c>
      <c r="B778" s="2" t="s">
        <v>2638</v>
      </c>
      <c r="C778" s="2" t="s">
        <v>2521</v>
      </c>
      <c r="D778" s="2" t="s">
        <v>2528</v>
      </c>
      <c r="E778" s="2" t="s">
        <v>2517</v>
      </c>
      <c r="F778" s="3">
        <v>111367</v>
      </c>
      <c r="G778" s="3">
        <v>8081</v>
      </c>
      <c r="H778" s="3">
        <v>1093</v>
      </c>
      <c r="I778" s="4">
        <v>6697.16</v>
      </c>
      <c r="J778" s="4">
        <v>232412.6</v>
      </c>
      <c r="K778" s="3">
        <v>814</v>
      </c>
      <c r="L778" s="2" t="s">
        <v>2539</v>
      </c>
      <c r="M778" s="2" t="s">
        <v>2524</v>
      </c>
      <c r="N778" s="8">
        <f>IFERROR(G778/F778,0)</f>
        <v>7.2561889967405063E-2</v>
      </c>
      <c r="O778" s="8">
        <f>IFERROR(H778/G778,0)</f>
        <v>0.13525553768098009</v>
      </c>
      <c r="P778" s="4">
        <f>IFERROR(I778/G778,0)</f>
        <v>0.82875386709565646</v>
      </c>
      <c r="Q778" s="4">
        <f>IFERROR(I778/H778,0)</f>
        <v>6.1273193046660568</v>
      </c>
      <c r="R778" s="12">
        <f>IFERROR(J778/I778,0)</f>
        <v>34.703157756422129</v>
      </c>
      <c r="S778" s="7">
        <f>Tabla_nuevas_columnas[[#This Row],[ROAS]]</f>
        <v>34.703157756422129</v>
      </c>
      <c r="T778" t="str">
        <f>_xlfn.CONCAT(C778,"-",D778)</f>
        <v>Paid Search-España</v>
      </c>
      <c r="U778">
        <f>YEAR(A778)</f>
        <v>2025</v>
      </c>
      <c r="V778">
        <f>MONTH(A778)</f>
        <v>3</v>
      </c>
      <c r="W778" t="str">
        <f>PROPER(TEXT(A778,"mmmm"))</f>
        <v>Marzo</v>
      </c>
      <c r="X778" t="str">
        <f>PROPER(TEXT(A778,"dddd"))</f>
        <v>Sábado</v>
      </c>
      <c r="Y778" t="str" cm="1">
        <f t="array" ref="Y778">_xlfn.IFS(R778&gt;10,"Excelente",R778&gt;=5,"Bueno",R778&gt;=2,"Débil",R778&lt;2,"Deficiente")</f>
        <v>Excelente</v>
      </c>
      <c r="Z778" t="str">
        <f>IF(AND(R778&lt;2,Q778&gt;=100),"Revisar","OK")</f>
        <v>OK</v>
      </c>
      <c r="AA778" s="55">
        <f>_xlfn.XLOOKUP(C778,'Preguntas de negocio'!$C$114:$C$119,'Preguntas de negocio'!$D$114:$D$119,0)</f>
        <v>5</v>
      </c>
      <c r="AB778" s="55">
        <f>VLOOKUP(C778,'Preguntas de negocio'!$C$121:$D$127,2,FALSE)</f>
        <v>1.1000000000000001</v>
      </c>
    </row>
    <row r="779" spans="1:28" x14ac:dyDescent="0.3">
      <c r="A779" s="1">
        <v>45675</v>
      </c>
      <c r="B779" s="2" t="s">
        <v>2623</v>
      </c>
      <c r="C779" s="2" t="s">
        <v>2515</v>
      </c>
      <c r="D779" s="2" t="s">
        <v>2522</v>
      </c>
      <c r="E779" s="2" t="s">
        <v>2517</v>
      </c>
      <c r="F779" s="3">
        <v>24110</v>
      </c>
      <c r="G779" s="3">
        <v>698</v>
      </c>
      <c r="H779" s="3">
        <v>66</v>
      </c>
      <c r="I779" s="4">
        <v>364.85</v>
      </c>
      <c r="J779" s="4">
        <v>11852.83</v>
      </c>
      <c r="K779" s="3">
        <v>58</v>
      </c>
      <c r="L779" s="2" t="s">
        <v>2539</v>
      </c>
      <c r="M779" s="2" t="s">
        <v>2519</v>
      </c>
      <c r="N779" s="8">
        <f>IFERROR(G779/F779,0)</f>
        <v>2.8950642886768976E-2</v>
      </c>
      <c r="O779" s="8">
        <f>IFERROR(H779/G779,0)</f>
        <v>9.4555873925501438E-2</v>
      </c>
      <c r="P779" s="4">
        <f>IFERROR(I779/G779,0)</f>
        <v>0.52270773638968482</v>
      </c>
      <c r="Q779" s="4">
        <f>IFERROR(I779/H779,0)</f>
        <v>5.5280303030303033</v>
      </c>
      <c r="R779" s="12">
        <f>IFERROR(J779/I779,0)</f>
        <v>32.48685761271755</v>
      </c>
      <c r="S779" s="7">
        <f>Tabla_nuevas_columnas[[#This Row],[ROAS]]</f>
        <v>32.48685761271755</v>
      </c>
      <c r="T779" t="str">
        <f>_xlfn.CONCAT(C779,"-",D779)</f>
        <v>Email-Italia</v>
      </c>
      <c r="U779">
        <f>YEAR(A779)</f>
        <v>2025</v>
      </c>
      <c r="V779">
        <f>MONTH(A779)</f>
        <v>1</v>
      </c>
      <c r="W779" t="str">
        <f>PROPER(TEXT(A779,"mmmm"))</f>
        <v>Enero</v>
      </c>
      <c r="X779" t="str">
        <f>PROPER(TEXT(A779,"dddd"))</f>
        <v>Sábado</v>
      </c>
      <c r="Y779" t="str" cm="1">
        <f t="array" ref="Y779">_xlfn.IFS(R779&gt;10,"Excelente",R779&gt;=5,"Bueno",R779&gt;=2,"Débil",R779&lt;2,"Deficiente")</f>
        <v>Excelente</v>
      </c>
      <c r="Z779" t="str">
        <f>IF(AND(R779&lt;2,Q779&gt;=100),"Revisar","OK")</f>
        <v>OK</v>
      </c>
      <c r="AA779" s="55">
        <f>_xlfn.XLOOKUP(C779,'Preguntas de negocio'!$C$114:$C$119,'Preguntas de negocio'!$D$114:$D$119,0)</f>
        <v>5.5</v>
      </c>
      <c r="AB779" s="55">
        <f>VLOOKUP(C779,'Preguntas de negocio'!$C$121:$D$127,2,FALSE)</f>
        <v>0.65</v>
      </c>
    </row>
    <row r="780" spans="1:28" x14ac:dyDescent="0.3">
      <c r="A780" s="1">
        <v>45786</v>
      </c>
      <c r="B780" s="2" t="s">
        <v>2625</v>
      </c>
      <c r="C780" s="2" t="s">
        <v>2543</v>
      </c>
      <c r="D780" s="2" t="s">
        <v>2516</v>
      </c>
      <c r="E780" s="2" t="s">
        <v>2529</v>
      </c>
      <c r="F780" s="3">
        <v>44502</v>
      </c>
      <c r="G780" s="3">
        <v>3149</v>
      </c>
      <c r="H780" s="3">
        <v>411</v>
      </c>
      <c r="I780" s="4">
        <v>4510.66</v>
      </c>
      <c r="J780" s="4">
        <v>40680.639999999999</v>
      </c>
      <c r="K780" s="3">
        <v>349</v>
      </c>
      <c r="L780" s="2" t="s">
        <v>2518</v>
      </c>
      <c r="M780" s="2" t="s">
        <v>2519</v>
      </c>
      <c r="N780" s="8">
        <f>IFERROR(G780/F780,0)</f>
        <v>7.0760864680239094E-2</v>
      </c>
      <c r="O780" s="8">
        <f>IFERROR(H780/G780,0)</f>
        <v>0.13051762464274372</v>
      </c>
      <c r="P780" s="4">
        <f>IFERROR(I780/G780,0)</f>
        <v>1.4324102889806287</v>
      </c>
      <c r="Q780" s="4">
        <f>IFERROR(I780/H780,0)</f>
        <v>10.974841849148419</v>
      </c>
      <c r="R780" s="12">
        <f>IFERROR(J780/I780,0)</f>
        <v>9.0187777398429496</v>
      </c>
      <c r="S780" s="7">
        <f>Tabla_nuevas_columnas[[#This Row],[ROAS]]</f>
        <v>9.0187777398429496</v>
      </c>
      <c r="T780" t="str">
        <f>_xlfn.CONCAT(C780,"-",D780)</f>
        <v>Organic Social-México</v>
      </c>
      <c r="U780">
        <f>YEAR(A780)</f>
        <v>2025</v>
      </c>
      <c r="V780">
        <f>MONTH(A780)</f>
        <v>5</v>
      </c>
      <c r="W780" t="str">
        <f>PROPER(TEXT(A780,"mmmm"))</f>
        <v>Mayo</v>
      </c>
      <c r="X780" t="str">
        <f>PROPER(TEXT(A780,"dddd"))</f>
        <v>Viernes</v>
      </c>
      <c r="Y780" t="str" cm="1">
        <f t="array" ref="Y780">_xlfn.IFS(R780&gt;10,"Excelente",R780&gt;=5,"Bueno",R780&gt;=2,"Débil",R780&lt;2,"Deficiente")</f>
        <v>Bueno</v>
      </c>
      <c r="Z780" t="str">
        <f>IF(AND(R780&lt;2,Q780&gt;=100),"Revisar","OK")</f>
        <v>OK</v>
      </c>
      <c r="AA780" s="55">
        <f>_xlfn.XLOOKUP(C780,'Preguntas de negocio'!$C$114:$C$119,'Preguntas de negocio'!$D$114:$D$119,0)</f>
        <v>4</v>
      </c>
      <c r="AB780" s="55">
        <f>VLOOKUP(C780,'Preguntas de negocio'!$C$121:$D$127,2,FALSE)</f>
        <v>0.95</v>
      </c>
    </row>
    <row r="781" spans="1:28" x14ac:dyDescent="0.3">
      <c r="A781" s="1">
        <v>45700</v>
      </c>
      <c r="B781" s="2" t="s">
        <v>2617</v>
      </c>
      <c r="C781" s="2" t="s">
        <v>2541</v>
      </c>
      <c r="D781" s="2" t="s">
        <v>2525</v>
      </c>
      <c r="E781" s="2" t="s">
        <v>2529</v>
      </c>
      <c r="F781" s="3">
        <v>140942</v>
      </c>
      <c r="G781" s="3">
        <v>11107</v>
      </c>
      <c r="H781" s="3">
        <v>185</v>
      </c>
      <c r="I781" s="4">
        <v>16890.669999999998</v>
      </c>
      <c r="J781" s="4">
        <v>12826</v>
      </c>
      <c r="K781" s="3">
        <v>115</v>
      </c>
      <c r="L781" s="2" t="s">
        <v>2518</v>
      </c>
      <c r="M781" s="2" t="s">
        <v>2526</v>
      </c>
      <c r="N781" s="8">
        <f>IFERROR(G781/F781,0)</f>
        <v>7.8805466078244957E-2</v>
      </c>
      <c r="O781" s="8">
        <f>IFERROR(H781/G781,0)</f>
        <v>1.6656162780228686E-2</v>
      </c>
      <c r="P781" s="4">
        <f>IFERROR(I781/G781,0)</f>
        <v>1.5207229674979741</v>
      </c>
      <c r="Q781" s="4">
        <f>IFERROR(I781/H781,0)</f>
        <v>91.30091891891891</v>
      </c>
      <c r="R781" s="12">
        <f>IFERROR(J781/I781,0)</f>
        <v>0.75935412864024943</v>
      </c>
      <c r="S781" s="7">
        <f>Tabla_nuevas_columnas[[#This Row],[ROAS]]</f>
        <v>0.75935412864024943</v>
      </c>
      <c r="T781" t="str">
        <f>_xlfn.CONCAT(C781,"-",D781)</f>
        <v>Display-Francia</v>
      </c>
      <c r="U781">
        <f>YEAR(A781)</f>
        <v>2025</v>
      </c>
      <c r="V781">
        <f>MONTH(A781)</f>
        <v>2</v>
      </c>
      <c r="W781" t="str">
        <f>PROPER(TEXT(A781,"mmmm"))</f>
        <v>Febrero</v>
      </c>
      <c r="X781" t="str">
        <f>PROPER(TEXT(A781,"dddd"))</f>
        <v>Miércoles</v>
      </c>
      <c r="Y781" t="str" cm="1">
        <f t="array" ref="Y781">_xlfn.IFS(R781&gt;10,"Excelente",R781&gt;=5,"Bueno",R781&gt;=2,"Débil",R781&lt;2,"Deficiente")</f>
        <v>Deficiente</v>
      </c>
      <c r="Z781" t="str">
        <f>IF(AND(R781&lt;2,Q781&gt;=100),"Revisar","OK")</f>
        <v>OK</v>
      </c>
      <c r="AA781" s="55">
        <f>_xlfn.XLOOKUP(C781,'Preguntas de negocio'!$C$114:$C$119,'Preguntas de negocio'!$D$114:$D$119,0)</f>
        <v>5</v>
      </c>
      <c r="AB781" s="55">
        <f>VLOOKUP(C781,'Preguntas de negocio'!$C$121:$D$127,2,FALSE)</f>
        <v>0.5</v>
      </c>
    </row>
    <row r="782" spans="1:28" x14ac:dyDescent="0.3">
      <c r="A782" s="1">
        <v>45818</v>
      </c>
      <c r="B782" s="2" t="s">
        <v>2615</v>
      </c>
      <c r="C782" s="2" t="s">
        <v>2521</v>
      </c>
      <c r="D782" s="2" t="s">
        <v>2528</v>
      </c>
      <c r="E782" s="2" t="s">
        <v>2529</v>
      </c>
      <c r="F782" s="3">
        <v>44849</v>
      </c>
      <c r="G782" s="3">
        <v>2804</v>
      </c>
      <c r="H782" s="3">
        <v>187</v>
      </c>
      <c r="I782" s="4">
        <v>3166.17</v>
      </c>
      <c r="J782" s="4">
        <v>20693.62</v>
      </c>
      <c r="K782" s="3">
        <v>121</v>
      </c>
      <c r="L782" s="2" t="s">
        <v>2518</v>
      </c>
      <c r="M782" s="2" t="s">
        <v>2526</v>
      </c>
      <c r="N782" s="8">
        <f>IFERROR(G782/F782,0)</f>
        <v>6.2520903476108725E-2</v>
      </c>
      <c r="O782" s="8">
        <f>IFERROR(H782/G782,0)</f>
        <v>6.6690442225392291E-2</v>
      </c>
      <c r="P782" s="4">
        <f>IFERROR(I782/G782,0)</f>
        <v>1.1291619115549216</v>
      </c>
      <c r="Q782" s="4">
        <f>IFERROR(I782/H782,0)</f>
        <v>16.931390374331553</v>
      </c>
      <c r="R782" s="12">
        <f>IFERROR(J782/I782,0)</f>
        <v>6.5358524652813959</v>
      </c>
      <c r="S782" s="7">
        <f>Tabla_nuevas_columnas[[#This Row],[ROAS]]</f>
        <v>6.5358524652813959</v>
      </c>
      <c r="T782" t="str">
        <f>_xlfn.CONCAT(C782,"-",D782)</f>
        <v>Paid Search-España</v>
      </c>
      <c r="U782">
        <f>YEAR(A782)</f>
        <v>2025</v>
      </c>
      <c r="V782">
        <f>MONTH(A782)</f>
        <v>6</v>
      </c>
      <c r="W782" t="str">
        <f>PROPER(TEXT(A782,"mmmm"))</f>
        <v>Junio</v>
      </c>
      <c r="X782" t="str">
        <f>PROPER(TEXT(A782,"dddd"))</f>
        <v>Martes</v>
      </c>
      <c r="Y782" t="str" cm="1">
        <f t="array" ref="Y782">_xlfn.IFS(R782&gt;10,"Excelente",R782&gt;=5,"Bueno",R782&gt;=2,"Débil",R782&lt;2,"Deficiente")</f>
        <v>Bueno</v>
      </c>
      <c r="Z782" t="str">
        <f>IF(AND(R782&lt;2,Q782&gt;=100),"Revisar","OK")</f>
        <v>OK</v>
      </c>
      <c r="AA782" s="55">
        <f>_xlfn.XLOOKUP(C782,'Preguntas de negocio'!$C$114:$C$119,'Preguntas de negocio'!$D$114:$D$119,0)</f>
        <v>5</v>
      </c>
      <c r="AB782" s="55">
        <f>VLOOKUP(C782,'Preguntas de negocio'!$C$121:$D$127,2,FALSE)</f>
        <v>1.1000000000000001</v>
      </c>
    </row>
    <row r="783" spans="1:28" x14ac:dyDescent="0.3">
      <c r="A783" s="1">
        <v>45757</v>
      </c>
      <c r="B783" s="2" t="s">
        <v>2623</v>
      </c>
      <c r="C783" s="2" t="s">
        <v>2541</v>
      </c>
      <c r="D783" s="2" t="s">
        <v>2528</v>
      </c>
      <c r="E783" s="2" t="s">
        <v>2529</v>
      </c>
      <c r="F783" s="3">
        <v>13075</v>
      </c>
      <c r="G783" s="3">
        <v>230</v>
      </c>
      <c r="H783" s="3">
        <v>8</v>
      </c>
      <c r="I783" s="4">
        <v>214.45</v>
      </c>
      <c r="J783" s="4">
        <v>1124.6099999999999</v>
      </c>
      <c r="K783" s="3">
        <v>6</v>
      </c>
      <c r="L783" s="2" t="s">
        <v>2536</v>
      </c>
      <c r="M783" s="2" t="s">
        <v>2526</v>
      </c>
      <c r="N783" s="8">
        <f>IFERROR(G783/F783,0)</f>
        <v>1.7590822179732315E-2</v>
      </c>
      <c r="O783" s="8">
        <f>IFERROR(H783/G783,0)</f>
        <v>3.4782608695652174E-2</v>
      </c>
      <c r="P783" s="4">
        <f>IFERROR(I783/G783,0)</f>
        <v>0.93239130434782602</v>
      </c>
      <c r="Q783" s="4">
        <f>IFERROR(I783/H783,0)</f>
        <v>26.806249999999999</v>
      </c>
      <c r="R783" s="12">
        <f>IFERROR(J783/I783,0)</f>
        <v>5.2441594777337377</v>
      </c>
      <c r="S783" s="7">
        <f>Tabla_nuevas_columnas[[#This Row],[ROAS]]</f>
        <v>5.2441594777337377</v>
      </c>
      <c r="T783" t="str">
        <f>_xlfn.CONCAT(C783,"-",D783)</f>
        <v>Display-España</v>
      </c>
      <c r="U783">
        <f>YEAR(A783)</f>
        <v>2025</v>
      </c>
      <c r="V783">
        <f>MONTH(A783)</f>
        <v>4</v>
      </c>
      <c r="W783" t="str">
        <f>PROPER(TEXT(A783,"mmmm"))</f>
        <v>Abril</v>
      </c>
      <c r="X783" t="str">
        <f>PROPER(TEXT(A783,"dddd"))</f>
        <v>Jueves</v>
      </c>
      <c r="Y783" t="str" cm="1">
        <f t="array" ref="Y783">_xlfn.IFS(R783&gt;10,"Excelente",R783&gt;=5,"Bueno",R783&gt;=2,"Débil",R783&lt;2,"Deficiente")</f>
        <v>Bueno</v>
      </c>
      <c r="Z783" t="str">
        <f>IF(AND(R783&lt;2,Q783&gt;=100),"Revisar","OK")</f>
        <v>OK</v>
      </c>
      <c r="AA783" s="55">
        <f>_xlfn.XLOOKUP(C783,'Preguntas de negocio'!$C$114:$C$119,'Preguntas de negocio'!$D$114:$D$119,0)</f>
        <v>5</v>
      </c>
      <c r="AB783" s="55">
        <f>VLOOKUP(C783,'Preguntas de negocio'!$C$121:$D$127,2,FALSE)</f>
        <v>0.5</v>
      </c>
    </row>
    <row r="784" spans="1:28" x14ac:dyDescent="0.3">
      <c r="A784" s="1">
        <v>45849</v>
      </c>
      <c r="B784" s="2" t="s">
        <v>2629</v>
      </c>
      <c r="C784" s="2" t="s">
        <v>2527</v>
      </c>
      <c r="D784" s="2" t="s">
        <v>2645</v>
      </c>
      <c r="E784" s="2" t="s">
        <v>2517</v>
      </c>
      <c r="F784" s="3">
        <v>22870</v>
      </c>
      <c r="G784" s="3">
        <v>214</v>
      </c>
      <c r="H784" s="3">
        <v>7</v>
      </c>
      <c r="I784" s="4">
        <v>349.93</v>
      </c>
      <c r="J784" s="4">
        <v>1066.1099999999999</v>
      </c>
      <c r="K784" s="3">
        <v>3</v>
      </c>
      <c r="L784" s="2" t="s">
        <v>2536</v>
      </c>
      <c r="M784" s="2" t="s">
        <v>2537</v>
      </c>
      <c r="N784" s="8">
        <f>IFERROR(G784/F784,0)</f>
        <v>9.3572365544381288E-3</v>
      </c>
      <c r="O784" s="8">
        <f>IFERROR(H784/G784,0)</f>
        <v>3.2710280373831772E-2</v>
      </c>
      <c r="P784" s="4">
        <f>IFERROR(I784/G784,0)</f>
        <v>1.6351869158878505</v>
      </c>
      <c r="Q784" s="4">
        <f>IFERROR(I784/H784,0)</f>
        <v>49.99</v>
      </c>
      <c r="R784" s="12">
        <f>IFERROR(J784/I784,0)</f>
        <v>3.0466378990083727</v>
      </c>
      <c r="S784" s="7">
        <f>Tabla_nuevas_columnas[[#This Row],[ROAS]]</f>
        <v>3.0466378990083727</v>
      </c>
      <c r="T784" t="str">
        <f>_xlfn.CONCAT(C784,"-",D784)</f>
        <v>Affiliate-Por identificar</v>
      </c>
      <c r="U784">
        <f>YEAR(A784)</f>
        <v>2025</v>
      </c>
      <c r="V784">
        <f>MONTH(A784)</f>
        <v>7</v>
      </c>
      <c r="W784" t="str">
        <f>PROPER(TEXT(A784,"mmmm"))</f>
        <v>Julio</v>
      </c>
      <c r="X784" t="str">
        <f>PROPER(TEXT(A784,"dddd"))</f>
        <v>Viernes</v>
      </c>
      <c r="Y784" t="str" cm="1">
        <f t="array" ref="Y784">_xlfn.IFS(R784&gt;10,"Excelente",R784&gt;=5,"Bueno",R784&gt;=2,"Débil",R784&lt;2,"Deficiente")</f>
        <v>Débil</v>
      </c>
      <c r="Z784" t="str">
        <f>IF(AND(R784&lt;2,Q784&gt;=100),"Revisar","OK")</f>
        <v>OK</v>
      </c>
      <c r="AA784" s="55">
        <f>_xlfn.XLOOKUP(C784,'Preguntas de negocio'!$C$114:$C$119,'Preguntas de negocio'!$D$114:$D$119,0)</f>
        <v>4.5</v>
      </c>
      <c r="AB784" s="55">
        <f>VLOOKUP(C784,'Preguntas de negocio'!$C$121:$D$127,2,FALSE)</f>
        <v>0.35</v>
      </c>
    </row>
    <row r="785" spans="1:28" x14ac:dyDescent="0.3">
      <c r="A785" s="1">
        <v>45982</v>
      </c>
      <c r="B785" s="2" t="s">
        <v>2644</v>
      </c>
      <c r="C785" s="2" t="s">
        <v>2515</v>
      </c>
      <c r="D785" s="2" t="s">
        <v>2528</v>
      </c>
      <c r="E785" s="2" t="s">
        <v>2529</v>
      </c>
      <c r="F785" s="3">
        <v>146245</v>
      </c>
      <c r="G785" s="3">
        <v>12457</v>
      </c>
      <c r="H785" s="3">
        <v>754</v>
      </c>
      <c r="I785" s="4">
        <v>12507.71</v>
      </c>
      <c r="J785" s="4">
        <v>28733.69</v>
      </c>
      <c r="K785" s="3">
        <v>530</v>
      </c>
      <c r="L785" s="2" t="s">
        <v>2523</v>
      </c>
      <c r="M785" s="2" t="s">
        <v>2519</v>
      </c>
      <c r="N785" s="8">
        <f>IFERROR(G785/F785,0)</f>
        <v>8.5178980477965058E-2</v>
      </c>
      <c r="O785" s="8">
        <f>IFERROR(H785/G785,0)</f>
        <v>6.052821706670948E-2</v>
      </c>
      <c r="P785" s="4">
        <f>IFERROR(I785/G785,0)</f>
        <v>1.0040708035642609</v>
      </c>
      <c r="Q785" s="4">
        <f>IFERROR(I785/H785,0)</f>
        <v>16.588474801061007</v>
      </c>
      <c r="R785" s="12">
        <f>IFERROR(J785/I785,0)</f>
        <v>2.2972782387823192</v>
      </c>
      <c r="S785" s="7">
        <f>Tabla_nuevas_columnas[[#This Row],[ROAS]]</f>
        <v>2.2972782387823192</v>
      </c>
      <c r="T785" t="str">
        <f>_xlfn.CONCAT(C785,"-",D785)</f>
        <v>Email-España</v>
      </c>
      <c r="U785">
        <f>YEAR(A785)</f>
        <v>2025</v>
      </c>
      <c r="V785">
        <f>MONTH(A785)</f>
        <v>11</v>
      </c>
      <c r="W785" t="str">
        <f>PROPER(TEXT(A785,"mmmm"))</f>
        <v>Noviembre</v>
      </c>
      <c r="X785" t="str">
        <f>PROPER(TEXT(A785,"dddd"))</f>
        <v>Viernes</v>
      </c>
      <c r="Y785" t="str" cm="1">
        <f t="array" ref="Y785">_xlfn.IFS(R785&gt;10,"Excelente",R785&gt;=5,"Bueno",R785&gt;=2,"Débil",R785&lt;2,"Deficiente")</f>
        <v>Débil</v>
      </c>
      <c r="Z785" t="str">
        <f>IF(AND(R785&lt;2,Q785&gt;=100),"Revisar","OK")</f>
        <v>OK</v>
      </c>
      <c r="AA785" s="55">
        <f>_xlfn.XLOOKUP(C785,'Preguntas de negocio'!$C$114:$C$119,'Preguntas de negocio'!$D$114:$D$119,0)</f>
        <v>5.5</v>
      </c>
      <c r="AB785" s="55">
        <f>VLOOKUP(C785,'Preguntas de negocio'!$C$121:$D$127,2,FALSE)</f>
        <v>0.65</v>
      </c>
    </row>
    <row r="786" spans="1:28" x14ac:dyDescent="0.3">
      <c r="A786" s="1">
        <v>45816</v>
      </c>
      <c r="B786" s="2" t="s">
        <v>2636</v>
      </c>
      <c r="C786" s="2" t="s">
        <v>2515</v>
      </c>
      <c r="D786" s="2" t="s">
        <v>2528</v>
      </c>
      <c r="E786" s="2" t="s">
        <v>2529</v>
      </c>
      <c r="F786" s="3">
        <v>166468</v>
      </c>
      <c r="G786" s="3">
        <v>13944</v>
      </c>
      <c r="H786" s="3">
        <v>634</v>
      </c>
      <c r="I786" s="4">
        <v>13976.1</v>
      </c>
      <c r="J786" s="4">
        <v>112922.56</v>
      </c>
      <c r="K786" s="3">
        <v>368</v>
      </c>
      <c r="L786" s="2" t="s">
        <v>2518</v>
      </c>
      <c r="M786" s="2" t="s">
        <v>2519</v>
      </c>
      <c r="N786" s="8">
        <f>IFERROR(G786/F786,0)</f>
        <v>8.3763846505034004E-2</v>
      </c>
      <c r="O786" s="8">
        <f>IFERROR(H786/G786,0)</f>
        <v>4.5467584624211133E-2</v>
      </c>
      <c r="P786" s="4">
        <f>IFERROR(I786/G786,0)</f>
        <v>1.002302065404475</v>
      </c>
      <c r="Q786" s="4">
        <f>IFERROR(I786/H786,0)</f>
        <v>22.044321766561517</v>
      </c>
      <c r="R786" s="12">
        <f>IFERROR(J786/I786,0)</f>
        <v>8.0796903284893489</v>
      </c>
      <c r="S786" s="7">
        <f>Tabla_nuevas_columnas[[#This Row],[ROAS]]</f>
        <v>8.0796903284893489</v>
      </c>
      <c r="T786" t="str">
        <f>_xlfn.CONCAT(C786,"-",D786)</f>
        <v>Email-España</v>
      </c>
      <c r="U786">
        <f>YEAR(A786)</f>
        <v>2025</v>
      </c>
      <c r="V786">
        <f>MONTH(A786)</f>
        <v>6</v>
      </c>
      <c r="W786" t="str">
        <f>PROPER(TEXT(A786,"mmmm"))</f>
        <v>Junio</v>
      </c>
      <c r="X786" t="str">
        <f>PROPER(TEXT(A786,"dddd"))</f>
        <v>Domingo</v>
      </c>
      <c r="Y786" t="str" cm="1">
        <f t="array" ref="Y786">_xlfn.IFS(R786&gt;10,"Excelente",R786&gt;=5,"Bueno",R786&gt;=2,"Débil",R786&lt;2,"Deficiente")</f>
        <v>Bueno</v>
      </c>
      <c r="Z786" t="str">
        <f>IF(AND(R786&lt;2,Q786&gt;=100),"Revisar","OK")</f>
        <v>OK</v>
      </c>
      <c r="AA786" s="55">
        <f>_xlfn.XLOOKUP(C786,'Preguntas de negocio'!$C$114:$C$119,'Preguntas de negocio'!$D$114:$D$119,0)</f>
        <v>5.5</v>
      </c>
      <c r="AB786" s="55">
        <f>VLOOKUP(C786,'Preguntas de negocio'!$C$121:$D$127,2,FALSE)</f>
        <v>0.65</v>
      </c>
    </row>
    <row r="787" spans="1:28" x14ac:dyDescent="0.3">
      <c r="A787" s="1">
        <v>45979</v>
      </c>
      <c r="B787" s="2" t="s">
        <v>2636</v>
      </c>
      <c r="C787" s="2" t="s">
        <v>2541</v>
      </c>
      <c r="D787" s="2" t="s">
        <v>2522</v>
      </c>
      <c r="E787" s="2" t="s">
        <v>2529</v>
      </c>
      <c r="F787" s="3">
        <v>154129</v>
      </c>
      <c r="G787" s="3">
        <v>6600</v>
      </c>
      <c r="H787" s="3">
        <v>564</v>
      </c>
      <c r="I787" s="4">
        <v>7428.07</v>
      </c>
      <c r="J787" s="4">
        <v>31628.29</v>
      </c>
      <c r="K787" s="3">
        <v>454</v>
      </c>
      <c r="L787" s="2" t="s">
        <v>2539</v>
      </c>
      <c r="M787" s="2" t="s">
        <v>2546</v>
      </c>
      <c r="N787" s="8">
        <f>IFERROR(G787/F787,0)</f>
        <v>4.2821273089425092E-2</v>
      </c>
      <c r="O787" s="8">
        <f>IFERROR(H787/G787,0)</f>
        <v>8.545454545454545E-2</v>
      </c>
      <c r="P787" s="4">
        <f>IFERROR(I787/G787,0)</f>
        <v>1.1254651515151515</v>
      </c>
      <c r="Q787" s="4">
        <f>IFERROR(I787/H787,0)</f>
        <v>13.170336879432623</v>
      </c>
      <c r="R787" s="12">
        <f>IFERROR(J787/I787,0)</f>
        <v>4.2579418341507287</v>
      </c>
      <c r="S787" s="7">
        <f>Tabla_nuevas_columnas[[#This Row],[ROAS]]</f>
        <v>4.2579418341507287</v>
      </c>
      <c r="T787" t="str">
        <f>_xlfn.CONCAT(C787,"-",D787)</f>
        <v>Display-Italia</v>
      </c>
      <c r="U787">
        <f>YEAR(A787)</f>
        <v>2025</v>
      </c>
      <c r="V787">
        <f>MONTH(A787)</f>
        <v>11</v>
      </c>
      <c r="W787" t="str">
        <f>PROPER(TEXT(A787,"mmmm"))</f>
        <v>Noviembre</v>
      </c>
      <c r="X787" t="str">
        <f>PROPER(TEXT(A787,"dddd"))</f>
        <v>Martes</v>
      </c>
      <c r="Y787" t="str" cm="1">
        <f t="array" ref="Y787">_xlfn.IFS(R787&gt;10,"Excelente",R787&gt;=5,"Bueno",R787&gt;=2,"Débil",R787&lt;2,"Deficiente")</f>
        <v>Débil</v>
      </c>
      <c r="Z787" t="str">
        <f>IF(AND(R787&lt;2,Q787&gt;=100),"Revisar","OK")</f>
        <v>OK</v>
      </c>
      <c r="AA787" s="55">
        <f>_xlfn.XLOOKUP(C787,'Preguntas de negocio'!$C$114:$C$119,'Preguntas de negocio'!$D$114:$D$119,0)</f>
        <v>5</v>
      </c>
      <c r="AB787" s="55">
        <f>VLOOKUP(C787,'Preguntas de negocio'!$C$121:$D$127,2,FALSE)</f>
        <v>0.5</v>
      </c>
    </row>
    <row r="788" spans="1:28" x14ac:dyDescent="0.3">
      <c r="A788" s="1">
        <v>45736</v>
      </c>
      <c r="B788" s="2" t="s">
        <v>2641</v>
      </c>
      <c r="C788" s="2" t="s">
        <v>2543</v>
      </c>
      <c r="D788" s="2" t="s">
        <v>2528</v>
      </c>
      <c r="E788" s="2" t="s">
        <v>2517</v>
      </c>
      <c r="F788" s="3">
        <v>33319</v>
      </c>
      <c r="G788" s="3">
        <v>2866</v>
      </c>
      <c r="H788" s="3">
        <v>202</v>
      </c>
      <c r="I788" s="4">
        <v>2578.2199999999998</v>
      </c>
      <c r="J788" s="4">
        <v>39447.24</v>
      </c>
      <c r="K788" s="3">
        <v>181</v>
      </c>
      <c r="L788" s="2" t="s">
        <v>2518</v>
      </c>
      <c r="M788" s="2" t="s">
        <v>2524</v>
      </c>
      <c r="N788" s="8">
        <f>IFERROR(G788/F788,0)</f>
        <v>8.6016987304540951E-2</v>
      </c>
      <c r="O788" s="8">
        <f>IFERROR(H788/G788,0)</f>
        <v>7.048150732728542E-2</v>
      </c>
      <c r="P788" s="4">
        <f>IFERROR(I788/G788,0)</f>
        <v>0.8995882763433356</v>
      </c>
      <c r="Q788" s="4">
        <f>IFERROR(I788/H788,0)</f>
        <v>12.763465346534652</v>
      </c>
      <c r="R788" s="12">
        <f>IFERROR(J788/I788,0)</f>
        <v>15.300183847770944</v>
      </c>
      <c r="S788" s="7">
        <f>Tabla_nuevas_columnas[[#This Row],[ROAS]]</f>
        <v>15.300183847770944</v>
      </c>
      <c r="T788" t="str">
        <f>_xlfn.CONCAT(C788,"-",D788)</f>
        <v>Organic Social-España</v>
      </c>
      <c r="U788">
        <f>YEAR(A788)</f>
        <v>2025</v>
      </c>
      <c r="V788">
        <f>MONTH(A788)</f>
        <v>3</v>
      </c>
      <c r="W788" t="str">
        <f>PROPER(TEXT(A788,"mmmm"))</f>
        <v>Marzo</v>
      </c>
      <c r="X788" t="str">
        <f>PROPER(TEXT(A788,"dddd"))</f>
        <v>Jueves</v>
      </c>
      <c r="Y788" t="str" cm="1">
        <f t="array" ref="Y788">_xlfn.IFS(R788&gt;10,"Excelente",R788&gt;=5,"Bueno",R788&gt;=2,"Débil",R788&lt;2,"Deficiente")</f>
        <v>Excelente</v>
      </c>
      <c r="Z788" t="str">
        <f>IF(AND(R788&lt;2,Q788&gt;=100),"Revisar","OK")</f>
        <v>OK</v>
      </c>
      <c r="AA788" s="55">
        <f>_xlfn.XLOOKUP(C788,'Preguntas de negocio'!$C$114:$C$119,'Preguntas de negocio'!$D$114:$D$119,0)</f>
        <v>4</v>
      </c>
      <c r="AB788" s="55">
        <f>VLOOKUP(C788,'Preguntas de negocio'!$C$121:$D$127,2,FALSE)</f>
        <v>0.95</v>
      </c>
    </row>
    <row r="789" spans="1:28" x14ac:dyDescent="0.3">
      <c r="A789" s="1">
        <v>45976</v>
      </c>
      <c r="B789" s="2" t="s">
        <v>2624</v>
      </c>
      <c r="C789" s="2" t="s">
        <v>2543</v>
      </c>
      <c r="D789" s="2" t="s">
        <v>2525</v>
      </c>
      <c r="E789" s="2" t="s">
        <v>2534</v>
      </c>
      <c r="F789" s="3">
        <v>23608</v>
      </c>
      <c r="G789" s="3">
        <v>1929</v>
      </c>
      <c r="H789" s="3">
        <v>185</v>
      </c>
      <c r="I789" s="4">
        <v>1847.95</v>
      </c>
      <c r="J789" s="4">
        <v>11708.83</v>
      </c>
      <c r="K789" s="3">
        <v>148</v>
      </c>
      <c r="L789" s="2" t="s">
        <v>2539</v>
      </c>
      <c r="M789" s="2" t="s">
        <v>2546</v>
      </c>
      <c r="N789" s="8">
        <f>IFERROR(G789/F789,0)</f>
        <v>8.1709589969501867E-2</v>
      </c>
      <c r="O789" s="8">
        <f>IFERROR(H789/G789,0)</f>
        <v>9.5904613789528248E-2</v>
      </c>
      <c r="P789" s="4">
        <f>IFERROR(I789/G789,0)</f>
        <v>0.95798341109383101</v>
      </c>
      <c r="Q789" s="4">
        <f>IFERROR(I789/H789,0)</f>
        <v>9.9889189189189196</v>
      </c>
      <c r="R789" s="12">
        <f>IFERROR(J789/I789,0)</f>
        <v>6.336118401471901</v>
      </c>
      <c r="S789" s="7">
        <f>Tabla_nuevas_columnas[[#This Row],[ROAS]]</f>
        <v>6.336118401471901</v>
      </c>
      <c r="T789" t="str">
        <f>_xlfn.CONCAT(C789,"-",D789)</f>
        <v>Organic Social-Francia</v>
      </c>
      <c r="U789">
        <f>YEAR(A789)</f>
        <v>2025</v>
      </c>
      <c r="V789">
        <f>MONTH(A789)</f>
        <v>11</v>
      </c>
      <c r="W789" t="str">
        <f>PROPER(TEXT(A789,"mmmm"))</f>
        <v>Noviembre</v>
      </c>
      <c r="X789" t="str">
        <f>PROPER(TEXT(A789,"dddd"))</f>
        <v>Sábado</v>
      </c>
      <c r="Y789" t="str" cm="1">
        <f t="array" ref="Y789">_xlfn.IFS(R789&gt;10,"Excelente",R789&gt;=5,"Bueno",R789&gt;=2,"Débil",R789&lt;2,"Deficiente")</f>
        <v>Bueno</v>
      </c>
      <c r="Z789" t="str">
        <f>IF(AND(R789&lt;2,Q789&gt;=100),"Revisar","OK")</f>
        <v>OK</v>
      </c>
      <c r="AA789" s="55">
        <f>_xlfn.XLOOKUP(C789,'Preguntas de negocio'!$C$114:$C$119,'Preguntas de negocio'!$D$114:$D$119,0)</f>
        <v>4</v>
      </c>
      <c r="AB789" s="55">
        <f>VLOOKUP(C789,'Preguntas de negocio'!$C$121:$D$127,2,FALSE)</f>
        <v>0.95</v>
      </c>
    </row>
    <row r="790" spans="1:28" x14ac:dyDescent="0.3">
      <c r="A790" s="1">
        <v>45928</v>
      </c>
      <c r="B790" s="2" t="s">
        <v>2625</v>
      </c>
      <c r="C790" s="2" t="s">
        <v>2543</v>
      </c>
      <c r="D790" s="2" t="s">
        <v>2528</v>
      </c>
      <c r="E790" s="2" t="s">
        <v>2517</v>
      </c>
      <c r="F790" s="3">
        <v>131546</v>
      </c>
      <c r="G790" s="3">
        <v>3414</v>
      </c>
      <c r="H790" s="3">
        <v>30</v>
      </c>
      <c r="I790" s="4">
        <v>2943.15</v>
      </c>
      <c r="J790" s="4">
        <v>1661.82</v>
      </c>
      <c r="K790" s="3">
        <v>19</v>
      </c>
      <c r="L790" s="2" t="s">
        <v>2523</v>
      </c>
      <c r="M790" s="2" t="s">
        <v>2645</v>
      </c>
      <c r="N790" s="8">
        <f>IFERROR(G790/F790,0)</f>
        <v>2.5952898605810897E-2</v>
      </c>
      <c r="O790" s="8">
        <f>IFERROR(H790/G790,0)</f>
        <v>8.7873462214411256E-3</v>
      </c>
      <c r="P790" s="4">
        <f>IFERROR(I790/G790,0)</f>
        <v>0.86208260105448153</v>
      </c>
      <c r="Q790" s="4">
        <f>IFERROR(I790/H790,0)</f>
        <v>98.105000000000004</v>
      </c>
      <c r="R790" s="12">
        <f>IFERROR(J790/I790,0)</f>
        <v>0.56463992660924511</v>
      </c>
      <c r="S790" s="7">
        <f>Tabla_nuevas_columnas[[#This Row],[ROAS]]</f>
        <v>0.56463992660924511</v>
      </c>
      <c r="T790" t="str">
        <f>_xlfn.CONCAT(C790,"-",D790)</f>
        <v>Organic Social-España</v>
      </c>
      <c r="U790">
        <f>YEAR(A790)</f>
        <v>2025</v>
      </c>
      <c r="V790">
        <f>MONTH(A790)</f>
        <v>9</v>
      </c>
      <c r="W790" t="str">
        <f>PROPER(TEXT(A790,"mmmm"))</f>
        <v>Septiembre</v>
      </c>
      <c r="X790" t="str">
        <f>PROPER(TEXT(A790,"dddd"))</f>
        <v>Domingo</v>
      </c>
      <c r="Y790" t="str" cm="1">
        <f t="array" ref="Y790">_xlfn.IFS(R790&gt;10,"Excelente",R790&gt;=5,"Bueno",R790&gt;=2,"Débil",R790&lt;2,"Deficiente")</f>
        <v>Deficiente</v>
      </c>
      <c r="Z790" t="str">
        <f>IF(AND(R790&lt;2,Q790&gt;=100),"Revisar","OK")</f>
        <v>OK</v>
      </c>
      <c r="AA790" s="55">
        <f>_xlfn.XLOOKUP(C790,'Preguntas de negocio'!$C$114:$C$119,'Preguntas de negocio'!$D$114:$D$119,0)</f>
        <v>4</v>
      </c>
      <c r="AB790" s="55">
        <f>VLOOKUP(C790,'Preguntas de negocio'!$C$121:$D$127,2,FALSE)</f>
        <v>0.95</v>
      </c>
    </row>
    <row r="791" spans="1:28" x14ac:dyDescent="0.3">
      <c r="A791" s="1">
        <v>45749</v>
      </c>
      <c r="B791" s="2" t="s">
        <v>2636</v>
      </c>
      <c r="C791" s="2" t="s">
        <v>2515</v>
      </c>
      <c r="D791" s="2" t="s">
        <v>2522</v>
      </c>
      <c r="E791" s="2" t="s">
        <v>2517</v>
      </c>
      <c r="F791" s="3">
        <v>152028</v>
      </c>
      <c r="G791" s="3">
        <v>3505</v>
      </c>
      <c r="H791" s="3">
        <v>371</v>
      </c>
      <c r="I791" s="4">
        <v>5857.92</v>
      </c>
      <c r="J791" s="4">
        <v>78320.37</v>
      </c>
      <c r="K791" s="3">
        <v>299</v>
      </c>
      <c r="L791" s="2" t="s">
        <v>2518</v>
      </c>
      <c r="M791" s="2" t="s">
        <v>2524</v>
      </c>
      <c r="N791" s="8">
        <f>IFERROR(G791/F791,0)</f>
        <v>2.3054963559344333E-2</v>
      </c>
      <c r="O791" s="8">
        <f>IFERROR(H791/G791,0)</f>
        <v>0.105848787446505</v>
      </c>
      <c r="P791" s="4">
        <f>IFERROR(I791/G791,0)</f>
        <v>1.6713038516405136</v>
      </c>
      <c r="Q791" s="4">
        <f>IFERROR(I791/H791,0)</f>
        <v>15.789541778975741</v>
      </c>
      <c r="R791" s="12">
        <f>IFERROR(J791/I791,0)</f>
        <v>13.369996517535233</v>
      </c>
      <c r="S791" s="7">
        <f>Tabla_nuevas_columnas[[#This Row],[ROAS]]</f>
        <v>13.369996517535233</v>
      </c>
      <c r="T791" t="str">
        <f>_xlfn.CONCAT(C791,"-",D791)</f>
        <v>Email-Italia</v>
      </c>
      <c r="U791">
        <f>YEAR(A791)</f>
        <v>2025</v>
      </c>
      <c r="V791">
        <f>MONTH(A791)</f>
        <v>4</v>
      </c>
      <c r="W791" t="str">
        <f>PROPER(TEXT(A791,"mmmm"))</f>
        <v>Abril</v>
      </c>
      <c r="X791" t="str">
        <f>PROPER(TEXT(A791,"dddd"))</f>
        <v>Miércoles</v>
      </c>
      <c r="Y791" t="str" cm="1">
        <f t="array" ref="Y791">_xlfn.IFS(R791&gt;10,"Excelente",R791&gt;=5,"Bueno",R791&gt;=2,"Débil",R791&lt;2,"Deficiente")</f>
        <v>Excelente</v>
      </c>
      <c r="Z791" t="str">
        <f>IF(AND(R791&lt;2,Q791&gt;=100),"Revisar","OK")</f>
        <v>OK</v>
      </c>
      <c r="AA791" s="55">
        <f>_xlfn.XLOOKUP(C791,'Preguntas de negocio'!$C$114:$C$119,'Preguntas de negocio'!$D$114:$D$119,0)</f>
        <v>5.5</v>
      </c>
      <c r="AB791" s="55">
        <f>VLOOKUP(C791,'Preguntas de negocio'!$C$121:$D$127,2,FALSE)</f>
        <v>0.65</v>
      </c>
    </row>
    <row r="792" spans="1:28" x14ac:dyDescent="0.3">
      <c r="A792" s="1">
        <v>45750</v>
      </c>
      <c r="B792" s="2" t="s">
        <v>2641</v>
      </c>
      <c r="C792" s="2" t="s">
        <v>2541</v>
      </c>
      <c r="D792" s="2" t="s">
        <v>2522</v>
      </c>
      <c r="E792" s="2" t="s">
        <v>2529</v>
      </c>
      <c r="F792" s="3">
        <v>131220</v>
      </c>
      <c r="G792" s="3">
        <v>6584</v>
      </c>
      <c r="H792" s="3">
        <v>662</v>
      </c>
      <c r="I792" s="4">
        <v>11019.72</v>
      </c>
      <c r="J792" s="4">
        <v>23343.39</v>
      </c>
      <c r="K792" s="3">
        <v>467</v>
      </c>
      <c r="L792" s="2" t="s">
        <v>2536</v>
      </c>
      <c r="M792" s="2" t="s">
        <v>2546</v>
      </c>
      <c r="N792" s="8">
        <f>IFERROR(G792/F792,0)</f>
        <v>5.0175278158817255E-2</v>
      </c>
      <c r="O792" s="8">
        <f>IFERROR(H792/G792,0)</f>
        <v>0.100546780072904</v>
      </c>
      <c r="P792" s="4">
        <f>IFERROR(I792/G792,0)</f>
        <v>1.6737120291616039</v>
      </c>
      <c r="Q792" s="4">
        <f>IFERROR(I792/H792,0)</f>
        <v>16.64610271903323</v>
      </c>
      <c r="R792" s="12">
        <f>IFERROR(J792/I792,0)</f>
        <v>2.1183287778636846</v>
      </c>
      <c r="S792" s="7">
        <f>Tabla_nuevas_columnas[[#This Row],[ROAS]]</f>
        <v>2.1183287778636846</v>
      </c>
      <c r="T792" t="str">
        <f>_xlfn.CONCAT(C792,"-",D792)</f>
        <v>Display-Italia</v>
      </c>
      <c r="U792">
        <f>YEAR(A792)</f>
        <v>2025</v>
      </c>
      <c r="V792">
        <f>MONTH(A792)</f>
        <v>4</v>
      </c>
      <c r="W792" t="str">
        <f>PROPER(TEXT(A792,"mmmm"))</f>
        <v>Abril</v>
      </c>
      <c r="X792" t="str">
        <f>PROPER(TEXT(A792,"dddd"))</f>
        <v>Jueves</v>
      </c>
      <c r="Y792" t="str" cm="1">
        <f t="array" ref="Y792">_xlfn.IFS(R792&gt;10,"Excelente",R792&gt;=5,"Bueno",R792&gt;=2,"Débil",R792&lt;2,"Deficiente")</f>
        <v>Débil</v>
      </c>
      <c r="Z792" t="str">
        <f>IF(AND(R792&lt;2,Q792&gt;=100),"Revisar","OK")</f>
        <v>OK</v>
      </c>
      <c r="AA792" s="55">
        <f>_xlfn.XLOOKUP(C792,'Preguntas de negocio'!$C$114:$C$119,'Preguntas de negocio'!$D$114:$D$119,0)</f>
        <v>5</v>
      </c>
      <c r="AB792" s="55">
        <f>VLOOKUP(C792,'Preguntas de negocio'!$C$121:$D$127,2,FALSE)</f>
        <v>0.5</v>
      </c>
    </row>
    <row r="793" spans="1:28" x14ac:dyDescent="0.3">
      <c r="A793" s="1">
        <v>45982</v>
      </c>
      <c r="B793" s="2" t="s">
        <v>2616</v>
      </c>
      <c r="C793" s="2" t="s">
        <v>2543</v>
      </c>
      <c r="D793" s="2" t="s">
        <v>2516</v>
      </c>
      <c r="E793" s="2" t="s">
        <v>2517</v>
      </c>
      <c r="F793" s="3">
        <v>24772</v>
      </c>
      <c r="G793" s="3">
        <v>1537</v>
      </c>
      <c r="H793" s="3">
        <v>31</v>
      </c>
      <c r="I793" s="4">
        <v>2294.42</v>
      </c>
      <c r="J793" s="4">
        <v>5516.44</v>
      </c>
      <c r="K793" s="3">
        <v>21</v>
      </c>
      <c r="L793" s="2" t="s">
        <v>2518</v>
      </c>
      <c r="M793" s="2" t="s">
        <v>2524</v>
      </c>
      <c r="N793" s="8">
        <f>IFERROR(G793/F793,0)</f>
        <v>6.2045858227030522E-2</v>
      </c>
      <c r="O793" s="8">
        <f>IFERROR(H793/G793,0)</f>
        <v>2.0169160702667534E-2</v>
      </c>
      <c r="P793" s="4">
        <f>IFERROR(I793/G793,0)</f>
        <v>1.4927911515940144</v>
      </c>
      <c r="Q793" s="4">
        <f>IFERROR(I793/H793,0)</f>
        <v>74.013548387096776</v>
      </c>
      <c r="R793" s="12">
        <f>IFERROR(J793/I793,0)</f>
        <v>2.4042851788251496</v>
      </c>
      <c r="S793" s="7">
        <f>Tabla_nuevas_columnas[[#This Row],[ROAS]]</f>
        <v>2.4042851788251496</v>
      </c>
      <c r="T793" t="str">
        <f>_xlfn.CONCAT(C793,"-",D793)</f>
        <v>Organic Social-México</v>
      </c>
      <c r="U793">
        <f>YEAR(A793)</f>
        <v>2025</v>
      </c>
      <c r="V793">
        <f>MONTH(A793)</f>
        <v>11</v>
      </c>
      <c r="W793" t="str">
        <f>PROPER(TEXT(A793,"mmmm"))</f>
        <v>Noviembre</v>
      </c>
      <c r="X793" t="str">
        <f>PROPER(TEXT(A793,"dddd"))</f>
        <v>Viernes</v>
      </c>
      <c r="Y793" t="str" cm="1">
        <f t="array" ref="Y793">_xlfn.IFS(R793&gt;10,"Excelente",R793&gt;=5,"Bueno",R793&gt;=2,"Débil",R793&lt;2,"Deficiente")</f>
        <v>Débil</v>
      </c>
      <c r="Z793" t="str">
        <f>IF(AND(R793&lt;2,Q793&gt;=100),"Revisar","OK")</f>
        <v>OK</v>
      </c>
      <c r="AA793" s="55">
        <f>_xlfn.XLOOKUP(C793,'Preguntas de negocio'!$C$114:$C$119,'Preguntas de negocio'!$D$114:$D$119,0)</f>
        <v>4</v>
      </c>
      <c r="AB793" s="55">
        <f>VLOOKUP(C793,'Preguntas de negocio'!$C$121:$D$127,2,FALSE)</f>
        <v>0.95</v>
      </c>
    </row>
    <row r="794" spans="1:28" x14ac:dyDescent="0.3">
      <c r="A794" s="1">
        <v>45805</v>
      </c>
      <c r="B794" s="2" t="s">
        <v>2621</v>
      </c>
      <c r="C794" s="2" t="s">
        <v>2541</v>
      </c>
      <c r="D794" s="2" t="s">
        <v>2516</v>
      </c>
      <c r="E794" s="2" t="s">
        <v>2529</v>
      </c>
      <c r="F794" s="3">
        <v>120912</v>
      </c>
      <c r="G794" s="3">
        <v>8607</v>
      </c>
      <c r="H794" s="3">
        <v>534</v>
      </c>
      <c r="I794" s="4">
        <v>14050.5</v>
      </c>
      <c r="J794" s="4">
        <v>76264.33</v>
      </c>
      <c r="K794" s="3">
        <v>368</v>
      </c>
      <c r="L794" s="2" t="s">
        <v>2539</v>
      </c>
      <c r="M794" s="2" t="s">
        <v>2524</v>
      </c>
      <c r="N794" s="8">
        <f>IFERROR(G794/F794,0)</f>
        <v>7.1184001587931714E-2</v>
      </c>
      <c r="O794" s="8">
        <f>IFERROR(H794/G794,0)</f>
        <v>6.2042523527361448E-2</v>
      </c>
      <c r="P794" s="4">
        <f>IFERROR(I794/G794,0)</f>
        <v>1.6324503311258278</v>
      </c>
      <c r="Q794" s="4">
        <f>IFERROR(I794/H794,0)</f>
        <v>26.311797752808989</v>
      </c>
      <c r="R794" s="12">
        <f>IFERROR(J794/I794,0)</f>
        <v>5.4278730294295574</v>
      </c>
      <c r="S794" s="7">
        <f>Tabla_nuevas_columnas[[#This Row],[ROAS]]</f>
        <v>5.4278730294295574</v>
      </c>
      <c r="T794" t="str">
        <f>_xlfn.CONCAT(C794,"-",D794)</f>
        <v>Display-México</v>
      </c>
      <c r="U794">
        <f>YEAR(A794)</f>
        <v>2025</v>
      </c>
      <c r="V794">
        <f>MONTH(A794)</f>
        <v>5</v>
      </c>
      <c r="W794" t="str">
        <f>PROPER(TEXT(A794,"mmmm"))</f>
        <v>Mayo</v>
      </c>
      <c r="X794" t="str">
        <f>PROPER(TEXT(A794,"dddd"))</f>
        <v>Miércoles</v>
      </c>
      <c r="Y794" t="str" cm="1">
        <f t="array" ref="Y794">_xlfn.IFS(R794&gt;10,"Excelente",R794&gt;=5,"Bueno",R794&gt;=2,"Débil",R794&lt;2,"Deficiente")</f>
        <v>Bueno</v>
      </c>
      <c r="Z794" t="str">
        <f>IF(AND(R794&lt;2,Q794&gt;=100),"Revisar","OK")</f>
        <v>OK</v>
      </c>
      <c r="AA794" s="55">
        <f>_xlfn.XLOOKUP(C794,'Preguntas de negocio'!$C$114:$C$119,'Preguntas de negocio'!$D$114:$D$119,0)</f>
        <v>5</v>
      </c>
      <c r="AB794" s="55">
        <f>VLOOKUP(C794,'Preguntas de negocio'!$C$121:$D$127,2,FALSE)</f>
        <v>0.5</v>
      </c>
    </row>
    <row r="795" spans="1:28" x14ac:dyDescent="0.3">
      <c r="A795" s="1">
        <v>45688</v>
      </c>
      <c r="B795" s="2" t="s">
        <v>2615</v>
      </c>
      <c r="C795" s="2" t="s">
        <v>2515</v>
      </c>
      <c r="D795" s="2" t="s">
        <v>2528</v>
      </c>
      <c r="E795" s="2" t="s">
        <v>2529</v>
      </c>
      <c r="F795" s="3">
        <v>146442</v>
      </c>
      <c r="G795" s="3">
        <v>6907</v>
      </c>
      <c r="H795" s="3">
        <v>54</v>
      </c>
      <c r="I795" s="4">
        <v>3280.12</v>
      </c>
      <c r="J795" s="4">
        <v>1785.87</v>
      </c>
      <c r="K795" s="3">
        <v>42</v>
      </c>
      <c r="L795" s="2" t="s">
        <v>2539</v>
      </c>
      <c r="M795" s="2" t="s">
        <v>2519</v>
      </c>
      <c r="N795" s="8">
        <f>IFERROR(G795/F795,0)</f>
        <v>4.716543068245449E-2</v>
      </c>
      <c r="O795" s="8">
        <f>IFERROR(H795/G795,0)</f>
        <v>7.8181554944259449E-3</v>
      </c>
      <c r="P795" s="4">
        <f>IFERROR(I795/G795,0)</f>
        <v>0.47489792963660055</v>
      </c>
      <c r="Q795" s="4">
        <f>IFERROR(I795/H795,0)</f>
        <v>60.742962962962963</v>
      </c>
      <c r="R795" s="12">
        <f>IFERROR(J795/I795,0)</f>
        <v>0.544452641976513</v>
      </c>
      <c r="S795" s="7">
        <f>Tabla_nuevas_columnas[[#This Row],[ROAS]]</f>
        <v>0.544452641976513</v>
      </c>
      <c r="T795" t="str">
        <f>_xlfn.CONCAT(C795,"-",D795)</f>
        <v>Email-España</v>
      </c>
      <c r="U795">
        <f>YEAR(A795)</f>
        <v>2025</v>
      </c>
      <c r="V795">
        <f>MONTH(A795)</f>
        <v>1</v>
      </c>
      <c r="W795" t="str">
        <f>PROPER(TEXT(A795,"mmmm"))</f>
        <v>Enero</v>
      </c>
      <c r="X795" t="str">
        <f>PROPER(TEXT(A795,"dddd"))</f>
        <v>Viernes</v>
      </c>
      <c r="Y795" t="str" cm="1">
        <f t="array" ref="Y795">_xlfn.IFS(R795&gt;10,"Excelente",R795&gt;=5,"Bueno",R795&gt;=2,"Débil",R795&lt;2,"Deficiente")</f>
        <v>Deficiente</v>
      </c>
      <c r="Z795" t="str">
        <f>IF(AND(R795&lt;2,Q795&gt;=100),"Revisar","OK")</f>
        <v>OK</v>
      </c>
      <c r="AA795" s="55">
        <f>_xlfn.XLOOKUP(C795,'Preguntas de negocio'!$C$114:$C$119,'Preguntas de negocio'!$D$114:$D$119,0)</f>
        <v>5.5</v>
      </c>
      <c r="AB795" s="55">
        <f>VLOOKUP(C795,'Preguntas de negocio'!$C$121:$D$127,2,FALSE)</f>
        <v>0.65</v>
      </c>
    </row>
    <row r="796" spans="1:28" x14ac:dyDescent="0.3">
      <c r="A796" s="1">
        <v>45903</v>
      </c>
      <c r="B796" s="2" t="s">
        <v>2629</v>
      </c>
      <c r="C796" s="2" t="s">
        <v>2521</v>
      </c>
      <c r="D796" s="2" t="s">
        <v>2522</v>
      </c>
      <c r="E796" s="2" t="s">
        <v>2517</v>
      </c>
      <c r="F796" s="3">
        <v>128707</v>
      </c>
      <c r="G796" s="3">
        <v>900</v>
      </c>
      <c r="H796" s="3">
        <v>61</v>
      </c>
      <c r="I796" s="4">
        <v>874.97</v>
      </c>
      <c r="J796" s="4">
        <v>8820.36</v>
      </c>
      <c r="K796" s="3">
        <v>32</v>
      </c>
      <c r="L796" s="2" t="s">
        <v>2536</v>
      </c>
      <c r="M796" s="2" t="s">
        <v>2526</v>
      </c>
      <c r="N796" s="8">
        <f>IFERROR(G796/F796,0)</f>
        <v>6.9926266636624271E-3</v>
      </c>
      <c r="O796" s="8">
        <f>IFERROR(H796/G796,0)</f>
        <v>6.7777777777777784E-2</v>
      </c>
      <c r="P796" s="4">
        <f>IFERROR(I796/G796,0)</f>
        <v>0.97218888888888888</v>
      </c>
      <c r="Q796" s="4">
        <f>IFERROR(I796/H796,0)</f>
        <v>14.34377049180328</v>
      </c>
      <c r="R796" s="12">
        <f>IFERROR(J796/I796,0)</f>
        <v>10.080757054527584</v>
      </c>
      <c r="S796" s="7">
        <f>Tabla_nuevas_columnas[[#This Row],[ROAS]]</f>
        <v>10.080757054527584</v>
      </c>
      <c r="T796" t="str">
        <f>_xlfn.CONCAT(C796,"-",D796)</f>
        <v>Paid Search-Italia</v>
      </c>
      <c r="U796">
        <f>YEAR(A796)</f>
        <v>2025</v>
      </c>
      <c r="V796">
        <f>MONTH(A796)</f>
        <v>9</v>
      </c>
      <c r="W796" t="str">
        <f>PROPER(TEXT(A796,"mmmm"))</f>
        <v>Septiembre</v>
      </c>
      <c r="X796" t="str">
        <f>PROPER(TEXT(A796,"dddd"))</f>
        <v>Miércoles</v>
      </c>
      <c r="Y796" t="str" cm="1">
        <f t="array" ref="Y796">_xlfn.IFS(R796&gt;10,"Excelente",R796&gt;=5,"Bueno",R796&gt;=2,"Débil",R796&lt;2,"Deficiente")</f>
        <v>Excelente</v>
      </c>
      <c r="Z796" t="str">
        <f>IF(AND(R796&lt;2,Q796&gt;=100),"Revisar","OK")</f>
        <v>OK</v>
      </c>
      <c r="AA796" s="55">
        <f>_xlfn.XLOOKUP(C796,'Preguntas de negocio'!$C$114:$C$119,'Preguntas de negocio'!$D$114:$D$119,0)</f>
        <v>5</v>
      </c>
      <c r="AB796" s="55">
        <f>VLOOKUP(C796,'Preguntas de negocio'!$C$121:$D$127,2,FALSE)</f>
        <v>1.1000000000000001</v>
      </c>
    </row>
    <row r="797" spans="1:28" x14ac:dyDescent="0.3">
      <c r="A797" s="1">
        <v>45785</v>
      </c>
      <c r="B797" s="2" t="s">
        <v>2628</v>
      </c>
      <c r="C797" s="2" t="s">
        <v>2543</v>
      </c>
      <c r="D797" s="2" t="s">
        <v>2528</v>
      </c>
      <c r="E797" s="2" t="s">
        <v>2517</v>
      </c>
      <c r="F797" s="3">
        <v>150475</v>
      </c>
      <c r="G797" s="3">
        <v>6716</v>
      </c>
      <c r="H797" s="3">
        <v>759</v>
      </c>
      <c r="I797" s="4">
        <v>4173.28</v>
      </c>
      <c r="J797" s="4">
        <v>114798.74</v>
      </c>
      <c r="K797" s="3">
        <v>607</v>
      </c>
      <c r="L797" s="2" t="s">
        <v>2539</v>
      </c>
      <c r="M797" s="2" t="s">
        <v>2546</v>
      </c>
      <c r="N797" s="8">
        <f>IFERROR(G797/F797,0)</f>
        <v>4.4631998670875563E-2</v>
      </c>
      <c r="O797" s="8">
        <f>IFERROR(H797/G797,0)</f>
        <v>0.11301369863013698</v>
      </c>
      <c r="P797" s="4">
        <f>IFERROR(I797/G797,0)</f>
        <v>0.62139368671828465</v>
      </c>
      <c r="Q797" s="4">
        <f>IFERROR(I797/H797,0)</f>
        <v>5.4983926218708827</v>
      </c>
      <c r="R797" s="12">
        <f>IFERROR(J797/I797,0)</f>
        <v>27.508036843921332</v>
      </c>
      <c r="S797" s="7">
        <f>Tabla_nuevas_columnas[[#This Row],[ROAS]]</f>
        <v>27.508036843921332</v>
      </c>
      <c r="T797" t="str">
        <f>_xlfn.CONCAT(C797,"-",D797)</f>
        <v>Organic Social-España</v>
      </c>
      <c r="U797">
        <f>YEAR(A797)</f>
        <v>2025</v>
      </c>
      <c r="V797">
        <f>MONTH(A797)</f>
        <v>5</v>
      </c>
      <c r="W797" t="str">
        <f>PROPER(TEXT(A797,"mmmm"))</f>
        <v>Mayo</v>
      </c>
      <c r="X797" t="str">
        <f>PROPER(TEXT(A797,"dddd"))</f>
        <v>Jueves</v>
      </c>
      <c r="Y797" t="str" cm="1">
        <f t="array" ref="Y797">_xlfn.IFS(R797&gt;10,"Excelente",R797&gt;=5,"Bueno",R797&gt;=2,"Débil",R797&lt;2,"Deficiente")</f>
        <v>Excelente</v>
      </c>
      <c r="Z797" t="str">
        <f>IF(AND(R797&lt;2,Q797&gt;=100),"Revisar","OK")</f>
        <v>OK</v>
      </c>
      <c r="AA797" s="55">
        <f>_xlfn.XLOOKUP(C797,'Preguntas de negocio'!$C$114:$C$119,'Preguntas de negocio'!$D$114:$D$119,0)</f>
        <v>4</v>
      </c>
      <c r="AB797" s="55">
        <f>VLOOKUP(C797,'Preguntas de negocio'!$C$121:$D$127,2,FALSE)</f>
        <v>0.95</v>
      </c>
    </row>
    <row r="798" spans="1:28" x14ac:dyDescent="0.3">
      <c r="A798" s="1">
        <v>45770</v>
      </c>
      <c r="B798" s="2" t="s">
        <v>2622</v>
      </c>
      <c r="C798" s="2" t="s">
        <v>2541</v>
      </c>
      <c r="D798" s="2" t="s">
        <v>2525</v>
      </c>
      <c r="E798" s="2" t="s">
        <v>2529</v>
      </c>
      <c r="F798" s="3">
        <v>60947</v>
      </c>
      <c r="G798" s="3">
        <v>3338</v>
      </c>
      <c r="H798" s="3">
        <v>85</v>
      </c>
      <c r="I798" s="4">
        <v>6638.56</v>
      </c>
      <c r="J798" s="4">
        <v>17689.5</v>
      </c>
      <c r="K798" s="3">
        <v>51</v>
      </c>
      <c r="L798" s="2" t="s">
        <v>2523</v>
      </c>
      <c r="M798" s="2" t="s">
        <v>2524</v>
      </c>
      <c r="N798" s="8">
        <f>IFERROR(G798/F798,0)</f>
        <v>5.4768897566738313E-2</v>
      </c>
      <c r="O798" s="8">
        <f>IFERROR(H798/G798,0)</f>
        <v>2.5464349910125823E-2</v>
      </c>
      <c r="P798" s="4">
        <f>IFERROR(I798/G798,0)</f>
        <v>1.9887837028160575</v>
      </c>
      <c r="Q798" s="4">
        <f>IFERROR(I798/H798,0)</f>
        <v>78.100705882352941</v>
      </c>
      <c r="R798" s="12">
        <f>IFERROR(J798/I798,0)</f>
        <v>2.6646592032006939</v>
      </c>
      <c r="S798" s="7">
        <f>Tabla_nuevas_columnas[[#This Row],[ROAS]]</f>
        <v>2.6646592032006939</v>
      </c>
      <c r="T798" t="str">
        <f>_xlfn.CONCAT(C798,"-",D798)</f>
        <v>Display-Francia</v>
      </c>
      <c r="U798">
        <f>YEAR(A798)</f>
        <v>2025</v>
      </c>
      <c r="V798">
        <f>MONTH(A798)</f>
        <v>4</v>
      </c>
      <c r="W798" t="str">
        <f>PROPER(TEXT(A798,"mmmm"))</f>
        <v>Abril</v>
      </c>
      <c r="X798" t="str">
        <f>PROPER(TEXT(A798,"dddd"))</f>
        <v>Miércoles</v>
      </c>
      <c r="Y798" t="str" cm="1">
        <f t="array" ref="Y798">_xlfn.IFS(R798&gt;10,"Excelente",R798&gt;=5,"Bueno",R798&gt;=2,"Débil",R798&lt;2,"Deficiente")</f>
        <v>Débil</v>
      </c>
      <c r="Z798" t="str">
        <f>IF(AND(R798&lt;2,Q798&gt;=100),"Revisar","OK")</f>
        <v>OK</v>
      </c>
      <c r="AA798" s="55">
        <f>_xlfn.XLOOKUP(C798,'Preguntas de negocio'!$C$114:$C$119,'Preguntas de negocio'!$D$114:$D$119,0)</f>
        <v>5</v>
      </c>
      <c r="AB798" s="55">
        <f>VLOOKUP(C798,'Preguntas de negocio'!$C$121:$D$127,2,FALSE)</f>
        <v>0.5</v>
      </c>
    </row>
    <row r="799" spans="1:28" x14ac:dyDescent="0.3">
      <c r="A799" s="1">
        <v>45672</v>
      </c>
      <c r="B799" s="2" t="s">
        <v>2617</v>
      </c>
      <c r="C799" s="2" t="s">
        <v>2515</v>
      </c>
      <c r="D799" s="2" t="s">
        <v>2525</v>
      </c>
      <c r="E799" s="2" t="s">
        <v>2529</v>
      </c>
      <c r="F799" s="3">
        <v>110843</v>
      </c>
      <c r="G799" s="3">
        <v>7620</v>
      </c>
      <c r="H799" s="3">
        <v>962</v>
      </c>
      <c r="I799" s="4">
        <v>11595.39</v>
      </c>
      <c r="J799" s="4">
        <v>122173.73</v>
      </c>
      <c r="K799" s="3">
        <v>692</v>
      </c>
      <c r="L799" s="2" t="s">
        <v>2539</v>
      </c>
      <c r="M799" s="2" t="s">
        <v>2526</v>
      </c>
      <c r="N799" s="8">
        <f>IFERROR(G799/F799,0)</f>
        <v>6.8745883817651995E-2</v>
      </c>
      <c r="O799" s="8">
        <f>IFERROR(H799/G799,0)</f>
        <v>0.12624671916010499</v>
      </c>
      <c r="P799" s="4">
        <f>IFERROR(I799/G799,0)</f>
        <v>1.5217047244094488</v>
      </c>
      <c r="Q799" s="4">
        <f>IFERROR(I799/H799,0)</f>
        <v>12.053419958419958</v>
      </c>
      <c r="R799" s="12">
        <f>IFERROR(J799/I799,0)</f>
        <v>10.536405416290441</v>
      </c>
      <c r="S799" s="7">
        <f>Tabla_nuevas_columnas[[#This Row],[ROAS]]</f>
        <v>10.536405416290441</v>
      </c>
      <c r="T799" t="str">
        <f>_xlfn.CONCAT(C799,"-",D799)</f>
        <v>Email-Francia</v>
      </c>
      <c r="U799">
        <f>YEAR(A799)</f>
        <v>2025</v>
      </c>
      <c r="V799">
        <f>MONTH(A799)</f>
        <v>1</v>
      </c>
      <c r="W799" t="str">
        <f>PROPER(TEXT(A799,"mmmm"))</f>
        <v>Enero</v>
      </c>
      <c r="X799" t="str">
        <f>PROPER(TEXT(A799,"dddd"))</f>
        <v>Miércoles</v>
      </c>
      <c r="Y799" t="str" cm="1">
        <f t="array" ref="Y799">_xlfn.IFS(R799&gt;10,"Excelente",R799&gt;=5,"Bueno",R799&gt;=2,"Débil",R799&lt;2,"Deficiente")</f>
        <v>Excelente</v>
      </c>
      <c r="Z799" t="str">
        <f>IF(AND(R799&lt;2,Q799&gt;=100),"Revisar","OK")</f>
        <v>OK</v>
      </c>
      <c r="AA799" s="55">
        <f>_xlfn.XLOOKUP(C799,'Preguntas de negocio'!$C$114:$C$119,'Preguntas de negocio'!$D$114:$D$119,0)</f>
        <v>5.5</v>
      </c>
      <c r="AB799" s="55">
        <f>VLOOKUP(C799,'Preguntas de negocio'!$C$121:$D$127,2,FALSE)</f>
        <v>0.65</v>
      </c>
    </row>
    <row r="800" spans="1:28" x14ac:dyDescent="0.3">
      <c r="A800" s="1">
        <v>45851</v>
      </c>
      <c r="B800" s="2" t="s">
        <v>2627</v>
      </c>
      <c r="C800" s="2" t="s">
        <v>2527</v>
      </c>
      <c r="D800" s="2" t="s">
        <v>2531</v>
      </c>
      <c r="E800" s="2" t="s">
        <v>2517</v>
      </c>
      <c r="F800" s="3">
        <v>62894</v>
      </c>
      <c r="G800" s="3">
        <v>4378</v>
      </c>
      <c r="H800" s="3">
        <v>36</v>
      </c>
      <c r="I800" s="4">
        <v>7185.74</v>
      </c>
      <c r="J800" s="4">
        <v>3293.5</v>
      </c>
      <c r="K800" s="3">
        <v>19</v>
      </c>
      <c r="L800" s="2" t="s">
        <v>2536</v>
      </c>
      <c r="M800" s="2" t="s">
        <v>2546</v>
      </c>
      <c r="N800" s="8">
        <f>IFERROR(G800/F800,0)</f>
        <v>6.9609183705917899E-2</v>
      </c>
      <c r="O800" s="8">
        <f>IFERROR(H800/G800,0)</f>
        <v>8.2229328460484245E-3</v>
      </c>
      <c r="P800" s="4">
        <f>IFERROR(I800/G800,0)</f>
        <v>1.6413293741434445</v>
      </c>
      <c r="Q800" s="4">
        <f>IFERROR(I800/H800,0)</f>
        <v>199.60388888888889</v>
      </c>
      <c r="R800" s="12">
        <f>IFERROR(J800/I800,0)</f>
        <v>0.45833832006167774</v>
      </c>
      <c r="S800" s="7">
        <f>Tabla_nuevas_columnas[[#This Row],[ROAS]]</f>
        <v>0.45833832006167774</v>
      </c>
      <c r="T800" t="str">
        <f>_xlfn.CONCAT(C800,"-",D800)</f>
        <v>Affiliate-Portugal</v>
      </c>
      <c r="U800">
        <f>YEAR(A800)</f>
        <v>2025</v>
      </c>
      <c r="V800">
        <f>MONTH(A800)</f>
        <v>7</v>
      </c>
      <c r="W800" t="str">
        <f>PROPER(TEXT(A800,"mmmm"))</f>
        <v>Julio</v>
      </c>
      <c r="X800" t="str">
        <f>PROPER(TEXT(A800,"dddd"))</f>
        <v>Domingo</v>
      </c>
      <c r="Y800" t="str" cm="1">
        <f t="array" ref="Y800">_xlfn.IFS(R800&gt;10,"Excelente",R800&gt;=5,"Bueno",R800&gt;=2,"Débil",R800&lt;2,"Deficiente")</f>
        <v>Deficiente</v>
      </c>
      <c r="Z800" t="str">
        <f>IF(AND(R800&lt;2,Q800&gt;=100),"Revisar","OK")</f>
        <v>Revisar</v>
      </c>
      <c r="AA800" s="55">
        <f>_xlfn.XLOOKUP(C800,'Preguntas de negocio'!$C$114:$C$119,'Preguntas de negocio'!$D$114:$D$119,0)</f>
        <v>4.5</v>
      </c>
      <c r="AB800" s="55">
        <f>VLOOKUP(C800,'Preguntas de negocio'!$C$121:$D$127,2,FALSE)</f>
        <v>0.35</v>
      </c>
    </row>
    <row r="801" spans="1:28" x14ac:dyDescent="0.3">
      <c r="A801" s="1">
        <v>45757</v>
      </c>
      <c r="B801" s="2" t="s">
        <v>2616</v>
      </c>
      <c r="C801" s="2" t="s">
        <v>2515</v>
      </c>
      <c r="D801" s="2" t="s">
        <v>2516</v>
      </c>
      <c r="E801" s="2" t="s">
        <v>2517</v>
      </c>
      <c r="F801" s="3">
        <v>160226</v>
      </c>
      <c r="G801" s="3">
        <v>9087</v>
      </c>
      <c r="H801" s="3">
        <v>475</v>
      </c>
      <c r="I801" s="4">
        <v>2377.0100000000002</v>
      </c>
      <c r="J801" s="4">
        <v>98767.83</v>
      </c>
      <c r="K801" s="3">
        <v>331</v>
      </c>
      <c r="L801" s="2" t="s">
        <v>2539</v>
      </c>
      <c r="M801" s="2" t="s">
        <v>2519</v>
      </c>
      <c r="N801" s="8">
        <f>IFERROR(G801/F801,0)</f>
        <v>5.6713641980702258E-2</v>
      </c>
      <c r="O801" s="8">
        <f>IFERROR(H801/G801,0)</f>
        <v>5.2272477165181026E-2</v>
      </c>
      <c r="P801" s="4">
        <f>IFERROR(I801/G801,0)</f>
        <v>0.26158358093980416</v>
      </c>
      <c r="Q801" s="4">
        <f>IFERROR(I801/H801,0)</f>
        <v>5.004231578947369</v>
      </c>
      <c r="R801" s="12">
        <f>IFERROR(J801/I801,0)</f>
        <v>41.551289224698252</v>
      </c>
      <c r="S801" s="7">
        <f>Tabla_nuevas_columnas[[#This Row],[ROAS]]</f>
        <v>41.551289224698252</v>
      </c>
      <c r="T801" t="str">
        <f>_xlfn.CONCAT(C801,"-",D801)</f>
        <v>Email-México</v>
      </c>
      <c r="U801">
        <f>YEAR(A801)</f>
        <v>2025</v>
      </c>
      <c r="V801">
        <f>MONTH(A801)</f>
        <v>4</v>
      </c>
      <c r="W801" t="str">
        <f>PROPER(TEXT(A801,"mmmm"))</f>
        <v>Abril</v>
      </c>
      <c r="X801" t="str">
        <f>PROPER(TEXT(A801,"dddd"))</f>
        <v>Jueves</v>
      </c>
      <c r="Y801" t="str" cm="1">
        <f t="array" ref="Y801">_xlfn.IFS(R801&gt;10,"Excelente",R801&gt;=5,"Bueno",R801&gt;=2,"Débil",R801&lt;2,"Deficiente")</f>
        <v>Excelente</v>
      </c>
      <c r="Z801" t="str">
        <f>IF(AND(R801&lt;2,Q801&gt;=100),"Revisar","OK")</f>
        <v>OK</v>
      </c>
      <c r="AA801" s="55">
        <f>_xlfn.XLOOKUP(C801,'Preguntas de negocio'!$C$114:$C$119,'Preguntas de negocio'!$D$114:$D$119,0)</f>
        <v>5.5</v>
      </c>
      <c r="AB801" s="55">
        <f>VLOOKUP(C801,'Preguntas de negocio'!$C$121:$D$127,2,FALSE)</f>
        <v>0.65</v>
      </c>
    </row>
    <row r="802" spans="1:28" x14ac:dyDescent="0.3">
      <c r="A802" s="1">
        <v>45765</v>
      </c>
      <c r="B802" s="2" t="s">
        <v>2616</v>
      </c>
      <c r="C802" s="2" t="s">
        <v>2527</v>
      </c>
      <c r="D802" s="2" t="s">
        <v>2528</v>
      </c>
      <c r="E802" s="2" t="s">
        <v>2529</v>
      </c>
      <c r="F802" s="3">
        <v>143313</v>
      </c>
      <c r="G802" s="3">
        <v>3134</v>
      </c>
      <c r="H802" s="3">
        <v>221</v>
      </c>
      <c r="I802" s="4">
        <v>5028.5200000000004</v>
      </c>
      <c r="J802" s="4">
        <v>7892</v>
      </c>
      <c r="K802" s="3">
        <v>188</v>
      </c>
      <c r="L802" s="2" t="s">
        <v>2523</v>
      </c>
      <c r="M802" s="2" t="s">
        <v>2526</v>
      </c>
      <c r="N802" s="8">
        <f>IFERROR(G802/F802,0)</f>
        <v>2.1868218514719529E-2</v>
      </c>
      <c r="O802" s="8">
        <f>IFERROR(H802/G802,0)</f>
        <v>7.0516911295469054E-2</v>
      </c>
      <c r="P802" s="4">
        <f>IFERROR(I802/G802,0)</f>
        <v>1.6045054243777921</v>
      </c>
      <c r="Q802" s="4">
        <f>IFERROR(I802/H802,0)</f>
        <v>22.75348416289593</v>
      </c>
      <c r="R802" s="12">
        <f>IFERROR(J802/I802,0)</f>
        <v>1.5694478693532092</v>
      </c>
      <c r="S802" s="7">
        <f>Tabla_nuevas_columnas[[#This Row],[ROAS]]</f>
        <v>1.5694478693532092</v>
      </c>
      <c r="T802" t="str">
        <f>_xlfn.CONCAT(C802,"-",D802)</f>
        <v>Affiliate-España</v>
      </c>
      <c r="U802">
        <f>YEAR(A802)</f>
        <v>2025</v>
      </c>
      <c r="V802">
        <f>MONTH(A802)</f>
        <v>4</v>
      </c>
      <c r="W802" t="str">
        <f>PROPER(TEXT(A802,"mmmm"))</f>
        <v>Abril</v>
      </c>
      <c r="X802" t="str">
        <f>PROPER(TEXT(A802,"dddd"))</f>
        <v>Viernes</v>
      </c>
      <c r="Y802" t="str" cm="1">
        <f t="array" ref="Y802">_xlfn.IFS(R802&gt;10,"Excelente",R802&gt;=5,"Bueno",R802&gt;=2,"Débil",R802&lt;2,"Deficiente")</f>
        <v>Deficiente</v>
      </c>
      <c r="Z802" t="str">
        <f>IF(AND(R802&lt;2,Q802&gt;=100),"Revisar","OK")</f>
        <v>OK</v>
      </c>
      <c r="AA802" s="55">
        <f>_xlfn.XLOOKUP(C802,'Preguntas de negocio'!$C$114:$C$119,'Preguntas de negocio'!$D$114:$D$119,0)</f>
        <v>4.5</v>
      </c>
      <c r="AB802" s="55">
        <f>VLOOKUP(C802,'Preguntas de negocio'!$C$121:$D$127,2,FALSE)</f>
        <v>0.35</v>
      </c>
    </row>
    <row r="803" spans="1:28" x14ac:dyDescent="0.3">
      <c r="A803" s="1">
        <v>45945</v>
      </c>
      <c r="B803" s="2" t="s">
        <v>2632</v>
      </c>
      <c r="C803" s="2" t="s">
        <v>2533</v>
      </c>
      <c r="D803" s="2" t="s">
        <v>2531</v>
      </c>
      <c r="E803" s="2" t="s">
        <v>2529</v>
      </c>
      <c r="F803" s="3">
        <v>142471</v>
      </c>
      <c r="G803" s="3">
        <v>10962</v>
      </c>
      <c r="H803" s="3">
        <v>1448</v>
      </c>
      <c r="I803" s="4">
        <v>5700.32</v>
      </c>
      <c r="J803" s="4">
        <v>278741.78999999998</v>
      </c>
      <c r="K803" s="3">
        <v>657</v>
      </c>
      <c r="L803" s="2" t="s">
        <v>2536</v>
      </c>
      <c r="M803" s="2" t="s">
        <v>2524</v>
      </c>
      <c r="N803" s="8">
        <f>IFERROR(G803/F803,0)</f>
        <v>7.6941974156144052E-2</v>
      </c>
      <c r="O803" s="8">
        <f>IFERROR(H803/G803,0)</f>
        <v>0.13209268381682174</v>
      </c>
      <c r="P803" s="4">
        <f>IFERROR(I803/G803,0)</f>
        <v>0.52000729793833245</v>
      </c>
      <c r="Q803" s="4">
        <f>IFERROR(I803/H803,0)</f>
        <v>3.9366850828729278</v>
      </c>
      <c r="R803" s="12">
        <f>IFERROR(J803/I803,0)</f>
        <v>48.899323195890759</v>
      </c>
      <c r="S803" s="7">
        <f>Tabla_nuevas_columnas[[#This Row],[ROAS]]</f>
        <v>48.899323195890759</v>
      </c>
      <c r="T803" t="str">
        <f>_xlfn.CONCAT(C803,"-",D803)</f>
        <v>Paid Social-Portugal</v>
      </c>
      <c r="U803">
        <f>YEAR(A803)</f>
        <v>2025</v>
      </c>
      <c r="V803">
        <f>MONTH(A803)</f>
        <v>10</v>
      </c>
      <c r="W803" t="str">
        <f>PROPER(TEXT(A803,"mmmm"))</f>
        <v>Octubre</v>
      </c>
      <c r="X803" t="str">
        <f>PROPER(TEXT(A803,"dddd"))</f>
        <v>Miércoles</v>
      </c>
      <c r="Y803" t="str" cm="1">
        <f t="array" ref="Y803">_xlfn.IFS(R803&gt;10,"Excelente",R803&gt;=5,"Bueno",R803&gt;=2,"Débil",R803&lt;2,"Deficiente")</f>
        <v>Excelente</v>
      </c>
      <c r="Z803" t="str">
        <f>IF(AND(R803&lt;2,Q803&gt;=100),"Revisar","OK")</f>
        <v>OK</v>
      </c>
      <c r="AA803" s="55">
        <f>_xlfn.XLOOKUP(C803,'Preguntas de negocio'!$C$114:$C$119,'Preguntas de negocio'!$D$114:$D$119,0)</f>
        <v>6</v>
      </c>
      <c r="AB803" s="55">
        <f>VLOOKUP(C803,'Preguntas de negocio'!$C$121:$D$127,2,FALSE)</f>
        <v>0.8</v>
      </c>
    </row>
    <row r="804" spans="1:28" x14ac:dyDescent="0.3">
      <c r="A804" s="1">
        <v>46012</v>
      </c>
      <c r="B804" s="2" t="s">
        <v>2622</v>
      </c>
      <c r="C804" s="2" t="s">
        <v>2527</v>
      </c>
      <c r="D804" s="2" t="s">
        <v>2528</v>
      </c>
      <c r="E804" s="2" t="s">
        <v>2529</v>
      </c>
      <c r="F804" s="3">
        <v>122646</v>
      </c>
      <c r="G804" s="3">
        <v>8307</v>
      </c>
      <c r="H804" s="3">
        <v>862</v>
      </c>
      <c r="I804" s="4">
        <v>8828.2099999999991</v>
      </c>
      <c r="J804" s="4">
        <v>117170.78</v>
      </c>
      <c r="K804" s="3">
        <v>681</v>
      </c>
      <c r="L804" s="2" t="s">
        <v>2539</v>
      </c>
      <c r="M804" s="2" t="s">
        <v>2546</v>
      </c>
      <c r="N804" s="8">
        <f>IFERROR(G804/F804,0)</f>
        <v>6.7731519984345193E-2</v>
      </c>
      <c r="O804" s="8">
        <f>IFERROR(H804/G804,0)</f>
        <v>0.10376790658480799</v>
      </c>
      <c r="P804" s="4">
        <f>IFERROR(I804/G804,0)</f>
        <v>1.0627434693631876</v>
      </c>
      <c r="Q804" s="4">
        <f>IFERROR(I804/H804,0)</f>
        <v>10.241542923433874</v>
      </c>
      <c r="R804" s="12">
        <f>IFERROR(J804/I804,0)</f>
        <v>13.272314546210389</v>
      </c>
      <c r="S804" s="7">
        <f>Tabla_nuevas_columnas[[#This Row],[ROAS]]</f>
        <v>13.272314546210389</v>
      </c>
      <c r="T804" t="str">
        <f>_xlfn.CONCAT(C804,"-",D804)</f>
        <v>Affiliate-España</v>
      </c>
      <c r="U804">
        <f>YEAR(A804)</f>
        <v>2025</v>
      </c>
      <c r="V804">
        <f>MONTH(A804)</f>
        <v>12</v>
      </c>
      <c r="W804" t="str">
        <f>PROPER(TEXT(A804,"mmmm"))</f>
        <v>Diciembre</v>
      </c>
      <c r="X804" t="str">
        <f>PROPER(TEXT(A804,"dddd"))</f>
        <v>Domingo</v>
      </c>
      <c r="Y804" t="str" cm="1">
        <f t="array" ref="Y804">_xlfn.IFS(R804&gt;10,"Excelente",R804&gt;=5,"Bueno",R804&gt;=2,"Débil",R804&lt;2,"Deficiente")</f>
        <v>Excelente</v>
      </c>
      <c r="Z804" t="str">
        <f>IF(AND(R804&lt;2,Q804&gt;=100),"Revisar","OK")</f>
        <v>OK</v>
      </c>
      <c r="AA804" s="55">
        <f>_xlfn.XLOOKUP(C804,'Preguntas de negocio'!$C$114:$C$119,'Preguntas de negocio'!$D$114:$D$119,0)</f>
        <v>4.5</v>
      </c>
      <c r="AB804" s="55">
        <f>VLOOKUP(C804,'Preguntas de negocio'!$C$121:$D$127,2,FALSE)</f>
        <v>0.35</v>
      </c>
    </row>
    <row r="805" spans="1:28" x14ac:dyDescent="0.3">
      <c r="A805" s="1">
        <v>46017</v>
      </c>
      <c r="B805" s="2" t="s">
        <v>2628</v>
      </c>
      <c r="C805" s="2" t="s">
        <v>2541</v>
      </c>
      <c r="D805" s="2" t="s">
        <v>2528</v>
      </c>
      <c r="E805" s="2" t="s">
        <v>2517</v>
      </c>
      <c r="F805" s="3">
        <v>63278</v>
      </c>
      <c r="G805" s="3">
        <v>5025</v>
      </c>
      <c r="H805" s="3">
        <v>332</v>
      </c>
      <c r="I805" s="4">
        <v>6610</v>
      </c>
      <c r="J805" s="4">
        <v>67554.97</v>
      </c>
      <c r="K805" s="3">
        <v>297</v>
      </c>
      <c r="L805" s="2" t="s">
        <v>2518</v>
      </c>
      <c r="M805" s="2" t="s">
        <v>2537</v>
      </c>
      <c r="N805" s="8">
        <f>IFERROR(G805/F805,0)</f>
        <v>7.9411485824457159E-2</v>
      </c>
      <c r="O805" s="8">
        <f>IFERROR(H805/G805,0)</f>
        <v>6.6069651741293534E-2</v>
      </c>
      <c r="P805" s="4">
        <f>IFERROR(I805/G805,0)</f>
        <v>1.3154228855721393</v>
      </c>
      <c r="Q805" s="4">
        <f>IFERROR(I805/H805,0)</f>
        <v>19.909638554216869</v>
      </c>
      <c r="R805" s="12">
        <f>IFERROR(J805/I805,0)</f>
        <v>10.220116490166415</v>
      </c>
      <c r="S805" s="7">
        <f>Tabla_nuevas_columnas[[#This Row],[ROAS]]</f>
        <v>10.220116490166415</v>
      </c>
      <c r="T805" t="str">
        <f>_xlfn.CONCAT(C805,"-",D805)</f>
        <v>Display-España</v>
      </c>
      <c r="U805">
        <f>YEAR(A805)</f>
        <v>2025</v>
      </c>
      <c r="V805">
        <f>MONTH(A805)</f>
        <v>12</v>
      </c>
      <c r="W805" t="str">
        <f>PROPER(TEXT(A805,"mmmm"))</f>
        <v>Diciembre</v>
      </c>
      <c r="X805" t="str">
        <f>PROPER(TEXT(A805,"dddd"))</f>
        <v>Viernes</v>
      </c>
      <c r="Y805" t="str" cm="1">
        <f t="array" ref="Y805">_xlfn.IFS(R805&gt;10,"Excelente",R805&gt;=5,"Bueno",R805&gt;=2,"Débil",R805&lt;2,"Deficiente")</f>
        <v>Excelente</v>
      </c>
      <c r="Z805" t="str">
        <f>IF(AND(R805&lt;2,Q805&gt;=100),"Revisar","OK")</f>
        <v>OK</v>
      </c>
      <c r="AA805" s="55">
        <f>_xlfn.XLOOKUP(C805,'Preguntas de negocio'!$C$114:$C$119,'Preguntas de negocio'!$D$114:$D$119,0)</f>
        <v>5</v>
      </c>
      <c r="AB805" s="55">
        <f>VLOOKUP(C805,'Preguntas de negocio'!$C$121:$D$127,2,FALSE)</f>
        <v>0.5</v>
      </c>
    </row>
    <row r="806" spans="1:28" x14ac:dyDescent="0.3">
      <c r="A806" s="1">
        <v>45748</v>
      </c>
      <c r="B806" s="2" t="s">
        <v>2616</v>
      </c>
      <c r="C806" s="2" t="s">
        <v>2541</v>
      </c>
      <c r="D806" s="2" t="s">
        <v>2528</v>
      </c>
      <c r="E806" s="2" t="s">
        <v>2529</v>
      </c>
      <c r="F806" s="3">
        <v>174044</v>
      </c>
      <c r="G806" s="3">
        <v>14856</v>
      </c>
      <c r="H806" s="3">
        <v>405</v>
      </c>
      <c r="I806" s="4">
        <v>7078.96</v>
      </c>
      <c r="J806" s="4">
        <v>70701.649999999994</v>
      </c>
      <c r="K806" s="3">
        <v>319</v>
      </c>
      <c r="L806" s="2" t="s">
        <v>2523</v>
      </c>
      <c r="M806" s="2" t="s">
        <v>2537</v>
      </c>
      <c r="N806" s="8">
        <f>IFERROR(G806/F806,0)</f>
        <v>8.5357725632598649E-2</v>
      </c>
      <c r="O806" s="8">
        <f>IFERROR(H806/G806,0)</f>
        <v>2.7261712439418415E-2</v>
      </c>
      <c r="P806" s="4">
        <f>IFERROR(I806/G806,0)</f>
        <v>0.47650511577813676</v>
      </c>
      <c r="Q806" s="4">
        <f>IFERROR(I806/H806,0)</f>
        <v>17.478913580246914</v>
      </c>
      <c r="R806" s="12">
        <f>IFERROR(J806/I806,0)</f>
        <v>9.9875758586006977</v>
      </c>
      <c r="S806" s="7">
        <f>Tabla_nuevas_columnas[[#This Row],[ROAS]]</f>
        <v>9.9875758586006977</v>
      </c>
      <c r="T806" t="str">
        <f>_xlfn.CONCAT(C806,"-",D806)</f>
        <v>Display-España</v>
      </c>
      <c r="U806">
        <f>YEAR(A806)</f>
        <v>2025</v>
      </c>
      <c r="V806">
        <f>MONTH(A806)</f>
        <v>4</v>
      </c>
      <c r="W806" t="str">
        <f>PROPER(TEXT(A806,"mmmm"))</f>
        <v>Abril</v>
      </c>
      <c r="X806" t="str">
        <f>PROPER(TEXT(A806,"dddd"))</f>
        <v>Martes</v>
      </c>
      <c r="Y806" t="str" cm="1">
        <f t="array" ref="Y806">_xlfn.IFS(R806&gt;10,"Excelente",R806&gt;=5,"Bueno",R806&gt;=2,"Débil",R806&lt;2,"Deficiente")</f>
        <v>Bueno</v>
      </c>
      <c r="Z806" t="str">
        <f>IF(AND(R806&lt;2,Q806&gt;=100),"Revisar","OK")</f>
        <v>OK</v>
      </c>
      <c r="AA806" s="55">
        <f>_xlfn.XLOOKUP(C806,'Preguntas de negocio'!$C$114:$C$119,'Preguntas de negocio'!$D$114:$D$119,0)</f>
        <v>5</v>
      </c>
      <c r="AB806" s="55">
        <f>VLOOKUP(C806,'Preguntas de negocio'!$C$121:$D$127,2,FALSE)</f>
        <v>0.5</v>
      </c>
    </row>
    <row r="807" spans="1:28" x14ac:dyDescent="0.3">
      <c r="A807" s="1">
        <v>45941</v>
      </c>
      <c r="B807" s="2" t="s">
        <v>2640</v>
      </c>
      <c r="C807" s="2" t="s">
        <v>2533</v>
      </c>
      <c r="D807" s="2" t="s">
        <v>2516</v>
      </c>
      <c r="E807" s="2" t="s">
        <v>2517</v>
      </c>
      <c r="F807" s="3">
        <v>59959</v>
      </c>
      <c r="G807" s="3">
        <v>931</v>
      </c>
      <c r="H807" s="3">
        <v>127</v>
      </c>
      <c r="I807" s="4">
        <v>262.22000000000003</v>
      </c>
      <c r="J807" s="4">
        <v>26172.18</v>
      </c>
      <c r="K807" s="3">
        <v>88</v>
      </c>
      <c r="L807" s="2" t="s">
        <v>2523</v>
      </c>
      <c r="M807" s="2" t="s">
        <v>2546</v>
      </c>
      <c r="N807" s="8">
        <f>IFERROR(G807/F807,0)</f>
        <v>1.5527276972597943E-2</v>
      </c>
      <c r="O807" s="8">
        <f>IFERROR(H807/G807,0)</f>
        <v>0.13641245972073041</v>
      </c>
      <c r="P807" s="4">
        <f>IFERROR(I807/G807,0)</f>
        <v>0.28165413533834588</v>
      </c>
      <c r="Q807" s="4">
        <f>IFERROR(I807/H807,0)</f>
        <v>2.0647244094488193</v>
      </c>
      <c r="R807" s="12">
        <f>IFERROR(J807/I807,0)</f>
        <v>99.810006864464938</v>
      </c>
      <c r="S807" s="7">
        <f>Tabla_nuevas_columnas[[#This Row],[ROAS]]</f>
        <v>99.810006864464938</v>
      </c>
      <c r="T807" t="str">
        <f>_xlfn.CONCAT(C807,"-",D807)</f>
        <v>Paid Social-México</v>
      </c>
      <c r="U807">
        <f>YEAR(A807)</f>
        <v>2025</v>
      </c>
      <c r="V807">
        <f>MONTH(A807)</f>
        <v>10</v>
      </c>
      <c r="W807" t="str">
        <f>PROPER(TEXT(A807,"mmmm"))</f>
        <v>Octubre</v>
      </c>
      <c r="X807" t="str">
        <f>PROPER(TEXT(A807,"dddd"))</f>
        <v>Sábado</v>
      </c>
      <c r="Y807" t="str" cm="1">
        <f t="array" ref="Y807">_xlfn.IFS(R807&gt;10,"Excelente",R807&gt;=5,"Bueno",R807&gt;=2,"Débil",R807&lt;2,"Deficiente")</f>
        <v>Excelente</v>
      </c>
      <c r="Z807" t="str">
        <f>IF(AND(R807&lt;2,Q807&gt;=100),"Revisar","OK")</f>
        <v>OK</v>
      </c>
      <c r="AA807" s="55">
        <f>_xlfn.XLOOKUP(C807,'Preguntas de negocio'!$C$114:$C$119,'Preguntas de negocio'!$D$114:$D$119,0)</f>
        <v>6</v>
      </c>
      <c r="AB807" s="55">
        <f>VLOOKUP(C807,'Preguntas de negocio'!$C$121:$D$127,2,FALSE)</f>
        <v>0.8</v>
      </c>
    </row>
    <row r="808" spans="1:28" x14ac:dyDescent="0.3">
      <c r="A808" s="1">
        <v>45934</v>
      </c>
      <c r="B808" s="2" t="s">
        <v>2630</v>
      </c>
      <c r="C808" s="2" t="s">
        <v>2541</v>
      </c>
      <c r="D808" s="2" t="s">
        <v>2525</v>
      </c>
      <c r="E808" s="2" t="s">
        <v>2529</v>
      </c>
      <c r="F808" s="3">
        <v>60952</v>
      </c>
      <c r="G808" s="3">
        <v>3572</v>
      </c>
      <c r="H808" s="3">
        <v>412</v>
      </c>
      <c r="I808" s="4">
        <v>1488.23</v>
      </c>
      <c r="J808" s="4">
        <v>78504.13</v>
      </c>
      <c r="K808" s="3">
        <v>370</v>
      </c>
      <c r="L808" s="2" t="s">
        <v>2539</v>
      </c>
      <c r="M808" s="2" t="s">
        <v>2519</v>
      </c>
      <c r="N808" s="8">
        <f>IFERROR(G808/F808,0)</f>
        <v>5.8603491271820449E-2</v>
      </c>
      <c r="O808" s="8">
        <f>IFERROR(H808/G808,0)</f>
        <v>0.11534154535274356</v>
      </c>
      <c r="P808" s="4">
        <f>IFERROR(I808/G808,0)</f>
        <v>0.4166377379619261</v>
      </c>
      <c r="Q808" s="4">
        <f>IFERROR(I808/H808,0)</f>
        <v>3.6122087378640777</v>
      </c>
      <c r="R808" s="12">
        <f>IFERROR(J808/I808,0)</f>
        <v>52.74999832015213</v>
      </c>
      <c r="S808" s="7">
        <f>Tabla_nuevas_columnas[[#This Row],[ROAS]]</f>
        <v>52.74999832015213</v>
      </c>
      <c r="T808" t="str">
        <f>_xlfn.CONCAT(C808,"-",D808)</f>
        <v>Display-Francia</v>
      </c>
      <c r="U808">
        <f>YEAR(A808)</f>
        <v>2025</v>
      </c>
      <c r="V808">
        <f>MONTH(A808)</f>
        <v>10</v>
      </c>
      <c r="W808" t="str">
        <f>PROPER(TEXT(A808,"mmmm"))</f>
        <v>Octubre</v>
      </c>
      <c r="X808" t="str">
        <f>PROPER(TEXT(A808,"dddd"))</f>
        <v>Sábado</v>
      </c>
      <c r="Y808" t="str" cm="1">
        <f t="array" ref="Y808">_xlfn.IFS(R808&gt;10,"Excelente",R808&gt;=5,"Bueno",R808&gt;=2,"Débil",R808&lt;2,"Deficiente")</f>
        <v>Excelente</v>
      </c>
      <c r="Z808" t="str">
        <f>IF(AND(R808&lt;2,Q808&gt;=100),"Revisar","OK")</f>
        <v>OK</v>
      </c>
      <c r="AA808" s="55">
        <f>_xlfn.XLOOKUP(C808,'Preguntas de negocio'!$C$114:$C$119,'Preguntas de negocio'!$D$114:$D$119,0)</f>
        <v>5</v>
      </c>
      <c r="AB808" s="55">
        <f>VLOOKUP(C808,'Preguntas de negocio'!$C$121:$D$127,2,FALSE)</f>
        <v>0.5</v>
      </c>
    </row>
    <row r="809" spans="1:28" x14ac:dyDescent="0.3">
      <c r="A809" s="1">
        <v>45938</v>
      </c>
      <c r="B809" s="2" t="s">
        <v>2620</v>
      </c>
      <c r="C809" s="2" t="s">
        <v>2515</v>
      </c>
      <c r="D809" s="2" t="s">
        <v>2528</v>
      </c>
      <c r="E809" s="2" t="s">
        <v>2529</v>
      </c>
      <c r="F809" s="3">
        <v>34957</v>
      </c>
      <c r="G809" s="3">
        <v>399</v>
      </c>
      <c r="H809" s="3">
        <v>39</v>
      </c>
      <c r="I809" s="4">
        <v>238.01</v>
      </c>
      <c r="J809" s="4">
        <v>7306.67</v>
      </c>
      <c r="K809" s="3">
        <v>28</v>
      </c>
      <c r="L809" s="2" t="s">
        <v>2523</v>
      </c>
      <c r="M809" s="2" t="s">
        <v>2537</v>
      </c>
      <c r="N809" s="8">
        <f>IFERROR(G809/F809,0)</f>
        <v>1.141402294247218E-2</v>
      </c>
      <c r="O809" s="8">
        <f>IFERROR(H809/G809,0)</f>
        <v>9.7744360902255634E-2</v>
      </c>
      <c r="P809" s="4">
        <f>IFERROR(I809/G809,0)</f>
        <v>0.596516290726817</v>
      </c>
      <c r="Q809" s="4">
        <f>IFERROR(I809/H809,0)</f>
        <v>6.1028205128205126</v>
      </c>
      <c r="R809" s="12">
        <f>IFERROR(J809/I809,0)</f>
        <v>30.69900424351918</v>
      </c>
      <c r="S809" s="7">
        <f>Tabla_nuevas_columnas[[#This Row],[ROAS]]</f>
        <v>30.69900424351918</v>
      </c>
      <c r="T809" t="str">
        <f>_xlfn.CONCAT(C809,"-",D809)</f>
        <v>Email-España</v>
      </c>
      <c r="U809">
        <f>YEAR(A809)</f>
        <v>2025</v>
      </c>
      <c r="V809">
        <f>MONTH(A809)</f>
        <v>10</v>
      </c>
      <c r="W809" t="str">
        <f>PROPER(TEXT(A809,"mmmm"))</f>
        <v>Octubre</v>
      </c>
      <c r="X809" t="str">
        <f>PROPER(TEXT(A809,"dddd"))</f>
        <v>Miércoles</v>
      </c>
      <c r="Y809" t="str" cm="1">
        <f t="array" ref="Y809">_xlfn.IFS(R809&gt;10,"Excelente",R809&gt;=5,"Bueno",R809&gt;=2,"Débil",R809&lt;2,"Deficiente")</f>
        <v>Excelente</v>
      </c>
      <c r="Z809" t="str">
        <f>IF(AND(R809&lt;2,Q809&gt;=100),"Revisar","OK")</f>
        <v>OK</v>
      </c>
      <c r="AA809" s="55">
        <f>_xlfn.XLOOKUP(C809,'Preguntas de negocio'!$C$114:$C$119,'Preguntas de negocio'!$D$114:$D$119,0)</f>
        <v>5.5</v>
      </c>
      <c r="AB809" s="55">
        <f>VLOOKUP(C809,'Preguntas de negocio'!$C$121:$D$127,2,FALSE)</f>
        <v>0.65</v>
      </c>
    </row>
    <row r="810" spans="1:28" x14ac:dyDescent="0.3">
      <c r="A810" s="1">
        <v>45719</v>
      </c>
      <c r="B810" s="2" t="s">
        <v>2644</v>
      </c>
      <c r="C810" s="2" t="s">
        <v>2541</v>
      </c>
      <c r="D810" s="2" t="s">
        <v>2528</v>
      </c>
      <c r="E810" s="2" t="s">
        <v>2529</v>
      </c>
      <c r="F810" s="3">
        <v>81329</v>
      </c>
      <c r="G810" s="3">
        <v>3572</v>
      </c>
      <c r="H810" s="3">
        <v>228</v>
      </c>
      <c r="I810" s="4">
        <v>5803.43</v>
      </c>
      <c r="J810" s="4">
        <v>12192.68</v>
      </c>
      <c r="K810" s="3">
        <v>164</v>
      </c>
      <c r="L810" s="2" t="s">
        <v>2536</v>
      </c>
      <c r="M810" s="2" t="s">
        <v>2524</v>
      </c>
      <c r="N810" s="8">
        <f>IFERROR(G810/F810,0)</f>
        <v>4.3920372806747904E-2</v>
      </c>
      <c r="O810" s="8">
        <f>IFERROR(H810/G810,0)</f>
        <v>6.3829787234042548E-2</v>
      </c>
      <c r="P810" s="4">
        <f>IFERROR(I810/G810,0)</f>
        <v>1.6247004479283316</v>
      </c>
      <c r="Q810" s="4">
        <f>IFERROR(I810/H810,0)</f>
        <v>25.453640350877194</v>
      </c>
      <c r="R810" s="12">
        <f>IFERROR(J810/I810,0)</f>
        <v>2.1009437522292851</v>
      </c>
      <c r="S810" s="7">
        <f>Tabla_nuevas_columnas[[#This Row],[ROAS]]</f>
        <v>2.1009437522292851</v>
      </c>
      <c r="T810" t="str">
        <f>_xlfn.CONCAT(C810,"-",D810)</f>
        <v>Display-España</v>
      </c>
      <c r="U810">
        <f>YEAR(A810)</f>
        <v>2025</v>
      </c>
      <c r="V810">
        <f>MONTH(A810)</f>
        <v>3</v>
      </c>
      <c r="W810" t="str">
        <f>PROPER(TEXT(A810,"mmmm"))</f>
        <v>Marzo</v>
      </c>
      <c r="X810" t="str">
        <f>PROPER(TEXT(A810,"dddd"))</f>
        <v>Lunes</v>
      </c>
      <c r="Y810" t="str" cm="1">
        <f t="array" ref="Y810">_xlfn.IFS(R810&gt;10,"Excelente",R810&gt;=5,"Bueno",R810&gt;=2,"Débil",R810&lt;2,"Deficiente")</f>
        <v>Débil</v>
      </c>
      <c r="Z810" t="str">
        <f>IF(AND(R810&lt;2,Q810&gt;=100),"Revisar","OK")</f>
        <v>OK</v>
      </c>
      <c r="AA810" s="55">
        <f>_xlfn.XLOOKUP(C810,'Preguntas de negocio'!$C$114:$C$119,'Preguntas de negocio'!$D$114:$D$119,0)</f>
        <v>5</v>
      </c>
      <c r="AB810" s="55">
        <f>VLOOKUP(C810,'Preguntas de negocio'!$C$121:$D$127,2,FALSE)</f>
        <v>0.5</v>
      </c>
    </row>
    <row r="811" spans="1:28" x14ac:dyDescent="0.3">
      <c r="A811" s="1">
        <v>45741</v>
      </c>
      <c r="B811" s="2" t="s">
        <v>2628</v>
      </c>
      <c r="C811" s="2" t="s">
        <v>2527</v>
      </c>
      <c r="D811" s="2" t="s">
        <v>2528</v>
      </c>
      <c r="E811" s="2" t="s">
        <v>2529</v>
      </c>
      <c r="F811" s="3">
        <v>34362</v>
      </c>
      <c r="G811" s="3">
        <v>213</v>
      </c>
      <c r="H811" s="3">
        <v>16</v>
      </c>
      <c r="I811" s="4">
        <v>60.36</v>
      </c>
      <c r="J811" s="4">
        <v>2183.71</v>
      </c>
      <c r="K811" s="3">
        <v>13</v>
      </c>
      <c r="L811" s="2" t="s">
        <v>2539</v>
      </c>
      <c r="M811" s="2" t="s">
        <v>2519</v>
      </c>
      <c r="N811" s="8">
        <f>IFERROR(G811/F811,0)</f>
        <v>6.1987078749781736E-3</v>
      </c>
      <c r="O811" s="8">
        <f>IFERROR(H811/G811,0)</f>
        <v>7.5117370892018781E-2</v>
      </c>
      <c r="P811" s="4">
        <f>IFERROR(I811/G811,0)</f>
        <v>0.28338028169014085</v>
      </c>
      <c r="Q811" s="4">
        <f>IFERROR(I811/H811,0)</f>
        <v>3.7725</v>
      </c>
      <c r="R811" s="12">
        <f>IFERROR(J811/I811,0)</f>
        <v>36.178098078197486</v>
      </c>
      <c r="S811" s="7">
        <f>Tabla_nuevas_columnas[[#This Row],[ROAS]]</f>
        <v>36.178098078197486</v>
      </c>
      <c r="T811" t="str">
        <f>_xlfn.CONCAT(C811,"-",D811)</f>
        <v>Affiliate-España</v>
      </c>
      <c r="U811">
        <f>YEAR(A811)</f>
        <v>2025</v>
      </c>
      <c r="V811">
        <f>MONTH(A811)</f>
        <v>3</v>
      </c>
      <c r="W811" t="str">
        <f>PROPER(TEXT(A811,"mmmm"))</f>
        <v>Marzo</v>
      </c>
      <c r="X811" t="str">
        <f>PROPER(TEXT(A811,"dddd"))</f>
        <v>Martes</v>
      </c>
      <c r="Y811" t="str" cm="1">
        <f t="array" ref="Y811">_xlfn.IFS(R811&gt;10,"Excelente",R811&gt;=5,"Bueno",R811&gt;=2,"Débil",R811&lt;2,"Deficiente")</f>
        <v>Excelente</v>
      </c>
      <c r="Z811" t="str">
        <f>IF(AND(R811&lt;2,Q811&gt;=100),"Revisar","OK")</f>
        <v>OK</v>
      </c>
      <c r="AA811" s="55">
        <f>_xlfn.XLOOKUP(C811,'Preguntas de negocio'!$C$114:$C$119,'Preguntas de negocio'!$D$114:$D$119,0)</f>
        <v>4.5</v>
      </c>
      <c r="AB811" s="55">
        <f>VLOOKUP(C811,'Preguntas de negocio'!$C$121:$D$127,2,FALSE)</f>
        <v>0.35</v>
      </c>
    </row>
    <row r="812" spans="1:28" x14ac:dyDescent="0.3">
      <c r="A812" s="1">
        <v>45942</v>
      </c>
      <c r="B812" s="2" t="s">
        <v>2641</v>
      </c>
      <c r="C812" s="2" t="s">
        <v>2521</v>
      </c>
      <c r="D812" s="2" t="s">
        <v>2516</v>
      </c>
      <c r="E812" s="2" t="s">
        <v>2529</v>
      </c>
      <c r="F812" s="3">
        <v>114352</v>
      </c>
      <c r="G812" s="3">
        <v>3496</v>
      </c>
      <c r="H812" s="3">
        <v>404</v>
      </c>
      <c r="I812" s="4">
        <v>4254.88</v>
      </c>
      <c r="J812" s="4">
        <v>24303.26</v>
      </c>
      <c r="K812" s="3">
        <v>311</v>
      </c>
      <c r="L812" s="2" t="s">
        <v>2518</v>
      </c>
      <c r="M812" s="2" t="s">
        <v>2537</v>
      </c>
      <c r="N812" s="8">
        <f>IFERROR(G812/F812,0)</f>
        <v>3.0572268084510985E-2</v>
      </c>
      <c r="O812" s="8">
        <f>IFERROR(H812/G812,0)</f>
        <v>0.11556064073226545</v>
      </c>
      <c r="P812" s="4">
        <f>IFERROR(I812/G812,0)</f>
        <v>1.217070938215103</v>
      </c>
      <c r="Q812" s="4">
        <f>IFERROR(I812/H812,0)</f>
        <v>10.531881188118811</v>
      </c>
      <c r="R812" s="12">
        <f>IFERROR(J812/I812,0)</f>
        <v>5.7118555634941517</v>
      </c>
      <c r="S812" s="7">
        <f>Tabla_nuevas_columnas[[#This Row],[ROAS]]</f>
        <v>5.7118555634941517</v>
      </c>
      <c r="T812" t="str">
        <f>_xlfn.CONCAT(C812,"-",D812)</f>
        <v>Paid Search-México</v>
      </c>
      <c r="U812">
        <f>YEAR(A812)</f>
        <v>2025</v>
      </c>
      <c r="V812">
        <f>MONTH(A812)</f>
        <v>10</v>
      </c>
      <c r="W812" t="str">
        <f>PROPER(TEXT(A812,"mmmm"))</f>
        <v>Octubre</v>
      </c>
      <c r="X812" t="str">
        <f>PROPER(TEXT(A812,"dddd"))</f>
        <v>Domingo</v>
      </c>
      <c r="Y812" t="str" cm="1">
        <f t="array" ref="Y812">_xlfn.IFS(R812&gt;10,"Excelente",R812&gt;=5,"Bueno",R812&gt;=2,"Débil",R812&lt;2,"Deficiente")</f>
        <v>Bueno</v>
      </c>
      <c r="Z812" t="str">
        <f>IF(AND(R812&lt;2,Q812&gt;=100),"Revisar","OK")</f>
        <v>OK</v>
      </c>
      <c r="AA812" s="55">
        <f>_xlfn.XLOOKUP(C812,'Preguntas de negocio'!$C$114:$C$119,'Preguntas de negocio'!$D$114:$D$119,0)</f>
        <v>5</v>
      </c>
      <c r="AB812" s="55">
        <f>VLOOKUP(C812,'Preguntas de negocio'!$C$121:$D$127,2,FALSE)</f>
        <v>1.1000000000000001</v>
      </c>
    </row>
    <row r="813" spans="1:28" x14ac:dyDescent="0.3">
      <c r="A813" s="1">
        <v>45966</v>
      </c>
      <c r="B813" s="2" t="s">
        <v>2626</v>
      </c>
      <c r="C813" s="2" t="s">
        <v>2521</v>
      </c>
      <c r="D813" s="2" t="s">
        <v>2525</v>
      </c>
      <c r="E813" s="2" t="s">
        <v>2517</v>
      </c>
      <c r="F813" s="3">
        <v>10378</v>
      </c>
      <c r="G813" s="3">
        <v>865</v>
      </c>
      <c r="H813" s="3">
        <v>59</v>
      </c>
      <c r="I813" s="4">
        <v>1378.02</v>
      </c>
      <c r="J813" s="4">
        <v>1778.6</v>
      </c>
      <c r="K813" s="3">
        <v>44</v>
      </c>
      <c r="L813" s="2" t="s">
        <v>2536</v>
      </c>
      <c r="M813" s="2" t="s">
        <v>2526</v>
      </c>
      <c r="N813" s="8">
        <f>IFERROR(G813/F813,0)</f>
        <v>8.3349392946617848E-2</v>
      </c>
      <c r="O813" s="8">
        <f>IFERROR(H813/G813,0)</f>
        <v>6.8208092485549127E-2</v>
      </c>
      <c r="P813" s="4">
        <f>IFERROR(I813/G813,0)</f>
        <v>1.5930867052023121</v>
      </c>
      <c r="Q813" s="4">
        <f>IFERROR(I813/H813,0)</f>
        <v>23.356271186440679</v>
      </c>
      <c r="R813" s="12">
        <f>IFERROR(J813/I813,0)</f>
        <v>1.2906924427802209</v>
      </c>
      <c r="S813" s="7">
        <f>Tabla_nuevas_columnas[[#This Row],[ROAS]]</f>
        <v>1.2906924427802209</v>
      </c>
      <c r="T813" t="str">
        <f>_xlfn.CONCAT(C813,"-",D813)</f>
        <v>Paid Search-Francia</v>
      </c>
      <c r="U813">
        <f>YEAR(A813)</f>
        <v>2025</v>
      </c>
      <c r="V813">
        <f>MONTH(A813)</f>
        <v>11</v>
      </c>
      <c r="W813" t="str">
        <f>PROPER(TEXT(A813,"mmmm"))</f>
        <v>Noviembre</v>
      </c>
      <c r="X813" t="str">
        <f>PROPER(TEXT(A813,"dddd"))</f>
        <v>Miércoles</v>
      </c>
      <c r="Y813" t="str" cm="1">
        <f t="array" ref="Y813">_xlfn.IFS(R813&gt;10,"Excelente",R813&gt;=5,"Bueno",R813&gt;=2,"Débil",R813&lt;2,"Deficiente")</f>
        <v>Deficiente</v>
      </c>
      <c r="Z813" t="str">
        <f>IF(AND(R813&lt;2,Q813&gt;=100),"Revisar","OK")</f>
        <v>OK</v>
      </c>
      <c r="AA813" s="55">
        <f>_xlfn.XLOOKUP(C813,'Preguntas de negocio'!$C$114:$C$119,'Preguntas de negocio'!$D$114:$D$119,0)</f>
        <v>5</v>
      </c>
      <c r="AB813" s="55">
        <f>VLOOKUP(C813,'Preguntas de negocio'!$C$121:$D$127,2,FALSE)</f>
        <v>1.1000000000000001</v>
      </c>
    </row>
    <row r="814" spans="1:28" x14ac:dyDescent="0.3">
      <c r="A814" s="1">
        <v>45820</v>
      </c>
      <c r="B814" s="2" t="s">
        <v>2625</v>
      </c>
      <c r="C814" s="2" t="s">
        <v>2521</v>
      </c>
      <c r="D814" s="2" t="s">
        <v>2522</v>
      </c>
      <c r="E814" s="2" t="s">
        <v>2517</v>
      </c>
      <c r="F814" s="3">
        <v>116481</v>
      </c>
      <c r="G814" s="3">
        <v>9251</v>
      </c>
      <c r="H814" s="3">
        <v>1043</v>
      </c>
      <c r="I814" s="4">
        <v>7793.73</v>
      </c>
      <c r="J814" s="4">
        <v>46258.8</v>
      </c>
      <c r="K814" s="3">
        <v>854</v>
      </c>
      <c r="L814" s="2" t="s">
        <v>2523</v>
      </c>
      <c r="M814" s="2" t="s">
        <v>2537</v>
      </c>
      <c r="N814" s="8">
        <f>IFERROR(G814/F814,0)</f>
        <v>7.9420678050497504E-2</v>
      </c>
      <c r="O814" s="8">
        <f>IFERROR(H814/G814,0)</f>
        <v>0.11274456815479407</v>
      </c>
      <c r="P814" s="4">
        <f>IFERROR(I814/G814,0)</f>
        <v>0.84247432709977299</v>
      </c>
      <c r="Q814" s="4">
        <f>IFERROR(I814/H814,0)</f>
        <v>7.4724161073825499</v>
      </c>
      <c r="R814" s="12">
        <f>IFERROR(J814/I814,0)</f>
        <v>5.9353865222428803</v>
      </c>
      <c r="S814" s="7">
        <f>Tabla_nuevas_columnas[[#This Row],[ROAS]]</f>
        <v>5.9353865222428803</v>
      </c>
      <c r="T814" t="str">
        <f>_xlfn.CONCAT(C814,"-",D814)</f>
        <v>Paid Search-Italia</v>
      </c>
      <c r="U814">
        <f>YEAR(A814)</f>
        <v>2025</v>
      </c>
      <c r="V814">
        <f>MONTH(A814)</f>
        <v>6</v>
      </c>
      <c r="W814" t="str">
        <f>PROPER(TEXT(A814,"mmmm"))</f>
        <v>Junio</v>
      </c>
      <c r="X814" t="str">
        <f>PROPER(TEXT(A814,"dddd"))</f>
        <v>Jueves</v>
      </c>
      <c r="Y814" t="str" cm="1">
        <f t="array" ref="Y814">_xlfn.IFS(R814&gt;10,"Excelente",R814&gt;=5,"Bueno",R814&gt;=2,"Débil",R814&lt;2,"Deficiente")</f>
        <v>Bueno</v>
      </c>
      <c r="Z814" t="str">
        <f>IF(AND(R814&lt;2,Q814&gt;=100),"Revisar","OK")</f>
        <v>OK</v>
      </c>
      <c r="AA814" s="55">
        <f>_xlfn.XLOOKUP(C814,'Preguntas de negocio'!$C$114:$C$119,'Preguntas de negocio'!$D$114:$D$119,0)</f>
        <v>5</v>
      </c>
      <c r="AB814" s="55">
        <f>VLOOKUP(C814,'Preguntas de negocio'!$C$121:$D$127,2,FALSE)</f>
        <v>1.1000000000000001</v>
      </c>
    </row>
    <row r="815" spans="1:28" x14ac:dyDescent="0.3">
      <c r="A815" s="1">
        <v>45894</v>
      </c>
      <c r="B815" s="2" t="s">
        <v>2641</v>
      </c>
      <c r="C815" s="2" t="s">
        <v>2533</v>
      </c>
      <c r="D815" s="2" t="s">
        <v>2531</v>
      </c>
      <c r="E815" s="2" t="s">
        <v>2517</v>
      </c>
      <c r="F815" s="3">
        <v>149412</v>
      </c>
      <c r="G815" s="3">
        <v>8711</v>
      </c>
      <c r="H815" s="3">
        <v>724</v>
      </c>
      <c r="I815" s="4">
        <v>7475.95</v>
      </c>
      <c r="J815" s="4">
        <v>91341.68</v>
      </c>
      <c r="K815" s="3">
        <v>612</v>
      </c>
      <c r="L815" s="2" t="s">
        <v>2518</v>
      </c>
      <c r="M815" s="2" t="s">
        <v>2537</v>
      </c>
      <c r="N815" s="8">
        <f>IFERROR(G815/F815,0)</f>
        <v>5.8301876689957968E-2</v>
      </c>
      <c r="O815" s="8">
        <f>IFERROR(H815/G815,0)</f>
        <v>8.3113305016645614E-2</v>
      </c>
      <c r="P815" s="4">
        <f>IFERROR(I815/G815,0)</f>
        <v>0.85821949259556884</v>
      </c>
      <c r="Q815" s="4">
        <f>IFERROR(I815/H815,0)</f>
        <v>10.325897790055249</v>
      </c>
      <c r="R815" s="12">
        <f>IFERROR(J815/I815,0)</f>
        <v>12.218069944288017</v>
      </c>
      <c r="S815" s="7">
        <f>Tabla_nuevas_columnas[[#This Row],[ROAS]]</f>
        <v>12.218069944288017</v>
      </c>
      <c r="T815" t="str">
        <f>_xlfn.CONCAT(C815,"-",D815)</f>
        <v>Paid Social-Portugal</v>
      </c>
      <c r="U815">
        <f>YEAR(A815)</f>
        <v>2025</v>
      </c>
      <c r="V815">
        <f>MONTH(A815)</f>
        <v>8</v>
      </c>
      <c r="W815" t="str">
        <f>PROPER(TEXT(A815,"mmmm"))</f>
        <v>Agosto</v>
      </c>
      <c r="X815" t="str">
        <f>PROPER(TEXT(A815,"dddd"))</f>
        <v>Lunes</v>
      </c>
      <c r="Y815" t="str" cm="1">
        <f t="array" ref="Y815">_xlfn.IFS(R815&gt;10,"Excelente",R815&gt;=5,"Bueno",R815&gt;=2,"Débil",R815&lt;2,"Deficiente")</f>
        <v>Excelente</v>
      </c>
      <c r="Z815" t="str">
        <f>IF(AND(R815&lt;2,Q815&gt;=100),"Revisar","OK")</f>
        <v>OK</v>
      </c>
      <c r="AA815" s="55">
        <f>_xlfn.XLOOKUP(C815,'Preguntas de negocio'!$C$114:$C$119,'Preguntas de negocio'!$D$114:$D$119,0)</f>
        <v>6</v>
      </c>
      <c r="AB815" s="55">
        <f>VLOOKUP(C815,'Preguntas de negocio'!$C$121:$D$127,2,FALSE)</f>
        <v>0.8</v>
      </c>
    </row>
    <row r="816" spans="1:28" x14ac:dyDescent="0.3">
      <c r="A816" s="1">
        <v>45726</v>
      </c>
      <c r="B816" s="2" t="s">
        <v>2615</v>
      </c>
      <c r="C816" s="2" t="s">
        <v>2533</v>
      </c>
      <c r="D816" s="2" t="s">
        <v>2516</v>
      </c>
      <c r="E816" s="2" t="s">
        <v>2534</v>
      </c>
      <c r="F816" s="3">
        <v>106161</v>
      </c>
      <c r="G816" s="3">
        <v>3887</v>
      </c>
      <c r="H816" s="3">
        <v>154</v>
      </c>
      <c r="I816" s="4">
        <v>5573.03</v>
      </c>
      <c r="J816" s="4">
        <v>23791.43</v>
      </c>
      <c r="K816" s="3">
        <v>81</v>
      </c>
      <c r="L816" s="2" t="s">
        <v>2539</v>
      </c>
      <c r="M816" s="2" t="s">
        <v>2546</v>
      </c>
      <c r="N816" s="8">
        <f>IFERROR(G816/F816,0)</f>
        <v>3.6614199188025734E-2</v>
      </c>
      <c r="O816" s="8">
        <f>IFERROR(H816/G816,0)</f>
        <v>3.9619243632621558E-2</v>
      </c>
      <c r="P816" s="4">
        <f>IFERROR(I816/G816,0)</f>
        <v>1.433761255466941</v>
      </c>
      <c r="Q816" s="4">
        <f>IFERROR(I816/H816,0)</f>
        <v>36.188506493506495</v>
      </c>
      <c r="R816" s="12">
        <f>IFERROR(J816/I816,0)</f>
        <v>4.2690295943140448</v>
      </c>
      <c r="S816" s="7">
        <f>Tabla_nuevas_columnas[[#This Row],[ROAS]]</f>
        <v>4.2690295943140448</v>
      </c>
      <c r="T816" t="str">
        <f>_xlfn.CONCAT(C816,"-",D816)</f>
        <v>Paid Social-México</v>
      </c>
      <c r="U816">
        <f>YEAR(A816)</f>
        <v>2025</v>
      </c>
      <c r="V816">
        <f>MONTH(A816)</f>
        <v>3</v>
      </c>
      <c r="W816" t="str">
        <f>PROPER(TEXT(A816,"mmmm"))</f>
        <v>Marzo</v>
      </c>
      <c r="X816" t="str">
        <f>PROPER(TEXT(A816,"dddd"))</f>
        <v>Lunes</v>
      </c>
      <c r="Y816" t="str" cm="1">
        <f t="array" ref="Y816">_xlfn.IFS(R816&gt;10,"Excelente",R816&gt;=5,"Bueno",R816&gt;=2,"Débil",R816&lt;2,"Deficiente")</f>
        <v>Débil</v>
      </c>
      <c r="Z816" t="str">
        <f>IF(AND(R816&lt;2,Q816&gt;=100),"Revisar","OK")</f>
        <v>OK</v>
      </c>
      <c r="AA816" s="55">
        <f>_xlfn.XLOOKUP(C816,'Preguntas de negocio'!$C$114:$C$119,'Preguntas de negocio'!$D$114:$D$119,0)</f>
        <v>6</v>
      </c>
      <c r="AB816" s="55">
        <f>VLOOKUP(C816,'Preguntas de negocio'!$C$121:$D$127,2,FALSE)</f>
        <v>0.8</v>
      </c>
    </row>
    <row r="817" spans="1:28" x14ac:dyDescent="0.3">
      <c r="A817" s="1">
        <v>45885</v>
      </c>
      <c r="B817" s="2" t="s">
        <v>2633</v>
      </c>
      <c r="C817" s="2" t="s">
        <v>2541</v>
      </c>
      <c r="D817" s="2" t="s">
        <v>2528</v>
      </c>
      <c r="E817" s="2" t="s">
        <v>2517</v>
      </c>
      <c r="F817" s="3">
        <v>169442</v>
      </c>
      <c r="G817" s="3">
        <v>12259</v>
      </c>
      <c r="H817" s="3">
        <v>183</v>
      </c>
      <c r="I817" s="4">
        <v>11671.66</v>
      </c>
      <c r="J817" s="4">
        <v>26088.82</v>
      </c>
      <c r="K817" s="3">
        <v>157</v>
      </c>
      <c r="L817" s="2" t="s">
        <v>2536</v>
      </c>
      <c r="M817" s="2" t="s">
        <v>2524</v>
      </c>
      <c r="N817" s="8">
        <f>IFERROR(G817/F817,0)</f>
        <v>7.2349240448058919E-2</v>
      </c>
      <c r="O817" s="8">
        <f>IFERROR(H817/G817,0)</f>
        <v>1.4927808140957663E-2</v>
      </c>
      <c r="P817" s="4">
        <f>IFERROR(I817/G817,0)</f>
        <v>0.95208907741251325</v>
      </c>
      <c r="Q817" s="4">
        <f>IFERROR(I817/H817,0)</f>
        <v>63.779562841530051</v>
      </c>
      <c r="R817" s="12">
        <f>IFERROR(J817/I817,0)</f>
        <v>2.2352278938899866</v>
      </c>
      <c r="S817" s="7">
        <f>Tabla_nuevas_columnas[[#This Row],[ROAS]]</f>
        <v>2.2352278938899866</v>
      </c>
      <c r="T817" t="str">
        <f>_xlfn.CONCAT(C817,"-",D817)</f>
        <v>Display-España</v>
      </c>
      <c r="U817">
        <f>YEAR(A817)</f>
        <v>2025</v>
      </c>
      <c r="V817">
        <f>MONTH(A817)</f>
        <v>8</v>
      </c>
      <c r="W817" t="str">
        <f>PROPER(TEXT(A817,"mmmm"))</f>
        <v>Agosto</v>
      </c>
      <c r="X817" t="str">
        <f>PROPER(TEXT(A817,"dddd"))</f>
        <v>Sábado</v>
      </c>
      <c r="Y817" t="str" cm="1">
        <f t="array" ref="Y817">_xlfn.IFS(R817&gt;10,"Excelente",R817&gt;=5,"Bueno",R817&gt;=2,"Débil",R817&lt;2,"Deficiente")</f>
        <v>Débil</v>
      </c>
      <c r="Z817" t="str">
        <f>IF(AND(R817&lt;2,Q817&gt;=100),"Revisar","OK")</f>
        <v>OK</v>
      </c>
      <c r="AA817" s="55">
        <f>_xlfn.XLOOKUP(C817,'Preguntas de negocio'!$C$114:$C$119,'Preguntas de negocio'!$D$114:$D$119,0)</f>
        <v>5</v>
      </c>
      <c r="AB817" s="55">
        <f>VLOOKUP(C817,'Preguntas de negocio'!$C$121:$D$127,2,FALSE)</f>
        <v>0.5</v>
      </c>
    </row>
    <row r="818" spans="1:28" x14ac:dyDescent="0.3">
      <c r="A818" s="1">
        <v>45983</v>
      </c>
      <c r="B818" s="2" t="s">
        <v>2626</v>
      </c>
      <c r="C818" s="2" t="s">
        <v>2515</v>
      </c>
      <c r="D818" s="2" t="s">
        <v>2528</v>
      </c>
      <c r="E818" s="2" t="s">
        <v>2529</v>
      </c>
      <c r="F818" s="3">
        <v>129396</v>
      </c>
      <c r="G818" s="3">
        <v>2635</v>
      </c>
      <c r="H818" s="3">
        <v>360</v>
      </c>
      <c r="I818" s="4">
        <v>4937.34</v>
      </c>
      <c r="J818" s="4">
        <v>67845.22</v>
      </c>
      <c r="K818" s="3">
        <v>221</v>
      </c>
      <c r="L818" s="2" t="s">
        <v>2523</v>
      </c>
      <c r="M818" s="2" t="s">
        <v>2526</v>
      </c>
      <c r="N818" s="8">
        <f>IFERROR(G818/F818,0)</f>
        <v>2.0363844322853875E-2</v>
      </c>
      <c r="O818" s="8">
        <f>IFERROR(H818/G818,0)</f>
        <v>0.13662239089184061</v>
      </c>
      <c r="P818" s="4">
        <f>IFERROR(I818/G818,0)</f>
        <v>1.8737533206831121</v>
      </c>
      <c r="Q818" s="4">
        <f>IFERROR(I818/H818,0)</f>
        <v>13.714833333333333</v>
      </c>
      <c r="R818" s="12">
        <f>IFERROR(J818/I818,0)</f>
        <v>13.741249336687366</v>
      </c>
      <c r="S818" s="7">
        <f>Tabla_nuevas_columnas[[#This Row],[ROAS]]</f>
        <v>13.741249336687366</v>
      </c>
      <c r="T818" t="str">
        <f>_xlfn.CONCAT(C818,"-",D818)</f>
        <v>Email-España</v>
      </c>
      <c r="U818">
        <f>YEAR(A818)</f>
        <v>2025</v>
      </c>
      <c r="V818">
        <f>MONTH(A818)</f>
        <v>11</v>
      </c>
      <c r="W818" t="str">
        <f>PROPER(TEXT(A818,"mmmm"))</f>
        <v>Noviembre</v>
      </c>
      <c r="X818" t="str">
        <f>PROPER(TEXT(A818,"dddd"))</f>
        <v>Sábado</v>
      </c>
      <c r="Y818" t="str" cm="1">
        <f t="array" ref="Y818">_xlfn.IFS(R818&gt;10,"Excelente",R818&gt;=5,"Bueno",R818&gt;=2,"Débil",R818&lt;2,"Deficiente")</f>
        <v>Excelente</v>
      </c>
      <c r="Z818" t="str">
        <f>IF(AND(R818&lt;2,Q818&gt;=100),"Revisar","OK")</f>
        <v>OK</v>
      </c>
      <c r="AA818" s="55">
        <f>_xlfn.XLOOKUP(C818,'Preguntas de negocio'!$C$114:$C$119,'Preguntas de negocio'!$D$114:$D$119,0)</f>
        <v>5.5</v>
      </c>
      <c r="AB818" s="55">
        <f>VLOOKUP(C818,'Preguntas de negocio'!$C$121:$D$127,2,FALSE)</f>
        <v>0.65</v>
      </c>
    </row>
    <row r="819" spans="1:28" x14ac:dyDescent="0.3">
      <c r="A819" s="1">
        <v>45720</v>
      </c>
      <c r="B819" s="2" t="s">
        <v>2623</v>
      </c>
      <c r="C819" s="2" t="s">
        <v>2515</v>
      </c>
      <c r="D819" s="2" t="s">
        <v>2528</v>
      </c>
      <c r="E819" s="2" t="s">
        <v>2529</v>
      </c>
      <c r="F819" s="3">
        <v>77325</v>
      </c>
      <c r="G819" s="3">
        <v>6145</v>
      </c>
      <c r="H819" s="3">
        <v>61</v>
      </c>
      <c r="I819" s="4">
        <v>8498.1299999999992</v>
      </c>
      <c r="J819" s="4">
        <v>12125.94</v>
      </c>
      <c r="K819" s="3">
        <v>34</v>
      </c>
      <c r="L819" s="2" t="s">
        <v>2523</v>
      </c>
      <c r="M819" s="2" t="s">
        <v>2519</v>
      </c>
      <c r="N819" s="8">
        <f>IFERROR(G819/F819,0)</f>
        <v>7.9469770449401872E-2</v>
      </c>
      <c r="O819" s="8">
        <f>IFERROR(H819/G819,0)</f>
        <v>9.9267697314890154E-3</v>
      </c>
      <c r="P819" s="4">
        <f>IFERROR(I819/G819,0)</f>
        <v>1.38293409275834</v>
      </c>
      <c r="Q819" s="4">
        <f>IFERROR(I819/H819,0)</f>
        <v>139.31360655737703</v>
      </c>
      <c r="R819" s="12">
        <f>IFERROR(J819/I819,0)</f>
        <v>1.4268950933911344</v>
      </c>
      <c r="S819" s="7">
        <f>Tabla_nuevas_columnas[[#This Row],[ROAS]]</f>
        <v>1.4268950933911344</v>
      </c>
      <c r="T819" t="str">
        <f>_xlfn.CONCAT(C819,"-",D819)</f>
        <v>Email-España</v>
      </c>
      <c r="U819">
        <f>YEAR(A819)</f>
        <v>2025</v>
      </c>
      <c r="V819">
        <f>MONTH(A819)</f>
        <v>3</v>
      </c>
      <c r="W819" t="str">
        <f>PROPER(TEXT(A819,"mmmm"))</f>
        <v>Marzo</v>
      </c>
      <c r="X819" t="str">
        <f>PROPER(TEXT(A819,"dddd"))</f>
        <v>Martes</v>
      </c>
      <c r="Y819" t="str" cm="1">
        <f t="array" ref="Y819">_xlfn.IFS(R819&gt;10,"Excelente",R819&gt;=5,"Bueno",R819&gt;=2,"Débil",R819&lt;2,"Deficiente")</f>
        <v>Deficiente</v>
      </c>
      <c r="Z819" t="str">
        <f>IF(AND(R819&lt;2,Q819&gt;=100),"Revisar","OK")</f>
        <v>Revisar</v>
      </c>
      <c r="AA819" s="55">
        <f>_xlfn.XLOOKUP(C819,'Preguntas de negocio'!$C$114:$C$119,'Preguntas de negocio'!$D$114:$D$119,0)</f>
        <v>5.5</v>
      </c>
      <c r="AB819" s="55">
        <f>VLOOKUP(C819,'Preguntas de negocio'!$C$121:$D$127,2,FALSE)</f>
        <v>0.65</v>
      </c>
    </row>
    <row r="820" spans="1:28" x14ac:dyDescent="0.3">
      <c r="A820" s="1">
        <v>45769</v>
      </c>
      <c r="B820" s="2" t="s">
        <v>2644</v>
      </c>
      <c r="C820" s="2" t="s">
        <v>2533</v>
      </c>
      <c r="D820" s="2" t="s">
        <v>2528</v>
      </c>
      <c r="E820" s="2" t="s">
        <v>2517</v>
      </c>
      <c r="F820" s="3">
        <v>108296</v>
      </c>
      <c r="G820" s="3">
        <v>3870</v>
      </c>
      <c r="H820" s="3">
        <v>198</v>
      </c>
      <c r="I820" s="4">
        <v>708.28</v>
      </c>
      <c r="J820" s="4">
        <v>38705.94</v>
      </c>
      <c r="K820" s="3">
        <v>167</v>
      </c>
      <c r="L820" s="2" t="s">
        <v>2518</v>
      </c>
      <c r="M820" s="2" t="s">
        <v>2519</v>
      </c>
      <c r="N820" s="8">
        <f>IFERROR(G820/F820,0)</f>
        <v>3.57353918888971E-2</v>
      </c>
      <c r="O820" s="8">
        <f>IFERROR(H820/G820,0)</f>
        <v>5.1162790697674418E-2</v>
      </c>
      <c r="P820" s="4">
        <f>IFERROR(I820/G820,0)</f>
        <v>0.18301808785529716</v>
      </c>
      <c r="Q820" s="4">
        <f>IFERROR(I820/H820,0)</f>
        <v>3.577171717171717</v>
      </c>
      <c r="R820" s="12">
        <f>IFERROR(J820/I820,0)</f>
        <v>54.647794657480098</v>
      </c>
      <c r="S820" s="7">
        <f>Tabla_nuevas_columnas[[#This Row],[ROAS]]</f>
        <v>54.647794657480098</v>
      </c>
      <c r="T820" t="str">
        <f>_xlfn.CONCAT(C820,"-",D820)</f>
        <v>Paid Social-España</v>
      </c>
      <c r="U820">
        <f>YEAR(A820)</f>
        <v>2025</v>
      </c>
      <c r="V820">
        <f>MONTH(A820)</f>
        <v>4</v>
      </c>
      <c r="W820" t="str">
        <f>PROPER(TEXT(A820,"mmmm"))</f>
        <v>Abril</v>
      </c>
      <c r="X820" t="str">
        <f>PROPER(TEXT(A820,"dddd"))</f>
        <v>Martes</v>
      </c>
      <c r="Y820" t="str" cm="1">
        <f t="array" ref="Y820">_xlfn.IFS(R820&gt;10,"Excelente",R820&gt;=5,"Bueno",R820&gt;=2,"Débil",R820&lt;2,"Deficiente")</f>
        <v>Excelente</v>
      </c>
      <c r="Z820" t="str">
        <f>IF(AND(R820&lt;2,Q820&gt;=100),"Revisar","OK")</f>
        <v>OK</v>
      </c>
      <c r="AA820" s="55">
        <f>_xlfn.XLOOKUP(C820,'Preguntas de negocio'!$C$114:$C$119,'Preguntas de negocio'!$D$114:$D$119,0)</f>
        <v>6</v>
      </c>
      <c r="AB820" s="55">
        <f>VLOOKUP(C820,'Preguntas de negocio'!$C$121:$D$127,2,FALSE)</f>
        <v>0.8</v>
      </c>
    </row>
    <row r="821" spans="1:28" x14ac:dyDescent="0.3">
      <c r="A821" s="1">
        <v>45881</v>
      </c>
      <c r="B821" s="2" t="s">
        <v>2629</v>
      </c>
      <c r="C821" s="2" t="s">
        <v>2515</v>
      </c>
      <c r="D821" s="2" t="s">
        <v>2528</v>
      </c>
      <c r="E821" s="2" t="s">
        <v>2534</v>
      </c>
      <c r="F821" s="3">
        <v>92190</v>
      </c>
      <c r="G821" s="3">
        <v>3343</v>
      </c>
      <c r="H821" s="3">
        <v>101</v>
      </c>
      <c r="I821" s="4">
        <v>6911.16</v>
      </c>
      <c r="J821" s="4">
        <v>18808.75</v>
      </c>
      <c r="K821" s="3">
        <v>76</v>
      </c>
      <c r="L821" s="2" t="s">
        <v>2539</v>
      </c>
      <c r="M821" s="2" t="s">
        <v>2526</v>
      </c>
      <c r="N821" s="8">
        <f>IFERROR(G821/F821,0)</f>
        <v>3.6262067469356764E-2</v>
      </c>
      <c r="O821" s="8">
        <f>IFERROR(H821/G821,0)</f>
        <v>3.0212384086150165E-2</v>
      </c>
      <c r="P821" s="4">
        <f>IFERROR(I821/G821,0)</f>
        <v>2.0673526772360153</v>
      </c>
      <c r="Q821" s="4">
        <f>IFERROR(I821/H821,0)</f>
        <v>68.427326732673265</v>
      </c>
      <c r="R821" s="12">
        <f>IFERROR(J821/I821,0)</f>
        <v>2.7215040600998965</v>
      </c>
      <c r="S821" s="7">
        <f>Tabla_nuevas_columnas[[#This Row],[ROAS]]</f>
        <v>2.7215040600998965</v>
      </c>
      <c r="T821" t="str">
        <f>_xlfn.CONCAT(C821,"-",D821)</f>
        <v>Email-España</v>
      </c>
      <c r="U821">
        <f>YEAR(A821)</f>
        <v>2025</v>
      </c>
      <c r="V821">
        <f>MONTH(A821)</f>
        <v>8</v>
      </c>
      <c r="W821" t="str">
        <f>PROPER(TEXT(A821,"mmmm"))</f>
        <v>Agosto</v>
      </c>
      <c r="X821" t="str">
        <f>PROPER(TEXT(A821,"dddd"))</f>
        <v>Martes</v>
      </c>
      <c r="Y821" t="str" cm="1">
        <f t="array" ref="Y821">_xlfn.IFS(R821&gt;10,"Excelente",R821&gt;=5,"Bueno",R821&gt;=2,"Débil",R821&lt;2,"Deficiente")</f>
        <v>Débil</v>
      </c>
      <c r="Z821" t="str">
        <f>IF(AND(R821&lt;2,Q821&gt;=100),"Revisar","OK")</f>
        <v>OK</v>
      </c>
      <c r="AA821" s="55">
        <f>_xlfn.XLOOKUP(C821,'Preguntas de negocio'!$C$114:$C$119,'Preguntas de negocio'!$D$114:$D$119,0)</f>
        <v>5.5</v>
      </c>
      <c r="AB821" s="55">
        <f>VLOOKUP(C821,'Preguntas de negocio'!$C$121:$D$127,2,FALSE)</f>
        <v>0.65</v>
      </c>
    </row>
    <row r="822" spans="1:28" x14ac:dyDescent="0.3">
      <c r="A822" s="1">
        <v>45960</v>
      </c>
      <c r="B822" s="2" t="s">
        <v>2626</v>
      </c>
      <c r="C822" s="2" t="s">
        <v>2521</v>
      </c>
      <c r="D822" s="2" t="s">
        <v>2528</v>
      </c>
      <c r="E822" s="2" t="s">
        <v>2529</v>
      </c>
      <c r="F822" s="3">
        <v>145614</v>
      </c>
      <c r="G822" s="3">
        <v>11489</v>
      </c>
      <c r="H822" s="3">
        <v>673</v>
      </c>
      <c r="I822" s="4">
        <v>18880.11</v>
      </c>
      <c r="J822" s="4">
        <v>76757.77</v>
      </c>
      <c r="K822" s="3">
        <v>354</v>
      </c>
      <c r="L822" s="2" t="s">
        <v>2518</v>
      </c>
      <c r="M822" s="2" t="s">
        <v>2526</v>
      </c>
      <c r="N822" s="8">
        <f>IFERROR(G822/F822,0)</f>
        <v>7.8900380457922997E-2</v>
      </c>
      <c r="O822" s="8">
        <f>IFERROR(H822/G822,0)</f>
        <v>5.8577770040908694E-2</v>
      </c>
      <c r="P822" s="4">
        <f>IFERROR(I822/G822,0)</f>
        <v>1.6433205674993472</v>
      </c>
      <c r="Q822" s="4">
        <f>IFERROR(I822/H822,0)</f>
        <v>28.053655274888559</v>
      </c>
      <c r="R822" s="12">
        <f>IFERROR(J822/I822,0)</f>
        <v>4.0655361647787007</v>
      </c>
      <c r="S822" s="7">
        <f>Tabla_nuevas_columnas[[#This Row],[ROAS]]</f>
        <v>4.0655361647787007</v>
      </c>
      <c r="T822" t="str">
        <f>_xlfn.CONCAT(C822,"-",D822)</f>
        <v>Paid Search-España</v>
      </c>
      <c r="U822">
        <f>YEAR(A822)</f>
        <v>2025</v>
      </c>
      <c r="V822">
        <f>MONTH(A822)</f>
        <v>10</v>
      </c>
      <c r="W822" t="str">
        <f>PROPER(TEXT(A822,"mmmm"))</f>
        <v>Octubre</v>
      </c>
      <c r="X822" t="str">
        <f>PROPER(TEXT(A822,"dddd"))</f>
        <v>Jueves</v>
      </c>
      <c r="Y822" t="str" cm="1">
        <f t="array" ref="Y822">_xlfn.IFS(R822&gt;10,"Excelente",R822&gt;=5,"Bueno",R822&gt;=2,"Débil",R822&lt;2,"Deficiente")</f>
        <v>Débil</v>
      </c>
      <c r="Z822" t="str">
        <f>IF(AND(R822&lt;2,Q822&gt;=100),"Revisar","OK")</f>
        <v>OK</v>
      </c>
      <c r="AA822" s="55">
        <f>_xlfn.XLOOKUP(C822,'Preguntas de negocio'!$C$114:$C$119,'Preguntas de negocio'!$D$114:$D$119,0)</f>
        <v>5</v>
      </c>
      <c r="AB822" s="55">
        <f>VLOOKUP(C822,'Preguntas de negocio'!$C$121:$D$127,2,FALSE)</f>
        <v>1.1000000000000001</v>
      </c>
    </row>
    <row r="823" spans="1:28" x14ac:dyDescent="0.3">
      <c r="A823" s="1">
        <v>45685</v>
      </c>
      <c r="B823" s="2" t="s">
        <v>2640</v>
      </c>
      <c r="C823" s="2" t="s">
        <v>2521</v>
      </c>
      <c r="D823" s="2" t="s">
        <v>2528</v>
      </c>
      <c r="E823" s="2" t="s">
        <v>2517</v>
      </c>
      <c r="F823" s="3">
        <v>109628</v>
      </c>
      <c r="G823" s="3">
        <v>5201</v>
      </c>
      <c r="H823" s="3">
        <v>666</v>
      </c>
      <c r="I823" s="4">
        <v>7105.83</v>
      </c>
      <c r="J823" s="4">
        <v>14306.76</v>
      </c>
      <c r="K823" s="3">
        <v>594</v>
      </c>
      <c r="L823" s="2" t="s">
        <v>2536</v>
      </c>
      <c r="M823" s="2" t="s">
        <v>2537</v>
      </c>
      <c r="N823" s="8">
        <f>IFERROR(G823/F823,0)</f>
        <v>4.744225927682709E-2</v>
      </c>
      <c r="O823" s="8">
        <f>IFERROR(H823/G823,0)</f>
        <v>0.12805229763507017</v>
      </c>
      <c r="P823" s="4">
        <f>IFERROR(I823/G823,0)</f>
        <v>1.3662430301865025</v>
      </c>
      <c r="Q823" s="4">
        <f>IFERROR(I823/H823,0)</f>
        <v>10.669414414414414</v>
      </c>
      <c r="R823" s="12">
        <f>IFERROR(J823/I823,0)</f>
        <v>2.0133833767483882</v>
      </c>
      <c r="S823" s="7">
        <f>Tabla_nuevas_columnas[[#This Row],[ROAS]]</f>
        <v>2.0133833767483882</v>
      </c>
      <c r="T823" t="str">
        <f>_xlfn.CONCAT(C823,"-",D823)</f>
        <v>Paid Search-España</v>
      </c>
      <c r="U823">
        <f>YEAR(A823)</f>
        <v>2025</v>
      </c>
      <c r="V823">
        <f>MONTH(A823)</f>
        <v>1</v>
      </c>
      <c r="W823" t="str">
        <f>PROPER(TEXT(A823,"mmmm"))</f>
        <v>Enero</v>
      </c>
      <c r="X823" t="str">
        <f>PROPER(TEXT(A823,"dddd"))</f>
        <v>Martes</v>
      </c>
      <c r="Y823" t="str" cm="1">
        <f t="array" ref="Y823">_xlfn.IFS(R823&gt;10,"Excelente",R823&gt;=5,"Bueno",R823&gt;=2,"Débil",R823&lt;2,"Deficiente")</f>
        <v>Débil</v>
      </c>
      <c r="Z823" t="str">
        <f>IF(AND(R823&lt;2,Q823&gt;=100),"Revisar","OK")</f>
        <v>OK</v>
      </c>
      <c r="AA823" s="55">
        <f>_xlfn.XLOOKUP(C823,'Preguntas de negocio'!$C$114:$C$119,'Preguntas de negocio'!$D$114:$D$119,0)</f>
        <v>5</v>
      </c>
      <c r="AB823" s="55">
        <f>VLOOKUP(C823,'Preguntas de negocio'!$C$121:$D$127,2,FALSE)</f>
        <v>1.1000000000000001</v>
      </c>
    </row>
    <row r="824" spans="1:28" x14ac:dyDescent="0.3">
      <c r="A824" s="1">
        <v>45777</v>
      </c>
      <c r="B824" s="2" t="s">
        <v>2636</v>
      </c>
      <c r="C824" s="2" t="s">
        <v>2533</v>
      </c>
      <c r="D824" s="2" t="s">
        <v>2525</v>
      </c>
      <c r="E824" s="2" t="s">
        <v>2517</v>
      </c>
      <c r="F824" s="3">
        <v>158005</v>
      </c>
      <c r="G824" s="3">
        <v>10564</v>
      </c>
      <c r="H824" s="3">
        <v>875</v>
      </c>
      <c r="I824" s="4">
        <v>20563.59</v>
      </c>
      <c r="J824" s="4">
        <v>136576.22</v>
      </c>
      <c r="K824" s="3">
        <v>596</v>
      </c>
      <c r="L824" s="2" t="s">
        <v>2523</v>
      </c>
      <c r="M824" s="2" t="s">
        <v>2526</v>
      </c>
      <c r="N824" s="8">
        <f>IFERROR(G824/F824,0)</f>
        <v>6.6858643713806523E-2</v>
      </c>
      <c r="O824" s="8">
        <f>IFERROR(H824/G824,0)</f>
        <v>8.2828474062854984E-2</v>
      </c>
      <c r="P824" s="4">
        <f>IFERROR(I824/G824,0)</f>
        <v>1.9465723210904959</v>
      </c>
      <c r="Q824" s="4">
        <f>IFERROR(I824/H824,0)</f>
        <v>23.501245714285716</v>
      </c>
      <c r="R824" s="12">
        <f>IFERROR(J824/I824,0)</f>
        <v>6.6416525519133573</v>
      </c>
      <c r="S824" s="7">
        <f>Tabla_nuevas_columnas[[#This Row],[ROAS]]</f>
        <v>6.6416525519133573</v>
      </c>
      <c r="T824" t="str">
        <f>_xlfn.CONCAT(C824,"-",D824)</f>
        <v>Paid Social-Francia</v>
      </c>
      <c r="U824">
        <f>YEAR(A824)</f>
        <v>2025</v>
      </c>
      <c r="V824">
        <f>MONTH(A824)</f>
        <v>4</v>
      </c>
      <c r="W824" t="str">
        <f>PROPER(TEXT(A824,"mmmm"))</f>
        <v>Abril</v>
      </c>
      <c r="X824" t="str">
        <f>PROPER(TEXT(A824,"dddd"))</f>
        <v>Miércoles</v>
      </c>
      <c r="Y824" t="str" cm="1">
        <f t="array" ref="Y824">_xlfn.IFS(R824&gt;10,"Excelente",R824&gt;=5,"Bueno",R824&gt;=2,"Débil",R824&lt;2,"Deficiente")</f>
        <v>Bueno</v>
      </c>
      <c r="Z824" t="str">
        <f>IF(AND(R824&lt;2,Q824&gt;=100),"Revisar","OK")</f>
        <v>OK</v>
      </c>
      <c r="AA824" s="55">
        <f>_xlfn.XLOOKUP(C824,'Preguntas de negocio'!$C$114:$C$119,'Preguntas de negocio'!$D$114:$D$119,0)</f>
        <v>6</v>
      </c>
      <c r="AB824" s="55">
        <f>VLOOKUP(C824,'Preguntas de negocio'!$C$121:$D$127,2,FALSE)</f>
        <v>0.8</v>
      </c>
    </row>
    <row r="825" spans="1:28" x14ac:dyDescent="0.3">
      <c r="A825" s="1">
        <v>45805</v>
      </c>
      <c r="B825" s="2" t="s">
        <v>2624</v>
      </c>
      <c r="C825" s="2" t="s">
        <v>2527</v>
      </c>
      <c r="D825" s="2" t="s">
        <v>2528</v>
      </c>
      <c r="E825" s="2" t="s">
        <v>2517</v>
      </c>
      <c r="F825" s="3">
        <v>126790</v>
      </c>
      <c r="G825" s="3">
        <v>5145</v>
      </c>
      <c r="H825" s="3">
        <v>349</v>
      </c>
      <c r="I825" s="4">
        <v>5111.76</v>
      </c>
      <c r="J825" s="4">
        <v>19216.990000000002</v>
      </c>
      <c r="K825" s="3">
        <v>167</v>
      </c>
      <c r="L825" s="2" t="s">
        <v>2536</v>
      </c>
      <c r="M825" s="2" t="s">
        <v>2524</v>
      </c>
      <c r="N825" s="8">
        <f>IFERROR(G825/F825,0)</f>
        <v>4.0578910008675764E-2</v>
      </c>
      <c r="O825" s="8">
        <f>IFERROR(H825/G825,0)</f>
        <v>6.7832847424684165E-2</v>
      </c>
      <c r="P825" s="4">
        <f>IFERROR(I825/G825,0)</f>
        <v>0.99353935860058318</v>
      </c>
      <c r="Q825" s="4">
        <f>IFERROR(I825/H825,0)</f>
        <v>14.646876790830946</v>
      </c>
      <c r="R825" s="12">
        <f>IFERROR(J825/I825,0)</f>
        <v>3.7593685932046887</v>
      </c>
      <c r="S825" s="7">
        <f>Tabla_nuevas_columnas[[#This Row],[ROAS]]</f>
        <v>3.7593685932046887</v>
      </c>
      <c r="T825" t="str">
        <f>_xlfn.CONCAT(C825,"-",D825)</f>
        <v>Affiliate-España</v>
      </c>
      <c r="U825">
        <f>YEAR(A825)</f>
        <v>2025</v>
      </c>
      <c r="V825">
        <f>MONTH(A825)</f>
        <v>5</v>
      </c>
      <c r="W825" t="str">
        <f>PROPER(TEXT(A825,"mmmm"))</f>
        <v>Mayo</v>
      </c>
      <c r="X825" t="str">
        <f>PROPER(TEXT(A825,"dddd"))</f>
        <v>Miércoles</v>
      </c>
      <c r="Y825" t="str" cm="1">
        <f t="array" ref="Y825">_xlfn.IFS(R825&gt;10,"Excelente",R825&gt;=5,"Bueno",R825&gt;=2,"Débil",R825&lt;2,"Deficiente")</f>
        <v>Débil</v>
      </c>
      <c r="Z825" t="str">
        <f>IF(AND(R825&lt;2,Q825&gt;=100),"Revisar","OK")</f>
        <v>OK</v>
      </c>
      <c r="AA825" s="55">
        <f>_xlfn.XLOOKUP(C825,'Preguntas de negocio'!$C$114:$C$119,'Preguntas de negocio'!$D$114:$D$119,0)</f>
        <v>4.5</v>
      </c>
      <c r="AB825" s="55">
        <f>VLOOKUP(C825,'Preguntas de negocio'!$C$121:$D$127,2,FALSE)</f>
        <v>0.35</v>
      </c>
    </row>
    <row r="826" spans="1:28" x14ac:dyDescent="0.3">
      <c r="A826" s="1">
        <v>45711</v>
      </c>
      <c r="B826" s="2" t="s">
        <v>2627</v>
      </c>
      <c r="C826" s="2" t="s">
        <v>2515</v>
      </c>
      <c r="D826" s="2" t="s">
        <v>2516</v>
      </c>
      <c r="E826" s="2" t="s">
        <v>2529</v>
      </c>
      <c r="F826" s="3">
        <v>26134</v>
      </c>
      <c r="G826" s="3">
        <v>1126</v>
      </c>
      <c r="H826" s="3">
        <v>35</v>
      </c>
      <c r="I826" s="4">
        <v>1107.51</v>
      </c>
      <c r="J826" s="4">
        <v>819.26</v>
      </c>
      <c r="K826" s="3">
        <v>29</v>
      </c>
      <c r="L826" s="2" t="s">
        <v>2518</v>
      </c>
      <c r="M826" s="2" t="s">
        <v>2546</v>
      </c>
      <c r="N826" s="8">
        <f>IFERROR(G826/F826,0)</f>
        <v>4.3085635570521162E-2</v>
      </c>
      <c r="O826" s="8">
        <f>IFERROR(H826/G826,0)</f>
        <v>3.108348134991119E-2</v>
      </c>
      <c r="P826" s="4">
        <f>IFERROR(I826/G826,0)</f>
        <v>0.98357904085257553</v>
      </c>
      <c r="Q826" s="4">
        <f>IFERROR(I826/H826,0)</f>
        <v>31.643142857142855</v>
      </c>
      <c r="R826" s="12">
        <f>IFERROR(J826/I826,0)</f>
        <v>0.73973146969327586</v>
      </c>
      <c r="S826" s="7">
        <f>Tabla_nuevas_columnas[[#This Row],[ROAS]]</f>
        <v>0.73973146969327586</v>
      </c>
      <c r="T826" t="str">
        <f>_xlfn.CONCAT(C826,"-",D826)</f>
        <v>Email-México</v>
      </c>
      <c r="U826">
        <f>YEAR(A826)</f>
        <v>2025</v>
      </c>
      <c r="V826">
        <f>MONTH(A826)</f>
        <v>2</v>
      </c>
      <c r="W826" t="str">
        <f>PROPER(TEXT(A826,"mmmm"))</f>
        <v>Febrero</v>
      </c>
      <c r="X826" t="str">
        <f>PROPER(TEXT(A826,"dddd"))</f>
        <v>Domingo</v>
      </c>
      <c r="Y826" t="str" cm="1">
        <f t="array" ref="Y826">_xlfn.IFS(R826&gt;10,"Excelente",R826&gt;=5,"Bueno",R826&gt;=2,"Débil",R826&lt;2,"Deficiente")</f>
        <v>Deficiente</v>
      </c>
      <c r="Z826" t="str">
        <f>IF(AND(R826&lt;2,Q826&gt;=100),"Revisar","OK")</f>
        <v>OK</v>
      </c>
      <c r="AA826" s="55">
        <f>_xlfn.XLOOKUP(C826,'Preguntas de negocio'!$C$114:$C$119,'Preguntas de negocio'!$D$114:$D$119,0)</f>
        <v>5.5</v>
      </c>
      <c r="AB826" s="55">
        <f>VLOOKUP(C826,'Preguntas de negocio'!$C$121:$D$127,2,FALSE)</f>
        <v>0.65</v>
      </c>
    </row>
    <row r="827" spans="1:28" x14ac:dyDescent="0.3">
      <c r="A827" s="1">
        <v>45771</v>
      </c>
      <c r="B827" s="2" t="s">
        <v>2634</v>
      </c>
      <c r="C827" s="2" t="s">
        <v>2527</v>
      </c>
      <c r="D827" s="2" t="s">
        <v>2528</v>
      </c>
      <c r="E827" s="2" t="s">
        <v>2529</v>
      </c>
      <c r="F827" s="3">
        <v>23511</v>
      </c>
      <c r="G827" s="3">
        <v>1184</v>
      </c>
      <c r="H827" s="3">
        <v>148</v>
      </c>
      <c r="I827" s="4">
        <v>2090.86</v>
      </c>
      <c r="J827" s="4">
        <v>11158.78</v>
      </c>
      <c r="K827" s="3">
        <v>131</v>
      </c>
      <c r="L827" s="2" t="s">
        <v>2518</v>
      </c>
      <c r="M827" s="2" t="s">
        <v>2526</v>
      </c>
      <c r="N827" s="8">
        <f>IFERROR(G827/F827,0)</f>
        <v>5.0359406235379184E-2</v>
      </c>
      <c r="O827" s="8">
        <f>IFERROR(H827/G827,0)</f>
        <v>0.125</v>
      </c>
      <c r="P827" s="4">
        <f>IFERROR(I827/G827,0)</f>
        <v>1.7659290540540542</v>
      </c>
      <c r="Q827" s="4">
        <f>IFERROR(I827/H827,0)</f>
        <v>14.127432432432434</v>
      </c>
      <c r="R827" s="12">
        <f>IFERROR(J827/I827,0)</f>
        <v>5.336933127995179</v>
      </c>
      <c r="S827" s="7">
        <f>Tabla_nuevas_columnas[[#This Row],[ROAS]]</f>
        <v>5.336933127995179</v>
      </c>
      <c r="T827" t="str">
        <f>_xlfn.CONCAT(C827,"-",D827)</f>
        <v>Affiliate-España</v>
      </c>
      <c r="U827">
        <f>YEAR(A827)</f>
        <v>2025</v>
      </c>
      <c r="V827">
        <f>MONTH(A827)</f>
        <v>4</v>
      </c>
      <c r="W827" t="str">
        <f>PROPER(TEXT(A827,"mmmm"))</f>
        <v>Abril</v>
      </c>
      <c r="X827" t="str">
        <f>PROPER(TEXT(A827,"dddd"))</f>
        <v>Jueves</v>
      </c>
      <c r="Y827" t="str" cm="1">
        <f t="array" ref="Y827">_xlfn.IFS(R827&gt;10,"Excelente",R827&gt;=5,"Bueno",R827&gt;=2,"Débil",R827&lt;2,"Deficiente")</f>
        <v>Bueno</v>
      </c>
      <c r="Z827" t="str">
        <f>IF(AND(R827&lt;2,Q827&gt;=100),"Revisar","OK")</f>
        <v>OK</v>
      </c>
      <c r="AA827" s="55">
        <f>_xlfn.XLOOKUP(C827,'Preguntas de negocio'!$C$114:$C$119,'Preguntas de negocio'!$D$114:$D$119,0)</f>
        <v>4.5</v>
      </c>
      <c r="AB827" s="55">
        <f>VLOOKUP(C827,'Preguntas de negocio'!$C$121:$D$127,2,FALSE)</f>
        <v>0.35</v>
      </c>
    </row>
    <row r="828" spans="1:28" x14ac:dyDescent="0.3">
      <c r="A828" s="1">
        <v>45899</v>
      </c>
      <c r="B828" s="2" t="s">
        <v>2624</v>
      </c>
      <c r="C828" s="2" t="s">
        <v>2521</v>
      </c>
      <c r="D828" s="2" t="s">
        <v>2516</v>
      </c>
      <c r="E828" s="2" t="s">
        <v>2517</v>
      </c>
      <c r="F828" s="3">
        <v>30910</v>
      </c>
      <c r="G828" s="3">
        <v>1883</v>
      </c>
      <c r="H828" s="3">
        <v>138</v>
      </c>
      <c r="I828" s="4">
        <v>2608.61</v>
      </c>
      <c r="J828" s="4">
        <v>28008.3</v>
      </c>
      <c r="K828" s="3">
        <v>81</v>
      </c>
      <c r="L828" s="2" t="s">
        <v>2539</v>
      </c>
      <c r="M828" s="2" t="s">
        <v>2526</v>
      </c>
      <c r="N828" s="8">
        <f>IFERROR(G828/F828,0)</f>
        <v>6.0918796505985119E-2</v>
      </c>
      <c r="O828" s="8">
        <f>IFERROR(H828/G828,0)</f>
        <v>7.3287307488050984E-2</v>
      </c>
      <c r="P828" s="4">
        <f>IFERROR(I828/G828,0)</f>
        <v>1.3853478491768456</v>
      </c>
      <c r="Q828" s="4">
        <f>IFERROR(I828/H828,0)</f>
        <v>18.902971014492756</v>
      </c>
      <c r="R828" s="12">
        <f>IFERROR(J828/I828,0)</f>
        <v>10.736867527150475</v>
      </c>
      <c r="S828" s="7">
        <f>Tabla_nuevas_columnas[[#This Row],[ROAS]]</f>
        <v>10.736867527150475</v>
      </c>
      <c r="T828" t="str">
        <f>_xlfn.CONCAT(C828,"-",D828)</f>
        <v>Paid Search-México</v>
      </c>
      <c r="U828">
        <f>YEAR(A828)</f>
        <v>2025</v>
      </c>
      <c r="V828">
        <f>MONTH(A828)</f>
        <v>8</v>
      </c>
      <c r="W828" t="str">
        <f>PROPER(TEXT(A828,"mmmm"))</f>
        <v>Agosto</v>
      </c>
      <c r="X828" t="str">
        <f>PROPER(TEXT(A828,"dddd"))</f>
        <v>Sábado</v>
      </c>
      <c r="Y828" t="str" cm="1">
        <f t="array" ref="Y828">_xlfn.IFS(R828&gt;10,"Excelente",R828&gt;=5,"Bueno",R828&gt;=2,"Débil",R828&lt;2,"Deficiente")</f>
        <v>Excelente</v>
      </c>
      <c r="Z828" t="str">
        <f>IF(AND(R828&lt;2,Q828&gt;=100),"Revisar","OK")</f>
        <v>OK</v>
      </c>
      <c r="AA828" s="55">
        <f>_xlfn.XLOOKUP(C828,'Preguntas de negocio'!$C$114:$C$119,'Preguntas de negocio'!$D$114:$D$119,0)</f>
        <v>5</v>
      </c>
      <c r="AB828" s="55">
        <f>VLOOKUP(C828,'Preguntas de negocio'!$C$121:$D$127,2,FALSE)</f>
        <v>1.1000000000000001</v>
      </c>
    </row>
    <row r="829" spans="1:28" x14ac:dyDescent="0.3">
      <c r="A829" s="1">
        <v>45816</v>
      </c>
      <c r="B829" s="2" t="s">
        <v>2634</v>
      </c>
      <c r="C829" s="2" t="s">
        <v>2521</v>
      </c>
      <c r="D829" s="2" t="s">
        <v>2525</v>
      </c>
      <c r="E829" s="2" t="s">
        <v>2529</v>
      </c>
      <c r="F829" s="3">
        <v>149544</v>
      </c>
      <c r="G829" s="3">
        <v>10208</v>
      </c>
      <c r="H829" s="3">
        <v>1016</v>
      </c>
      <c r="I829" s="4">
        <v>13261.09</v>
      </c>
      <c r="J829" s="4">
        <v>51645.3</v>
      </c>
      <c r="K829" s="3">
        <v>486</v>
      </c>
      <c r="L829" s="2" t="s">
        <v>2518</v>
      </c>
      <c r="M829" s="2" t="s">
        <v>2537</v>
      </c>
      <c r="N829" s="8">
        <f>IFERROR(G829/F829,0)</f>
        <v>6.8260846306103892E-2</v>
      </c>
      <c r="O829" s="8">
        <f>IFERROR(H829/G829,0)</f>
        <v>9.9529780564263329E-2</v>
      </c>
      <c r="P829" s="4">
        <f>IFERROR(I829/G829,0)</f>
        <v>1.2990879702194358</v>
      </c>
      <c r="Q829" s="4">
        <f>IFERROR(I829/H829,0)</f>
        <v>13.052253937007874</v>
      </c>
      <c r="R829" s="12">
        <f>IFERROR(J829/I829,0)</f>
        <v>3.8944988684942188</v>
      </c>
      <c r="S829" s="7">
        <f>Tabla_nuevas_columnas[[#This Row],[ROAS]]</f>
        <v>3.8944988684942188</v>
      </c>
      <c r="T829" t="str">
        <f>_xlfn.CONCAT(C829,"-",D829)</f>
        <v>Paid Search-Francia</v>
      </c>
      <c r="U829">
        <f>YEAR(A829)</f>
        <v>2025</v>
      </c>
      <c r="V829">
        <f>MONTH(A829)</f>
        <v>6</v>
      </c>
      <c r="W829" t="str">
        <f>PROPER(TEXT(A829,"mmmm"))</f>
        <v>Junio</v>
      </c>
      <c r="X829" t="str">
        <f>PROPER(TEXT(A829,"dddd"))</f>
        <v>Domingo</v>
      </c>
      <c r="Y829" t="str" cm="1">
        <f t="array" ref="Y829">_xlfn.IFS(R829&gt;10,"Excelente",R829&gt;=5,"Bueno",R829&gt;=2,"Débil",R829&lt;2,"Deficiente")</f>
        <v>Débil</v>
      </c>
      <c r="Z829" t="str">
        <f>IF(AND(R829&lt;2,Q829&gt;=100),"Revisar","OK")</f>
        <v>OK</v>
      </c>
      <c r="AA829" s="55">
        <f>_xlfn.XLOOKUP(C829,'Preguntas de negocio'!$C$114:$C$119,'Preguntas de negocio'!$D$114:$D$119,0)</f>
        <v>5</v>
      </c>
      <c r="AB829" s="55">
        <f>VLOOKUP(C829,'Preguntas de negocio'!$C$121:$D$127,2,FALSE)</f>
        <v>1.1000000000000001</v>
      </c>
    </row>
    <row r="830" spans="1:28" x14ac:dyDescent="0.3">
      <c r="A830" s="1">
        <v>45927</v>
      </c>
      <c r="B830" s="2" t="s">
        <v>2629</v>
      </c>
      <c r="C830" s="2" t="s">
        <v>2543</v>
      </c>
      <c r="D830" s="2" t="s">
        <v>2522</v>
      </c>
      <c r="E830" s="2" t="s">
        <v>2529</v>
      </c>
      <c r="F830" s="3">
        <v>14381</v>
      </c>
      <c r="G830" s="3">
        <v>927</v>
      </c>
      <c r="H830" s="3">
        <v>91</v>
      </c>
      <c r="I830" s="4">
        <v>1659.73</v>
      </c>
      <c r="J830" s="4">
        <v>13029.68</v>
      </c>
      <c r="K830" s="3">
        <v>48</v>
      </c>
      <c r="L830" s="2" t="s">
        <v>2518</v>
      </c>
      <c r="M830" s="2" t="s">
        <v>2546</v>
      </c>
      <c r="N830" s="8">
        <f>IFERROR(G830/F830,0)</f>
        <v>6.4460051456783254E-2</v>
      </c>
      <c r="O830" s="8">
        <f>IFERROR(H830/G830,0)</f>
        <v>9.816612729234088E-2</v>
      </c>
      <c r="P830" s="4">
        <f>IFERROR(I830/G830,0)</f>
        <v>1.7904314994606256</v>
      </c>
      <c r="Q830" s="4">
        <f>IFERROR(I830/H830,0)</f>
        <v>18.238791208791209</v>
      </c>
      <c r="R830" s="12">
        <f>IFERROR(J830/I830,0)</f>
        <v>7.8504817048556088</v>
      </c>
      <c r="S830" s="7">
        <f>Tabla_nuevas_columnas[[#This Row],[ROAS]]</f>
        <v>7.8504817048556088</v>
      </c>
      <c r="T830" t="str">
        <f>_xlfn.CONCAT(C830,"-",D830)</f>
        <v>Organic Social-Italia</v>
      </c>
      <c r="U830">
        <f>YEAR(A830)</f>
        <v>2025</v>
      </c>
      <c r="V830">
        <f>MONTH(A830)</f>
        <v>9</v>
      </c>
      <c r="W830" t="str">
        <f>PROPER(TEXT(A830,"mmmm"))</f>
        <v>Septiembre</v>
      </c>
      <c r="X830" t="str">
        <f>PROPER(TEXT(A830,"dddd"))</f>
        <v>Sábado</v>
      </c>
      <c r="Y830" t="str" cm="1">
        <f t="array" ref="Y830">_xlfn.IFS(R830&gt;10,"Excelente",R830&gt;=5,"Bueno",R830&gt;=2,"Débil",R830&lt;2,"Deficiente")</f>
        <v>Bueno</v>
      </c>
      <c r="Z830" t="str">
        <f>IF(AND(R830&lt;2,Q830&gt;=100),"Revisar","OK")</f>
        <v>OK</v>
      </c>
      <c r="AA830" s="55">
        <f>_xlfn.XLOOKUP(C830,'Preguntas de negocio'!$C$114:$C$119,'Preguntas de negocio'!$D$114:$D$119,0)</f>
        <v>4</v>
      </c>
      <c r="AB830" s="55">
        <f>VLOOKUP(C830,'Preguntas de negocio'!$C$121:$D$127,2,FALSE)</f>
        <v>0.95</v>
      </c>
    </row>
    <row r="831" spans="1:28" x14ac:dyDescent="0.3">
      <c r="A831" s="1">
        <v>45735</v>
      </c>
      <c r="B831" s="2" t="s">
        <v>2625</v>
      </c>
      <c r="C831" s="2" t="s">
        <v>2543</v>
      </c>
      <c r="D831" s="2" t="s">
        <v>2528</v>
      </c>
      <c r="E831" s="2" t="s">
        <v>2517</v>
      </c>
      <c r="F831" s="3">
        <v>111545</v>
      </c>
      <c r="G831" s="3">
        <v>8352</v>
      </c>
      <c r="H831" s="3">
        <v>1004</v>
      </c>
      <c r="I831" s="4">
        <v>4492.0200000000004</v>
      </c>
      <c r="J831" s="4">
        <v>71953.429999999993</v>
      </c>
      <c r="K831" s="3">
        <v>566</v>
      </c>
      <c r="L831" s="2" t="s">
        <v>2518</v>
      </c>
      <c r="M831" s="2" t="s">
        <v>2526</v>
      </c>
      <c r="N831" s="8">
        <f>IFERROR(G831/F831,0)</f>
        <v>7.4875610740060064E-2</v>
      </c>
      <c r="O831" s="8">
        <f>IFERROR(H831/G831,0)</f>
        <v>0.12021072796934866</v>
      </c>
      <c r="P831" s="4">
        <f>IFERROR(I831/G831,0)</f>
        <v>0.537837643678161</v>
      </c>
      <c r="Q831" s="4">
        <f>IFERROR(I831/H831,0)</f>
        <v>4.4741235059760962</v>
      </c>
      <c r="R831" s="12">
        <f>IFERROR(J831/I831,0)</f>
        <v>16.018056464574954</v>
      </c>
      <c r="S831" s="7">
        <f>Tabla_nuevas_columnas[[#This Row],[ROAS]]</f>
        <v>16.018056464574954</v>
      </c>
      <c r="T831" t="str">
        <f>_xlfn.CONCAT(C831,"-",D831)</f>
        <v>Organic Social-España</v>
      </c>
      <c r="U831">
        <f>YEAR(A831)</f>
        <v>2025</v>
      </c>
      <c r="V831">
        <f>MONTH(A831)</f>
        <v>3</v>
      </c>
      <c r="W831" t="str">
        <f>PROPER(TEXT(A831,"mmmm"))</f>
        <v>Marzo</v>
      </c>
      <c r="X831" t="str">
        <f>PROPER(TEXT(A831,"dddd"))</f>
        <v>Miércoles</v>
      </c>
      <c r="Y831" t="str" cm="1">
        <f t="array" ref="Y831">_xlfn.IFS(R831&gt;10,"Excelente",R831&gt;=5,"Bueno",R831&gt;=2,"Débil",R831&lt;2,"Deficiente")</f>
        <v>Excelente</v>
      </c>
      <c r="Z831" t="str">
        <f>IF(AND(R831&lt;2,Q831&gt;=100),"Revisar","OK")</f>
        <v>OK</v>
      </c>
      <c r="AA831" s="55">
        <f>_xlfn.XLOOKUP(C831,'Preguntas de negocio'!$C$114:$C$119,'Preguntas de negocio'!$D$114:$D$119,0)</f>
        <v>4</v>
      </c>
      <c r="AB831" s="55">
        <f>VLOOKUP(C831,'Preguntas de negocio'!$C$121:$D$127,2,FALSE)</f>
        <v>0.95</v>
      </c>
    </row>
    <row r="832" spans="1:28" x14ac:dyDescent="0.3">
      <c r="A832" s="1">
        <v>45807</v>
      </c>
      <c r="B832" s="2" t="s">
        <v>2630</v>
      </c>
      <c r="C832" s="2" t="s">
        <v>2515</v>
      </c>
      <c r="D832" s="2" t="s">
        <v>2531</v>
      </c>
      <c r="E832" s="2" t="s">
        <v>2517</v>
      </c>
      <c r="F832" s="3">
        <v>119496</v>
      </c>
      <c r="G832" s="3">
        <v>1559</v>
      </c>
      <c r="H832" s="3">
        <v>62</v>
      </c>
      <c r="I832" s="4">
        <v>506.81</v>
      </c>
      <c r="J832" s="4">
        <v>1201.55</v>
      </c>
      <c r="K832" s="3">
        <v>47</v>
      </c>
      <c r="L832" s="2" t="s">
        <v>2523</v>
      </c>
      <c r="M832" s="2" t="s">
        <v>2537</v>
      </c>
      <c r="N832" s="8">
        <f>IFERROR(G832/F832,0)</f>
        <v>1.304646180625293E-2</v>
      </c>
      <c r="O832" s="8">
        <f>IFERROR(H832/G832,0)</f>
        <v>3.9769082745349585E-2</v>
      </c>
      <c r="P832" s="4">
        <f>IFERROR(I832/G832,0)</f>
        <v>0.32508659397049389</v>
      </c>
      <c r="Q832" s="4">
        <f>IFERROR(I832/H832,0)</f>
        <v>8.1743548387096769</v>
      </c>
      <c r="R832" s="12">
        <f>IFERROR(J832/I832,0)</f>
        <v>2.3708095736074664</v>
      </c>
      <c r="S832" s="7">
        <f>Tabla_nuevas_columnas[[#This Row],[ROAS]]</f>
        <v>2.3708095736074664</v>
      </c>
      <c r="T832" t="str">
        <f>_xlfn.CONCAT(C832,"-",D832)</f>
        <v>Email-Portugal</v>
      </c>
      <c r="U832">
        <f>YEAR(A832)</f>
        <v>2025</v>
      </c>
      <c r="V832">
        <f>MONTH(A832)</f>
        <v>5</v>
      </c>
      <c r="W832" t="str">
        <f>PROPER(TEXT(A832,"mmmm"))</f>
        <v>Mayo</v>
      </c>
      <c r="X832" t="str">
        <f>PROPER(TEXT(A832,"dddd"))</f>
        <v>Viernes</v>
      </c>
      <c r="Y832" t="str" cm="1">
        <f t="array" ref="Y832">_xlfn.IFS(R832&gt;10,"Excelente",R832&gt;=5,"Bueno",R832&gt;=2,"Débil",R832&lt;2,"Deficiente")</f>
        <v>Débil</v>
      </c>
      <c r="Z832" t="str">
        <f>IF(AND(R832&lt;2,Q832&gt;=100),"Revisar","OK")</f>
        <v>OK</v>
      </c>
      <c r="AA832" s="55">
        <f>_xlfn.XLOOKUP(C832,'Preguntas de negocio'!$C$114:$C$119,'Preguntas de negocio'!$D$114:$D$119,0)</f>
        <v>5.5</v>
      </c>
      <c r="AB832" s="55">
        <f>VLOOKUP(C832,'Preguntas de negocio'!$C$121:$D$127,2,FALSE)</f>
        <v>0.65</v>
      </c>
    </row>
    <row r="833" spans="1:28" x14ac:dyDescent="0.3">
      <c r="A833" s="1">
        <v>45756</v>
      </c>
      <c r="B833" s="2" t="s">
        <v>2638</v>
      </c>
      <c r="C833" s="2" t="s">
        <v>2515</v>
      </c>
      <c r="D833" s="2" t="s">
        <v>2531</v>
      </c>
      <c r="E833" s="2" t="s">
        <v>2517</v>
      </c>
      <c r="F833" s="3">
        <v>118451</v>
      </c>
      <c r="G833" s="3">
        <v>5581</v>
      </c>
      <c r="H833" s="3">
        <v>768</v>
      </c>
      <c r="I833" s="4">
        <v>822.81</v>
      </c>
      <c r="J833" s="4">
        <v>23073.84</v>
      </c>
      <c r="K833" s="3">
        <v>669</v>
      </c>
      <c r="L833" s="2" t="s">
        <v>2523</v>
      </c>
      <c r="M833" s="2" t="s">
        <v>2524</v>
      </c>
      <c r="N833" s="8">
        <f>IFERROR(G833/F833,0)</f>
        <v>4.7116529197727332E-2</v>
      </c>
      <c r="O833" s="8">
        <f>IFERROR(H833/G833,0)</f>
        <v>0.13760974735710446</v>
      </c>
      <c r="P833" s="4">
        <f>IFERROR(I833/G833,0)</f>
        <v>0.14743056799856655</v>
      </c>
      <c r="Q833" s="4">
        <f>IFERROR(I833/H833,0)</f>
        <v>1.0713671874999999</v>
      </c>
      <c r="R833" s="12">
        <f>IFERROR(J833/I833,0)</f>
        <v>28.042731614832103</v>
      </c>
      <c r="S833" s="7">
        <f>Tabla_nuevas_columnas[[#This Row],[ROAS]]</f>
        <v>28.042731614832103</v>
      </c>
      <c r="T833" t="str">
        <f>_xlfn.CONCAT(C833,"-",D833)</f>
        <v>Email-Portugal</v>
      </c>
      <c r="U833">
        <f>YEAR(A833)</f>
        <v>2025</v>
      </c>
      <c r="V833">
        <f>MONTH(A833)</f>
        <v>4</v>
      </c>
      <c r="W833" t="str">
        <f>PROPER(TEXT(A833,"mmmm"))</f>
        <v>Abril</v>
      </c>
      <c r="X833" t="str">
        <f>PROPER(TEXT(A833,"dddd"))</f>
        <v>Miércoles</v>
      </c>
      <c r="Y833" t="str" cm="1">
        <f t="array" ref="Y833">_xlfn.IFS(R833&gt;10,"Excelente",R833&gt;=5,"Bueno",R833&gt;=2,"Débil",R833&lt;2,"Deficiente")</f>
        <v>Excelente</v>
      </c>
      <c r="Z833" t="str">
        <f>IF(AND(R833&lt;2,Q833&gt;=100),"Revisar","OK")</f>
        <v>OK</v>
      </c>
      <c r="AA833" s="55">
        <f>_xlfn.XLOOKUP(C833,'Preguntas de negocio'!$C$114:$C$119,'Preguntas de negocio'!$D$114:$D$119,0)</f>
        <v>5.5</v>
      </c>
      <c r="AB833" s="55">
        <f>VLOOKUP(C833,'Preguntas de negocio'!$C$121:$D$127,2,FALSE)</f>
        <v>0.65</v>
      </c>
    </row>
    <row r="834" spans="1:28" x14ac:dyDescent="0.3">
      <c r="A834" s="1">
        <v>46015</v>
      </c>
      <c r="B834" s="2" t="s">
        <v>2624</v>
      </c>
      <c r="C834" s="2" t="s">
        <v>2515</v>
      </c>
      <c r="D834" s="2" t="s">
        <v>2531</v>
      </c>
      <c r="E834" s="2" t="s">
        <v>2529</v>
      </c>
      <c r="F834" s="3">
        <v>90953</v>
      </c>
      <c r="G834" s="3">
        <v>5395</v>
      </c>
      <c r="H834" s="3">
        <v>715</v>
      </c>
      <c r="I834" s="4">
        <v>11158.91</v>
      </c>
      <c r="J834" s="4">
        <v>37462.21</v>
      </c>
      <c r="K834" s="3">
        <v>639</v>
      </c>
      <c r="L834" s="2" t="s">
        <v>2536</v>
      </c>
      <c r="M834" s="2" t="s">
        <v>2526</v>
      </c>
      <c r="N834" s="8">
        <f>IFERROR(G834/F834,0)</f>
        <v>5.9316350202852024E-2</v>
      </c>
      <c r="O834" s="8">
        <f>IFERROR(H834/G834,0)</f>
        <v>0.13253012048192772</v>
      </c>
      <c r="P834" s="4">
        <f>IFERROR(I834/G834,0)</f>
        <v>2.0683799814643189</v>
      </c>
      <c r="Q834" s="4">
        <f>IFERROR(I834/H834,0)</f>
        <v>15.606867132867132</v>
      </c>
      <c r="R834" s="12">
        <f>IFERROR(J834/I834,0)</f>
        <v>3.3571567473884096</v>
      </c>
      <c r="S834" s="7">
        <f>Tabla_nuevas_columnas[[#This Row],[ROAS]]</f>
        <v>3.3571567473884096</v>
      </c>
      <c r="T834" t="str">
        <f>_xlfn.CONCAT(C834,"-",D834)</f>
        <v>Email-Portugal</v>
      </c>
      <c r="U834">
        <f>YEAR(A834)</f>
        <v>2025</v>
      </c>
      <c r="V834">
        <f>MONTH(A834)</f>
        <v>12</v>
      </c>
      <c r="W834" t="str">
        <f>PROPER(TEXT(A834,"mmmm"))</f>
        <v>Diciembre</v>
      </c>
      <c r="X834" t="str">
        <f>PROPER(TEXT(A834,"dddd"))</f>
        <v>Miércoles</v>
      </c>
      <c r="Y834" t="str" cm="1">
        <f t="array" ref="Y834">_xlfn.IFS(R834&gt;10,"Excelente",R834&gt;=5,"Bueno",R834&gt;=2,"Débil",R834&lt;2,"Deficiente")</f>
        <v>Débil</v>
      </c>
      <c r="Z834" t="str">
        <f>IF(AND(R834&lt;2,Q834&gt;=100),"Revisar","OK")</f>
        <v>OK</v>
      </c>
      <c r="AA834" s="55">
        <f>_xlfn.XLOOKUP(C834,'Preguntas de negocio'!$C$114:$C$119,'Preguntas de negocio'!$D$114:$D$119,0)</f>
        <v>5.5</v>
      </c>
      <c r="AB834" s="55">
        <f>VLOOKUP(C834,'Preguntas de negocio'!$C$121:$D$127,2,FALSE)</f>
        <v>0.65</v>
      </c>
    </row>
    <row r="835" spans="1:28" x14ac:dyDescent="0.3">
      <c r="A835" s="1">
        <v>45777</v>
      </c>
      <c r="B835" s="2" t="s">
        <v>2619</v>
      </c>
      <c r="C835" s="2" t="s">
        <v>2515</v>
      </c>
      <c r="D835" s="2" t="s">
        <v>2531</v>
      </c>
      <c r="E835" s="2" t="s">
        <v>2517</v>
      </c>
      <c r="F835" s="3">
        <v>136154</v>
      </c>
      <c r="G835" s="3">
        <v>11781</v>
      </c>
      <c r="H835" s="3">
        <v>1109</v>
      </c>
      <c r="I835" s="4">
        <v>13673.61</v>
      </c>
      <c r="J835" s="4">
        <v>227706.76</v>
      </c>
      <c r="K835" s="3">
        <v>554</v>
      </c>
      <c r="L835" s="2" t="s">
        <v>2539</v>
      </c>
      <c r="M835" s="2" t="s">
        <v>2526</v>
      </c>
      <c r="N835" s="8">
        <f>IFERROR(G835/F835,0)</f>
        <v>8.6527020873422747E-2</v>
      </c>
      <c r="O835" s="8">
        <f>IFERROR(H835/G835,0)</f>
        <v>9.4134623546388255E-2</v>
      </c>
      <c r="P835" s="4">
        <f>IFERROR(I835/G835,0)</f>
        <v>1.1606493506493507</v>
      </c>
      <c r="Q835" s="4">
        <f>IFERROR(I835/H835,0)</f>
        <v>12.329675383228134</v>
      </c>
      <c r="R835" s="12">
        <f>IFERROR(J835/I835,0)</f>
        <v>16.653009702631564</v>
      </c>
      <c r="S835" s="7">
        <f>Tabla_nuevas_columnas[[#This Row],[ROAS]]</f>
        <v>16.653009702631564</v>
      </c>
      <c r="T835" t="str">
        <f>_xlfn.CONCAT(C835,"-",D835)</f>
        <v>Email-Portugal</v>
      </c>
      <c r="U835">
        <f>YEAR(A835)</f>
        <v>2025</v>
      </c>
      <c r="V835">
        <f>MONTH(A835)</f>
        <v>4</v>
      </c>
      <c r="W835" t="str">
        <f>PROPER(TEXT(A835,"mmmm"))</f>
        <v>Abril</v>
      </c>
      <c r="X835" t="str">
        <f>PROPER(TEXT(A835,"dddd"))</f>
        <v>Miércoles</v>
      </c>
      <c r="Y835" t="str" cm="1">
        <f t="array" ref="Y835">_xlfn.IFS(R835&gt;10,"Excelente",R835&gt;=5,"Bueno",R835&gt;=2,"Débil",R835&lt;2,"Deficiente")</f>
        <v>Excelente</v>
      </c>
      <c r="Z835" t="str">
        <f>IF(AND(R835&lt;2,Q835&gt;=100),"Revisar","OK")</f>
        <v>OK</v>
      </c>
      <c r="AA835" s="55">
        <f>_xlfn.XLOOKUP(C835,'Preguntas de negocio'!$C$114:$C$119,'Preguntas de negocio'!$D$114:$D$119,0)</f>
        <v>5.5</v>
      </c>
      <c r="AB835" s="55">
        <f>VLOOKUP(C835,'Preguntas de negocio'!$C$121:$D$127,2,FALSE)</f>
        <v>0.65</v>
      </c>
    </row>
    <row r="836" spans="1:28" x14ac:dyDescent="0.3">
      <c r="A836" s="1">
        <v>46005</v>
      </c>
      <c r="B836" s="2" t="s">
        <v>2632</v>
      </c>
      <c r="C836" s="2" t="s">
        <v>2515</v>
      </c>
      <c r="D836" s="2" t="s">
        <v>2528</v>
      </c>
      <c r="E836" s="2" t="s">
        <v>2517</v>
      </c>
      <c r="F836" s="3">
        <v>36173</v>
      </c>
      <c r="G836" s="3">
        <v>2830</v>
      </c>
      <c r="H836" s="3">
        <v>67</v>
      </c>
      <c r="I836" s="4">
        <v>2190.9299999999998</v>
      </c>
      <c r="J836" s="4">
        <v>13302.99</v>
      </c>
      <c r="K836" s="3">
        <v>45</v>
      </c>
      <c r="L836" s="2" t="s">
        <v>2536</v>
      </c>
      <c r="M836" s="2" t="s">
        <v>2537</v>
      </c>
      <c r="N836" s="8">
        <f>IFERROR(G836/F836,0)</f>
        <v>7.8235147762143034E-2</v>
      </c>
      <c r="O836" s="8">
        <f>IFERROR(H836/G836,0)</f>
        <v>2.3674911660777384E-2</v>
      </c>
      <c r="P836" s="4">
        <f>IFERROR(I836/G836,0)</f>
        <v>0.77418021201413423</v>
      </c>
      <c r="Q836" s="4">
        <f>IFERROR(I836/H836,0)</f>
        <v>32.700447761194027</v>
      </c>
      <c r="R836" s="12">
        <f>IFERROR(J836/I836,0)</f>
        <v>6.0718462022976549</v>
      </c>
      <c r="S836" s="7">
        <f>Tabla_nuevas_columnas[[#This Row],[ROAS]]</f>
        <v>6.0718462022976549</v>
      </c>
      <c r="T836" t="str">
        <f>_xlfn.CONCAT(C836,"-",D836)</f>
        <v>Email-España</v>
      </c>
      <c r="U836">
        <f>YEAR(A836)</f>
        <v>2025</v>
      </c>
      <c r="V836">
        <f>MONTH(A836)</f>
        <v>12</v>
      </c>
      <c r="W836" t="str">
        <f>PROPER(TEXT(A836,"mmmm"))</f>
        <v>Diciembre</v>
      </c>
      <c r="X836" t="str">
        <f>PROPER(TEXT(A836,"dddd"))</f>
        <v>Domingo</v>
      </c>
      <c r="Y836" t="str" cm="1">
        <f t="array" ref="Y836">_xlfn.IFS(R836&gt;10,"Excelente",R836&gt;=5,"Bueno",R836&gt;=2,"Débil",R836&lt;2,"Deficiente")</f>
        <v>Bueno</v>
      </c>
      <c r="Z836" t="str">
        <f>IF(AND(R836&lt;2,Q836&gt;=100),"Revisar","OK")</f>
        <v>OK</v>
      </c>
      <c r="AA836" s="55">
        <f>_xlfn.XLOOKUP(C836,'Preguntas de negocio'!$C$114:$C$119,'Preguntas de negocio'!$D$114:$D$119,0)</f>
        <v>5.5</v>
      </c>
      <c r="AB836" s="55">
        <f>VLOOKUP(C836,'Preguntas de negocio'!$C$121:$D$127,2,FALSE)</f>
        <v>0.65</v>
      </c>
    </row>
    <row r="837" spans="1:28" x14ac:dyDescent="0.3">
      <c r="A837" s="1">
        <v>45893</v>
      </c>
      <c r="B837" s="2" t="s">
        <v>2617</v>
      </c>
      <c r="C837" s="2" t="s">
        <v>2521</v>
      </c>
      <c r="D837" s="2" t="s">
        <v>2522</v>
      </c>
      <c r="E837" s="2" t="s">
        <v>2529</v>
      </c>
      <c r="F837" s="3">
        <v>11146</v>
      </c>
      <c r="G837" s="3">
        <v>296</v>
      </c>
      <c r="H837" s="3">
        <v>35</v>
      </c>
      <c r="I837" s="4">
        <v>276.81</v>
      </c>
      <c r="J837" s="4">
        <v>1864.13</v>
      </c>
      <c r="K837" s="3">
        <v>24</v>
      </c>
      <c r="L837" s="2" t="s">
        <v>2518</v>
      </c>
      <c r="M837" s="2" t="s">
        <v>2537</v>
      </c>
      <c r="N837" s="8">
        <f>IFERROR(G837/F837,0)</f>
        <v>2.6556612237574016E-2</v>
      </c>
      <c r="O837" s="8">
        <f>IFERROR(H837/G837,0)</f>
        <v>0.11824324324324324</v>
      </c>
      <c r="P837" s="4">
        <f>IFERROR(I837/G837,0)</f>
        <v>0.93516891891891896</v>
      </c>
      <c r="Q837" s="4">
        <f>IFERROR(I837/H837,0)</f>
        <v>7.9088571428571433</v>
      </c>
      <c r="R837" s="12">
        <f>IFERROR(J837/I837,0)</f>
        <v>6.7343304071384704</v>
      </c>
      <c r="S837" s="7">
        <f>Tabla_nuevas_columnas[[#This Row],[ROAS]]</f>
        <v>6.7343304071384704</v>
      </c>
      <c r="T837" t="str">
        <f>_xlfn.CONCAT(C837,"-",D837)</f>
        <v>Paid Search-Italia</v>
      </c>
      <c r="U837">
        <f>YEAR(A837)</f>
        <v>2025</v>
      </c>
      <c r="V837">
        <f>MONTH(A837)</f>
        <v>8</v>
      </c>
      <c r="W837" t="str">
        <f>PROPER(TEXT(A837,"mmmm"))</f>
        <v>Agosto</v>
      </c>
      <c r="X837" t="str">
        <f>PROPER(TEXT(A837,"dddd"))</f>
        <v>Domingo</v>
      </c>
      <c r="Y837" t="str" cm="1">
        <f t="array" ref="Y837">_xlfn.IFS(R837&gt;10,"Excelente",R837&gt;=5,"Bueno",R837&gt;=2,"Débil",R837&lt;2,"Deficiente")</f>
        <v>Bueno</v>
      </c>
      <c r="Z837" t="str">
        <f>IF(AND(R837&lt;2,Q837&gt;=100),"Revisar","OK")</f>
        <v>OK</v>
      </c>
      <c r="AA837" s="55">
        <f>_xlfn.XLOOKUP(C837,'Preguntas de negocio'!$C$114:$C$119,'Preguntas de negocio'!$D$114:$D$119,0)</f>
        <v>5</v>
      </c>
      <c r="AB837" s="55">
        <f>VLOOKUP(C837,'Preguntas de negocio'!$C$121:$D$127,2,FALSE)</f>
        <v>1.1000000000000001</v>
      </c>
    </row>
    <row r="838" spans="1:28" x14ac:dyDescent="0.3">
      <c r="A838" s="1">
        <v>45798</v>
      </c>
      <c r="B838" s="2" t="s">
        <v>2617</v>
      </c>
      <c r="C838" s="2" t="s">
        <v>2543</v>
      </c>
      <c r="D838" s="2" t="s">
        <v>2531</v>
      </c>
      <c r="E838" s="2" t="s">
        <v>2517</v>
      </c>
      <c r="F838" s="3">
        <v>66119</v>
      </c>
      <c r="G838" s="3">
        <v>3177</v>
      </c>
      <c r="H838" s="3">
        <v>153</v>
      </c>
      <c r="I838" s="4">
        <v>897.84</v>
      </c>
      <c r="J838" s="4">
        <v>14228.85</v>
      </c>
      <c r="K838" s="3">
        <v>117</v>
      </c>
      <c r="L838" s="2" t="s">
        <v>2518</v>
      </c>
      <c r="M838" s="2" t="s">
        <v>2546</v>
      </c>
      <c r="N838" s="8">
        <f>IFERROR(G838/F838,0)</f>
        <v>4.8049728519790079E-2</v>
      </c>
      <c r="O838" s="8">
        <f>IFERROR(H838/G838,0)</f>
        <v>4.8158640226628892E-2</v>
      </c>
      <c r="P838" s="4">
        <f>IFERROR(I838/G838,0)</f>
        <v>0.28260623229461757</v>
      </c>
      <c r="Q838" s="4">
        <f>IFERROR(I838/H838,0)</f>
        <v>5.868235294117647</v>
      </c>
      <c r="R838" s="12">
        <f>IFERROR(J838/I838,0)</f>
        <v>15.847868217054263</v>
      </c>
      <c r="S838" s="7">
        <f>Tabla_nuevas_columnas[[#This Row],[ROAS]]</f>
        <v>15.847868217054263</v>
      </c>
      <c r="T838" t="str">
        <f>_xlfn.CONCAT(C838,"-",D838)</f>
        <v>Organic Social-Portugal</v>
      </c>
      <c r="U838">
        <f>YEAR(A838)</f>
        <v>2025</v>
      </c>
      <c r="V838">
        <f>MONTH(A838)</f>
        <v>5</v>
      </c>
      <c r="W838" t="str">
        <f>PROPER(TEXT(A838,"mmmm"))</f>
        <v>Mayo</v>
      </c>
      <c r="X838" t="str">
        <f>PROPER(TEXT(A838,"dddd"))</f>
        <v>Miércoles</v>
      </c>
      <c r="Y838" t="str" cm="1">
        <f t="array" ref="Y838">_xlfn.IFS(R838&gt;10,"Excelente",R838&gt;=5,"Bueno",R838&gt;=2,"Débil",R838&lt;2,"Deficiente")</f>
        <v>Excelente</v>
      </c>
      <c r="Z838" t="str">
        <f>IF(AND(R838&lt;2,Q838&gt;=100),"Revisar","OK")</f>
        <v>OK</v>
      </c>
      <c r="AA838" s="55">
        <f>_xlfn.XLOOKUP(C838,'Preguntas de negocio'!$C$114:$C$119,'Preguntas de negocio'!$D$114:$D$119,0)</f>
        <v>4</v>
      </c>
      <c r="AB838" s="55">
        <f>VLOOKUP(C838,'Preguntas de negocio'!$C$121:$D$127,2,FALSE)</f>
        <v>0.95</v>
      </c>
    </row>
    <row r="839" spans="1:28" x14ac:dyDescent="0.3">
      <c r="A839" s="1">
        <v>45950</v>
      </c>
      <c r="B839" s="2" t="s">
        <v>2615</v>
      </c>
      <c r="C839" s="2" t="s">
        <v>2533</v>
      </c>
      <c r="D839" s="2" t="s">
        <v>2516</v>
      </c>
      <c r="E839" s="2" t="s">
        <v>2517</v>
      </c>
      <c r="F839" s="3">
        <v>1675</v>
      </c>
      <c r="G839" s="3">
        <v>59</v>
      </c>
      <c r="H839" s="3">
        <v>3</v>
      </c>
      <c r="I839" s="4">
        <v>17.07</v>
      </c>
      <c r="J839" s="4">
        <v>592.82000000000005</v>
      </c>
      <c r="K839" s="3">
        <v>2</v>
      </c>
      <c r="L839" s="2" t="s">
        <v>2523</v>
      </c>
      <c r="M839" s="2" t="s">
        <v>2645</v>
      </c>
      <c r="N839" s="8">
        <f>IFERROR(G839/F839,0)</f>
        <v>3.5223880597014923E-2</v>
      </c>
      <c r="O839" s="8">
        <f>IFERROR(H839/G839,0)</f>
        <v>5.0847457627118647E-2</v>
      </c>
      <c r="P839" s="4">
        <f>IFERROR(I839/G839,0)</f>
        <v>0.28932203389830508</v>
      </c>
      <c r="Q839" s="4">
        <f>IFERROR(I839/H839,0)</f>
        <v>5.69</v>
      </c>
      <c r="R839" s="12">
        <f>IFERROR(J839/I839,0)</f>
        <v>34.728763913298188</v>
      </c>
      <c r="S839" s="7">
        <f>Tabla_nuevas_columnas[[#This Row],[ROAS]]</f>
        <v>34.728763913298188</v>
      </c>
      <c r="T839" t="str">
        <f>_xlfn.CONCAT(C839,"-",D839)</f>
        <v>Paid Social-México</v>
      </c>
      <c r="U839">
        <f>YEAR(A839)</f>
        <v>2025</v>
      </c>
      <c r="V839">
        <f>MONTH(A839)</f>
        <v>10</v>
      </c>
      <c r="W839" t="str">
        <f>PROPER(TEXT(A839,"mmmm"))</f>
        <v>Octubre</v>
      </c>
      <c r="X839" t="str">
        <f>PROPER(TEXT(A839,"dddd"))</f>
        <v>Lunes</v>
      </c>
      <c r="Y839" t="str" cm="1">
        <f t="array" ref="Y839">_xlfn.IFS(R839&gt;10,"Excelente",R839&gt;=5,"Bueno",R839&gt;=2,"Débil",R839&lt;2,"Deficiente")</f>
        <v>Excelente</v>
      </c>
      <c r="Z839" t="str">
        <f>IF(AND(R839&lt;2,Q839&gt;=100),"Revisar","OK")</f>
        <v>OK</v>
      </c>
      <c r="AA839" s="55">
        <f>_xlfn.XLOOKUP(C839,'Preguntas de negocio'!$C$114:$C$119,'Preguntas de negocio'!$D$114:$D$119,0)</f>
        <v>6</v>
      </c>
      <c r="AB839" s="55">
        <f>VLOOKUP(C839,'Preguntas de negocio'!$C$121:$D$127,2,FALSE)</f>
        <v>0.8</v>
      </c>
    </row>
    <row r="840" spans="1:28" x14ac:dyDescent="0.3">
      <c r="A840" s="1">
        <v>45818</v>
      </c>
      <c r="B840" s="2" t="s">
        <v>2617</v>
      </c>
      <c r="C840" s="2" t="s">
        <v>2527</v>
      </c>
      <c r="D840" s="2" t="s">
        <v>2531</v>
      </c>
      <c r="E840" s="2" t="s">
        <v>2517</v>
      </c>
      <c r="F840" s="3">
        <v>77309</v>
      </c>
      <c r="G840" s="3">
        <v>3137</v>
      </c>
      <c r="H840" s="3">
        <v>244</v>
      </c>
      <c r="I840" s="4">
        <v>5708.27</v>
      </c>
      <c r="J840" s="4">
        <v>8405.91</v>
      </c>
      <c r="K840" s="3">
        <v>138</v>
      </c>
      <c r="L840" s="2" t="s">
        <v>2523</v>
      </c>
      <c r="M840" s="2" t="s">
        <v>2519</v>
      </c>
      <c r="N840" s="8">
        <f>IFERROR(G840/F840,0)</f>
        <v>4.0577423068465505E-2</v>
      </c>
      <c r="O840" s="8">
        <f>IFERROR(H840/G840,0)</f>
        <v>7.7781319732228238E-2</v>
      </c>
      <c r="P840" s="4">
        <f>IFERROR(I840/G840,0)</f>
        <v>1.8196589097864202</v>
      </c>
      <c r="Q840" s="4">
        <f>IFERROR(I840/H840,0)</f>
        <v>23.394549180327871</v>
      </c>
      <c r="R840" s="12">
        <f>IFERROR(J840/I840,0)</f>
        <v>1.4725845133464253</v>
      </c>
      <c r="S840" s="7">
        <f>Tabla_nuevas_columnas[[#This Row],[ROAS]]</f>
        <v>1.4725845133464253</v>
      </c>
      <c r="T840" t="str">
        <f>_xlfn.CONCAT(C840,"-",D840)</f>
        <v>Affiliate-Portugal</v>
      </c>
      <c r="U840">
        <f>YEAR(A840)</f>
        <v>2025</v>
      </c>
      <c r="V840">
        <f>MONTH(A840)</f>
        <v>6</v>
      </c>
      <c r="W840" t="str">
        <f>PROPER(TEXT(A840,"mmmm"))</f>
        <v>Junio</v>
      </c>
      <c r="X840" t="str">
        <f>PROPER(TEXT(A840,"dddd"))</f>
        <v>Martes</v>
      </c>
      <c r="Y840" t="str" cm="1">
        <f t="array" ref="Y840">_xlfn.IFS(R840&gt;10,"Excelente",R840&gt;=5,"Bueno",R840&gt;=2,"Débil",R840&lt;2,"Deficiente")</f>
        <v>Deficiente</v>
      </c>
      <c r="Z840" t="str">
        <f>IF(AND(R840&lt;2,Q840&gt;=100),"Revisar","OK")</f>
        <v>OK</v>
      </c>
      <c r="AA840" s="55">
        <f>_xlfn.XLOOKUP(C840,'Preguntas de negocio'!$C$114:$C$119,'Preguntas de negocio'!$D$114:$D$119,0)</f>
        <v>4.5</v>
      </c>
      <c r="AB840" s="55">
        <f>VLOOKUP(C840,'Preguntas de negocio'!$C$121:$D$127,2,FALSE)</f>
        <v>0.35</v>
      </c>
    </row>
    <row r="841" spans="1:28" x14ac:dyDescent="0.3">
      <c r="A841" s="1">
        <v>45722</v>
      </c>
      <c r="B841" s="2" t="s">
        <v>2629</v>
      </c>
      <c r="C841" s="2" t="s">
        <v>2543</v>
      </c>
      <c r="D841" s="2" t="s">
        <v>2528</v>
      </c>
      <c r="E841" s="2" t="s">
        <v>2529</v>
      </c>
      <c r="F841" s="3">
        <v>88180</v>
      </c>
      <c r="G841" s="3">
        <v>6410</v>
      </c>
      <c r="H841" s="3">
        <v>757</v>
      </c>
      <c r="I841" s="4">
        <v>6071.06</v>
      </c>
      <c r="J841" s="4">
        <v>97118.14</v>
      </c>
      <c r="K841" s="3">
        <v>610</v>
      </c>
      <c r="L841" s="2" t="s">
        <v>2536</v>
      </c>
      <c r="M841" s="2" t="s">
        <v>2524</v>
      </c>
      <c r="N841" s="8">
        <f>IFERROR(G841/F841,0)</f>
        <v>7.2692220458153781E-2</v>
      </c>
      <c r="O841" s="8">
        <f>IFERROR(H841/G841,0)</f>
        <v>0.11809672386895476</v>
      </c>
      <c r="P841" s="4">
        <f>IFERROR(I841/G841,0)</f>
        <v>0.94712324492979727</v>
      </c>
      <c r="Q841" s="4">
        <f>IFERROR(I841/H841,0)</f>
        <v>8.01989431968296</v>
      </c>
      <c r="R841" s="12">
        <f>IFERROR(J841/I841,0)</f>
        <v>15.99690004710874</v>
      </c>
      <c r="S841" s="7">
        <f>Tabla_nuevas_columnas[[#This Row],[ROAS]]</f>
        <v>15.99690004710874</v>
      </c>
      <c r="T841" t="str">
        <f>_xlfn.CONCAT(C841,"-",D841)</f>
        <v>Organic Social-España</v>
      </c>
      <c r="U841">
        <f>YEAR(A841)</f>
        <v>2025</v>
      </c>
      <c r="V841">
        <f>MONTH(A841)</f>
        <v>3</v>
      </c>
      <c r="W841" t="str">
        <f>PROPER(TEXT(A841,"mmmm"))</f>
        <v>Marzo</v>
      </c>
      <c r="X841" t="str">
        <f>PROPER(TEXT(A841,"dddd"))</f>
        <v>Jueves</v>
      </c>
      <c r="Y841" t="str" cm="1">
        <f t="array" ref="Y841">_xlfn.IFS(R841&gt;10,"Excelente",R841&gt;=5,"Bueno",R841&gt;=2,"Débil",R841&lt;2,"Deficiente")</f>
        <v>Excelente</v>
      </c>
      <c r="Z841" t="str">
        <f>IF(AND(R841&lt;2,Q841&gt;=100),"Revisar","OK")</f>
        <v>OK</v>
      </c>
      <c r="AA841" s="55">
        <f>_xlfn.XLOOKUP(C841,'Preguntas de negocio'!$C$114:$C$119,'Preguntas de negocio'!$D$114:$D$119,0)</f>
        <v>4</v>
      </c>
      <c r="AB841" s="55">
        <f>VLOOKUP(C841,'Preguntas de negocio'!$C$121:$D$127,2,FALSE)</f>
        <v>0.95</v>
      </c>
    </row>
    <row r="842" spans="1:28" x14ac:dyDescent="0.3">
      <c r="A842" s="1">
        <v>45900</v>
      </c>
      <c r="B842" s="2" t="s">
        <v>2632</v>
      </c>
      <c r="C842" s="2" t="s">
        <v>2541</v>
      </c>
      <c r="D842" s="2" t="s">
        <v>2522</v>
      </c>
      <c r="E842" s="2" t="s">
        <v>2529</v>
      </c>
      <c r="F842" s="3">
        <v>37982</v>
      </c>
      <c r="G842" s="3">
        <v>1902</v>
      </c>
      <c r="H842" s="3">
        <v>150</v>
      </c>
      <c r="I842" s="4">
        <v>1068.92</v>
      </c>
      <c r="J842" s="4">
        <v>16097.51</v>
      </c>
      <c r="K842" s="3">
        <v>92</v>
      </c>
      <c r="L842" s="2" t="s">
        <v>2523</v>
      </c>
      <c r="M842" s="2" t="s">
        <v>2645</v>
      </c>
      <c r="N842" s="8">
        <f>IFERROR(G842/F842,0)</f>
        <v>5.0076351956189771E-2</v>
      </c>
      <c r="O842" s="8">
        <f>IFERROR(H842/G842,0)</f>
        <v>7.8864353312302835E-2</v>
      </c>
      <c r="P842" s="4">
        <f>IFERROR(I842/G842,0)</f>
        <v>0.56199789695057834</v>
      </c>
      <c r="Q842" s="4">
        <f>IFERROR(I842/H842,0)</f>
        <v>7.1261333333333337</v>
      </c>
      <c r="R842" s="12">
        <f>IFERROR(J842/I842,0)</f>
        <v>15.059602215320135</v>
      </c>
      <c r="S842" s="7">
        <f>Tabla_nuevas_columnas[[#This Row],[ROAS]]</f>
        <v>15.059602215320135</v>
      </c>
      <c r="T842" t="str">
        <f>_xlfn.CONCAT(C842,"-",D842)</f>
        <v>Display-Italia</v>
      </c>
      <c r="U842">
        <f>YEAR(A842)</f>
        <v>2025</v>
      </c>
      <c r="V842">
        <f>MONTH(A842)</f>
        <v>8</v>
      </c>
      <c r="W842" t="str">
        <f>PROPER(TEXT(A842,"mmmm"))</f>
        <v>Agosto</v>
      </c>
      <c r="X842" t="str">
        <f>PROPER(TEXT(A842,"dddd"))</f>
        <v>Domingo</v>
      </c>
      <c r="Y842" t="str" cm="1">
        <f t="array" ref="Y842">_xlfn.IFS(R842&gt;10,"Excelente",R842&gt;=5,"Bueno",R842&gt;=2,"Débil",R842&lt;2,"Deficiente")</f>
        <v>Excelente</v>
      </c>
      <c r="Z842" t="str">
        <f>IF(AND(R842&lt;2,Q842&gt;=100),"Revisar","OK")</f>
        <v>OK</v>
      </c>
      <c r="AA842" s="55">
        <f>_xlfn.XLOOKUP(C842,'Preguntas de negocio'!$C$114:$C$119,'Preguntas de negocio'!$D$114:$D$119,0)</f>
        <v>5</v>
      </c>
      <c r="AB842" s="55">
        <f>VLOOKUP(C842,'Preguntas de negocio'!$C$121:$D$127,2,FALSE)</f>
        <v>0.5</v>
      </c>
    </row>
    <row r="843" spans="1:28" x14ac:dyDescent="0.3">
      <c r="A843" s="1">
        <v>45724</v>
      </c>
      <c r="B843" s="2" t="s">
        <v>2620</v>
      </c>
      <c r="C843" s="2" t="s">
        <v>2527</v>
      </c>
      <c r="D843" s="2" t="s">
        <v>2528</v>
      </c>
      <c r="E843" s="2" t="s">
        <v>2529</v>
      </c>
      <c r="F843" s="3">
        <v>9246</v>
      </c>
      <c r="G843" s="3">
        <v>562</v>
      </c>
      <c r="H843" s="3">
        <v>42</v>
      </c>
      <c r="I843" s="4">
        <v>1126.03</v>
      </c>
      <c r="J843" s="4">
        <v>3841.58</v>
      </c>
      <c r="K843" s="3">
        <v>28</v>
      </c>
      <c r="L843" s="2" t="s">
        <v>2539</v>
      </c>
      <c r="M843" s="2" t="s">
        <v>2537</v>
      </c>
      <c r="N843" s="8">
        <f>IFERROR(G843/F843,0)</f>
        <v>6.0783041315163315E-2</v>
      </c>
      <c r="O843" s="8">
        <f>IFERROR(H843/G843,0)</f>
        <v>7.4733096085409248E-2</v>
      </c>
      <c r="P843" s="4">
        <f>IFERROR(I843/G843,0)</f>
        <v>2.003612099644128</v>
      </c>
      <c r="Q843" s="4">
        <f>IFERROR(I843/H843,0)</f>
        <v>26.810238095238095</v>
      </c>
      <c r="R843" s="12">
        <f>IFERROR(J843/I843,0)</f>
        <v>3.4116142553928404</v>
      </c>
      <c r="S843" s="7">
        <f>Tabla_nuevas_columnas[[#This Row],[ROAS]]</f>
        <v>3.4116142553928404</v>
      </c>
      <c r="T843" t="str">
        <f>_xlfn.CONCAT(C843,"-",D843)</f>
        <v>Affiliate-España</v>
      </c>
      <c r="U843">
        <f>YEAR(A843)</f>
        <v>2025</v>
      </c>
      <c r="V843">
        <f>MONTH(A843)</f>
        <v>3</v>
      </c>
      <c r="W843" t="str">
        <f>PROPER(TEXT(A843,"mmmm"))</f>
        <v>Marzo</v>
      </c>
      <c r="X843" t="str">
        <f>PROPER(TEXT(A843,"dddd"))</f>
        <v>Sábado</v>
      </c>
      <c r="Y843" t="str" cm="1">
        <f t="array" ref="Y843">_xlfn.IFS(R843&gt;10,"Excelente",R843&gt;=5,"Bueno",R843&gt;=2,"Débil",R843&lt;2,"Deficiente")</f>
        <v>Débil</v>
      </c>
      <c r="Z843" t="str">
        <f>IF(AND(R843&lt;2,Q843&gt;=100),"Revisar","OK")</f>
        <v>OK</v>
      </c>
      <c r="AA843" s="55">
        <f>_xlfn.XLOOKUP(C843,'Preguntas de negocio'!$C$114:$C$119,'Preguntas de negocio'!$D$114:$D$119,0)</f>
        <v>4.5</v>
      </c>
      <c r="AB843" s="55">
        <f>VLOOKUP(C843,'Preguntas de negocio'!$C$121:$D$127,2,FALSE)</f>
        <v>0.35</v>
      </c>
    </row>
    <row r="844" spans="1:28" x14ac:dyDescent="0.3">
      <c r="A844" s="1">
        <v>45762</v>
      </c>
      <c r="B844" s="2" t="s">
        <v>2644</v>
      </c>
      <c r="C844" s="2" t="s">
        <v>2543</v>
      </c>
      <c r="D844" s="2" t="s">
        <v>2516</v>
      </c>
      <c r="E844" s="2" t="s">
        <v>2529</v>
      </c>
      <c r="F844" s="3">
        <v>44820</v>
      </c>
      <c r="G844" s="3">
        <v>1043</v>
      </c>
      <c r="H844" s="3">
        <v>139</v>
      </c>
      <c r="I844" s="4">
        <v>1558.12</v>
      </c>
      <c r="J844" s="4">
        <v>10402.969999999999</v>
      </c>
      <c r="K844" s="3">
        <v>77</v>
      </c>
      <c r="L844" s="2" t="s">
        <v>2536</v>
      </c>
      <c r="M844" s="2" t="s">
        <v>2519</v>
      </c>
      <c r="N844" s="8">
        <f>IFERROR(G844/F844,0)</f>
        <v>2.327086122266845E-2</v>
      </c>
      <c r="O844" s="8">
        <f>IFERROR(H844/G844,0)</f>
        <v>0.13326941514860979</v>
      </c>
      <c r="P844" s="4">
        <f>IFERROR(I844/G844,0)</f>
        <v>1.4938830297219559</v>
      </c>
      <c r="Q844" s="4">
        <f>IFERROR(I844/H844,0)</f>
        <v>11.209496402877697</v>
      </c>
      <c r="R844" s="12">
        <f>IFERROR(J844/I844,0)</f>
        <v>6.6766166919107643</v>
      </c>
      <c r="S844" s="7">
        <f>Tabla_nuevas_columnas[[#This Row],[ROAS]]</f>
        <v>6.6766166919107643</v>
      </c>
      <c r="T844" t="str">
        <f>_xlfn.CONCAT(C844,"-",D844)</f>
        <v>Organic Social-México</v>
      </c>
      <c r="U844">
        <f>YEAR(A844)</f>
        <v>2025</v>
      </c>
      <c r="V844">
        <f>MONTH(A844)</f>
        <v>4</v>
      </c>
      <c r="W844" t="str">
        <f>PROPER(TEXT(A844,"mmmm"))</f>
        <v>Abril</v>
      </c>
      <c r="X844" t="str">
        <f>PROPER(TEXT(A844,"dddd"))</f>
        <v>Martes</v>
      </c>
      <c r="Y844" t="str" cm="1">
        <f t="array" ref="Y844">_xlfn.IFS(R844&gt;10,"Excelente",R844&gt;=5,"Bueno",R844&gt;=2,"Débil",R844&lt;2,"Deficiente")</f>
        <v>Bueno</v>
      </c>
      <c r="Z844" t="str">
        <f>IF(AND(R844&lt;2,Q844&gt;=100),"Revisar","OK")</f>
        <v>OK</v>
      </c>
      <c r="AA844" s="55">
        <f>_xlfn.XLOOKUP(C844,'Preguntas de negocio'!$C$114:$C$119,'Preguntas de negocio'!$D$114:$D$119,0)</f>
        <v>4</v>
      </c>
      <c r="AB844" s="55">
        <f>VLOOKUP(C844,'Preguntas de negocio'!$C$121:$D$127,2,FALSE)</f>
        <v>0.95</v>
      </c>
    </row>
    <row r="845" spans="1:28" x14ac:dyDescent="0.3">
      <c r="A845" s="1">
        <v>45832</v>
      </c>
      <c r="B845" s="2" t="s">
        <v>2621</v>
      </c>
      <c r="C845" s="2" t="s">
        <v>2543</v>
      </c>
      <c r="D845" s="2" t="s">
        <v>2528</v>
      </c>
      <c r="E845" s="2" t="s">
        <v>2529</v>
      </c>
      <c r="F845" s="3">
        <v>54112</v>
      </c>
      <c r="G845" s="3">
        <v>1455</v>
      </c>
      <c r="H845" s="3">
        <v>50</v>
      </c>
      <c r="I845" s="4">
        <v>1043.8699999999999</v>
      </c>
      <c r="J845" s="4">
        <v>7731.54</v>
      </c>
      <c r="K845" s="3">
        <v>23</v>
      </c>
      <c r="L845" s="2" t="s">
        <v>2536</v>
      </c>
      <c r="M845" s="2" t="s">
        <v>2546</v>
      </c>
      <c r="N845" s="8">
        <f>IFERROR(G845/F845,0)</f>
        <v>2.6888675340035483E-2</v>
      </c>
      <c r="O845" s="8">
        <f>IFERROR(H845/G845,0)</f>
        <v>3.4364261168384883E-2</v>
      </c>
      <c r="P845" s="4">
        <f>IFERROR(I845/G845,0)</f>
        <v>0.71743642611683844</v>
      </c>
      <c r="Q845" s="4">
        <f>IFERROR(I845/H845,0)</f>
        <v>20.877399999999998</v>
      </c>
      <c r="R845" s="12">
        <f>IFERROR(J845/I845,0)</f>
        <v>7.4066119344362811</v>
      </c>
      <c r="S845" s="7">
        <f>Tabla_nuevas_columnas[[#This Row],[ROAS]]</f>
        <v>7.4066119344362811</v>
      </c>
      <c r="T845" t="str">
        <f>_xlfn.CONCAT(C845,"-",D845)</f>
        <v>Organic Social-España</v>
      </c>
      <c r="U845">
        <f>YEAR(A845)</f>
        <v>2025</v>
      </c>
      <c r="V845">
        <f>MONTH(A845)</f>
        <v>6</v>
      </c>
      <c r="W845" t="str">
        <f>PROPER(TEXT(A845,"mmmm"))</f>
        <v>Junio</v>
      </c>
      <c r="X845" t="str">
        <f>PROPER(TEXT(A845,"dddd"))</f>
        <v>Martes</v>
      </c>
      <c r="Y845" t="str" cm="1">
        <f t="array" ref="Y845">_xlfn.IFS(R845&gt;10,"Excelente",R845&gt;=5,"Bueno",R845&gt;=2,"Débil",R845&lt;2,"Deficiente")</f>
        <v>Bueno</v>
      </c>
      <c r="Z845" t="str">
        <f>IF(AND(R845&lt;2,Q845&gt;=100),"Revisar","OK")</f>
        <v>OK</v>
      </c>
      <c r="AA845" s="55">
        <f>_xlfn.XLOOKUP(C845,'Preguntas de negocio'!$C$114:$C$119,'Preguntas de negocio'!$D$114:$D$119,0)</f>
        <v>4</v>
      </c>
      <c r="AB845" s="55">
        <f>VLOOKUP(C845,'Preguntas de negocio'!$C$121:$D$127,2,FALSE)</f>
        <v>0.95</v>
      </c>
    </row>
    <row r="846" spans="1:28" x14ac:dyDescent="0.3">
      <c r="A846" s="1">
        <v>45791</v>
      </c>
      <c r="B846" s="2" t="s">
        <v>2623</v>
      </c>
      <c r="C846" s="2" t="s">
        <v>2543</v>
      </c>
      <c r="D846" s="2" t="s">
        <v>2522</v>
      </c>
      <c r="E846" s="2" t="s">
        <v>2517</v>
      </c>
      <c r="F846" s="3">
        <v>131864</v>
      </c>
      <c r="G846" s="3">
        <v>1760</v>
      </c>
      <c r="H846" s="3">
        <v>141</v>
      </c>
      <c r="I846" s="4">
        <v>1242.8599999999999</v>
      </c>
      <c r="J846" s="4">
        <v>10347.379999999999</v>
      </c>
      <c r="K846" s="3">
        <v>65</v>
      </c>
      <c r="L846" s="2" t="s">
        <v>2523</v>
      </c>
      <c r="M846" s="2" t="s">
        <v>2519</v>
      </c>
      <c r="N846" s="8">
        <f>IFERROR(G846/F846,0)</f>
        <v>1.3347084875326093E-2</v>
      </c>
      <c r="O846" s="8">
        <f>IFERROR(H846/G846,0)</f>
        <v>8.0113636363636359E-2</v>
      </c>
      <c r="P846" s="4">
        <f>IFERROR(I846/G846,0)</f>
        <v>0.70617045454545446</v>
      </c>
      <c r="Q846" s="4">
        <f>IFERROR(I846/H846,0)</f>
        <v>8.8146099290780136</v>
      </c>
      <c r="R846" s="12">
        <f>IFERROR(J846/I846,0)</f>
        <v>8.3254590219332822</v>
      </c>
      <c r="S846" s="7">
        <f>Tabla_nuevas_columnas[[#This Row],[ROAS]]</f>
        <v>8.3254590219332822</v>
      </c>
      <c r="T846" t="str">
        <f>_xlfn.CONCAT(C846,"-",D846)</f>
        <v>Organic Social-Italia</v>
      </c>
      <c r="U846">
        <f>YEAR(A846)</f>
        <v>2025</v>
      </c>
      <c r="V846">
        <f>MONTH(A846)</f>
        <v>5</v>
      </c>
      <c r="W846" t="str">
        <f>PROPER(TEXT(A846,"mmmm"))</f>
        <v>Mayo</v>
      </c>
      <c r="X846" t="str">
        <f>PROPER(TEXT(A846,"dddd"))</f>
        <v>Miércoles</v>
      </c>
      <c r="Y846" t="str" cm="1">
        <f t="array" ref="Y846">_xlfn.IFS(R846&gt;10,"Excelente",R846&gt;=5,"Bueno",R846&gt;=2,"Débil",R846&lt;2,"Deficiente")</f>
        <v>Bueno</v>
      </c>
      <c r="Z846" t="str">
        <f>IF(AND(R846&lt;2,Q846&gt;=100),"Revisar","OK")</f>
        <v>OK</v>
      </c>
      <c r="AA846" s="55">
        <f>_xlfn.XLOOKUP(C846,'Preguntas de negocio'!$C$114:$C$119,'Preguntas de negocio'!$D$114:$D$119,0)</f>
        <v>4</v>
      </c>
      <c r="AB846" s="55">
        <f>VLOOKUP(C846,'Preguntas de negocio'!$C$121:$D$127,2,FALSE)</f>
        <v>0.95</v>
      </c>
    </row>
    <row r="847" spans="1:28" x14ac:dyDescent="0.3">
      <c r="A847" s="1">
        <v>45975</v>
      </c>
      <c r="B847" s="2" t="s">
        <v>2623</v>
      </c>
      <c r="C847" s="2" t="s">
        <v>2515</v>
      </c>
      <c r="D847" s="2" t="s">
        <v>2531</v>
      </c>
      <c r="E847" s="2" t="s">
        <v>2517</v>
      </c>
      <c r="F847" s="3">
        <v>19051</v>
      </c>
      <c r="G847" s="3">
        <v>1662</v>
      </c>
      <c r="H847" s="3">
        <v>166</v>
      </c>
      <c r="I847" s="4">
        <v>2489.13</v>
      </c>
      <c r="J847" s="4">
        <v>29045.29</v>
      </c>
      <c r="K847" s="3">
        <v>91</v>
      </c>
      <c r="L847" s="2" t="s">
        <v>2539</v>
      </c>
      <c r="M847" s="2" t="s">
        <v>2519</v>
      </c>
      <c r="N847" s="8">
        <f>IFERROR(G847/F847,0)</f>
        <v>8.7239514986089964E-2</v>
      </c>
      <c r="O847" s="8">
        <f>IFERROR(H847/G847,0)</f>
        <v>9.9879663056558363E-2</v>
      </c>
      <c r="P847" s="4">
        <f>IFERROR(I847/G847,0)</f>
        <v>1.4976714801444044</v>
      </c>
      <c r="Q847" s="4">
        <f>IFERROR(I847/H847,0)</f>
        <v>14.994759036144579</v>
      </c>
      <c r="R847" s="12">
        <f>IFERROR(J847/I847,0)</f>
        <v>11.668852169231819</v>
      </c>
      <c r="S847" s="7">
        <f>Tabla_nuevas_columnas[[#This Row],[ROAS]]</f>
        <v>11.668852169231819</v>
      </c>
      <c r="T847" t="str">
        <f>_xlfn.CONCAT(C847,"-",D847)</f>
        <v>Email-Portugal</v>
      </c>
      <c r="U847">
        <f>YEAR(A847)</f>
        <v>2025</v>
      </c>
      <c r="V847">
        <f>MONTH(A847)</f>
        <v>11</v>
      </c>
      <c r="W847" t="str">
        <f>PROPER(TEXT(A847,"mmmm"))</f>
        <v>Noviembre</v>
      </c>
      <c r="X847" t="str">
        <f>PROPER(TEXT(A847,"dddd"))</f>
        <v>Viernes</v>
      </c>
      <c r="Y847" t="str" cm="1">
        <f t="array" ref="Y847">_xlfn.IFS(R847&gt;10,"Excelente",R847&gt;=5,"Bueno",R847&gt;=2,"Débil",R847&lt;2,"Deficiente")</f>
        <v>Excelente</v>
      </c>
      <c r="Z847" t="str">
        <f>IF(AND(R847&lt;2,Q847&gt;=100),"Revisar","OK")</f>
        <v>OK</v>
      </c>
      <c r="AA847" s="55">
        <f>_xlfn.XLOOKUP(C847,'Preguntas de negocio'!$C$114:$C$119,'Preguntas de negocio'!$D$114:$D$119,0)</f>
        <v>5.5</v>
      </c>
      <c r="AB847" s="55">
        <f>VLOOKUP(C847,'Preguntas de negocio'!$C$121:$D$127,2,FALSE)</f>
        <v>0.65</v>
      </c>
    </row>
    <row r="848" spans="1:28" x14ac:dyDescent="0.3">
      <c r="A848" s="1">
        <v>45904</v>
      </c>
      <c r="B848" s="2" t="s">
        <v>2631</v>
      </c>
      <c r="C848" s="2" t="s">
        <v>2543</v>
      </c>
      <c r="D848" s="2" t="s">
        <v>2528</v>
      </c>
      <c r="E848" s="2" t="s">
        <v>2517</v>
      </c>
      <c r="F848" s="3">
        <v>57687</v>
      </c>
      <c r="G848" s="3">
        <v>5019</v>
      </c>
      <c r="H848" s="3">
        <v>428</v>
      </c>
      <c r="I848" s="4">
        <v>5643.36</v>
      </c>
      <c r="J848" s="4">
        <v>53885.3</v>
      </c>
      <c r="K848" s="3">
        <v>220</v>
      </c>
      <c r="L848" s="2" t="s">
        <v>2518</v>
      </c>
      <c r="M848" s="2" t="s">
        <v>2537</v>
      </c>
      <c r="N848" s="8">
        <f>IFERROR(G848/F848,0)</f>
        <v>8.7004004368401888E-2</v>
      </c>
      <c r="O848" s="8">
        <f>IFERROR(H848/G848,0)</f>
        <v>8.5275951384737994E-2</v>
      </c>
      <c r="P848" s="4">
        <f>IFERROR(I848/G848,0)</f>
        <v>1.1243992827256426</v>
      </c>
      <c r="Q848" s="4">
        <f>IFERROR(I848/H848,0)</f>
        <v>13.185420560747662</v>
      </c>
      <c r="R848" s="12">
        <f>IFERROR(J848/I848,0)</f>
        <v>9.5484427716821187</v>
      </c>
      <c r="S848" s="7">
        <f>Tabla_nuevas_columnas[[#This Row],[ROAS]]</f>
        <v>9.5484427716821187</v>
      </c>
      <c r="T848" t="str">
        <f>_xlfn.CONCAT(C848,"-",D848)</f>
        <v>Organic Social-España</v>
      </c>
      <c r="U848">
        <f>YEAR(A848)</f>
        <v>2025</v>
      </c>
      <c r="V848">
        <f>MONTH(A848)</f>
        <v>9</v>
      </c>
      <c r="W848" t="str">
        <f>PROPER(TEXT(A848,"mmmm"))</f>
        <v>Septiembre</v>
      </c>
      <c r="X848" t="str">
        <f>PROPER(TEXT(A848,"dddd"))</f>
        <v>Jueves</v>
      </c>
      <c r="Y848" t="str" cm="1">
        <f t="array" ref="Y848">_xlfn.IFS(R848&gt;10,"Excelente",R848&gt;=5,"Bueno",R848&gt;=2,"Débil",R848&lt;2,"Deficiente")</f>
        <v>Bueno</v>
      </c>
      <c r="Z848" t="str">
        <f>IF(AND(R848&lt;2,Q848&gt;=100),"Revisar","OK")</f>
        <v>OK</v>
      </c>
      <c r="AA848" s="55">
        <f>_xlfn.XLOOKUP(C848,'Preguntas de negocio'!$C$114:$C$119,'Preguntas de negocio'!$D$114:$D$119,0)</f>
        <v>4</v>
      </c>
      <c r="AB848" s="55">
        <f>VLOOKUP(C848,'Preguntas de negocio'!$C$121:$D$127,2,FALSE)</f>
        <v>0.95</v>
      </c>
    </row>
    <row r="849" spans="1:28" x14ac:dyDescent="0.3">
      <c r="A849" s="1">
        <v>46016</v>
      </c>
      <c r="B849" s="2" t="s">
        <v>2625</v>
      </c>
      <c r="C849" s="2" t="s">
        <v>2515</v>
      </c>
      <c r="D849" s="2" t="s">
        <v>2528</v>
      </c>
      <c r="E849" s="2" t="s">
        <v>2517</v>
      </c>
      <c r="F849" s="3">
        <v>33775</v>
      </c>
      <c r="G849" s="3">
        <v>1718</v>
      </c>
      <c r="H849" s="3">
        <v>33</v>
      </c>
      <c r="I849" s="4">
        <v>3476.24</v>
      </c>
      <c r="J849" s="4">
        <v>5848.22</v>
      </c>
      <c r="K849" s="3">
        <v>29</v>
      </c>
      <c r="L849" s="2" t="s">
        <v>2518</v>
      </c>
      <c r="M849" s="2" t="s">
        <v>2546</v>
      </c>
      <c r="N849" s="8">
        <f>IFERROR(G849/F849,0)</f>
        <v>5.0866025166543302E-2</v>
      </c>
      <c r="O849" s="8">
        <f>IFERROR(H849/G849,0)</f>
        <v>1.9208381839348081E-2</v>
      </c>
      <c r="P849" s="4">
        <f>IFERROR(I849/G849,0)</f>
        <v>2.0234225844004654</v>
      </c>
      <c r="Q849" s="4">
        <f>IFERROR(I849/H849,0)</f>
        <v>105.34060606060605</v>
      </c>
      <c r="R849" s="12">
        <f>IFERROR(J849/I849,0)</f>
        <v>1.6823406899408557</v>
      </c>
      <c r="S849" s="7">
        <f>Tabla_nuevas_columnas[[#This Row],[ROAS]]</f>
        <v>1.6823406899408557</v>
      </c>
      <c r="T849" t="str">
        <f>_xlfn.CONCAT(C849,"-",D849)</f>
        <v>Email-España</v>
      </c>
      <c r="U849">
        <f>YEAR(A849)</f>
        <v>2025</v>
      </c>
      <c r="V849">
        <f>MONTH(A849)</f>
        <v>12</v>
      </c>
      <c r="W849" t="str">
        <f>PROPER(TEXT(A849,"mmmm"))</f>
        <v>Diciembre</v>
      </c>
      <c r="X849" t="str">
        <f>PROPER(TEXT(A849,"dddd"))</f>
        <v>Jueves</v>
      </c>
      <c r="Y849" t="str" cm="1">
        <f t="array" ref="Y849">_xlfn.IFS(R849&gt;10,"Excelente",R849&gt;=5,"Bueno",R849&gt;=2,"Débil",R849&lt;2,"Deficiente")</f>
        <v>Deficiente</v>
      </c>
      <c r="Z849" t="str">
        <f>IF(AND(R849&lt;2,Q849&gt;=100),"Revisar","OK")</f>
        <v>Revisar</v>
      </c>
      <c r="AA849" s="55">
        <f>_xlfn.XLOOKUP(C849,'Preguntas de negocio'!$C$114:$C$119,'Preguntas de negocio'!$D$114:$D$119,0)</f>
        <v>5.5</v>
      </c>
      <c r="AB849" s="55">
        <f>VLOOKUP(C849,'Preguntas de negocio'!$C$121:$D$127,2,FALSE)</f>
        <v>0.65</v>
      </c>
    </row>
    <row r="850" spans="1:28" x14ac:dyDescent="0.3">
      <c r="A850" s="1">
        <v>45729</v>
      </c>
      <c r="B850" s="2" t="s">
        <v>2616</v>
      </c>
      <c r="C850" s="2" t="s">
        <v>2527</v>
      </c>
      <c r="D850" s="2" t="s">
        <v>2516</v>
      </c>
      <c r="E850" s="2" t="s">
        <v>2517</v>
      </c>
      <c r="F850" s="3">
        <v>38937</v>
      </c>
      <c r="G850" s="3">
        <v>1630</v>
      </c>
      <c r="H850" s="3">
        <v>140</v>
      </c>
      <c r="I850" s="4">
        <v>1328.45</v>
      </c>
      <c r="J850" s="4">
        <v>6274.01</v>
      </c>
      <c r="K850" s="3">
        <v>104</v>
      </c>
      <c r="L850" s="2" t="s">
        <v>2523</v>
      </c>
      <c r="M850" s="2" t="s">
        <v>2524</v>
      </c>
      <c r="N850" s="8">
        <f>IFERROR(G850/F850,0)</f>
        <v>4.1862495826591677E-2</v>
      </c>
      <c r="O850" s="8">
        <f>IFERROR(H850/G850,0)</f>
        <v>8.5889570552147243E-2</v>
      </c>
      <c r="P850" s="4">
        <f>IFERROR(I850/G850,0)</f>
        <v>0.81500000000000006</v>
      </c>
      <c r="Q850" s="4">
        <f>IFERROR(I850/H850,0)</f>
        <v>9.4889285714285716</v>
      </c>
      <c r="R850" s="12">
        <f>IFERROR(J850/I850,0)</f>
        <v>4.722804772479205</v>
      </c>
      <c r="S850" s="7">
        <f>Tabla_nuevas_columnas[[#This Row],[ROAS]]</f>
        <v>4.722804772479205</v>
      </c>
      <c r="T850" t="str">
        <f>_xlfn.CONCAT(C850,"-",D850)</f>
        <v>Affiliate-México</v>
      </c>
      <c r="U850">
        <f>YEAR(A850)</f>
        <v>2025</v>
      </c>
      <c r="V850">
        <f>MONTH(A850)</f>
        <v>3</v>
      </c>
      <c r="W850" t="str">
        <f>PROPER(TEXT(A850,"mmmm"))</f>
        <v>Marzo</v>
      </c>
      <c r="X850" t="str">
        <f>PROPER(TEXT(A850,"dddd"))</f>
        <v>Jueves</v>
      </c>
      <c r="Y850" t="str" cm="1">
        <f t="array" ref="Y850">_xlfn.IFS(R850&gt;10,"Excelente",R850&gt;=5,"Bueno",R850&gt;=2,"Débil",R850&lt;2,"Deficiente")</f>
        <v>Débil</v>
      </c>
      <c r="Z850" t="str">
        <f>IF(AND(R850&lt;2,Q850&gt;=100),"Revisar","OK")</f>
        <v>OK</v>
      </c>
      <c r="AA850" s="55">
        <f>_xlfn.XLOOKUP(C850,'Preguntas de negocio'!$C$114:$C$119,'Preguntas de negocio'!$D$114:$D$119,0)</f>
        <v>4.5</v>
      </c>
      <c r="AB850" s="55">
        <f>VLOOKUP(C850,'Preguntas de negocio'!$C$121:$D$127,2,FALSE)</f>
        <v>0.35</v>
      </c>
    </row>
    <row r="851" spans="1:28" x14ac:dyDescent="0.3">
      <c r="A851" s="1">
        <v>45865</v>
      </c>
      <c r="B851" s="2" t="s">
        <v>2638</v>
      </c>
      <c r="C851" s="2" t="s">
        <v>2527</v>
      </c>
      <c r="D851" s="2" t="s">
        <v>2522</v>
      </c>
      <c r="E851" s="2" t="s">
        <v>2534</v>
      </c>
      <c r="F851" s="3">
        <v>147535</v>
      </c>
      <c r="G851" s="3">
        <v>3996</v>
      </c>
      <c r="H851" s="3">
        <v>335</v>
      </c>
      <c r="I851" s="4">
        <v>3653.16</v>
      </c>
      <c r="J851" s="4">
        <v>29614.720000000001</v>
      </c>
      <c r="K851" s="3">
        <v>165</v>
      </c>
      <c r="L851" s="2" t="s">
        <v>2523</v>
      </c>
      <c r="M851" s="2" t="s">
        <v>2526</v>
      </c>
      <c r="N851" s="8">
        <f>IFERROR(G851/F851,0)</f>
        <v>2.7085098451214967E-2</v>
      </c>
      <c r="O851" s="8">
        <f>IFERROR(H851/G851,0)</f>
        <v>8.3833833833833832E-2</v>
      </c>
      <c r="P851" s="4">
        <f>IFERROR(I851/G851,0)</f>
        <v>0.91420420420420412</v>
      </c>
      <c r="Q851" s="4">
        <f>IFERROR(I851/H851,0)</f>
        <v>10.904955223880597</v>
      </c>
      <c r="R851" s="12">
        <f>IFERROR(J851/I851,0)</f>
        <v>8.1066035979809268</v>
      </c>
      <c r="S851" s="7">
        <f>Tabla_nuevas_columnas[[#This Row],[ROAS]]</f>
        <v>8.1066035979809268</v>
      </c>
      <c r="T851" t="str">
        <f>_xlfn.CONCAT(C851,"-",D851)</f>
        <v>Affiliate-Italia</v>
      </c>
      <c r="U851">
        <f>YEAR(A851)</f>
        <v>2025</v>
      </c>
      <c r="V851">
        <f>MONTH(A851)</f>
        <v>7</v>
      </c>
      <c r="W851" t="str">
        <f>PROPER(TEXT(A851,"mmmm"))</f>
        <v>Julio</v>
      </c>
      <c r="X851" t="str">
        <f>PROPER(TEXT(A851,"dddd"))</f>
        <v>Domingo</v>
      </c>
      <c r="Y851" t="str" cm="1">
        <f t="array" ref="Y851">_xlfn.IFS(R851&gt;10,"Excelente",R851&gt;=5,"Bueno",R851&gt;=2,"Débil",R851&lt;2,"Deficiente")</f>
        <v>Bueno</v>
      </c>
      <c r="Z851" t="str">
        <f>IF(AND(R851&lt;2,Q851&gt;=100),"Revisar","OK")</f>
        <v>OK</v>
      </c>
      <c r="AA851" s="55">
        <f>_xlfn.XLOOKUP(C851,'Preguntas de negocio'!$C$114:$C$119,'Preguntas de negocio'!$D$114:$D$119,0)</f>
        <v>4.5</v>
      </c>
      <c r="AB851" s="55">
        <f>VLOOKUP(C851,'Preguntas de negocio'!$C$121:$D$127,2,FALSE)</f>
        <v>0.35</v>
      </c>
    </row>
    <row r="852" spans="1:28" x14ac:dyDescent="0.3">
      <c r="A852" s="1">
        <v>45791</v>
      </c>
      <c r="B852" s="2" t="s">
        <v>2619</v>
      </c>
      <c r="C852" s="2" t="s">
        <v>2543</v>
      </c>
      <c r="D852" s="2" t="s">
        <v>2528</v>
      </c>
      <c r="E852" s="2" t="s">
        <v>2517</v>
      </c>
      <c r="F852" s="3">
        <v>178702</v>
      </c>
      <c r="G852" s="3">
        <v>6034</v>
      </c>
      <c r="H852" s="3">
        <v>164</v>
      </c>
      <c r="I852" s="4">
        <v>11602.18</v>
      </c>
      <c r="J852" s="4">
        <v>8990.69</v>
      </c>
      <c r="K852" s="3">
        <v>104</v>
      </c>
      <c r="L852" s="2" t="s">
        <v>2539</v>
      </c>
      <c r="M852" s="2" t="s">
        <v>2537</v>
      </c>
      <c r="N852" s="8">
        <f>IFERROR(G852/F852,0)</f>
        <v>3.3765710512473276E-2</v>
      </c>
      <c r="O852" s="8">
        <f>IFERROR(H852/G852,0)</f>
        <v>2.7179317202519059E-2</v>
      </c>
      <c r="P852" s="4">
        <f>IFERROR(I852/G852,0)</f>
        <v>1.9228007954922108</v>
      </c>
      <c r="Q852" s="4">
        <f>IFERROR(I852/H852,0)</f>
        <v>70.745000000000005</v>
      </c>
      <c r="R852" s="12">
        <f>IFERROR(J852/I852,0)</f>
        <v>0.77491385239670474</v>
      </c>
      <c r="S852" s="7">
        <f>Tabla_nuevas_columnas[[#This Row],[ROAS]]</f>
        <v>0.77491385239670474</v>
      </c>
      <c r="T852" t="str">
        <f>_xlfn.CONCAT(C852,"-",D852)</f>
        <v>Organic Social-España</v>
      </c>
      <c r="U852">
        <f>YEAR(A852)</f>
        <v>2025</v>
      </c>
      <c r="V852">
        <f>MONTH(A852)</f>
        <v>5</v>
      </c>
      <c r="W852" t="str">
        <f>PROPER(TEXT(A852,"mmmm"))</f>
        <v>Mayo</v>
      </c>
      <c r="X852" t="str">
        <f>PROPER(TEXT(A852,"dddd"))</f>
        <v>Miércoles</v>
      </c>
      <c r="Y852" t="str" cm="1">
        <f t="array" ref="Y852">_xlfn.IFS(R852&gt;10,"Excelente",R852&gt;=5,"Bueno",R852&gt;=2,"Débil",R852&lt;2,"Deficiente")</f>
        <v>Deficiente</v>
      </c>
      <c r="Z852" t="str">
        <f>IF(AND(R852&lt;2,Q852&gt;=100),"Revisar","OK")</f>
        <v>OK</v>
      </c>
      <c r="AA852" s="55">
        <f>_xlfn.XLOOKUP(C852,'Preguntas de negocio'!$C$114:$C$119,'Preguntas de negocio'!$D$114:$D$119,0)</f>
        <v>4</v>
      </c>
      <c r="AB852" s="55">
        <f>VLOOKUP(C852,'Preguntas de negocio'!$C$121:$D$127,2,FALSE)</f>
        <v>0.95</v>
      </c>
    </row>
    <row r="853" spans="1:28" x14ac:dyDescent="0.3">
      <c r="A853" s="1">
        <v>45871</v>
      </c>
      <c r="B853" s="2" t="s">
        <v>2633</v>
      </c>
      <c r="C853" s="2" t="s">
        <v>2533</v>
      </c>
      <c r="D853" s="2" t="s">
        <v>2528</v>
      </c>
      <c r="E853" s="2" t="s">
        <v>2534</v>
      </c>
      <c r="F853" s="3">
        <v>154858</v>
      </c>
      <c r="G853" s="3">
        <v>2889</v>
      </c>
      <c r="H853" s="3">
        <v>362</v>
      </c>
      <c r="I853" s="4">
        <v>5689.72</v>
      </c>
      <c r="J853" s="4">
        <v>62113.33</v>
      </c>
      <c r="K853" s="3">
        <v>295</v>
      </c>
      <c r="L853" s="2" t="s">
        <v>2539</v>
      </c>
      <c r="M853" s="2" t="s">
        <v>2526</v>
      </c>
      <c r="N853" s="8">
        <f>IFERROR(G853/F853,0)</f>
        <v>1.8655800798150563E-2</v>
      </c>
      <c r="O853" s="8">
        <f>IFERROR(H853/G853,0)</f>
        <v>0.12530287296642437</v>
      </c>
      <c r="P853" s="4">
        <f>IFERROR(I853/G853,0)</f>
        <v>1.9694427137417791</v>
      </c>
      <c r="Q853" s="4">
        <f>IFERROR(I853/H853,0)</f>
        <v>15.717458563535912</v>
      </c>
      <c r="R853" s="12">
        <f>IFERROR(J853/I853,0)</f>
        <v>10.916763918083841</v>
      </c>
      <c r="S853" s="7">
        <f>Tabla_nuevas_columnas[[#This Row],[ROAS]]</f>
        <v>10.916763918083841</v>
      </c>
      <c r="T853" t="str">
        <f>_xlfn.CONCAT(C853,"-",D853)</f>
        <v>Paid Social-España</v>
      </c>
      <c r="U853">
        <f>YEAR(A853)</f>
        <v>2025</v>
      </c>
      <c r="V853">
        <f>MONTH(A853)</f>
        <v>8</v>
      </c>
      <c r="W853" t="str">
        <f>PROPER(TEXT(A853,"mmmm"))</f>
        <v>Agosto</v>
      </c>
      <c r="X853" t="str">
        <f>PROPER(TEXT(A853,"dddd"))</f>
        <v>Sábado</v>
      </c>
      <c r="Y853" t="str" cm="1">
        <f t="array" ref="Y853">_xlfn.IFS(R853&gt;10,"Excelente",R853&gt;=5,"Bueno",R853&gt;=2,"Débil",R853&lt;2,"Deficiente")</f>
        <v>Excelente</v>
      </c>
      <c r="Z853" t="str">
        <f>IF(AND(R853&lt;2,Q853&gt;=100),"Revisar","OK")</f>
        <v>OK</v>
      </c>
      <c r="AA853" s="55">
        <f>_xlfn.XLOOKUP(C853,'Preguntas de negocio'!$C$114:$C$119,'Preguntas de negocio'!$D$114:$D$119,0)</f>
        <v>6</v>
      </c>
      <c r="AB853" s="55">
        <f>VLOOKUP(C853,'Preguntas de negocio'!$C$121:$D$127,2,FALSE)</f>
        <v>0.8</v>
      </c>
    </row>
    <row r="854" spans="1:28" x14ac:dyDescent="0.3">
      <c r="A854" s="1">
        <v>45836</v>
      </c>
      <c r="B854" s="2" t="s">
        <v>2624</v>
      </c>
      <c r="C854" s="2" t="s">
        <v>2527</v>
      </c>
      <c r="D854" s="2" t="s">
        <v>2525</v>
      </c>
      <c r="E854" s="2" t="s">
        <v>2534</v>
      </c>
      <c r="F854" s="3">
        <v>66071</v>
      </c>
      <c r="G854" s="3">
        <v>336</v>
      </c>
      <c r="H854" s="3">
        <v>25</v>
      </c>
      <c r="I854" s="4">
        <v>508.95</v>
      </c>
      <c r="J854" s="4">
        <v>1467.86</v>
      </c>
      <c r="K854" s="3">
        <v>21</v>
      </c>
      <c r="L854" s="2" t="s">
        <v>2518</v>
      </c>
      <c r="M854" s="2" t="s">
        <v>2519</v>
      </c>
      <c r="N854" s="8">
        <f>IFERROR(G854/F854,0)</f>
        <v>5.0854383920328136E-3</v>
      </c>
      <c r="O854" s="8">
        <f>IFERROR(H854/G854,0)</f>
        <v>7.4404761904761904E-2</v>
      </c>
      <c r="P854" s="4">
        <f>IFERROR(I854/G854,0)</f>
        <v>1.5147321428571427</v>
      </c>
      <c r="Q854" s="4">
        <f>IFERROR(I854/H854,0)</f>
        <v>20.358000000000001</v>
      </c>
      <c r="R854" s="12">
        <f>IFERROR(J854/I854,0)</f>
        <v>2.8840947047843599</v>
      </c>
      <c r="S854" s="7">
        <f>Tabla_nuevas_columnas[[#This Row],[ROAS]]</f>
        <v>2.8840947047843599</v>
      </c>
      <c r="T854" t="str">
        <f>_xlfn.CONCAT(C854,"-",D854)</f>
        <v>Affiliate-Francia</v>
      </c>
      <c r="U854">
        <f>YEAR(A854)</f>
        <v>2025</v>
      </c>
      <c r="V854">
        <f>MONTH(A854)</f>
        <v>6</v>
      </c>
      <c r="W854" t="str">
        <f>PROPER(TEXT(A854,"mmmm"))</f>
        <v>Junio</v>
      </c>
      <c r="X854" t="str">
        <f>PROPER(TEXT(A854,"dddd"))</f>
        <v>Sábado</v>
      </c>
      <c r="Y854" t="str" cm="1">
        <f t="array" ref="Y854">_xlfn.IFS(R854&gt;10,"Excelente",R854&gt;=5,"Bueno",R854&gt;=2,"Débil",R854&lt;2,"Deficiente")</f>
        <v>Débil</v>
      </c>
      <c r="Z854" t="str">
        <f>IF(AND(R854&lt;2,Q854&gt;=100),"Revisar","OK")</f>
        <v>OK</v>
      </c>
      <c r="AA854" s="55">
        <f>_xlfn.XLOOKUP(C854,'Preguntas de negocio'!$C$114:$C$119,'Preguntas de negocio'!$D$114:$D$119,0)</f>
        <v>4.5</v>
      </c>
      <c r="AB854" s="55">
        <f>VLOOKUP(C854,'Preguntas de negocio'!$C$121:$D$127,2,FALSE)</f>
        <v>0.35</v>
      </c>
    </row>
    <row r="855" spans="1:28" x14ac:dyDescent="0.3">
      <c r="A855" s="1">
        <v>45748</v>
      </c>
      <c r="B855" s="2" t="s">
        <v>2616</v>
      </c>
      <c r="C855" s="2" t="s">
        <v>2527</v>
      </c>
      <c r="D855" s="2" t="s">
        <v>2531</v>
      </c>
      <c r="E855" s="2" t="s">
        <v>2534</v>
      </c>
      <c r="F855" s="3">
        <v>42619</v>
      </c>
      <c r="G855" s="3">
        <v>2924</v>
      </c>
      <c r="H855" s="3">
        <v>260</v>
      </c>
      <c r="I855" s="4">
        <v>4454.91</v>
      </c>
      <c r="J855" s="4">
        <v>26043.49</v>
      </c>
      <c r="K855" s="3">
        <v>201</v>
      </c>
      <c r="L855" s="2" t="s">
        <v>2523</v>
      </c>
      <c r="M855" s="2" t="s">
        <v>2526</v>
      </c>
      <c r="N855" s="8">
        <f>IFERROR(G855/F855,0)</f>
        <v>6.8607897885919422E-2</v>
      </c>
      <c r="O855" s="8">
        <f>IFERROR(H855/G855,0)</f>
        <v>8.8919288645690833E-2</v>
      </c>
      <c r="P855" s="4">
        <f>IFERROR(I855/G855,0)</f>
        <v>1.5235670314637482</v>
      </c>
      <c r="Q855" s="4">
        <f>IFERROR(I855/H855,0)</f>
        <v>17.134269230769231</v>
      </c>
      <c r="R855" s="12">
        <f>IFERROR(J855/I855,0)</f>
        <v>5.8460193359686281</v>
      </c>
      <c r="S855" s="7">
        <f>Tabla_nuevas_columnas[[#This Row],[ROAS]]</f>
        <v>5.8460193359686281</v>
      </c>
      <c r="T855" t="str">
        <f>_xlfn.CONCAT(C855,"-",D855)</f>
        <v>Affiliate-Portugal</v>
      </c>
      <c r="U855">
        <f>YEAR(A855)</f>
        <v>2025</v>
      </c>
      <c r="V855">
        <f>MONTH(A855)</f>
        <v>4</v>
      </c>
      <c r="W855" t="str">
        <f>PROPER(TEXT(A855,"mmmm"))</f>
        <v>Abril</v>
      </c>
      <c r="X855" t="str">
        <f>PROPER(TEXT(A855,"dddd"))</f>
        <v>Martes</v>
      </c>
      <c r="Y855" t="str" cm="1">
        <f t="array" ref="Y855">_xlfn.IFS(R855&gt;10,"Excelente",R855&gt;=5,"Bueno",R855&gt;=2,"Débil",R855&lt;2,"Deficiente")</f>
        <v>Bueno</v>
      </c>
      <c r="Z855" t="str">
        <f>IF(AND(R855&lt;2,Q855&gt;=100),"Revisar","OK")</f>
        <v>OK</v>
      </c>
      <c r="AA855" s="55">
        <f>_xlfn.XLOOKUP(C855,'Preguntas de negocio'!$C$114:$C$119,'Preguntas de negocio'!$D$114:$D$119,0)</f>
        <v>4.5</v>
      </c>
      <c r="AB855" s="55">
        <f>VLOOKUP(C855,'Preguntas de negocio'!$C$121:$D$127,2,FALSE)</f>
        <v>0.35</v>
      </c>
    </row>
    <row r="856" spans="1:28" x14ac:dyDescent="0.3">
      <c r="A856" s="1">
        <v>45985</v>
      </c>
      <c r="B856" s="2" t="s">
        <v>2617</v>
      </c>
      <c r="C856" s="2" t="s">
        <v>2527</v>
      </c>
      <c r="D856" s="2" t="s">
        <v>2525</v>
      </c>
      <c r="E856" s="2" t="s">
        <v>2529</v>
      </c>
      <c r="F856" s="3">
        <v>121158</v>
      </c>
      <c r="G856" s="3">
        <v>7911</v>
      </c>
      <c r="H856" s="3">
        <v>118</v>
      </c>
      <c r="I856" s="4">
        <v>16233.36</v>
      </c>
      <c r="J856" s="4">
        <v>5614.42</v>
      </c>
      <c r="K856" s="3">
        <v>72</v>
      </c>
      <c r="L856" s="2" t="s">
        <v>2518</v>
      </c>
      <c r="M856" s="2" t="s">
        <v>2526</v>
      </c>
      <c r="N856" s="8">
        <f>IFERROR(G856/F856,0)</f>
        <v>6.5294904174714008E-2</v>
      </c>
      <c r="O856" s="8">
        <f>IFERROR(H856/G856,0)</f>
        <v>1.4915939830615598E-2</v>
      </c>
      <c r="P856" s="4">
        <f>IFERROR(I856/G856,0)</f>
        <v>2.0519984831247631</v>
      </c>
      <c r="Q856" s="4">
        <f>IFERROR(I856/H856,0)</f>
        <v>137.57084745762711</v>
      </c>
      <c r="R856" s="12">
        <f>IFERROR(J856/I856,0)</f>
        <v>0.3458569267237343</v>
      </c>
      <c r="S856" s="7">
        <f>Tabla_nuevas_columnas[[#This Row],[ROAS]]</f>
        <v>0.3458569267237343</v>
      </c>
      <c r="T856" t="str">
        <f>_xlfn.CONCAT(C856,"-",D856)</f>
        <v>Affiliate-Francia</v>
      </c>
      <c r="U856">
        <f>YEAR(A856)</f>
        <v>2025</v>
      </c>
      <c r="V856">
        <f>MONTH(A856)</f>
        <v>11</v>
      </c>
      <c r="W856" t="str">
        <f>PROPER(TEXT(A856,"mmmm"))</f>
        <v>Noviembre</v>
      </c>
      <c r="X856" t="str">
        <f>PROPER(TEXT(A856,"dddd"))</f>
        <v>Lunes</v>
      </c>
      <c r="Y856" t="str" cm="1">
        <f t="array" ref="Y856">_xlfn.IFS(R856&gt;10,"Excelente",R856&gt;=5,"Bueno",R856&gt;=2,"Débil",R856&lt;2,"Deficiente")</f>
        <v>Deficiente</v>
      </c>
      <c r="Z856" t="str">
        <f>IF(AND(R856&lt;2,Q856&gt;=100),"Revisar","OK")</f>
        <v>Revisar</v>
      </c>
      <c r="AA856" s="55">
        <f>_xlfn.XLOOKUP(C856,'Preguntas de negocio'!$C$114:$C$119,'Preguntas de negocio'!$D$114:$D$119,0)</f>
        <v>4.5</v>
      </c>
      <c r="AB856" s="55">
        <f>VLOOKUP(C856,'Preguntas de negocio'!$C$121:$D$127,2,FALSE)</f>
        <v>0.35</v>
      </c>
    </row>
    <row r="857" spans="1:28" x14ac:dyDescent="0.3">
      <c r="A857" s="1">
        <v>45914</v>
      </c>
      <c r="B857" s="2" t="s">
        <v>2635</v>
      </c>
      <c r="C857" s="2" t="s">
        <v>2541</v>
      </c>
      <c r="D857" s="2" t="s">
        <v>2528</v>
      </c>
      <c r="E857" s="2" t="s">
        <v>2517</v>
      </c>
      <c r="F857" s="3">
        <v>147443</v>
      </c>
      <c r="G857" s="3">
        <v>8139</v>
      </c>
      <c r="H857" s="3">
        <v>136</v>
      </c>
      <c r="I857" s="4">
        <v>15875.64</v>
      </c>
      <c r="J857" s="4">
        <v>22015.39</v>
      </c>
      <c r="K857" s="3">
        <v>84</v>
      </c>
      <c r="L857" s="2" t="s">
        <v>2523</v>
      </c>
      <c r="M857" s="2" t="s">
        <v>2537</v>
      </c>
      <c r="N857" s="8">
        <f>IFERROR(G857/F857,0)</f>
        <v>5.5200992926079911E-2</v>
      </c>
      <c r="O857" s="8">
        <f>IFERROR(H857/G857,0)</f>
        <v>1.6709669492566654E-2</v>
      </c>
      <c r="P857" s="4">
        <f>IFERROR(I857/G857,0)</f>
        <v>1.9505639513453741</v>
      </c>
      <c r="Q857" s="4">
        <f>IFERROR(I857/H857,0)</f>
        <v>116.73264705882353</v>
      </c>
      <c r="R857" s="12">
        <f>IFERROR(J857/I857,0)</f>
        <v>1.3867403140912744</v>
      </c>
      <c r="S857" s="7">
        <f>Tabla_nuevas_columnas[[#This Row],[ROAS]]</f>
        <v>1.3867403140912744</v>
      </c>
      <c r="T857" t="str">
        <f>_xlfn.CONCAT(C857,"-",D857)</f>
        <v>Display-España</v>
      </c>
      <c r="U857">
        <f>YEAR(A857)</f>
        <v>2025</v>
      </c>
      <c r="V857">
        <f>MONTH(A857)</f>
        <v>9</v>
      </c>
      <c r="W857" t="str">
        <f>PROPER(TEXT(A857,"mmmm"))</f>
        <v>Septiembre</v>
      </c>
      <c r="X857" t="str">
        <f>PROPER(TEXT(A857,"dddd"))</f>
        <v>Domingo</v>
      </c>
      <c r="Y857" t="str" cm="1">
        <f t="array" ref="Y857">_xlfn.IFS(R857&gt;10,"Excelente",R857&gt;=5,"Bueno",R857&gt;=2,"Débil",R857&lt;2,"Deficiente")</f>
        <v>Deficiente</v>
      </c>
      <c r="Z857" t="str">
        <f>IF(AND(R857&lt;2,Q857&gt;=100),"Revisar","OK")</f>
        <v>Revisar</v>
      </c>
      <c r="AA857" s="55">
        <f>_xlfn.XLOOKUP(C857,'Preguntas de negocio'!$C$114:$C$119,'Preguntas de negocio'!$D$114:$D$119,0)</f>
        <v>5</v>
      </c>
      <c r="AB857" s="55">
        <f>VLOOKUP(C857,'Preguntas de negocio'!$C$121:$D$127,2,FALSE)</f>
        <v>0.5</v>
      </c>
    </row>
    <row r="858" spans="1:28" x14ac:dyDescent="0.3">
      <c r="A858" s="1">
        <v>46017</v>
      </c>
      <c r="B858" s="2" t="s">
        <v>2635</v>
      </c>
      <c r="C858" s="2" t="s">
        <v>2521</v>
      </c>
      <c r="D858" s="2" t="s">
        <v>2528</v>
      </c>
      <c r="E858" s="2" t="s">
        <v>2529</v>
      </c>
      <c r="F858" s="3">
        <v>125507</v>
      </c>
      <c r="G858" s="3">
        <v>3304</v>
      </c>
      <c r="H858" s="3">
        <v>184</v>
      </c>
      <c r="I858" s="4">
        <v>2361.98</v>
      </c>
      <c r="J858" s="4">
        <v>33066.79</v>
      </c>
      <c r="K858" s="3">
        <v>123</v>
      </c>
      <c r="L858" s="2" t="s">
        <v>2539</v>
      </c>
      <c r="M858" s="2" t="s">
        <v>2519</v>
      </c>
      <c r="N858" s="8">
        <f>IFERROR(G858/F858,0)</f>
        <v>2.632522488785486E-2</v>
      </c>
      <c r="O858" s="8">
        <f>IFERROR(H858/G858,0)</f>
        <v>5.569007263922518E-2</v>
      </c>
      <c r="P858" s="4">
        <f>IFERROR(I858/G858,0)</f>
        <v>0.71488498789346244</v>
      </c>
      <c r="Q858" s="4">
        <f>IFERROR(I858/H858,0)</f>
        <v>12.836847826086956</v>
      </c>
      <c r="R858" s="12">
        <f>IFERROR(J858/I858,0)</f>
        <v>13.999606262542443</v>
      </c>
      <c r="S858" s="7">
        <f>Tabla_nuevas_columnas[[#This Row],[ROAS]]</f>
        <v>13.999606262542443</v>
      </c>
      <c r="T858" t="str">
        <f>_xlfn.CONCAT(C858,"-",D858)</f>
        <v>Paid Search-España</v>
      </c>
      <c r="U858">
        <f>YEAR(A858)</f>
        <v>2025</v>
      </c>
      <c r="V858">
        <f>MONTH(A858)</f>
        <v>12</v>
      </c>
      <c r="W858" t="str">
        <f>PROPER(TEXT(A858,"mmmm"))</f>
        <v>Diciembre</v>
      </c>
      <c r="X858" t="str">
        <f>PROPER(TEXT(A858,"dddd"))</f>
        <v>Viernes</v>
      </c>
      <c r="Y858" t="str" cm="1">
        <f t="array" ref="Y858">_xlfn.IFS(R858&gt;10,"Excelente",R858&gt;=5,"Bueno",R858&gt;=2,"Débil",R858&lt;2,"Deficiente")</f>
        <v>Excelente</v>
      </c>
      <c r="Z858" t="str">
        <f>IF(AND(R858&lt;2,Q858&gt;=100),"Revisar","OK")</f>
        <v>OK</v>
      </c>
      <c r="AA858" s="55">
        <f>_xlfn.XLOOKUP(C858,'Preguntas de negocio'!$C$114:$C$119,'Preguntas de negocio'!$D$114:$D$119,0)</f>
        <v>5</v>
      </c>
      <c r="AB858" s="55">
        <f>VLOOKUP(C858,'Preguntas de negocio'!$C$121:$D$127,2,FALSE)</f>
        <v>1.1000000000000001</v>
      </c>
    </row>
    <row r="859" spans="1:28" x14ac:dyDescent="0.3">
      <c r="A859" s="1">
        <v>45706</v>
      </c>
      <c r="B859" s="2" t="s">
        <v>2638</v>
      </c>
      <c r="C859" s="2" t="s">
        <v>2533</v>
      </c>
      <c r="D859" s="2" t="s">
        <v>2522</v>
      </c>
      <c r="E859" s="2" t="s">
        <v>2529</v>
      </c>
      <c r="F859" s="3">
        <v>111274</v>
      </c>
      <c r="G859" s="3">
        <v>501</v>
      </c>
      <c r="H859" s="3">
        <v>51</v>
      </c>
      <c r="I859" s="4">
        <v>716.03</v>
      </c>
      <c r="J859" s="4">
        <v>8260.9699999999993</v>
      </c>
      <c r="K859" s="3">
        <v>41</v>
      </c>
      <c r="L859" s="2" t="s">
        <v>2539</v>
      </c>
      <c r="M859" s="2" t="s">
        <v>2546</v>
      </c>
      <c r="N859" s="8">
        <f>IFERROR(G859/F859,0)</f>
        <v>4.5023994823588619E-3</v>
      </c>
      <c r="O859" s="8">
        <f>IFERROR(H859/G859,0)</f>
        <v>0.10179640718562874</v>
      </c>
      <c r="P859" s="4">
        <f>IFERROR(I859/G859,0)</f>
        <v>1.4292015968063871</v>
      </c>
      <c r="Q859" s="4">
        <f>IFERROR(I859/H859,0)</f>
        <v>14.039803921568627</v>
      </c>
      <c r="R859" s="12">
        <f>IFERROR(J859/I859,0)</f>
        <v>11.537184196192896</v>
      </c>
      <c r="S859" s="7">
        <f>Tabla_nuevas_columnas[[#This Row],[ROAS]]</f>
        <v>11.537184196192896</v>
      </c>
      <c r="T859" t="str">
        <f>_xlfn.CONCAT(C859,"-",D859)</f>
        <v>Paid Social-Italia</v>
      </c>
      <c r="U859">
        <f>YEAR(A859)</f>
        <v>2025</v>
      </c>
      <c r="V859">
        <f>MONTH(A859)</f>
        <v>2</v>
      </c>
      <c r="W859" t="str">
        <f>PROPER(TEXT(A859,"mmmm"))</f>
        <v>Febrero</v>
      </c>
      <c r="X859" t="str">
        <f>PROPER(TEXT(A859,"dddd"))</f>
        <v>Martes</v>
      </c>
      <c r="Y859" t="str" cm="1">
        <f t="array" ref="Y859">_xlfn.IFS(R859&gt;10,"Excelente",R859&gt;=5,"Bueno",R859&gt;=2,"Débil",R859&lt;2,"Deficiente")</f>
        <v>Excelente</v>
      </c>
      <c r="Z859" t="str">
        <f>IF(AND(R859&lt;2,Q859&gt;=100),"Revisar","OK")</f>
        <v>OK</v>
      </c>
      <c r="AA859" s="55">
        <f>_xlfn.XLOOKUP(C859,'Preguntas de negocio'!$C$114:$C$119,'Preguntas de negocio'!$D$114:$D$119,0)</f>
        <v>6</v>
      </c>
      <c r="AB859" s="55">
        <f>VLOOKUP(C859,'Preguntas de negocio'!$C$121:$D$127,2,FALSE)</f>
        <v>0.8</v>
      </c>
    </row>
    <row r="860" spans="1:28" x14ac:dyDescent="0.3">
      <c r="A860" s="1">
        <v>45736</v>
      </c>
      <c r="B860" s="2" t="s">
        <v>2630</v>
      </c>
      <c r="C860" s="2" t="s">
        <v>2527</v>
      </c>
      <c r="D860" s="2" t="s">
        <v>2525</v>
      </c>
      <c r="E860" s="2" t="s">
        <v>2517</v>
      </c>
      <c r="F860" s="3">
        <v>101070</v>
      </c>
      <c r="G860" s="3">
        <v>3692</v>
      </c>
      <c r="H860" s="3">
        <v>323</v>
      </c>
      <c r="I860" s="4">
        <v>1152.3</v>
      </c>
      <c r="J860" s="4">
        <v>41834.160000000003</v>
      </c>
      <c r="K860" s="3">
        <v>190</v>
      </c>
      <c r="L860" s="2" t="s">
        <v>2536</v>
      </c>
      <c r="M860" s="2" t="s">
        <v>2526</v>
      </c>
      <c r="N860" s="8">
        <f>IFERROR(G860/F860,0)</f>
        <v>3.6529138221034929E-2</v>
      </c>
      <c r="O860" s="8">
        <f>IFERROR(H860/G860,0)</f>
        <v>8.7486457204767068E-2</v>
      </c>
      <c r="P860" s="4">
        <f>IFERROR(I860/G860,0)</f>
        <v>0.31210725893824481</v>
      </c>
      <c r="Q860" s="4">
        <f>IFERROR(I860/H860,0)</f>
        <v>3.5674922600619192</v>
      </c>
      <c r="R860" s="12">
        <f>IFERROR(J860/I860,0)</f>
        <v>36.304920593595419</v>
      </c>
      <c r="S860" s="7">
        <f>Tabla_nuevas_columnas[[#This Row],[ROAS]]</f>
        <v>36.304920593595419</v>
      </c>
      <c r="T860" t="str">
        <f>_xlfn.CONCAT(C860,"-",D860)</f>
        <v>Affiliate-Francia</v>
      </c>
      <c r="U860">
        <f>YEAR(A860)</f>
        <v>2025</v>
      </c>
      <c r="V860">
        <f>MONTH(A860)</f>
        <v>3</v>
      </c>
      <c r="W860" t="str">
        <f>PROPER(TEXT(A860,"mmmm"))</f>
        <v>Marzo</v>
      </c>
      <c r="X860" t="str">
        <f>PROPER(TEXT(A860,"dddd"))</f>
        <v>Jueves</v>
      </c>
      <c r="Y860" t="str" cm="1">
        <f t="array" ref="Y860">_xlfn.IFS(R860&gt;10,"Excelente",R860&gt;=5,"Bueno",R860&gt;=2,"Débil",R860&lt;2,"Deficiente")</f>
        <v>Excelente</v>
      </c>
      <c r="Z860" t="str">
        <f>IF(AND(R860&lt;2,Q860&gt;=100),"Revisar","OK")</f>
        <v>OK</v>
      </c>
      <c r="AA860" s="55">
        <f>_xlfn.XLOOKUP(C860,'Preguntas de negocio'!$C$114:$C$119,'Preguntas de negocio'!$D$114:$D$119,0)</f>
        <v>4.5</v>
      </c>
      <c r="AB860" s="55">
        <f>VLOOKUP(C860,'Preguntas de negocio'!$C$121:$D$127,2,FALSE)</f>
        <v>0.35</v>
      </c>
    </row>
    <row r="861" spans="1:28" x14ac:dyDescent="0.3">
      <c r="A861" s="1">
        <v>45759</v>
      </c>
      <c r="B861" s="2" t="s">
        <v>2615</v>
      </c>
      <c r="C861" s="2" t="s">
        <v>2543</v>
      </c>
      <c r="D861" s="2" t="s">
        <v>2528</v>
      </c>
      <c r="E861" s="2" t="s">
        <v>2529</v>
      </c>
      <c r="F861" s="3">
        <v>84771</v>
      </c>
      <c r="G861" s="3">
        <v>85082</v>
      </c>
      <c r="H861" s="3">
        <v>72</v>
      </c>
      <c r="I861" s="4">
        <v>1261.51</v>
      </c>
      <c r="J861" s="4">
        <v>13755.87</v>
      </c>
      <c r="K861" s="3">
        <v>45</v>
      </c>
      <c r="L861" s="2" t="s">
        <v>2539</v>
      </c>
      <c r="M861" s="2" t="s">
        <v>2526</v>
      </c>
      <c r="N861" s="8">
        <f>IFERROR(G861/F861,0)</f>
        <v>1.0036687074589188</v>
      </c>
      <c r="O861" s="8">
        <f>IFERROR(H861/G861,0)</f>
        <v>8.4624244846148418E-4</v>
      </c>
      <c r="P861" s="4">
        <f>IFERROR(I861/G861,0)</f>
        <v>1.4826990432758985E-2</v>
      </c>
      <c r="Q861" s="4">
        <f>IFERROR(I861/H861,0)</f>
        <v>17.520972222222223</v>
      </c>
      <c r="R861" s="12">
        <f>IFERROR(J861/I861,0)</f>
        <v>10.904289304087959</v>
      </c>
      <c r="S861" s="7">
        <f>Tabla_nuevas_columnas[[#This Row],[ROAS]]</f>
        <v>10.904289304087959</v>
      </c>
      <c r="T861" t="str">
        <f>_xlfn.CONCAT(C861,"-",D861)</f>
        <v>Organic Social-España</v>
      </c>
      <c r="U861">
        <f>YEAR(A861)</f>
        <v>2025</v>
      </c>
      <c r="V861">
        <f>MONTH(A861)</f>
        <v>4</v>
      </c>
      <c r="W861" t="str">
        <f>PROPER(TEXT(A861,"mmmm"))</f>
        <v>Abril</v>
      </c>
      <c r="X861" t="str">
        <f>PROPER(TEXT(A861,"dddd"))</f>
        <v>Sábado</v>
      </c>
      <c r="Y861" t="str" cm="1">
        <f t="array" ref="Y861">_xlfn.IFS(R861&gt;10,"Excelente",R861&gt;=5,"Bueno",R861&gt;=2,"Débil",R861&lt;2,"Deficiente")</f>
        <v>Excelente</v>
      </c>
      <c r="Z861" t="str">
        <f>IF(AND(R861&lt;2,Q861&gt;=100),"Revisar","OK")</f>
        <v>OK</v>
      </c>
      <c r="AA861" s="55">
        <f>_xlfn.XLOOKUP(C861,'Preguntas de negocio'!$C$114:$C$119,'Preguntas de negocio'!$D$114:$D$119,0)</f>
        <v>4</v>
      </c>
      <c r="AB861" s="55">
        <f>VLOOKUP(C861,'Preguntas de negocio'!$C$121:$D$127,2,FALSE)</f>
        <v>0.95</v>
      </c>
    </row>
    <row r="862" spans="1:28" x14ac:dyDescent="0.3">
      <c r="A862" s="1">
        <v>45811</v>
      </c>
      <c r="B862" s="2" t="s">
        <v>2615</v>
      </c>
      <c r="C862" s="2" t="s">
        <v>2533</v>
      </c>
      <c r="D862" s="2" t="s">
        <v>2531</v>
      </c>
      <c r="E862" s="2" t="s">
        <v>2529</v>
      </c>
      <c r="F862" s="3">
        <v>112075</v>
      </c>
      <c r="G862" s="3">
        <v>5382</v>
      </c>
      <c r="H862" s="3">
        <v>570</v>
      </c>
      <c r="I862" s="4">
        <v>9300.31</v>
      </c>
      <c r="J862" s="4">
        <v>94507.98</v>
      </c>
      <c r="K862" s="3">
        <v>419</v>
      </c>
      <c r="L862" s="2" t="s">
        <v>2523</v>
      </c>
      <c r="M862" s="2" t="s">
        <v>2526</v>
      </c>
      <c r="N862" s="8">
        <f>IFERROR(G862/F862,0)</f>
        <v>4.8021414231541382E-2</v>
      </c>
      <c r="O862" s="8">
        <f>IFERROR(H862/G862,0)</f>
        <v>0.10590858416945373</v>
      </c>
      <c r="P862" s="4">
        <f>IFERROR(I862/G862,0)</f>
        <v>1.7280397621701968</v>
      </c>
      <c r="Q862" s="4">
        <f>IFERROR(I862/H862,0)</f>
        <v>16.316333333333333</v>
      </c>
      <c r="R862" s="12">
        <f>IFERROR(J862/I862,0)</f>
        <v>10.161809660108103</v>
      </c>
      <c r="S862" s="7">
        <f>Tabla_nuevas_columnas[[#This Row],[ROAS]]</f>
        <v>10.161809660108103</v>
      </c>
      <c r="T862" t="str">
        <f>_xlfn.CONCAT(C862,"-",D862)</f>
        <v>Paid Social-Portugal</v>
      </c>
      <c r="U862">
        <f>YEAR(A862)</f>
        <v>2025</v>
      </c>
      <c r="V862">
        <f>MONTH(A862)</f>
        <v>6</v>
      </c>
      <c r="W862" t="str">
        <f>PROPER(TEXT(A862,"mmmm"))</f>
        <v>Junio</v>
      </c>
      <c r="X862" t="str">
        <f>PROPER(TEXT(A862,"dddd"))</f>
        <v>Martes</v>
      </c>
      <c r="Y862" t="str" cm="1">
        <f t="array" ref="Y862">_xlfn.IFS(R862&gt;10,"Excelente",R862&gt;=5,"Bueno",R862&gt;=2,"Débil",R862&lt;2,"Deficiente")</f>
        <v>Excelente</v>
      </c>
      <c r="Z862" t="str">
        <f>IF(AND(R862&lt;2,Q862&gt;=100),"Revisar","OK")</f>
        <v>OK</v>
      </c>
      <c r="AA862" s="55">
        <f>_xlfn.XLOOKUP(C862,'Preguntas de negocio'!$C$114:$C$119,'Preguntas de negocio'!$D$114:$D$119,0)</f>
        <v>6</v>
      </c>
      <c r="AB862" s="55">
        <f>VLOOKUP(C862,'Preguntas de negocio'!$C$121:$D$127,2,FALSE)</f>
        <v>0.8</v>
      </c>
    </row>
    <row r="863" spans="1:28" x14ac:dyDescent="0.3">
      <c r="A863" s="1">
        <v>45813</v>
      </c>
      <c r="B863" s="2" t="s">
        <v>2643</v>
      </c>
      <c r="C863" s="2" t="s">
        <v>2543</v>
      </c>
      <c r="D863" s="2" t="s">
        <v>2528</v>
      </c>
      <c r="E863" s="2" t="s">
        <v>2517</v>
      </c>
      <c r="F863" s="3">
        <v>32250</v>
      </c>
      <c r="G863" s="3">
        <v>811</v>
      </c>
      <c r="H863" s="3">
        <v>28</v>
      </c>
      <c r="I863" s="4">
        <v>1091.82</v>
      </c>
      <c r="J863" s="4">
        <v>4038.89</v>
      </c>
      <c r="K863" s="3">
        <v>14</v>
      </c>
      <c r="L863" s="2" t="s">
        <v>2523</v>
      </c>
      <c r="M863" s="2" t="s">
        <v>2546</v>
      </c>
      <c r="N863" s="8">
        <f>IFERROR(G863/F863,0)</f>
        <v>2.5147286821705427E-2</v>
      </c>
      <c r="O863" s="8">
        <f>IFERROR(H863/G863,0)</f>
        <v>3.4525277435265102E-2</v>
      </c>
      <c r="P863" s="4">
        <f>IFERROR(I863/G863,0)</f>
        <v>1.3462638717632551</v>
      </c>
      <c r="Q863" s="4">
        <f>IFERROR(I863/H863,0)</f>
        <v>38.993571428571428</v>
      </c>
      <c r="R863" s="12">
        <f>IFERROR(J863/I863,0)</f>
        <v>3.6992269788060304</v>
      </c>
      <c r="S863" s="7">
        <f>Tabla_nuevas_columnas[[#This Row],[ROAS]]</f>
        <v>3.6992269788060304</v>
      </c>
      <c r="T863" t="str">
        <f>_xlfn.CONCAT(C863,"-",D863)</f>
        <v>Organic Social-España</v>
      </c>
      <c r="U863">
        <f>YEAR(A863)</f>
        <v>2025</v>
      </c>
      <c r="V863">
        <f>MONTH(A863)</f>
        <v>6</v>
      </c>
      <c r="W863" t="str">
        <f>PROPER(TEXT(A863,"mmmm"))</f>
        <v>Junio</v>
      </c>
      <c r="X863" t="str">
        <f>PROPER(TEXT(A863,"dddd"))</f>
        <v>Jueves</v>
      </c>
      <c r="Y863" t="str" cm="1">
        <f t="array" ref="Y863">_xlfn.IFS(R863&gt;10,"Excelente",R863&gt;=5,"Bueno",R863&gt;=2,"Débil",R863&lt;2,"Deficiente")</f>
        <v>Débil</v>
      </c>
      <c r="Z863" t="str">
        <f>IF(AND(R863&lt;2,Q863&gt;=100),"Revisar","OK")</f>
        <v>OK</v>
      </c>
      <c r="AA863" s="55">
        <f>_xlfn.XLOOKUP(C863,'Preguntas de negocio'!$C$114:$C$119,'Preguntas de negocio'!$D$114:$D$119,0)</f>
        <v>4</v>
      </c>
      <c r="AB863" s="55">
        <f>VLOOKUP(C863,'Preguntas de negocio'!$C$121:$D$127,2,FALSE)</f>
        <v>0.95</v>
      </c>
    </row>
    <row r="864" spans="1:28" x14ac:dyDescent="0.3">
      <c r="A864" s="1">
        <v>45939</v>
      </c>
      <c r="B864" s="2" t="s">
        <v>2631</v>
      </c>
      <c r="C864" s="2" t="s">
        <v>2527</v>
      </c>
      <c r="D864" s="2" t="s">
        <v>2525</v>
      </c>
      <c r="E864" s="2" t="s">
        <v>2517</v>
      </c>
      <c r="F864" s="3">
        <v>47345</v>
      </c>
      <c r="G864" s="3">
        <v>787</v>
      </c>
      <c r="H864" s="3">
        <v>16</v>
      </c>
      <c r="I864" s="4">
        <v>501.39</v>
      </c>
      <c r="J864" s="4">
        <v>2941.71</v>
      </c>
      <c r="K864" s="3">
        <v>10</v>
      </c>
      <c r="L864" s="2" t="s">
        <v>2523</v>
      </c>
      <c r="M864" s="2" t="s">
        <v>2526</v>
      </c>
      <c r="N864" s="8">
        <f>IFERROR(G864/F864,0)</f>
        <v>1.6622663428028303E-2</v>
      </c>
      <c r="O864" s="8">
        <f>IFERROR(H864/G864,0)</f>
        <v>2.0330368487928845E-2</v>
      </c>
      <c r="P864" s="4">
        <f>IFERROR(I864/G864,0)</f>
        <v>0.63709021601016513</v>
      </c>
      <c r="Q864" s="4">
        <f>IFERROR(I864/H864,0)</f>
        <v>31.336874999999999</v>
      </c>
      <c r="R864" s="12">
        <f>IFERROR(J864/I864,0)</f>
        <v>5.8671094357685636</v>
      </c>
      <c r="S864" s="7">
        <f>Tabla_nuevas_columnas[[#This Row],[ROAS]]</f>
        <v>5.8671094357685636</v>
      </c>
      <c r="T864" t="str">
        <f>_xlfn.CONCAT(C864,"-",D864)</f>
        <v>Affiliate-Francia</v>
      </c>
      <c r="U864">
        <f>YEAR(A864)</f>
        <v>2025</v>
      </c>
      <c r="V864">
        <f>MONTH(A864)</f>
        <v>10</v>
      </c>
      <c r="W864" t="str">
        <f>PROPER(TEXT(A864,"mmmm"))</f>
        <v>Octubre</v>
      </c>
      <c r="X864" t="str">
        <f>PROPER(TEXT(A864,"dddd"))</f>
        <v>Jueves</v>
      </c>
      <c r="Y864" t="str" cm="1">
        <f t="array" ref="Y864">_xlfn.IFS(R864&gt;10,"Excelente",R864&gt;=5,"Bueno",R864&gt;=2,"Débil",R864&lt;2,"Deficiente")</f>
        <v>Bueno</v>
      </c>
      <c r="Z864" t="str">
        <f>IF(AND(R864&lt;2,Q864&gt;=100),"Revisar","OK")</f>
        <v>OK</v>
      </c>
      <c r="AA864" s="55">
        <f>_xlfn.XLOOKUP(C864,'Preguntas de negocio'!$C$114:$C$119,'Preguntas de negocio'!$D$114:$D$119,0)</f>
        <v>4.5</v>
      </c>
      <c r="AB864" s="55">
        <f>VLOOKUP(C864,'Preguntas de negocio'!$C$121:$D$127,2,FALSE)</f>
        <v>0.35</v>
      </c>
    </row>
    <row r="865" spans="1:28" x14ac:dyDescent="0.3">
      <c r="A865" s="1">
        <v>45756</v>
      </c>
      <c r="B865" s="2" t="s">
        <v>2618</v>
      </c>
      <c r="C865" s="2" t="s">
        <v>2543</v>
      </c>
      <c r="D865" s="2" t="s">
        <v>2516</v>
      </c>
      <c r="E865" s="2" t="s">
        <v>2529</v>
      </c>
      <c r="F865" s="3">
        <v>170369</v>
      </c>
      <c r="G865" s="3">
        <v>11510</v>
      </c>
      <c r="H865" s="3">
        <v>1080</v>
      </c>
      <c r="I865" s="4">
        <v>4435.8999999999996</v>
      </c>
      <c r="J865" s="4">
        <v>74907.839999999997</v>
      </c>
      <c r="K865" s="3">
        <v>689</v>
      </c>
      <c r="L865" s="2" t="s">
        <v>2536</v>
      </c>
      <c r="M865" s="2" t="s">
        <v>2537</v>
      </c>
      <c r="N865" s="8">
        <f>IFERROR(G865/F865,0)</f>
        <v>6.7559239063444645E-2</v>
      </c>
      <c r="O865" s="8">
        <f>IFERROR(H865/G865,0)</f>
        <v>9.3831450912250217E-2</v>
      </c>
      <c r="P865" s="4">
        <f>IFERROR(I865/G865,0)</f>
        <v>0.38539530842745434</v>
      </c>
      <c r="Q865" s="4">
        <f>IFERROR(I865/H865,0)</f>
        <v>4.1073148148148144</v>
      </c>
      <c r="R865" s="12">
        <f>IFERROR(J865/I865,0)</f>
        <v>16.88672873599495</v>
      </c>
      <c r="S865" s="7">
        <f>Tabla_nuevas_columnas[[#This Row],[ROAS]]</f>
        <v>16.88672873599495</v>
      </c>
      <c r="T865" t="str">
        <f>_xlfn.CONCAT(C865,"-",D865)</f>
        <v>Organic Social-México</v>
      </c>
      <c r="U865">
        <f>YEAR(A865)</f>
        <v>2025</v>
      </c>
      <c r="V865">
        <f>MONTH(A865)</f>
        <v>4</v>
      </c>
      <c r="W865" t="str">
        <f>PROPER(TEXT(A865,"mmmm"))</f>
        <v>Abril</v>
      </c>
      <c r="X865" t="str">
        <f>PROPER(TEXT(A865,"dddd"))</f>
        <v>Miércoles</v>
      </c>
      <c r="Y865" t="str" cm="1">
        <f t="array" ref="Y865">_xlfn.IFS(R865&gt;10,"Excelente",R865&gt;=5,"Bueno",R865&gt;=2,"Débil",R865&lt;2,"Deficiente")</f>
        <v>Excelente</v>
      </c>
      <c r="Z865" t="str">
        <f>IF(AND(R865&lt;2,Q865&gt;=100),"Revisar","OK")</f>
        <v>OK</v>
      </c>
      <c r="AA865" s="55">
        <f>_xlfn.XLOOKUP(C865,'Preguntas de negocio'!$C$114:$C$119,'Preguntas de negocio'!$D$114:$D$119,0)</f>
        <v>4</v>
      </c>
      <c r="AB865" s="55">
        <f>VLOOKUP(C865,'Preguntas de negocio'!$C$121:$D$127,2,FALSE)</f>
        <v>0.95</v>
      </c>
    </row>
    <row r="866" spans="1:28" x14ac:dyDescent="0.3">
      <c r="A866" s="1">
        <v>45658</v>
      </c>
      <c r="B866" s="2" t="s">
        <v>2622</v>
      </c>
      <c r="C866" s="2" t="s">
        <v>2533</v>
      </c>
      <c r="D866" s="2" t="s">
        <v>2528</v>
      </c>
      <c r="E866" s="2" t="s">
        <v>2517</v>
      </c>
      <c r="F866" s="3">
        <v>37988</v>
      </c>
      <c r="G866" s="3">
        <v>2755</v>
      </c>
      <c r="H866" s="3">
        <v>108</v>
      </c>
      <c r="I866" s="4">
        <v>4772.68</v>
      </c>
      <c r="J866" s="4">
        <v>16713.490000000002</v>
      </c>
      <c r="K866" s="3">
        <v>75</v>
      </c>
      <c r="L866" s="2" t="s">
        <v>2536</v>
      </c>
      <c r="M866" s="2" t="s">
        <v>2546</v>
      </c>
      <c r="N866" s="8">
        <f>IFERROR(G866/F866,0)</f>
        <v>7.2522901969042861E-2</v>
      </c>
      <c r="O866" s="8">
        <f>IFERROR(H866/G866,0)</f>
        <v>3.9201451905626135E-2</v>
      </c>
      <c r="P866" s="4">
        <f>IFERROR(I866/G866,0)</f>
        <v>1.7323702359346644</v>
      </c>
      <c r="Q866" s="4">
        <f>IFERROR(I866/H866,0)</f>
        <v>44.191481481481482</v>
      </c>
      <c r="R866" s="12">
        <f>IFERROR(J866/I866,0)</f>
        <v>3.5019087808107816</v>
      </c>
      <c r="S866" s="7">
        <f>Tabla_nuevas_columnas[[#This Row],[ROAS]]</f>
        <v>3.5019087808107816</v>
      </c>
      <c r="T866" t="str">
        <f>_xlfn.CONCAT(C866,"-",D866)</f>
        <v>Paid Social-España</v>
      </c>
      <c r="U866">
        <f>YEAR(A866)</f>
        <v>2025</v>
      </c>
      <c r="V866">
        <f>MONTH(A866)</f>
        <v>1</v>
      </c>
      <c r="W866" t="str">
        <f>PROPER(TEXT(A866,"mmmm"))</f>
        <v>Enero</v>
      </c>
      <c r="X866" t="str">
        <f>PROPER(TEXT(A866,"dddd"))</f>
        <v>Miércoles</v>
      </c>
      <c r="Y866" t="str" cm="1">
        <f t="array" ref="Y866">_xlfn.IFS(R866&gt;10,"Excelente",R866&gt;=5,"Bueno",R866&gt;=2,"Débil",R866&lt;2,"Deficiente")</f>
        <v>Débil</v>
      </c>
      <c r="Z866" t="str">
        <f>IF(AND(R866&lt;2,Q866&gt;=100),"Revisar","OK")</f>
        <v>OK</v>
      </c>
      <c r="AA866" s="55">
        <f>_xlfn.XLOOKUP(C866,'Preguntas de negocio'!$C$114:$C$119,'Preguntas de negocio'!$D$114:$D$119,0)</f>
        <v>6</v>
      </c>
      <c r="AB866" s="55">
        <f>VLOOKUP(C866,'Preguntas de negocio'!$C$121:$D$127,2,FALSE)</f>
        <v>0.8</v>
      </c>
    </row>
    <row r="867" spans="1:28" x14ac:dyDescent="0.3">
      <c r="A867" s="1">
        <v>45946</v>
      </c>
      <c r="B867" s="2" t="s">
        <v>2638</v>
      </c>
      <c r="C867" s="2" t="s">
        <v>2521</v>
      </c>
      <c r="D867" s="2" t="s">
        <v>2531</v>
      </c>
      <c r="E867" s="2" t="s">
        <v>2534</v>
      </c>
      <c r="F867" s="3">
        <v>174433</v>
      </c>
      <c r="G867" s="3">
        <v>5788</v>
      </c>
      <c r="H867" s="3">
        <v>203</v>
      </c>
      <c r="I867" s="4">
        <v>2419.35</v>
      </c>
      <c r="J867" s="4">
        <v>18187.61</v>
      </c>
      <c r="K867" s="3">
        <v>140</v>
      </c>
      <c r="L867" s="2" t="s">
        <v>2523</v>
      </c>
      <c r="M867" s="2" t="s">
        <v>2546</v>
      </c>
      <c r="N867" s="8">
        <f>IFERROR(G867/F867,0)</f>
        <v>3.3181794729208347E-2</v>
      </c>
      <c r="O867" s="8">
        <f>IFERROR(H867/G867,0)</f>
        <v>3.5072563925362822E-2</v>
      </c>
      <c r="P867" s="4">
        <f>IFERROR(I867/G867,0)</f>
        <v>0.41799412577747064</v>
      </c>
      <c r="Q867" s="4">
        <f>IFERROR(I867/H867,0)</f>
        <v>11.917980295566503</v>
      </c>
      <c r="R867" s="12">
        <f>IFERROR(J867/I867,0)</f>
        <v>7.5175605017876705</v>
      </c>
      <c r="S867" s="7">
        <f>Tabla_nuevas_columnas[[#This Row],[ROAS]]</f>
        <v>7.5175605017876705</v>
      </c>
      <c r="T867" t="str">
        <f>_xlfn.CONCAT(C867,"-",D867)</f>
        <v>Paid Search-Portugal</v>
      </c>
      <c r="U867">
        <f>YEAR(A867)</f>
        <v>2025</v>
      </c>
      <c r="V867">
        <f>MONTH(A867)</f>
        <v>10</v>
      </c>
      <c r="W867" t="str">
        <f>PROPER(TEXT(A867,"mmmm"))</f>
        <v>Octubre</v>
      </c>
      <c r="X867" t="str">
        <f>PROPER(TEXT(A867,"dddd"))</f>
        <v>Jueves</v>
      </c>
      <c r="Y867" t="str" cm="1">
        <f t="array" ref="Y867">_xlfn.IFS(R867&gt;10,"Excelente",R867&gt;=5,"Bueno",R867&gt;=2,"Débil",R867&lt;2,"Deficiente")</f>
        <v>Bueno</v>
      </c>
      <c r="Z867" t="str">
        <f>IF(AND(R867&lt;2,Q867&gt;=100),"Revisar","OK")</f>
        <v>OK</v>
      </c>
      <c r="AA867" s="55">
        <f>_xlfn.XLOOKUP(C867,'Preguntas de negocio'!$C$114:$C$119,'Preguntas de negocio'!$D$114:$D$119,0)</f>
        <v>5</v>
      </c>
      <c r="AB867" s="55">
        <f>VLOOKUP(C867,'Preguntas de negocio'!$C$121:$D$127,2,FALSE)</f>
        <v>1.1000000000000001</v>
      </c>
    </row>
    <row r="868" spans="1:28" x14ac:dyDescent="0.3">
      <c r="A868" s="1">
        <v>45742</v>
      </c>
      <c r="B868" s="2" t="s">
        <v>2617</v>
      </c>
      <c r="C868" s="2" t="s">
        <v>2543</v>
      </c>
      <c r="D868" s="2" t="s">
        <v>2528</v>
      </c>
      <c r="E868" s="2" t="s">
        <v>2534</v>
      </c>
      <c r="F868" s="3">
        <v>135956</v>
      </c>
      <c r="G868" s="3">
        <v>11039</v>
      </c>
      <c r="H868" s="3">
        <v>1530</v>
      </c>
      <c r="I868" s="4">
        <v>13536.84</v>
      </c>
      <c r="J868" s="4">
        <v>266167.69</v>
      </c>
      <c r="K868" s="3">
        <v>1090</v>
      </c>
      <c r="L868" s="2" t="s">
        <v>2536</v>
      </c>
      <c r="M868" s="2" t="s">
        <v>2546</v>
      </c>
      <c r="N868" s="8">
        <f>IFERROR(G868/F868,0)</f>
        <v>8.1195386742769715E-2</v>
      </c>
      <c r="O868" s="8">
        <f>IFERROR(H868/G868,0)</f>
        <v>0.1385995108252559</v>
      </c>
      <c r="P868" s="4">
        <f>IFERROR(I868/G868,0)</f>
        <v>1.226274119032521</v>
      </c>
      <c r="Q868" s="4">
        <f>IFERROR(I868/H868,0)</f>
        <v>8.8476078431372542</v>
      </c>
      <c r="R868" s="12">
        <f>IFERROR(J868/I868,0)</f>
        <v>19.662468493385457</v>
      </c>
      <c r="S868" s="7">
        <f>Tabla_nuevas_columnas[[#This Row],[ROAS]]</f>
        <v>19.662468493385457</v>
      </c>
      <c r="T868" t="str">
        <f>_xlfn.CONCAT(C868,"-",D868)</f>
        <v>Organic Social-España</v>
      </c>
      <c r="U868">
        <f>YEAR(A868)</f>
        <v>2025</v>
      </c>
      <c r="V868">
        <f>MONTH(A868)</f>
        <v>3</v>
      </c>
      <c r="W868" t="str">
        <f>PROPER(TEXT(A868,"mmmm"))</f>
        <v>Marzo</v>
      </c>
      <c r="X868" t="str">
        <f>PROPER(TEXT(A868,"dddd"))</f>
        <v>Miércoles</v>
      </c>
      <c r="Y868" t="str" cm="1">
        <f t="array" ref="Y868">_xlfn.IFS(R868&gt;10,"Excelente",R868&gt;=5,"Bueno",R868&gt;=2,"Débil",R868&lt;2,"Deficiente")</f>
        <v>Excelente</v>
      </c>
      <c r="Z868" t="str">
        <f>IF(AND(R868&lt;2,Q868&gt;=100),"Revisar","OK")</f>
        <v>OK</v>
      </c>
      <c r="AA868" s="55">
        <f>_xlfn.XLOOKUP(C868,'Preguntas de negocio'!$C$114:$C$119,'Preguntas de negocio'!$D$114:$D$119,0)</f>
        <v>4</v>
      </c>
      <c r="AB868" s="55">
        <f>VLOOKUP(C868,'Preguntas de negocio'!$C$121:$D$127,2,FALSE)</f>
        <v>0.95</v>
      </c>
    </row>
    <row r="869" spans="1:28" x14ac:dyDescent="0.3">
      <c r="A869" s="1">
        <v>45881</v>
      </c>
      <c r="B869" s="2" t="s">
        <v>2619</v>
      </c>
      <c r="C869" s="2" t="s">
        <v>2521</v>
      </c>
      <c r="D869" s="2" t="s">
        <v>2528</v>
      </c>
      <c r="E869" s="2" t="s">
        <v>2529</v>
      </c>
      <c r="F869" s="3">
        <v>144620</v>
      </c>
      <c r="G869" s="3">
        <v>7523</v>
      </c>
      <c r="H869" s="3">
        <v>393</v>
      </c>
      <c r="I869" s="4">
        <v>2867.27</v>
      </c>
      <c r="J869" s="4">
        <v>51533.42</v>
      </c>
      <c r="K869" s="3">
        <v>279</v>
      </c>
      <c r="L869" s="2" t="s">
        <v>2518</v>
      </c>
      <c r="M869" s="2" t="s">
        <v>2537</v>
      </c>
      <c r="N869" s="8">
        <f>IFERROR(G869/F869,0)</f>
        <v>5.2019084497303275E-2</v>
      </c>
      <c r="O869" s="8">
        <f>IFERROR(H869/G869,0)</f>
        <v>5.2239797952944304E-2</v>
      </c>
      <c r="P869" s="4">
        <f>IFERROR(I869/G869,0)</f>
        <v>0.38113385617439849</v>
      </c>
      <c r="Q869" s="4">
        <f>IFERROR(I869/H869,0)</f>
        <v>7.2958524173027985</v>
      </c>
      <c r="R869" s="12">
        <f>IFERROR(J869/I869,0)</f>
        <v>17.972991730810143</v>
      </c>
      <c r="S869" s="7">
        <f>Tabla_nuevas_columnas[[#This Row],[ROAS]]</f>
        <v>17.972991730810143</v>
      </c>
      <c r="T869" t="str">
        <f>_xlfn.CONCAT(C869,"-",D869)</f>
        <v>Paid Search-España</v>
      </c>
      <c r="U869">
        <f>YEAR(A869)</f>
        <v>2025</v>
      </c>
      <c r="V869">
        <f>MONTH(A869)</f>
        <v>8</v>
      </c>
      <c r="W869" t="str">
        <f>PROPER(TEXT(A869,"mmmm"))</f>
        <v>Agosto</v>
      </c>
      <c r="X869" t="str">
        <f>PROPER(TEXT(A869,"dddd"))</f>
        <v>Martes</v>
      </c>
      <c r="Y869" t="str" cm="1">
        <f t="array" ref="Y869">_xlfn.IFS(R869&gt;10,"Excelente",R869&gt;=5,"Bueno",R869&gt;=2,"Débil",R869&lt;2,"Deficiente")</f>
        <v>Excelente</v>
      </c>
      <c r="Z869" t="str">
        <f>IF(AND(R869&lt;2,Q869&gt;=100),"Revisar","OK")</f>
        <v>OK</v>
      </c>
      <c r="AA869" s="55">
        <f>_xlfn.XLOOKUP(C869,'Preguntas de negocio'!$C$114:$C$119,'Preguntas de negocio'!$D$114:$D$119,0)</f>
        <v>5</v>
      </c>
      <c r="AB869" s="55">
        <f>VLOOKUP(C869,'Preguntas de negocio'!$C$121:$D$127,2,FALSE)</f>
        <v>1.1000000000000001</v>
      </c>
    </row>
    <row r="870" spans="1:28" x14ac:dyDescent="0.3">
      <c r="A870" s="1">
        <v>45883</v>
      </c>
      <c r="B870" s="2" t="s">
        <v>2640</v>
      </c>
      <c r="C870" s="2" t="s">
        <v>2541</v>
      </c>
      <c r="D870" s="2" t="s">
        <v>2516</v>
      </c>
      <c r="E870" s="2" t="s">
        <v>2517</v>
      </c>
      <c r="F870" s="3">
        <v>40244</v>
      </c>
      <c r="G870" s="3">
        <v>2878</v>
      </c>
      <c r="H870" s="3">
        <v>351</v>
      </c>
      <c r="I870" s="4">
        <v>4327.83</v>
      </c>
      <c r="J870" s="4">
        <v>76803.34</v>
      </c>
      <c r="K870" s="3">
        <v>278</v>
      </c>
      <c r="L870" s="2" t="s">
        <v>2518</v>
      </c>
      <c r="M870" s="2" t="s">
        <v>2546</v>
      </c>
      <c r="N870" s="8">
        <f>IFERROR(G870/F870,0)</f>
        <v>7.1513766027233874E-2</v>
      </c>
      <c r="O870" s="8">
        <f>IFERROR(H870/G870,0)</f>
        <v>0.12195969423210563</v>
      </c>
      <c r="P870" s="4">
        <f>IFERROR(I870/G870,0)</f>
        <v>1.5037630298818623</v>
      </c>
      <c r="Q870" s="4">
        <f>IFERROR(I870/H870,0)</f>
        <v>12.33</v>
      </c>
      <c r="R870" s="12">
        <f>IFERROR(J870/I870,0)</f>
        <v>17.746385602022261</v>
      </c>
      <c r="S870" s="7">
        <f>Tabla_nuevas_columnas[[#This Row],[ROAS]]</f>
        <v>17.746385602022261</v>
      </c>
      <c r="T870" t="str">
        <f>_xlfn.CONCAT(C870,"-",D870)</f>
        <v>Display-México</v>
      </c>
      <c r="U870">
        <f>YEAR(A870)</f>
        <v>2025</v>
      </c>
      <c r="V870">
        <f>MONTH(A870)</f>
        <v>8</v>
      </c>
      <c r="W870" t="str">
        <f>PROPER(TEXT(A870,"mmmm"))</f>
        <v>Agosto</v>
      </c>
      <c r="X870" t="str">
        <f>PROPER(TEXT(A870,"dddd"))</f>
        <v>Jueves</v>
      </c>
      <c r="Y870" t="str" cm="1">
        <f t="array" ref="Y870">_xlfn.IFS(R870&gt;10,"Excelente",R870&gt;=5,"Bueno",R870&gt;=2,"Débil",R870&lt;2,"Deficiente")</f>
        <v>Excelente</v>
      </c>
      <c r="Z870" t="str">
        <f>IF(AND(R870&lt;2,Q870&gt;=100),"Revisar","OK")</f>
        <v>OK</v>
      </c>
      <c r="AA870" s="55">
        <f>_xlfn.XLOOKUP(C870,'Preguntas de negocio'!$C$114:$C$119,'Preguntas de negocio'!$D$114:$D$119,0)</f>
        <v>5</v>
      </c>
      <c r="AB870" s="55">
        <f>VLOOKUP(C870,'Preguntas de negocio'!$C$121:$D$127,2,FALSE)</f>
        <v>0.5</v>
      </c>
    </row>
    <row r="871" spans="1:28" x14ac:dyDescent="0.3">
      <c r="A871" s="1">
        <v>45939</v>
      </c>
      <c r="B871" s="2" t="s">
        <v>2621</v>
      </c>
      <c r="C871" s="2" t="s">
        <v>2527</v>
      </c>
      <c r="D871" s="2" t="s">
        <v>2525</v>
      </c>
      <c r="E871" s="2" t="s">
        <v>2517</v>
      </c>
      <c r="F871" s="3">
        <v>139912</v>
      </c>
      <c r="G871" s="3">
        <v>10432</v>
      </c>
      <c r="H871" s="3">
        <v>1290</v>
      </c>
      <c r="I871" s="4">
        <v>4170.63</v>
      </c>
      <c r="J871" s="4">
        <v>111491.1</v>
      </c>
      <c r="K871" s="3">
        <v>1099</v>
      </c>
      <c r="L871" s="2" t="s">
        <v>2518</v>
      </c>
      <c r="M871" s="2" t="s">
        <v>2537</v>
      </c>
      <c r="N871" s="8">
        <f>IFERROR(G871/F871,0)</f>
        <v>7.4561152724569729E-2</v>
      </c>
      <c r="O871" s="8">
        <f>IFERROR(H871/G871,0)</f>
        <v>0.12365797546012269</v>
      </c>
      <c r="P871" s="4">
        <f>IFERROR(I871/G871,0)</f>
        <v>0.399791986196319</v>
      </c>
      <c r="Q871" s="4">
        <f>IFERROR(I871/H871,0)</f>
        <v>3.233046511627907</v>
      </c>
      <c r="R871" s="12">
        <f>IFERROR(J871/I871,0)</f>
        <v>26.732436106775236</v>
      </c>
      <c r="S871" s="7">
        <f>Tabla_nuevas_columnas[[#This Row],[ROAS]]</f>
        <v>26.732436106775236</v>
      </c>
      <c r="T871" t="str">
        <f>_xlfn.CONCAT(C871,"-",D871)</f>
        <v>Affiliate-Francia</v>
      </c>
      <c r="U871">
        <f>YEAR(A871)</f>
        <v>2025</v>
      </c>
      <c r="V871">
        <f>MONTH(A871)</f>
        <v>10</v>
      </c>
      <c r="W871" t="str">
        <f>PROPER(TEXT(A871,"mmmm"))</f>
        <v>Octubre</v>
      </c>
      <c r="X871" t="str">
        <f>PROPER(TEXT(A871,"dddd"))</f>
        <v>Jueves</v>
      </c>
      <c r="Y871" t="str" cm="1">
        <f t="array" ref="Y871">_xlfn.IFS(R871&gt;10,"Excelente",R871&gt;=5,"Bueno",R871&gt;=2,"Débil",R871&lt;2,"Deficiente")</f>
        <v>Excelente</v>
      </c>
      <c r="Z871" t="str">
        <f>IF(AND(R871&lt;2,Q871&gt;=100),"Revisar","OK")</f>
        <v>OK</v>
      </c>
      <c r="AA871" s="55">
        <f>_xlfn.XLOOKUP(C871,'Preguntas de negocio'!$C$114:$C$119,'Preguntas de negocio'!$D$114:$D$119,0)</f>
        <v>4.5</v>
      </c>
      <c r="AB871" s="55">
        <f>VLOOKUP(C871,'Preguntas de negocio'!$C$121:$D$127,2,FALSE)</f>
        <v>0.35</v>
      </c>
    </row>
    <row r="872" spans="1:28" x14ac:dyDescent="0.3">
      <c r="A872" s="1">
        <v>45926</v>
      </c>
      <c r="B872" s="2" t="s">
        <v>2634</v>
      </c>
      <c r="C872" s="2" t="s">
        <v>2515</v>
      </c>
      <c r="D872" s="2" t="s">
        <v>2516</v>
      </c>
      <c r="E872" s="2" t="s">
        <v>2529</v>
      </c>
      <c r="F872" s="3">
        <v>131083</v>
      </c>
      <c r="G872" s="3">
        <v>8065</v>
      </c>
      <c r="H872" s="3">
        <v>195</v>
      </c>
      <c r="I872" s="4">
        <v>4988.8999999999996</v>
      </c>
      <c r="J872" s="4">
        <v>21649.29</v>
      </c>
      <c r="K872" s="3">
        <v>148</v>
      </c>
      <c r="L872" s="2" t="s">
        <v>2518</v>
      </c>
      <c r="M872" s="2" t="s">
        <v>2519</v>
      </c>
      <c r="N872" s="8">
        <f>IFERROR(G872/F872,0)</f>
        <v>6.1525903435228062E-2</v>
      </c>
      <c r="O872" s="8">
        <f>IFERROR(H872/G872,0)</f>
        <v>2.4178549287042779E-2</v>
      </c>
      <c r="P872" s="4">
        <f>IFERROR(I872/G872,0)</f>
        <v>0.61858648481091127</v>
      </c>
      <c r="Q872" s="4">
        <f>IFERROR(I872/H872,0)</f>
        <v>25.584102564102562</v>
      </c>
      <c r="R872" s="12">
        <f>IFERROR(J872/I872,0)</f>
        <v>4.3394916715107543</v>
      </c>
      <c r="S872" s="7">
        <f>Tabla_nuevas_columnas[[#This Row],[ROAS]]</f>
        <v>4.3394916715107543</v>
      </c>
      <c r="T872" t="str">
        <f>_xlfn.CONCAT(C872,"-",D872)</f>
        <v>Email-México</v>
      </c>
      <c r="U872">
        <f>YEAR(A872)</f>
        <v>2025</v>
      </c>
      <c r="V872">
        <f>MONTH(A872)</f>
        <v>9</v>
      </c>
      <c r="W872" t="str">
        <f>PROPER(TEXT(A872,"mmmm"))</f>
        <v>Septiembre</v>
      </c>
      <c r="X872" t="str">
        <f>PROPER(TEXT(A872,"dddd"))</f>
        <v>Viernes</v>
      </c>
      <c r="Y872" t="str" cm="1">
        <f t="array" ref="Y872">_xlfn.IFS(R872&gt;10,"Excelente",R872&gt;=5,"Bueno",R872&gt;=2,"Débil",R872&lt;2,"Deficiente")</f>
        <v>Débil</v>
      </c>
      <c r="Z872" t="str">
        <f>IF(AND(R872&lt;2,Q872&gt;=100),"Revisar","OK")</f>
        <v>OK</v>
      </c>
      <c r="AA872" s="55">
        <f>_xlfn.XLOOKUP(C872,'Preguntas de negocio'!$C$114:$C$119,'Preguntas de negocio'!$D$114:$D$119,0)</f>
        <v>5.5</v>
      </c>
      <c r="AB872" s="55">
        <f>VLOOKUP(C872,'Preguntas de negocio'!$C$121:$D$127,2,FALSE)</f>
        <v>0.65</v>
      </c>
    </row>
    <row r="873" spans="1:28" x14ac:dyDescent="0.3">
      <c r="A873" s="1">
        <v>45857</v>
      </c>
      <c r="B873" s="2" t="s">
        <v>2643</v>
      </c>
      <c r="C873" s="2" t="s">
        <v>2533</v>
      </c>
      <c r="D873" s="2" t="s">
        <v>2528</v>
      </c>
      <c r="E873" s="2" t="s">
        <v>2534</v>
      </c>
      <c r="F873" s="3">
        <v>133441</v>
      </c>
      <c r="G873" s="3">
        <v>8231</v>
      </c>
      <c r="H873" s="3">
        <v>1073</v>
      </c>
      <c r="I873" s="4">
        <v>11903.41</v>
      </c>
      <c r="J873" s="4">
        <v>21680.87</v>
      </c>
      <c r="K873" s="3">
        <v>803</v>
      </c>
      <c r="L873" s="2" t="s">
        <v>2518</v>
      </c>
      <c r="M873" s="2" t="s">
        <v>2537</v>
      </c>
      <c r="N873" s="8">
        <f>IFERROR(G873/F873,0)</f>
        <v>6.1682691226834334E-2</v>
      </c>
      <c r="O873" s="8">
        <f>IFERROR(H873/G873,0)</f>
        <v>0.13036083100473819</v>
      </c>
      <c r="P873" s="4">
        <f>IFERROR(I873/G873,0)</f>
        <v>1.4461681448183696</v>
      </c>
      <c r="Q873" s="4">
        <f>IFERROR(I873/H873,0)</f>
        <v>11.093578751164959</v>
      </c>
      <c r="R873" s="12">
        <f>IFERROR(J873/I873,0)</f>
        <v>1.8213999181747078</v>
      </c>
      <c r="S873" s="7">
        <f>Tabla_nuevas_columnas[[#This Row],[ROAS]]</f>
        <v>1.8213999181747078</v>
      </c>
      <c r="T873" t="str">
        <f>_xlfn.CONCAT(C873,"-",D873)</f>
        <v>Paid Social-España</v>
      </c>
      <c r="U873">
        <f>YEAR(A873)</f>
        <v>2025</v>
      </c>
      <c r="V873">
        <f>MONTH(A873)</f>
        <v>7</v>
      </c>
      <c r="W873" t="str">
        <f>PROPER(TEXT(A873,"mmmm"))</f>
        <v>Julio</v>
      </c>
      <c r="X873" t="str">
        <f>PROPER(TEXT(A873,"dddd"))</f>
        <v>Sábado</v>
      </c>
      <c r="Y873" t="str" cm="1">
        <f t="array" ref="Y873">_xlfn.IFS(R873&gt;10,"Excelente",R873&gt;=5,"Bueno",R873&gt;=2,"Débil",R873&lt;2,"Deficiente")</f>
        <v>Deficiente</v>
      </c>
      <c r="Z873" t="str">
        <f>IF(AND(R873&lt;2,Q873&gt;=100),"Revisar","OK")</f>
        <v>OK</v>
      </c>
      <c r="AA873" s="55">
        <f>_xlfn.XLOOKUP(C873,'Preguntas de negocio'!$C$114:$C$119,'Preguntas de negocio'!$D$114:$D$119,0)</f>
        <v>6</v>
      </c>
      <c r="AB873" s="55">
        <f>VLOOKUP(C873,'Preguntas de negocio'!$C$121:$D$127,2,FALSE)</f>
        <v>0.8</v>
      </c>
    </row>
    <row r="874" spans="1:28" x14ac:dyDescent="0.3">
      <c r="A874" s="1">
        <v>45721</v>
      </c>
      <c r="B874" s="2" t="s">
        <v>2637</v>
      </c>
      <c r="C874" s="2" t="s">
        <v>2527</v>
      </c>
      <c r="D874" s="2" t="s">
        <v>2525</v>
      </c>
      <c r="E874" s="2" t="s">
        <v>2529</v>
      </c>
      <c r="F874" s="3">
        <v>165722</v>
      </c>
      <c r="G874" s="3">
        <v>12887</v>
      </c>
      <c r="H874" s="3">
        <v>1523</v>
      </c>
      <c r="I874" s="4">
        <v>22763.51</v>
      </c>
      <c r="J874" s="4">
        <v>68647.350000000006</v>
      </c>
      <c r="K874" s="3">
        <v>891</v>
      </c>
      <c r="L874" s="2" t="s">
        <v>2518</v>
      </c>
      <c r="M874" s="2" t="s">
        <v>2526</v>
      </c>
      <c r="N874" s="8">
        <f>IFERROR(G874/F874,0)</f>
        <v>7.7762759319824765E-2</v>
      </c>
      <c r="O874" s="8">
        <f>IFERROR(H874/G874,0)</f>
        <v>0.11818111274928222</v>
      </c>
      <c r="P874" s="4">
        <f>IFERROR(I874/G874,0)</f>
        <v>1.7663932645301466</v>
      </c>
      <c r="Q874" s="4">
        <f>IFERROR(I874/H874,0)</f>
        <v>14.946493762311226</v>
      </c>
      <c r="R874" s="12">
        <f>IFERROR(J874/I874,0)</f>
        <v>3.0156750870142615</v>
      </c>
      <c r="S874" s="7">
        <f>Tabla_nuevas_columnas[[#This Row],[ROAS]]</f>
        <v>3.0156750870142615</v>
      </c>
      <c r="T874" t="str">
        <f>_xlfn.CONCAT(C874,"-",D874)</f>
        <v>Affiliate-Francia</v>
      </c>
      <c r="U874">
        <f>YEAR(A874)</f>
        <v>2025</v>
      </c>
      <c r="V874">
        <f>MONTH(A874)</f>
        <v>3</v>
      </c>
      <c r="W874" t="str">
        <f>PROPER(TEXT(A874,"mmmm"))</f>
        <v>Marzo</v>
      </c>
      <c r="X874" t="str">
        <f>PROPER(TEXT(A874,"dddd"))</f>
        <v>Miércoles</v>
      </c>
      <c r="Y874" t="str" cm="1">
        <f t="array" ref="Y874">_xlfn.IFS(R874&gt;10,"Excelente",R874&gt;=5,"Bueno",R874&gt;=2,"Débil",R874&lt;2,"Deficiente")</f>
        <v>Débil</v>
      </c>
      <c r="Z874" t="str">
        <f>IF(AND(R874&lt;2,Q874&gt;=100),"Revisar","OK")</f>
        <v>OK</v>
      </c>
      <c r="AA874" s="55">
        <f>_xlfn.XLOOKUP(C874,'Preguntas de negocio'!$C$114:$C$119,'Preguntas de negocio'!$D$114:$D$119,0)</f>
        <v>4.5</v>
      </c>
      <c r="AB874" s="55">
        <f>VLOOKUP(C874,'Preguntas de negocio'!$C$121:$D$127,2,FALSE)</f>
        <v>0.35</v>
      </c>
    </row>
    <row r="875" spans="1:28" x14ac:dyDescent="0.3">
      <c r="A875" s="1">
        <v>45696</v>
      </c>
      <c r="B875" s="2" t="s">
        <v>2639</v>
      </c>
      <c r="C875" s="2" t="s">
        <v>2527</v>
      </c>
      <c r="D875" s="2" t="s">
        <v>2516</v>
      </c>
      <c r="E875" s="2" t="s">
        <v>2529</v>
      </c>
      <c r="F875" s="3">
        <v>69940</v>
      </c>
      <c r="G875" s="3">
        <v>489</v>
      </c>
      <c r="H875" s="3">
        <v>48</v>
      </c>
      <c r="I875" s="4">
        <v>635.96</v>
      </c>
      <c r="J875" s="4">
        <v>2811.83</v>
      </c>
      <c r="K875" s="3">
        <v>37</v>
      </c>
      <c r="L875" s="2" t="s">
        <v>2539</v>
      </c>
      <c r="M875" s="2" t="s">
        <v>2526</v>
      </c>
      <c r="N875" s="8">
        <f>IFERROR(G875/F875,0)</f>
        <v>6.9917071775807832E-3</v>
      </c>
      <c r="O875" s="8">
        <f>IFERROR(H875/G875,0)</f>
        <v>9.815950920245399E-2</v>
      </c>
      <c r="P875" s="4">
        <f>IFERROR(I875/G875,0)</f>
        <v>1.3005316973415133</v>
      </c>
      <c r="Q875" s="4">
        <f>IFERROR(I875/H875,0)</f>
        <v>13.249166666666667</v>
      </c>
      <c r="R875" s="12">
        <f>IFERROR(J875/I875,0)</f>
        <v>4.4213944273224728</v>
      </c>
      <c r="S875" s="7">
        <f>Tabla_nuevas_columnas[[#This Row],[ROAS]]</f>
        <v>4.4213944273224728</v>
      </c>
      <c r="T875" t="str">
        <f>_xlfn.CONCAT(C875,"-",D875)</f>
        <v>Affiliate-México</v>
      </c>
      <c r="U875">
        <f>YEAR(A875)</f>
        <v>2025</v>
      </c>
      <c r="V875">
        <f>MONTH(A875)</f>
        <v>2</v>
      </c>
      <c r="W875" t="str">
        <f>PROPER(TEXT(A875,"mmmm"))</f>
        <v>Febrero</v>
      </c>
      <c r="X875" t="str">
        <f>PROPER(TEXT(A875,"dddd"))</f>
        <v>Sábado</v>
      </c>
      <c r="Y875" t="str" cm="1">
        <f t="array" ref="Y875">_xlfn.IFS(R875&gt;10,"Excelente",R875&gt;=5,"Bueno",R875&gt;=2,"Débil",R875&lt;2,"Deficiente")</f>
        <v>Débil</v>
      </c>
      <c r="Z875" t="str">
        <f>IF(AND(R875&lt;2,Q875&gt;=100),"Revisar","OK")</f>
        <v>OK</v>
      </c>
      <c r="AA875" s="55">
        <f>_xlfn.XLOOKUP(C875,'Preguntas de negocio'!$C$114:$C$119,'Preguntas de negocio'!$D$114:$D$119,0)</f>
        <v>4.5</v>
      </c>
      <c r="AB875" s="55">
        <f>VLOOKUP(C875,'Preguntas de negocio'!$C$121:$D$127,2,FALSE)</f>
        <v>0.35</v>
      </c>
    </row>
    <row r="876" spans="1:28" x14ac:dyDescent="0.3">
      <c r="A876" s="1">
        <v>45983</v>
      </c>
      <c r="B876" s="2" t="s">
        <v>2618</v>
      </c>
      <c r="C876" s="2" t="s">
        <v>2533</v>
      </c>
      <c r="D876" s="2" t="s">
        <v>2528</v>
      </c>
      <c r="E876" s="2" t="s">
        <v>2529</v>
      </c>
      <c r="F876" s="3">
        <v>24125</v>
      </c>
      <c r="G876" s="3">
        <v>782</v>
      </c>
      <c r="H876" s="3">
        <v>97</v>
      </c>
      <c r="I876" s="4">
        <v>902.64</v>
      </c>
      <c r="J876" s="4">
        <v>15290.48</v>
      </c>
      <c r="K876" s="3">
        <v>60</v>
      </c>
      <c r="L876" s="2" t="s">
        <v>2539</v>
      </c>
      <c r="M876" s="2" t="s">
        <v>2519</v>
      </c>
      <c r="N876" s="8">
        <f>IFERROR(G876/F876,0)</f>
        <v>3.2414507772020727E-2</v>
      </c>
      <c r="O876" s="8">
        <f>IFERROR(H876/G876,0)</f>
        <v>0.12404092071611253</v>
      </c>
      <c r="P876" s="4">
        <f>IFERROR(I876/G876,0)</f>
        <v>1.1542710997442456</v>
      </c>
      <c r="Q876" s="4">
        <f>IFERROR(I876/H876,0)</f>
        <v>9.3055670103092787</v>
      </c>
      <c r="R876" s="12">
        <f>IFERROR(J876/I876,0)</f>
        <v>16.939732340689531</v>
      </c>
      <c r="S876" s="7">
        <f>Tabla_nuevas_columnas[[#This Row],[ROAS]]</f>
        <v>16.939732340689531</v>
      </c>
      <c r="T876" t="str">
        <f>_xlfn.CONCAT(C876,"-",D876)</f>
        <v>Paid Social-España</v>
      </c>
      <c r="U876">
        <f>YEAR(A876)</f>
        <v>2025</v>
      </c>
      <c r="V876">
        <f>MONTH(A876)</f>
        <v>11</v>
      </c>
      <c r="W876" t="str">
        <f>PROPER(TEXT(A876,"mmmm"))</f>
        <v>Noviembre</v>
      </c>
      <c r="X876" t="str">
        <f>PROPER(TEXT(A876,"dddd"))</f>
        <v>Sábado</v>
      </c>
      <c r="Y876" t="str" cm="1">
        <f t="array" ref="Y876">_xlfn.IFS(R876&gt;10,"Excelente",R876&gt;=5,"Bueno",R876&gt;=2,"Débil",R876&lt;2,"Deficiente")</f>
        <v>Excelente</v>
      </c>
      <c r="Z876" t="str">
        <f>IF(AND(R876&lt;2,Q876&gt;=100),"Revisar","OK")</f>
        <v>OK</v>
      </c>
      <c r="AA876" s="55">
        <f>_xlfn.XLOOKUP(C876,'Preguntas de negocio'!$C$114:$C$119,'Preguntas de negocio'!$D$114:$D$119,0)</f>
        <v>6</v>
      </c>
      <c r="AB876" s="55">
        <f>VLOOKUP(C876,'Preguntas de negocio'!$C$121:$D$127,2,FALSE)</f>
        <v>0.8</v>
      </c>
    </row>
    <row r="877" spans="1:28" x14ac:dyDescent="0.3">
      <c r="A877" s="1">
        <v>45779</v>
      </c>
      <c r="B877" s="2" t="s">
        <v>2625</v>
      </c>
      <c r="C877" s="2" t="s">
        <v>2515</v>
      </c>
      <c r="D877" s="2" t="s">
        <v>2516</v>
      </c>
      <c r="E877" s="2" t="s">
        <v>2517</v>
      </c>
      <c r="F877" s="3">
        <v>50091</v>
      </c>
      <c r="G877" s="3">
        <v>4205</v>
      </c>
      <c r="H877" s="3">
        <v>204</v>
      </c>
      <c r="I877" s="4">
        <v>2534</v>
      </c>
      <c r="J877" s="4">
        <v>36782.6</v>
      </c>
      <c r="K877" s="3">
        <v>139</v>
      </c>
      <c r="L877" s="2" t="s">
        <v>2518</v>
      </c>
      <c r="M877" s="2" t="s">
        <v>2519</v>
      </c>
      <c r="N877" s="8">
        <f>IFERROR(G877/F877,0)</f>
        <v>8.3947216066758493E-2</v>
      </c>
      <c r="O877" s="8">
        <f>IFERROR(H877/G877,0)</f>
        <v>4.8513674197384067E-2</v>
      </c>
      <c r="P877" s="4">
        <f>IFERROR(I877/G877,0)</f>
        <v>0.602615933412604</v>
      </c>
      <c r="Q877" s="4">
        <f>IFERROR(I877/H877,0)</f>
        <v>12.421568627450981</v>
      </c>
      <c r="R877" s="12">
        <f>IFERROR(J877/I877,0)</f>
        <v>14.515627466456195</v>
      </c>
      <c r="S877" s="7">
        <f>Tabla_nuevas_columnas[[#This Row],[ROAS]]</f>
        <v>14.515627466456195</v>
      </c>
      <c r="T877" t="str">
        <f>_xlfn.CONCAT(C877,"-",D877)</f>
        <v>Email-México</v>
      </c>
      <c r="U877">
        <f>YEAR(A877)</f>
        <v>2025</v>
      </c>
      <c r="V877">
        <f>MONTH(A877)</f>
        <v>5</v>
      </c>
      <c r="W877" t="str">
        <f>PROPER(TEXT(A877,"mmmm"))</f>
        <v>Mayo</v>
      </c>
      <c r="X877" t="str">
        <f>PROPER(TEXT(A877,"dddd"))</f>
        <v>Viernes</v>
      </c>
      <c r="Y877" t="str" cm="1">
        <f t="array" ref="Y877">_xlfn.IFS(R877&gt;10,"Excelente",R877&gt;=5,"Bueno",R877&gt;=2,"Débil",R877&lt;2,"Deficiente")</f>
        <v>Excelente</v>
      </c>
      <c r="Z877" t="str">
        <f>IF(AND(R877&lt;2,Q877&gt;=100),"Revisar","OK")</f>
        <v>OK</v>
      </c>
      <c r="AA877" s="55">
        <f>_xlfn.XLOOKUP(C877,'Preguntas de negocio'!$C$114:$C$119,'Preguntas de negocio'!$D$114:$D$119,0)</f>
        <v>5.5</v>
      </c>
      <c r="AB877" s="55">
        <f>VLOOKUP(C877,'Preguntas de negocio'!$C$121:$D$127,2,FALSE)</f>
        <v>0.65</v>
      </c>
    </row>
    <row r="878" spans="1:28" x14ac:dyDescent="0.3">
      <c r="A878" s="1">
        <v>45679</v>
      </c>
      <c r="B878" s="2" t="s">
        <v>2644</v>
      </c>
      <c r="C878" s="2" t="s">
        <v>2527</v>
      </c>
      <c r="D878" s="2" t="s">
        <v>2528</v>
      </c>
      <c r="E878" s="2" t="s">
        <v>2517</v>
      </c>
      <c r="F878" s="3">
        <v>173256</v>
      </c>
      <c r="G878" s="3">
        <v>7586</v>
      </c>
      <c r="H878" s="3">
        <v>652</v>
      </c>
      <c r="I878" s="4">
        <v>11764.93</v>
      </c>
      <c r="J878" s="4">
        <v>30093.16</v>
      </c>
      <c r="K878" s="3">
        <v>559</v>
      </c>
      <c r="L878" s="2" t="s">
        <v>2518</v>
      </c>
      <c r="M878" s="2" t="s">
        <v>2526</v>
      </c>
      <c r="N878" s="8">
        <f>IFERROR(G878/F878,0)</f>
        <v>4.3784919425589881E-2</v>
      </c>
      <c r="O878" s="8">
        <f>IFERROR(H878/G878,0)</f>
        <v>8.5947798576324813E-2</v>
      </c>
      <c r="P878" s="4">
        <f>IFERROR(I878/G878,0)</f>
        <v>1.5508739783812286</v>
      </c>
      <c r="Q878" s="4">
        <f>IFERROR(I878/H878,0)</f>
        <v>18.044371165644172</v>
      </c>
      <c r="R878" s="12">
        <f>IFERROR(J878/I878,0)</f>
        <v>2.5578698725789275</v>
      </c>
      <c r="S878" s="7">
        <f>Tabla_nuevas_columnas[[#This Row],[ROAS]]</f>
        <v>2.5578698725789275</v>
      </c>
      <c r="T878" t="str">
        <f>_xlfn.CONCAT(C878,"-",D878)</f>
        <v>Affiliate-España</v>
      </c>
      <c r="U878">
        <f>YEAR(A878)</f>
        <v>2025</v>
      </c>
      <c r="V878">
        <f>MONTH(A878)</f>
        <v>1</v>
      </c>
      <c r="W878" t="str">
        <f>PROPER(TEXT(A878,"mmmm"))</f>
        <v>Enero</v>
      </c>
      <c r="X878" t="str">
        <f>PROPER(TEXT(A878,"dddd"))</f>
        <v>Miércoles</v>
      </c>
      <c r="Y878" t="str" cm="1">
        <f t="array" ref="Y878">_xlfn.IFS(R878&gt;10,"Excelente",R878&gt;=5,"Bueno",R878&gt;=2,"Débil",R878&lt;2,"Deficiente")</f>
        <v>Débil</v>
      </c>
      <c r="Z878" t="str">
        <f>IF(AND(R878&lt;2,Q878&gt;=100),"Revisar","OK")</f>
        <v>OK</v>
      </c>
      <c r="AA878" s="55">
        <f>_xlfn.XLOOKUP(C878,'Preguntas de negocio'!$C$114:$C$119,'Preguntas de negocio'!$D$114:$D$119,0)</f>
        <v>4.5</v>
      </c>
      <c r="AB878" s="55">
        <f>VLOOKUP(C878,'Preguntas de negocio'!$C$121:$D$127,2,FALSE)</f>
        <v>0.35</v>
      </c>
    </row>
    <row r="879" spans="1:28" x14ac:dyDescent="0.3">
      <c r="A879" s="1">
        <v>46016</v>
      </c>
      <c r="B879" s="2" t="s">
        <v>2636</v>
      </c>
      <c r="C879" s="2" t="s">
        <v>2533</v>
      </c>
      <c r="D879" s="2" t="s">
        <v>2525</v>
      </c>
      <c r="E879" s="2" t="s">
        <v>2529</v>
      </c>
      <c r="F879" s="3">
        <v>39456</v>
      </c>
      <c r="G879" s="3">
        <v>975</v>
      </c>
      <c r="H879" s="3">
        <v>121</v>
      </c>
      <c r="I879" s="4">
        <v>1770.75</v>
      </c>
      <c r="J879" s="4">
        <v>25361.75</v>
      </c>
      <c r="K879" s="3">
        <v>92</v>
      </c>
      <c r="L879" s="2" t="s">
        <v>2518</v>
      </c>
      <c r="M879" s="2" t="s">
        <v>2519</v>
      </c>
      <c r="N879" s="8">
        <f>IFERROR(G879/F879,0)</f>
        <v>2.4711070559610707E-2</v>
      </c>
      <c r="O879" s="8">
        <f>IFERROR(H879/G879,0)</f>
        <v>0.12410256410256411</v>
      </c>
      <c r="P879" s="4">
        <f>IFERROR(I879/G879,0)</f>
        <v>1.8161538461538462</v>
      </c>
      <c r="Q879" s="4">
        <f>IFERROR(I879/H879,0)</f>
        <v>14.634297520661157</v>
      </c>
      <c r="R879" s="12">
        <f>IFERROR(J879/I879,0)</f>
        <v>14.32260341663137</v>
      </c>
      <c r="S879" s="7">
        <f>Tabla_nuevas_columnas[[#This Row],[ROAS]]</f>
        <v>14.32260341663137</v>
      </c>
      <c r="T879" t="str">
        <f>_xlfn.CONCAT(C879,"-",D879)</f>
        <v>Paid Social-Francia</v>
      </c>
      <c r="U879">
        <f>YEAR(A879)</f>
        <v>2025</v>
      </c>
      <c r="V879">
        <f>MONTH(A879)</f>
        <v>12</v>
      </c>
      <c r="W879" t="str">
        <f>PROPER(TEXT(A879,"mmmm"))</f>
        <v>Diciembre</v>
      </c>
      <c r="X879" t="str">
        <f>PROPER(TEXT(A879,"dddd"))</f>
        <v>Jueves</v>
      </c>
      <c r="Y879" t="str" cm="1">
        <f t="array" ref="Y879">_xlfn.IFS(R879&gt;10,"Excelente",R879&gt;=5,"Bueno",R879&gt;=2,"Débil",R879&lt;2,"Deficiente")</f>
        <v>Excelente</v>
      </c>
      <c r="Z879" t="str">
        <f>IF(AND(R879&lt;2,Q879&gt;=100),"Revisar","OK")</f>
        <v>OK</v>
      </c>
      <c r="AA879" s="55">
        <f>_xlfn.XLOOKUP(C879,'Preguntas de negocio'!$C$114:$C$119,'Preguntas de negocio'!$D$114:$D$119,0)</f>
        <v>6</v>
      </c>
      <c r="AB879" s="55">
        <f>VLOOKUP(C879,'Preguntas de negocio'!$C$121:$D$127,2,FALSE)</f>
        <v>0.8</v>
      </c>
    </row>
    <row r="880" spans="1:28" x14ac:dyDescent="0.3">
      <c r="A880" s="1">
        <v>45780</v>
      </c>
      <c r="B880" s="2" t="s">
        <v>2641</v>
      </c>
      <c r="C880" s="2" t="s">
        <v>2541</v>
      </c>
      <c r="D880" s="2" t="s">
        <v>2528</v>
      </c>
      <c r="E880" s="2" t="s">
        <v>2517</v>
      </c>
      <c r="F880" s="3">
        <v>57755</v>
      </c>
      <c r="G880" s="3">
        <v>3798</v>
      </c>
      <c r="H880" s="3">
        <v>154</v>
      </c>
      <c r="I880" s="4">
        <v>2098.4499999999998</v>
      </c>
      <c r="J880" s="4">
        <v>28133.58</v>
      </c>
      <c r="K880" s="3">
        <v>79</v>
      </c>
      <c r="L880" s="2" t="s">
        <v>2518</v>
      </c>
      <c r="M880" s="2" t="s">
        <v>2519</v>
      </c>
      <c r="N880" s="8">
        <f>IFERROR(G880/F880,0)</f>
        <v>6.576054021296858E-2</v>
      </c>
      <c r="O880" s="8">
        <f>IFERROR(H880/G880,0)</f>
        <v>4.0547656661400734E-2</v>
      </c>
      <c r="P880" s="4">
        <f>IFERROR(I880/G880,0)</f>
        <v>0.55251448130595049</v>
      </c>
      <c r="Q880" s="4">
        <f>IFERROR(I880/H880,0)</f>
        <v>13.626298701298699</v>
      </c>
      <c r="R880" s="12">
        <f>IFERROR(J880/I880,0)</f>
        <v>13.406838380709573</v>
      </c>
      <c r="S880" s="7">
        <f>Tabla_nuevas_columnas[[#This Row],[ROAS]]</f>
        <v>13.406838380709573</v>
      </c>
      <c r="T880" t="str">
        <f>_xlfn.CONCAT(C880,"-",D880)</f>
        <v>Display-España</v>
      </c>
      <c r="U880">
        <f>YEAR(A880)</f>
        <v>2025</v>
      </c>
      <c r="V880">
        <f>MONTH(A880)</f>
        <v>5</v>
      </c>
      <c r="W880" t="str">
        <f>PROPER(TEXT(A880,"mmmm"))</f>
        <v>Mayo</v>
      </c>
      <c r="X880" t="str">
        <f>PROPER(TEXT(A880,"dddd"))</f>
        <v>Sábado</v>
      </c>
      <c r="Y880" t="str" cm="1">
        <f t="array" ref="Y880">_xlfn.IFS(R880&gt;10,"Excelente",R880&gt;=5,"Bueno",R880&gt;=2,"Débil",R880&lt;2,"Deficiente")</f>
        <v>Excelente</v>
      </c>
      <c r="Z880" t="str">
        <f>IF(AND(R880&lt;2,Q880&gt;=100),"Revisar","OK")</f>
        <v>OK</v>
      </c>
      <c r="AA880" s="55">
        <f>_xlfn.XLOOKUP(C880,'Preguntas de negocio'!$C$114:$C$119,'Preguntas de negocio'!$D$114:$D$119,0)</f>
        <v>5</v>
      </c>
      <c r="AB880" s="55">
        <f>VLOOKUP(C880,'Preguntas de negocio'!$C$121:$D$127,2,FALSE)</f>
        <v>0.5</v>
      </c>
    </row>
    <row r="881" spans="1:28" x14ac:dyDescent="0.3">
      <c r="A881" s="1">
        <v>45796</v>
      </c>
      <c r="B881" s="2" t="s">
        <v>2641</v>
      </c>
      <c r="C881" s="2" t="s">
        <v>2543</v>
      </c>
      <c r="D881" s="2" t="s">
        <v>2522</v>
      </c>
      <c r="E881" s="2" t="s">
        <v>2529</v>
      </c>
      <c r="F881" s="3">
        <v>103561</v>
      </c>
      <c r="G881" s="3">
        <v>2641</v>
      </c>
      <c r="H881" s="3">
        <v>329</v>
      </c>
      <c r="I881" s="4">
        <v>4108.5</v>
      </c>
      <c r="J881" s="4">
        <v>67225.850000000006</v>
      </c>
      <c r="K881" s="3">
        <v>212</v>
      </c>
      <c r="L881" s="2" t="s">
        <v>2536</v>
      </c>
      <c r="M881" s="2" t="s">
        <v>2519</v>
      </c>
      <c r="N881" s="8">
        <f>IFERROR(G881/F881,0)</f>
        <v>2.5501878120141753E-2</v>
      </c>
      <c r="O881" s="8">
        <f>IFERROR(H881/G881,0)</f>
        <v>0.12457402499053388</v>
      </c>
      <c r="P881" s="4">
        <f>IFERROR(I881/G881,0)</f>
        <v>1.5556607345702385</v>
      </c>
      <c r="Q881" s="4">
        <f>IFERROR(I881/H881,0)</f>
        <v>12.487841945288753</v>
      </c>
      <c r="R881" s="12">
        <f>IFERROR(J881/I881,0)</f>
        <v>16.362626262626264</v>
      </c>
      <c r="S881" s="7">
        <f>Tabla_nuevas_columnas[[#This Row],[ROAS]]</f>
        <v>16.362626262626264</v>
      </c>
      <c r="T881" t="str">
        <f>_xlfn.CONCAT(C881,"-",D881)</f>
        <v>Organic Social-Italia</v>
      </c>
      <c r="U881">
        <f>YEAR(A881)</f>
        <v>2025</v>
      </c>
      <c r="V881">
        <f>MONTH(A881)</f>
        <v>5</v>
      </c>
      <c r="W881" t="str">
        <f>PROPER(TEXT(A881,"mmmm"))</f>
        <v>Mayo</v>
      </c>
      <c r="X881" t="str">
        <f>PROPER(TEXT(A881,"dddd"))</f>
        <v>Lunes</v>
      </c>
      <c r="Y881" t="str" cm="1">
        <f t="array" ref="Y881">_xlfn.IFS(R881&gt;10,"Excelente",R881&gt;=5,"Bueno",R881&gt;=2,"Débil",R881&lt;2,"Deficiente")</f>
        <v>Excelente</v>
      </c>
      <c r="Z881" t="str">
        <f>IF(AND(R881&lt;2,Q881&gt;=100),"Revisar","OK")</f>
        <v>OK</v>
      </c>
      <c r="AA881" s="55">
        <f>_xlfn.XLOOKUP(C881,'Preguntas de negocio'!$C$114:$C$119,'Preguntas de negocio'!$D$114:$D$119,0)</f>
        <v>4</v>
      </c>
      <c r="AB881" s="55">
        <f>VLOOKUP(C881,'Preguntas de negocio'!$C$121:$D$127,2,FALSE)</f>
        <v>0.95</v>
      </c>
    </row>
    <row r="882" spans="1:28" x14ac:dyDescent="0.3">
      <c r="A882" s="1">
        <v>45671</v>
      </c>
      <c r="B882" s="2" t="s">
        <v>2639</v>
      </c>
      <c r="C882" s="2" t="s">
        <v>2521</v>
      </c>
      <c r="D882" s="2" t="s">
        <v>2528</v>
      </c>
      <c r="E882" s="2" t="s">
        <v>2529</v>
      </c>
      <c r="F882" s="3">
        <v>41693</v>
      </c>
      <c r="G882" s="3">
        <v>1507</v>
      </c>
      <c r="H882" s="3">
        <v>75</v>
      </c>
      <c r="I882" s="4">
        <v>184.82</v>
      </c>
      <c r="J882" s="4">
        <v>14243.84</v>
      </c>
      <c r="K882" s="3">
        <v>64</v>
      </c>
      <c r="L882" s="2" t="s">
        <v>2539</v>
      </c>
      <c r="M882" s="2" t="s">
        <v>2524</v>
      </c>
      <c r="N882" s="8">
        <f>IFERROR(G882/F882,0)</f>
        <v>3.6145156261242893E-2</v>
      </c>
      <c r="O882" s="8">
        <f>IFERROR(H882/G882,0)</f>
        <v>4.9767750497677503E-2</v>
      </c>
      <c r="P882" s="4">
        <f>IFERROR(I882/G882,0)</f>
        <v>0.12264100862641009</v>
      </c>
      <c r="Q882" s="4">
        <f>IFERROR(I882/H882,0)</f>
        <v>2.4642666666666666</v>
      </c>
      <c r="R882" s="12">
        <f>IFERROR(J882/I882,0)</f>
        <v>77.068715506979771</v>
      </c>
      <c r="S882" s="7">
        <f>Tabla_nuevas_columnas[[#This Row],[ROAS]]</f>
        <v>77.068715506979771</v>
      </c>
      <c r="T882" t="str">
        <f>_xlfn.CONCAT(C882,"-",D882)</f>
        <v>Paid Search-España</v>
      </c>
      <c r="U882">
        <f>YEAR(A882)</f>
        <v>2025</v>
      </c>
      <c r="V882">
        <f>MONTH(A882)</f>
        <v>1</v>
      </c>
      <c r="W882" t="str">
        <f>PROPER(TEXT(A882,"mmmm"))</f>
        <v>Enero</v>
      </c>
      <c r="X882" t="str">
        <f>PROPER(TEXT(A882,"dddd"))</f>
        <v>Martes</v>
      </c>
      <c r="Y882" t="str" cm="1">
        <f t="array" ref="Y882">_xlfn.IFS(R882&gt;10,"Excelente",R882&gt;=5,"Bueno",R882&gt;=2,"Débil",R882&lt;2,"Deficiente")</f>
        <v>Excelente</v>
      </c>
      <c r="Z882" t="str">
        <f>IF(AND(R882&lt;2,Q882&gt;=100),"Revisar","OK")</f>
        <v>OK</v>
      </c>
      <c r="AA882" s="55">
        <f>_xlfn.XLOOKUP(C882,'Preguntas de negocio'!$C$114:$C$119,'Preguntas de negocio'!$D$114:$D$119,0)</f>
        <v>5</v>
      </c>
      <c r="AB882" s="55">
        <f>VLOOKUP(C882,'Preguntas de negocio'!$C$121:$D$127,2,FALSE)</f>
        <v>1.1000000000000001</v>
      </c>
    </row>
    <row r="883" spans="1:28" x14ac:dyDescent="0.3">
      <c r="A883" s="1">
        <v>45788</v>
      </c>
      <c r="B883" s="2" t="s">
        <v>2623</v>
      </c>
      <c r="C883" s="2" t="s">
        <v>2527</v>
      </c>
      <c r="D883" s="2" t="s">
        <v>2522</v>
      </c>
      <c r="E883" s="2" t="s">
        <v>2529</v>
      </c>
      <c r="F883" s="3">
        <v>125464</v>
      </c>
      <c r="G883" s="3">
        <v>4355</v>
      </c>
      <c r="H883" s="3">
        <v>209</v>
      </c>
      <c r="I883" s="4">
        <v>8971.16</v>
      </c>
      <c r="J883" s="4">
        <v>23296.400000000001</v>
      </c>
      <c r="K883" s="3">
        <v>101</v>
      </c>
      <c r="L883" s="2" t="s">
        <v>2539</v>
      </c>
      <c r="M883" s="2" t="s">
        <v>2524</v>
      </c>
      <c r="N883" s="8">
        <f>IFERROR(G883/F883,0)</f>
        <v>3.4711152203022379E-2</v>
      </c>
      <c r="O883" s="8">
        <f>IFERROR(H883/G883,0)</f>
        <v>4.799081515499426E-2</v>
      </c>
      <c r="P883" s="4">
        <f>IFERROR(I883/G883,0)</f>
        <v>2.0599678530424801</v>
      </c>
      <c r="Q883" s="4">
        <f>IFERROR(I883/H883,0)</f>
        <v>42.92421052631579</v>
      </c>
      <c r="R883" s="12">
        <f>IFERROR(J883/I883,0)</f>
        <v>2.5968102229811976</v>
      </c>
      <c r="S883" s="7">
        <f>Tabla_nuevas_columnas[[#This Row],[ROAS]]</f>
        <v>2.5968102229811976</v>
      </c>
      <c r="T883" t="str">
        <f>_xlfn.CONCAT(C883,"-",D883)</f>
        <v>Affiliate-Italia</v>
      </c>
      <c r="U883">
        <f>YEAR(A883)</f>
        <v>2025</v>
      </c>
      <c r="V883">
        <f>MONTH(A883)</f>
        <v>5</v>
      </c>
      <c r="W883" t="str">
        <f>PROPER(TEXT(A883,"mmmm"))</f>
        <v>Mayo</v>
      </c>
      <c r="X883" t="str">
        <f>PROPER(TEXT(A883,"dddd"))</f>
        <v>Domingo</v>
      </c>
      <c r="Y883" t="str" cm="1">
        <f t="array" ref="Y883">_xlfn.IFS(R883&gt;10,"Excelente",R883&gt;=5,"Bueno",R883&gt;=2,"Débil",R883&lt;2,"Deficiente")</f>
        <v>Débil</v>
      </c>
      <c r="Z883" t="str">
        <f>IF(AND(R883&lt;2,Q883&gt;=100),"Revisar","OK")</f>
        <v>OK</v>
      </c>
      <c r="AA883" s="55">
        <f>_xlfn.XLOOKUP(C883,'Preguntas de negocio'!$C$114:$C$119,'Preguntas de negocio'!$D$114:$D$119,0)</f>
        <v>4.5</v>
      </c>
      <c r="AB883" s="55">
        <f>VLOOKUP(C883,'Preguntas de negocio'!$C$121:$D$127,2,FALSE)</f>
        <v>0.35</v>
      </c>
    </row>
    <row r="884" spans="1:28" x14ac:dyDescent="0.3">
      <c r="A884" s="1">
        <v>45742</v>
      </c>
      <c r="B884" s="2" t="s">
        <v>2638</v>
      </c>
      <c r="C884" s="2" t="s">
        <v>2527</v>
      </c>
      <c r="D884" s="2" t="s">
        <v>2528</v>
      </c>
      <c r="E884" s="2" t="s">
        <v>2529</v>
      </c>
      <c r="F884" s="3">
        <v>3407</v>
      </c>
      <c r="G884" s="3">
        <v>263</v>
      </c>
      <c r="H884" s="3">
        <v>28</v>
      </c>
      <c r="I884" s="4">
        <v>538.49</v>
      </c>
      <c r="J884" s="4">
        <v>3168.29</v>
      </c>
      <c r="K884" s="3">
        <v>13</v>
      </c>
      <c r="L884" s="2" t="s">
        <v>2539</v>
      </c>
      <c r="M884" s="2" t="s">
        <v>2524</v>
      </c>
      <c r="N884" s="8">
        <f>IFERROR(G884/F884,0)</f>
        <v>7.7194012327560901E-2</v>
      </c>
      <c r="O884" s="8">
        <f>IFERROR(H884/G884,0)</f>
        <v>0.10646387832699619</v>
      </c>
      <c r="P884" s="4">
        <f>IFERROR(I884/G884,0)</f>
        <v>2.0474904942965781</v>
      </c>
      <c r="Q884" s="4">
        <f>IFERROR(I884/H884,0)</f>
        <v>19.231785714285714</v>
      </c>
      <c r="R884" s="12">
        <f>IFERROR(J884/I884,0)</f>
        <v>5.8836561496035209</v>
      </c>
      <c r="S884" s="7">
        <f>Tabla_nuevas_columnas[[#This Row],[ROAS]]</f>
        <v>5.8836561496035209</v>
      </c>
      <c r="T884" t="str">
        <f>_xlfn.CONCAT(C884,"-",D884)</f>
        <v>Affiliate-España</v>
      </c>
      <c r="U884">
        <f>YEAR(A884)</f>
        <v>2025</v>
      </c>
      <c r="V884">
        <f>MONTH(A884)</f>
        <v>3</v>
      </c>
      <c r="W884" t="str">
        <f>PROPER(TEXT(A884,"mmmm"))</f>
        <v>Marzo</v>
      </c>
      <c r="X884" t="str">
        <f>PROPER(TEXT(A884,"dddd"))</f>
        <v>Miércoles</v>
      </c>
      <c r="Y884" t="str" cm="1">
        <f t="array" ref="Y884">_xlfn.IFS(R884&gt;10,"Excelente",R884&gt;=5,"Bueno",R884&gt;=2,"Débil",R884&lt;2,"Deficiente")</f>
        <v>Bueno</v>
      </c>
      <c r="Z884" t="str">
        <f>IF(AND(R884&lt;2,Q884&gt;=100),"Revisar","OK")</f>
        <v>OK</v>
      </c>
      <c r="AA884" s="55">
        <f>_xlfn.XLOOKUP(C884,'Preguntas de negocio'!$C$114:$C$119,'Preguntas de negocio'!$D$114:$D$119,0)</f>
        <v>4.5</v>
      </c>
      <c r="AB884" s="55">
        <f>VLOOKUP(C884,'Preguntas de negocio'!$C$121:$D$127,2,FALSE)</f>
        <v>0.35</v>
      </c>
    </row>
    <row r="885" spans="1:28" x14ac:dyDescent="0.3">
      <c r="A885" s="1">
        <v>45930</v>
      </c>
      <c r="B885" s="2" t="s">
        <v>2642</v>
      </c>
      <c r="C885" s="2" t="s">
        <v>2527</v>
      </c>
      <c r="D885" s="2" t="s">
        <v>2528</v>
      </c>
      <c r="E885" s="2" t="s">
        <v>2517</v>
      </c>
      <c r="F885" s="3">
        <v>53660</v>
      </c>
      <c r="G885" s="3">
        <v>1329</v>
      </c>
      <c r="H885" s="3">
        <v>38</v>
      </c>
      <c r="I885" s="4">
        <v>165.94</v>
      </c>
      <c r="J885" s="4">
        <v>1833.31</v>
      </c>
      <c r="K885" s="3">
        <v>33</v>
      </c>
      <c r="L885" s="2" t="s">
        <v>2536</v>
      </c>
      <c r="M885" s="2" t="s">
        <v>2526</v>
      </c>
      <c r="N885" s="8">
        <f>IFERROR(G885/F885,0)</f>
        <v>2.4767051807677971E-2</v>
      </c>
      <c r="O885" s="8">
        <f>IFERROR(H885/G885,0)</f>
        <v>2.8592927012791574E-2</v>
      </c>
      <c r="P885" s="4">
        <f>IFERROR(I885/G885,0)</f>
        <v>0.12486079759217457</v>
      </c>
      <c r="Q885" s="4">
        <f>IFERROR(I885/H885,0)</f>
        <v>4.3668421052631574</v>
      </c>
      <c r="R885" s="12">
        <f>IFERROR(J885/I885,0)</f>
        <v>11.048029408219838</v>
      </c>
      <c r="S885" s="7">
        <f>Tabla_nuevas_columnas[[#This Row],[ROAS]]</f>
        <v>11.048029408219838</v>
      </c>
      <c r="T885" t="str">
        <f>_xlfn.CONCAT(C885,"-",D885)</f>
        <v>Affiliate-España</v>
      </c>
      <c r="U885">
        <f>YEAR(A885)</f>
        <v>2025</v>
      </c>
      <c r="V885">
        <f>MONTH(A885)</f>
        <v>9</v>
      </c>
      <c r="W885" t="str">
        <f>PROPER(TEXT(A885,"mmmm"))</f>
        <v>Septiembre</v>
      </c>
      <c r="X885" t="str">
        <f>PROPER(TEXT(A885,"dddd"))</f>
        <v>Martes</v>
      </c>
      <c r="Y885" t="str" cm="1">
        <f t="array" ref="Y885">_xlfn.IFS(R885&gt;10,"Excelente",R885&gt;=5,"Bueno",R885&gt;=2,"Débil",R885&lt;2,"Deficiente")</f>
        <v>Excelente</v>
      </c>
      <c r="Z885" t="str">
        <f>IF(AND(R885&lt;2,Q885&gt;=100),"Revisar","OK")</f>
        <v>OK</v>
      </c>
      <c r="AA885" s="55">
        <f>_xlfn.XLOOKUP(C885,'Preguntas de negocio'!$C$114:$C$119,'Preguntas de negocio'!$D$114:$D$119,0)</f>
        <v>4.5</v>
      </c>
      <c r="AB885" s="55">
        <f>VLOOKUP(C885,'Preguntas de negocio'!$C$121:$D$127,2,FALSE)</f>
        <v>0.35</v>
      </c>
    </row>
    <row r="886" spans="1:28" x14ac:dyDescent="0.3">
      <c r="A886" s="1">
        <v>45960</v>
      </c>
      <c r="B886" s="2" t="s">
        <v>2629</v>
      </c>
      <c r="C886" s="2" t="s">
        <v>2521</v>
      </c>
      <c r="D886" s="2" t="s">
        <v>2522</v>
      </c>
      <c r="E886" s="2" t="s">
        <v>2529</v>
      </c>
      <c r="F886" s="3">
        <v>67113</v>
      </c>
      <c r="G886" s="3">
        <v>5250</v>
      </c>
      <c r="H886" s="3">
        <v>27</v>
      </c>
      <c r="I886" s="4">
        <v>1943.68</v>
      </c>
      <c r="J886" s="4">
        <v>3153.04</v>
      </c>
      <c r="K886" s="3">
        <v>14</v>
      </c>
      <c r="L886" s="2" t="s">
        <v>2518</v>
      </c>
      <c r="M886" s="2" t="s">
        <v>2519</v>
      </c>
      <c r="N886" s="8">
        <f>IFERROR(G886/F886,0)</f>
        <v>7.8226275088283934E-2</v>
      </c>
      <c r="O886" s="8">
        <f>IFERROR(H886/G886,0)</f>
        <v>5.1428571428571426E-3</v>
      </c>
      <c r="P886" s="4">
        <f>IFERROR(I886/G886,0)</f>
        <v>0.37022476190476189</v>
      </c>
      <c r="Q886" s="4">
        <f>IFERROR(I886/H886,0)</f>
        <v>71.988148148148156</v>
      </c>
      <c r="R886" s="12">
        <f>IFERROR(J886/I886,0)</f>
        <v>1.6222011853803096</v>
      </c>
      <c r="S886" s="7">
        <f>Tabla_nuevas_columnas[[#This Row],[ROAS]]</f>
        <v>1.6222011853803096</v>
      </c>
      <c r="T886" t="str">
        <f>_xlfn.CONCAT(C886,"-",D886)</f>
        <v>Paid Search-Italia</v>
      </c>
      <c r="U886">
        <f>YEAR(A886)</f>
        <v>2025</v>
      </c>
      <c r="V886">
        <f>MONTH(A886)</f>
        <v>10</v>
      </c>
      <c r="W886" t="str">
        <f>PROPER(TEXT(A886,"mmmm"))</f>
        <v>Octubre</v>
      </c>
      <c r="X886" t="str">
        <f>PROPER(TEXT(A886,"dddd"))</f>
        <v>Jueves</v>
      </c>
      <c r="Y886" t="str" cm="1">
        <f t="array" ref="Y886">_xlfn.IFS(R886&gt;10,"Excelente",R886&gt;=5,"Bueno",R886&gt;=2,"Débil",R886&lt;2,"Deficiente")</f>
        <v>Deficiente</v>
      </c>
      <c r="Z886" t="str">
        <f>IF(AND(R886&lt;2,Q886&gt;=100),"Revisar","OK")</f>
        <v>OK</v>
      </c>
      <c r="AA886" s="55">
        <f>_xlfn.XLOOKUP(C886,'Preguntas de negocio'!$C$114:$C$119,'Preguntas de negocio'!$D$114:$D$119,0)</f>
        <v>5</v>
      </c>
      <c r="AB886" s="55">
        <f>VLOOKUP(C886,'Preguntas de negocio'!$C$121:$D$127,2,FALSE)</f>
        <v>1.1000000000000001</v>
      </c>
    </row>
    <row r="887" spans="1:28" x14ac:dyDescent="0.3">
      <c r="A887" s="1">
        <v>45804</v>
      </c>
      <c r="B887" s="2" t="s">
        <v>2644</v>
      </c>
      <c r="C887" s="2" t="s">
        <v>2533</v>
      </c>
      <c r="D887" s="2" t="s">
        <v>2528</v>
      </c>
      <c r="E887" s="2" t="s">
        <v>2529</v>
      </c>
      <c r="F887" s="3">
        <v>12994</v>
      </c>
      <c r="G887" s="3">
        <v>1084</v>
      </c>
      <c r="H887" s="3">
        <v>106</v>
      </c>
      <c r="I887" s="4">
        <v>335.52</v>
      </c>
      <c r="J887" s="4">
        <v>1740.41</v>
      </c>
      <c r="K887" s="3">
        <v>80</v>
      </c>
      <c r="L887" s="2" t="s">
        <v>2523</v>
      </c>
      <c r="M887" s="2" t="s">
        <v>2526</v>
      </c>
      <c r="N887" s="8">
        <f>IFERROR(G887/F887,0)</f>
        <v>8.3423118362321066E-2</v>
      </c>
      <c r="O887" s="8">
        <f>IFERROR(H887/G887,0)</f>
        <v>9.7785977859778592E-2</v>
      </c>
      <c r="P887" s="4">
        <f>IFERROR(I887/G887,0)</f>
        <v>0.30952029520295199</v>
      </c>
      <c r="Q887" s="4">
        <f>IFERROR(I887/H887,0)</f>
        <v>3.1652830188679242</v>
      </c>
      <c r="R887" s="12">
        <f>IFERROR(J887/I887,0)</f>
        <v>5.1872019551740589</v>
      </c>
      <c r="S887" s="7">
        <f>Tabla_nuevas_columnas[[#This Row],[ROAS]]</f>
        <v>5.1872019551740589</v>
      </c>
      <c r="T887" t="str">
        <f>_xlfn.CONCAT(C887,"-",D887)</f>
        <v>Paid Social-España</v>
      </c>
      <c r="U887">
        <f>YEAR(A887)</f>
        <v>2025</v>
      </c>
      <c r="V887">
        <f>MONTH(A887)</f>
        <v>5</v>
      </c>
      <c r="W887" t="str">
        <f>PROPER(TEXT(A887,"mmmm"))</f>
        <v>Mayo</v>
      </c>
      <c r="X887" t="str">
        <f>PROPER(TEXT(A887,"dddd"))</f>
        <v>Martes</v>
      </c>
      <c r="Y887" t="str" cm="1">
        <f t="array" ref="Y887">_xlfn.IFS(R887&gt;10,"Excelente",R887&gt;=5,"Bueno",R887&gt;=2,"Débil",R887&lt;2,"Deficiente")</f>
        <v>Bueno</v>
      </c>
      <c r="Z887" t="str">
        <f>IF(AND(R887&lt;2,Q887&gt;=100),"Revisar","OK")</f>
        <v>OK</v>
      </c>
      <c r="AA887" s="55">
        <f>_xlfn.XLOOKUP(C887,'Preguntas de negocio'!$C$114:$C$119,'Preguntas de negocio'!$D$114:$D$119,0)</f>
        <v>6</v>
      </c>
      <c r="AB887" s="55">
        <f>VLOOKUP(C887,'Preguntas de negocio'!$C$121:$D$127,2,FALSE)</f>
        <v>0.8</v>
      </c>
    </row>
    <row r="888" spans="1:28" x14ac:dyDescent="0.3">
      <c r="A888" s="1">
        <v>45687</v>
      </c>
      <c r="B888" s="2" t="s">
        <v>2636</v>
      </c>
      <c r="C888" s="2" t="s">
        <v>2521</v>
      </c>
      <c r="D888" s="2" t="s">
        <v>2528</v>
      </c>
      <c r="E888" s="2" t="s">
        <v>2529</v>
      </c>
      <c r="F888" s="3">
        <v>160257</v>
      </c>
      <c r="G888" s="3">
        <v>5835</v>
      </c>
      <c r="H888" s="3">
        <v>732</v>
      </c>
      <c r="I888" s="4">
        <v>11258.43</v>
      </c>
      <c r="J888" s="4">
        <v>68587.91</v>
      </c>
      <c r="K888" s="3">
        <v>376</v>
      </c>
      <c r="L888" s="2" t="s">
        <v>2539</v>
      </c>
      <c r="M888" s="2" t="s">
        <v>2524</v>
      </c>
      <c r="N888" s="8">
        <f>IFERROR(G888/F888,0)</f>
        <v>3.6410266010221085E-2</v>
      </c>
      <c r="O888" s="8">
        <f>IFERROR(H888/G888,0)</f>
        <v>0.12544987146529563</v>
      </c>
      <c r="P888" s="4">
        <f>IFERROR(I888/G888,0)</f>
        <v>1.9294652956298202</v>
      </c>
      <c r="Q888" s="4">
        <f>IFERROR(I888/H888,0)</f>
        <v>15.380368852459016</v>
      </c>
      <c r="R888" s="12">
        <f>IFERROR(J888/I888,0)</f>
        <v>6.0921380689847524</v>
      </c>
      <c r="S888" s="7">
        <f>Tabla_nuevas_columnas[[#This Row],[ROAS]]</f>
        <v>6.0921380689847524</v>
      </c>
      <c r="T888" t="str">
        <f>_xlfn.CONCAT(C888,"-",D888)</f>
        <v>Paid Search-España</v>
      </c>
      <c r="U888">
        <f>YEAR(A888)</f>
        <v>2025</v>
      </c>
      <c r="V888">
        <f>MONTH(A888)</f>
        <v>1</v>
      </c>
      <c r="W888" t="str">
        <f>PROPER(TEXT(A888,"mmmm"))</f>
        <v>Enero</v>
      </c>
      <c r="X888" t="str">
        <f>PROPER(TEXT(A888,"dddd"))</f>
        <v>Jueves</v>
      </c>
      <c r="Y888" t="str" cm="1">
        <f t="array" ref="Y888">_xlfn.IFS(R888&gt;10,"Excelente",R888&gt;=5,"Bueno",R888&gt;=2,"Débil",R888&lt;2,"Deficiente")</f>
        <v>Bueno</v>
      </c>
      <c r="Z888" t="str">
        <f>IF(AND(R888&lt;2,Q888&gt;=100),"Revisar","OK")</f>
        <v>OK</v>
      </c>
      <c r="AA888" s="55">
        <f>_xlfn.XLOOKUP(C888,'Preguntas de negocio'!$C$114:$C$119,'Preguntas de negocio'!$D$114:$D$119,0)</f>
        <v>5</v>
      </c>
      <c r="AB888" s="55">
        <f>VLOOKUP(C888,'Preguntas de negocio'!$C$121:$D$127,2,FALSE)</f>
        <v>1.1000000000000001</v>
      </c>
    </row>
    <row r="889" spans="1:28" x14ac:dyDescent="0.3">
      <c r="A889" s="1">
        <v>45975</v>
      </c>
      <c r="B889" s="2" t="s">
        <v>2626</v>
      </c>
      <c r="C889" s="2" t="s">
        <v>2521</v>
      </c>
      <c r="D889" s="2" t="s">
        <v>2528</v>
      </c>
      <c r="E889" s="2" t="s">
        <v>2534</v>
      </c>
      <c r="F889" s="3">
        <v>16244</v>
      </c>
      <c r="G889" s="3">
        <v>1329</v>
      </c>
      <c r="H889" s="3">
        <v>30</v>
      </c>
      <c r="I889" s="4">
        <v>1386.6</v>
      </c>
      <c r="J889" s="4">
        <v>5550.58</v>
      </c>
      <c r="K889" s="3">
        <v>23</v>
      </c>
      <c r="L889" s="2" t="s">
        <v>2536</v>
      </c>
      <c r="M889" s="2" t="s">
        <v>2537</v>
      </c>
      <c r="N889" s="8">
        <f>IFERROR(G889/F889,0)</f>
        <v>8.1814823934991385E-2</v>
      </c>
      <c r="O889" s="8">
        <f>IFERROR(H889/G889,0)</f>
        <v>2.2573363431151242E-2</v>
      </c>
      <c r="P889" s="4">
        <f>IFERROR(I889/G889,0)</f>
        <v>1.0433408577878103</v>
      </c>
      <c r="Q889" s="4">
        <f>IFERROR(I889/H889,0)</f>
        <v>46.22</v>
      </c>
      <c r="R889" s="12">
        <f>IFERROR(J889/I889,0)</f>
        <v>4.0030145680080773</v>
      </c>
      <c r="S889" s="7">
        <f>Tabla_nuevas_columnas[[#This Row],[ROAS]]</f>
        <v>4.0030145680080773</v>
      </c>
      <c r="T889" t="str">
        <f>_xlfn.CONCAT(C889,"-",D889)</f>
        <v>Paid Search-España</v>
      </c>
      <c r="U889">
        <f>YEAR(A889)</f>
        <v>2025</v>
      </c>
      <c r="V889">
        <f>MONTH(A889)</f>
        <v>11</v>
      </c>
      <c r="W889" t="str">
        <f>PROPER(TEXT(A889,"mmmm"))</f>
        <v>Noviembre</v>
      </c>
      <c r="X889" t="str">
        <f>PROPER(TEXT(A889,"dddd"))</f>
        <v>Viernes</v>
      </c>
      <c r="Y889" t="str" cm="1">
        <f t="array" ref="Y889">_xlfn.IFS(R889&gt;10,"Excelente",R889&gt;=5,"Bueno",R889&gt;=2,"Débil",R889&lt;2,"Deficiente")</f>
        <v>Débil</v>
      </c>
      <c r="Z889" t="str">
        <f>IF(AND(R889&lt;2,Q889&gt;=100),"Revisar","OK")</f>
        <v>OK</v>
      </c>
      <c r="AA889" s="55">
        <f>_xlfn.XLOOKUP(C889,'Preguntas de negocio'!$C$114:$C$119,'Preguntas de negocio'!$D$114:$D$119,0)</f>
        <v>5</v>
      </c>
      <c r="AB889" s="55">
        <f>VLOOKUP(C889,'Preguntas de negocio'!$C$121:$D$127,2,FALSE)</f>
        <v>1.1000000000000001</v>
      </c>
    </row>
    <row r="890" spans="1:28" x14ac:dyDescent="0.3">
      <c r="A890" s="1">
        <v>45893</v>
      </c>
      <c r="B890" s="2" t="s">
        <v>2616</v>
      </c>
      <c r="C890" s="2" t="s">
        <v>2521</v>
      </c>
      <c r="D890" s="2" t="s">
        <v>2528</v>
      </c>
      <c r="E890" s="2" t="s">
        <v>2517</v>
      </c>
      <c r="F890" s="3">
        <v>6619</v>
      </c>
      <c r="G890" s="3">
        <v>50</v>
      </c>
      <c r="H890" s="3">
        <v>1</v>
      </c>
      <c r="I890" s="4">
        <v>22.64</v>
      </c>
      <c r="J890" s="4">
        <v>61.86</v>
      </c>
      <c r="K890" s="3">
        <v>0</v>
      </c>
      <c r="L890" s="2" t="s">
        <v>2523</v>
      </c>
      <c r="M890" s="2" t="s">
        <v>2526</v>
      </c>
      <c r="N890" s="8">
        <f>IFERROR(G890/F890,0)</f>
        <v>7.5540111799365459E-3</v>
      </c>
      <c r="O890" s="8">
        <f>IFERROR(H890/G890,0)</f>
        <v>0.02</v>
      </c>
      <c r="P890" s="4">
        <f>IFERROR(I890/G890,0)</f>
        <v>0.45280000000000004</v>
      </c>
      <c r="Q890" s="4">
        <f>IFERROR(I890/H890,0)</f>
        <v>22.64</v>
      </c>
      <c r="R890" s="12">
        <f>IFERROR(J890/I890,0)</f>
        <v>2.7323321554770317</v>
      </c>
      <c r="S890" s="7">
        <f>Tabla_nuevas_columnas[[#This Row],[ROAS]]</f>
        <v>2.7323321554770317</v>
      </c>
      <c r="T890" t="str">
        <f>_xlfn.CONCAT(C890,"-",D890)</f>
        <v>Paid Search-España</v>
      </c>
      <c r="U890">
        <f>YEAR(A890)</f>
        <v>2025</v>
      </c>
      <c r="V890">
        <f>MONTH(A890)</f>
        <v>8</v>
      </c>
      <c r="W890" t="str">
        <f>PROPER(TEXT(A890,"mmmm"))</f>
        <v>Agosto</v>
      </c>
      <c r="X890" t="str">
        <f>PROPER(TEXT(A890,"dddd"))</f>
        <v>Domingo</v>
      </c>
      <c r="Y890" t="str" cm="1">
        <f t="array" ref="Y890">_xlfn.IFS(R890&gt;10,"Excelente",R890&gt;=5,"Bueno",R890&gt;=2,"Débil",R890&lt;2,"Deficiente")</f>
        <v>Débil</v>
      </c>
      <c r="Z890" t="str">
        <f>IF(AND(R890&lt;2,Q890&gt;=100),"Revisar","OK")</f>
        <v>OK</v>
      </c>
      <c r="AA890" s="55">
        <f>_xlfn.XLOOKUP(C890,'Preguntas de negocio'!$C$114:$C$119,'Preguntas de negocio'!$D$114:$D$119,0)</f>
        <v>5</v>
      </c>
      <c r="AB890" s="55">
        <f>VLOOKUP(C890,'Preguntas de negocio'!$C$121:$D$127,2,FALSE)</f>
        <v>1.1000000000000001</v>
      </c>
    </row>
    <row r="891" spans="1:28" x14ac:dyDescent="0.3">
      <c r="A891" s="1">
        <v>45875</v>
      </c>
      <c r="B891" s="2" t="s">
        <v>2622</v>
      </c>
      <c r="C891" s="2" t="s">
        <v>2515</v>
      </c>
      <c r="D891" s="2" t="s">
        <v>2531</v>
      </c>
      <c r="E891" s="2" t="s">
        <v>2517</v>
      </c>
      <c r="F891" s="3">
        <v>151208</v>
      </c>
      <c r="G891" s="3">
        <v>3658</v>
      </c>
      <c r="H891" s="3">
        <v>101</v>
      </c>
      <c r="I891" s="4">
        <v>5920.5</v>
      </c>
      <c r="J891" s="4">
        <v>10129.379999999999</v>
      </c>
      <c r="K891" s="3">
        <v>53</v>
      </c>
      <c r="L891" s="2" t="s">
        <v>2536</v>
      </c>
      <c r="M891" s="2" t="s">
        <v>2524</v>
      </c>
      <c r="N891" s="8">
        <f>IFERROR(G891/F891,0)</f>
        <v>2.4191841701497276E-2</v>
      </c>
      <c r="O891" s="8">
        <f>IFERROR(H891/G891,0)</f>
        <v>2.7610716238381631E-2</v>
      </c>
      <c r="P891" s="4">
        <f>IFERROR(I891/G891,0)</f>
        <v>1.6185073810825588</v>
      </c>
      <c r="Q891" s="4">
        <f>IFERROR(I891/H891,0)</f>
        <v>58.618811881188115</v>
      </c>
      <c r="R891" s="12">
        <f>IFERROR(J891/I891,0)</f>
        <v>1.7108994172789458</v>
      </c>
      <c r="S891" s="7">
        <f>Tabla_nuevas_columnas[[#This Row],[ROAS]]</f>
        <v>1.7108994172789458</v>
      </c>
      <c r="T891" t="str">
        <f>_xlfn.CONCAT(C891,"-",D891)</f>
        <v>Email-Portugal</v>
      </c>
      <c r="U891">
        <f>YEAR(A891)</f>
        <v>2025</v>
      </c>
      <c r="V891">
        <f>MONTH(A891)</f>
        <v>8</v>
      </c>
      <c r="W891" t="str">
        <f>PROPER(TEXT(A891,"mmmm"))</f>
        <v>Agosto</v>
      </c>
      <c r="X891" t="str">
        <f>PROPER(TEXT(A891,"dddd"))</f>
        <v>Miércoles</v>
      </c>
      <c r="Y891" t="str" cm="1">
        <f t="array" ref="Y891">_xlfn.IFS(R891&gt;10,"Excelente",R891&gt;=5,"Bueno",R891&gt;=2,"Débil",R891&lt;2,"Deficiente")</f>
        <v>Deficiente</v>
      </c>
      <c r="Z891" t="str">
        <f>IF(AND(R891&lt;2,Q891&gt;=100),"Revisar","OK")</f>
        <v>OK</v>
      </c>
      <c r="AA891" s="55">
        <f>_xlfn.XLOOKUP(C891,'Preguntas de negocio'!$C$114:$C$119,'Preguntas de negocio'!$D$114:$D$119,0)</f>
        <v>5.5</v>
      </c>
      <c r="AB891" s="55">
        <f>VLOOKUP(C891,'Preguntas de negocio'!$C$121:$D$127,2,FALSE)</f>
        <v>0.65</v>
      </c>
    </row>
    <row r="892" spans="1:28" x14ac:dyDescent="0.3">
      <c r="A892" s="1">
        <v>45723</v>
      </c>
      <c r="B892" s="2" t="s">
        <v>2636</v>
      </c>
      <c r="C892" s="2" t="s">
        <v>2543</v>
      </c>
      <c r="D892" s="2" t="s">
        <v>2531</v>
      </c>
      <c r="E892" s="2" t="s">
        <v>2517</v>
      </c>
      <c r="F892" s="3">
        <v>10518</v>
      </c>
      <c r="G892" s="3">
        <v>228</v>
      </c>
      <c r="H892" s="3">
        <v>4</v>
      </c>
      <c r="I892" s="4">
        <v>456.54</v>
      </c>
      <c r="J892" s="4">
        <v>592.45000000000005</v>
      </c>
      <c r="K892" s="3">
        <v>2</v>
      </c>
      <c r="L892" s="2" t="s">
        <v>2518</v>
      </c>
      <c r="M892" s="2" t="s">
        <v>2519</v>
      </c>
      <c r="N892" s="8">
        <f>IFERROR(G892/F892,0)</f>
        <v>2.167712492869367E-2</v>
      </c>
      <c r="O892" s="8">
        <f>IFERROR(H892/G892,0)</f>
        <v>1.7543859649122806E-2</v>
      </c>
      <c r="P892" s="4">
        <f>IFERROR(I892/G892,0)</f>
        <v>2.0023684210526316</v>
      </c>
      <c r="Q892" s="4">
        <f>IFERROR(I892/H892,0)</f>
        <v>114.13500000000001</v>
      </c>
      <c r="R892" s="12">
        <f>IFERROR(J892/I892,0)</f>
        <v>1.2976957112191703</v>
      </c>
      <c r="S892" s="7">
        <f>Tabla_nuevas_columnas[[#This Row],[ROAS]]</f>
        <v>1.2976957112191703</v>
      </c>
      <c r="T892" t="str">
        <f>_xlfn.CONCAT(C892,"-",D892)</f>
        <v>Organic Social-Portugal</v>
      </c>
      <c r="U892">
        <f>YEAR(A892)</f>
        <v>2025</v>
      </c>
      <c r="V892">
        <f>MONTH(A892)</f>
        <v>3</v>
      </c>
      <c r="W892" t="str">
        <f>PROPER(TEXT(A892,"mmmm"))</f>
        <v>Marzo</v>
      </c>
      <c r="X892" t="str">
        <f>PROPER(TEXT(A892,"dddd"))</f>
        <v>Viernes</v>
      </c>
      <c r="Y892" t="str" cm="1">
        <f t="array" ref="Y892">_xlfn.IFS(R892&gt;10,"Excelente",R892&gt;=5,"Bueno",R892&gt;=2,"Débil",R892&lt;2,"Deficiente")</f>
        <v>Deficiente</v>
      </c>
      <c r="Z892" t="str">
        <f>IF(AND(R892&lt;2,Q892&gt;=100),"Revisar","OK")</f>
        <v>Revisar</v>
      </c>
      <c r="AA892" s="55">
        <f>_xlfn.XLOOKUP(C892,'Preguntas de negocio'!$C$114:$C$119,'Preguntas de negocio'!$D$114:$D$119,0)</f>
        <v>4</v>
      </c>
      <c r="AB892" s="55">
        <f>VLOOKUP(C892,'Preguntas de negocio'!$C$121:$D$127,2,FALSE)</f>
        <v>0.95</v>
      </c>
    </row>
    <row r="893" spans="1:28" x14ac:dyDescent="0.3">
      <c r="A893" s="1">
        <v>45983</v>
      </c>
      <c r="B893" s="2" t="s">
        <v>2621</v>
      </c>
      <c r="C893" s="2" t="s">
        <v>2533</v>
      </c>
      <c r="D893" s="2" t="s">
        <v>2528</v>
      </c>
      <c r="E893" s="2" t="s">
        <v>2529</v>
      </c>
      <c r="F893" s="3">
        <v>126702</v>
      </c>
      <c r="G893" s="3">
        <v>8077</v>
      </c>
      <c r="H893" s="3">
        <v>468</v>
      </c>
      <c r="I893" s="4">
        <v>10547.52</v>
      </c>
      <c r="J893" s="4">
        <v>41953.11</v>
      </c>
      <c r="K893" s="3">
        <v>301</v>
      </c>
      <c r="L893" s="2" t="s">
        <v>2536</v>
      </c>
      <c r="M893" s="2" t="s">
        <v>2519</v>
      </c>
      <c r="N893" s="8">
        <f>IFERROR(G893/F893,0)</f>
        <v>6.3748007134851861E-2</v>
      </c>
      <c r="O893" s="8">
        <f>IFERROR(H893/G893,0)</f>
        <v>5.7942305311377985E-2</v>
      </c>
      <c r="P893" s="4">
        <f>IFERROR(I893/G893,0)</f>
        <v>1.305870991704841</v>
      </c>
      <c r="Q893" s="4">
        <f>IFERROR(I893/H893,0)</f>
        <v>22.537435897435898</v>
      </c>
      <c r="R893" s="12">
        <f>IFERROR(J893/I893,0)</f>
        <v>3.9775331073086373</v>
      </c>
      <c r="S893" s="7">
        <f>Tabla_nuevas_columnas[[#This Row],[ROAS]]</f>
        <v>3.9775331073086373</v>
      </c>
      <c r="T893" t="str">
        <f>_xlfn.CONCAT(C893,"-",D893)</f>
        <v>Paid Social-España</v>
      </c>
      <c r="U893">
        <f>YEAR(A893)</f>
        <v>2025</v>
      </c>
      <c r="V893">
        <f>MONTH(A893)</f>
        <v>11</v>
      </c>
      <c r="W893" t="str">
        <f>PROPER(TEXT(A893,"mmmm"))</f>
        <v>Noviembre</v>
      </c>
      <c r="X893" t="str">
        <f>PROPER(TEXT(A893,"dddd"))</f>
        <v>Sábado</v>
      </c>
      <c r="Y893" t="str" cm="1">
        <f t="array" ref="Y893">_xlfn.IFS(R893&gt;10,"Excelente",R893&gt;=5,"Bueno",R893&gt;=2,"Débil",R893&lt;2,"Deficiente")</f>
        <v>Débil</v>
      </c>
      <c r="Z893" t="str">
        <f>IF(AND(R893&lt;2,Q893&gt;=100),"Revisar","OK")</f>
        <v>OK</v>
      </c>
      <c r="AA893" s="55">
        <f>_xlfn.XLOOKUP(C893,'Preguntas de negocio'!$C$114:$C$119,'Preguntas de negocio'!$D$114:$D$119,0)</f>
        <v>6</v>
      </c>
      <c r="AB893" s="55">
        <f>VLOOKUP(C893,'Preguntas de negocio'!$C$121:$D$127,2,FALSE)</f>
        <v>0.8</v>
      </c>
    </row>
    <row r="894" spans="1:28" x14ac:dyDescent="0.3">
      <c r="A894" s="1">
        <v>45768</v>
      </c>
      <c r="B894" s="2" t="s">
        <v>2628</v>
      </c>
      <c r="C894" s="2" t="s">
        <v>2527</v>
      </c>
      <c r="D894" s="2" t="s">
        <v>2516</v>
      </c>
      <c r="E894" s="2" t="s">
        <v>2529</v>
      </c>
      <c r="F894" s="3">
        <v>146066</v>
      </c>
      <c r="G894" s="3">
        <v>9997</v>
      </c>
      <c r="H894" s="3">
        <v>668</v>
      </c>
      <c r="I894" s="4">
        <v>1639.59</v>
      </c>
      <c r="J894" s="4">
        <v>60687.9</v>
      </c>
      <c r="K894" s="3">
        <v>501</v>
      </c>
      <c r="L894" s="2" t="s">
        <v>2539</v>
      </c>
      <c r="M894" s="2" t="s">
        <v>2524</v>
      </c>
      <c r="N894" s="8">
        <f>IFERROR(G894/F894,0)</f>
        <v>6.8441663357660235E-2</v>
      </c>
      <c r="O894" s="8">
        <f>IFERROR(H894/G894,0)</f>
        <v>6.6820046013804146E-2</v>
      </c>
      <c r="P894" s="4">
        <f>IFERROR(I894/G894,0)</f>
        <v>0.16400820246073822</v>
      </c>
      <c r="Q894" s="4">
        <f>IFERROR(I894/H894,0)</f>
        <v>2.4544760479041914</v>
      </c>
      <c r="R894" s="12">
        <f>IFERROR(J894/I894,0)</f>
        <v>37.014070590818442</v>
      </c>
      <c r="S894" s="7">
        <f>Tabla_nuevas_columnas[[#This Row],[ROAS]]</f>
        <v>37.014070590818442</v>
      </c>
      <c r="T894" t="str">
        <f>_xlfn.CONCAT(C894,"-",D894)</f>
        <v>Affiliate-México</v>
      </c>
      <c r="U894">
        <f>YEAR(A894)</f>
        <v>2025</v>
      </c>
      <c r="V894">
        <f>MONTH(A894)</f>
        <v>4</v>
      </c>
      <c r="W894" t="str">
        <f>PROPER(TEXT(A894,"mmmm"))</f>
        <v>Abril</v>
      </c>
      <c r="X894" t="str">
        <f>PROPER(TEXT(A894,"dddd"))</f>
        <v>Lunes</v>
      </c>
      <c r="Y894" t="str" cm="1">
        <f t="array" ref="Y894">_xlfn.IFS(R894&gt;10,"Excelente",R894&gt;=5,"Bueno",R894&gt;=2,"Débil",R894&lt;2,"Deficiente")</f>
        <v>Excelente</v>
      </c>
      <c r="Z894" t="str">
        <f>IF(AND(R894&lt;2,Q894&gt;=100),"Revisar","OK")</f>
        <v>OK</v>
      </c>
      <c r="AA894" s="55">
        <f>_xlfn.XLOOKUP(C894,'Preguntas de negocio'!$C$114:$C$119,'Preguntas de negocio'!$D$114:$D$119,0)</f>
        <v>4.5</v>
      </c>
      <c r="AB894" s="55">
        <f>VLOOKUP(C894,'Preguntas de negocio'!$C$121:$D$127,2,FALSE)</f>
        <v>0.35</v>
      </c>
    </row>
    <row r="895" spans="1:28" x14ac:dyDescent="0.3">
      <c r="A895" s="1">
        <v>45748</v>
      </c>
      <c r="B895" s="2" t="s">
        <v>2628</v>
      </c>
      <c r="C895" s="2" t="s">
        <v>2521</v>
      </c>
      <c r="D895" s="2" t="s">
        <v>2528</v>
      </c>
      <c r="E895" s="2" t="s">
        <v>2529</v>
      </c>
      <c r="F895" s="3">
        <v>55512</v>
      </c>
      <c r="G895" s="3">
        <v>393</v>
      </c>
      <c r="H895" s="3">
        <v>9</v>
      </c>
      <c r="I895" s="4">
        <v>530.29999999999995</v>
      </c>
      <c r="J895" s="4">
        <v>1904.01</v>
      </c>
      <c r="K895" s="3">
        <v>7</v>
      </c>
      <c r="L895" s="2" t="s">
        <v>2523</v>
      </c>
      <c r="M895" s="2" t="s">
        <v>2537</v>
      </c>
      <c r="N895" s="8">
        <f>IFERROR(G895/F895,0)</f>
        <v>7.0795503674881107E-3</v>
      </c>
      <c r="O895" s="8">
        <f>IFERROR(H895/G895,0)</f>
        <v>2.2900763358778626E-2</v>
      </c>
      <c r="P895" s="4">
        <f>IFERROR(I895/G895,0)</f>
        <v>1.3493638676844784</v>
      </c>
      <c r="Q895" s="4">
        <f>IFERROR(I895/H895,0)</f>
        <v>58.922222222222217</v>
      </c>
      <c r="R895" s="12">
        <f>IFERROR(J895/I895,0)</f>
        <v>3.5904393739392799</v>
      </c>
      <c r="S895" s="7">
        <f>Tabla_nuevas_columnas[[#This Row],[ROAS]]</f>
        <v>3.5904393739392799</v>
      </c>
      <c r="T895" t="str">
        <f>_xlfn.CONCAT(C895,"-",D895)</f>
        <v>Paid Search-España</v>
      </c>
      <c r="U895">
        <f>YEAR(A895)</f>
        <v>2025</v>
      </c>
      <c r="V895">
        <f>MONTH(A895)</f>
        <v>4</v>
      </c>
      <c r="W895" t="str">
        <f>PROPER(TEXT(A895,"mmmm"))</f>
        <v>Abril</v>
      </c>
      <c r="X895" t="str">
        <f>PROPER(TEXT(A895,"dddd"))</f>
        <v>Martes</v>
      </c>
      <c r="Y895" t="str" cm="1">
        <f t="array" ref="Y895">_xlfn.IFS(R895&gt;10,"Excelente",R895&gt;=5,"Bueno",R895&gt;=2,"Débil",R895&lt;2,"Deficiente")</f>
        <v>Débil</v>
      </c>
      <c r="Z895" t="str">
        <f>IF(AND(R895&lt;2,Q895&gt;=100),"Revisar","OK")</f>
        <v>OK</v>
      </c>
      <c r="AA895" s="55">
        <f>_xlfn.XLOOKUP(C895,'Preguntas de negocio'!$C$114:$C$119,'Preguntas de negocio'!$D$114:$D$119,0)</f>
        <v>5</v>
      </c>
      <c r="AB895" s="55">
        <f>VLOOKUP(C895,'Preguntas de negocio'!$C$121:$D$127,2,FALSE)</f>
        <v>1.1000000000000001</v>
      </c>
    </row>
    <row r="896" spans="1:28" x14ac:dyDescent="0.3">
      <c r="A896" s="1">
        <v>45761</v>
      </c>
      <c r="B896" s="2" t="s">
        <v>2615</v>
      </c>
      <c r="C896" s="2" t="s">
        <v>2533</v>
      </c>
      <c r="D896" s="2" t="s">
        <v>2528</v>
      </c>
      <c r="E896" s="2" t="s">
        <v>2529</v>
      </c>
      <c r="F896" s="3">
        <v>110027</v>
      </c>
      <c r="G896" s="3">
        <v>4061</v>
      </c>
      <c r="H896" s="3">
        <v>356</v>
      </c>
      <c r="I896" s="4">
        <v>7120.13</v>
      </c>
      <c r="J896" s="4">
        <v>66660.7</v>
      </c>
      <c r="K896" s="3">
        <v>243</v>
      </c>
      <c r="L896" s="2" t="s">
        <v>2523</v>
      </c>
      <c r="M896" s="2" t="s">
        <v>2524</v>
      </c>
      <c r="N896" s="8">
        <f>IFERROR(G896/F896,0)</f>
        <v>3.6909122306342988E-2</v>
      </c>
      <c r="O896" s="8">
        <f>IFERROR(H896/G896,0)</f>
        <v>8.7663137158335389E-2</v>
      </c>
      <c r="P896" s="4">
        <f>IFERROR(I896/G896,0)</f>
        <v>1.7532947549864566</v>
      </c>
      <c r="Q896" s="4">
        <f>IFERROR(I896/H896,0)</f>
        <v>20.000365168539325</v>
      </c>
      <c r="R896" s="12">
        <f>IFERROR(J896/I896,0)</f>
        <v>9.3622869245364893</v>
      </c>
      <c r="S896" s="7">
        <f>Tabla_nuevas_columnas[[#This Row],[ROAS]]</f>
        <v>9.3622869245364893</v>
      </c>
      <c r="T896" t="str">
        <f>_xlfn.CONCAT(C896,"-",D896)</f>
        <v>Paid Social-España</v>
      </c>
      <c r="U896">
        <f>YEAR(A896)</f>
        <v>2025</v>
      </c>
      <c r="V896">
        <f>MONTH(A896)</f>
        <v>4</v>
      </c>
      <c r="W896" t="str">
        <f>PROPER(TEXT(A896,"mmmm"))</f>
        <v>Abril</v>
      </c>
      <c r="X896" t="str">
        <f>PROPER(TEXT(A896,"dddd"))</f>
        <v>Lunes</v>
      </c>
      <c r="Y896" t="str" cm="1">
        <f t="array" ref="Y896">_xlfn.IFS(R896&gt;10,"Excelente",R896&gt;=5,"Bueno",R896&gt;=2,"Débil",R896&lt;2,"Deficiente")</f>
        <v>Bueno</v>
      </c>
      <c r="Z896" t="str">
        <f>IF(AND(R896&lt;2,Q896&gt;=100),"Revisar","OK")</f>
        <v>OK</v>
      </c>
      <c r="AA896" s="55">
        <f>_xlfn.XLOOKUP(C896,'Preguntas de negocio'!$C$114:$C$119,'Preguntas de negocio'!$D$114:$D$119,0)</f>
        <v>6</v>
      </c>
      <c r="AB896" s="55">
        <f>VLOOKUP(C896,'Preguntas de negocio'!$C$121:$D$127,2,FALSE)</f>
        <v>0.8</v>
      </c>
    </row>
    <row r="897" spans="1:28" x14ac:dyDescent="0.3">
      <c r="A897" s="1">
        <v>45661</v>
      </c>
      <c r="B897" s="2" t="s">
        <v>2621</v>
      </c>
      <c r="C897" s="2" t="s">
        <v>2543</v>
      </c>
      <c r="D897" s="2" t="s">
        <v>2522</v>
      </c>
      <c r="E897" s="2" t="s">
        <v>2529</v>
      </c>
      <c r="F897" s="3">
        <v>176961</v>
      </c>
      <c r="G897" s="3">
        <v>7019</v>
      </c>
      <c r="H897" s="3">
        <v>901</v>
      </c>
      <c r="I897" s="4">
        <v>3594.73</v>
      </c>
      <c r="J897" s="4">
        <v>131335.76</v>
      </c>
      <c r="K897" s="3">
        <v>613</v>
      </c>
      <c r="L897" s="2" t="s">
        <v>2536</v>
      </c>
      <c r="M897" s="2" t="s">
        <v>2537</v>
      </c>
      <c r="N897" s="8">
        <f>IFERROR(G897/F897,0)</f>
        <v>3.9664106780590076E-2</v>
      </c>
      <c r="O897" s="8">
        <f>IFERROR(H897/G897,0)</f>
        <v>0.12836586408320275</v>
      </c>
      <c r="P897" s="4">
        <f>IFERROR(I897/G897,0)</f>
        <v>0.51214275537825904</v>
      </c>
      <c r="Q897" s="4">
        <f>IFERROR(I897/H897,0)</f>
        <v>3.9897114317425082</v>
      </c>
      <c r="R897" s="12">
        <f>IFERROR(J897/I897,0)</f>
        <v>36.53563967252061</v>
      </c>
      <c r="S897" s="7">
        <f>Tabla_nuevas_columnas[[#This Row],[ROAS]]</f>
        <v>36.53563967252061</v>
      </c>
      <c r="T897" t="str">
        <f>_xlfn.CONCAT(C897,"-",D897)</f>
        <v>Organic Social-Italia</v>
      </c>
      <c r="U897">
        <f>YEAR(A897)</f>
        <v>2025</v>
      </c>
      <c r="V897">
        <f>MONTH(A897)</f>
        <v>1</v>
      </c>
      <c r="W897" t="str">
        <f>PROPER(TEXT(A897,"mmmm"))</f>
        <v>Enero</v>
      </c>
      <c r="X897" t="str">
        <f>PROPER(TEXT(A897,"dddd"))</f>
        <v>Sábado</v>
      </c>
      <c r="Y897" t="str" cm="1">
        <f t="array" ref="Y897">_xlfn.IFS(R897&gt;10,"Excelente",R897&gt;=5,"Bueno",R897&gt;=2,"Débil",R897&lt;2,"Deficiente")</f>
        <v>Excelente</v>
      </c>
      <c r="Z897" t="str">
        <f>IF(AND(R897&lt;2,Q897&gt;=100),"Revisar","OK")</f>
        <v>OK</v>
      </c>
      <c r="AA897" s="55">
        <f>_xlfn.XLOOKUP(C897,'Preguntas de negocio'!$C$114:$C$119,'Preguntas de negocio'!$D$114:$D$119,0)</f>
        <v>4</v>
      </c>
      <c r="AB897" s="55">
        <f>VLOOKUP(C897,'Preguntas de negocio'!$C$121:$D$127,2,FALSE)</f>
        <v>0.95</v>
      </c>
    </row>
    <row r="898" spans="1:28" x14ac:dyDescent="0.3">
      <c r="A898" s="1">
        <v>45789</v>
      </c>
      <c r="B898" s="2" t="s">
        <v>2621</v>
      </c>
      <c r="C898" s="2" t="s">
        <v>2645</v>
      </c>
      <c r="D898" s="2" t="s">
        <v>2528</v>
      </c>
      <c r="E898" s="2" t="s">
        <v>2517</v>
      </c>
      <c r="F898" s="3">
        <v>178864</v>
      </c>
      <c r="G898" s="3">
        <v>7632</v>
      </c>
      <c r="H898" s="3">
        <v>550</v>
      </c>
      <c r="I898" s="4">
        <v>14618.85</v>
      </c>
      <c r="J898" s="4">
        <v>117026.47</v>
      </c>
      <c r="K898" s="3">
        <v>373</v>
      </c>
      <c r="L898" s="2" t="s">
        <v>2539</v>
      </c>
      <c r="M898" s="2" t="s">
        <v>2526</v>
      </c>
      <c r="N898" s="8">
        <f>IFERROR(G898/F898,0)</f>
        <v>4.2669290634224886E-2</v>
      </c>
      <c r="O898" s="8">
        <f>IFERROR(H898/G898,0)</f>
        <v>7.20649895178197E-2</v>
      </c>
      <c r="P898" s="4">
        <f>IFERROR(I898/G898,0)</f>
        <v>1.9154677672955975</v>
      </c>
      <c r="Q898" s="4">
        <f>IFERROR(I898/H898,0)</f>
        <v>26.579727272727272</v>
      </c>
      <c r="R898" s="12">
        <f>IFERROR(J898/I898,0)</f>
        <v>8.0051761937498505</v>
      </c>
      <c r="S898" s="7">
        <f>Tabla_nuevas_columnas[[#This Row],[ROAS]]</f>
        <v>8.0051761937498505</v>
      </c>
      <c r="T898" t="str">
        <f>_xlfn.CONCAT(C898,"-",D898)</f>
        <v>Por identificar-España</v>
      </c>
      <c r="U898">
        <f>YEAR(A898)</f>
        <v>2025</v>
      </c>
      <c r="V898">
        <f>MONTH(A898)</f>
        <v>5</v>
      </c>
      <c r="W898" t="str">
        <f>PROPER(TEXT(A898,"mmmm"))</f>
        <v>Mayo</v>
      </c>
      <c r="X898" t="str">
        <f>PROPER(TEXT(A898,"dddd"))</f>
        <v>Lunes</v>
      </c>
      <c r="Y898" t="str" cm="1">
        <f t="array" ref="Y898">_xlfn.IFS(R898&gt;10,"Excelente",R898&gt;=5,"Bueno",R898&gt;=2,"Débil",R898&lt;2,"Deficiente")</f>
        <v>Bueno</v>
      </c>
      <c r="Z898" t="str">
        <f>IF(AND(R898&lt;2,Q898&gt;=100),"Revisar","OK")</f>
        <v>OK</v>
      </c>
      <c r="AA898" s="55">
        <f>_xlfn.XLOOKUP(C898,'Preguntas de negocio'!$C$114:$C$119,'Preguntas de negocio'!$D$114:$D$119,0)</f>
        <v>0</v>
      </c>
      <c r="AB898" s="55">
        <f>VLOOKUP(C898,'Preguntas de negocio'!$C$121:$D$127,2,FALSE)</f>
        <v>0</v>
      </c>
    </row>
    <row r="899" spans="1:28" x14ac:dyDescent="0.3">
      <c r="A899" s="1">
        <v>45822</v>
      </c>
      <c r="B899" s="2" t="s">
        <v>2642</v>
      </c>
      <c r="C899" s="2" t="s">
        <v>2533</v>
      </c>
      <c r="D899" s="2" t="s">
        <v>2528</v>
      </c>
      <c r="E899" s="2" t="s">
        <v>2529</v>
      </c>
      <c r="F899" s="3">
        <v>53750</v>
      </c>
      <c r="G899" s="3">
        <v>405</v>
      </c>
      <c r="H899" s="3">
        <v>48</v>
      </c>
      <c r="I899" s="4">
        <v>484.88</v>
      </c>
      <c r="J899" s="4">
        <v>5727.46</v>
      </c>
      <c r="K899" s="3">
        <v>33</v>
      </c>
      <c r="L899" s="2" t="s">
        <v>2518</v>
      </c>
      <c r="M899" s="2" t="s">
        <v>2546</v>
      </c>
      <c r="N899" s="8">
        <f>IFERROR(G899/F899,0)</f>
        <v>7.5348837209302322E-3</v>
      </c>
      <c r="O899" s="8">
        <f>IFERROR(H899/G899,0)</f>
        <v>0.11851851851851852</v>
      </c>
      <c r="P899" s="4">
        <f>IFERROR(I899/G899,0)</f>
        <v>1.1972345679012346</v>
      </c>
      <c r="Q899" s="4">
        <f>IFERROR(I899/H899,0)</f>
        <v>10.101666666666667</v>
      </c>
      <c r="R899" s="12">
        <f>IFERROR(J899/I899,0)</f>
        <v>11.812118462299951</v>
      </c>
      <c r="S899" s="7">
        <f>Tabla_nuevas_columnas[[#This Row],[ROAS]]</f>
        <v>11.812118462299951</v>
      </c>
      <c r="T899" t="str">
        <f>_xlfn.CONCAT(C899,"-",D899)</f>
        <v>Paid Social-España</v>
      </c>
      <c r="U899">
        <f>YEAR(A899)</f>
        <v>2025</v>
      </c>
      <c r="V899">
        <f>MONTH(A899)</f>
        <v>6</v>
      </c>
      <c r="W899" t="str">
        <f>PROPER(TEXT(A899,"mmmm"))</f>
        <v>Junio</v>
      </c>
      <c r="X899" t="str">
        <f>PROPER(TEXT(A899,"dddd"))</f>
        <v>Sábado</v>
      </c>
      <c r="Y899" t="str" cm="1">
        <f t="array" ref="Y899">_xlfn.IFS(R899&gt;10,"Excelente",R899&gt;=5,"Bueno",R899&gt;=2,"Débil",R899&lt;2,"Deficiente")</f>
        <v>Excelente</v>
      </c>
      <c r="Z899" t="str">
        <f>IF(AND(R899&lt;2,Q899&gt;=100),"Revisar","OK")</f>
        <v>OK</v>
      </c>
      <c r="AA899" s="55">
        <f>_xlfn.XLOOKUP(C899,'Preguntas de negocio'!$C$114:$C$119,'Preguntas de negocio'!$D$114:$D$119,0)</f>
        <v>6</v>
      </c>
      <c r="AB899" s="55">
        <f>VLOOKUP(C899,'Preguntas de negocio'!$C$121:$D$127,2,FALSE)</f>
        <v>0.8</v>
      </c>
    </row>
    <row r="900" spans="1:28" x14ac:dyDescent="0.3">
      <c r="A900" s="1">
        <v>45909</v>
      </c>
      <c r="B900" s="2" t="s">
        <v>2634</v>
      </c>
      <c r="C900" s="2" t="s">
        <v>2527</v>
      </c>
      <c r="D900" s="2" t="s">
        <v>2516</v>
      </c>
      <c r="E900" s="2" t="s">
        <v>2529</v>
      </c>
      <c r="F900" s="3">
        <v>45842</v>
      </c>
      <c r="G900" s="3">
        <v>2244</v>
      </c>
      <c r="H900" s="3">
        <v>156</v>
      </c>
      <c r="I900" s="4">
        <v>4483.9399999999996</v>
      </c>
      <c r="J900" s="4">
        <v>32579.8</v>
      </c>
      <c r="K900" s="3">
        <v>127</v>
      </c>
      <c r="L900" s="2" t="s">
        <v>2539</v>
      </c>
      <c r="M900" s="2" t="s">
        <v>2546</v>
      </c>
      <c r="N900" s="8">
        <f>IFERROR(G900/F900,0)</f>
        <v>4.8950743859342963E-2</v>
      </c>
      <c r="O900" s="8">
        <f>IFERROR(H900/G900,0)</f>
        <v>6.9518716577540107E-2</v>
      </c>
      <c r="P900" s="4">
        <f>IFERROR(I900/G900,0)</f>
        <v>1.9981907308377895</v>
      </c>
      <c r="Q900" s="4">
        <f>IFERROR(I900/H900,0)</f>
        <v>28.743205128205126</v>
      </c>
      <c r="R900" s="12">
        <f>IFERROR(J900/I900,0)</f>
        <v>7.2658866978594725</v>
      </c>
      <c r="S900" s="7">
        <f>Tabla_nuevas_columnas[[#This Row],[ROAS]]</f>
        <v>7.2658866978594725</v>
      </c>
      <c r="T900" t="str">
        <f>_xlfn.CONCAT(C900,"-",D900)</f>
        <v>Affiliate-México</v>
      </c>
      <c r="U900">
        <f>YEAR(A900)</f>
        <v>2025</v>
      </c>
      <c r="V900">
        <f>MONTH(A900)</f>
        <v>9</v>
      </c>
      <c r="W900" t="str">
        <f>PROPER(TEXT(A900,"mmmm"))</f>
        <v>Septiembre</v>
      </c>
      <c r="X900" t="str">
        <f>PROPER(TEXT(A900,"dddd"))</f>
        <v>Martes</v>
      </c>
      <c r="Y900" t="str" cm="1">
        <f t="array" ref="Y900">_xlfn.IFS(R900&gt;10,"Excelente",R900&gt;=5,"Bueno",R900&gt;=2,"Débil",R900&lt;2,"Deficiente")</f>
        <v>Bueno</v>
      </c>
      <c r="Z900" t="str">
        <f>IF(AND(R900&lt;2,Q900&gt;=100),"Revisar","OK")</f>
        <v>OK</v>
      </c>
      <c r="AA900" s="55">
        <f>_xlfn.XLOOKUP(C900,'Preguntas de negocio'!$C$114:$C$119,'Preguntas de negocio'!$D$114:$D$119,0)</f>
        <v>4.5</v>
      </c>
      <c r="AB900" s="55">
        <f>VLOOKUP(C900,'Preguntas de negocio'!$C$121:$D$127,2,FALSE)</f>
        <v>0.35</v>
      </c>
    </row>
    <row r="901" spans="1:28" x14ac:dyDescent="0.3">
      <c r="A901" s="1">
        <v>45841</v>
      </c>
      <c r="B901" s="2" t="s">
        <v>2625</v>
      </c>
      <c r="C901" s="2" t="s">
        <v>2515</v>
      </c>
      <c r="D901" s="2" t="s">
        <v>2528</v>
      </c>
      <c r="E901" s="2" t="s">
        <v>2517</v>
      </c>
      <c r="F901" s="3">
        <v>29592</v>
      </c>
      <c r="G901" s="3">
        <v>386</v>
      </c>
      <c r="H901" s="3">
        <v>43</v>
      </c>
      <c r="I901" s="4">
        <v>349.73</v>
      </c>
      <c r="J901" s="4">
        <v>1037.7</v>
      </c>
      <c r="K901" s="3">
        <v>36</v>
      </c>
      <c r="L901" s="2" t="s">
        <v>2536</v>
      </c>
      <c r="M901" s="2" t="s">
        <v>2546</v>
      </c>
      <c r="N901" s="8">
        <f>IFERROR(G901/F901,0)</f>
        <v>1.3044065963773993E-2</v>
      </c>
      <c r="O901" s="8">
        <f>IFERROR(H901/G901,0)</f>
        <v>0.11139896373056994</v>
      </c>
      <c r="P901" s="4">
        <f>IFERROR(I901/G901,0)</f>
        <v>0.90603626943005189</v>
      </c>
      <c r="Q901" s="4">
        <f>IFERROR(I901/H901,0)</f>
        <v>8.1332558139534896</v>
      </c>
      <c r="R901" s="12">
        <f>IFERROR(J901/I901,0)</f>
        <v>2.967146084122037</v>
      </c>
      <c r="S901" s="7">
        <f>Tabla_nuevas_columnas[[#This Row],[ROAS]]</f>
        <v>2.967146084122037</v>
      </c>
      <c r="T901" t="str">
        <f>_xlfn.CONCAT(C901,"-",D901)</f>
        <v>Email-España</v>
      </c>
      <c r="U901">
        <f>YEAR(A901)</f>
        <v>2025</v>
      </c>
      <c r="V901">
        <f>MONTH(A901)</f>
        <v>7</v>
      </c>
      <c r="W901" t="str">
        <f>PROPER(TEXT(A901,"mmmm"))</f>
        <v>Julio</v>
      </c>
      <c r="X901" t="str">
        <f>PROPER(TEXT(A901,"dddd"))</f>
        <v>Jueves</v>
      </c>
      <c r="Y901" t="str" cm="1">
        <f t="array" ref="Y901">_xlfn.IFS(R901&gt;10,"Excelente",R901&gt;=5,"Bueno",R901&gt;=2,"Débil",R901&lt;2,"Deficiente")</f>
        <v>Débil</v>
      </c>
      <c r="Z901" t="str">
        <f>IF(AND(R901&lt;2,Q901&gt;=100),"Revisar","OK")</f>
        <v>OK</v>
      </c>
      <c r="AA901" s="55">
        <f>_xlfn.XLOOKUP(C901,'Preguntas de negocio'!$C$114:$C$119,'Preguntas de negocio'!$D$114:$D$119,0)</f>
        <v>5.5</v>
      </c>
      <c r="AB901" s="55">
        <f>VLOOKUP(C901,'Preguntas de negocio'!$C$121:$D$127,2,FALSE)</f>
        <v>0.65</v>
      </c>
    </row>
    <row r="902" spans="1:28" x14ac:dyDescent="0.3">
      <c r="A902" s="1">
        <v>45690</v>
      </c>
      <c r="B902" s="2" t="s">
        <v>2616</v>
      </c>
      <c r="C902" s="2" t="s">
        <v>2533</v>
      </c>
      <c r="D902" s="2" t="s">
        <v>2516</v>
      </c>
      <c r="E902" s="2" t="s">
        <v>2517</v>
      </c>
      <c r="F902" s="3">
        <v>1939</v>
      </c>
      <c r="G902" s="3">
        <v>61</v>
      </c>
      <c r="H902" s="3">
        <v>7</v>
      </c>
      <c r="I902" s="4">
        <v>27.37</v>
      </c>
      <c r="J902" s="4">
        <v>717.61</v>
      </c>
      <c r="K902" s="3">
        <v>5</v>
      </c>
      <c r="L902" s="2" t="s">
        <v>2523</v>
      </c>
      <c r="M902" s="2" t="s">
        <v>2537</v>
      </c>
      <c r="N902" s="8">
        <f>IFERROR(G902/F902,0)</f>
        <v>3.1459515214027851E-2</v>
      </c>
      <c r="O902" s="8">
        <f>IFERROR(H902/G902,0)</f>
        <v>0.11475409836065574</v>
      </c>
      <c r="P902" s="4">
        <f>IFERROR(I902/G902,0)</f>
        <v>0.44868852459016395</v>
      </c>
      <c r="Q902" s="4">
        <f>IFERROR(I902/H902,0)</f>
        <v>3.91</v>
      </c>
      <c r="R902" s="12">
        <f>IFERROR(J902/I902,0)</f>
        <v>26.218852758494702</v>
      </c>
      <c r="S902" s="7">
        <f>Tabla_nuevas_columnas[[#This Row],[ROAS]]</f>
        <v>26.218852758494702</v>
      </c>
      <c r="T902" t="str">
        <f>_xlfn.CONCAT(C902,"-",D902)</f>
        <v>Paid Social-México</v>
      </c>
      <c r="U902">
        <f>YEAR(A902)</f>
        <v>2025</v>
      </c>
      <c r="V902">
        <f>MONTH(A902)</f>
        <v>2</v>
      </c>
      <c r="W902" t="str">
        <f>PROPER(TEXT(A902,"mmmm"))</f>
        <v>Febrero</v>
      </c>
      <c r="X902" t="str">
        <f>PROPER(TEXT(A902,"dddd"))</f>
        <v>Domingo</v>
      </c>
      <c r="Y902" t="str" cm="1">
        <f t="array" ref="Y902">_xlfn.IFS(R902&gt;10,"Excelente",R902&gt;=5,"Bueno",R902&gt;=2,"Débil",R902&lt;2,"Deficiente")</f>
        <v>Excelente</v>
      </c>
      <c r="Z902" t="str">
        <f>IF(AND(R902&lt;2,Q902&gt;=100),"Revisar","OK")</f>
        <v>OK</v>
      </c>
      <c r="AA902" s="55">
        <f>_xlfn.XLOOKUP(C902,'Preguntas de negocio'!$C$114:$C$119,'Preguntas de negocio'!$D$114:$D$119,0)</f>
        <v>6</v>
      </c>
      <c r="AB902" s="55">
        <f>VLOOKUP(C902,'Preguntas de negocio'!$C$121:$D$127,2,FALSE)</f>
        <v>0.8</v>
      </c>
    </row>
    <row r="903" spans="1:28" x14ac:dyDescent="0.3">
      <c r="A903" s="1">
        <v>45908</v>
      </c>
      <c r="B903" s="2" t="s">
        <v>2630</v>
      </c>
      <c r="C903" s="2" t="s">
        <v>2515</v>
      </c>
      <c r="D903" s="2" t="s">
        <v>2516</v>
      </c>
      <c r="E903" s="2" t="s">
        <v>2529</v>
      </c>
      <c r="F903" s="3">
        <v>67678</v>
      </c>
      <c r="G903" s="3">
        <v>5109</v>
      </c>
      <c r="H903" s="3">
        <v>365</v>
      </c>
      <c r="I903" s="4">
        <v>5524.71</v>
      </c>
      <c r="J903" s="4">
        <v>60169.55</v>
      </c>
      <c r="K903" s="3">
        <v>187</v>
      </c>
      <c r="L903" s="2" t="s">
        <v>2539</v>
      </c>
      <c r="M903" s="2" t="s">
        <v>2524</v>
      </c>
      <c r="N903" s="8">
        <f>IFERROR(G903/F903,0)</f>
        <v>7.5489819439108721E-2</v>
      </c>
      <c r="O903" s="8">
        <f>IFERROR(H903/G903,0)</f>
        <v>7.1442552358582892E-2</v>
      </c>
      <c r="P903" s="4">
        <f>IFERROR(I903/G903,0)</f>
        <v>1.081368173810922</v>
      </c>
      <c r="Q903" s="4">
        <f>IFERROR(I903/H903,0)</f>
        <v>15.136191780821918</v>
      </c>
      <c r="R903" s="12">
        <f>IFERROR(J903/I903,0)</f>
        <v>10.89098794325856</v>
      </c>
      <c r="S903" s="7">
        <f>Tabla_nuevas_columnas[[#This Row],[ROAS]]</f>
        <v>10.89098794325856</v>
      </c>
      <c r="T903" t="str">
        <f>_xlfn.CONCAT(C903,"-",D903)</f>
        <v>Email-México</v>
      </c>
      <c r="U903">
        <f>YEAR(A903)</f>
        <v>2025</v>
      </c>
      <c r="V903">
        <f>MONTH(A903)</f>
        <v>9</v>
      </c>
      <c r="W903" t="str">
        <f>PROPER(TEXT(A903,"mmmm"))</f>
        <v>Septiembre</v>
      </c>
      <c r="X903" t="str">
        <f>PROPER(TEXT(A903,"dddd"))</f>
        <v>Lunes</v>
      </c>
      <c r="Y903" t="str" cm="1">
        <f t="array" ref="Y903">_xlfn.IFS(R903&gt;10,"Excelente",R903&gt;=5,"Bueno",R903&gt;=2,"Débil",R903&lt;2,"Deficiente")</f>
        <v>Excelente</v>
      </c>
      <c r="Z903" t="str">
        <f>IF(AND(R903&lt;2,Q903&gt;=100),"Revisar","OK")</f>
        <v>OK</v>
      </c>
      <c r="AA903" s="55">
        <f>_xlfn.XLOOKUP(C903,'Preguntas de negocio'!$C$114:$C$119,'Preguntas de negocio'!$D$114:$D$119,0)</f>
        <v>5.5</v>
      </c>
      <c r="AB903" s="55">
        <f>VLOOKUP(C903,'Preguntas de negocio'!$C$121:$D$127,2,FALSE)</f>
        <v>0.65</v>
      </c>
    </row>
    <row r="904" spans="1:28" x14ac:dyDescent="0.3">
      <c r="A904" s="1">
        <v>45820</v>
      </c>
      <c r="B904" s="2" t="s">
        <v>2623</v>
      </c>
      <c r="C904" s="2" t="s">
        <v>2533</v>
      </c>
      <c r="D904" s="2" t="s">
        <v>2528</v>
      </c>
      <c r="E904" s="2" t="s">
        <v>2517</v>
      </c>
      <c r="F904" s="3">
        <v>108168</v>
      </c>
      <c r="G904" s="3">
        <v>2481</v>
      </c>
      <c r="H904" s="3">
        <v>241</v>
      </c>
      <c r="I904" s="4">
        <v>4824.9799999999996</v>
      </c>
      <c r="J904" s="4">
        <v>18509.439999999999</v>
      </c>
      <c r="K904" s="3">
        <v>149</v>
      </c>
      <c r="L904" s="2" t="s">
        <v>2523</v>
      </c>
      <c r="M904" s="2" t="s">
        <v>2526</v>
      </c>
      <c r="N904" s="8">
        <f>IFERROR(G904/F904,0)</f>
        <v>2.2936543155092078E-2</v>
      </c>
      <c r="O904" s="8">
        <f>IFERROR(H904/G904,0)</f>
        <v>9.7138250705360737E-2</v>
      </c>
      <c r="P904" s="4">
        <f>IFERROR(I904/G904,0)</f>
        <v>1.9447722692462714</v>
      </c>
      <c r="Q904" s="4">
        <f>IFERROR(I904/H904,0)</f>
        <v>20.020663900414934</v>
      </c>
      <c r="R904" s="12">
        <f>IFERROR(J904/I904,0)</f>
        <v>3.8361692690954161</v>
      </c>
      <c r="S904" s="7">
        <f>Tabla_nuevas_columnas[[#This Row],[ROAS]]</f>
        <v>3.8361692690954161</v>
      </c>
      <c r="T904" t="str">
        <f>_xlfn.CONCAT(C904,"-",D904)</f>
        <v>Paid Social-España</v>
      </c>
      <c r="U904">
        <f>YEAR(A904)</f>
        <v>2025</v>
      </c>
      <c r="V904">
        <f>MONTH(A904)</f>
        <v>6</v>
      </c>
      <c r="W904" t="str">
        <f>PROPER(TEXT(A904,"mmmm"))</f>
        <v>Junio</v>
      </c>
      <c r="X904" t="str">
        <f>PROPER(TEXT(A904,"dddd"))</f>
        <v>Jueves</v>
      </c>
      <c r="Y904" t="str" cm="1">
        <f t="array" ref="Y904">_xlfn.IFS(R904&gt;10,"Excelente",R904&gt;=5,"Bueno",R904&gt;=2,"Débil",R904&lt;2,"Deficiente")</f>
        <v>Débil</v>
      </c>
      <c r="Z904" t="str">
        <f>IF(AND(R904&lt;2,Q904&gt;=100),"Revisar","OK")</f>
        <v>OK</v>
      </c>
      <c r="AA904" s="55">
        <f>_xlfn.XLOOKUP(C904,'Preguntas de negocio'!$C$114:$C$119,'Preguntas de negocio'!$D$114:$D$119,0)</f>
        <v>6</v>
      </c>
      <c r="AB904" s="55">
        <f>VLOOKUP(C904,'Preguntas de negocio'!$C$121:$D$127,2,FALSE)</f>
        <v>0.8</v>
      </c>
    </row>
    <row r="905" spans="1:28" x14ac:dyDescent="0.3">
      <c r="A905" s="1">
        <v>45953</v>
      </c>
      <c r="B905" s="2" t="s">
        <v>2636</v>
      </c>
      <c r="C905" s="2" t="s">
        <v>2541</v>
      </c>
      <c r="D905" s="2" t="s">
        <v>2522</v>
      </c>
      <c r="E905" s="2" t="s">
        <v>2517</v>
      </c>
      <c r="F905" s="3">
        <v>43572</v>
      </c>
      <c r="G905" s="3">
        <v>855</v>
      </c>
      <c r="H905" s="3">
        <v>27</v>
      </c>
      <c r="I905" s="4">
        <v>541.9</v>
      </c>
      <c r="J905" s="4">
        <v>745.3</v>
      </c>
      <c r="K905" s="3">
        <v>12</v>
      </c>
      <c r="L905" s="2" t="s">
        <v>2536</v>
      </c>
      <c r="M905" s="2" t="s">
        <v>2519</v>
      </c>
      <c r="N905" s="8">
        <f>IFERROR(G905/F905,0)</f>
        <v>1.9622693472872488E-2</v>
      </c>
      <c r="O905" s="8">
        <f>IFERROR(H905/G905,0)</f>
        <v>3.1578947368421054E-2</v>
      </c>
      <c r="P905" s="4">
        <f>IFERROR(I905/G905,0)</f>
        <v>0.63380116959064325</v>
      </c>
      <c r="Q905" s="4">
        <f>IFERROR(I905/H905,0)</f>
        <v>20.07037037037037</v>
      </c>
      <c r="R905" s="12">
        <f>IFERROR(J905/I905,0)</f>
        <v>1.3753460047979331</v>
      </c>
      <c r="S905" s="7">
        <f>Tabla_nuevas_columnas[[#This Row],[ROAS]]</f>
        <v>1.3753460047979331</v>
      </c>
      <c r="T905" t="str">
        <f>_xlfn.CONCAT(C905,"-",D905)</f>
        <v>Display-Italia</v>
      </c>
      <c r="U905">
        <f>YEAR(A905)</f>
        <v>2025</v>
      </c>
      <c r="V905">
        <f>MONTH(A905)</f>
        <v>10</v>
      </c>
      <c r="W905" t="str">
        <f>PROPER(TEXT(A905,"mmmm"))</f>
        <v>Octubre</v>
      </c>
      <c r="X905" t="str">
        <f>PROPER(TEXT(A905,"dddd"))</f>
        <v>Jueves</v>
      </c>
      <c r="Y905" t="str" cm="1">
        <f t="array" ref="Y905">_xlfn.IFS(R905&gt;10,"Excelente",R905&gt;=5,"Bueno",R905&gt;=2,"Débil",R905&lt;2,"Deficiente")</f>
        <v>Deficiente</v>
      </c>
      <c r="Z905" t="str">
        <f>IF(AND(R905&lt;2,Q905&gt;=100),"Revisar","OK")</f>
        <v>OK</v>
      </c>
      <c r="AA905" s="55">
        <f>_xlfn.XLOOKUP(C905,'Preguntas de negocio'!$C$114:$C$119,'Preguntas de negocio'!$D$114:$D$119,0)</f>
        <v>5</v>
      </c>
      <c r="AB905" s="55">
        <f>VLOOKUP(C905,'Preguntas de negocio'!$C$121:$D$127,2,FALSE)</f>
        <v>0.5</v>
      </c>
    </row>
    <row r="906" spans="1:28" x14ac:dyDescent="0.3">
      <c r="A906" s="1">
        <v>45748</v>
      </c>
      <c r="B906" s="2" t="s">
        <v>2625</v>
      </c>
      <c r="C906" s="2" t="s">
        <v>2515</v>
      </c>
      <c r="D906" s="2" t="s">
        <v>2531</v>
      </c>
      <c r="E906" s="2" t="s">
        <v>2529</v>
      </c>
      <c r="F906" s="3">
        <v>16376</v>
      </c>
      <c r="G906" s="3">
        <v>747</v>
      </c>
      <c r="H906" s="3">
        <v>95</v>
      </c>
      <c r="I906" s="4">
        <v>1162.71</v>
      </c>
      <c r="J906" s="4">
        <v>4441.5</v>
      </c>
      <c r="K906" s="3">
        <v>51</v>
      </c>
      <c r="L906" s="2" t="s">
        <v>2518</v>
      </c>
      <c r="M906" s="2" t="s">
        <v>2519</v>
      </c>
      <c r="N906" s="8">
        <f>IFERROR(G906/F906,0)</f>
        <v>4.5615534929164633E-2</v>
      </c>
      <c r="O906" s="8">
        <f>IFERROR(H906/G906,0)</f>
        <v>0.12717536813922356</v>
      </c>
      <c r="P906" s="4">
        <f>IFERROR(I906/G906,0)</f>
        <v>1.5565060240963855</v>
      </c>
      <c r="Q906" s="4">
        <f>IFERROR(I906/H906,0)</f>
        <v>12.239052631578948</v>
      </c>
      <c r="R906" s="12">
        <f>IFERROR(J906/I906,0)</f>
        <v>3.8199551048842788</v>
      </c>
      <c r="S906" s="7">
        <f>Tabla_nuevas_columnas[[#This Row],[ROAS]]</f>
        <v>3.8199551048842788</v>
      </c>
      <c r="T906" t="str">
        <f>_xlfn.CONCAT(C906,"-",D906)</f>
        <v>Email-Portugal</v>
      </c>
      <c r="U906">
        <f>YEAR(A906)</f>
        <v>2025</v>
      </c>
      <c r="V906">
        <f>MONTH(A906)</f>
        <v>4</v>
      </c>
      <c r="W906" t="str">
        <f>PROPER(TEXT(A906,"mmmm"))</f>
        <v>Abril</v>
      </c>
      <c r="X906" t="str">
        <f>PROPER(TEXT(A906,"dddd"))</f>
        <v>Martes</v>
      </c>
      <c r="Y906" t="str" cm="1">
        <f t="array" ref="Y906">_xlfn.IFS(R906&gt;10,"Excelente",R906&gt;=5,"Bueno",R906&gt;=2,"Débil",R906&lt;2,"Deficiente")</f>
        <v>Débil</v>
      </c>
      <c r="Z906" t="str">
        <f>IF(AND(R906&lt;2,Q906&gt;=100),"Revisar","OK")</f>
        <v>OK</v>
      </c>
      <c r="AA906" s="55">
        <f>_xlfn.XLOOKUP(C906,'Preguntas de negocio'!$C$114:$C$119,'Preguntas de negocio'!$D$114:$D$119,0)</f>
        <v>5.5</v>
      </c>
      <c r="AB906" s="55">
        <f>VLOOKUP(C906,'Preguntas de negocio'!$C$121:$D$127,2,FALSE)</f>
        <v>0.65</v>
      </c>
    </row>
    <row r="907" spans="1:28" x14ac:dyDescent="0.3">
      <c r="A907" s="1">
        <v>45664</v>
      </c>
      <c r="B907" s="2" t="s">
        <v>2631</v>
      </c>
      <c r="C907" s="2" t="s">
        <v>2521</v>
      </c>
      <c r="D907" s="2" t="s">
        <v>2528</v>
      </c>
      <c r="E907" s="2" t="s">
        <v>2529</v>
      </c>
      <c r="F907" s="3">
        <v>135844</v>
      </c>
      <c r="G907" s="3">
        <v>5901</v>
      </c>
      <c r="H907" s="3">
        <v>428</v>
      </c>
      <c r="I907" s="4">
        <v>6080.53</v>
      </c>
      <c r="J907" s="4">
        <v>83659.13</v>
      </c>
      <c r="K907" s="3">
        <v>336</v>
      </c>
      <c r="L907" s="2" t="s">
        <v>2539</v>
      </c>
      <c r="M907" s="2" t="s">
        <v>2524</v>
      </c>
      <c r="N907" s="8">
        <f>IFERROR(G907/F907,0)</f>
        <v>4.3439533582638912E-2</v>
      </c>
      <c r="O907" s="8">
        <f>IFERROR(H907/G907,0)</f>
        <v>7.253007964751737E-2</v>
      </c>
      <c r="P907" s="4">
        <f>IFERROR(I907/G907,0)</f>
        <v>1.0304236570072869</v>
      </c>
      <c r="Q907" s="4">
        <f>IFERROR(I907/H907,0)</f>
        <v>14.206845794392523</v>
      </c>
      <c r="R907" s="12">
        <f>IFERROR(J907/I907,0)</f>
        <v>13.758525983754707</v>
      </c>
      <c r="S907" s="7">
        <f>Tabla_nuevas_columnas[[#This Row],[ROAS]]</f>
        <v>13.758525983754707</v>
      </c>
      <c r="T907" t="str">
        <f>_xlfn.CONCAT(C907,"-",D907)</f>
        <v>Paid Search-España</v>
      </c>
      <c r="U907">
        <f>YEAR(A907)</f>
        <v>2025</v>
      </c>
      <c r="V907">
        <f>MONTH(A907)</f>
        <v>1</v>
      </c>
      <c r="W907" t="str">
        <f>PROPER(TEXT(A907,"mmmm"))</f>
        <v>Enero</v>
      </c>
      <c r="X907" t="str">
        <f>PROPER(TEXT(A907,"dddd"))</f>
        <v>Martes</v>
      </c>
      <c r="Y907" t="str" cm="1">
        <f t="array" ref="Y907">_xlfn.IFS(R907&gt;10,"Excelente",R907&gt;=5,"Bueno",R907&gt;=2,"Débil",R907&lt;2,"Deficiente")</f>
        <v>Excelente</v>
      </c>
      <c r="Z907" t="str">
        <f>IF(AND(R907&lt;2,Q907&gt;=100),"Revisar","OK")</f>
        <v>OK</v>
      </c>
      <c r="AA907" s="55">
        <f>_xlfn.XLOOKUP(C907,'Preguntas de negocio'!$C$114:$C$119,'Preguntas de negocio'!$D$114:$D$119,0)</f>
        <v>5</v>
      </c>
      <c r="AB907" s="55">
        <f>VLOOKUP(C907,'Preguntas de negocio'!$C$121:$D$127,2,FALSE)</f>
        <v>1.1000000000000001</v>
      </c>
    </row>
    <row r="908" spans="1:28" x14ac:dyDescent="0.3">
      <c r="A908" s="1">
        <v>46015</v>
      </c>
      <c r="B908" s="2" t="s">
        <v>2629</v>
      </c>
      <c r="C908" s="2" t="s">
        <v>2533</v>
      </c>
      <c r="D908" s="2" t="s">
        <v>2528</v>
      </c>
      <c r="E908" s="2" t="s">
        <v>2517</v>
      </c>
      <c r="F908" s="3">
        <v>119856</v>
      </c>
      <c r="G908" s="3">
        <v>4321</v>
      </c>
      <c r="H908" s="3">
        <v>120</v>
      </c>
      <c r="I908" s="4">
        <v>3274.3</v>
      </c>
      <c r="J908" s="4">
        <v>25285.24</v>
      </c>
      <c r="K908" s="3">
        <v>93</v>
      </c>
      <c r="L908" s="2" t="s">
        <v>2518</v>
      </c>
      <c r="M908" s="2" t="s">
        <v>2519</v>
      </c>
      <c r="N908" s="8">
        <f>IFERROR(G908/F908,0)</f>
        <v>3.6051595247630491E-2</v>
      </c>
      <c r="O908" s="8">
        <f>IFERROR(H908/G908,0)</f>
        <v>2.77713492247165E-2</v>
      </c>
      <c r="P908" s="4">
        <f>IFERROR(I908/G908,0)</f>
        <v>0.75776440638741038</v>
      </c>
      <c r="Q908" s="4">
        <f>IFERROR(I908/H908,0)</f>
        <v>27.285833333333336</v>
      </c>
      <c r="R908" s="12">
        <f>IFERROR(J908/I908,0)</f>
        <v>7.7223345447881995</v>
      </c>
      <c r="S908" s="7">
        <f>Tabla_nuevas_columnas[[#This Row],[ROAS]]</f>
        <v>7.7223345447881995</v>
      </c>
      <c r="T908" t="str">
        <f>_xlfn.CONCAT(C908,"-",D908)</f>
        <v>Paid Social-España</v>
      </c>
      <c r="U908">
        <f>YEAR(A908)</f>
        <v>2025</v>
      </c>
      <c r="V908">
        <f>MONTH(A908)</f>
        <v>12</v>
      </c>
      <c r="W908" t="str">
        <f>PROPER(TEXT(A908,"mmmm"))</f>
        <v>Diciembre</v>
      </c>
      <c r="X908" t="str">
        <f>PROPER(TEXT(A908,"dddd"))</f>
        <v>Miércoles</v>
      </c>
      <c r="Y908" t="str" cm="1">
        <f t="array" ref="Y908">_xlfn.IFS(R908&gt;10,"Excelente",R908&gt;=5,"Bueno",R908&gt;=2,"Débil",R908&lt;2,"Deficiente")</f>
        <v>Bueno</v>
      </c>
      <c r="Z908" t="str">
        <f>IF(AND(R908&lt;2,Q908&gt;=100),"Revisar","OK")</f>
        <v>OK</v>
      </c>
      <c r="AA908" s="55">
        <f>_xlfn.XLOOKUP(C908,'Preguntas de negocio'!$C$114:$C$119,'Preguntas de negocio'!$D$114:$D$119,0)</f>
        <v>6</v>
      </c>
      <c r="AB908" s="55">
        <f>VLOOKUP(C908,'Preguntas de negocio'!$C$121:$D$127,2,FALSE)</f>
        <v>0.8</v>
      </c>
    </row>
    <row r="909" spans="1:28" x14ac:dyDescent="0.3">
      <c r="A909" s="1">
        <v>45720</v>
      </c>
      <c r="B909" s="2" t="s">
        <v>2642</v>
      </c>
      <c r="C909" s="2" t="s">
        <v>2533</v>
      </c>
      <c r="D909" s="2" t="s">
        <v>2522</v>
      </c>
      <c r="E909" s="2" t="s">
        <v>2517</v>
      </c>
      <c r="F909" s="3">
        <v>56129</v>
      </c>
      <c r="G909" s="3">
        <v>2143</v>
      </c>
      <c r="H909" s="3">
        <v>276</v>
      </c>
      <c r="I909" s="4">
        <v>1240.8399999999999</v>
      </c>
      <c r="J909" s="4">
        <v>33875.72</v>
      </c>
      <c r="K909" s="3">
        <v>233</v>
      </c>
      <c r="L909" s="2" t="s">
        <v>2523</v>
      </c>
      <c r="M909" s="2" t="s">
        <v>2519</v>
      </c>
      <c r="N909" s="8">
        <f>IFERROR(G909/F909,0)</f>
        <v>3.8179906999946549E-2</v>
      </c>
      <c r="O909" s="8">
        <f>IFERROR(H909/G909,0)</f>
        <v>0.12879141390573962</v>
      </c>
      <c r="P909" s="4">
        <f>IFERROR(I909/G909,0)</f>
        <v>0.57902006532897798</v>
      </c>
      <c r="Q909" s="4">
        <f>IFERROR(I909/H909,0)</f>
        <v>4.4957971014492752</v>
      </c>
      <c r="R909" s="12">
        <f>IFERROR(J909/I909,0)</f>
        <v>27.300635053673322</v>
      </c>
      <c r="S909" s="7">
        <f>Tabla_nuevas_columnas[[#This Row],[ROAS]]</f>
        <v>27.300635053673322</v>
      </c>
      <c r="T909" t="str">
        <f>_xlfn.CONCAT(C909,"-",D909)</f>
        <v>Paid Social-Italia</v>
      </c>
      <c r="U909">
        <f>YEAR(A909)</f>
        <v>2025</v>
      </c>
      <c r="V909">
        <f>MONTH(A909)</f>
        <v>3</v>
      </c>
      <c r="W909" t="str">
        <f>PROPER(TEXT(A909,"mmmm"))</f>
        <v>Marzo</v>
      </c>
      <c r="X909" t="str">
        <f>PROPER(TEXT(A909,"dddd"))</f>
        <v>Martes</v>
      </c>
      <c r="Y909" t="str" cm="1">
        <f t="array" ref="Y909">_xlfn.IFS(R909&gt;10,"Excelente",R909&gt;=5,"Bueno",R909&gt;=2,"Débil",R909&lt;2,"Deficiente")</f>
        <v>Excelente</v>
      </c>
      <c r="Z909" t="str">
        <f>IF(AND(R909&lt;2,Q909&gt;=100),"Revisar","OK")</f>
        <v>OK</v>
      </c>
      <c r="AA909" s="55">
        <f>_xlfn.XLOOKUP(C909,'Preguntas de negocio'!$C$114:$C$119,'Preguntas de negocio'!$D$114:$D$119,0)</f>
        <v>6</v>
      </c>
      <c r="AB909" s="55">
        <f>VLOOKUP(C909,'Preguntas de negocio'!$C$121:$D$127,2,FALSE)</f>
        <v>0.8</v>
      </c>
    </row>
    <row r="910" spans="1:28" x14ac:dyDescent="0.3">
      <c r="A910" s="1">
        <v>45972</v>
      </c>
      <c r="B910" s="2" t="s">
        <v>2631</v>
      </c>
      <c r="C910" s="2" t="s">
        <v>2521</v>
      </c>
      <c r="D910" s="2" t="s">
        <v>2516</v>
      </c>
      <c r="E910" s="2" t="s">
        <v>2517</v>
      </c>
      <c r="F910" s="3">
        <v>102749</v>
      </c>
      <c r="G910" s="3">
        <v>2923</v>
      </c>
      <c r="H910" s="3">
        <v>174</v>
      </c>
      <c r="I910" s="4">
        <v>2753.92</v>
      </c>
      <c r="J910" s="4">
        <v>19133.05</v>
      </c>
      <c r="K910" s="3">
        <v>121</v>
      </c>
      <c r="L910" s="2" t="s">
        <v>2539</v>
      </c>
      <c r="M910" s="2" t="s">
        <v>2546</v>
      </c>
      <c r="N910" s="8">
        <f>IFERROR(G910/F910,0)</f>
        <v>2.844796543032049E-2</v>
      </c>
      <c r="O910" s="8">
        <f>IFERROR(H910/G910,0)</f>
        <v>5.9527882312692439E-2</v>
      </c>
      <c r="P910" s="4">
        <f>IFERROR(I910/G910,0)</f>
        <v>0.94215531987683887</v>
      </c>
      <c r="Q910" s="4">
        <f>IFERROR(I910/H910,0)</f>
        <v>15.82712643678161</v>
      </c>
      <c r="R910" s="12">
        <f>IFERROR(J910/I910,0)</f>
        <v>6.9475692830583311</v>
      </c>
      <c r="S910" s="7">
        <f>Tabla_nuevas_columnas[[#This Row],[ROAS]]</f>
        <v>6.9475692830583311</v>
      </c>
      <c r="T910" t="str">
        <f>_xlfn.CONCAT(C910,"-",D910)</f>
        <v>Paid Search-México</v>
      </c>
      <c r="U910">
        <f>YEAR(A910)</f>
        <v>2025</v>
      </c>
      <c r="V910">
        <f>MONTH(A910)</f>
        <v>11</v>
      </c>
      <c r="W910" t="str">
        <f>PROPER(TEXT(A910,"mmmm"))</f>
        <v>Noviembre</v>
      </c>
      <c r="X910" t="str">
        <f>PROPER(TEXT(A910,"dddd"))</f>
        <v>Martes</v>
      </c>
      <c r="Y910" t="str" cm="1">
        <f t="array" ref="Y910">_xlfn.IFS(R910&gt;10,"Excelente",R910&gt;=5,"Bueno",R910&gt;=2,"Débil",R910&lt;2,"Deficiente")</f>
        <v>Bueno</v>
      </c>
      <c r="Z910" t="str">
        <f>IF(AND(R910&lt;2,Q910&gt;=100),"Revisar","OK")</f>
        <v>OK</v>
      </c>
      <c r="AA910" s="55">
        <f>_xlfn.XLOOKUP(C910,'Preguntas de negocio'!$C$114:$C$119,'Preguntas de negocio'!$D$114:$D$119,0)</f>
        <v>5</v>
      </c>
      <c r="AB910" s="55">
        <f>VLOOKUP(C910,'Preguntas de negocio'!$C$121:$D$127,2,FALSE)</f>
        <v>1.1000000000000001</v>
      </c>
    </row>
    <row r="911" spans="1:28" x14ac:dyDescent="0.3">
      <c r="A911" s="1">
        <v>45816</v>
      </c>
      <c r="B911" s="2" t="s">
        <v>2622</v>
      </c>
      <c r="C911" s="2" t="s">
        <v>2543</v>
      </c>
      <c r="D911" s="2" t="s">
        <v>2528</v>
      </c>
      <c r="E911" s="2" t="s">
        <v>2529</v>
      </c>
      <c r="F911" s="3">
        <v>65327</v>
      </c>
      <c r="G911" s="3">
        <v>853</v>
      </c>
      <c r="H911" s="3">
        <v>68</v>
      </c>
      <c r="I911" s="4">
        <v>299.35000000000002</v>
      </c>
      <c r="J911" s="4">
        <v>2223.89</v>
      </c>
      <c r="K911" s="3">
        <v>33</v>
      </c>
      <c r="L911" s="2" t="s">
        <v>2523</v>
      </c>
      <c r="M911" s="2" t="s">
        <v>2519</v>
      </c>
      <c r="N911" s="8">
        <f>IFERROR(G911/F911,0)</f>
        <v>1.3057388216204632E-2</v>
      </c>
      <c r="O911" s="8">
        <f>IFERROR(H911/G911,0)</f>
        <v>7.9718640093786639E-2</v>
      </c>
      <c r="P911" s="4">
        <f>IFERROR(I911/G911,0)</f>
        <v>0.35093786635404456</v>
      </c>
      <c r="Q911" s="4">
        <f>IFERROR(I911/H911,0)</f>
        <v>4.4022058823529413</v>
      </c>
      <c r="R911" s="12">
        <f>IFERROR(J911/I911,0)</f>
        <v>7.4290629697678296</v>
      </c>
      <c r="S911" s="7">
        <f>Tabla_nuevas_columnas[[#This Row],[ROAS]]</f>
        <v>7.4290629697678296</v>
      </c>
      <c r="T911" t="str">
        <f>_xlfn.CONCAT(C911,"-",D911)</f>
        <v>Organic Social-España</v>
      </c>
      <c r="U911">
        <f>YEAR(A911)</f>
        <v>2025</v>
      </c>
      <c r="V911">
        <f>MONTH(A911)</f>
        <v>6</v>
      </c>
      <c r="W911" t="str">
        <f>PROPER(TEXT(A911,"mmmm"))</f>
        <v>Junio</v>
      </c>
      <c r="X911" t="str">
        <f>PROPER(TEXT(A911,"dddd"))</f>
        <v>Domingo</v>
      </c>
      <c r="Y911" t="str" cm="1">
        <f t="array" ref="Y911">_xlfn.IFS(R911&gt;10,"Excelente",R911&gt;=5,"Bueno",R911&gt;=2,"Débil",R911&lt;2,"Deficiente")</f>
        <v>Bueno</v>
      </c>
      <c r="Z911" t="str">
        <f>IF(AND(R911&lt;2,Q911&gt;=100),"Revisar","OK")</f>
        <v>OK</v>
      </c>
      <c r="AA911" s="55">
        <f>_xlfn.XLOOKUP(C911,'Preguntas de negocio'!$C$114:$C$119,'Preguntas de negocio'!$D$114:$D$119,0)</f>
        <v>4</v>
      </c>
      <c r="AB911" s="55">
        <f>VLOOKUP(C911,'Preguntas de negocio'!$C$121:$D$127,2,FALSE)</f>
        <v>0.95</v>
      </c>
    </row>
    <row r="912" spans="1:28" x14ac:dyDescent="0.3">
      <c r="A912" s="1">
        <v>45827</v>
      </c>
      <c r="B912" s="2" t="s">
        <v>2636</v>
      </c>
      <c r="C912" s="2" t="s">
        <v>2543</v>
      </c>
      <c r="D912" s="2" t="s">
        <v>2522</v>
      </c>
      <c r="E912" s="2" t="s">
        <v>2529</v>
      </c>
      <c r="F912" s="3">
        <v>20180</v>
      </c>
      <c r="G912" s="3">
        <v>1525</v>
      </c>
      <c r="H912" s="3">
        <v>134</v>
      </c>
      <c r="I912" s="4">
        <v>1631.74</v>
      </c>
      <c r="J912" s="4">
        <v>5491.03</v>
      </c>
      <c r="K912" s="3">
        <v>88</v>
      </c>
      <c r="L912" s="2" t="s">
        <v>2536</v>
      </c>
      <c r="M912" s="2" t="s">
        <v>2524</v>
      </c>
      <c r="N912" s="8">
        <f>IFERROR(G912/F912,0)</f>
        <v>7.5569871159563928E-2</v>
      </c>
      <c r="O912" s="8">
        <f>IFERROR(H912/G912,0)</f>
        <v>8.7868852459016392E-2</v>
      </c>
      <c r="P912" s="4">
        <f>IFERROR(I912/G912,0)</f>
        <v>1.0699934426229509</v>
      </c>
      <c r="Q912" s="4">
        <f>IFERROR(I912/H912,0)</f>
        <v>12.177164179104478</v>
      </c>
      <c r="R912" s="12">
        <f>IFERROR(J912/I912,0)</f>
        <v>3.3651378283304938</v>
      </c>
      <c r="S912" s="7">
        <f>Tabla_nuevas_columnas[[#This Row],[ROAS]]</f>
        <v>3.3651378283304938</v>
      </c>
      <c r="T912" t="str">
        <f>_xlfn.CONCAT(C912,"-",D912)</f>
        <v>Organic Social-Italia</v>
      </c>
      <c r="U912">
        <f>YEAR(A912)</f>
        <v>2025</v>
      </c>
      <c r="V912">
        <f>MONTH(A912)</f>
        <v>6</v>
      </c>
      <c r="W912" t="str">
        <f>PROPER(TEXT(A912,"mmmm"))</f>
        <v>Junio</v>
      </c>
      <c r="X912" t="str">
        <f>PROPER(TEXT(A912,"dddd"))</f>
        <v>Jueves</v>
      </c>
      <c r="Y912" t="str" cm="1">
        <f t="array" ref="Y912">_xlfn.IFS(R912&gt;10,"Excelente",R912&gt;=5,"Bueno",R912&gt;=2,"Débil",R912&lt;2,"Deficiente")</f>
        <v>Débil</v>
      </c>
      <c r="Z912" t="str">
        <f>IF(AND(R912&lt;2,Q912&gt;=100),"Revisar","OK")</f>
        <v>OK</v>
      </c>
      <c r="AA912" s="55">
        <f>_xlfn.XLOOKUP(C912,'Preguntas de negocio'!$C$114:$C$119,'Preguntas de negocio'!$D$114:$D$119,0)</f>
        <v>4</v>
      </c>
      <c r="AB912" s="55">
        <f>VLOOKUP(C912,'Preguntas de negocio'!$C$121:$D$127,2,FALSE)</f>
        <v>0.95</v>
      </c>
    </row>
    <row r="913" spans="1:28" x14ac:dyDescent="0.3">
      <c r="A913" s="1">
        <v>45686</v>
      </c>
      <c r="B913" s="2" t="s">
        <v>2626</v>
      </c>
      <c r="C913" s="2" t="s">
        <v>2533</v>
      </c>
      <c r="D913" s="2" t="s">
        <v>2516</v>
      </c>
      <c r="E913" s="2" t="s">
        <v>2529</v>
      </c>
      <c r="F913" s="3">
        <v>127695</v>
      </c>
      <c r="G913" s="3">
        <v>2682</v>
      </c>
      <c r="H913" s="3">
        <v>371</v>
      </c>
      <c r="I913" s="4">
        <v>2925.87</v>
      </c>
      <c r="J913" s="4">
        <v>79919.12</v>
      </c>
      <c r="K913" s="3">
        <v>184</v>
      </c>
      <c r="L913" s="2" t="s">
        <v>2523</v>
      </c>
      <c r="M913" s="2" t="s">
        <v>2519</v>
      </c>
      <c r="N913" s="8">
        <f>IFERROR(G913/F913,0)</f>
        <v>2.1003171619875485E-2</v>
      </c>
      <c r="O913" s="8">
        <f>IFERROR(H913/G913,0)</f>
        <v>0.13832960477255779</v>
      </c>
      <c r="P913" s="4">
        <f>IFERROR(I913/G913,0)</f>
        <v>1.0909284116331095</v>
      </c>
      <c r="Q913" s="4">
        <f>IFERROR(I913/H913,0)</f>
        <v>7.8864420485175195</v>
      </c>
      <c r="R913" s="12">
        <f>IFERROR(J913/I913,0)</f>
        <v>27.314651710431427</v>
      </c>
      <c r="S913" s="7">
        <f>Tabla_nuevas_columnas[[#This Row],[ROAS]]</f>
        <v>27.314651710431427</v>
      </c>
      <c r="T913" t="str">
        <f>_xlfn.CONCAT(C913,"-",D913)</f>
        <v>Paid Social-México</v>
      </c>
      <c r="U913">
        <f>YEAR(A913)</f>
        <v>2025</v>
      </c>
      <c r="V913">
        <f>MONTH(A913)</f>
        <v>1</v>
      </c>
      <c r="W913" t="str">
        <f>PROPER(TEXT(A913,"mmmm"))</f>
        <v>Enero</v>
      </c>
      <c r="X913" t="str">
        <f>PROPER(TEXT(A913,"dddd"))</f>
        <v>Miércoles</v>
      </c>
      <c r="Y913" t="str" cm="1">
        <f t="array" ref="Y913">_xlfn.IFS(R913&gt;10,"Excelente",R913&gt;=5,"Bueno",R913&gt;=2,"Débil",R913&lt;2,"Deficiente")</f>
        <v>Excelente</v>
      </c>
      <c r="Z913" t="str">
        <f>IF(AND(R913&lt;2,Q913&gt;=100),"Revisar","OK")</f>
        <v>OK</v>
      </c>
      <c r="AA913" s="55">
        <f>_xlfn.XLOOKUP(C913,'Preguntas de negocio'!$C$114:$C$119,'Preguntas de negocio'!$D$114:$D$119,0)</f>
        <v>6</v>
      </c>
      <c r="AB913" s="55">
        <f>VLOOKUP(C913,'Preguntas de negocio'!$C$121:$D$127,2,FALSE)</f>
        <v>0.8</v>
      </c>
    </row>
    <row r="914" spans="1:28" x14ac:dyDescent="0.3">
      <c r="A914" s="1">
        <v>45967</v>
      </c>
      <c r="B914" s="2" t="s">
        <v>2644</v>
      </c>
      <c r="C914" s="2" t="s">
        <v>2527</v>
      </c>
      <c r="D914" s="2" t="s">
        <v>2516</v>
      </c>
      <c r="E914" s="2" t="s">
        <v>2529</v>
      </c>
      <c r="F914" s="3">
        <v>43676</v>
      </c>
      <c r="G914" s="3">
        <v>502</v>
      </c>
      <c r="H914" s="3">
        <v>49</v>
      </c>
      <c r="I914" s="4">
        <v>1034.0899999999999</v>
      </c>
      <c r="J914" s="4">
        <v>5107.08</v>
      </c>
      <c r="K914" s="3">
        <v>39</v>
      </c>
      <c r="L914" s="2" t="s">
        <v>2539</v>
      </c>
      <c r="M914" s="2" t="s">
        <v>2546</v>
      </c>
      <c r="N914" s="8">
        <f>IFERROR(G914/F914,0)</f>
        <v>1.1493726531733675E-2</v>
      </c>
      <c r="O914" s="8">
        <f>IFERROR(H914/G914,0)</f>
        <v>9.7609561752988044E-2</v>
      </c>
      <c r="P914" s="4">
        <f>IFERROR(I914/G914,0)</f>
        <v>2.0599402390438244</v>
      </c>
      <c r="Q914" s="4">
        <f>IFERROR(I914/H914,0)</f>
        <v>21.103877551020407</v>
      </c>
      <c r="R914" s="12">
        <f>IFERROR(J914/I914,0)</f>
        <v>4.9387190670057732</v>
      </c>
      <c r="S914" s="7">
        <f>Tabla_nuevas_columnas[[#This Row],[ROAS]]</f>
        <v>4.9387190670057732</v>
      </c>
      <c r="T914" t="str">
        <f>_xlfn.CONCAT(C914,"-",D914)</f>
        <v>Affiliate-México</v>
      </c>
      <c r="U914">
        <f>YEAR(A914)</f>
        <v>2025</v>
      </c>
      <c r="V914">
        <f>MONTH(A914)</f>
        <v>11</v>
      </c>
      <c r="W914" t="str">
        <f>PROPER(TEXT(A914,"mmmm"))</f>
        <v>Noviembre</v>
      </c>
      <c r="X914" t="str">
        <f>PROPER(TEXT(A914,"dddd"))</f>
        <v>Jueves</v>
      </c>
      <c r="Y914" t="str" cm="1">
        <f t="array" ref="Y914">_xlfn.IFS(R914&gt;10,"Excelente",R914&gt;=5,"Bueno",R914&gt;=2,"Débil",R914&lt;2,"Deficiente")</f>
        <v>Débil</v>
      </c>
      <c r="Z914" t="str">
        <f>IF(AND(R914&lt;2,Q914&gt;=100),"Revisar","OK")</f>
        <v>OK</v>
      </c>
      <c r="AA914" s="55">
        <f>_xlfn.XLOOKUP(C914,'Preguntas de negocio'!$C$114:$C$119,'Preguntas de negocio'!$D$114:$D$119,0)</f>
        <v>4.5</v>
      </c>
      <c r="AB914" s="55">
        <f>VLOOKUP(C914,'Preguntas de negocio'!$C$121:$D$127,2,FALSE)</f>
        <v>0.35</v>
      </c>
    </row>
    <row r="915" spans="1:28" x14ac:dyDescent="0.3">
      <c r="A915" s="1">
        <v>45714</v>
      </c>
      <c r="B915" s="2" t="s">
        <v>2640</v>
      </c>
      <c r="C915" s="2" t="s">
        <v>2541</v>
      </c>
      <c r="D915" s="2" t="s">
        <v>2525</v>
      </c>
      <c r="E915" s="2" t="s">
        <v>2517</v>
      </c>
      <c r="F915" s="3">
        <v>118766</v>
      </c>
      <c r="G915" s="3">
        <v>4593</v>
      </c>
      <c r="H915" s="3">
        <v>520</v>
      </c>
      <c r="I915" s="4">
        <v>4356.34</v>
      </c>
      <c r="J915" s="4">
        <v>89118.87</v>
      </c>
      <c r="K915" s="3">
        <v>320</v>
      </c>
      <c r="L915" s="2" t="s">
        <v>2536</v>
      </c>
      <c r="M915" s="2" t="s">
        <v>2524</v>
      </c>
      <c r="N915" s="8">
        <f>IFERROR(G915/F915,0)</f>
        <v>3.8672684101510535E-2</v>
      </c>
      <c r="O915" s="8">
        <f>IFERROR(H915/G915,0)</f>
        <v>0.11321576311778794</v>
      </c>
      <c r="P915" s="4">
        <f>IFERROR(I915/G915,0)</f>
        <v>0.94847376442412368</v>
      </c>
      <c r="Q915" s="4">
        <f>IFERROR(I915/H915,0)</f>
        <v>8.3775769230769228</v>
      </c>
      <c r="R915" s="12">
        <f>IFERROR(J915/I915,0)</f>
        <v>20.457280653025244</v>
      </c>
      <c r="S915" s="7">
        <f>Tabla_nuevas_columnas[[#This Row],[ROAS]]</f>
        <v>20.457280653025244</v>
      </c>
      <c r="T915" t="str">
        <f>_xlfn.CONCAT(C915,"-",D915)</f>
        <v>Display-Francia</v>
      </c>
      <c r="U915">
        <f>YEAR(A915)</f>
        <v>2025</v>
      </c>
      <c r="V915">
        <f>MONTH(A915)</f>
        <v>2</v>
      </c>
      <c r="W915" t="str">
        <f>PROPER(TEXT(A915,"mmmm"))</f>
        <v>Febrero</v>
      </c>
      <c r="X915" t="str">
        <f>PROPER(TEXT(A915,"dddd"))</f>
        <v>Miércoles</v>
      </c>
      <c r="Y915" t="str" cm="1">
        <f t="array" ref="Y915">_xlfn.IFS(R915&gt;10,"Excelente",R915&gt;=5,"Bueno",R915&gt;=2,"Débil",R915&lt;2,"Deficiente")</f>
        <v>Excelente</v>
      </c>
      <c r="Z915" t="str">
        <f>IF(AND(R915&lt;2,Q915&gt;=100),"Revisar","OK")</f>
        <v>OK</v>
      </c>
      <c r="AA915" s="55">
        <f>_xlfn.XLOOKUP(C915,'Preguntas de negocio'!$C$114:$C$119,'Preguntas de negocio'!$D$114:$D$119,0)</f>
        <v>5</v>
      </c>
      <c r="AB915" s="55">
        <f>VLOOKUP(C915,'Preguntas de negocio'!$C$121:$D$127,2,FALSE)</f>
        <v>0.5</v>
      </c>
    </row>
    <row r="916" spans="1:28" x14ac:dyDescent="0.3">
      <c r="A916" s="1">
        <v>45768</v>
      </c>
      <c r="B916" s="2" t="s">
        <v>2626</v>
      </c>
      <c r="C916" s="2" t="s">
        <v>2527</v>
      </c>
      <c r="D916" s="2" t="s">
        <v>2516</v>
      </c>
      <c r="E916" s="2" t="s">
        <v>2529</v>
      </c>
      <c r="F916" s="3">
        <v>84095</v>
      </c>
      <c r="G916" s="3">
        <v>6867</v>
      </c>
      <c r="H916" s="3">
        <v>237</v>
      </c>
      <c r="I916" s="4">
        <v>5383.68</v>
      </c>
      <c r="J916" s="4">
        <v>5268.54</v>
      </c>
      <c r="K916" s="3">
        <v>138</v>
      </c>
      <c r="L916" s="2" t="s">
        <v>2539</v>
      </c>
      <c r="M916" s="2" t="s">
        <v>2526</v>
      </c>
      <c r="N916" s="8">
        <f>IFERROR(G916/F916,0)</f>
        <v>8.1657649087341702E-2</v>
      </c>
      <c r="O916" s="8">
        <f>IFERROR(H916/G916,0)</f>
        <v>3.45128877238969E-2</v>
      </c>
      <c r="P916" s="4">
        <f>IFERROR(I916/G916,0)</f>
        <v>0.78399301004805599</v>
      </c>
      <c r="Q916" s="4">
        <f>IFERROR(I916/H916,0)</f>
        <v>22.715949367088609</v>
      </c>
      <c r="R916" s="12">
        <f>IFERROR(J916/I916,0)</f>
        <v>0.97861314194008553</v>
      </c>
      <c r="S916" s="7">
        <f>Tabla_nuevas_columnas[[#This Row],[ROAS]]</f>
        <v>0.97861314194008553</v>
      </c>
      <c r="T916" t="str">
        <f>_xlfn.CONCAT(C916,"-",D916)</f>
        <v>Affiliate-México</v>
      </c>
      <c r="U916">
        <f>YEAR(A916)</f>
        <v>2025</v>
      </c>
      <c r="V916">
        <f>MONTH(A916)</f>
        <v>4</v>
      </c>
      <c r="W916" t="str">
        <f>PROPER(TEXT(A916,"mmmm"))</f>
        <v>Abril</v>
      </c>
      <c r="X916" t="str">
        <f>PROPER(TEXT(A916,"dddd"))</f>
        <v>Lunes</v>
      </c>
      <c r="Y916" t="str" cm="1">
        <f t="array" ref="Y916">_xlfn.IFS(R916&gt;10,"Excelente",R916&gt;=5,"Bueno",R916&gt;=2,"Débil",R916&lt;2,"Deficiente")</f>
        <v>Deficiente</v>
      </c>
      <c r="Z916" t="str">
        <f>IF(AND(R916&lt;2,Q916&gt;=100),"Revisar","OK")</f>
        <v>OK</v>
      </c>
      <c r="AA916" s="55">
        <f>_xlfn.XLOOKUP(C916,'Preguntas de negocio'!$C$114:$C$119,'Preguntas de negocio'!$D$114:$D$119,0)</f>
        <v>4.5</v>
      </c>
      <c r="AB916" s="55">
        <f>VLOOKUP(C916,'Preguntas de negocio'!$C$121:$D$127,2,FALSE)</f>
        <v>0.35</v>
      </c>
    </row>
    <row r="917" spans="1:28" x14ac:dyDescent="0.3">
      <c r="A917" s="1">
        <v>45829</v>
      </c>
      <c r="B917" s="2" t="s">
        <v>2639</v>
      </c>
      <c r="C917" s="2" t="s">
        <v>2521</v>
      </c>
      <c r="D917" s="2" t="s">
        <v>2525</v>
      </c>
      <c r="E917" s="2" t="s">
        <v>2517</v>
      </c>
      <c r="F917" s="3">
        <v>135724</v>
      </c>
      <c r="G917" s="3">
        <v>9134</v>
      </c>
      <c r="H917" s="3">
        <v>795</v>
      </c>
      <c r="I917" s="4">
        <v>11725.82</v>
      </c>
      <c r="J917" s="4">
        <v>82149.09</v>
      </c>
      <c r="K917" s="3">
        <v>663</v>
      </c>
      <c r="L917" s="2" t="s">
        <v>2518</v>
      </c>
      <c r="M917" s="2" t="s">
        <v>2537</v>
      </c>
      <c r="N917" s="8">
        <f>IFERROR(G917/F917,0)</f>
        <v>6.7298340750346297E-2</v>
      </c>
      <c r="O917" s="8">
        <f>IFERROR(H917/G917,0)</f>
        <v>8.7037442522443623E-2</v>
      </c>
      <c r="P917" s="4">
        <f>IFERROR(I917/G917,0)</f>
        <v>1.2837552003503394</v>
      </c>
      <c r="Q917" s="4">
        <f>IFERROR(I917/H917,0)</f>
        <v>14.749459119496855</v>
      </c>
      <c r="R917" s="12">
        <f>IFERROR(J917/I917,0)</f>
        <v>7.0058290166487289</v>
      </c>
      <c r="S917" s="7">
        <f>Tabla_nuevas_columnas[[#This Row],[ROAS]]</f>
        <v>7.0058290166487289</v>
      </c>
      <c r="T917" t="str">
        <f>_xlfn.CONCAT(C917,"-",D917)</f>
        <v>Paid Search-Francia</v>
      </c>
      <c r="U917">
        <f>YEAR(A917)</f>
        <v>2025</v>
      </c>
      <c r="V917">
        <f>MONTH(A917)</f>
        <v>6</v>
      </c>
      <c r="W917" t="str">
        <f>PROPER(TEXT(A917,"mmmm"))</f>
        <v>Junio</v>
      </c>
      <c r="X917" t="str">
        <f>PROPER(TEXT(A917,"dddd"))</f>
        <v>Sábado</v>
      </c>
      <c r="Y917" t="str" cm="1">
        <f t="array" ref="Y917">_xlfn.IFS(R917&gt;10,"Excelente",R917&gt;=5,"Bueno",R917&gt;=2,"Débil",R917&lt;2,"Deficiente")</f>
        <v>Bueno</v>
      </c>
      <c r="Z917" t="str">
        <f>IF(AND(R917&lt;2,Q917&gt;=100),"Revisar","OK")</f>
        <v>OK</v>
      </c>
      <c r="AA917" s="55">
        <f>_xlfn.XLOOKUP(C917,'Preguntas de negocio'!$C$114:$C$119,'Preguntas de negocio'!$D$114:$D$119,0)</f>
        <v>5</v>
      </c>
      <c r="AB917" s="55">
        <f>VLOOKUP(C917,'Preguntas de negocio'!$C$121:$D$127,2,FALSE)</f>
        <v>1.1000000000000001</v>
      </c>
    </row>
    <row r="918" spans="1:28" x14ac:dyDescent="0.3">
      <c r="A918" s="1">
        <v>46004</v>
      </c>
      <c r="B918" s="2" t="s">
        <v>2636</v>
      </c>
      <c r="C918" s="2" t="s">
        <v>2543</v>
      </c>
      <c r="D918" s="2" t="s">
        <v>2528</v>
      </c>
      <c r="E918" s="2" t="s">
        <v>2517</v>
      </c>
      <c r="F918" s="3">
        <v>16260</v>
      </c>
      <c r="G918" s="3">
        <v>600</v>
      </c>
      <c r="H918" s="3">
        <v>62</v>
      </c>
      <c r="I918" s="4">
        <v>564.33000000000004</v>
      </c>
      <c r="J918" s="4">
        <v>2334.1</v>
      </c>
      <c r="K918" s="3">
        <v>47</v>
      </c>
      <c r="L918" s="2" t="s">
        <v>2539</v>
      </c>
      <c r="M918" s="2" t="s">
        <v>2524</v>
      </c>
      <c r="N918" s="8">
        <f>IFERROR(G918/F918,0)</f>
        <v>3.6900369003690037E-2</v>
      </c>
      <c r="O918" s="8">
        <f>IFERROR(H918/G918,0)</f>
        <v>0.10333333333333333</v>
      </c>
      <c r="P918" s="4">
        <f>IFERROR(I918/G918,0)</f>
        <v>0.94055000000000011</v>
      </c>
      <c r="Q918" s="4">
        <f>IFERROR(I918/H918,0)</f>
        <v>9.1020967741935497</v>
      </c>
      <c r="R918" s="12">
        <f>IFERROR(J918/I918,0)</f>
        <v>4.1360551450392498</v>
      </c>
      <c r="S918" s="7">
        <f>Tabla_nuevas_columnas[[#This Row],[ROAS]]</f>
        <v>4.1360551450392498</v>
      </c>
      <c r="T918" t="str">
        <f>_xlfn.CONCAT(C918,"-",D918)</f>
        <v>Organic Social-España</v>
      </c>
      <c r="U918">
        <f>YEAR(A918)</f>
        <v>2025</v>
      </c>
      <c r="V918">
        <f>MONTH(A918)</f>
        <v>12</v>
      </c>
      <c r="W918" t="str">
        <f>PROPER(TEXT(A918,"mmmm"))</f>
        <v>Diciembre</v>
      </c>
      <c r="X918" t="str">
        <f>PROPER(TEXT(A918,"dddd"))</f>
        <v>Sábado</v>
      </c>
      <c r="Y918" t="str" cm="1">
        <f t="array" ref="Y918">_xlfn.IFS(R918&gt;10,"Excelente",R918&gt;=5,"Bueno",R918&gt;=2,"Débil",R918&lt;2,"Deficiente")</f>
        <v>Débil</v>
      </c>
      <c r="Z918" t="str">
        <f>IF(AND(R918&lt;2,Q918&gt;=100),"Revisar","OK")</f>
        <v>OK</v>
      </c>
      <c r="AA918" s="55">
        <f>_xlfn.XLOOKUP(C918,'Preguntas de negocio'!$C$114:$C$119,'Preguntas de negocio'!$D$114:$D$119,0)</f>
        <v>4</v>
      </c>
      <c r="AB918" s="55">
        <f>VLOOKUP(C918,'Preguntas de negocio'!$C$121:$D$127,2,FALSE)</f>
        <v>0.95</v>
      </c>
    </row>
    <row r="919" spans="1:28" x14ac:dyDescent="0.3">
      <c r="A919" s="1">
        <v>45997</v>
      </c>
      <c r="B919" s="2" t="s">
        <v>2634</v>
      </c>
      <c r="C919" s="2" t="s">
        <v>2541</v>
      </c>
      <c r="D919" s="2" t="s">
        <v>2531</v>
      </c>
      <c r="E919" s="2" t="s">
        <v>2517</v>
      </c>
      <c r="F919" s="3">
        <v>67299</v>
      </c>
      <c r="G919" s="3">
        <v>4163</v>
      </c>
      <c r="H919" s="3">
        <v>551</v>
      </c>
      <c r="I919" s="4">
        <v>6208.27</v>
      </c>
      <c r="J919" s="4">
        <v>105171.1</v>
      </c>
      <c r="K919" s="3">
        <v>380</v>
      </c>
      <c r="L919" s="2" t="s">
        <v>2523</v>
      </c>
      <c r="M919" s="2" t="s">
        <v>2526</v>
      </c>
      <c r="N919" s="8">
        <f>IFERROR(G919/F919,0)</f>
        <v>6.1858274268562684E-2</v>
      </c>
      <c r="O919" s="8">
        <f>IFERROR(H919/G919,0)</f>
        <v>0.13235647369685324</v>
      </c>
      <c r="P919" s="4">
        <f>IFERROR(I919/G919,0)</f>
        <v>1.4912971414845064</v>
      </c>
      <c r="Q919" s="4">
        <f>IFERROR(I919/H919,0)</f>
        <v>11.267277676950998</v>
      </c>
      <c r="R919" s="12">
        <f>IFERROR(J919/I919,0)</f>
        <v>16.940484225073973</v>
      </c>
      <c r="S919" s="7">
        <f>Tabla_nuevas_columnas[[#This Row],[ROAS]]</f>
        <v>16.940484225073973</v>
      </c>
      <c r="T919" t="str">
        <f>_xlfn.CONCAT(C919,"-",D919)</f>
        <v>Display-Portugal</v>
      </c>
      <c r="U919">
        <f>YEAR(A919)</f>
        <v>2025</v>
      </c>
      <c r="V919">
        <f>MONTH(A919)</f>
        <v>12</v>
      </c>
      <c r="W919" t="str">
        <f>PROPER(TEXT(A919,"mmmm"))</f>
        <v>Diciembre</v>
      </c>
      <c r="X919" t="str">
        <f>PROPER(TEXT(A919,"dddd"))</f>
        <v>Sábado</v>
      </c>
      <c r="Y919" t="str" cm="1">
        <f t="array" ref="Y919">_xlfn.IFS(R919&gt;10,"Excelente",R919&gt;=5,"Bueno",R919&gt;=2,"Débil",R919&lt;2,"Deficiente")</f>
        <v>Excelente</v>
      </c>
      <c r="Z919" t="str">
        <f>IF(AND(R919&lt;2,Q919&gt;=100),"Revisar","OK")</f>
        <v>OK</v>
      </c>
      <c r="AA919" s="55">
        <f>_xlfn.XLOOKUP(C919,'Preguntas de negocio'!$C$114:$C$119,'Preguntas de negocio'!$D$114:$D$119,0)</f>
        <v>5</v>
      </c>
      <c r="AB919" s="55">
        <f>VLOOKUP(C919,'Preguntas de negocio'!$C$121:$D$127,2,FALSE)</f>
        <v>0.5</v>
      </c>
    </row>
    <row r="920" spans="1:28" x14ac:dyDescent="0.3">
      <c r="A920" s="1">
        <v>45904</v>
      </c>
      <c r="B920" s="2" t="s">
        <v>2621</v>
      </c>
      <c r="C920" s="2" t="s">
        <v>2521</v>
      </c>
      <c r="D920" s="2" t="s">
        <v>2525</v>
      </c>
      <c r="E920" s="2" t="s">
        <v>2517</v>
      </c>
      <c r="F920" s="3">
        <v>145595</v>
      </c>
      <c r="G920" s="3">
        <v>10086</v>
      </c>
      <c r="H920" s="3">
        <v>289</v>
      </c>
      <c r="I920" s="4">
        <v>11230.84</v>
      </c>
      <c r="J920" s="4">
        <v>51346.75</v>
      </c>
      <c r="K920" s="3">
        <v>206</v>
      </c>
      <c r="L920" s="2" t="s">
        <v>2536</v>
      </c>
      <c r="M920" s="2" t="s">
        <v>2524</v>
      </c>
      <c r="N920" s="8">
        <f>IFERROR(G920/F920,0)</f>
        <v>6.9274356949071053E-2</v>
      </c>
      <c r="O920" s="8">
        <f>IFERROR(H920/G920,0)</f>
        <v>2.8653579218719017E-2</v>
      </c>
      <c r="P920" s="4">
        <f>IFERROR(I920/G920,0)</f>
        <v>1.113507832639302</v>
      </c>
      <c r="Q920" s="4">
        <f>IFERROR(I920/H920,0)</f>
        <v>38.86103806228374</v>
      </c>
      <c r="R920" s="12">
        <f>IFERROR(J920/I920,0)</f>
        <v>4.5719420809129145</v>
      </c>
      <c r="S920" s="7">
        <f>Tabla_nuevas_columnas[[#This Row],[ROAS]]</f>
        <v>4.5719420809129145</v>
      </c>
      <c r="T920" t="str">
        <f>_xlfn.CONCAT(C920,"-",D920)</f>
        <v>Paid Search-Francia</v>
      </c>
      <c r="U920">
        <f>YEAR(A920)</f>
        <v>2025</v>
      </c>
      <c r="V920">
        <f>MONTH(A920)</f>
        <v>9</v>
      </c>
      <c r="W920" t="str">
        <f>PROPER(TEXT(A920,"mmmm"))</f>
        <v>Septiembre</v>
      </c>
      <c r="X920" t="str">
        <f>PROPER(TEXT(A920,"dddd"))</f>
        <v>Jueves</v>
      </c>
      <c r="Y920" t="str" cm="1">
        <f t="array" ref="Y920">_xlfn.IFS(R920&gt;10,"Excelente",R920&gt;=5,"Bueno",R920&gt;=2,"Débil",R920&lt;2,"Deficiente")</f>
        <v>Débil</v>
      </c>
      <c r="Z920" t="str">
        <f>IF(AND(R920&lt;2,Q920&gt;=100),"Revisar","OK")</f>
        <v>OK</v>
      </c>
      <c r="AA920" s="55">
        <f>_xlfn.XLOOKUP(C920,'Preguntas de negocio'!$C$114:$C$119,'Preguntas de negocio'!$D$114:$D$119,0)</f>
        <v>5</v>
      </c>
      <c r="AB920" s="55">
        <f>VLOOKUP(C920,'Preguntas de negocio'!$C$121:$D$127,2,FALSE)</f>
        <v>1.1000000000000001</v>
      </c>
    </row>
    <row r="921" spans="1:28" x14ac:dyDescent="0.3">
      <c r="A921" s="1">
        <v>45831</v>
      </c>
      <c r="B921" s="2" t="s">
        <v>2615</v>
      </c>
      <c r="C921" s="2" t="s">
        <v>2527</v>
      </c>
      <c r="D921" s="2" t="s">
        <v>2516</v>
      </c>
      <c r="E921" s="2" t="s">
        <v>2529</v>
      </c>
      <c r="F921" s="3">
        <v>43054</v>
      </c>
      <c r="G921" s="3">
        <v>3746</v>
      </c>
      <c r="H921" s="3">
        <v>329</v>
      </c>
      <c r="I921" s="4">
        <v>1758.72</v>
      </c>
      <c r="J921" s="4">
        <v>34222.61</v>
      </c>
      <c r="K921" s="3">
        <v>241</v>
      </c>
      <c r="L921" s="2" t="s">
        <v>2518</v>
      </c>
      <c r="M921" s="2" t="s">
        <v>2519</v>
      </c>
      <c r="N921" s="8">
        <f>IFERROR(G921/F921,0)</f>
        <v>8.7007014446973563E-2</v>
      </c>
      <c r="O921" s="8">
        <f>IFERROR(H921/G921,0)</f>
        <v>8.7827015483182058E-2</v>
      </c>
      <c r="P921" s="4">
        <f>IFERROR(I921/G921,0)</f>
        <v>0.46949279231179925</v>
      </c>
      <c r="Q921" s="4">
        <f>IFERROR(I921/H921,0)</f>
        <v>5.3456534954407298</v>
      </c>
      <c r="R921" s="12">
        <f>IFERROR(J921/I921,0)</f>
        <v>19.458816639374092</v>
      </c>
      <c r="S921" s="7">
        <f>Tabla_nuevas_columnas[[#This Row],[ROAS]]</f>
        <v>19.458816639374092</v>
      </c>
      <c r="T921" t="str">
        <f>_xlfn.CONCAT(C921,"-",D921)</f>
        <v>Affiliate-México</v>
      </c>
      <c r="U921">
        <f>YEAR(A921)</f>
        <v>2025</v>
      </c>
      <c r="V921">
        <f>MONTH(A921)</f>
        <v>6</v>
      </c>
      <c r="W921" t="str">
        <f>PROPER(TEXT(A921,"mmmm"))</f>
        <v>Junio</v>
      </c>
      <c r="X921" t="str">
        <f>PROPER(TEXT(A921,"dddd"))</f>
        <v>Lunes</v>
      </c>
      <c r="Y921" t="str" cm="1">
        <f t="array" ref="Y921">_xlfn.IFS(R921&gt;10,"Excelente",R921&gt;=5,"Bueno",R921&gt;=2,"Débil",R921&lt;2,"Deficiente")</f>
        <v>Excelente</v>
      </c>
      <c r="Z921" t="str">
        <f>IF(AND(R921&lt;2,Q921&gt;=100),"Revisar","OK")</f>
        <v>OK</v>
      </c>
      <c r="AA921" s="55">
        <f>_xlfn.XLOOKUP(C921,'Preguntas de negocio'!$C$114:$C$119,'Preguntas de negocio'!$D$114:$D$119,0)</f>
        <v>4.5</v>
      </c>
      <c r="AB921" s="55">
        <f>VLOOKUP(C921,'Preguntas de negocio'!$C$121:$D$127,2,FALSE)</f>
        <v>0.35</v>
      </c>
    </row>
    <row r="922" spans="1:28" x14ac:dyDescent="0.3">
      <c r="A922" s="1">
        <v>46019</v>
      </c>
      <c r="B922" s="2" t="s">
        <v>2633</v>
      </c>
      <c r="C922" s="2" t="s">
        <v>2515</v>
      </c>
      <c r="D922" s="2" t="s">
        <v>2528</v>
      </c>
      <c r="E922" s="2" t="s">
        <v>2517</v>
      </c>
      <c r="F922" s="3">
        <v>86400</v>
      </c>
      <c r="G922" s="3">
        <v>5532</v>
      </c>
      <c r="H922" s="3">
        <v>49</v>
      </c>
      <c r="I922" s="4">
        <v>7536.52</v>
      </c>
      <c r="J922" s="4">
        <v>875.85</v>
      </c>
      <c r="K922" s="3">
        <v>38</v>
      </c>
      <c r="L922" s="2" t="s">
        <v>2536</v>
      </c>
      <c r="M922" s="2" t="s">
        <v>2524</v>
      </c>
      <c r="N922" s="8">
        <f>IFERROR(G922/F922,0)</f>
        <v>6.4027777777777781E-2</v>
      </c>
      <c r="O922" s="8">
        <f>IFERROR(H922/G922,0)</f>
        <v>8.8575560375994209E-3</v>
      </c>
      <c r="P922" s="4">
        <f>IFERROR(I922/G922,0)</f>
        <v>1.36234996384671</v>
      </c>
      <c r="Q922" s="4">
        <f>IFERROR(I922/H922,0)</f>
        <v>153.8065306122449</v>
      </c>
      <c r="R922" s="12">
        <f>IFERROR(J922/I922,0)</f>
        <v>0.11621411473730581</v>
      </c>
      <c r="S922" s="7">
        <f>Tabla_nuevas_columnas[[#This Row],[ROAS]]</f>
        <v>0.11621411473730581</v>
      </c>
      <c r="T922" t="str">
        <f>_xlfn.CONCAT(C922,"-",D922)</f>
        <v>Email-España</v>
      </c>
      <c r="U922">
        <f>YEAR(A922)</f>
        <v>2025</v>
      </c>
      <c r="V922">
        <f>MONTH(A922)</f>
        <v>12</v>
      </c>
      <c r="W922" t="str">
        <f>PROPER(TEXT(A922,"mmmm"))</f>
        <v>Diciembre</v>
      </c>
      <c r="X922" t="str">
        <f>PROPER(TEXT(A922,"dddd"))</f>
        <v>Domingo</v>
      </c>
      <c r="Y922" t="str" cm="1">
        <f t="array" ref="Y922">_xlfn.IFS(R922&gt;10,"Excelente",R922&gt;=5,"Bueno",R922&gt;=2,"Débil",R922&lt;2,"Deficiente")</f>
        <v>Deficiente</v>
      </c>
      <c r="Z922" t="str">
        <f>IF(AND(R922&lt;2,Q922&gt;=100),"Revisar","OK")</f>
        <v>Revisar</v>
      </c>
      <c r="AA922" s="55">
        <f>_xlfn.XLOOKUP(C922,'Preguntas de negocio'!$C$114:$C$119,'Preguntas de negocio'!$D$114:$D$119,0)</f>
        <v>5.5</v>
      </c>
      <c r="AB922" s="55">
        <f>VLOOKUP(C922,'Preguntas de negocio'!$C$121:$D$127,2,FALSE)</f>
        <v>0.65</v>
      </c>
    </row>
    <row r="923" spans="1:28" x14ac:dyDescent="0.3">
      <c r="A923" s="1">
        <v>45859</v>
      </c>
      <c r="B923" s="2" t="s">
        <v>2632</v>
      </c>
      <c r="C923" s="2" t="s">
        <v>2533</v>
      </c>
      <c r="D923" s="2" t="s">
        <v>2525</v>
      </c>
      <c r="E923" s="2" t="s">
        <v>2517</v>
      </c>
      <c r="F923" s="3">
        <v>28562</v>
      </c>
      <c r="G923" s="3">
        <v>288</v>
      </c>
      <c r="H923" s="3">
        <v>38</v>
      </c>
      <c r="I923" s="4">
        <v>92.28</v>
      </c>
      <c r="J923" s="4">
        <v>7097.44</v>
      </c>
      <c r="K923" s="3">
        <v>29</v>
      </c>
      <c r="L923" s="2" t="s">
        <v>2536</v>
      </c>
      <c r="M923" s="2" t="s">
        <v>2524</v>
      </c>
      <c r="N923" s="8">
        <f>IFERROR(G923/F923,0)</f>
        <v>1.0083327498074364E-2</v>
      </c>
      <c r="O923" s="8">
        <f>IFERROR(H923/G923,0)</f>
        <v>0.13194444444444445</v>
      </c>
      <c r="P923" s="4">
        <f>IFERROR(I923/G923,0)</f>
        <v>0.32041666666666668</v>
      </c>
      <c r="Q923" s="4">
        <f>IFERROR(I923/H923,0)</f>
        <v>2.4284210526315788</v>
      </c>
      <c r="R923" s="12">
        <f>IFERROR(J923/I923,0)</f>
        <v>76.912006935413956</v>
      </c>
      <c r="S923" s="7">
        <f>Tabla_nuevas_columnas[[#This Row],[ROAS]]</f>
        <v>76.912006935413956</v>
      </c>
      <c r="T923" t="str">
        <f>_xlfn.CONCAT(C923,"-",D923)</f>
        <v>Paid Social-Francia</v>
      </c>
      <c r="U923">
        <f>YEAR(A923)</f>
        <v>2025</v>
      </c>
      <c r="V923">
        <f>MONTH(A923)</f>
        <v>7</v>
      </c>
      <c r="W923" t="str">
        <f>PROPER(TEXT(A923,"mmmm"))</f>
        <v>Julio</v>
      </c>
      <c r="X923" t="str">
        <f>PROPER(TEXT(A923,"dddd"))</f>
        <v>Lunes</v>
      </c>
      <c r="Y923" t="str" cm="1">
        <f t="array" ref="Y923">_xlfn.IFS(R923&gt;10,"Excelente",R923&gt;=5,"Bueno",R923&gt;=2,"Débil",R923&lt;2,"Deficiente")</f>
        <v>Excelente</v>
      </c>
      <c r="Z923" t="str">
        <f>IF(AND(R923&lt;2,Q923&gt;=100),"Revisar","OK")</f>
        <v>OK</v>
      </c>
      <c r="AA923" s="55">
        <f>_xlfn.XLOOKUP(C923,'Preguntas de negocio'!$C$114:$C$119,'Preguntas de negocio'!$D$114:$D$119,0)</f>
        <v>6</v>
      </c>
      <c r="AB923" s="55">
        <f>VLOOKUP(C923,'Preguntas de negocio'!$C$121:$D$127,2,FALSE)</f>
        <v>0.8</v>
      </c>
    </row>
    <row r="924" spans="1:28" x14ac:dyDescent="0.3">
      <c r="A924" s="1">
        <v>45915</v>
      </c>
      <c r="B924" s="2" t="s">
        <v>2635</v>
      </c>
      <c r="C924" s="2" t="s">
        <v>2515</v>
      </c>
      <c r="D924" s="2" t="s">
        <v>2516</v>
      </c>
      <c r="E924" s="2" t="s">
        <v>2517</v>
      </c>
      <c r="F924" s="3">
        <v>27834</v>
      </c>
      <c r="G924" s="3">
        <v>124</v>
      </c>
      <c r="H924" s="3">
        <v>3</v>
      </c>
      <c r="I924" s="4">
        <v>68.680000000000007</v>
      </c>
      <c r="J924" s="4">
        <v>329.74</v>
      </c>
      <c r="K924" s="3">
        <v>2</v>
      </c>
      <c r="L924" s="2" t="s">
        <v>2518</v>
      </c>
      <c r="M924" s="2" t="s">
        <v>2524</v>
      </c>
      <c r="N924" s="8">
        <f>IFERROR(G924/F924,0)</f>
        <v>4.4549831141769058E-3</v>
      </c>
      <c r="O924" s="8">
        <f>IFERROR(H924/G924,0)</f>
        <v>2.4193548387096774E-2</v>
      </c>
      <c r="P924" s="4">
        <f>IFERROR(I924/G924,0)</f>
        <v>0.55387096774193556</v>
      </c>
      <c r="Q924" s="4">
        <f>IFERROR(I924/H924,0)</f>
        <v>22.893333333333334</v>
      </c>
      <c r="R924" s="12">
        <f>IFERROR(J924/I924,0)</f>
        <v>4.8011065812463594</v>
      </c>
      <c r="S924" s="7">
        <f>Tabla_nuevas_columnas[[#This Row],[ROAS]]</f>
        <v>4.8011065812463594</v>
      </c>
      <c r="T924" t="str">
        <f>_xlfn.CONCAT(C924,"-",D924)</f>
        <v>Email-México</v>
      </c>
      <c r="U924">
        <f>YEAR(A924)</f>
        <v>2025</v>
      </c>
      <c r="V924">
        <f>MONTH(A924)</f>
        <v>9</v>
      </c>
      <c r="W924" t="str">
        <f>PROPER(TEXT(A924,"mmmm"))</f>
        <v>Septiembre</v>
      </c>
      <c r="X924" t="str">
        <f>PROPER(TEXT(A924,"dddd"))</f>
        <v>Lunes</v>
      </c>
      <c r="Y924" t="str" cm="1">
        <f t="array" ref="Y924">_xlfn.IFS(R924&gt;10,"Excelente",R924&gt;=5,"Bueno",R924&gt;=2,"Débil",R924&lt;2,"Deficiente")</f>
        <v>Débil</v>
      </c>
      <c r="Z924" t="str">
        <f>IF(AND(R924&lt;2,Q924&gt;=100),"Revisar","OK")</f>
        <v>OK</v>
      </c>
      <c r="AA924" s="55">
        <f>_xlfn.XLOOKUP(C924,'Preguntas de negocio'!$C$114:$C$119,'Preguntas de negocio'!$D$114:$D$119,0)</f>
        <v>5.5</v>
      </c>
      <c r="AB924" s="55">
        <f>VLOOKUP(C924,'Preguntas de negocio'!$C$121:$D$127,2,FALSE)</f>
        <v>0.65</v>
      </c>
    </row>
    <row r="925" spans="1:28" x14ac:dyDescent="0.3">
      <c r="A925" s="1">
        <v>45990</v>
      </c>
      <c r="B925" s="2" t="s">
        <v>2616</v>
      </c>
      <c r="C925" s="2" t="s">
        <v>2515</v>
      </c>
      <c r="D925" s="2" t="s">
        <v>2531</v>
      </c>
      <c r="E925" s="2" t="s">
        <v>2517</v>
      </c>
      <c r="F925" s="3">
        <v>126225</v>
      </c>
      <c r="G925" s="3">
        <v>2091</v>
      </c>
      <c r="H925" s="3">
        <v>78</v>
      </c>
      <c r="I925" s="4">
        <v>309.26</v>
      </c>
      <c r="J925" s="4">
        <v>15427.43</v>
      </c>
      <c r="K925" s="3">
        <v>44</v>
      </c>
      <c r="L925" s="2" t="s">
        <v>2539</v>
      </c>
      <c r="M925" s="2" t="s">
        <v>2526</v>
      </c>
      <c r="N925" s="8">
        <f>IFERROR(G925/F925,0)</f>
        <v>1.6565656565656565E-2</v>
      </c>
      <c r="O925" s="8">
        <f>IFERROR(H925/G925,0)</f>
        <v>3.7302725968436153E-2</v>
      </c>
      <c r="P925" s="4">
        <f>IFERROR(I925/G925,0)</f>
        <v>0.14790052606408416</v>
      </c>
      <c r="Q925" s="4">
        <f>IFERROR(I925/H925,0)</f>
        <v>3.9648717948717946</v>
      </c>
      <c r="R925" s="12">
        <f>IFERROR(J925/I925,0)</f>
        <v>49.884983509021538</v>
      </c>
      <c r="S925" s="7">
        <f>Tabla_nuevas_columnas[[#This Row],[ROAS]]</f>
        <v>49.884983509021538</v>
      </c>
      <c r="T925" t="str">
        <f>_xlfn.CONCAT(C925,"-",D925)</f>
        <v>Email-Portugal</v>
      </c>
      <c r="U925">
        <f>YEAR(A925)</f>
        <v>2025</v>
      </c>
      <c r="V925">
        <f>MONTH(A925)</f>
        <v>11</v>
      </c>
      <c r="W925" t="str">
        <f>PROPER(TEXT(A925,"mmmm"))</f>
        <v>Noviembre</v>
      </c>
      <c r="X925" t="str">
        <f>PROPER(TEXT(A925,"dddd"))</f>
        <v>Sábado</v>
      </c>
      <c r="Y925" t="str" cm="1">
        <f t="array" ref="Y925">_xlfn.IFS(R925&gt;10,"Excelente",R925&gt;=5,"Bueno",R925&gt;=2,"Débil",R925&lt;2,"Deficiente")</f>
        <v>Excelente</v>
      </c>
      <c r="Z925" t="str">
        <f>IF(AND(R925&lt;2,Q925&gt;=100),"Revisar","OK")</f>
        <v>OK</v>
      </c>
      <c r="AA925" s="55">
        <f>_xlfn.XLOOKUP(C925,'Preguntas de negocio'!$C$114:$C$119,'Preguntas de negocio'!$D$114:$D$119,0)</f>
        <v>5.5</v>
      </c>
      <c r="AB925" s="55">
        <f>VLOOKUP(C925,'Preguntas de negocio'!$C$121:$D$127,2,FALSE)</f>
        <v>0.65</v>
      </c>
    </row>
    <row r="926" spans="1:28" x14ac:dyDescent="0.3">
      <c r="A926" s="1">
        <v>45675</v>
      </c>
      <c r="B926" s="2" t="s">
        <v>2622</v>
      </c>
      <c r="C926" s="2" t="s">
        <v>2515</v>
      </c>
      <c r="D926" s="2" t="s">
        <v>2528</v>
      </c>
      <c r="E926" s="2" t="s">
        <v>2517</v>
      </c>
      <c r="F926" s="3">
        <v>43543</v>
      </c>
      <c r="G926" s="3">
        <v>407</v>
      </c>
      <c r="H926" s="3">
        <v>11</v>
      </c>
      <c r="I926" s="4">
        <v>209.21</v>
      </c>
      <c r="J926" s="4">
        <v>1788.62</v>
      </c>
      <c r="K926" s="3">
        <v>7</v>
      </c>
      <c r="L926" s="2" t="s">
        <v>2536</v>
      </c>
      <c r="M926" s="2" t="s">
        <v>2519</v>
      </c>
      <c r="N926" s="8">
        <f>IFERROR(G926/F926,0)</f>
        <v>9.3470821946122218E-3</v>
      </c>
      <c r="O926" s="8">
        <f>IFERROR(H926/G926,0)</f>
        <v>2.7027027027027029E-2</v>
      </c>
      <c r="P926" s="4">
        <f>IFERROR(I926/G926,0)</f>
        <v>0.51402948402948401</v>
      </c>
      <c r="Q926" s="4">
        <f>IFERROR(I926/H926,0)</f>
        <v>19.019090909090909</v>
      </c>
      <c r="R926" s="12">
        <f>IFERROR(J926/I926,0)</f>
        <v>8.5494001242770405</v>
      </c>
      <c r="S926" s="7">
        <f>Tabla_nuevas_columnas[[#This Row],[ROAS]]</f>
        <v>8.5494001242770405</v>
      </c>
      <c r="T926" t="str">
        <f>_xlfn.CONCAT(C926,"-",D926)</f>
        <v>Email-España</v>
      </c>
      <c r="U926">
        <f>YEAR(A926)</f>
        <v>2025</v>
      </c>
      <c r="V926">
        <f>MONTH(A926)</f>
        <v>1</v>
      </c>
      <c r="W926" t="str">
        <f>PROPER(TEXT(A926,"mmmm"))</f>
        <v>Enero</v>
      </c>
      <c r="X926" t="str">
        <f>PROPER(TEXT(A926,"dddd"))</f>
        <v>Sábado</v>
      </c>
      <c r="Y926" t="str" cm="1">
        <f t="array" ref="Y926">_xlfn.IFS(R926&gt;10,"Excelente",R926&gt;=5,"Bueno",R926&gt;=2,"Débil",R926&lt;2,"Deficiente")</f>
        <v>Bueno</v>
      </c>
      <c r="Z926" t="str">
        <f>IF(AND(R926&lt;2,Q926&gt;=100),"Revisar","OK")</f>
        <v>OK</v>
      </c>
      <c r="AA926" s="55">
        <f>_xlfn.XLOOKUP(C926,'Preguntas de negocio'!$C$114:$C$119,'Preguntas de negocio'!$D$114:$D$119,0)</f>
        <v>5.5</v>
      </c>
      <c r="AB926" s="55">
        <f>VLOOKUP(C926,'Preguntas de negocio'!$C$121:$D$127,2,FALSE)</f>
        <v>0.65</v>
      </c>
    </row>
    <row r="927" spans="1:28" x14ac:dyDescent="0.3">
      <c r="A927" s="1">
        <v>45731</v>
      </c>
      <c r="B927" s="2" t="s">
        <v>2640</v>
      </c>
      <c r="C927" s="2" t="s">
        <v>2527</v>
      </c>
      <c r="D927" s="2" t="s">
        <v>2531</v>
      </c>
      <c r="E927" s="2" t="s">
        <v>2517</v>
      </c>
      <c r="F927" s="3">
        <v>87149</v>
      </c>
      <c r="G927" s="3">
        <v>3476</v>
      </c>
      <c r="H927" s="3">
        <v>87</v>
      </c>
      <c r="I927" s="4">
        <v>664.47</v>
      </c>
      <c r="J927" s="4">
        <v>18720.68</v>
      </c>
      <c r="K927" s="3">
        <v>49</v>
      </c>
      <c r="L927" s="2" t="s">
        <v>2539</v>
      </c>
      <c r="M927" s="2" t="s">
        <v>2524</v>
      </c>
      <c r="N927" s="8">
        <f>IFERROR(G927/F927,0)</f>
        <v>3.9885712974331321E-2</v>
      </c>
      <c r="O927" s="8">
        <f>IFERROR(H927/G927,0)</f>
        <v>2.5028768699654775E-2</v>
      </c>
      <c r="P927" s="4">
        <f>IFERROR(I927/G927,0)</f>
        <v>0.19115937859608748</v>
      </c>
      <c r="Q927" s="4">
        <f>IFERROR(I927/H927,0)</f>
        <v>7.6375862068965521</v>
      </c>
      <c r="R927" s="12">
        <f>IFERROR(J927/I927,0)</f>
        <v>28.173852845124685</v>
      </c>
      <c r="S927" s="7">
        <f>Tabla_nuevas_columnas[[#This Row],[ROAS]]</f>
        <v>28.173852845124685</v>
      </c>
      <c r="T927" t="str">
        <f>_xlfn.CONCAT(C927,"-",D927)</f>
        <v>Affiliate-Portugal</v>
      </c>
      <c r="U927">
        <f>YEAR(A927)</f>
        <v>2025</v>
      </c>
      <c r="V927">
        <f>MONTH(A927)</f>
        <v>3</v>
      </c>
      <c r="W927" t="str">
        <f>PROPER(TEXT(A927,"mmmm"))</f>
        <v>Marzo</v>
      </c>
      <c r="X927" t="str">
        <f>PROPER(TEXT(A927,"dddd"))</f>
        <v>Sábado</v>
      </c>
      <c r="Y927" t="str" cm="1">
        <f t="array" ref="Y927">_xlfn.IFS(R927&gt;10,"Excelente",R927&gt;=5,"Bueno",R927&gt;=2,"Débil",R927&lt;2,"Deficiente")</f>
        <v>Excelente</v>
      </c>
      <c r="Z927" t="str">
        <f>IF(AND(R927&lt;2,Q927&gt;=100),"Revisar","OK")</f>
        <v>OK</v>
      </c>
      <c r="AA927" s="55">
        <f>_xlfn.XLOOKUP(C927,'Preguntas de negocio'!$C$114:$C$119,'Preguntas de negocio'!$D$114:$D$119,0)</f>
        <v>4.5</v>
      </c>
      <c r="AB927" s="55">
        <f>VLOOKUP(C927,'Preguntas de negocio'!$C$121:$D$127,2,FALSE)</f>
        <v>0.35</v>
      </c>
    </row>
    <row r="928" spans="1:28" x14ac:dyDescent="0.3">
      <c r="A928" s="1">
        <v>45790</v>
      </c>
      <c r="B928" s="2" t="s">
        <v>2621</v>
      </c>
      <c r="C928" s="2" t="s">
        <v>2543</v>
      </c>
      <c r="D928" s="2" t="s">
        <v>2531</v>
      </c>
      <c r="E928" s="2" t="s">
        <v>2529</v>
      </c>
      <c r="F928" s="3">
        <v>150274</v>
      </c>
      <c r="G928" s="3">
        <v>5376</v>
      </c>
      <c r="H928" s="3">
        <v>284</v>
      </c>
      <c r="I928" s="4">
        <v>8397.02</v>
      </c>
      <c r="J928" s="4">
        <v>9422.52</v>
      </c>
      <c r="K928" s="3">
        <v>237</v>
      </c>
      <c r="L928" s="2" t="s">
        <v>2523</v>
      </c>
      <c r="M928" s="2" t="s">
        <v>2546</v>
      </c>
      <c r="N928" s="8">
        <f>IFERROR(G928/F928,0)</f>
        <v>3.577465163634428E-2</v>
      </c>
      <c r="O928" s="8">
        <f>IFERROR(H928/G928,0)</f>
        <v>5.2827380952380952E-2</v>
      </c>
      <c r="P928" s="4">
        <f>IFERROR(I928/G928,0)</f>
        <v>1.5619456845238096</v>
      </c>
      <c r="Q928" s="4">
        <f>IFERROR(I928/H928,0)</f>
        <v>29.566971830985917</v>
      </c>
      <c r="R928" s="12">
        <f>IFERROR(J928/I928,0)</f>
        <v>1.1221266592195802</v>
      </c>
      <c r="S928" s="7">
        <f>Tabla_nuevas_columnas[[#This Row],[ROAS]]</f>
        <v>1.1221266592195802</v>
      </c>
      <c r="T928" t="str">
        <f>_xlfn.CONCAT(C928,"-",D928)</f>
        <v>Organic Social-Portugal</v>
      </c>
      <c r="U928">
        <f>YEAR(A928)</f>
        <v>2025</v>
      </c>
      <c r="V928">
        <f>MONTH(A928)</f>
        <v>5</v>
      </c>
      <c r="W928" t="str">
        <f>PROPER(TEXT(A928,"mmmm"))</f>
        <v>Mayo</v>
      </c>
      <c r="X928" t="str">
        <f>PROPER(TEXT(A928,"dddd"))</f>
        <v>Martes</v>
      </c>
      <c r="Y928" t="str" cm="1">
        <f t="array" ref="Y928">_xlfn.IFS(R928&gt;10,"Excelente",R928&gt;=5,"Bueno",R928&gt;=2,"Débil",R928&lt;2,"Deficiente")</f>
        <v>Deficiente</v>
      </c>
      <c r="Z928" t="str">
        <f>IF(AND(R928&lt;2,Q928&gt;=100),"Revisar","OK")</f>
        <v>OK</v>
      </c>
      <c r="AA928" s="55">
        <f>_xlfn.XLOOKUP(C928,'Preguntas de negocio'!$C$114:$C$119,'Preguntas de negocio'!$D$114:$D$119,0)</f>
        <v>4</v>
      </c>
      <c r="AB928" s="55">
        <f>VLOOKUP(C928,'Preguntas de negocio'!$C$121:$D$127,2,FALSE)</f>
        <v>0.95</v>
      </c>
    </row>
    <row r="929" spans="1:28" x14ac:dyDescent="0.3">
      <c r="A929" s="1">
        <v>46008</v>
      </c>
      <c r="B929" s="2" t="s">
        <v>2631</v>
      </c>
      <c r="C929" s="2" t="s">
        <v>2521</v>
      </c>
      <c r="D929" s="2" t="s">
        <v>2531</v>
      </c>
      <c r="E929" s="2" t="s">
        <v>2517</v>
      </c>
      <c r="F929" s="3">
        <v>70942</v>
      </c>
      <c r="G929" s="3">
        <v>5234</v>
      </c>
      <c r="H929" s="3">
        <v>164</v>
      </c>
      <c r="I929" s="4">
        <v>5681.36</v>
      </c>
      <c r="J929" s="4">
        <v>29659.279999999999</v>
      </c>
      <c r="K929" s="3">
        <v>117</v>
      </c>
      <c r="L929" s="2" t="s">
        <v>2536</v>
      </c>
      <c r="M929" s="2" t="s">
        <v>2537</v>
      </c>
      <c r="N929" s="8">
        <f>IFERROR(G929/F929,0)</f>
        <v>7.3778579684812939E-2</v>
      </c>
      <c r="O929" s="8">
        <f>IFERROR(H929/G929,0)</f>
        <v>3.1333588077951856E-2</v>
      </c>
      <c r="P929" s="4">
        <f>IFERROR(I929/G929,0)</f>
        <v>1.085471914405808</v>
      </c>
      <c r="Q929" s="4">
        <f>IFERROR(I929/H929,0)</f>
        <v>34.642439024390242</v>
      </c>
      <c r="R929" s="12">
        <f>IFERROR(J929/I929,0)</f>
        <v>5.2204542574313191</v>
      </c>
      <c r="S929" s="7">
        <f>Tabla_nuevas_columnas[[#This Row],[ROAS]]</f>
        <v>5.2204542574313191</v>
      </c>
      <c r="T929" t="str">
        <f>_xlfn.CONCAT(C929,"-",D929)</f>
        <v>Paid Search-Portugal</v>
      </c>
      <c r="U929">
        <f>YEAR(A929)</f>
        <v>2025</v>
      </c>
      <c r="V929">
        <f>MONTH(A929)</f>
        <v>12</v>
      </c>
      <c r="W929" t="str">
        <f>PROPER(TEXT(A929,"mmmm"))</f>
        <v>Diciembre</v>
      </c>
      <c r="X929" t="str">
        <f>PROPER(TEXT(A929,"dddd"))</f>
        <v>Miércoles</v>
      </c>
      <c r="Y929" t="str" cm="1">
        <f t="array" ref="Y929">_xlfn.IFS(R929&gt;10,"Excelente",R929&gt;=5,"Bueno",R929&gt;=2,"Débil",R929&lt;2,"Deficiente")</f>
        <v>Bueno</v>
      </c>
      <c r="Z929" t="str">
        <f>IF(AND(R929&lt;2,Q929&gt;=100),"Revisar","OK")</f>
        <v>OK</v>
      </c>
      <c r="AA929" s="55">
        <f>_xlfn.XLOOKUP(C929,'Preguntas de negocio'!$C$114:$C$119,'Preguntas de negocio'!$D$114:$D$119,0)</f>
        <v>5</v>
      </c>
      <c r="AB929" s="55">
        <f>VLOOKUP(C929,'Preguntas de negocio'!$C$121:$D$127,2,FALSE)</f>
        <v>1.1000000000000001</v>
      </c>
    </row>
    <row r="930" spans="1:28" x14ac:dyDescent="0.3">
      <c r="A930" s="1">
        <v>45721</v>
      </c>
      <c r="B930" s="2" t="s">
        <v>2640</v>
      </c>
      <c r="C930" s="2" t="s">
        <v>2533</v>
      </c>
      <c r="D930" s="2" t="s">
        <v>2522</v>
      </c>
      <c r="E930" s="2" t="s">
        <v>2529</v>
      </c>
      <c r="F930" s="3">
        <v>178176</v>
      </c>
      <c r="G930" s="3">
        <v>8003</v>
      </c>
      <c r="H930" s="3">
        <v>267</v>
      </c>
      <c r="I930" s="4">
        <v>14030.13</v>
      </c>
      <c r="J930" s="4">
        <v>8134.46</v>
      </c>
      <c r="K930" s="3">
        <v>188</v>
      </c>
      <c r="L930" s="2" t="s">
        <v>2536</v>
      </c>
      <c r="M930" s="2" t="s">
        <v>2546</v>
      </c>
      <c r="N930" s="8">
        <f>IFERROR(G930/F930,0)</f>
        <v>4.4916262571839081E-2</v>
      </c>
      <c r="O930" s="8">
        <f>IFERROR(H930/G930,0)</f>
        <v>3.3362489066600026E-2</v>
      </c>
      <c r="P930" s="4">
        <f>IFERROR(I930/G930,0)</f>
        <v>1.7531088341871797</v>
      </c>
      <c r="Q930" s="4">
        <f>IFERROR(I930/H930,0)</f>
        <v>52.547303370786516</v>
      </c>
      <c r="R930" s="12">
        <f>IFERROR(J930/I930,0)</f>
        <v>0.57978507683107716</v>
      </c>
      <c r="S930" s="7">
        <f>Tabla_nuevas_columnas[[#This Row],[ROAS]]</f>
        <v>0.57978507683107716</v>
      </c>
      <c r="T930" t="str">
        <f>_xlfn.CONCAT(C930,"-",D930)</f>
        <v>Paid Social-Italia</v>
      </c>
      <c r="U930">
        <f>YEAR(A930)</f>
        <v>2025</v>
      </c>
      <c r="V930">
        <f>MONTH(A930)</f>
        <v>3</v>
      </c>
      <c r="W930" t="str">
        <f>PROPER(TEXT(A930,"mmmm"))</f>
        <v>Marzo</v>
      </c>
      <c r="X930" t="str">
        <f>PROPER(TEXT(A930,"dddd"))</f>
        <v>Miércoles</v>
      </c>
      <c r="Y930" t="str" cm="1">
        <f t="array" ref="Y930">_xlfn.IFS(R930&gt;10,"Excelente",R930&gt;=5,"Bueno",R930&gt;=2,"Débil",R930&lt;2,"Deficiente")</f>
        <v>Deficiente</v>
      </c>
      <c r="Z930" t="str">
        <f>IF(AND(R930&lt;2,Q930&gt;=100),"Revisar","OK")</f>
        <v>OK</v>
      </c>
      <c r="AA930" s="55">
        <f>_xlfn.XLOOKUP(C930,'Preguntas de negocio'!$C$114:$C$119,'Preguntas de negocio'!$D$114:$D$119,0)</f>
        <v>6</v>
      </c>
      <c r="AB930" s="55">
        <f>VLOOKUP(C930,'Preguntas de negocio'!$C$121:$D$127,2,FALSE)</f>
        <v>0.8</v>
      </c>
    </row>
    <row r="931" spans="1:28" x14ac:dyDescent="0.3">
      <c r="A931" s="1">
        <v>45870</v>
      </c>
      <c r="B931" s="2" t="s">
        <v>2632</v>
      </c>
      <c r="C931" s="2" t="s">
        <v>2533</v>
      </c>
      <c r="D931" s="2" t="s">
        <v>2516</v>
      </c>
      <c r="E931" s="2" t="s">
        <v>2517</v>
      </c>
      <c r="F931" s="3">
        <v>77656</v>
      </c>
      <c r="G931" s="3">
        <v>4164</v>
      </c>
      <c r="H931" s="3">
        <v>568</v>
      </c>
      <c r="I931" s="4">
        <v>539.6</v>
      </c>
      <c r="J931" s="4">
        <v>19345.48</v>
      </c>
      <c r="K931" s="3">
        <v>364</v>
      </c>
      <c r="L931" s="2" t="s">
        <v>2523</v>
      </c>
      <c r="M931" s="2" t="s">
        <v>2526</v>
      </c>
      <c r="N931" s="8">
        <f>IFERROR(G931/F931,0)</f>
        <v>5.3621098176573609E-2</v>
      </c>
      <c r="O931" s="8">
        <f>IFERROR(H931/G931,0)</f>
        <v>0.13640730067243034</v>
      </c>
      <c r="P931" s="4">
        <f>IFERROR(I931/G931,0)</f>
        <v>0.12958693563880885</v>
      </c>
      <c r="Q931" s="4">
        <f>IFERROR(I931/H931,0)</f>
        <v>0.95000000000000007</v>
      </c>
      <c r="R931" s="12">
        <f>IFERROR(J931/I931,0)</f>
        <v>35.851519644180875</v>
      </c>
      <c r="S931" s="7">
        <f>Tabla_nuevas_columnas[[#This Row],[ROAS]]</f>
        <v>35.851519644180875</v>
      </c>
      <c r="T931" t="str">
        <f>_xlfn.CONCAT(C931,"-",D931)</f>
        <v>Paid Social-México</v>
      </c>
      <c r="U931">
        <f>YEAR(A931)</f>
        <v>2025</v>
      </c>
      <c r="V931">
        <f>MONTH(A931)</f>
        <v>8</v>
      </c>
      <c r="W931" t="str">
        <f>PROPER(TEXT(A931,"mmmm"))</f>
        <v>Agosto</v>
      </c>
      <c r="X931" t="str">
        <f>PROPER(TEXT(A931,"dddd"))</f>
        <v>Viernes</v>
      </c>
      <c r="Y931" t="str" cm="1">
        <f t="array" ref="Y931">_xlfn.IFS(R931&gt;10,"Excelente",R931&gt;=5,"Bueno",R931&gt;=2,"Débil",R931&lt;2,"Deficiente")</f>
        <v>Excelente</v>
      </c>
      <c r="Z931" t="str">
        <f>IF(AND(R931&lt;2,Q931&gt;=100),"Revisar","OK")</f>
        <v>OK</v>
      </c>
      <c r="AA931" s="55">
        <f>_xlfn.XLOOKUP(C931,'Preguntas de negocio'!$C$114:$C$119,'Preguntas de negocio'!$D$114:$D$119,0)</f>
        <v>6</v>
      </c>
      <c r="AB931" s="55">
        <f>VLOOKUP(C931,'Preguntas de negocio'!$C$121:$D$127,2,FALSE)</f>
        <v>0.8</v>
      </c>
    </row>
    <row r="932" spans="1:28" x14ac:dyDescent="0.3">
      <c r="A932" s="1">
        <v>45686</v>
      </c>
      <c r="B932" s="2" t="s">
        <v>2616</v>
      </c>
      <c r="C932" s="2" t="s">
        <v>2533</v>
      </c>
      <c r="D932" s="2" t="s">
        <v>2525</v>
      </c>
      <c r="E932" s="2" t="s">
        <v>2534</v>
      </c>
      <c r="F932" s="3">
        <v>75147</v>
      </c>
      <c r="G932" s="3">
        <v>2390</v>
      </c>
      <c r="H932" s="3">
        <v>163</v>
      </c>
      <c r="I932" s="4">
        <v>1813.95</v>
      </c>
      <c r="J932" s="4">
        <v>25154.79</v>
      </c>
      <c r="K932" s="3">
        <v>88</v>
      </c>
      <c r="L932" s="2" t="s">
        <v>2539</v>
      </c>
      <c r="M932" s="2" t="s">
        <v>2519</v>
      </c>
      <c r="N932" s="8">
        <f>IFERROR(G932/F932,0)</f>
        <v>3.1804330179514818E-2</v>
      </c>
      <c r="O932" s="8">
        <f>IFERROR(H932/G932,0)</f>
        <v>6.8200836820083682E-2</v>
      </c>
      <c r="P932" s="4">
        <f>IFERROR(I932/G932,0)</f>
        <v>0.75897489539748952</v>
      </c>
      <c r="Q932" s="4">
        <f>IFERROR(I932/H932,0)</f>
        <v>11.128527607361963</v>
      </c>
      <c r="R932" s="12">
        <f>IFERROR(J932/I932,0)</f>
        <v>13.867410898867114</v>
      </c>
      <c r="S932" s="7">
        <f>Tabla_nuevas_columnas[[#This Row],[ROAS]]</f>
        <v>13.867410898867114</v>
      </c>
      <c r="T932" t="str">
        <f>_xlfn.CONCAT(C932,"-",D932)</f>
        <v>Paid Social-Francia</v>
      </c>
      <c r="U932">
        <f>YEAR(A932)</f>
        <v>2025</v>
      </c>
      <c r="V932">
        <f>MONTH(A932)</f>
        <v>1</v>
      </c>
      <c r="W932" t="str">
        <f>PROPER(TEXT(A932,"mmmm"))</f>
        <v>Enero</v>
      </c>
      <c r="X932" t="str">
        <f>PROPER(TEXT(A932,"dddd"))</f>
        <v>Miércoles</v>
      </c>
      <c r="Y932" t="str" cm="1">
        <f t="array" ref="Y932">_xlfn.IFS(R932&gt;10,"Excelente",R932&gt;=5,"Bueno",R932&gt;=2,"Débil",R932&lt;2,"Deficiente")</f>
        <v>Excelente</v>
      </c>
      <c r="Z932" t="str">
        <f>IF(AND(R932&lt;2,Q932&gt;=100),"Revisar","OK")</f>
        <v>OK</v>
      </c>
      <c r="AA932" s="55">
        <f>_xlfn.XLOOKUP(C932,'Preguntas de negocio'!$C$114:$C$119,'Preguntas de negocio'!$D$114:$D$119,0)</f>
        <v>6</v>
      </c>
      <c r="AB932" s="55">
        <f>VLOOKUP(C932,'Preguntas de negocio'!$C$121:$D$127,2,FALSE)</f>
        <v>0.8</v>
      </c>
    </row>
    <row r="933" spans="1:28" x14ac:dyDescent="0.3">
      <c r="A933" s="1">
        <v>45799</v>
      </c>
      <c r="B933" s="2" t="s">
        <v>2626</v>
      </c>
      <c r="C933" s="2" t="s">
        <v>2521</v>
      </c>
      <c r="D933" s="2" t="s">
        <v>2516</v>
      </c>
      <c r="E933" s="2" t="s">
        <v>2517</v>
      </c>
      <c r="F933" s="3">
        <v>138906</v>
      </c>
      <c r="G933" s="3">
        <v>11944</v>
      </c>
      <c r="H933" s="3">
        <v>1399</v>
      </c>
      <c r="I933" s="4">
        <v>2275.11</v>
      </c>
      <c r="J933" s="4">
        <v>255622.71</v>
      </c>
      <c r="K933" s="3">
        <v>961</v>
      </c>
      <c r="L933" s="2" t="s">
        <v>2536</v>
      </c>
      <c r="M933" s="2" t="s">
        <v>2524</v>
      </c>
      <c r="N933" s="8">
        <f>IFERROR(G933/F933,0)</f>
        <v>8.5986206499359286E-2</v>
      </c>
      <c r="O933" s="8">
        <f>IFERROR(H933/G933,0)</f>
        <v>0.11712993971868721</v>
      </c>
      <c r="P933" s="4">
        <f>IFERROR(I933/G933,0)</f>
        <v>0.19048141326188883</v>
      </c>
      <c r="Q933" s="4">
        <f>IFERROR(I933/H933,0)</f>
        <v>1.6262401715511081</v>
      </c>
      <c r="R933" s="12">
        <f>IFERROR(J933/I933,0)</f>
        <v>112.3561981618471</v>
      </c>
      <c r="S933" s="7">
        <f>Tabla_nuevas_columnas[[#This Row],[ROAS]]</f>
        <v>112.3561981618471</v>
      </c>
      <c r="T933" t="str">
        <f>_xlfn.CONCAT(C933,"-",D933)</f>
        <v>Paid Search-México</v>
      </c>
      <c r="U933">
        <f>YEAR(A933)</f>
        <v>2025</v>
      </c>
      <c r="V933">
        <f>MONTH(A933)</f>
        <v>5</v>
      </c>
      <c r="W933" t="str">
        <f>PROPER(TEXT(A933,"mmmm"))</f>
        <v>Mayo</v>
      </c>
      <c r="X933" t="str">
        <f>PROPER(TEXT(A933,"dddd"))</f>
        <v>Jueves</v>
      </c>
      <c r="Y933" t="str" cm="1">
        <f t="array" ref="Y933">_xlfn.IFS(R933&gt;10,"Excelente",R933&gt;=5,"Bueno",R933&gt;=2,"Débil",R933&lt;2,"Deficiente")</f>
        <v>Excelente</v>
      </c>
      <c r="Z933" t="str">
        <f>IF(AND(R933&lt;2,Q933&gt;=100),"Revisar","OK")</f>
        <v>OK</v>
      </c>
      <c r="AA933" s="55">
        <f>_xlfn.XLOOKUP(C933,'Preguntas de negocio'!$C$114:$C$119,'Preguntas de negocio'!$D$114:$D$119,0)</f>
        <v>5</v>
      </c>
      <c r="AB933" s="55">
        <f>VLOOKUP(C933,'Preguntas de negocio'!$C$121:$D$127,2,FALSE)</f>
        <v>1.1000000000000001</v>
      </c>
    </row>
    <row r="934" spans="1:28" x14ac:dyDescent="0.3">
      <c r="A934" s="1">
        <v>45796</v>
      </c>
      <c r="B934" s="2" t="s">
        <v>2629</v>
      </c>
      <c r="C934" s="2" t="s">
        <v>2541</v>
      </c>
      <c r="D934" s="2" t="s">
        <v>2528</v>
      </c>
      <c r="E934" s="2" t="s">
        <v>2534</v>
      </c>
      <c r="F934" s="3">
        <v>27552</v>
      </c>
      <c r="G934" s="3">
        <v>1563</v>
      </c>
      <c r="H934" s="3">
        <v>90</v>
      </c>
      <c r="I934" s="4">
        <v>2811.63</v>
      </c>
      <c r="J934" s="4">
        <v>4791.62</v>
      </c>
      <c r="K934" s="3">
        <v>54</v>
      </c>
      <c r="L934" s="2" t="s">
        <v>2536</v>
      </c>
      <c r="M934" s="2" t="s">
        <v>2524</v>
      </c>
      <c r="N934" s="8">
        <f>IFERROR(G934/F934,0)</f>
        <v>5.6729094076655051E-2</v>
      </c>
      <c r="O934" s="8">
        <f>IFERROR(H934/G934,0)</f>
        <v>5.7581573896353169E-2</v>
      </c>
      <c r="P934" s="4">
        <f>IFERROR(I934/G934,0)</f>
        <v>1.7988675623800385</v>
      </c>
      <c r="Q934" s="4">
        <f>IFERROR(I934/H934,0)</f>
        <v>31.240333333333336</v>
      </c>
      <c r="R934" s="12">
        <f>IFERROR(J934/I934,0)</f>
        <v>1.7042142813954892</v>
      </c>
      <c r="S934" s="7">
        <f>Tabla_nuevas_columnas[[#This Row],[ROAS]]</f>
        <v>1.7042142813954892</v>
      </c>
      <c r="T934" t="str">
        <f>_xlfn.CONCAT(C934,"-",D934)</f>
        <v>Display-España</v>
      </c>
      <c r="U934">
        <f>YEAR(A934)</f>
        <v>2025</v>
      </c>
      <c r="V934">
        <f>MONTH(A934)</f>
        <v>5</v>
      </c>
      <c r="W934" t="str">
        <f>PROPER(TEXT(A934,"mmmm"))</f>
        <v>Mayo</v>
      </c>
      <c r="X934" t="str">
        <f>PROPER(TEXT(A934,"dddd"))</f>
        <v>Lunes</v>
      </c>
      <c r="Y934" t="str" cm="1">
        <f t="array" ref="Y934">_xlfn.IFS(R934&gt;10,"Excelente",R934&gt;=5,"Bueno",R934&gt;=2,"Débil",R934&lt;2,"Deficiente")</f>
        <v>Deficiente</v>
      </c>
      <c r="Z934" t="str">
        <f>IF(AND(R934&lt;2,Q934&gt;=100),"Revisar","OK")</f>
        <v>OK</v>
      </c>
      <c r="AA934" s="55">
        <f>_xlfn.XLOOKUP(C934,'Preguntas de negocio'!$C$114:$C$119,'Preguntas de negocio'!$D$114:$D$119,0)</f>
        <v>5</v>
      </c>
      <c r="AB934" s="55">
        <f>VLOOKUP(C934,'Preguntas de negocio'!$C$121:$D$127,2,FALSE)</f>
        <v>0.5</v>
      </c>
    </row>
    <row r="935" spans="1:28" x14ac:dyDescent="0.3">
      <c r="A935" s="1">
        <v>45866</v>
      </c>
      <c r="B935" s="2" t="s">
        <v>2637</v>
      </c>
      <c r="C935" s="2" t="s">
        <v>2527</v>
      </c>
      <c r="D935" s="2" t="s">
        <v>2516</v>
      </c>
      <c r="E935" s="2" t="s">
        <v>2529</v>
      </c>
      <c r="F935" s="3">
        <v>61333</v>
      </c>
      <c r="G935" s="3">
        <v>2373</v>
      </c>
      <c r="H935" s="3">
        <v>162</v>
      </c>
      <c r="I935" s="4">
        <v>3720.1</v>
      </c>
      <c r="J935" s="4">
        <v>14095.28</v>
      </c>
      <c r="K935" s="3">
        <v>73</v>
      </c>
      <c r="L935" s="2" t="s">
        <v>2518</v>
      </c>
      <c r="M935" s="2" t="s">
        <v>2526</v>
      </c>
      <c r="N935" s="8">
        <f>IFERROR(G935/F935,0)</f>
        <v>3.8690427665367746E-2</v>
      </c>
      <c r="O935" s="8">
        <f>IFERROR(H935/G935,0)</f>
        <v>6.8268015170670035E-2</v>
      </c>
      <c r="P935" s="4">
        <f>IFERROR(I935/G935,0)</f>
        <v>1.5676780446691951</v>
      </c>
      <c r="Q935" s="4">
        <f>IFERROR(I935/H935,0)</f>
        <v>22.96358024691358</v>
      </c>
      <c r="R935" s="12">
        <f>IFERROR(J935/I935,0)</f>
        <v>3.7889519098948954</v>
      </c>
      <c r="S935" s="7">
        <f>Tabla_nuevas_columnas[[#This Row],[ROAS]]</f>
        <v>3.7889519098948954</v>
      </c>
      <c r="T935" t="str">
        <f>_xlfn.CONCAT(C935,"-",D935)</f>
        <v>Affiliate-México</v>
      </c>
      <c r="U935">
        <f>YEAR(A935)</f>
        <v>2025</v>
      </c>
      <c r="V935">
        <f>MONTH(A935)</f>
        <v>7</v>
      </c>
      <c r="W935" t="str">
        <f>PROPER(TEXT(A935,"mmmm"))</f>
        <v>Julio</v>
      </c>
      <c r="X935" t="str">
        <f>PROPER(TEXT(A935,"dddd"))</f>
        <v>Lunes</v>
      </c>
      <c r="Y935" t="str" cm="1">
        <f t="array" ref="Y935">_xlfn.IFS(R935&gt;10,"Excelente",R935&gt;=5,"Bueno",R935&gt;=2,"Débil",R935&lt;2,"Deficiente")</f>
        <v>Débil</v>
      </c>
      <c r="Z935" t="str">
        <f>IF(AND(R935&lt;2,Q935&gt;=100),"Revisar","OK")</f>
        <v>OK</v>
      </c>
      <c r="AA935" s="55">
        <f>_xlfn.XLOOKUP(C935,'Preguntas de negocio'!$C$114:$C$119,'Preguntas de negocio'!$D$114:$D$119,0)</f>
        <v>4.5</v>
      </c>
      <c r="AB935" s="55">
        <f>VLOOKUP(C935,'Preguntas de negocio'!$C$121:$D$127,2,FALSE)</f>
        <v>0.35</v>
      </c>
    </row>
    <row r="936" spans="1:28" x14ac:dyDescent="0.3">
      <c r="A936" s="1">
        <v>45716</v>
      </c>
      <c r="B936" s="2" t="s">
        <v>2616</v>
      </c>
      <c r="C936" s="2" t="s">
        <v>2533</v>
      </c>
      <c r="D936" s="2" t="s">
        <v>2528</v>
      </c>
      <c r="E936" s="2" t="s">
        <v>2529</v>
      </c>
      <c r="F936" s="3">
        <v>117292</v>
      </c>
      <c r="G936" s="3">
        <v>3980</v>
      </c>
      <c r="H936" s="3">
        <v>140</v>
      </c>
      <c r="I936" s="4">
        <v>4881.1499999999996</v>
      </c>
      <c r="J936" s="4">
        <v>3084.06</v>
      </c>
      <c r="K936" s="3">
        <v>81</v>
      </c>
      <c r="L936" s="2" t="s">
        <v>2536</v>
      </c>
      <c r="M936" s="2" t="s">
        <v>2537</v>
      </c>
      <c r="N936" s="8">
        <f>IFERROR(G936/F936,0)</f>
        <v>3.393240800736623E-2</v>
      </c>
      <c r="O936" s="8">
        <f>IFERROR(H936/G936,0)</f>
        <v>3.5175879396984924E-2</v>
      </c>
      <c r="P936" s="4">
        <f>IFERROR(I936/G936,0)</f>
        <v>1.2264195979899497</v>
      </c>
      <c r="Q936" s="4">
        <f>IFERROR(I936/H936,0)</f>
        <v>34.865357142857142</v>
      </c>
      <c r="R936" s="12">
        <f>IFERROR(J936/I936,0)</f>
        <v>0.63183061368734827</v>
      </c>
      <c r="S936" s="7">
        <f>Tabla_nuevas_columnas[[#This Row],[ROAS]]</f>
        <v>0.63183061368734827</v>
      </c>
      <c r="T936" t="str">
        <f>_xlfn.CONCAT(C936,"-",D936)</f>
        <v>Paid Social-España</v>
      </c>
      <c r="U936">
        <f>YEAR(A936)</f>
        <v>2025</v>
      </c>
      <c r="V936">
        <f>MONTH(A936)</f>
        <v>2</v>
      </c>
      <c r="W936" t="str">
        <f>PROPER(TEXT(A936,"mmmm"))</f>
        <v>Febrero</v>
      </c>
      <c r="X936" t="str">
        <f>PROPER(TEXT(A936,"dddd"))</f>
        <v>Viernes</v>
      </c>
      <c r="Y936" t="str" cm="1">
        <f t="array" ref="Y936">_xlfn.IFS(R936&gt;10,"Excelente",R936&gt;=5,"Bueno",R936&gt;=2,"Débil",R936&lt;2,"Deficiente")</f>
        <v>Deficiente</v>
      </c>
      <c r="Z936" t="str">
        <f>IF(AND(R936&lt;2,Q936&gt;=100),"Revisar","OK")</f>
        <v>OK</v>
      </c>
      <c r="AA936" s="55">
        <f>_xlfn.XLOOKUP(C936,'Preguntas de negocio'!$C$114:$C$119,'Preguntas de negocio'!$D$114:$D$119,0)</f>
        <v>6</v>
      </c>
      <c r="AB936" s="55">
        <f>VLOOKUP(C936,'Preguntas de negocio'!$C$121:$D$127,2,FALSE)</f>
        <v>0.8</v>
      </c>
    </row>
    <row r="937" spans="1:28" x14ac:dyDescent="0.3">
      <c r="A937" s="1">
        <v>45968</v>
      </c>
      <c r="B937" s="2" t="s">
        <v>2626</v>
      </c>
      <c r="C937" s="2" t="s">
        <v>2521</v>
      </c>
      <c r="D937" s="2" t="s">
        <v>2528</v>
      </c>
      <c r="E937" s="2" t="s">
        <v>2529</v>
      </c>
      <c r="F937" s="3">
        <v>7017</v>
      </c>
      <c r="G937" s="3">
        <v>630</v>
      </c>
      <c r="H937" s="3">
        <v>58</v>
      </c>
      <c r="I937" s="4">
        <v>1147.25</v>
      </c>
      <c r="J937" s="4">
        <v>10975.82</v>
      </c>
      <c r="K937" s="3">
        <v>39</v>
      </c>
      <c r="L937" s="2" t="s">
        <v>2539</v>
      </c>
      <c r="M937" s="2" t="s">
        <v>2546</v>
      </c>
      <c r="N937" s="8">
        <f>IFERROR(G937/F937,0)</f>
        <v>8.9781958101752879E-2</v>
      </c>
      <c r="O937" s="8">
        <f>IFERROR(H937/G937,0)</f>
        <v>9.2063492063492069E-2</v>
      </c>
      <c r="P937" s="4">
        <f>IFERROR(I937/G937,0)</f>
        <v>1.821031746031746</v>
      </c>
      <c r="Q937" s="4">
        <f>IFERROR(I937/H937,0)</f>
        <v>19.780172413793103</v>
      </c>
      <c r="R937" s="12">
        <f>IFERROR(J937/I937,0)</f>
        <v>9.567069078230551</v>
      </c>
      <c r="S937" s="7">
        <f>Tabla_nuevas_columnas[[#This Row],[ROAS]]</f>
        <v>9.567069078230551</v>
      </c>
      <c r="T937" t="str">
        <f>_xlfn.CONCAT(C937,"-",D937)</f>
        <v>Paid Search-España</v>
      </c>
      <c r="U937">
        <f>YEAR(A937)</f>
        <v>2025</v>
      </c>
      <c r="V937">
        <f>MONTH(A937)</f>
        <v>11</v>
      </c>
      <c r="W937" t="str">
        <f>PROPER(TEXT(A937,"mmmm"))</f>
        <v>Noviembre</v>
      </c>
      <c r="X937" t="str">
        <f>PROPER(TEXT(A937,"dddd"))</f>
        <v>Viernes</v>
      </c>
      <c r="Y937" t="str" cm="1">
        <f t="array" ref="Y937">_xlfn.IFS(R937&gt;10,"Excelente",R937&gt;=5,"Bueno",R937&gt;=2,"Débil",R937&lt;2,"Deficiente")</f>
        <v>Bueno</v>
      </c>
      <c r="Z937" t="str">
        <f>IF(AND(R937&lt;2,Q937&gt;=100),"Revisar","OK")</f>
        <v>OK</v>
      </c>
      <c r="AA937" s="55">
        <f>_xlfn.XLOOKUP(C937,'Preguntas de negocio'!$C$114:$C$119,'Preguntas de negocio'!$D$114:$D$119,0)</f>
        <v>5</v>
      </c>
      <c r="AB937" s="55">
        <f>VLOOKUP(C937,'Preguntas de negocio'!$C$121:$D$127,2,FALSE)</f>
        <v>1.1000000000000001</v>
      </c>
    </row>
    <row r="938" spans="1:28" x14ac:dyDescent="0.3">
      <c r="A938" s="1">
        <v>45855</v>
      </c>
      <c r="B938" s="2" t="s">
        <v>2626</v>
      </c>
      <c r="C938" s="2" t="s">
        <v>2645</v>
      </c>
      <c r="D938" s="2" t="s">
        <v>2528</v>
      </c>
      <c r="E938" s="2" t="s">
        <v>2517</v>
      </c>
      <c r="F938" s="3">
        <v>22879</v>
      </c>
      <c r="G938" s="3">
        <v>753</v>
      </c>
      <c r="H938" s="3">
        <v>31</v>
      </c>
      <c r="I938" s="4">
        <v>700.49</v>
      </c>
      <c r="J938" s="4">
        <v>2212.31</v>
      </c>
      <c r="K938" s="3">
        <v>14</v>
      </c>
      <c r="L938" s="2" t="s">
        <v>2523</v>
      </c>
      <c r="M938" s="2" t="s">
        <v>2526</v>
      </c>
      <c r="N938" s="8">
        <f>IFERROR(G938/F938,0)</f>
        <v>3.2912277634511995E-2</v>
      </c>
      <c r="O938" s="8">
        <f>IFERROR(H938/G938,0)</f>
        <v>4.1168658698539175E-2</v>
      </c>
      <c r="P938" s="4">
        <f>IFERROR(I938/G938,0)</f>
        <v>0.93026560424966798</v>
      </c>
      <c r="Q938" s="4">
        <f>IFERROR(I938/H938,0)</f>
        <v>22.596451612903227</v>
      </c>
      <c r="R938" s="12">
        <f>IFERROR(J938/I938,0)</f>
        <v>3.1582320946765834</v>
      </c>
      <c r="S938" s="7">
        <f>Tabla_nuevas_columnas[[#This Row],[ROAS]]</f>
        <v>3.1582320946765834</v>
      </c>
      <c r="T938" t="str">
        <f>_xlfn.CONCAT(C938,"-",D938)</f>
        <v>Por identificar-España</v>
      </c>
      <c r="U938">
        <f>YEAR(A938)</f>
        <v>2025</v>
      </c>
      <c r="V938">
        <f>MONTH(A938)</f>
        <v>7</v>
      </c>
      <c r="W938" t="str">
        <f>PROPER(TEXT(A938,"mmmm"))</f>
        <v>Julio</v>
      </c>
      <c r="X938" t="str">
        <f>PROPER(TEXT(A938,"dddd"))</f>
        <v>Jueves</v>
      </c>
      <c r="Y938" t="str" cm="1">
        <f t="array" ref="Y938">_xlfn.IFS(R938&gt;10,"Excelente",R938&gt;=5,"Bueno",R938&gt;=2,"Débil",R938&lt;2,"Deficiente")</f>
        <v>Débil</v>
      </c>
      <c r="Z938" t="str">
        <f>IF(AND(R938&lt;2,Q938&gt;=100),"Revisar","OK")</f>
        <v>OK</v>
      </c>
      <c r="AA938" s="55">
        <f>_xlfn.XLOOKUP(C938,'Preguntas de negocio'!$C$114:$C$119,'Preguntas de negocio'!$D$114:$D$119,0)</f>
        <v>0</v>
      </c>
      <c r="AB938" s="55">
        <f>VLOOKUP(C938,'Preguntas de negocio'!$C$121:$D$127,2,FALSE)</f>
        <v>0</v>
      </c>
    </row>
    <row r="939" spans="1:28" x14ac:dyDescent="0.3">
      <c r="A939" s="1">
        <v>45980</v>
      </c>
      <c r="B939" s="2" t="s">
        <v>2637</v>
      </c>
      <c r="C939" s="2" t="s">
        <v>2527</v>
      </c>
      <c r="D939" s="2" t="s">
        <v>2528</v>
      </c>
      <c r="E939" s="2" t="s">
        <v>2529</v>
      </c>
      <c r="F939" s="3">
        <v>114981</v>
      </c>
      <c r="G939" s="3">
        <v>5986</v>
      </c>
      <c r="H939" s="3">
        <v>324</v>
      </c>
      <c r="I939" s="4">
        <v>698.84</v>
      </c>
      <c r="J939" s="4">
        <v>22195.9</v>
      </c>
      <c r="K939" s="3">
        <v>212</v>
      </c>
      <c r="L939" s="2" t="s">
        <v>2539</v>
      </c>
      <c r="M939" s="2" t="s">
        <v>2524</v>
      </c>
      <c r="N939" s="8">
        <f>IFERROR(G939/F939,0)</f>
        <v>5.2060775258520972E-2</v>
      </c>
      <c r="O939" s="8">
        <f>IFERROR(H939/G939,0)</f>
        <v>5.4126294687604409E-2</v>
      </c>
      <c r="P939" s="4">
        <f>IFERROR(I939/G939,0)</f>
        <v>0.11674574006014034</v>
      </c>
      <c r="Q939" s="4">
        <f>IFERROR(I939/H939,0)</f>
        <v>2.1569135802469135</v>
      </c>
      <c r="R939" s="12">
        <f>IFERROR(J939/I939,0)</f>
        <v>31.761061187110069</v>
      </c>
      <c r="S939" s="7">
        <f>Tabla_nuevas_columnas[[#This Row],[ROAS]]</f>
        <v>31.761061187110069</v>
      </c>
      <c r="T939" t="str">
        <f>_xlfn.CONCAT(C939,"-",D939)</f>
        <v>Affiliate-España</v>
      </c>
      <c r="U939">
        <f>YEAR(A939)</f>
        <v>2025</v>
      </c>
      <c r="V939">
        <f>MONTH(A939)</f>
        <v>11</v>
      </c>
      <c r="W939" t="str">
        <f>PROPER(TEXT(A939,"mmmm"))</f>
        <v>Noviembre</v>
      </c>
      <c r="X939" t="str">
        <f>PROPER(TEXT(A939,"dddd"))</f>
        <v>Miércoles</v>
      </c>
      <c r="Y939" t="str" cm="1">
        <f t="array" ref="Y939">_xlfn.IFS(R939&gt;10,"Excelente",R939&gt;=5,"Bueno",R939&gt;=2,"Débil",R939&lt;2,"Deficiente")</f>
        <v>Excelente</v>
      </c>
      <c r="Z939" t="str">
        <f>IF(AND(R939&lt;2,Q939&gt;=100),"Revisar","OK")</f>
        <v>OK</v>
      </c>
      <c r="AA939" s="55">
        <f>_xlfn.XLOOKUP(C939,'Preguntas de negocio'!$C$114:$C$119,'Preguntas de negocio'!$D$114:$D$119,0)</f>
        <v>4.5</v>
      </c>
      <c r="AB939" s="55">
        <f>VLOOKUP(C939,'Preguntas de negocio'!$C$121:$D$127,2,FALSE)</f>
        <v>0.35</v>
      </c>
    </row>
    <row r="940" spans="1:28" x14ac:dyDescent="0.3">
      <c r="A940" s="1">
        <v>45682</v>
      </c>
      <c r="B940" s="2" t="s">
        <v>2629</v>
      </c>
      <c r="C940" s="2" t="s">
        <v>2541</v>
      </c>
      <c r="D940" s="2" t="s">
        <v>2528</v>
      </c>
      <c r="E940" s="2" t="s">
        <v>2517</v>
      </c>
      <c r="F940" s="3">
        <v>153369</v>
      </c>
      <c r="G940" s="3">
        <v>4205</v>
      </c>
      <c r="H940" s="3">
        <v>533</v>
      </c>
      <c r="I940" s="4">
        <v>8684.3700000000008</v>
      </c>
      <c r="J940" s="4">
        <v>68269.070000000007</v>
      </c>
      <c r="K940" s="3">
        <v>420</v>
      </c>
      <c r="L940" s="2" t="s">
        <v>2518</v>
      </c>
      <c r="M940" s="2" t="s">
        <v>2546</v>
      </c>
      <c r="N940" s="8">
        <f>IFERROR(G940/F940,0)</f>
        <v>2.7417535486310794E-2</v>
      </c>
      <c r="O940" s="8">
        <f>IFERROR(H940/G940,0)</f>
        <v>0.12675386444708681</v>
      </c>
      <c r="P940" s="4">
        <f>IFERROR(I940/G940,0)</f>
        <v>2.0652485136741974</v>
      </c>
      <c r="Q940" s="4">
        <f>IFERROR(I940/H940,0)</f>
        <v>16.293377110694184</v>
      </c>
      <c r="R940" s="12">
        <f>IFERROR(J940/I940,0)</f>
        <v>7.8611424893227717</v>
      </c>
      <c r="S940" s="7">
        <f>Tabla_nuevas_columnas[[#This Row],[ROAS]]</f>
        <v>7.8611424893227717</v>
      </c>
      <c r="T940" t="str">
        <f>_xlfn.CONCAT(C940,"-",D940)</f>
        <v>Display-España</v>
      </c>
      <c r="U940">
        <f>YEAR(A940)</f>
        <v>2025</v>
      </c>
      <c r="V940">
        <f>MONTH(A940)</f>
        <v>1</v>
      </c>
      <c r="W940" t="str">
        <f>PROPER(TEXT(A940,"mmmm"))</f>
        <v>Enero</v>
      </c>
      <c r="X940" t="str">
        <f>PROPER(TEXT(A940,"dddd"))</f>
        <v>Sábado</v>
      </c>
      <c r="Y940" t="str" cm="1">
        <f t="array" ref="Y940">_xlfn.IFS(R940&gt;10,"Excelente",R940&gt;=5,"Bueno",R940&gt;=2,"Débil",R940&lt;2,"Deficiente")</f>
        <v>Bueno</v>
      </c>
      <c r="Z940" t="str">
        <f>IF(AND(R940&lt;2,Q940&gt;=100),"Revisar","OK")</f>
        <v>OK</v>
      </c>
      <c r="AA940" s="55">
        <f>_xlfn.XLOOKUP(C940,'Preguntas de negocio'!$C$114:$C$119,'Preguntas de negocio'!$D$114:$D$119,0)</f>
        <v>5</v>
      </c>
      <c r="AB940" s="55">
        <f>VLOOKUP(C940,'Preguntas de negocio'!$C$121:$D$127,2,FALSE)</f>
        <v>0.5</v>
      </c>
    </row>
    <row r="941" spans="1:28" x14ac:dyDescent="0.3">
      <c r="A941" s="1">
        <v>45759</v>
      </c>
      <c r="B941" s="2" t="s">
        <v>2644</v>
      </c>
      <c r="C941" s="2" t="s">
        <v>2527</v>
      </c>
      <c r="D941" s="2" t="s">
        <v>2525</v>
      </c>
      <c r="E941" s="2" t="s">
        <v>2529</v>
      </c>
      <c r="F941" s="3">
        <v>42978</v>
      </c>
      <c r="G941" s="3">
        <v>1265</v>
      </c>
      <c r="H941" s="3">
        <v>122</v>
      </c>
      <c r="I941" s="4">
        <v>891.33</v>
      </c>
      <c r="J941" s="4">
        <v>11583.09</v>
      </c>
      <c r="K941" s="3">
        <v>102</v>
      </c>
      <c r="L941" s="2" t="s">
        <v>2523</v>
      </c>
      <c r="M941" s="2" t="s">
        <v>2524</v>
      </c>
      <c r="N941" s="8">
        <f>IFERROR(G941/F941,0)</f>
        <v>2.9433663734934154E-2</v>
      </c>
      <c r="O941" s="8">
        <f>IFERROR(H941/G941,0)</f>
        <v>9.6442687747035571E-2</v>
      </c>
      <c r="P941" s="4">
        <f>IFERROR(I941/G941,0)</f>
        <v>0.70460869565217399</v>
      </c>
      <c r="Q941" s="4">
        <f>IFERROR(I941/H941,0)</f>
        <v>7.3059836065573771</v>
      </c>
      <c r="R941" s="12">
        <f>IFERROR(J941/I941,0)</f>
        <v>12.995287940493419</v>
      </c>
      <c r="S941" s="7">
        <f>Tabla_nuevas_columnas[[#This Row],[ROAS]]</f>
        <v>12.995287940493419</v>
      </c>
      <c r="T941" t="str">
        <f>_xlfn.CONCAT(C941,"-",D941)</f>
        <v>Affiliate-Francia</v>
      </c>
      <c r="U941">
        <f>YEAR(A941)</f>
        <v>2025</v>
      </c>
      <c r="V941">
        <f>MONTH(A941)</f>
        <v>4</v>
      </c>
      <c r="W941" t="str">
        <f>PROPER(TEXT(A941,"mmmm"))</f>
        <v>Abril</v>
      </c>
      <c r="X941" t="str">
        <f>PROPER(TEXT(A941,"dddd"))</f>
        <v>Sábado</v>
      </c>
      <c r="Y941" t="str" cm="1">
        <f t="array" ref="Y941">_xlfn.IFS(R941&gt;10,"Excelente",R941&gt;=5,"Bueno",R941&gt;=2,"Débil",R941&lt;2,"Deficiente")</f>
        <v>Excelente</v>
      </c>
      <c r="Z941" t="str">
        <f>IF(AND(R941&lt;2,Q941&gt;=100),"Revisar","OK")</f>
        <v>OK</v>
      </c>
      <c r="AA941" s="55">
        <f>_xlfn.XLOOKUP(C941,'Preguntas de negocio'!$C$114:$C$119,'Preguntas de negocio'!$D$114:$D$119,0)</f>
        <v>4.5</v>
      </c>
      <c r="AB941" s="55">
        <f>VLOOKUP(C941,'Preguntas de negocio'!$C$121:$D$127,2,FALSE)</f>
        <v>0.35</v>
      </c>
    </row>
    <row r="942" spans="1:28" x14ac:dyDescent="0.3">
      <c r="A942" s="1">
        <v>45674</v>
      </c>
      <c r="B942" s="2" t="s">
        <v>2642</v>
      </c>
      <c r="C942" s="2" t="s">
        <v>2521</v>
      </c>
      <c r="D942" s="2" t="s">
        <v>2525</v>
      </c>
      <c r="E942" s="2" t="s">
        <v>2517</v>
      </c>
      <c r="F942" s="3">
        <v>113235</v>
      </c>
      <c r="G942" s="3">
        <v>10181</v>
      </c>
      <c r="H942" s="3">
        <v>1348</v>
      </c>
      <c r="I942" s="4">
        <v>10894.13</v>
      </c>
      <c r="J942" s="4">
        <v>109441.22</v>
      </c>
      <c r="K942" s="3">
        <v>1073</v>
      </c>
      <c r="L942" s="2" t="s">
        <v>2539</v>
      </c>
      <c r="M942" s="2" t="s">
        <v>2526</v>
      </c>
      <c r="N942" s="8">
        <f>IFERROR(G942/F942,0)</f>
        <v>8.9910363403541305E-2</v>
      </c>
      <c r="O942" s="8">
        <f>IFERROR(H942/G942,0)</f>
        <v>0.13240349670955701</v>
      </c>
      <c r="P942" s="4">
        <f>IFERROR(I942/G942,0)</f>
        <v>1.0700451822021411</v>
      </c>
      <c r="Q942" s="4">
        <f>IFERROR(I942/H942,0)</f>
        <v>8.0816988130563789</v>
      </c>
      <c r="R942" s="12">
        <f>IFERROR(J942/I942,0)</f>
        <v>10.045888932847323</v>
      </c>
      <c r="S942" s="7">
        <f>Tabla_nuevas_columnas[[#This Row],[ROAS]]</f>
        <v>10.045888932847323</v>
      </c>
      <c r="T942" t="str">
        <f>_xlfn.CONCAT(C942,"-",D942)</f>
        <v>Paid Search-Francia</v>
      </c>
      <c r="U942">
        <f>YEAR(A942)</f>
        <v>2025</v>
      </c>
      <c r="V942">
        <f>MONTH(A942)</f>
        <v>1</v>
      </c>
      <c r="W942" t="str">
        <f>PROPER(TEXT(A942,"mmmm"))</f>
        <v>Enero</v>
      </c>
      <c r="X942" t="str">
        <f>PROPER(TEXT(A942,"dddd"))</f>
        <v>Viernes</v>
      </c>
      <c r="Y942" t="str" cm="1">
        <f t="array" ref="Y942">_xlfn.IFS(R942&gt;10,"Excelente",R942&gt;=5,"Bueno",R942&gt;=2,"Débil",R942&lt;2,"Deficiente")</f>
        <v>Excelente</v>
      </c>
      <c r="Z942" t="str">
        <f>IF(AND(R942&lt;2,Q942&gt;=100),"Revisar","OK")</f>
        <v>OK</v>
      </c>
      <c r="AA942" s="55">
        <f>_xlfn.XLOOKUP(C942,'Preguntas de negocio'!$C$114:$C$119,'Preguntas de negocio'!$D$114:$D$119,0)</f>
        <v>5</v>
      </c>
      <c r="AB942" s="55">
        <f>VLOOKUP(C942,'Preguntas de negocio'!$C$121:$D$127,2,FALSE)</f>
        <v>1.1000000000000001</v>
      </c>
    </row>
    <row r="943" spans="1:28" x14ac:dyDescent="0.3">
      <c r="A943" s="1">
        <v>45768</v>
      </c>
      <c r="B943" s="2" t="s">
        <v>2621</v>
      </c>
      <c r="C943" s="2" t="s">
        <v>2541</v>
      </c>
      <c r="D943" s="2" t="s">
        <v>2522</v>
      </c>
      <c r="E943" s="2" t="s">
        <v>2529</v>
      </c>
      <c r="F943" s="3">
        <v>149933</v>
      </c>
      <c r="G943" s="3">
        <v>6105</v>
      </c>
      <c r="H943" s="3">
        <v>335</v>
      </c>
      <c r="I943" s="4">
        <v>7198.49</v>
      </c>
      <c r="J943" s="4">
        <v>9974.27</v>
      </c>
      <c r="K943" s="3">
        <v>249</v>
      </c>
      <c r="L943" s="2" t="s">
        <v>2518</v>
      </c>
      <c r="M943" s="2" t="s">
        <v>2546</v>
      </c>
      <c r="N943" s="8">
        <f>IFERROR(G943/F943,0)</f>
        <v>4.0718187457064153E-2</v>
      </c>
      <c r="O943" s="8">
        <f>IFERROR(H943/G943,0)</f>
        <v>5.4873054873054876E-2</v>
      </c>
      <c r="P943" s="4">
        <f>IFERROR(I943/G943,0)</f>
        <v>1.1791138411138411</v>
      </c>
      <c r="Q943" s="4">
        <f>IFERROR(I943/H943,0)</f>
        <v>21.488029850746269</v>
      </c>
      <c r="R943" s="12">
        <f>IFERROR(J943/I943,0)</f>
        <v>1.3856058701199836</v>
      </c>
      <c r="S943" s="7">
        <f>Tabla_nuevas_columnas[[#This Row],[ROAS]]</f>
        <v>1.3856058701199836</v>
      </c>
      <c r="T943" t="str">
        <f>_xlfn.CONCAT(C943,"-",D943)</f>
        <v>Display-Italia</v>
      </c>
      <c r="U943">
        <f>YEAR(A943)</f>
        <v>2025</v>
      </c>
      <c r="V943">
        <f>MONTH(A943)</f>
        <v>4</v>
      </c>
      <c r="W943" t="str">
        <f>PROPER(TEXT(A943,"mmmm"))</f>
        <v>Abril</v>
      </c>
      <c r="X943" t="str">
        <f>PROPER(TEXT(A943,"dddd"))</f>
        <v>Lunes</v>
      </c>
      <c r="Y943" t="str" cm="1">
        <f t="array" ref="Y943">_xlfn.IFS(R943&gt;10,"Excelente",R943&gt;=5,"Bueno",R943&gt;=2,"Débil",R943&lt;2,"Deficiente")</f>
        <v>Deficiente</v>
      </c>
      <c r="Z943" t="str">
        <f>IF(AND(R943&lt;2,Q943&gt;=100),"Revisar","OK")</f>
        <v>OK</v>
      </c>
      <c r="AA943" s="55">
        <f>_xlfn.XLOOKUP(C943,'Preguntas de negocio'!$C$114:$C$119,'Preguntas de negocio'!$D$114:$D$119,0)</f>
        <v>5</v>
      </c>
      <c r="AB943" s="55">
        <f>VLOOKUP(C943,'Preguntas de negocio'!$C$121:$D$127,2,FALSE)</f>
        <v>0.5</v>
      </c>
    </row>
    <row r="944" spans="1:28" x14ac:dyDescent="0.3">
      <c r="A944" s="1">
        <v>45802</v>
      </c>
      <c r="B944" s="2" t="s">
        <v>2643</v>
      </c>
      <c r="C944" s="2" t="s">
        <v>2527</v>
      </c>
      <c r="D944" s="2" t="s">
        <v>2516</v>
      </c>
      <c r="E944" s="2" t="s">
        <v>2529</v>
      </c>
      <c r="F944" s="3">
        <v>141585</v>
      </c>
      <c r="G944" s="3">
        <v>8738</v>
      </c>
      <c r="H944" s="3">
        <v>301</v>
      </c>
      <c r="I944" s="4">
        <v>2263.98</v>
      </c>
      <c r="J944" s="4">
        <v>28737.24</v>
      </c>
      <c r="K944" s="3">
        <v>190</v>
      </c>
      <c r="L944" s="2" t="s">
        <v>2536</v>
      </c>
      <c r="M944" s="2" t="s">
        <v>2526</v>
      </c>
      <c r="N944" s="8">
        <f>IFERROR(G944/F944,0)</f>
        <v>6.1715577215100473E-2</v>
      </c>
      <c r="O944" s="8">
        <f>IFERROR(H944/G944,0)</f>
        <v>3.4447241931792175E-2</v>
      </c>
      <c r="P944" s="4">
        <f>IFERROR(I944/G944,0)</f>
        <v>0.25909590295262075</v>
      </c>
      <c r="Q944" s="4">
        <f>IFERROR(I944/H944,0)</f>
        <v>7.5215282392026577</v>
      </c>
      <c r="R944" s="12">
        <f>IFERROR(J944/I944,0)</f>
        <v>12.693239339570138</v>
      </c>
      <c r="S944" s="7">
        <f>Tabla_nuevas_columnas[[#This Row],[ROAS]]</f>
        <v>12.693239339570138</v>
      </c>
      <c r="T944" t="str">
        <f>_xlfn.CONCAT(C944,"-",D944)</f>
        <v>Affiliate-México</v>
      </c>
      <c r="U944">
        <f>YEAR(A944)</f>
        <v>2025</v>
      </c>
      <c r="V944">
        <f>MONTH(A944)</f>
        <v>5</v>
      </c>
      <c r="W944" t="str">
        <f>PROPER(TEXT(A944,"mmmm"))</f>
        <v>Mayo</v>
      </c>
      <c r="X944" t="str">
        <f>PROPER(TEXT(A944,"dddd"))</f>
        <v>Domingo</v>
      </c>
      <c r="Y944" t="str" cm="1">
        <f t="array" ref="Y944">_xlfn.IFS(R944&gt;10,"Excelente",R944&gt;=5,"Bueno",R944&gt;=2,"Débil",R944&lt;2,"Deficiente")</f>
        <v>Excelente</v>
      </c>
      <c r="Z944" t="str">
        <f>IF(AND(R944&lt;2,Q944&gt;=100),"Revisar","OK")</f>
        <v>OK</v>
      </c>
      <c r="AA944" s="55">
        <f>_xlfn.XLOOKUP(C944,'Preguntas de negocio'!$C$114:$C$119,'Preguntas de negocio'!$D$114:$D$119,0)</f>
        <v>4.5</v>
      </c>
      <c r="AB944" s="55">
        <f>VLOOKUP(C944,'Preguntas de negocio'!$C$121:$D$127,2,FALSE)</f>
        <v>0.35</v>
      </c>
    </row>
    <row r="945" spans="1:28" x14ac:dyDescent="0.3">
      <c r="A945" s="1">
        <v>45660</v>
      </c>
      <c r="B945" s="2" t="s">
        <v>2640</v>
      </c>
      <c r="C945" s="2" t="s">
        <v>2541</v>
      </c>
      <c r="D945" s="2" t="s">
        <v>2528</v>
      </c>
      <c r="E945" s="2" t="s">
        <v>2534</v>
      </c>
      <c r="F945" s="3">
        <v>125414</v>
      </c>
      <c r="G945" s="3">
        <v>5316</v>
      </c>
      <c r="H945" s="3">
        <v>367</v>
      </c>
      <c r="I945" s="4">
        <v>9936.66</v>
      </c>
      <c r="J945" s="4">
        <v>59884.19</v>
      </c>
      <c r="K945" s="3">
        <v>227</v>
      </c>
      <c r="L945" s="2" t="s">
        <v>2523</v>
      </c>
      <c r="M945" s="2" t="s">
        <v>2546</v>
      </c>
      <c r="N945" s="8">
        <f>IFERROR(G945/F945,0)</f>
        <v>4.238761222829987E-2</v>
      </c>
      <c r="O945" s="8">
        <f>IFERROR(H945/G945,0)</f>
        <v>6.9036869826937547E-2</v>
      </c>
      <c r="P945" s="4">
        <f>IFERROR(I945/G945,0)</f>
        <v>1.8691986455981942</v>
      </c>
      <c r="Q945" s="4">
        <f>IFERROR(I945/H945,0)</f>
        <v>27.075367847411442</v>
      </c>
      <c r="R945" s="12">
        <f>IFERROR(J945/I945,0)</f>
        <v>6.0265914301183701</v>
      </c>
      <c r="S945" s="7">
        <f>Tabla_nuevas_columnas[[#This Row],[ROAS]]</f>
        <v>6.0265914301183701</v>
      </c>
      <c r="T945" t="str">
        <f>_xlfn.CONCAT(C945,"-",D945)</f>
        <v>Display-España</v>
      </c>
      <c r="U945">
        <f>YEAR(A945)</f>
        <v>2025</v>
      </c>
      <c r="V945">
        <f>MONTH(A945)</f>
        <v>1</v>
      </c>
      <c r="W945" t="str">
        <f>PROPER(TEXT(A945,"mmmm"))</f>
        <v>Enero</v>
      </c>
      <c r="X945" t="str">
        <f>PROPER(TEXT(A945,"dddd"))</f>
        <v>Viernes</v>
      </c>
      <c r="Y945" t="str" cm="1">
        <f t="array" ref="Y945">_xlfn.IFS(R945&gt;10,"Excelente",R945&gt;=5,"Bueno",R945&gt;=2,"Débil",R945&lt;2,"Deficiente")</f>
        <v>Bueno</v>
      </c>
      <c r="Z945" t="str">
        <f>IF(AND(R945&lt;2,Q945&gt;=100),"Revisar","OK")</f>
        <v>OK</v>
      </c>
      <c r="AA945" s="55">
        <f>_xlfn.XLOOKUP(C945,'Preguntas de negocio'!$C$114:$C$119,'Preguntas de negocio'!$D$114:$D$119,0)</f>
        <v>5</v>
      </c>
      <c r="AB945" s="55">
        <f>VLOOKUP(C945,'Preguntas de negocio'!$C$121:$D$127,2,FALSE)</f>
        <v>0.5</v>
      </c>
    </row>
    <row r="946" spans="1:28" x14ac:dyDescent="0.3">
      <c r="A946" s="1">
        <v>45961</v>
      </c>
      <c r="B946" s="2" t="s">
        <v>2624</v>
      </c>
      <c r="C946" s="2" t="s">
        <v>2533</v>
      </c>
      <c r="D946" s="2" t="s">
        <v>2528</v>
      </c>
      <c r="E946" s="2" t="s">
        <v>2529</v>
      </c>
      <c r="F946" s="3">
        <v>158564</v>
      </c>
      <c r="G946" s="3">
        <v>12147</v>
      </c>
      <c r="H946" s="3">
        <v>1678</v>
      </c>
      <c r="I946" s="4">
        <v>24917.15</v>
      </c>
      <c r="J946" s="4">
        <v>96038.14</v>
      </c>
      <c r="K946" s="3">
        <v>1344</v>
      </c>
      <c r="L946" s="2" t="s">
        <v>2523</v>
      </c>
      <c r="M946" s="2" t="s">
        <v>2524</v>
      </c>
      <c r="N946" s="8">
        <f>IFERROR(G946/F946,0)</f>
        <v>7.6606291465906515E-2</v>
      </c>
      <c r="O946" s="8">
        <f>IFERROR(H946/G946,0)</f>
        <v>0.13814110479953898</v>
      </c>
      <c r="P946" s="4">
        <f>IFERROR(I946/G946,0)</f>
        <v>2.0513007326911996</v>
      </c>
      <c r="Q946" s="4">
        <f>IFERROR(I946/H946,0)</f>
        <v>14.849314660309894</v>
      </c>
      <c r="R946" s="12">
        <f>IFERROR(J946/I946,0)</f>
        <v>3.8542987460443907</v>
      </c>
      <c r="S946" s="7">
        <f>Tabla_nuevas_columnas[[#This Row],[ROAS]]</f>
        <v>3.8542987460443907</v>
      </c>
      <c r="T946" t="str">
        <f>_xlfn.CONCAT(C946,"-",D946)</f>
        <v>Paid Social-España</v>
      </c>
      <c r="U946">
        <f>YEAR(A946)</f>
        <v>2025</v>
      </c>
      <c r="V946">
        <f>MONTH(A946)</f>
        <v>10</v>
      </c>
      <c r="W946" t="str">
        <f>PROPER(TEXT(A946,"mmmm"))</f>
        <v>Octubre</v>
      </c>
      <c r="X946" t="str">
        <f>PROPER(TEXT(A946,"dddd"))</f>
        <v>Viernes</v>
      </c>
      <c r="Y946" t="str" cm="1">
        <f t="array" ref="Y946">_xlfn.IFS(R946&gt;10,"Excelente",R946&gt;=5,"Bueno",R946&gt;=2,"Débil",R946&lt;2,"Deficiente")</f>
        <v>Débil</v>
      </c>
      <c r="Z946" t="str">
        <f>IF(AND(R946&lt;2,Q946&gt;=100),"Revisar","OK")</f>
        <v>OK</v>
      </c>
      <c r="AA946" s="55">
        <f>_xlfn.XLOOKUP(C946,'Preguntas de negocio'!$C$114:$C$119,'Preguntas de negocio'!$D$114:$D$119,0)</f>
        <v>6</v>
      </c>
      <c r="AB946" s="55">
        <f>VLOOKUP(C946,'Preguntas de negocio'!$C$121:$D$127,2,FALSE)</f>
        <v>0.8</v>
      </c>
    </row>
    <row r="947" spans="1:28" x14ac:dyDescent="0.3">
      <c r="A947" s="1">
        <v>45797</v>
      </c>
      <c r="B947" s="2" t="s">
        <v>2627</v>
      </c>
      <c r="C947" s="2" t="s">
        <v>2515</v>
      </c>
      <c r="D947" s="2" t="s">
        <v>2531</v>
      </c>
      <c r="E947" s="2" t="s">
        <v>2529</v>
      </c>
      <c r="F947" s="3">
        <v>25667</v>
      </c>
      <c r="G947" s="3">
        <v>26332</v>
      </c>
      <c r="H947" s="3">
        <v>79</v>
      </c>
      <c r="I947" s="4">
        <v>1625.98</v>
      </c>
      <c r="J947" s="4">
        <v>15788.62</v>
      </c>
      <c r="K947" s="3">
        <v>61</v>
      </c>
      <c r="L947" s="2" t="s">
        <v>2523</v>
      </c>
      <c r="M947" s="2" t="s">
        <v>2537</v>
      </c>
      <c r="N947" s="8">
        <f>IFERROR(G947/F947,0)</f>
        <v>1.0259087544317607</v>
      </c>
      <c r="O947" s="8">
        <f>IFERROR(H947/G947,0)</f>
        <v>3.000151906425642E-3</v>
      </c>
      <c r="P947" s="4">
        <f>IFERROR(I947/G947,0)</f>
        <v>6.1749202491265379E-2</v>
      </c>
      <c r="Q947" s="4">
        <f>IFERROR(I947/H947,0)</f>
        <v>20.582025316455695</v>
      </c>
      <c r="R947" s="12">
        <f>IFERROR(J947/I947,0)</f>
        <v>9.710217837857785</v>
      </c>
      <c r="S947" s="7">
        <f>Tabla_nuevas_columnas[[#This Row],[ROAS]]</f>
        <v>9.710217837857785</v>
      </c>
      <c r="T947" t="str">
        <f>_xlfn.CONCAT(C947,"-",D947)</f>
        <v>Email-Portugal</v>
      </c>
      <c r="U947">
        <f>YEAR(A947)</f>
        <v>2025</v>
      </c>
      <c r="V947">
        <f>MONTH(A947)</f>
        <v>5</v>
      </c>
      <c r="W947" t="str">
        <f>PROPER(TEXT(A947,"mmmm"))</f>
        <v>Mayo</v>
      </c>
      <c r="X947" t="str">
        <f>PROPER(TEXT(A947,"dddd"))</f>
        <v>Martes</v>
      </c>
      <c r="Y947" t="str" cm="1">
        <f t="array" ref="Y947">_xlfn.IFS(R947&gt;10,"Excelente",R947&gt;=5,"Bueno",R947&gt;=2,"Débil",R947&lt;2,"Deficiente")</f>
        <v>Bueno</v>
      </c>
      <c r="Z947" t="str">
        <f>IF(AND(R947&lt;2,Q947&gt;=100),"Revisar","OK")</f>
        <v>OK</v>
      </c>
      <c r="AA947" s="55">
        <f>_xlfn.XLOOKUP(C947,'Preguntas de negocio'!$C$114:$C$119,'Preguntas de negocio'!$D$114:$D$119,0)</f>
        <v>5.5</v>
      </c>
      <c r="AB947" s="55">
        <f>VLOOKUP(C947,'Preguntas de negocio'!$C$121:$D$127,2,FALSE)</f>
        <v>0.65</v>
      </c>
    </row>
    <row r="948" spans="1:28" x14ac:dyDescent="0.3">
      <c r="A948" s="1">
        <v>45685</v>
      </c>
      <c r="B948" s="2" t="s">
        <v>2643</v>
      </c>
      <c r="C948" s="2" t="s">
        <v>2527</v>
      </c>
      <c r="D948" s="2" t="s">
        <v>2528</v>
      </c>
      <c r="E948" s="2" t="s">
        <v>2529</v>
      </c>
      <c r="F948" s="3">
        <v>67722</v>
      </c>
      <c r="G948" s="3">
        <v>3921</v>
      </c>
      <c r="H948" s="3">
        <v>38</v>
      </c>
      <c r="I948" s="4">
        <v>7115.12</v>
      </c>
      <c r="J948" s="4">
        <v>4910.17</v>
      </c>
      <c r="K948" s="3">
        <v>30</v>
      </c>
      <c r="L948" s="2" t="s">
        <v>2536</v>
      </c>
      <c r="M948" s="2" t="s">
        <v>2537</v>
      </c>
      <c r="N948" s="8">
        <f>IFERROR(G948/F948,0)</f>
        <v>5.7898467263223174E-2</v>
      </c>
      <c r="O948" s="8">
        <f>IFERROR(H948/G948,0)</f>
        <v>9.6914052537617947E-3</v>
      </c>
      <c r="P948" s="4">
        <f>IFERROR(I948/G948,0)</f>
        <v>1.8146187197143586</v>
      </c>
      <c r="Q948" s="4">
        <f>IFERROR(I948/H948,0)</f>
        <v>187.24</v>
      </c>
      <c r="R948" s="12">
        <f>IFERROR(J948/I948,0)</f>
        <v>0.69010361033967105</v>
      </c>
      <c r="S948" s="7">
        <f>Tabla_nuevas_columnas[[#This Row],[ROAS]]</f>
        <v>0.69010361033967105</v>
      </c>
      <c r="T948" t="str">
        <f>_xlfn.CONCAT(C948,"-",D948)</f>
        <v>Affiliate-España</v>
      </c>
      <c r="U948">
        <f>YEAR(A948)</f>
        <v>2025</v>
      </c>
      <c r="V948">
        <f>MONTH(A948)</f>
        <v>1</v>
      </c>
      <c r="W948" t="str">
        <f>PROPER(TEXT(A948,"mmmm"))</f>
        <v>Enero</v>
      </c>
      <c r="X948" t="str">
        <f>PROPER(TEXT(A948,"dddd"))</f>
        <v>Martes</v>
      </c>
      <c r="Y948" t="str" cm="1">
        <f t="array" ref="Y948">_xlfn.IFS(R948&gt;10,"Excelente",R948&gt;=5,"Bueno",R948&gt;=2,"Débil",R948&lt;2,"Deficiente")</f>
        <v>Deficiente</v>
      </c>
      <c r="Z948" t="str">
        <f>IF(AND(R948&lt;2,Q948&gt;=100),"Revisar","OK")</f>
        <v>Revisar</v>
      </c>
      <c r="AA948" s="55">
        <f>_xlfn.XLOOKUP(C948,'Preguntas de negocio'!$C$114:$C$119,'Preguntas de negocio'!$D$114:$D$119,0)</f>
        <v>4.5</v>
      </c>
      <c r="AB948" s="55">
        <f>VLOOKUP(C948,'Preguntas de negocio'!$C$121:$D$127,2,FALSE)</f>
        <v>0.35</v>
      </c>
    </row>
    <row r="949" spans="1:28" x14ac:dyDescent="0.3">
      <c r="A949" s="1">
        <v>45777</v>
      </c>
      <c r="B949" s="2" t="s">
        <v>2642</v>
      </c>
      <c r="C949" s="2" t="s">
        <v>2515</v>
      </c>
      <c r="D949" s="2" t="s">
        <v>2516</v>
      </c>
      <c r="E949" s="2" t="s">
        <v>2529</v>
      </c>
      <c r="F949" s="3">
        <v>173242</v>
      </c>
      <c r="G949" s="3">
        <v>9662</v>
      </c>
      <c r="H949" s="3">
        <v>509</v>
      </c>
      <c r="I949" s="4">
        <v>10139.700000000001</v>
      </c>
      <c r="J949" s="4">
        <v>111269.03</v>
      </c>
      <c r="K949" s="3">
        <v>354</v>
      </c>
      <c r="L949" s="2" t="s">
        <v>2523</v>
      </c>
      <c r="M949" s="2" t="s">
        <v>2537</v>
      </c>
      <c r="N949" s="8">
        <f>IFERROR(G949/F949,0)</f>
        <v>5.5771695085487356E-2</v>
      </c>
      <c r="O949" s="8">
        <f>IFERROR(H949/G949,0)</f>
        <v>5.2680604429724692E-2</v>
      </c>
      <c r="P949" s="4">
        <f>IFERROR(I949/G949,0)</f>
        <v>1.0494411095011384</v>
      </c>
      <c r="Q949" s="4">
        <f>IFERROR(I949/H949,0)</f>
        <v>19.920825147347742</v>
      </c>
      <c r="R949" s="12">
        <f>IFERROR(J949/I949,0)</f>
        <v>10.973601783090228</v>
      </c>
      <c r="S949" s="7">
        <f>Tabla_nuevas_columnas[[#This Row],[ROAS]]</f>
        <v>10.973601783090228</v>
      </c>
      <c r="T949" t="str">
        <f>_xlfn.CONCAT(C949,"-",D949)</f>
        <v>Email-México</v>
      </c>
      <c r="U949">
        <f>YEAR(A949)</f>
        <v>2025</v>
      </c>
      <c r="V949">
        <f>MONTH(A949)</f>
        <v>4</v>
      </c>
      <c r="W949" t="str">
        <f>PROPER(TEXT(A949,"mmmm"))</f>
        <v>Abril</v>
      </c>
      <c r="X949" t="str">
        <f>PROPER(TEXT(A949,"dddd"))</f>
        <v>Miércoles</v>
      </c>
      <c r="Y949" t="str" cm="1">
        <f t="array" ref="Y949">_xlfn.IFS(R949&gt;10,"Excelente",R949&gt;=5,"Bueno",R949&gt;=2,"Débil",R949&lt;2,"Deficiente")</f>
        <v>Excelente</v>
      </c>
      <c r="Z949" t="str">
        <f>IF(AND(R949&lt;2,Q949&gt;=100),"Revisar","OK")</f>
        <v>OK</v>
      </c>
      <c r="AA949" s="55">
        <f>_xlfn.XLOOKUP(C949,'Preguntas de negocio'!$C$114:$C$119,'Preguntas de negocio'!$D$114:$D$119,0)</f>
        <v>5.5</v>
      </c>
      <c r="AB949" s="55">
        <f>VLOOKUP(C949,'Preguntas de negocio'!$C$121:$D$127,2,FALSE)</f>
        <v>0.65</v>
      </c>
    </row>
    <row r="950" spans="1:28" x14ac:dyDescent="0.3">
      <c r="A950" s="1">
        <v>45936</v>
      </c>
      <c r="B950" s="2" t="s">
        <v>2627</v>
      </c>
      <c r="C950" s="2" t="s">
        <v>2533</v>
      </c>
      <c r="D950" s="2" t="s">
        <v>2522</v>
      </c>
      <c r="E950" s="2" t="s">
        <v>2529</v>
      </c>
      <c r="F950" s="3">
        <v>175185</v>
      </c>
      <c r="G950" s="3">
        <v>10397</v>
      </c>
      <c r="H950" s="3">
        <v>184</v>
      </c>
      <c r="I950" s="4">
        <v>13503.21</v>
      </c>
      <c r="J950" s="4">
        <v>24319.54</v>
      </c>
      <c r="K950" s="3">
        <v>93</v>
      </c>
      <c r="L950" s="2" t="s">
        <v>2518</v>
      </c>
      <c r="M950" s="2" t="s">
        <v>2524</v>
      </c>
      <c r="N950" s="8">
        <f>IFERROR(G950/F950,0)</f>
        <v>5.9348688529269056E-2</v>
      </c>
      <c r="O950" s="8">
        <f>IFERROR(H950/G950,0)</f>
        <v>1.769741271520631E-2</v>
      </c>
      <c r="P950" s="4">
        <f>IFERROR(I950/G950,0)</f>
        <v>1.2987602192940271</v>
      </c>
      <c r="Q950" s="4">
        <f>IFERROR(I950/H950,0)</f>
        <v>73.387010869565216</v>
      </c>
      <c r="R950" s="12">
        <f>IFERROR(J950/I950,0)</f>
        <v>1.8010191650726015</v>
      </c>
      <c r="S950" s="7">
        <f>Tabla_nuevas_columnas[[#This Row],[ROAS]]</f>
        <v>1.8010191650726015</v>
      </c>
      <c r="T950" t="str">
        <f>_xlfn.CONCAT(C950,"-",D950)</f>
        <v>Paid Social-Italia</v>
      </c>
      <c r="U950">
        <f>YEAR(A950)</f>
        <v>2025</v>
      </c>
      <c r="V950">
        <f>MONTH(A950)</f>
        <v>10</v>
      </c>
      <c r="W950" t="str">
        <f>PROPER(TEXT(A950,"mmmm"))</f>
        <v>Octubre</v>
      </c>
      <c r="X950" t="str">
        <f>PROPER(TEXT(A950,"dddd"))</f>
        <v>Lunes</v>
      </c>
      <c r="Y950" t="str" cm="1">
        <f t="array" ref="Y950">_xlfn.IFS(R950&gt;10,"Excelente",R950&gt;=5,"Bueno",R950&gt;=2,"Débil",R950&lt;2,"Deficiente")</f>
        <v>Deficiente</v>
      </c>
      <c r="Z950" t="str">
        <f>IF(AND(R950&lt;2,Q950&gt;=100),"Revisar","OK")</f>
        <v>OK</v>
      </c>
      <c r="AA950" s="55">
        <f>_xlfn.XLOOKUP(C950,'Preguntas de negocio'!$C$114:$C$119,'Preguntas de negocio'!$D$114:$D$119,0)</f>
        <v>6</v>
      </c>
      <c r="AB950" s="55">
        <f>VLOOKUP(C950,'Preguntas de negocio'!$C$121:$D$127,2,FALSE)</f>
        <v>0.8</v>
      </c>
    </row>
    <row r="951" spans="1:28" x14ac:dyDescent="0.3">
      <c r="A951" s="1">
        <v>45777</v>
      </c>
      <c r="B951" s="2" t="s">
        <v>2616</v>
      </c>
      <c r="C951" s="2" t="s">
        <v>2521</v>
      </c>
      <c r="D951" s="2" t="s">
        <v>2528</v>
      </c>
      <c r="E951" s="2" t="s">
        <v>2529</v>
      </c>
      <c r="F951" s="3">
        <v>66646</v>
      </c>
      <c r="G951" s="3">
        <v>5081</v>
      </c>
      <c r="H951" s="3">
        <v>658</v>
      </c>
      <c r="I951" s="4">
        <v>2266.14</v>
      </c>
      <c r="J951" s="4">
        <v>143817.25</v>
      </c>
      <c r="K951" s="3">
        <v>348</v>
      </c>
      <c r="L951" s="2" t="s">
        <v>2518</v>
      </c>
      <c r="M951" s="2" t="s">
        <v>2524</v>
      </c>
      <c r="N951" s="8">
        <f>IFERROR(G951/F951,0)</f>
        <v>7.623863397653273E-2</v>
      </c>
      <c r="O951" s="8">
        <f>IFERROR(H951/G951,0)</f>
        <v>0.12950206652233812</v>
      </c>
      <c r="P951" s="4">
        <f>IFERROR(I951/G951,0)</f>
        <v>0.44600275536311745</v>
      </c>
      <c r="Q951" s="4">
        <f>IFERROR(I951/H951,0)</f>
        <v>3.4439817629179328</v>
      </c>
      <c r="R951" s="12">
        <f>IFERROR(J951/I951,0)</f>
        <v>63.463532703186921</v>
      </c>
      <c r="S951" s="7">
        <f>Tabla_nuevas_columnas[[#This Row],[ROAS]]</f>
        <v>63.463532703186921</v>
      </c>
      <c r="T951" t="str">
        <f>_xlfn.CONCAT(C951,"-",D951)</f>
        <v>Paid Search-España</v>
      </c>
      <c r="U951">
        <f>YEAR(A951)</f>
        <v>2025</v>
      </c>
      <c r="V951">
        <f>MONTH(A951)</f>
        <v>4</v>
      </c>
      <c r="W951" t="str">
        <f>PROPER(TEXT(A951,"mmmm"))</f>
        <v>Abril</v>
      </c>
      <c r="X951" t="str">
        <f>PROPER(TEXT(A951,"dddd"))</f>
        <v>Miércoles</v>
      </c>
      <c r="Y951" t="str" cm="1">
        <f t="array" ref="Y951">_xlfn.IFS(R951&gt;10,"Excelente",R951&gt;=5,"Bueno",R951&gt;=2,"Débil",R951&lt;2,"Deficiente")</f>
        <v>Excelente</v>
      </c>
      <c r="Z951" t="str">
        <f>IF(AND(R951&lt;2,Q951&gt;=100),"Revisar","OK")</f>
        <v>OK</v>
      </c>
      <c r="AA951" s="55">
        <f>_xlfn.XLOOKUP(C951,'Preguntas de negocio'!$C$114:$C$119,'Preguntas de negocio'!$D$114:$D$119,0)</f>
        <v>5</v>
      </c>
      <c r="AB951" s="55">
        <f>VLOOKUP(C951,'Preguntas de negocio'!$C$121:$D$127,2,FALSE)</f>
        <v>1.1000000000000001</v>
      </c>
    </row>
    <row r="952" spans="1:28" x14ac:dyDescent="0.3">
      <c r="A952" s="1">
        <v>45723</v>
      </c>
      <c r="B952" s="2" t="s">
        <v>2627</v>
      </c>
      <c r="C952" s="2" t="s">
        <v>2521</v>
      </c>
      <c r="D952" s="2" t="s">
        <v>2528</v>
      </c>
      <c r="E952" s="2" t="s">
        <v>2517</v>
      </c>
      <c r="F952" s="3">
        <v>139339</v>
      </c>
      <c r="G952" s="3">
        <v>592</v>
      </c>
      <c r="H952" s="3">
        <v>78</v>
      </c>
      <c r="I952" s="4">
        <v>1077.8399999999999</v>
      </c>
      <c r="J952" s="4">
        <v>5217.87</v>
      </c>
      <c r="K952" s="3">
        <v>55</v>
      </c>
      <c r="L952" s="2" t="s">
        <v>2539</v>
      </c>
      <c r="M952" s="2" t="s">
        <v>2524</v>
      </c>
      <c r="N952" s="8">
        <f>IFERROR(G952/F952,0)</f>
        <v>4.2486310365367919E-3</v>
      </c>
      <c r="O952" s="8">
        <f>IFERROR(H952/G952,0)</f>
        <v>0.13175675675675674</v>
      </c>
      <c r="P952" s="4">
        <f>IFERROR(I952/G952,0)</f>
        <v>1.8206756756756755</v>
      </c>
      <c r="Q952" s="4">
        <f>IFERROR(I952/H952,0)</f>
        <v>13.818461538461538</v>
      </c>
      <c r="R952" s="12">
        <f>IFERROR(J952/I952,0)</f>
        <v>4.8410431975061234</v>
      </c>
      <c r="S952" s="7">
        <f>Tabla_nuevas_columnas[[#This Row],[ROAS]]</f>
        <v>4.8410431975061234</v>
      </c>
      <c r="T952" t="str">
        <f>_xlfn.CONCAT(C952,"-",D952)</f>
        <v>Paid Search-España</v>
      </c>
      <c r="U952">
        <f>YEAR(A952)</f>
        <v>2025</v>
      </c>
      <c r="V952">
        <f>MONTH(A952)</f>
        <v>3</v>
      </c>
      <c r="W952" t="str">
        <f>PROPER(TEXT(A952,"mmmm"))</f>
        <v>Marzo</v>
      </c>
      <c r="X952" t="str">
        <f>PROPER(TEXT(A952,"dddd"))</f>
        <v>Viernes</v>
      </c>
      <c r="Y952" t="str" cm="1">
        <f t="array" ref="Y952">_xlfn.IFS(R952&gt;10,"Excelente",R952&gt;=5,"Bueno",R952&gt;=2,"Débil",R952&lt;2,"Deficiente")</f>
        <v>Débil</v>
      </c>
      <c r="Z952" t="str">
        <f>IF(AND(R952&lt;2,Q952&gt;=100),"Revisar","OK")</f>
        <v>OK</v>
      </c>
      <c r="AA952" s="55">
        <f>_xlfn.XLOOKUP(C952,'Preguntas de negocio'!$C$114:$C$119,'Preguntas de negocio'!$D$114:$D$119,0)</f>
        <v>5</v>
      </c>
      <c r="AB952" s="55">
        <f>VLOOKUP(C952,'Preguntas de negocio'!$C$121:$D$127,2,FALSE)</f>
        <v>1.1000000000000001</v>
      </c>
    </row>
    <row r="953" spans="1:28" x14ac:dyDescent="0.3">
      <c r="A953" s="1">
        <v>45724</v>
      </c>
      <c r="B953" s="2" t="s">
        <v>2638</v>
      </c>
      <c r="C953" s="2" t="s">
        <v>2543</v>
      </c>
      <c r="D953" s="2" t="s">
        <v>2522</v>
      </c>
      <c r="E953" s="2" t="s">
        <v>2517</v>
      </c>
      <c r="F953" s="3">
        <v>95755</v>
      </c>
      <c r="G953" s="3">
        <v>5999</v>
      </c>
      <c r="H953" s="3">
        <v>696</v>
      </c>
      <c r="I953" s="4">
        <v>9288.7800000000007</v>
      </c>
      <c r="J953" s="4">
        <v>71878.91</v>
      </c>
      <c r="K953" s="3">
        <v>318</v>
      </c>
      <c r="L953" s="2" t="s">
        <v>2539</v>
      </c>
      <c r="M953" s="2" t="s">
        <v>2526</v>
      </c>
      <c r="N953" s="8">
        <f>IFERROR(G953/F953,0)</f>
        <v>6.2649470001566496E-2</v>
      </c>
      <c r="O953" s="8">
        <f>IFERROR(H953/G953,0)</f>
        <v>0.11601933655609269</v>
      </c>
      <c r="P953" s="4">
        <f>IFERROR(I953/G953,0)</f>
        <v>1.5483880646774464</v>
      </c>
      <c r="Q953" s="4">
        <f>IFERROR(I953/H953,0)</f>
        <v>13.345948275862069</v>
      </c>
      <c r="R953" s="12">
        <f>IFERROR(J953/I953,0)</f>
        <v>7.7382508790174809</v>
      </c>
      <c r="S953" s="7">
        <f>Tabla_nuevas_columnas[[#This Row],[ROAS]]</f>
        <v>7.7382508790174809</v>
      </c>
      <c r="T953" t="str">
        <f>_xlfn.CONCAT(C953,"-",D953)</f>
        <v>Organic Social-Italia</v>
      </c>
      <c r="U953">
        <f>YEAR(A953)</f>
        <v>2025</v>
      </c>
      <c r="V953">
        <f>MONTH(A953)</f>
        <v>3</v>
      </c>
      <c r="W953" t="str">
        <f>PROPER(TEXT(A953,"mmmm"))</f>
        <v>Marzo</v>
      </c>
      <c r="X953" t="str">
        <f>PROPER(TEXT(A953,"dddd"))</f>
        <v>Sábado</v>
      </c>
      <c r="Y953" t="str" cm="1">
        <f t="array" ref="Y953">_xlfn.IFS(R953&gt;10,"Excelente",R953&gt;=5,"Bueno",R953&gt;=2,"Débil",R953&lt;2,"Deficiente")</f>
        <v>Bueno</v>
      </c>
      <c r="Z953" t="str">
        <f>IF(AND(R953&lt;2,Q953&gt;=100),"Revisar","OK")</f>
        <v>OK</v>
      </c>
      <c r="AA953" s="55">
        <f>_xlfn.XLOOKUP(C953,'Preguntas de negocio'!$C$114:$C$119,'Preguntas de negocio'!$D$114:$D$119,0)</f>
        <v>4</v>
      </c>
      <c r="AB953" s="55">
        <f>VLOOKUP(C953,'Preguntas de negocio'!$C$121:$D$127,2,FALSE)</f>
        <v>0.95</v>
      </c>
    </row>
    <row r="954" spans="1:28" x14ac:dyDescent="0.3">
      <c r="A954" s="1">
        <v>45966</v>
      </c>
      <c r="B954" s="2" t="s">
        <v>2621</v>
      </c>
      <c r="C954" s="2" t="s">
        <v>2527</v>
      </c>
      <c r="D954" s="2" t="s">
        <v>2516</v>
      </c>
      <c r="E954" s="2" t="s">
        <v>2529</v>
      </c>
      <c r="F954" s="3">
        <v>165468</v>
      </c>
      <c r="G954" s="3">
        <v>4552</v>
      </c>
      <c r="H954" s="3">
        <v>568</v>
      </c>
      <c r="I954" s="4">
        <v>6701.5</v>
      </c>
      <c r="J954" s="4">
        <v>114457.35</v>
      </c>
      <c r="K954" s="3">
        <v>362</v>
      </c>
      <c r="L954" s="2" t="s">
        <v>2518</v>
      </c>
      <c r="M954" s="2" t="s">
        <v>2526</v>
      </c>
      <c r="N954" s="8">
        <f>IFERROR(G954/F954,0)</f>
        <v>2.7509850847293738E-2</v>
      </c>
      <c r="O954" s="8">
        <f>IFERROR(H954/G954,0)</f>
        <v>0.12478031634446397</v>
      </c>
      <c r="P954" s="4">
        <f>IFERROR(I954/G954,0)</f>
        <v>1.4722100175746924</v>
      </c>
      <c r="Q954" s="4">
        <f>IFERROR(I954/H954,0)</f>
        <v>11.798415492957746</v>
      </c>
      <c r="R954" s="12">
        <f>IFERROR(J954/I954,0)</f>
        <v>17.079362829217342</v>
      </c>
      <c r="S954" s="7">
        <f>Tabla_nuevas_columnas[[#This Row],[ROAS]]</f>
        <v>17.079362829217342</v>
      </c>
      <c r="T954" t="str">
        <f>_xlfn.CONCAT(C954,"-",D954)</f>
        <v>Affiliate-México</v>
      </c>
      <c r="U954">
        <f>YEAR(A954)</f>
        <v>2025</v>
      </c>
      <c r="V954">
        <f>MONTH(A954)</f>
        <v>11</v>
      </c>
      <c r="W954" t="str">
        <f>PROPER(TEXT(A954,"mmmm"))</f>
        <v>Noviembre</v>
      </c>
      <c r="X954" t="str">
        <f>PROPER(TEXT(A954,"dddd"))</f>
        <v>Miércoles</v>
      </c>
      <c r="Y954" t="str" cm="1">
        <f t="array" ref="Y954">_xlfn.IFS(R954&gt;10,"Excelente",R954&gt;=5,"Bueno",R954&gt;=2,"Débil",R954&lt;2,"Deficiente")</f>
        <v>Excelente</v>
      </c>
      <c r="Z954" t="str">
        <f>IF(AND(R954&lt;2,Q954&gt;=100),"Revisar","OK")</f>
        <v>OK</v>
      </c>
      <c r="AA954" s="55">
        <f>_xlfn.XLOOKUP(C954,'Preguntas de negocio'!$C$114:$C$119,'Preguntas de negocio'!$D$114:$D$119,0)</f>
        <v>4.5</v>
      </c>
      <c r="AB954" s="55">
        <f>VLOOKUP(C954,'Preguntas de negocio'!$C$121:$D$127,2,FALSE)</f>
        <v>0.35</v>
      </c>
    </row>
    <row r="955" spans="1:28" x14ac:dyDescent="0.3">
      <c r="A955" s="1">
        <v>45844</v>
      </c>
      <c r="B955" s="2" t="s">
        <v>2637</v>
      </c>
      <c r="C955" s="2" t="s">
        <v>2515</v>
      </c>
      <c r="D955" s="2" t="s">
        <v>2528</v>
      </c>
      <c r="E955" s="2" t="s">
        <v>2517</v>
      </c>
      <c r="F955" s="3">
        <v>150758</v>
      </c>
      <c r="G955" s="3">
        <v>4211</v>
      </c>
      <c r="H955" s="3">
        <v>4231</v>
      </c>
      <c r="I955" s="4">
        <v>5305.71</v>
      </c>
      <c r="J955" s="4">
        <v>50159.19</v>
      </c>
      <c r="K955" s="3">
        <v>274</v>
      </c>
      <c r="L955" s="2" t="s">
        <v>2536</v>
      </c>
      <c r="M955" s="2" t="s">
        <v>2537</v>
      </c>
      <c r="N955" s="8">
        <f>IFERROR(G955/F955,0)</f>
        <v>2.7932182703405459E-2</v>
      </c>
      <c r="O955" s="8">
        <f>IFERROR(H955/G955,0)</f>
        <v>1.0047494656851104</v>
      </c>
      <c r="P955" s="4">
        <f>IFERROR(I955/G955,0)</f>
        <v>1.2599643790073616</v>
      </c>
      <c r="Q955" s="4">
        <f>IFERROR(I955/H955,0)</f>
        <v>1.2540085086268022</v>
      </c>
      <c r="R955" s="12">
        <f>IFERROR(J955/I955,0)</f>
        <v>9.453812967538747</v>
      </c>
      <c r="S955" s="7">
        <f>Tabla_nuevas_columnas[[#This Row],[ROAS]]</f>
        <v>9.453812967538747</v>
      </c>
      <c r="T955" t="str">
        <f>_xlfn.CONCAT(C955,"-",D955)</f>
        <v>Email-España</v>
      </c>
      <c r="U955">
        <f>YEAR(A955)</f>
        <v>2025</v>
      </c>
      <c r="V955">
        <f>MONTH(A955)</f>
        <v>7</v>
      </c>
      <c r="W955" t="str">
        <f>PROPER(TEXT(A955,"mmmm"))</f>
        <v>Julio</v>
      </c>
      <c r="X955" t="str">
        <f>PROPER(TEXT(A955,"dddd"))</f>
        <v>Domingo</v>
      </c>
      <c r="Y955" t="str" cm="1">
        <f t="array" ref="Y955">_xlfn.IFS(R955&gt;10,"Excelente",R955&gt;=5,"Bueno",R955&gt;=2,"Débil",R955&lt;2,"Deficiente")</f>
        <v>Bueno</v>
      </c>
      <c r="Z955" t="str">
        <f>IF(AND(R955&lt;2,Q955&gt;=100),"Revisar","OK")</f>
        <v>OK</v>
      </c>
      <c r="AA955" s="55">
        <f>_xlfn.XLOOKUP(C955,'Preguntas de negocio'!$C$114:$C$119,'Preguntas de negocio'!$D$114:$D$119,0)</f>
        <v>5.5</v>
      </c>
      <c r="AB955" s="55">
        <f>VLOOKUP(C955,'Preguntas de negocio'!$C$121:$D$127,2,FALSE)</f>
        <v>0.65</v>
      </c>
    </row>
    <row r="956" spans="1:28" x14ac:dyDescent="0.3">
      <c r="A956" s="1">
        <v>45744</v>
      </c>
      <c r="B956" s="2" t="s">
        <v>2631</v>
      </c>
      <c r="C956" s="2" t="s">
        <v>2543</v>
      </c>
      <c r="D956" s="2" t="s">
        <v>2522</v>
      </c>
      <c r="E956" s="2" t="s">
        <v>2529</v>
      </c>
      <c r="F956" s="3">
        <v>3951</v>
      </c>
      <c r="G956" s="3">
        <v>260</v>
      </c>
      <c r="H956" s="3">
        <v>24</v>
      </c>
      <c r="I956" s="4">
        <v>151.44999999999999</v>
      </c>
      <c r="J956" s="4">
        <v>4153.43</v>
      </c>
      <c r="K956" s="3">
        <v>18</v>
      </c>
      <c r="L956" s="2" t="s">
        <v>2523</v>
      </c>
      <c r="M956" s="2" t="s">
        <v>2526</v>
      </c>
      <c r="N956" s="8">
        <f>IFERROR(G956/F956,0)</f>
        <v>6.5806125031637561E-2</v>
      </c>
      <c r="O956" s="8">
        <f>IFERROR(H956/G956,0)</f>
        <v>9.2307692307692313E-2</v>
      </c>
      <c r="P956" s="4">
        <f>IFERROR(I956/G956,0)</f>
        <v>0.58249999999999991</v>
      </c>
      <c r="Q956" s="4">
        <f>IFERROR(I956/H956,0)</f>
        <v>6.3104166666666659</v>
      </c>
      <c r="R956" s="12">
        <f>IFERROR(J956/I956,0)</f>
        <v>27.424430505117204</v>
      </c>
      <c r="S956" s="7">
        <f>Tabla_nuevas_columnas[[#This Row],[ROAS]]</f>
        <v>27.424430505117204</v>
      </c>
      <c r="T956" t="str">
        <f>_xlfn.CONCAT(C956,"-",D956)</f>
        <v>Organic Social-Italia</v>
      </c>
      <c r="U956">
        <f>YEAR(A956)</f>
        <v>2025</v>
      </c>
      <c r="V956">
        <f>MONTH(A956)</f>
        <v>3</v>
      </c>
      <c r="W956" t="str">
        <f>PROPER(TEXT(A956,"mmmm"))</f>
        <v>Marzo</v>
      </c>
      <c r="X956" t="str">
        <f>PROPER(TEXT(A956,"dddd"))</f>
        <v>Viernes</v>
      </c>
      <c r="Y956" t="str" cm="1">
        <f t="array" ref="Y956">_xlfn.IFS(R956&gt;10,"Excelente",R956&gt;=5,"Bueno",R956&gt;=2,"Débil",R956&lt;2,"Deficiente")</f>
        <v>Excelente</v>
      </c>
      <c r="Z956" t="str">
        <f>IF(AND(R956&lt;2,Q956&gt;=100),"Revisar","OK")</f>
        <v>OK</v>
      </c>
      <c r="AA956" s="55">
        <f>_xlfn.XLOOKUP(C956,'Preguntas de negocio'!$C$114:$C$119,'Preguntas de negocio'!$D$114:$D$119,0)</f>
        <v>4</v>
      </c>
      <c r="AB956" s="55">
        <f>VLOOKUP(C956,'Preguntas de negocio'!$C$121:$D$127,2,FALSE)</f>
        <v>0.95</v>
      </c>
    </row>
    <row r="957" spans="1:28" x14ac:dyDescent="0.3">
      <c r="A957" s="1">
        <v>45861</v>
      </c>
      <c r="B957" s="2" t="s">
        <v>2635</v>
      </c>
      <c r="C957" s="2" t="s">
        <v>2541</v>
      </c>
      <c r="D957" s="2" t="s">
        <v>2528</v>
      </c>
      <c r="E957" s="2" t="s">
        <v>2517</v>
      </c>
      <c r="F957" s="3">
        <v>107742</v>
      </c>
      <c r="G957" s="3">
        <v>6360</v>
      </c>
      <c r="H957" s="3">
        <v>705</v>
      </c>
      <c r="I957" s="4">
        <v>11310.42</v>
      </c>
      <c r="J957" s="4">
        <v>93089.67</v>
      </c>
      <c r="K957" s="3">
        <v>620</v>
      </c>
      <c r="L957" s="2" t="s">
        <v>2539</v>
      </c>
      <c r="M957" s="2" t="s">
        <v>2546</v>
      </c>
      <c r="N957" s="8">
        <f>IFERROR(G957/F957,0)</f>
        <v>5.9029904772512111E-2</v>
      </c>
      <c r="O957" s="8">
        <f>IFERROR(H957/G957,0)</f>
        <v>0.11084905660377359</v>
      </c>
      <c r="P957" s="4">
        <f>IFERROR(I957/G957,0)</f>
        <v>1.7783679245283019</v>
      </c>
      <c r="Q957" s="4">
        <f>IFERROR(I957/H957,0)</f>
        <v>16.043148936170212</v>
      </c>
      <c r="R957" s="12">
        <f>IFERROR(J957/I957,0)</f>
        <v>8.2304344135761536</v>
      </c>
      <c r="S957" s="7">
        <f>Tabla_nuevas_columnas[[#This Row],[ROAS]]</f>
        <v>8.2304344135761536</v>
      </c>
      <c r="T957" t="str">
        <f>_xlfn.CONCAT(C957,"-",D957)</f>
        <v>Display-España</v>
      </c>
      <c r="U957">
        <f>YEAR(A957)</f>
        <v>2025</v>
      </c>
      <c r="V957">
        <f>MONTH(A957)</f>
        <v>7</v>
      </c>
      <c r="W957" t="str">
        <f>PROPER(TEXT(A957,"mmmm"))</f>
        <v>Julio</v>
      </c>
      <c r="X957" t="str">
        <f>PROPER(TEXT(A957,"dddd"))</f>
        <v>Miércoles</v>
      </c>
      <c r="Y957" t="str" cm="1">
        <f t="array" ref="Y957">_xlfn.IFS(R957&gt;10,"Excelente",R957&gt;=5,"Bueno",R957&gt;=2,"Débil",R957&lt;2,"Deficiente")</f>
        <v>Bueno</v>
      </c>
      <c r="Z957" t="str">
        <f>IF(AND(R957&lt;2,Q957&gt;=100),"Revisar","OK")</f>
        <v>OK</v>
      </c>
      <c r="AA957" s="55">
        <f>_xlfn.XLOOKUP(C957,'Preguntas de negocio'!$C$114:$C$119,'Preguntas de negocio'!$D$114:$D$119,0)</f>
        <v>5</v>
      </c>
      <c r="AB957" s="55">
        <f>VLOOKUP(C957,'Preguntas de negocio'!$C$121:$D$127,2,FALSE)</f>
        <v>0.5</v>
      </c>
    </row>
    <row r="958" spans="1:28" x14ac:dyDescent="0.3">
      <c r="A958" s="1">
        <v>46015</v>
      </c>
      <c r="B958" s="2" t="s">
        <v>2640</v>
      </c>
      <c r="C958" s="2" t="s">
        <v>2541</v>
      </c>
      <c r="D958" s="2" t="s">
        <v>2528</v>
      </c>
      <c r="E958" s="2" t="s">
        <v>2529</v>
      </c>
      <c r="F958" s="3">
        <v>132835</v>
      </c>
      <c r="G958" s="3">
        <v>1233</v>
      </c>
      <c r="H958" s="3">
        <v>82</v>
      </c>
      <c r="I958" s="4">
        <v>245.2</v>
      </c>
      <c r="J958" s="4">
        <v>16361.65</v>
      </c>
      <c r="K958" s="3">
        <v>43</v>
      </c>
      <c r="L958" s="2" t="s">
        <v>2539</v>
      </c>
      <c r="M958" s="2" t="s">
        <v>2519</v>
      </c>
      <c r="N958" s="8">
        <f>IFERROR(G958/F958,0)</f>
        <v>9.2821921933225436E-3</v>
      </c>
      <c r="O958" s="8">
        <f>IFERROR(H958/G958,0)</f>
        <v>6.6504460665044604E-2</v>
      </c>
      <c r="P958" s="4">
        <f>IFERROR(I958/G958,0)</f>
        <v>0.19886455798864558</v>
      </c>
      <c r="Q958" s="4">
        <f>IFERROR(I958/H958,0)</f>
        <v>2.9902439024390244</v>
      </c>
      <c r="R958" s="12">
        <f>IFERROR(J958/I958,0)</f>
        <v>66.727773246329534</v>
      </c>
      <c r="S958" s="7">
        <f>Tabla_nuevas_columnas[[#This Row],[ROAS]]</f>
        <v>66.727773246329534</v>
      </c>
      <c r="T958" t="str">
        <f>_xlfn.CONCAT(C958,"-",D958)</f>
        <v>Display-España</v>
      </c>
      <c r="U958">
        <f>YEAR(A958)</f>
        <v>2025</v>
      </c>
      <c r="V958">
        <f>MONTH(A958)</f>
        <v>12</v>
      </c>
      <c r="W958" t="str">
        <f>PROPER(TEXT(A958,"mmmm"))</f>
        <v>Diciembre</v>
      </c>
      <c r="X958" t="str">
        <f>PROPER(TEXT(A958,"dddd"))</f>
        <v>Miércoles</v>
      </c>
      <c r="Y958" t="str" cm="1">
        <f t="array" ref="Y958">_xlfn.IFS(R958&gt;10,"Excelente",R958&gt;=5,"Bueno",R958&gt;=2,"Débil",R958&lt;2,"Deficiente")</f>
        <v>Excelente</v>
      </c>
      <c r="Z958" t="str">
        <f>IF(AND(R958&lt;2,Q958&gt;=100),"Revisar","OK")</f>
        <v>OK</v>
      </c>
      <c r="AA958" s="55">
        <f>_xlfn.XLOOKUP(C958,'Preguntas de negocio'!$C$114:$C$119,'Preguntas de negocio'!$D$114:$D$119,0)</f>
        <v>5</v>
      </c>
      <c r="AB958" s="55">
        <f>VLOOKUP(C958,'Preguntas de negocio'!$C$121:$D$127,2,FALSE)</f>
        <v>0.5</v>
      </c>
    </row>
    <row r="959" spans="1:28" x14ac:dyDescent="0.3">
      <c r="A959" s="1">
        <v>45820</v>
      </c>
      <c r="B959" s="2" t="s">
        <v>2635</v>
      </c>
      <c r="C959" s="2" t="s">
        <v>2515</v>
      </c>
      <c r="D959" s="2" t="s">
        <v>2516</v>
      </c>
      <c r="E959" s="2" t="s">
        <v>2517</v>
      </c>
      <c r="F959" s="3">
        <v>150871</v>
      </c>
      <c r="G959" s="3">
        <v>7101</v>
      </c>
      <c r="H959" s="3">
        <v>791</v>
      </c>
      <c r="I959" s="4">
        <v>2403.79</v>
      </c>
      <c r="J959" s="4">
        <v>104718.28</v>
      </c>
      <c r="K959" s="3">
        <v>424</v>
      </c>
      <c r="L959" s="2" t="s">
        <v>2536</v>
      </c>
      <c r="M959" s="2" t="s">
        <v>2519</v>
      </c>
      <c r="N959" s="8">
        <f>IFERROR(G959/F959,0)</f>
        <v>4.7066699365683265E-2</v>
      </c>
      <c r="O959" s="8">
        <f>IFERROR(H959/G959,0)</f>
        <v>0.11139276158287566</v>
      </c>
      <c r="P959" s="4">
        <f>IFERROR(I959/G959,0)</f>
        <v>0.33851429376144204</v>
      </c>
      <c r="Q959" s="4">
        <f>IFERROR(I959/H959,0)</f>
        <v>3.0389254108723134</v>
      </c>
      <c r="R959" s="12">
        <f>IFERROR(J959/I959,0)</f>
        <v>43.563822130884979</v>
      </c>
      <c r="S959" s="7">
        <f>Tabla_nuevas_columnas[[#This Row],[ROAS]]</f>
        <v>43.563822130884979</v>
      </c>
      <c r="T959" t="str">
        <f>_xlfn.CONCAT(C959,"-",D959)</f>
        <v>Email-México</v>
      </c>
      <c r="U959">
        <f>YEAR(A959)</f>
        <v>2025</v>
      </c>
      <c r="V959">
        <f>MONTH(A959)</f>
        <v>6</v>
      </c>
      <c r="W959" t="str">
        <f>PROPER(TEXT(A959,"mmmm"))</f>
        <v>Junio</v>
      </c>
      <c r="X959" t="str">
        <f>PROPER(TEXT(A959,"dddd"))</f>
        <v>Jueves</v>
      </c>
      <c r="Y959" t="str" cm="1">
        <f t="array" ref="Y959">_xlfn.IFS(R959&gt;10,"Excelente",R959&gt;=5,"Bueno",R959&gt;=2,"Débil",R959&lt;2,"Deficiente")</f>
        <v>Excelente</v>
      </c>
      <c r="Z959" t="str">
        <f>IF(AND(R959&lt;2,Q959&gt;=100),"Revisar","OK")</f>
        <v>OK</v>
      </c>
      <c r="AA959" s="55">
        <f>_xlfn.XLOOKUP(C959,'Preguntas de negocio'!$C$114:$C$119,'Preguntas de negocio'!$D$114:$D$119,0)</f>
        <v>5.5</v>
      </c>
      <c r="AB959" s="55">
        <f>VLOOKUP(C959,'Preguntas de negocio'!$C$121:$D$127,2,FALSE)</f>
        <v>0.65</v>
      </c>
    </row>
    <row r="960" spans="1:28" x14ac:dyDescent="0.3">
      <c r="A960" s="1">
        <v>46001</v>
      </c>
      <c r="B960" s="2" t="s">
        <v>2635</v>
      </c>
      <c r="C960" s="2" t="s">
        <v>2521</v>
      </c>
      <c r="D960" s="2" t="s">
        <v>2528</v>
      </c>
      <c r="E960" s="2" t="s">
        <v>2517</v>
      </c>
      <c r="F960" s="3">
        <v>2564</v>
      </c>
      <c r="G960" s="3">
        <v>66</v>
      </c>
      <c r="H960" s="3">
        <v>4</v>
      </c>
      <c r="I960" s="4">
        <v>88.3</v>
      </c>
      <c r="J960" s="4">
        <v>193.69</v>
      </c>
      <c r="K960" s="3">
        <v>2</v>
      </c>
      <c r="L960" s="2" t="s">
        <v>2536</v>
      </c>
      <c r="M960" s="2" t="s">
        <v>2526</v>
      </c>
      <c r="N960" s="8">
        <f>IFERROR(G960/F960,0)</f>
        <v>2.5741029641185648E-2</v>
      </c>
      <c r="O960" s="8">
        <f>IFERROR(H960/G960,0)</f>
        <v>6.0606060606060608E-2</v>
      </c>
      <c r="P960" s="4">
        <f>IFERROR(I960/G960,0)</f>
        <v>1.3378787878787879</v>
      </c>
      <c r="Q960" s="4">
        <f>IFERROR(I960/H960,0)</f>
        <v>22.074999999999999</v>
      </c>
      <c r="R960" s="12">
        <f>IFERROR(J960/I960,0)</f>
        <v>2.1935447338618346</v>
      </c>
      <c r="S960" s="7">
        <f>Tabla_nuevas_columnas[[#This Row],[ROAS]]</f>
        <v>2.1935447338618346</v>
      </c>
      <c r="T960" t="str">
        <f>_xlfn.CONCAT(C960,"-",D960)</f>
        <v>Paid Search-España</v>
      </c>
      <c r="U960">
        <f>YEAR(A960)</f>
        <v>2025</v>
      </c>
      <c r="V960">
        <f>MONTH(A960)</f>
        <v>12</v>
      </c>
      <c r="W960" t="str">
        <f>PROPER(TEXT(A960,"mmmm"))</f>
        <v>Diciembre</v>
      </c>
      <c r="X960" t="str">
        <f>PROPER(TEXT(A960,"dddd"))</f>
        <v>Miércoles</v>
      </c>
      <c r="Y960" t="str" cm="1">
        <f t="array" ref="Y960">_xlfn.IFS(R960&gt;10,"Excelente",R960&gt;=5,"Bueno",R960&gt;=2,"Débil",R960&lt;2,"Deficiente")</f>
        <v>Débil</v>
      </c>
      <c r="Z960" t="str">
        <f>IF(AND(R960&lt;2,Q960&gt;=100),"Revisar","OK")</f>
        <v>OK</v>
      </c>
      <c r="AA960" s="55">
        <f>_xlfn.XLOOKUP(C960,'Preguntas de negocio'!$C$114:$C$119,'Preguntas de negocio'!$D$114:$D$119,0)</f>
        <v>5</v>
      </c>
      <c r="AB960" s="55">
        <f>VLOOKUP(C960,'Preguntas de negocio'!$C$121:$D$127,2,FALSE)</f>
        <v>1.1000000000000001</v>
      </c>
    </row>
    <row r="961" spans="1:28" x14ac:dyDescent="0.3">
      <c r="A961" s="1">
        <v>45796</v>
      </c>
      <c r="B961" s="2" t="s">
        <v>2632</v>
      </c>
      <c r="C961" s="2" t="s">
        <v>2521</v>
      </c>
      <c r="D961" s="2" t="s">
        <v>2528</v>
      </c>
      <c r="E961" s="2" t="s">
        <v>2529</v>
      </c>
      <c r="F961" s="3">
        <v>79569</v>
      </c>
      <c r="G961" s="3">
        <v>1264</v>
      </c>
      <c r="H961" s="3">
        <v>10</v>
      </c>
      <c r="I961" s="4">
        <v>1490.3</v>
      </c>
      <c r="J961" s="4">
        <v>1901.6</v>
      </c>
      <c r="K961" s="3">
        <v>5</v>
      </c>
      <c r="L961" s="2" t="s">
        <v>2539</v>
      </c>
      <c r="M961" s="2" t="s">
        <v>2537</v>
      </c>
      <c r="N961" s="8">
        <f>IFERROR(G961/F961,0)</f>
        <v>1.5885583581545577E-2</v>
      </c>
      <c r="O961" s="8">
        <f>IFERROR(H961/G961,0)</f>
        <v>7.9113924050632917E-3</v>
      </c>
      <c r="P961" s="4">
        <f>IFERROR(I961/G961,0)</f>
        <v>1.1790348101265822</v>
      </c>
      <c r="Q961" s="4">
        <f>IFERROR(I961/H961,0)</f>
        <v>149.03</v>
      </c>
      <c r="R961" s="12">
        <f>IFERROR(J961/I961,0)</f>
        <v>1.2759847010668992</v>
      </c>
      <c r="S961" s="7">
        <f>Tabla_nuevas_columnas[[#This Row],[ROAS]]</f>
        <v>1.2759847010668992</v>
      </c>
      <c r="T961" t="str">
        <f>_xlfn.CONCAT(C961,"-",D961)</f>
        <v>Paid Search-España</v>
      </c>
      <c r="U961">
        <f>YEAR(A961)</f>
        <v>2025</v>
      </c>
      <c r="V961">
        <f>MONTH(A961)</f>
        <v>5</v>
      </c>
      <c r="W961" t="str">
        <f>PROPER(TEXT(A961,"mmmm"))</f>
        <v>Mayo</v>
      </c>
      <c r="X961" t="str">
        <f>PROPER(TEXT(A961,"dddd"))</f>
        <v>Lunes</v>
      </c>
      <c r="Y961" t="str" cm="1">
        <f t="array" ref="Y961">_xlfn.IFS(R961&gt;10,"Excelente",R961&gt;=5,"Bueno",R961&gt;=2,"Débil",R961&lt;2,"Deficiente")</f>
        <v>Deficiente</v>
      </c>
      <c r="Z961" t="str">
        <f>IF(AND(R961&lt;2,Q961&gt;=100),"Revisar","OK")</f>
        <v>Revisar</v>
      </c>
      <c r="AA961" s="55">
        <f>_xlfn.XLOOKUP(C961,'Preguntas de negocio'!$C$114:$C$119,'Preguntas de negocio'!$D$114:$D$119,0)</f>
        <v>5</v>
      </c>
      <c r="AB961" s="55">
        <f>VLOOKUP(C961,'Preguntas de negocio'!$C$121:$D$127,2,FALSE)</f>
        <v>1.1000000000000001</v>
      </c>
    </row>
    <row r="962" spans="1:28" x14ac:dyDescent="0.3">
      <c r="A962" s="1">
        <v>45840</v>
      </c>
      <c r="B962" s="2" t="s">
        <v>2621</v>
      </c>
      <c r="C962" s="2" t="s">
        <v>2541</v>
      </c>
      <c r="D962" s="2" t="s">
        <v>2516</v>
      </c>
      <c r="E962" s="2" t="s">
        <v>2517</v>
      </c>
      <c r="F962" s="3">
        <v>104766</v>
      </c>
      <c r="G962" s="3">
        <v>633</v>
      </c>
      <c r="H962" s="3">
        <v>18</v>
      </c>
      <c r="I962" s="4">
        <v>1035.1099999999999</v>
      </c>
      <c r="J962" s="4">
        <v>2385.5</v>
      </c>
      <c r="K962" s="3">
        <v>15</v>
      </c>
      <c r="L962" s="2" t="s">
        <v>2539</v>
      </c>
      <c r="M962" s="2" t="s">
        <v>2537</v>
      </c>
      <c r="N962" s="8">
        <f>IFERROR(G962/F962,0)</f>
        <v>6.042036538571674E-3</v>
      </c>
      <c r="O962" s="8">
        <f>IFERROR(H962/G962,0)</f>
        <v>2.843601895734597E-2</v>
      </c>
      <c r="P962" s="4">
        <f>IFERROR(I962/G962,0)</f>
        <v>1.6352448657187992</v>
      </c>
      <c r="Q962" s="4">
        <f>IFERROR(I962/H962,0)</f>
        <v>57.506111111111103</v>
      </c>
      <c r="R962" s="12">
        <f>IFERROR(J962/I962,0)</f>
        <v>2.3045859860304705</v>
      </c>
      <c r="S962" s="7">
        <f>Tabla_nuevas_columnas[[#This Row],[ROAS]]</f>
        <v>2.3045859860304705</v>
      </c>
      <c r="T962" t="str">
        <f>_xlfn.CONCAT(C962,"-",D962)</f>
        <v>Display-México</v>
      </c>
      <c r="U962">
        <f>YEAR(A962)</f>
        <v>2025</v>
      </c>
      <c r="V962">
        <f>MONTH(A962)</f>
        <v>7</v>
      </c>
      <c r="W962" t="str">
        <f>PROPER(TEXT(A962,"mmmm"))</f>
        <v>Julio</v>
      </c>
      <c r="X962" t="str">
        <f>PROPER(TEXT(A962,"dddd"))</f>
        <v>Miércoles</v>
      </c>
      <c r="Y962" t="str" cm="1">
        <f t="array" ref="Y962">_xlfn.IFS(R962&gt;10,"Excelente",R962&gt;=5,"Bueno",R962&gt;=2,"Débil",R962&lt;2,"Deficiente")</f>
        <v>Débil</v>
      </c>
      <c r="Z962" t="str">
        <f>IF(AND(R962&lt;2,Q962&gt;=100),"Revisar","OK")</f>
        <v>OK</v>
      </c>
      <c r="AA962" s="55">
        <f>_xlfn.XLOOKUP(C962,'Preguntas de negocio'!$C$114:$C$119,'Preguntas de negocio'!$D$114:$D$119,0)</f>
        <v>5</v>
      </c>
      <c r="AB962" s="55">
        <f>VLOOKUP(C962,'Preguntas de negocio'!$C$121:$D$127,2,FALSE)</f>
        <v>0.5</v>
      </c>
    </row>
    <row r="963" spans="1:28" x14ac:dyDescent="0.3">
      <c r="A963" s="1">
        <v>45744</v>
      </c>
      <c r="B963" s="2" t="s">
        <v>2626</v>
      </c>
      <c r="C963" s="2" t="s">
        <v>2543</v>
      </c>
      <c r="D963" s="2" t="s">
        <v>2525</v>
      </c>
      <c r="E963" s="2" t="s">
        <v>2517</v>
      </c>
      <c r="F963" s="3">
        <v>66823</v>
      </c>
      <c r="G963" s="3">
        <v>582</v>
      </c>
      <c r="H963" s="3">
        <v>68</v>
      </c>
      <c r="I963" s="4">
        <v>1021.65</v>
      </c>
      <c r="J963" s="4">
        <v>1059.55</v>
      </c>
      <c r="K963" s="3">
        <v>48</v>
      </c>
      <c r="L963" s="2" t="s">
        <v>2523</v>
      </c>
      <c r="M963" s="2" t="s">
        <v>2526</v>
      </c>
      <c r="N963" s="8">
        <f>IFERROR(G963/F963,0)</f>
        <v>8.7095760441764057E-3</v>
      </c>
      <c r="O963" s="8">
        <f>IFERROR(H963/G963,0)</f>
        <v>0.11683848797250859</v>
      </c>
      <c r="P963" s="4">
        <f>IFERROR(I963/G963,0)</f>
        <v>1.7554123711340206</v>
      </c>
      <c r="Q963" s="4">
        <f>IFERROR(I963/H963,0)</f>
        <v>15.024264705882352</v>
      </c>
      <c r="R963" s="12">
        <f>IFERROR(J963/I963,0)</f>
        <v>1.0370968531297411</v>
      </c>
      <c r="S963" s="7">
        <f>Tabla_nuevas_columnas[[#This Row],[ROAS]]</f>
        <v>1.0370968531297411</v>
      </c>
      <c r="T963" t="str">
        <f>_xlfn.CONCAT(C963,"-",D963)</f>
        <v>Organic Social-Francia</v>
      </c>
      <c r="U963">
        <f>YEAR(A963)</f>
        <v>2025</v>
      </c>
      <c r="V963">
        <f>MONTH(A963)</f>
        <v>3</v>
      </c>
      <c r="W963" t="str">
        <f>PROPER(TEXT(A963,"mmmm"))</f>
        <v>Marzo</v>
      </c>
      <c r="X963" t="str">
        <f>PROPER(TEXT(A963,"dddd"))</f>
        <v>Viernes</v>
      </c>
      <c r="Y963" t="str" cm="1">
        <f t="array" ref="Y963">_xlfn.IFS(R963&gt;10,"Excelente",R963&gt;=5,"Bueno",R963&gt;=2,"Débil",R963&lt;2,"Deficiente")</f>
        <v>Deficiente</v>
      </c>
      <c r="Z963" t="str">
        <f>IF(AND(R963&lt;2,Q963&gt;=100),"Revisar","OK")</f>
        <v>OK</v>
      </c>
      <c r="AA963" s="55">
        <f>_xlfn.XLOOKUP(C963,'Preguntas de negocio'!$C$114:$C$119,'Preguntas de negocio'!$D$114:$D$119,0)</f>
        <v>4</v>
      </c>
      <c r="AB963" s="55">
        <f>VLOOKUP(C963,'Preguntas de negocio'!$C$121:$D$127,2,FALSE)</f>
        <v>0.95</v>
      </c>
    </row>
    <row r="964" spans="1:28" x14ac:dyDescent="0.3">
      <c r="A964" s="1">
        <v>45856</v>
      </c>
      <c r="B964" s="2" t="s">
        <v>2644</v>
      </c>
      <c r="C964" s="2" t="s">
        <v>2527</v>
      </c>
      <c r="D964" s="2" t="s">
        <v>2531</v>
      </c>
      <c r="E964" s="2" t="s">
        <v>2517</v>
      </c>
      <c r="F964" s="3">
        <v>128897</v>
      </c>
      <c r="G964" s="3">
        <v>8402</v>
      </c>
      <c r="H964" s="3">
        <v>326</v>
      </c>
      <c r="I964" s="4">
        <v>2532.1799999999998</v>
      </c>
      <c r="J964" s="4">
        <v>33859.339999999997</v>
      </c>
      <c r="K964" s="3">
        <v>236</v>
      </c>
      <c r="L964" s="2" t="s">
        <v>2518</v>
      </c>
      <c r="M964" s="2" t="s">
        <v>2524</v>
      </c>
      <c r="N964" s="8">
        <f>IFERROR(G964/F964,0)</f>
        <v>6.5183828948695469E-2</v>
      </c>
      <c r="O964" s="8">
        <f>IFERROR(H964/G964,0)</f>
        <v>3.8800285646274697E-2</v>
      </c>
      <c r="P964" s="4">
        <f>IFERROR(I964/G964,0)</f>
        <v>0.30137824327541057</v>
      </c>
      <c r="Q964" s="4">
        <f>IFERROR(I964/H964,0)</f>
        <v>7.7674233128834347</v>
      </c>
      <c r="R964" s="12">
        <f>IFERROR(J964/I964,0)</f>
        <v>13.371616551745927</v>
      </c>
      <c r="S964" s="7">
        <f>Tabla_nuevas_columnas[[#This Row],[ROAS]]</f>
        <v>13.371616551745927</v>
      </c>
      <c r="T964" t="str">
        <f>_xlfn.CONCAT(C964,"-",D964)</f>
        <v>Affiliate-Portugal</v>
      </c>
      <c r="U964">
        <f>YEAR(A964)</f>
        <v>2025</v>
      </c>
      <c r="V964">
        <f>MONTH(A964)</f>
        <v>7</v>
      </c>
      <c r="W964" t="str">
        <f>PROPER(TEXT(A964,"mmmm"))</f>
        <v>Julio</v>
      </c>
      <c r="X964" t="str">
        <f>PROPER(TEXT(A964,"dddd"))</f>
        <v>Viernes</v>
      </c>
      <c r="Y964" t="str" cm="1">
        <f t="array" ref="Y964">_xlfn.IFS(R964&gt;10,"Excelente",R964&gt;=5,"Bueno",R964&gt;=2,"Débil",R964&lt;2,"Deficiente")</f>
        <v>Excelente</v>
      </c>
      <c r="Z964" t="str">
        <f>IF(AND(R964&lt;2,Q964&gt;=100),"Revisar","OK")</f>
        <v>OK</v>
      </c>
      <c r="AA964" s="55">
        <f>_xlfn.XLOOKUP(C964,'Preguntas de negocio'!$C$114:$C$119,'Preguntas de negocio'!$D$114:$D$119,0)</f>
        <v>4.5</v>
      </c>
      <c r="AB964" s="55">
        <f>VLOOKUP(C964,'Preguntas de negocio'!$C$121:$D$127,2,FALSE)</f>
        <v>0.35</v>
      </c>
    </row>
    <row r="965" spans="1:28" x14ac:dyDescent="0.3">
      <c r="A965" s="1">
        <v>45982</v>
      </c>
      <c r="B965" s="2" t="s">
        <v>2627</v>
      </c>
      <c r="C965" s="2" t="s">
        <v>2521</v>
      </c>
      <c r="D965" s="2" t="s">
        <v>2528</v>
      </c>
      <c r="E965" s="2" t="s">
        <v>2529</v>
      </c>
      <c r="F965" s="3">
        <v>15348</v>
      </c>
      <c r="G965" s="3">
        <v>330</v>
      </c>
      <c r="H965" s="3">
        <v>20</v>
      </c>
      <c r="I965" s="4">
        <v>270.88</v>
      </c>
      <c r="J965" s="4">
        <v>2997.12</v>
      </c>
      <c r="K965" s="3">
        <v>11</v>
      </c>
      <c r="L965" s="2" t="s">
        <v>2518</v>
      </c>
      <c r="M965" s="2" t="s">
        <v>2526</v>
      </c>
      <c r="N965" s="8">
        <f>IFERROR(G965/F965,0)</f>
        <v>2.150117279124316E-2</v>
      </c>
      <c r="O965" s="8">
        <f>IFERROR(H965/G965,0)</f>
        <v>6.0606060606060608E-2</v>
      </c>
      <c r="P965" s="4">
        <f>IFERROR(I965/G965,0)</f>
        <v>0.82084848484848483</v>
      </c>
      <c r="Q965" s="4">
        <f>IFERROR(I965/H965,0)</f>
        <v>13.544</v>
      </c>
      <c r="R965" s="12">
        <f>IFERROR(J965/I965,0)</f>
        <v>11.064382752510337</v>
      </c>
      <c r="S965" s="7">
        <f>Tabla_nuevas_columnas[[#This Row],[ROAS]]</f>
        <v>11.064382752510337</v>
      </c>
      <c r="T965" t="str">
        <f>_xlfn.CONCAT(C965,"-",D965)</f>
        <v>Paid Search-España</v>
      </c>
      <c r="U965">
        <f>YEAR(A965)</f>
        <v>2025</v>
      </c>
      <c r="V965">
        <f>MONTH(A965)</f>
        <v>11</v>
      </c>
      <c r="W965" t="str">
        <f>PROPER(TEXT(A965,"mmmm"))</f>
        <v>Noviembre</v>
      </c>
      <c r="X965" t="str">
        <f>PROPER(TEXT(A965,"dddd"))</f>
        <v>Viernes</v>
      </c>
      <c r="Y965" t="str" cm="1">
        <f t="array" ref="Y965">_xlfn.IFS(R965&gt;10,"Excelente",R965&gt;=5,"Bueno",R965&gt;=2,"Débil",R965&lt;2,"Deficiente")</f>
        <v>Excelente</v>
      </c>
      <c r="Z965" t="str">
        <f>IF(AND(R965&lt;2,Q965&gt;=100),"Revisar","OK")</f>
        <v>OK</v>
      </c>
      <c r="AA965" s="55">
        <f>_xlfn.XLOOKUP(C965,'Preguntas de negocio'!$C$114:$C$119,'Preguntas de negocio'!$D$114:$D$119,0)</f>
        <v>5</v>
      </c>
      <c r="AB965" s="55">
        <f>VLOOKUP(C965,'Preguntas de negocio'!$C$121:$D$127,2,FALSE)</f>
        <v>1.1000000000000001</v>
      </c>
    </row>
    <row r="966" spans="1:28" x14ac:dyDescent="0.3">
      <c r="A966" s="1">
        <v>45756</v>
      </c>
      <c r="B966" s="2" t="s">
        <v>2634</v>
      </c>
      <c r="C966" s="2" t="s">
        <v>2541</v>
      </c>
      <c r="D966" s="2" t="s">
        <v>2528</v>
      </c>
      <c r="E966" s="2" t="s">
        <v>2529</v>
      </c>
      <c r="F966" s="3">
        <v>160691</v>
      </c>
      <c r="G966" s="3">
        <v>13134</v>
      </c>
      <c r="H966" s="3">
        <v>1464</v>
      </c>
      <c r="I966" s="4">
        <v>26381.86</v>
      </c>
      <c r="J966" s="4">
        <v>272818.65999999997</v>
      </c>
      <c r="K966" s="3">
        <v>1027</v>
      </c>
      <c r="L966" s="2" t="s">
        <v>2518</v>
      </c>
      <c r="M966" s="2" t="s">
        <v>2524</v>
      </c>
      <c r="N966" s="8">
        <f>IFERROR(G966/F966,0)</f>
        <v>8.1734509088872434E-2</v>
      </c>
      <c r="O966" s="8">
        <f>IFERROR(H966/G966,0)</f>
        <v>0.11146642302421197</v>
      </c>
      <c r="P966" s="4">
        <f>IFERROR(I966/G966,0)</f>
        <v>2.0086691030912136</v>
      </c>
      <c r="Q966" s="4">
        <f>IFERROR(I966/H966,0)</f>
        <v>18.020396174863389</v>
      </c>
      <c r="R966" s="12">
        <f>IFERROR(J966/I966,0)</f>
        <v>10.341145772132821</v>
      </c>
      <c r="S966" s="7">
        <f>Tabla_nuevas_columnas[[#This Row],[ROAS]]</f>
        <v>10.341145772132821</v>
      </c>
      <c r="T966" t="str">
        <f>_xlfn.CONCAT(C966,"-",D966)</f>
        <v>Display-España</v>
      </c>
      <c r="U966">
        <f>YEAR(A966)</f>
        <v>2025</v>
      </c>
      <c r="V966">
        <f>MONTH(A966)</f>
        <v>4</v>
      </c>
      <c r="W966" t="str">
        <f>PROPER(TEXT(A966,"mmmm"))</f>
        <v>Abril</v>
      </c>
      <c r="X966" t="str">
        <f>PROPER(TEXT(A966,"dddd"))</f>
        <v>Miércoles</v>
      </c>
      <c r="Y966" t="str" cm="1">
        <f t="array" ref="Y966">_xlfn.IFS(R966&gt;10,"Excelente",R966&gt;=5,"Bueno",R966&gt;=2,"Débil",R966&lt;2,"Deficiente")</f>
        <v>Excelente</v>
      </c>
      <c r="Z966" t="str">
        <f>IF(AND(R966&lt;2,Q966&gt;=100),"Revisar","OK")</f>
        <v>OK</v>
      </c>
      <c r="AA966" s="55">
        <f>_xlfn.XLOOKUP(C966,'Preguntas de negocio'!$C$114:$C$119,'Preguntas de negocio'!$D$114:$D$119,0)</f>
        <v>5</v>
      </c>
      <c r="AB966" s="55">
        <f>VLOOKUP(C966,'Preguntas de negocio'!$C$121:$D$127,2,FALSE)</f>
        <v>0.5</v>
      </c>
    </row>
    <row r="967" spans="1:28" x14ac:dyDescent="0.3">
      <c r="A967" s="1">
        <v>45892</v>
      </c>
      <c r="B967" s="2" t="s">
        <v>2616</v>
      </c>
      <c r="C967" s="2" t="s">
        <v>2533</v>
      </c>
      <c r="D967" s="2" t="s">
        <v>2525</v>
      </c>
      <c r="E967" s="2" t="s">
        <v>2529</v>
      </c>
      <c r="F967" s="3">
        <v>83680</v>
      </c>
      <c r="G967" s="3">
        <v>5220</v>
      </c>
      <c r="H967" s="3">
        <v>498</v>
      </c>
      <c r="I967" s="4">
        <v>4579.9799999999996</v>
      </c>
      <c r="J967" s="4">
        <v>107752.71</v>
      </c>
      <c r="K967" s="3">
        <v>241</v>
      </c>
      <c r="L967" s="2" t="s">
        <v>2523</v>
      </c>
      <c r="M967" s="2" t="s">
        <v>2546</v>
      </c>
      <c r="N967" s="8">
        <f>IFERROR(G967/F967,0)</f>
        <v>6.2380497131931167E-2</v>
      </c>
      <c r="O967" s="8">
        <f>IFERROR(H967/G967,0)</f>
        <v>9.5402298850574718E-2</v>
      </c>
      <c r="P967" s="4">
        <f>IFERROR(I967/G967,0)</f>
        <v>0.87739080459770102</v>
      </c>
      <c r="Q967" s="4">
        <f>IFERROR(I967/H967,0)</f>
        <v>9.1967469879518067</v>
      </c>
      <c r="R967" s="12">
        <f>IFERROR(J967/I967,0)</f>
        <v>23.526895313953339</v>
      </c>
      <c r="S967" s="7">
        <f>Tabla_nuevas_columnas[[#This Row],[ROAS]]</f>
        <v>23.526895313953339</v>
      </c>
      <c r="T967" t="str">
        <f>_xlfn.CONCAT(C967,"-",D967)</f>
        <v>Paid Social-Francia</v>
      </c>
      <c r="U967">
        <f>YEAR(A967)</f>
        <v>2025</v>
      </c>
      <c r="V967">
        <f>MONTH(A967)</f>
        <v>8</v>
      </c>
      <c r="W967" t="str">
        <f>PROPER(TEXT(A967,"mmmm"))</f>
        <v>Agosto</v>
      </c>
      <c r="X967" t="str">
        <f>PROPER(TEXT(A967,"dddd"))</f>
        <v>Sábado</v>
      </c>
      <c r="Y967" t="str" cm="1">
        <f t="array" ref="Y967">_xlfn.IFS(R967&gt;10,"Excelente",R967&gt;=5,"Bueno",R967&gt;=2,"Débil",R967&lt;2,"Deficiente")</f>
        <v>Excelente</v>
      </c>
      <c r="Z967" t="str">
        <f>IF(AND(R967&lt;2,Q967&gt;=100),"Revisar","OK")</f>
        <v>OK</v>
      </c>
      <c r="AA967" s="55">
        <f>_xlfn.XLOOKUP(C967,'Preguntas de negocio'!$C$114:$C$119,'Preguntas de negocio'!$D$114:$D$119,0)</f>
        <v>6</v>
      </c>
      <c r="AB967" s="55">
        <f>VLOOKUP(C967,'Preguntas de negocio'!$C$121:$D$127,2,FALSE)</f>
        <v>0.8</v>
      </c>
    </row>
    <row r="968" spans="1:28" x14ac:dyDescent="0.3">
      <c r="A968" s="1">
        <v>45758</v>
      </c>
      <c r="B968" s="2" t="s">
        <v>2625</v>
      </c>
      <c r="C968" s="2" t="s">
        <v>2527</v>
      </c>
      <c r="D968" s="2" t="s">
        <v>2516</v>
      </c>
      <c r="E968" s="2" t="s">
        <v>2534</v>
      </c>
      <c r="F968" s="3">
        <v>178605</v>
      </c>
      <c r="G968" s="3">
        <v>12653</v>
      </c>
      <c r="H968" s="3">
        <v>783</v>
      </c>
      <c r="I968" s="4">
        <v>3726.37</v>
      </c>
      <c r="J968" s="4">
        <v>48503.65</v>
      </c>
      <c r="K968" s="3">
        <v>484</v>
      </c>
      <c r="L968" s="2" t="s">
        <v>2518</v>
      </c>
      <c r="M968" s="2" t="s">
        <v>2524</v>
      </c>
      <c r="N968" s="8">
        <f>IFERROR(G968/F968,0)</f>
        <v>7.0843481425492003E-2</v>
      </c>
      <c r="O968" s="8">
        <f>IFERROR(H968/G968,0)</f>
        <v>6.1882557496245952E-2</v>
      </c>
      <c r="P968" s="4">
        <f>IFERROR(I968/G968,0)</f>
        <v>0.29450486050738955</v>
      </c>
      <c r="Q968" s="4">
        <f>IFERROR(I968/H968,0)</f>
        <v>4.759093231162197</v>
      </c>
      <c r="R968" s="12">
        <f>IFERROR(J968/I968,0)</f>
        <v>13.016326881120234</v>
      </c>
      <c r="S968" s="7">
        <f>Tabla_nuevas_columnas[[#This Row],[ROAS]]</f>
        <v>13.016326881120234</v>
      </c>
      <c r="T968" t="str">
        <f>_xlfn.CONCAT(C968,"-",D968)</f>
        <v>Affiliate-México</v>
      </c>
      <c r="U968">
        <f>YEAR(A968)</f>
        <v>2025</v>
      </c>
      <c r="V968">
        <f>MONTH(A968)</f>
        <v>4</v>
      </c>
      <c r="W968" t="str">
        <f>PROPER(TEXT(A968,"mmmm"))</f>
        <v>Abril</v>
      </c>
      <c r="X968" t="str">
        <f>PROPER(TEXT(A968,"dddd"))</f>
        <v>Viernes</v>
      </c>
      <c r="Y968" t="str" cm="1">
        <f t="array" ref="Y968">_xlfn.IFS(R968&gt;10,"Excelente",R968&gt;=5,"Bueno",R968&gt;=2,"Débil",R968&lt;2,"Deficiente")</f>
        <v>Excelente</v>
      </c>
      <c r="Z968" t="str">
        <f>IF(AND(R968&lt;2,Q968&gt;=100),"Revisar","OK")</f>
        <v>OK</v>
      </c>
      <c r="AA968" s="55">
        <f>_xlfn.XLOOKUP(C968,'Preguntas de negocio'!$C$114:$C$119,'Preguntas de negocio'!$D$114:$D$119,0)</f>
        <v>4.5</v>
      </c>
      <c r="AB968" s="55">
        <f>VLOOKUP(C968,'Preguntas de negocio'!$C$121:$D$127,2,FALSE)</f>
        <v>0.35</v>
      </c>
    </row>
    <row r="969" spans="1:28" x14ac:dyDescent="0.3">
      <c r="A969" s="1">
        <v>46016</v>
      </c>
      <c r="B969" s="2" t="s">
        <v>2616</v>
      </c>
      <c r="C969" s="2" t="s">
        <v>2527</v>
      </c>
      <c r="D969" s="2" t="s">
        <v>2531</v>
      </c>
      <c r="E969" s="2" t="s">
        <v>2517</v>
      </c>
      <c r="F969" s="3">
        <v>123430</v>
      </c>
      <c r="G969" s="3">
        <v>11014</v>
      </c>
      <c r="H969" s="3">
        <v>1442</v>
      </c>
      <c r="I969" s="4">
        <v>21349.39</v>
      </c>
      <c r="J969" s="4">
        <v>94430.74</v>
      </c>
      <c r="K969" s="3">
        <v>864</v>
      </c>
      <c r="L969" s="2" t="s">
        <v>2536</v>
      </c>
      <c r="M969" s="2" t="s">
        <v>2537</v>
      </c>
      <c r="N969" s="8">
        <f>IFERROR(G969/F969,0)</f>
        <v>8.9232763509681595E-2</v>
      </c>
      <c r="O969" s="8">
        <f>IFERROR(H969/G969,0)</f>
        <v>0.13092427819139277</v>
      </c>
      <c r="P969" s="4">
        <f>IFERROR(I969/G969,0)</f>
        <v>1.9383865988741602</v>
      </c>
      <c r="Q969" s="4">
        <f>IFERROR(I969/H969,0)</f>
        <v>14.805402219140083</v>
      </c>
      <c r="R969" s="12">
        <f>IFERROR(J969/I969,0)</f>
        <v>4.4231118547180976</v>
      </c>
      <c r="S969" s="7">
        <f>Tabla_nuevas_columnas[[#This Row],[ROAS]]</f>
        <v>4.4231118547180976</v>
      </c>
      <c r="T969" t="str">
        <f>_xlfn.CONCAT(C969,"-",D969)</f>
        <v>Affiliate-Portugal</v>
      </c>
      <c r="U969">
        <f>YEAR(A969)</f>
        <v>2025</v>
      </c>
      <c r="V969">
        <f>MONTH(A969)</f>
        <v>12</v>
      </c>
      <c r="W969" t="str">
        <f>PROPER(TEXT(A969,"mmmm"))</f>
        <v>Diciembre</v>
      </c>
      <c r="X969" t="str">
        <f>PROPER(TEXT(A969,"dddd"))</f>
        <v>Jueves</v>
      </c>
      <c r="Y969" t="str" cm="1">
        <f t="array" ref="Y969">_xlfn.IFS(R969&gt;10,"Excelente",R969&gt;=5,"Bueno",R969&gt;=2,"Débil",R969&lt;2,"Deficiente")</f>
        <v>Débil</v>
      </c>
      <c r="Z969" t="str">
        <f>IF(AND(R969&lt;2,Q969&gt;=100),"Revisar","OK")</f>
        <v>OK</v>
      </c>
      <c r="AA969" s="55">
        <f>_xlfn.XLOOKUP(C969,'Preguntas de negocio'!$C$114:$C$119,'Preguntas de negocio'!$D$114:$D$119,0)</f>
        <v>4.5</v>
      </c>
      <c r="AB969" s="55">
        <f>VLOOKUP(C969,'Preguntas de negocio'!$C$121:$D$127,2,FALSE)</f>
        <v>0.35</v>
      </c>
    </row>
    <row r="970" spans="1:28" x14ac:dyDescent="0.3">
      <c r="A970" s="1">
        <v>45969</v>
      </c>
      <c r="B970" s="2" t="s">
        <v>2637</v>
      </c>
      <c r="C970" s="2" t="s">
        <v>2515</v>
      </c>
      <c r="D970" s="2" t="s">
        <v>2525</v>
      </c>
      <c r="E970" s="2" t="s">
        <v>2529</v>
      </c>
      <c r="F970" s="3">
        <v>87769</v>
      </c>
      <c r="G970" s="3">
        <v>6894</v>
      </c>
      <c r="H970" s="3">
        <v>765</v>
      </c>
      <c r="I970" s="4">
        <v>2989.98</v>
      </c>
      <c r="J970" s="4">
        <v>158117.46</v>
      </c>
      <c r="K970" s="3">
        <v>627</v>
      </c>
      <c r="L970" s="2" t="s">
        <v>2518</v>
      </c>
      <c r="M970" s="2" t="s">
        <v>2546</v>
      </c>
      <c r="N970" s="8">
        <f>IFERROR(G970/F970,0)</f>
        <v>7.8547095215850696E-2</v>
      </c>
      <c r="O970" s="8">
        <f>IFERROR(H970/G970,0)</f>
        <v>0.11096605744125326</v>
      </c>
      <c r="P970" s="4">
        <f>IFERROR(I970/G970,0)</f>
        <v>0.4337075718015666</v>
      </c>
      <c r="Q970" s="4">
        <f>IFERROR(I970/H970,0)</f>
        <v>3.9084705882352941</v>
      </c>
      <c r="R970" s="12">
        <f>IFERROR(J970/I970,0)</f>
        <v>52.882447374229926</v>
      </c>
      <c r="S970" s="7">
        <f>Tabla_nuevas_columnas[[#This Row],[ROAS]]</f>
        <v>52.882447374229926</v>
      </c>
      <c r="T970" t="str">
        <f>_xlfn.CONCAT(C970,"-",D970)</f>
        <v>Email-Francia</v>
      </c>
      <c r="U970">
        <f>YEAR(A970)</f>
        <v>2025</v>
      </c>
      <c r="V970">
        <f>MONTH(A970)</f>
        <v>11</v>
      </c>
      <c r="W970" t="str">
        <f>PROPER(TEXT(A970,"mmmm"))</f>
        <v>Noviembre</v>
      </c>
      <c r="X970" t="str">
        <f>PROPER(TEXT(A970,"dddd"))</f>
        <v>Sábado</v>
      </c>
      <c r="Y970" t="str" cm="1">
        <f t="array" ref="Y970">_xlfn.IFS(R970&gt;10,"Excelente",R970&gt;=5,"Bueno",R970&gt;=2,"Débil",R970&lt;2,"Deficiente")</f>
        <v>Excelente</v>
      </c>
      <c r="Z970" t="str">
        <f>IF(AND(R970&lt;2,Q970&gt;=100),"Revisar","OK")</f>
        <v>OK</v>
      </c>
      <c r="AA970" s="55">
        <f>_xlfn.XLOOKUP(C970,'Preguntas de negocio'!$C$114:$C$119,'Preguntas de negocio'!$D$114:$D$119,0)</f>
        <v>5.5</v>
      </c>
      <c r="AB970" s="55">
        <f>VLOOKUP(C970,'Preguntas de negocio'!$C$121:$D$127,2,FALSE)</f>
        <v>0.65</v>
      </c>
    </row>
    <row r="971" spans="1:28" x14ac:dyDescent="0.3">
      <c r="A971" s="1">
        <v>45978</v>
      </c>
      <c r="B971" s="2" t="s">
        <v>2616</v>
      </c>
      <c r="C971" s="2" t="s">
        <v>2515</v>
      </c>
      <c r="D971" s="2" t="s">
        <v>2528</v>
      </c>
      <c r="E971" s="2" t="s">
        <v>2517</v>
      </c>
      <c r="F971" s="3">
        <v>116741</v>
      </c>
      <c r="G971" s="3">
        <v>7116</v>
      </c>
      <c r="H971" s="3">
        <v>429</v>
      </c>
      <c r="I971" s="4">
        <v>3398.98</v>
      </c>
      <c r="J971" s="4">
        <v>47069.04</v>
      </c>
      <c r="K971" s="3">
        <v>333</v>
      </c>
      <c r="L971" s="2" t="s">
        <v>2539</v>
      </c>
      <c r="M971" s="2" t="s">
        <v>2524</v>
      </c>
      <c r="N971" s="8">
        <f>IFERROR(G971/F971,0)</f>
        <v>6.0955448385742801E-2</v>
      </c>
      <c r="O971" s="8">
        <f>IFERROR(H971/G971,0)</f>
        <v>6.0286677908937603E-2</v>
      </c>
      <c r="P971" s="4">
        <f>IFERROR(I971/G971,0)</f>
        <v>0.47765317594154022</v>
      </c>
      <c r="Q971" s="4">
        <f>IFERROR(I971/H971,0)</f>
        <v>7.9230303030303029</v>
      </c>
      <c r="R971" s="12">
        <f>IFERROR(J971/I971,0)</f>
        <v>13.847989691024955</v>
      </c>
      <c r="S971" s="7">
        <f>Tabla_nuevas_columnas[[#This Row],[ROAS]]</f>
        <v>13.847989691024955</v>
      </c>
      <c r="T971" t="str">
        <f>_xlfn.CONCAT(C971,"-",D971)</f>
        <v>Email-España</v>
      </c>
      <c r="U971">
        <f>YEAR(A971)</f>
        <v>2025</v>
      </c>
      <c r="V971">
        <f>MONTH(A971)</f>
        <v>11</v>
      </c>
      <c r="W971" t="str">
        <f>PROPER(TEXT(A971,"mmmm"))</f>
        <v>Noviembre</v>
      </c>
      <c r="X971" t="str">
        <f>PROPER(TEXT(A971,"dddd"))</f>
        <v>Lunes</v>
      </c>
      <c r="Y971" t="str" cm="1">
        <f t="array" ref="Y971">_xlfn.IFS(R971&gt;10,"Excelente",R971&gt;=5,"Bueno",R971&gt;=2,"Débil",R971&lt;2,"Deficiente")</f>
        <v>Excelente</v>
      </c>
      <c r="Z971" t="str">
        <f>IF(AND(R971&lt;2,Q971&gt;=100),"Revisar","OK")</f>
        <v>OK</v>
      </c>
      <c r="AA971" s="55">
        <f>_xlfn.XLOOKUP(C971,'Preguntas de negocio'!$C$114:$C$119,'Preguntas de negocio'!$D$114:$D$119,0)</f>
        <v>5.5</v>
      </c>
      <c r="AB971" s="55">
        <f>VLOOKUP(C971,'Preguntas de negocio'!$C$121:$D$127,2,FALSE)</f>
        <v>0.65</v>
      </c>
    </row>
    <row r="972" spans="1:28" x14ac:dyDescent="0.3">
      <c r="A972" s="1">
        <v>45821</v>
      </c>
      <c r="B972" s="2" t="s">
        <v>2630</v>
      </c>
      <c r="C972" s="2" t="s">
        <v>2515</v>
      </c>
      <c r="D972" s="2" t="s">
        <v>2531</v>
      </c>
      <c r="E972" s="2" t="s">
        <v>2517</v>
      </c>
      <c r="F972" s="3">
        <v>75891</v>
      </c>
      <c r="G972" s="3">
        <v>4887</v>
      </c>
      <c r="H972" s="3">
        <v>625</v>
      </c>
      <c r="I972" s="4">
        <v>4117.8599999999997</v>
      </c>
      <c r="J972" s="4">
        <v>109906.16</v>
      </c>
      <c r="K972" s="3">
        <v>477</v>
      </c>
      <c r="L972" s="2" t="s">
        <v>2523</v>
      </c>
      <c r="M972" s="2" t="s">
        <v>2526</v>
      </c>
      <c r="N972" s="8">
        <f>IFERROR(G972/F972,0)</f>
        <v>6.4394987547930591E-2</v>
      </c>
      <c r="O972" s="8">
        <f>IFERROR(H972/G972,0)</f>
        <v>0.12789032126048699</v>
      </c>
      <c r="P972" s="4">
        <f>IFERROR(I972/G972,0)</f>
        <v>0.84261510128913442</v>
      </c>
      <c r="Q972" s="4">
        <f>IFERROR(I972/H972,0)</f>
        <v>6.5885759999999998</v>
      </c>
      <c r="R972" s="12">
        <f>IFERROR(J972/I972,0)</f>
        <v>26.690115739728892</v>
      </c>
      <c r="S972" s="7">
        <f>Tabla_nuevas_columnas[[#This Row],[ROAS]]</f>
        <v>26.690115739728892</v>
      </c>
      <c r="T972" t="str">
        <f>_xlfn.CONCAT(C972,"-",D972)</f>
        <v>Email-Portugal</v>
      </c>
      <c r="U972">
        <f>YEAR(A972)</f>
        <v>2025</v>
      </c>
      <c r="V972">
        <f>MONTH(A972)</f>
        <v>6</v>
      </c>
      <c r="W972" t="str">
        <f>PROPER(TEXT(A972,"mmmm"))</f>
        <v>Junio</v>
      </c>
      <c r="X972" t="str">
        <f>PROPER(TEXT(A972,"dddd"))</f>
        <v>Viernes</v>
      </c>
      <c r="Y972" t="str" cm="1">
        <f t="array" ref="Y972">_xlfn.IFS(R972&gt;10,"Excelente",R972&gt;=5,"Bueno",R972&gt;=2,"Débil",R972&lt;2,"Deficiente")</f>
        <v>Excelente</v>
      </c>
      <c r="Z972" t="str">
        <f>IF(AND(R972&lt;2,Q972&gt;=100),"Revisar","OK")</f>
        <v>OK</v>
      </c>
      <c r="AA972" s="55">
        <f>_xlfn.XLOOKUP(C972,'Preguntas de negocio'!$C$114:$C$119,'Preguntas de negocio'!$D$114:$D$119,0)</f>
        <v>5.5</v>
      </c>
      <c r="AB972" s="55">
        <f>VLOOKUP(C972,'Preguntas de negocio'!$C$121:$D$127,2,FALSE)</f>
        <v>0.65</v>
      </c>
    </row>
    <row r="973" spans="1:28" x14ac:dyDescent="0.3">
      <c r="A973" s="1">
        <v>45841</v>
      </c>
      <c r="B973" s="2" t="s">
        <v>2640</v>
      </c>
      <c r="C973" s="2" t="s">
        <v>2543</v>
      </c>
      <c r="D973" s="2" t="s">
        <v>2528</v>
      </c>
      <c r="E973" s="2" t="s">
        <v>2529</v>
      </c>
      <c r="F973" s="3">
        <v>136270</v>
      </c>
      <c r="G973" s="3">
        <v>670</v>
      </c>
      <c r="H973" s="3">
        <v>39</v>
      </c>
      <c r="I973" s="4">
        <v>786.45</v>
      </c>
      <c r="J973" s="4">
        <v>6409.71</v>
      </c>
      <c r="K973" s="3">
        <v>30</v>
      </c>
      <c r="L973" s="2" t="s">
        <v>2539</v>
      </c>
      <c r="M973" s="2" t="s">
        <v>2519</v>
      </c>
      <c r="N973" s="8">
        <f>IFERROR(G973/F973,0)</f>
        <v>4.9167094738387027E-3</v>
      </c>
      <c r="O973" s="8">
        <f>IFERROR(H973/G973,0)</f>
        <v>5.8208955223880594E-2</v>
      </c>
      <c r="P973" s="4">
        <f>IFERROR(I973/G973,0)</f>
        <v>1.1738059701492538</v>
      </c>
      <c r="Q973" s="4">
        <f>IFERROR(I973/H973,0)</f>
        <v>20.165384615384617</v>
      </c>
      <c r="R973" s="12">
        <f>IFERROR(J973/I973,0)</f>
        <v>8.1501811939729158</v>
      </c>
      <c r="S973" s="7">
        <f>Tabla_nuevas_columnas[[#This Row],[ROAS]]</f>
        <v>8.1501811939729158</v>
      </c>
      <c r="T973" t="str">
        <f>_xlfn.CONCAT(C973,"-",D973)</f>
        <v>Organic Social-España</v>
      </c>
      <c r="U973">
        <f>YEAR(A973)</f>
        <v>2025</v>
      </c>
      <c r="V973">
        <f>MONTH(A973)</f>
        <v>7</v>
      </c>
      <c r="W973" t="str">
        <f>PROPER(TEXT(A973,"mmmm"))</f>
        <v>Julio</v>
      </c>
      <c r="X973" t="str">
        <f>PROPER(TEXT(A973,"dddd"))</f>
        <v>Jueves</v>
      </c>
      <c r="Y973" t="str" cm="1">
        <f t="array" ref="Y973">_xlfn.IFS(R973&gt;10,"Excelente",R973&gt;=5,"Bueno",R973&gt;=2,"Débil",R973&lt;2,"Deficiente")</f>
        <v>Bueno</v>
      </c>
      <c r="Z973" t="str">
        <f>IF(AND(R973&lt;2,Q973&gt;=100),"Revisar","OK")</f>
        <v>OK</v>
      </c>
      <c r="AA973" s="55">
        <f>_xlfn.XLOOKUP(C973,'Preguntas de negocio'!$C$114:$C$119,'Preguntas de negocio'!$D$114:$D$119,0)</f>
        <v>4</v>
      </c>
      <c r="AB973" s="55">
        <f>VLOOKUP(C973,'Preguntas de negocio'!$C$121:$D$127,2,FALSE)</f>
        <v>0.95</v>
      </c>
    </row>
    <row r="974" spans="1:28" x14ac:dyDescent="0.3">
      <c r="A974" s="1">
        <v>45692</v>
      </c>
      <c r="B974" s="2" t="s">
        <v>2622</v>
      </c>
      <c r="C974" s="2" t="s">
        <v>2527</v>
      </c>
      <c r="D974" s="2" t="s">
        <v>2522</v>
      </c>
      <c r="E974" s="2" t="s">
        <v>2517</v>
      </c>
      <c r="F974" s="3">
        <v>26309</v>
      </c>
      <c r="G974" s="3">
        <v>1703</v>
      </c>
      <c r="H974" s="3">
        <v>47</v>
      </c>
      <c r="I974" s="4">
        <v>1152.47</v>
      </c>
      <c r="J974" s="4">
        <v>4195.67</v>
      </c>
      <c r="K974" s="3">
        <v>31</v>
      </c>
      <c r="L974" s="2" t="s">
        <v>2536</v>
      </c>
      <c r="M974" s="2" t="s">
        <v>2524</v>
      </c>
      <c r="N974" s="8">
        <f>IFERROR(G974/F974,0)</f>
        <v>6.4730700520734347E-2</v>
      </c>
      <c r="O974" s="8">
        <f>IFERROR(H974/G974,0)</f>
        <v>2.7598355842630651E-2</v>
      </c>
      <c r="P974" s="4">
        <f>IFERROR(I974/G974,0)</f>
        <v>0.67672930123311803</v>
      </c>
      <c r="Q974" s="4">
        <f>IFERROR(I974/H974,0)</f>
        <v>24.520638297872342</v>
      </c>
      <c r="R974" s="12">
        <f>IFERROR(J974/I974,0)</f>
        <v>3.6405893428896197</v>
      </c>
      <c r="S974" s="7">
        <f>Tabla_nuevas_columnas[[#This Row],[ROAS]]</f>
        <v>3.6405893428896197</v>
      </c>
      <c r="T974" t="str">
        <f>_xlfn.CONCAT(C974,"-",D974)</f>
        <v>Affiliate-Italia</v>
      </c>
      <c r="U974">
        <f>YEAR(A974)</f>
        <v>2025</v>
      </c>
      <c r="V974">
        <f>MONTH(A974)</f>
        <v>2</v>
      </c>
      <c r="W974" t="str">
        <f>PROPER(TEXT(A974,"mmmm"))</f>
        <v>Febrero</v>
      </c>
      <c r="X974" t="str">
        <f>PROPER(TEXT(A974,"dddd"))</f>
        <v>Martes</v>
      </c>
      <c r="Y974" t="str" cm="1">
        <f t="array" ref="Y974">_xlfn.IFS(R974&gt;10,"Excelente",R974&gt;=5,"Bueno",R974&gt;=2,"Débil",R974&lt;2,"Deficiente")</f>
        <v>Débil</v>
      </c>
      <c r="Z974" t="str">
        <f>IF(AND(R974&lt;2,Q974&gt;=100),"Revisar","OK")</f>
        <v>OK</v>
      </c>
      <c r="AA974" s="55">
        <f>_xlfn.XLOOKUP(C974,'Preguntas de negocio'!$C$114:$C$119,'Preguntas de negocio'!$D$114:$D$119,0)</f>
        <v>4.5</v>
      </c>
      <c r="AB974" s="55">
        <f>VLOOKUP(C974,'Preguntas de negocio'!$C$121:$D$127,2,FALSE)</f>
        <v>0.35</v>
      </c>
    </row>
    <row r="975" spans="1:28" x14ac:dyDescent="0.3">
      <c r="A975" s="1">
        <v>45739</v>
      </c>
      <c r="B975" s="2" t="s">
        <v>2623</v>
      </c>
      <c r="C975" s="2" t="s">
        <v>2527</v>
      </c>
      <c r="D975" s="2" t="s">
        <v>2516</v>
      </c>
      <c r="E975" s="2" t="s">
        <v>2517</v>
      </c>
      <c r="F975" s="3">
        <v>104636</v>
      </c>
      <c r="G975" s="3">
        <v>5983</v>
      </c>
      <c r="H975" s="3">
        <v>172</v>
      </c>
      <c r="I975" s="4">
        <v>7422.32</v>
      </c>
      <c r="J975" s="4">
        <v>6415.62</v>
      </c>
      <c r="K975" s="3">
        <v>122</v>
      </c>
      <c r="L975" s="2" t="s">
        <v>2518</v>
      </c>
      <c r="M975" s="2" t="s">
        <v>2526</v>
      </c>
      <c r="N975" s="8">
        <f>IFERROR(G975/F975,0)</f>
        <v>5.7179173515807181E-2</v>
      </c>
      <c r="O975" s="8">
        <f>IFERROR(H975/G975,0)</f>
        <v>2.8748119672405148E-2</v>
      </c>
      <c r="P975" s="4">
        <f>IFERROR(I975/G975,0)</f>
        <v>1.2405682767842219</v>
      </c>
      <c r="Q975" s="4">
        <f>IFERROR(I975/H975,0)</f>
        <v>43.153023255813949</v>
      </c>
      <c r="R975" s="12">
        <f>IFERROR(J975/I975,0)</f>
        <v>0.86436855322864015</v>
      </c>
      <c r="S975" s="7">
        <f>Tabla_nuevas_columnas[[#This Row],[ROAS]]</f>
        <v>0.86436855322864015</v>
      </c>
      <c r="T975" t="str">
        <f>_xlfn.CONCAT(C975,"-",D975)</f>
        <v>Affiliate-México</v>
      </c>
      <c r="U975">
        <f>YEAR(A975)</f>
        <v>2025</v>
      </c>
      <c r="V975">
        <f>MONTH(A975)</f>
        <v>3</v>
      </c>
      <c r="W975" t="str">
        <f>PROPER(TEXT(A975,"mmmm"))</f>
        <v>Marzo</v>
      </c>
      <c r="X975" t="str">
        <f>PROPER(TEXT(A975,"dddd"))</f>
        <v>Domingo</v>
      </c>
      <c r="Y975" t="str" cm="1">
        <f t="array" ref="Y975">_xlfn.IFS(R975&gt;10,"Excelente",R975&gt;=5,"Bueno",R975&gt;=2,"Débil",R975&lt;2,"Deficiente")</f>
        <v>Deficiente</v>
      </c>
      <c r="Z975" t="str">
        <f>IF(AND(R975&lt;2,Q975&gt;=100),"Revisar","OK")</f>
        <v>OK</v>
      </c>
      <c r="AA975" s="55">
        <f>_xlfn.XLOOKUP(C975,'Preguntas de negocio'!$C$114:$C$119,'Preguntas de negocio'!$D$114:$D$119,0)</f>
        <v>4.5</v>
      </c>
      <c r="AB975" s="55">
        <f>VLOOKUP(C975,'Preguntas de negocio'!$C$121:$D$127,2,FALSE)</f>
        <v>0.35</v>
      </c>
    </row>
    <row r="976" spans="1:28" x14ac:dyDescent="0.3">
      <c r="A976" s="1">
        <v>45829</v>
      </c>
      <c r="B976" s="2" t="s">
        <v>2630</v>
      </c>
      <c r="C976" s="2" t="s">
        <v>2533</v>
      </c>
      <c r="D976" s="2" t="s">
        <v>2522</v>
      </c>
      <c r="E976" s="2" t="s">
        <v>2517</v>
      </c>
      <c r="F976" s="3">
        <v>81817</v>
      </c>
      <c r="G976" s="3">
        <v>1192</v>
      </c>
      <c r="H976" s="3">
        <v>104</v>
      </c>
      <c r="I976" s="4">
        <v>2213.25</v>
      </c>
      <c r="J976" s="4">
        <v>6526.38</v>
      </c>
      <c r="K976" s="3">
        <v>66</v>
      </c>
      <c r="L976" s="2" t="s">
        <v>2539</v>
      </c>
      <c r="M976" s="2" t="s">
        <v>2524</v>
      </c>
      <c r="N976" s="8">
        <f>IFERROR(G976/F976,0)</f>
        <v>1.4569099331434788E-2</v>
      </c>
      <c r="O976" s="8">
        <f>IFERROR(H976/G976,0)</f>
        <v>8.7248322147651006E-2</v>
      </c>
      <c r="P976" s="4">
        <f>IFERROR(I976/G976,0)</f>
        <v>1.856753355704698</v>
      </c>
      <c r="Q976" s="4">
        <f>IFERROR(I976/H976,0)</f>
        <v>21.28125</v>
      </c>
      <c r="R976" s="12">
        <f>IFERROR(J976/I976,0)</f>
        <v>2.9487766858691971</v>
      </c>
      <c r="S976" s="7">
        <f>Tabla_nuevas_columnas[[#This Row],[ROAS]]</f>
        <v>2.9487766858691971</v>
      </c>
      <c r="T976" t="str">
        <f>_xlfn.CONCAT(C976,"-",D976)</f>
        <v>Paid Social-Italia</v>
      </c>
      <c r="U976">
        <f>YEAR(A976)</f>
        <v>2025</v>
      </c>
      <c r="V976">
        <f>MONTH(A976)</f>
        <v>6</v>
      </c>
      <c r="W976" t="str">
        <f>PROPER(TEXT(A976,"mmmm"))</f>
        <v>Junio</v>
      </c>
      <c r="X976" t="str">
        <f>PROPER(TEXT(A976,"dddd"))</f>
        <v>Sábado</v>
      </c>
      <c r="Y976" t="str" cm="1">
        <f t="array" ref="Y976">_xlfn.IFS(R976&gt;10,"Excelente",R976&gt;=5,"Bueno",R976&gt;=2,"Débil",R976&lt;2,"Deficiente")</f>
        <v>Débil</v>
      </c>
      <c r="Z976" t="str">
        <f>IF(AND(R976&lt;2,Q976&gt;=100),"Revisar","OK")</f>
        <v>OK</v>
      </c>
      <c r="AA976" s="55">
        <f>_xlfn.XLOOKUP(C976,'Preguntas de negocio'!$C$114:$C$119,'Preguntas de negocio'!$D$114:$D$119,0)</f>
        <v>6</v>
      </c>
      <c r="AB976" s="55">
        <f>VLOOKUP(C976,'Preguntas de negocio'!$C$121:$D$127,2,FALSE)</f>
        <v>0.8</v>
      </c>
    </row>
    <row r="977" spans="1:28" x14ac:dyDescent="0.3">
      <c r="A977" s="1">
        <v>45658</v>
      </c>
      <c r="B977" s="2" t="s">
        <v>2628</v>
      </c>
      <c r="C977" s="2" t="s">
        <v>2541</v>
      </c>
      <c r="D977" s="2" t="s">
        <v>2528</v>
      </c>
      <c r="E977" s="2" t="s">
        <v>2517</v>
      </c>
      <c r="F977" s="3">
        <v>110409</v>
      </c>
      <c r="G977" s="3">
        <v>9365</v>
      </c>
      <c r="H977" s="3">
        <v>559</v>
      </c>
      <c r="I977" s="4">
        <v>18551.97</v>
      </c>
      <c r="J977" s="4">
        <v>110464.95</v>
      </c>
      <c r="K977" s="3">
        <v>254</v>
      </c>
      <c r="L977" s="2" t="s">
        <v>2523</v>
      </c>
      <c r="M977" s="2" t="s">
        <v>2537</v>
      </c>
      <c r="N977" s="8">
        <f>IFERROR(G977/F977,0)</f>
        <v>8.482098379661078E-2</v>
      </c>
      <c r="O977" s="8">
        <f>IFERROR(H977/G977,0)</f>
        <v>5.9690336358782702E-2</v>
      </c>
      <c r="P977" s="4">
        <f>IFERROR(I977/G977,0)</f>
        <v>1.9809898558462362</v>
      </c>
      <c r="Q977" s="4">
        <f>IFERROR(I977/H977,0)</f>
        <v>33.187781753130594</v>
      </c>
      <c r="R977" s="12">
        <f>IFERROR(J977/I977,0)</f>
        <v>5.9543514785761289</v>
      </c>
      <c r="S977" s="7">
        <f>Tabla_nuevas_columnas[[#This Row],[ROAS]]</f>
        <v>5.9543514785761289</v>
      </c>
      <c r="T977" t="str">
        <f>_xlfn.CONCAT(C977,"-",D977)</f>
        <v>Display-España</v>
      </c>
      <c r="U977">
        <f>YEAR(A977)</f>
        <v>2025</v>
      </c>
      <c r="V977">
        <f>MONTH(A977)</f>
        <v>1</v>
      </c>
      <c r="W977" t="str">
        <f>PROPER(TEXT(A977,"mmmm"))</f>
        <v>Enero</v>
      </c>
      <c r="X977" t="str">
        <f>PROPER(TEXT(A977,"dddd"))</f>
        <v>Miércoles</v>
      </c>
      <c r="Y977" t="str" cm="1">
        <f t="array" ref="Y977">_xlfn.IFS(R977&gt;10,"Excelente",R977&gt;=5,"Bueno",R977&gt;=2,"Débil",R977&lt;2,"Deficiente")</f>
        <v>Bueno</v>
      </c>
      <c r="Z977" t="str">
        <f>IF(AND(R977&lt;2,Q977&gt;=100),"Revisar","OK")</f>
        <v>OK</v>
      </c>
      <c r="AA977" s="55">
        <f>_xlfn.XLOOKUP(C977,'Preguntas de negocio'!$C$114:$C$119,'Preguntas de negocio'!$D$114:$D$119,0)</f>
        <v>5</v>
      </c>
      <c r="AB977" s="55">
        <f>VLOOKUP(C977,'Preguntas de negocio'!$C$121:$D$127,2,FALSE)</f>
        <v>0.5</v>
      </c>
    </row>
    <row r="978" spans="1:28" x14ac:dyDescent="0.3">
      <c r="A978" s="1">
        <v>45928</v>
      </c>
      <c r="B978" s="2" t="s">
        <v>2631</v>
      </c>
      <c r="C978" s="2" t="s">
        <v>2543</v>
      </c>
      <c r="D978" s="2" t="s">
        <v>2531</v>
      </c>
      <c r="E978" s="2" t="s">
        <v>2517</v>
      </c>
      <c r="F978" s="3">
        <v>85211</v>
      </c>
      <c r="G978" s="3">
        <v>1105</v>
      </c>
      <c r="H978" s="3">
        <v>39</v>
      </c>
      <c r="I978" s="4">
        <v>2200.96</v>
      </c>
      <c r="J978" s="4">
        <v>4903.47</v>
      </c>
      <c r="K978" s="3">
        <v>22</v>
      </c>
      <c r="L978" s="2" t="s">
        <v>2523</v>
      </c>
      <c r="M978" s="2" t="s">
        <v>2519</v>
      </c>
      <c r="N978" s="8">
        <f>IFERROR(G978/F978,0)</f>
        <v>1.2967809320392907E-2</v>
      </c>
      <c r="O978" s="8">
        <f>IFERROR(H978/G978,0)</f>
        <v>3.5294117647058823E-2</v>
      </c>
      <c r="P978" s="4">
        <f>IFERROR(I978/G978,0)</f>
        <v>1.9918190045248869</v>
      </c>
      <c r="Q978" s="4">
        <f>IFERROR(I978/H978,0)</f>
        <v>56.434871794871796</v>
      </c>
      <c r="R978" s="12">
        <f>IFERROR(J978/I978,0)</f>
        <v>2.2278778351264905</v>
      </c>
      <c r="S978" s="7">
        <f>Tabla_nuevas_columnas[[#This Row],[ROAS]]</f>
        <v>2.2278778351264905</v>
      </c>
      <c r="T978" t="str">
        <f>_xlfn.CONCAT(C978,"-",D978)</f>
        <v>Organic Social-Portugal</v>
      </c>
      <c r="U978">
        <f>YEAR(A978)</f>
        <v>2025</v>
      </c>
      <c r="V978">
        <f>MONTH(A978)</f>
        <v>9</v>
      </c>
      <c r="W978" t="str">
        <f>PROPER(TEXT(A978,"mmmm"))</f>
        <v>Septiembre</v>
      </c>
      <c r="X978" t="str">
        <f>PROPER(TEXT(A978,"dddd"))</f>
        <v>Domingo</v>
      </c>
      <c r="Y978" t="str" cm="1">
        <f t="array" ref="Y978">_xlfn.IFS(R978&gt;10,"Excelente",R978&gt;=5,"Bueno",R978&gt;=2,"Débil",R978&lt;2,"Deficiente")</f>
        <v>Débil</v>
      </c>
      <c r="Z978" t="str">
        <f>IF(AND(R978&lt;2,Q978&gt;=100),"Revisar","OK")</f>
        <v>OK</v>
      </c>
      <c r="AA978" s="55">
        <f>_xlfn.XLOOKUP(C978,'Preguntas de negocio'!$C$114:$C$119,'Preguntas de negocio'!$D$114:$D$119,0)</f>
        <v>4</v>
      </c>
      <c r="AB978" s="55">
        <f>VLOOKUP(C978,'Preguntas de negocio'!$C$121:$D$127,2,FALSE)</f>
        <v>0.95</v>
      </c>
    </row>
    <row r="979" spans="1:28" x14ac:dyDescent="0.3">
      <c r="A979" s="1">
        <v>45834</v>
      </c>
      <c r="B979" s="2" t="s">
        <v>2630</v>
      </c>
      <c r="C979" s="2" t="s">
        <v>2521</v>
      </c>
      <c r="D979" s="2" t="s">
        <v>2528</v>
      </c>
      <c r="E979" s="2" t="s">
        <v>2529</v>
      </c>
      <c r="F979" s="3">
        <v>57555</v>
      </c>
      <c r="G979" s="3">
        <v>954</v>
      </c>
      <c r="H979" s="3">
        <v>126</v>
      </c>
      <c r="I979" s="4">
        <v>844.02</v>
      </c>
      <c r="J979" s="4">
        <v>2411.37</v>
      </c>
      <c r="K979" s="3">
        <v>69</v>
      </c>
      <c r="L979" s="2" t="s">
        <v>2518</v>
      </c>
      <c r="M979" s="2" t="s">
        <v>2524</v>
      </c>
      <c r="N979" s="8">
        <f>IFERROR(G979/F979,0)</f>
        <v>1.6575449569976544E-2</v>
      </c>
      <c r="O979" s="8">
        <f>IFERROR(H979/G979,0)</f>
        <v>0.13207547169811321</v>
      </c>
      <c r="P979" s="4">
        <f>IFERROR(I979/G979,0)</f>
        <v>0.88471698113207542</v>
      </c>
      <c r="Q979" s="4">
        <f>IFERROR(I979/H979,0)</f>
        <v>6.6985714285714284</v>
      </c>
      <c r="R979" s="12">
        <f>IFERROR(J979/I979,0)</f>
        <v>2.8570057581573898</v>
      </c>
      <c r="S979" s="7">
        <f>Tabla_nuevas_columnas[[#This Row],[ROAS]]</f>
        <v>2.8570057581573898</v>
      </c>
      <c r="T979" t="str">
        <f>_xlfn.CONCAT(C979,"-",D979)</f>
        <v>Paid Search-España</v>
      </c>
      <c r="U979">
        <f>YEAR(A979)</f>
        <v>2025</v>
      </c>
      <c r="V979">
        <f>MONTH(A979)</f>
        <v>6</v>
      </c>
      <c r="W979" t="str">
        <f>PROPER(TEXT(A979,"mmmm"))</f>
        <v>Junio</v>
      </c>
      <c r="X979" t="str">
        <f>PROPER(TEXT(A979,"dddd"))</f>
        <v>Jueves</v>
      </c>
      <c r="Y979" t="str" cm="1">
        <f t="array" ref="Y979">_xlfn.IFS(R979&gt;10,"Excelente",R979&gt;=5,"Bueno",R979&gt;=2,"Débil",R979&lt;2,"Deficiente")</f>
        <v>Débil</v>
      </c>
      <c r="Z979" t="str">
        <f>IF(AND(R979&lt;2,Q979&gt;=100),"Revisar","OK")</f>
        <v>OK</v>
      </c>
      <c r="AA979" s="55">
        <f>_xlfn.XLOOKUP(C979,'Preguntas de negocio'!$C$114:$C$119,'Preguntas de negocio'!$D$114:$D$119,0)</f>
        <v>5</v>
      </c>
      <c r="AB979" s="55">
        <f>VLOOKUP(C979,'Preguntas de negocio'!$C$121:$D$127,2,FALSE)</f>
        <v>1.1000000000000001</v>
      </c>
    </row>
    <row r="980" spans="1:28" x14ac:dyDescent="0.3">
      <c r="A980" s="1">
        <v>45870</v>
      </c>
      <c r="B980" s="2" t="s">
        <v>2624</v>
      </c>
      <c r="C980" s="2" t="s">
        <v>2541</v>
      </c>
      <c r="D980" s="2" t="s">
        <v>2528</v>
      </c>
      <c r="E980" s="2" t="s">
        <v>2529</v>
      </c>
      <c r="F980" s="3">
        <v>168745</v>
      </c>
      <c r="G980" s="3">
        <v>8736</v>
      </c>
      <c r="H980" s="3">
        <v>450</v>
      </c>
      <c r="I980" s="4">
        <v>2774.46</v>
      </c>
      <c r="J980" s="4">
        <v>48249.9</v>
      </c>
      <c r="K980" s="3">
        <v>278</v>
      </c>
      <c r="L980" s="2" t="s">
        <v>2523</v>
      </c>
      <c r="M980" s="2" t="s">
        <v>2524</v>
      </c>
      <c r="N980" s="8">
        <f>IFERROR(G980/F980,0)</f>
        <v>5.1770422827343031E-2</v>
      </c>
      <c r="O980" s="8">
        <f>IFERROR(H980/G980,0)</f>
        <v>5.1510989010989008E-2</v>
      </c>
      <c r="P980" s="4">
        <f>IFERROR(I980/G980,0)</f>
        <v>0.31758928571428574</v>
      </c>
      <c r="Q980" s="4">
        <f>IFERROR(I980/H980,0)</f>
        <v>6.1654666666666671</v>
      </c>
      <c r="R980" s="12">
        <f>IFERROR(J980/I980,0)</f>
        <v>17.390735494474601</v>
      </c>
      <c r="S980" s="7">
        <f>Tabla_nuevas_columnas[[#This Row],[ROAS]]</f>
        <v>17.390735494474601</v>
      </c>
      <c r="T980" t="str">
        <f>_xlfn.CONCAT(C980,"-",D980)</f>
        <v>Display-España</v>
      </c>
      <c r="U980">
        <f>YEAR(A980)</f>
        <v>2025</v>
      </c>
      <c r="V980">
        <f>MONTH(A980)</f>
        <v>8</v>
      </c>
      <c r="W980" t="str">
        <f>PROPER(TEXT(A980,"mmmm"))</f>
        <v>Agosto</v>
      </c>
      <c r="X980" t="str">
        <f>PROPER(TEXT(A980,"dddd"))</f>
        <v>Viernes</v>
      </c>
      <c r="Y980" t="str" cm="1">
        <f t="array" ref="Y980">_xlfn.IFS(R980&gt;10,"Excelente",R980&gt;=5,"Bueno",R980&gt;=2,"Débil",R980&lt;2,"Deficiente")</f>
        <v>Excelente</v>
      </c>
      <c r="Z980" t="str">
        <f>IF(AND(R980&lt;2,Q980&gt;=100),"Revisar","OK")</f>
        <v>OK</v>
      </c>
      <c r="AA980" s="55">
        <f>_xlfn.XLOOKUP(C980,'Preguntas de negocio'!$C$114:$C$119,'Preguntas de negocio'!$D$114:$D$119,0)</f>
        <v>5</v>
      </c>
      <c r="AB980" s="55">
        <f>VLOOKUP(C980,'Preguntas de negocio'!$C$121:$D$127,2,FALSE)</f>
        <v>0.5</v>
      </c>
    </row>
    <row r="981" spans="1:28" x14ac:dyDescent="0.3">
      <c r="A981" s="1">
        <v>45892</v>
      </c>
      <c r="B981" s="2" t="s">
        <v>2628</v>
      </c>
      <c r="C981" s="2" t="s">
        <v>2543</v>
      </c>
      <c r="D981" s="2" t="s">
        <v>2516</v>
      </c>
      <c r="E981" s="2" t="s">
        <v>2517</v>
      </c>
      <c r="F981" s="3">
        <v>23363</v>
      </c>
      <c r="G981" s="3">
        <v>559</v>
      </c>
      <c r="H981" s="3">
        <v>3</v>
      </c>
      <c r="I981" s="4">
        <v>232.93</v>
      </c>
      <c r="J981" s="4">
        <v>571.92999999999995</v>
      </c>
      <c r="K981" s="3">
        <v>2</v>
      </c>
      <c r="L981" s="2" t="s">
        <v>2523</v>
      </c>
      <c r="M981" s="2" t="s">
        <v>2526</v>
      </c>
      <c r="N981" s="8">
        <f>IFERROR(G981/F981,0)</f>
        <v>2.3926721739502631E-2</v>
      </c>
      <c r="O981" s="8">
        <f>IFERROR(H981/G981,0)</f>
        <v>5.3667262969588547E-3</v>
      </c>
      <c r="P981" s="4">
        <f>IFERROR(I981/G981,0)</f>
        <v>0.41669051878354207</v>
      </c>
      <c r="Q981" s="4">
        <f>IFERROR(I981/H981,0)</f>
        <v>77.643333333333331</v>
      </c>
      <c r="R981" s="12">
        <f>IFERROR(J981/I981,0)</f>
        <v>2.4553728587987806</v>
      </c>
      <c r="S981" s="7">
        <f>Tabla_nuevas_columnas[[#This Row],[ROAS]]</f>
        <v>2.4553728587987806</v>
      </c>
      <c r="T981" t="str">
        <f>_xlfn.CONCAT(C981,"-",D981)</f>
        <v>Organic Social-México</v>
      </c>
      <c r="U981">
        <f>YEAR(A981)</f>
        <v>2025</v>
      </c>
      <c r="V981">
        <f>MONTH(A981)</f>
        <v>8</v>
      </c>
      <c r="W981" t="str">
        <f>PROPER(TEXT(A981,"mmmm"))</f>
        <v>Agosto</v>
      </c>
      <c r="X981" t="str">
        <f>PROPER(TEXT(A981,"dddd"))</f>
        <v>Sábado</v>
      </c>
      <c r="Y981" t="str" cm="1">
        <f t="array" ref="Y981">_xlfn.IFS(R981&gt;10,"Excelente",R981&gt;=5,"Bueno",R981&gt;=2,"Débil",R981&lt;2,"Deficiente")</f>
        <v>Débil</v>
      </c>
      <c r="Z981" t="str">
        <f>IF(AND(R981&lt;2,Q981&gt;=100),"Revisar","OK")</f>
        <v>OK</v>
      </c>
      <c r="AA981" s="55">
        <f>_xlfn.XLOOKUP(C981,'Preguntas de negocio'!$C$114:$C$119,'Preguntas de negocio'!$D$114:$D$119,0)</f>
        <v>4</v>
      </c>
      <c r="AB981" s="55">
        <f>VLOOKUP(C981,'Preguntas de negocio'!$C$121:$D$127,2,FALSE)</f>
        <v>0.95</v>
      </c>
    </row>
    <row r="982" spans="1:28" x14ac:dyDescent="0.3">
      <c r="A982" s="1">
        <v>45720</v>
      </c>
      <c r="B982" s="2" t="s">
        <v>2626</v>
      </c>
      <c r="C982" s="2" t="s">
        <v>2541</v>
      </c>
      <c r="D982" s="2" t="s">
        <v>2528</v>
      </c>
      <c r="E982" s="2" t="s">
        <v>2529</v>
      </c>
      <c r="F982" s="3">
        <v>79688</v>
      </c>
      <c r="G982" s="3">
        <v>1162</v>
      </c>
      <c r="H982" s="3">
        <v>69</v>
      </c>
      <c r="I982" s="4">
        <v>164.67</v>
      </c>
      <c r="J982" s="4">
        <v>4512.41</v>
      </c>
      <c r="K982" s="3">
        <v>42</v>
      </c>
      <c r="L982" s="2" t="s">
        <v>2523</v>
      </c>
      <c r="M982" s="2" t="s">
        <v>2519</v>
      </c>
      <c r="N982" s="8">
        <f>IFERROR(G982/F982,0)</f>
        <v>1.4581869290231905E-2</v>
      </c>
      <c r="O982" s="8">
        <f>IFERROR(H982/G982,0)</f>
        <v>5.938037865748709E-2</v>
      </c>
      <c r="P982" s="4">
        <f>IFERROR(I982/G982,0)</f>
        <v>0.14171256454388984</v>
      </c>
      <c r="Q982" s="4">
        <f>IFERROR(I982/H982,0)</f>
        <v>2.3865217391304347</v>
      </c>
      <c r="R982" s="12">
        <f>IFERROR(J982/I982,0)</f>
        <v>27.402744883706809</v>
      </c>
      <c r="S982" s="7">
        <f>Tabla_nuevas_columnas[[#This Row],[ROAS]]</f>
        <v>27.402744883706809</v>
      </c>
      <c r="T982" t="str">
        <f>_xlfn.CONCAT(C982,"-",D982)</f>
        <v>Display-España</v>
      </c>
      <c r="U982">
        <f>YEAR(A982)</f>
        <v>2025</v>
      </c>
      <c r="V982">
        <f>MONTH(A982)</f>
        <v>3</v>
      </c>
      <c r="W982" t="str">
        <f>PROPER(TEXT(A982,"mmmm"))</f>
        <v>Marzo</v>
      </c>
      <c r="X982" t="str">
        <f>PROPER(TEXT(A982,"dddd"))</f>
        <v>Martes</v>
      </c>
      <c r="Y982" t="str" cm="1">
        <f t="array" ref="Y982">_xlfn.IFS(R982&gt;10,"Excelente",R982&gt;=5,"Bueno",R982&gt;=2,"Débil",R982&lt;2,"Deficiente")</f>
        <v>Excelente</v>
      </c>
      <c r="Z982" t="str">
        <f>IF(AND(R982&lt;2,Q982&gt;=100),"Revisar","OK")</f>
        <v>OK</v>
      </c>
      <c r="AA982" s="55">
        <f>_xlfn.XLOOKUP(C982,'Preguntas de negocio'!$C$114:$C$119,'Preguntas de negocio'!$D$114:$D$119,0)</f>
        <v>5</v>
      </c>
      <c r="AB982" s="55">
        <f>VLOOKUP(C982,'Preguntas de negocio'!$C$121:$D$127,2,FALSE)</f>
        <v>0.5</v>
      </c>
    </row>
    <row r="983" spans="1:28" x14ac:dyDescent="0.3">
      <c r="A983" s="1">
        <v>45768</v>
      </c>
      <c r="B983" s="2" t="s">
        <v>2618</v>
      </c>
      <c r="C983" s="2" t="s">
        <v>2543</v>
      </c>
      <c r="D983" s="2" t="s">
        <v>2528</v>
      </c>
      <c r="E983" s="2" t="s">
        <v>2534</v>
      </c>
      <c r="F983" s="3">
        <v>47716</v>
      </c>
      <c r="G983" s="3">
        <v>2054</v>
      </c>
      <c r="H983" s="3">
        <v>220</v>
      </c>
      <c r="I983" s="4">
        <v>2473.4499999999998</v>
      </c>
      <c r="J983" s="4">
        <v>29414</v>
      </c>
      <c r="K983" s="3">
        <v>163</v>
      </c>
      <c r="L983" s="2" t="s">
        <v>2523</v>
      </c>
      <c r="M983" s="2" t="s">
        <v>2524</v>
      </c>
      <c r="N983" s="8">
        <f>IFERROR(G983/F983,0)</f>
        <v>4.3046357615894038E-2</v>
      </c>
      <c r="O983" s="8">
        <f>IFERROR(H983/G983,0)</f>
        <v>0.10710808179162609</v>
      </c>
      <c r="P983" s="4">
        <f>IFERROR(I983/G983,0)</f>
        <v>1.2042112950340798</v>
      </c>
      <c r="Q983" s="4">
        <f>IFERROR(I983/H983,0)</f>
        <v>11.242954545454545</v>
      </c>
      <c r="R983" s="12">
        <f>IFERROR(J983/I983,0)</f>
        <v>11.891891891891893</v>
      </c>
      <c r="S983" s="7">
        <f>Tabla_nuevas_columnas[[#This Row],[ROAS]]</f>
        <v>11.891891891891893</v>
      </c>
      <c r="T983" t="str">
        <f>_xlfn.CONCAT(C983,"-",D983)</f>
        <v>Organic Social-España</v>
      </c>
      <c r="U983">
        <f>YEAR(A983)</f>
        <v>2025</v>
      </c>
      <c r="V983">
        <f>MONTH(A983)</f>
        <v>4</v>
      </c>
      <c r="W983" t="str">
        <f>PROPER(TEXT(A983,"mmmm"))</f>
        <v>Abril</v>
      </c>
      <c r="X983" t="str">
        <f>PROPER(TEXT(A983,"dddd"))</f>
        <v>Lunes</v>
      </c>
      <c r="Y983" t="str" cm="1">
        <f t="array" ref="Y983">_xlfn.IFS(R983&gt;10,"Excelente",R983&gt;=5,"Bueno",R983&gt;=2,"Débil",R983&lt;2,"Deficiente")</f>
        <v>Excelente</v>
      </c>
      <c r="Z983" t="str">
        <f>IF(AND(R983&lt;2,Q983&gt;=100),"Revisar","OK")</f>
        <v>OK</v>
      </c>
      <c r="AA983" s="55">
        <f>_xlfn.XLOOKUP(C983,'Preguntas de negocio'!$C$114:$C$119,'Preguntas de negocio'!$D$114:$D$119,0)</f>
        <v>4</v>
      </c>
      <c r="AB983" s="55">
        <f>VLOOKUP(C983,'Preguntas de negocio'!$C$121:$D$127,2,FALSE)</f>
        <v>0.95</v>
      </c>
    </row>
    <row r="984" spans="1:28" x14ac:dyDescent="0.3">
      <c r="A984" s="1">
        <v>45741</v>
      </c>
      <c r="B984" s="2" t="s">
        <v>2621</v>
      </c>
      <c r="C984" s="2" t="s">
        <v>2645</v>
      </c>
      <c r="D984" s="2" t="s">
        <v>2516</v>
      </c>
      <c r="E984" s="2" t="s">
        <v>2529</v>
      </c>
      <c r="F984" s="3">
        <v>115691</v>
      </c>
      <c r="G984" s="3">
        <v>4297</v>
      </c>
      <c r="H984" s="3">
        <v>466</v>
      </c>
      <c r="I984" s="4">
        <v>3908.17</v>
      </c>
      <c r="J984" s="4">
        <v>91499.65</v>
      </c>
      <c r="K984" s="3">
        <v>323</v>
      </c>
      <c r="L984" s="2" t="s">
        <v>2536</v>
      </c>
      <c r="M984" s="2" t="s">
        <v>2537</v>
      </c>
      <c r="N984" s="8">
        <f>IFERROR(G984/F984,0)</f>
        <v>3.714204216404042E-2</v>
      </c>
      <c r="O984" s="8">
        <f>IFERROR(H984/G984,0)</f>
        <v>0.10844775424714917</v>
      </c>
      <c r="P984" s="4">
        <f>IFERROR(I984/G984,0)</f>
        <v>0.90951128694437977</v>
      </c>
      <c r="Q984" s="4">
        <f>IFERROR(I984/H984,0)</f>
        <v>8.3866309012875533</v>
      </c>
      <c r="R984" s="12">
        <f>IFERROR(J984/I984,0)</f>
        <v>23.412402735807294</v>
      </c>
      <c r="S984" s="7">
        <f>Tabla_nuevas_columnas[[#This Row],[ROAS]]</f>
        <v>23.412402735807294</v>
      </c>
      <c r="T984" t="str">
        <f>_xlfn.CONCAT(C984,"-",D984)</f>
        <v>Por identificar-México</v>
      </c>
      <c r="U984">
        <f>YEAR(A984)</f>
        <v>2025</v>
      </c>
      <c r="V984">
        <f>MONTH(A984)</f>
        <v>3</v>
      </c>
      <c r="W984" t="str">
        <f>PROPER(TEXT(A984,"mmmm"))</f>
        <v>Marzo</v>
      </c>
      <c r="X984" t="str">
        <f>PROPER(TEXT(A984,"dddd"))</f>
        <v>Martes</v>
      </c>
      <c r="Y984" t="str" cm="1">
        <f t="array" ref="Y984">_xlfn.IFS(R984&gt;10,"Excelente",R984&gt;=5,"Bueno",R984&gt;=2,"Débil",R984&lt;2,"Deficiente")</f>
        <v>Excelente</v>
      </c>
      <c r="Z984" t="str">
        <f>IF(AND(R984&lt;2,Q984&gt;=100),"Revisar","OK")</f>
        <v>OK</v>
      </c>
      <c r="AA984" s="55">
        <f>_xlfn.XLOOKUP(C984,'Preguntas de negocio'!$C$114:$C$119,'Preguntas de negocio'!$D$114:$D$119,0)</f>
        <v>0</v>
      </c>
      <c r="AB984" s="55">
        <f>VLOOKUP(C984,'Preguntas de negocio'!$C$121:$D$127,2,FALSE)</f>
        <v>0</v>
      </c>
    </row>
    <row r="985" spans="1:28" x14ac:dyDescent="0.3">
      <c r="A985" s="1">
        <v>45859</v>
      </c>
      <c r="B985" s="2" t="s">
        <v>2632</v>
      </c>
      <c r="C985" s="2" t="s">
        <v>2645</v>
      </c>
      <c r="D985" s="2" t="s">
        <v>2522</v>
      </c>
      <c r="E985" s="2" t="s">
        <v>2517</v>
      </c>
      <c r="F985" s="3">
        <v>59275</v>
      </c>
      <c r="G985" s="3">
        <v>1012</v>
      </c>
      <c r="H985" s="3">
        <v>41</v>
      </c>
      <c r="I985" s="4">
        <v>197.08</v>
      </c>
      <c r="J985" s="4">
        <v>5609.18</v>
      </c>
      <c r="K985" s="3">
        <v>30</v>
      </c>
      <c r="L985" s="2" t="s">
        <v>2518</v>
      </c>
      <c r="M985" s="2" t="s">
        <v>2526</v>
      </c>
      <c r="N985" s="8">
        <f>IFERROR(G985/F985,0)</f>
        <v>1.7072964993673556E-2</v>
      </c>
      <c r="O985" s="8">
        <f>IFERROR(H985/G985,0)</f>
        <v>4.0513833992094864E-2</v>
      </c>
      <c r="P985" s="4">
        <f>IFERROR(I985/G985,0)</f>
        <v>0.19474308300395257</v>
      </c>
      <c r="Q985" s="4">
        <f>IFERROR(I985/H985,0)</f>
        <v>4.8068292682926836</v>
      </c>
      <c r="R985" s="12">
        <f>IFERROR(J985/I985,0)</f>
        <v>28.461436979906637</v>
      </c>
      <c r="S985" s="7">
        <f>Tabla_nuevas_columnas[[#This Row],[ROAS]]</f>
        <v>28.461436979906637</v>
      </c>
      <c r="T985" t="str">
        <f>_xlfn.CONCAT(C985,"-",D985)</f>
        <v>Por identificar-Italia</v>
      </c>
      <c r="U985">
        <f>YEAR(A985)</f>
        <v>2025</v>
      </c>
      <c r="V985">
        <f>MONTH(A985)</f>
        <v>7</v>
      </c>
      <c r="W985" t="str">
        <f>PROPER(TEXT(A985,"mmmm"))</f>
        <v>Julio</v>
      </c>
      <c r="X985" t="str">
        <f>PROPER(TEXT(A985,"dddd"))</f>
        <v>Lunes</v>
      </c>
      <c r="Y985" t="str" cm="1">
        <f t="array" ref="Y985">_xlfn.IFS(R985&gt;10,"Excelente",R985&gt;=5,"Bueno",R985&gt;=2,"Débil",R985&lt;2,"Deficiente")</f>
        <v>Excelente</v>
      </c>
      <c r="Z985" t="str">
        <f>IF(AND(R985&lt;2,Q985&gt;=100),"Revisar","OK")</f>
        <v>OK</v>
      </c>
      <c r="AA985" s="55">
        <f>_xlfn.XLOOKUP(C985,'Preguntas de negocio'!$C$114:$C$119,'Preguntas de negocio'!$D$114:$D$119,0)</f>
        <v>0</v>
      </c>
      <c r="AB985" s="55">
        <f>VLOOKUP(C985,'Preguntas de negocio'!$C$121:$D$127,2,FALSE)</f>
        <v>0</v>
      </c>
    </row>
    <row r="986" spans="1:28" x14ac:dyDescent="0.3">
      <c r="A986" s="1">
        <v>45797</v>
      </c>
      <c r="B986" s="2" t="s">
        <v>2642</v>
      </c>
      <c r="C986" s="2" t="s">
        <v>2541</v>
      </c>
      <c r="D986" s="2" t="s">
        <v>2528</v>
      </c>
      <c r="E986" s="2" t="s">
        <v>2517</v>
      </c>
      <c r="F986" s="3">
        <v>40440</v>
      </c>
      <c r="G986" s="3">
        <v>2315</v>
      </c>
      <c r="H986" s="3">
        <v>181</v>
      </c>
      <c r="I986" s="4">
        <v>3457.49</v>
      </c>
      <c r="J986" s="4">
        <v>11670.72</v>
      </c>
      <c r="K986" s="3">
        <v>120</v>
      </c>
      <c r="L986" s="2" t="s">
        <v>2536</v>
      </c>
      <c r="M986" s="2" t="s">
        <v>2526</v>
      </c>
      <c r="N986" s="8">
        <f>IFERROR(G986/F986,0)</f>
        <v>5.7245301681503463E-2</v>
      </c>
      <c r="O986" s="8">
        <f>IFERROR(H986/G986,0)</f>
        <v>7.8185745140388771E-2</v>
      </c>
      <c r="P986" s="4">
        <f>IFERROR(I986/G986,0)</f>
        <v>1.4935161987041037</v>
      </c>
      <c r="Q986" s="4">
        <f>IFERROR(I986/H986,0)</f>
        <v>19.102154696132594</v>
      </c>
      <c r="R986" s="12">
        <f>IFERROR(J986/I986,0)</f>
        <v>3.3754891554277813</v>
      </c>
      <c r="S986" s="7">
        <f>Tabla_nuevas_columnas[[#This Row],[ROAS]]</f>
        <v>3.3754891554277813</v>
      </c>
      <c r="T986" t="str">
        <f>_xlfn.CONCAT(C986,"-",D986)</f>
        <v>Display-España</v>
      </c>
      <c r="U986">
        <f>YEAR(A986)</f>
        <v>2025</v>
      </c>
      <c r="V986">
        <f>MONTH(A986)</f>
        <v>5</v>
      </c>
      <c r="W986" t="str">
        <f>PROPER(TEXT(A986,"mmmm"))</f>
        <v>Mayo</v>
      </c>
      <c r="X986" t="str">
        <f>PROPER(TEXT(A986,"dddd"))</f>
        <v>Martes</v>
      </c>
      <c r="Y986" t="str" cm="1">
        <f t="array" ref="Y986">_xlfn.IFS(R986&gt;10,"Excelente",R986&gt;=5,"Bueno",R986&gt;=2,"Débil",R986&lt;2,"Deficiente")</f>
        <v>Débil</v>
      </c>
      <c r="Z986" t="str">
        <f>IF(AND(R986&lt;2,Q986&gt;=100),"Revisar","OK")</f>
        <v>OK</v>
      </c>
      <c r="AA986" s="55">
        <f>_xlfn.XLOOKUP(C986,'Preguntas de negocio'!$C$114:$C$119,'Preguntas de negocio'!$D$114:$D$119,0)</f>
        <v>5</v>
      </c>
      <c r="AB986" s="55">
        <f>VLOOKUP(C986,'Preguntas de negocio'!$C$121:$D$127,2,FALSE)</f>
        <v>0.5</v>
      </c>
    </row>
    <row r="987" spans="1:28" x14ac:dyDescent="0.3">
      <c r="A987" s="1">
        <v>45801</v>
      </c>
      <c r="B987" s="2" t="s">
        <v>2636</v>
      </c>
      <c r="C987" s="2" t="s">
        <v>2543</v>
      </c>
      <c r="D987" s="2" t="s">
        <v>2525</v>
      </c>
      <c r="E987" s="2" t="s">
        <v>2529</v>
      </c>
      <c r="F987" s="3">
        <v>137348</v>
      </c>
      <c r="G987" s="3">
        <v>10190</v>
      </c>
      <c r="H987" s="3">
        <v>700</v>
      </c>
      <c r="I987" s="4">
        <v>15445.47</v>
      </c>
      <c r="J987" s="4">
        <v>56834.55</v>
      </c>
      <c r="K987" s="3">
        <v>595</v>
      </c>
      <c r="L987" s="2" t="s">
        <v>2536</v>
      </c>
      <c r="M987" s="2" t="s">
        <v>2524</v>
      </c>
      <c r="N987" s="8">
        <f>IFERROR(G987/F987,0)</f>
        <v>7.4191105804234506E-2</v>
      </c>
      <c r="O987" s="8">
        <f>IFERROR(H987/G987,0)</f>
        <v>6.8694798822374878E-2</v>
      </c>
      <c r="P987" s="4">
        <f>IFERROR(I987/G987,0)</f>
        <v>1.515747791952895</v>
      </c>
      <c r="Q987" s="4">
        <f>IFERROR(I987/H987,0)</f>
        <v>22.064957142857143</v>
      </c>
      <c r="R987" s="12">
        <f>IFERROR(J987/I987,0)</f>
        <v>3.679690550044771</v>
      </c>
      <c r="S987" s="7">
        <f>Tabla_nuevas_columnas[[#This Row],[ROAS]]</f>
        <v>3.679690550044771</v>
      </c>
      <c r="T987" t="str">
        <f>_xlfn.CONCAT(C987,"-",D987)</f>
        <v>Organic Social-Francia</v>
      </c>
      <c r="U987">
        <f>YEAR(A987)</f>
        <v>2025</v>
      </c>
      <c r="V987">
        <f>MONTH(A987)</f>
        <v>5</v>
      </c>
      <c r="W987" t="str">
        <f>PROPER(TEXT(A987,"mmmm"))</f>
        <v>Mayo</v>
      </c>
      <c r="X987" t="str">
        <f>PROPER(TEXT(A987,"dddd"))</f>
        <v>Sábado</v>
      </c>
      <c r="Y987" t="str" cm="1">
        <f t="array" ref="Y987">_xlfn.IFS(R987&gt;10,"Excelente",R987&gt;=5,"Bueno",R987&gt;=2,"Débil",R987&lt;2,"Deficiente")</f>
        <v>Débil</v>
      </c>
      <c r="Z987" t="str">
        <f>IF(AND(R987&lt;2,Q987&gt;=100),"Revisar","OK")</f>
        <v>OK</v>
      </c>
      <c r="AA987" s="55">
        <f>_xlfn.XLOOKUP(C987,'Preguntas de negocio'!$C$114:$C$119,'Preguntas de negocio'!$D$114:$D$119,0)</f>
        <v>4</v>
      </c>
      <c r="AB987" s="55">
        <f>VLOOKUP(C987,'Preguntas de negocio'!$C$121:$D$127,2,FALSE)</f>
        <v>0.95</v>
      </c>
    </row>
    <row r="988" spans="1:28" x14ac:dyDescent="0.3">
      <c r="A988" s="1">
        <v>45970</v>
      </c>
      <c r="B988" s="2" t="s">
        <v>2632</v>
      </c>
      <c r="C988" s="2" t="s">
        <v>2527</v>
      </c>
      <c r="D988" s="2" t="s">
        <v>2531</v>
      </c>
      <c r="E988" s="2" t="s">
        <v>2534</v>
      </c>
      <c r="F988" s="3">
        <v>93484</v>
      </c>
      <c r="G988" s="3">
        <v>7730</v>
      </c>
      <c r="H988" s="3">
        <v>796</v>
      </c>
      <c r="I988" s="4">
        <v>8103.71</v>
      </c>
      <c r="J988" s="4">
        <v>44460.06</v>
      </c>
      <c r="K988" s="3">
        <v>602</v>
      </c>
      <c r="L988" s="2" t="s">
        <v>2536</v>
      </c>
      <c r="M988" s="2" t="s">
        <v>2537</v>
      </c>
      <c r="N988" s="8">
        <f>IFERROR(G988/F988,0)</f>
        <v>8.2687946600487783E-2</v>
      </c>
      <c r="O988" s="8">
        <f>IFERROR(H988/G988,0)</f>
        <v>0.10297542043984476</v>
      </c>
      <c r="P988" s="4">
        <f>IFERROR(I988/G988,0)</f>
        <v>1.0483454075032341</v>
      </c>
      <c r="Q988" s="4">
        <f>IFERROR(I988/H988,0)</f>
        <v>10.180540201005025</v>
      </c>
      <c r="R988" s="12">
        <f>IFERROR(J988/I988,0)</f>
        <v>5.4863833972341061</v>
      </c>
      <c r="S988" s="7">
        <f>Tabla_nuevas_columnas[[#This Row],[ROAS]]</f>
        <v>5.4863833972341061</v>
      </c>
      <c r="T988" t="str">
        <f>_xlfn.CONCAT(C988,"-",D988)</f>
        <v>Affiliate-Portugal</v>
      </c>
      <c r="U988">
        <f>YEAR(A988)</f>
        <v>2025</v>
      </c>
      <c r="V988">
        <f>MONTH(A988)</f>
        <v>11</v>
      </c>
      <c r="W988" t="str">
        <f>PROPER(TEXT(A988,"mmmm"))</f>
        <v>Noviembre</v>
      </c>
      <c r="X988" t="str">
        <f>PROPER(TEXT(A988,"dddd"))</f>
        <v>Domingo</v>
      </c>
      <c r="Y988" t="str" cm="1">
        <f t="array" ref="Y988">_xlfn.IFS(R988&gt;10,"Excelente",R988&gt;=5,"Bueno",R988&gt;=2,"Débil",R988&lt;2,"Deficiente")</f>
        <v>Bueno</v>
      </c>
      <c r="Z988" t="str">
        <f>IF(AND(R988&lt;2,Q988&gt;=100),"Revisar","OK")</f>
        <v>OK</v>
      </c>
      <c r="AA988" s="55">
        <f>_xlfn.XLOOKUP(C988,'Preguntas de negocio'!$C$114:$C$119,'Preguntas de negocio'!$D$114:$D$119,0)</f>
        <v>4.5</v>
      </c>
      <c r="AB988" s="55">
        <f>VLOOKUP(C988,'Preguntas de negocio'!$C$121:$D$127,2,FALSE)</f>
        <v>0.35</v>
      </c>
    </row>
    <row r="989" spans="1:28" x14ac:dyDescent="0.3">
      <c r="A989" s="1">
        <v>45704</v>
      </c>
      <c r="B989" s="2" t="s">
        <v>2632</v>
      </c>
      <c r="C989" s="2" t="s">
        <v>2541</v>
      </c>
      <c r="D989" s="2" t="s">
        <v>2516</v>
      </c>
      <c r="E989" s="2" t="s">
        <v>2529</v>
      </c>
      <c r="F989" s="3">
        <v>146627</v>
      </c>
      <c r="G989" s="3">
        <v>4232</v>
      </c>
      <c r="H989" s="3">
        <v>390</v>
      </c>
      <c r="I989" s="4">
        <v>964.12</v>
      </c>
      <c r="J989" s="4">
        <v>68528.31</v>
      </c>
      <c r="K989" s="3">
        <v>266</v>
      </c>
      <c r="L989" s="2" t="s">
        <v>2539</v>
      </c>
      <c r="M989" s="2" t="s">
        <v>2519</v>
      </c>
      <c r="N989" s="8">
        <f>IFERROR(G989/F989,0)</f>
        <v>2.8862351408676438E-2</v>
      </c>
      <c r="O989" s="8">
        <f>IFERROR(H989/G989,0)</f>
        <v>9.2155009451795847E-2</v>
      </c>
      <c r="P989" s="4">
        <f>IFERROR(I989/G989,0)</f>
        <v>0.22781663516068054</v>
      </c>
      <c r="Q989" s="4">
        <f>IFERROR(I989/H989,0)</f>
        <v>2.4721025641025642</v>
      </c>
      <c r="R989" s="12">
        <f>IFERROR(J989/I989,0)</f>
        <v>71.078610546405002</v>
      </c>
      <c r="S989" s="7">
        <f>Tabla_nuevas_columnas[[#This Row],[ROAS]]</f>
        <v>71.078610546405002</v>
      </c>
      <c r="T989" t="str">
        <f>_xlfn.CONCAT(C989,"-",D989)</f>
        <v>Display-México</v>
      </c>
      <c r="U989">
        <f>YEAR(A989)</f>
        <v>2025</v>
      </c>
      <c r="V989">
        <f>MONTH(A989)</f>
        <v>2</v>
      </c>
      <c r="W989" t="str">
        <f>PROPER(TEXT(A989,"mmmm"))</f>
        <v>Febrero</v>
      </c>
      <c r="X989" t="str">
        <f>PROPER(TEXT(A989,"dddd"))</f>
        <v>Domingo</v>
      </c>
      <c r="Y989" t="str" cm="1">
        <f t="array" ref="Y989">_xlfn.IFS(R989&gt;10,"Excelente",R989&gt;=5,"Bueno",R989&gt;=2,"Débil",R989&lt;2,"Deficiente")</f>
        <v>Excelente</v>
      </c>
      <c r="Z989" t="str">
        <f>IF(AND(R989&lt;2,Q989&gt;=100),"Revisar","OK")</f>
        <v>OK</v>
      </c>
      <c r="AA989" s="55">
        <f>_xlfn.XLOOKUP(C989,'Preguntas de negocio'!$C$114:$C$119,'Preguntas de negocio'!$D$114:$D$119,0)</f>
        <v>5</v>
      </c>
      <c r="AB989" s="55">
        <f>VLOOKUP(C989,'Preguntas de negocio'!$C$121:$D$127,2,FALSE)</f>
        <v>0.5</v>
      </c>
    </row>
    <row r="990" spans="1:28" x14ac:dyDescent="0.3">
      <c r="A990" s="1">
        <v>45909</v>
      </c>
      <c r="B990" s="2" t="s">
        <v>2630</v>
      </c>
      <c r="C990" s="2" t="s">
        <v>2543</v>
      </c>
      <c r="D990" s="2" t="s">
        <v>2522</v>
      </c>
      <c r="E990" s="2" t="s">
        <v>2529</v>
      </c>
      <c r="F990" s="3">
        <v>21568</v>
      </c>
      <c r="G990" s="3">
        <v>447</v>
      </c>
      <c r="H990" s="3">
        <v>4</v>
      </c>
      <c r="I990" s="4">
        <v>228.5</v>
      </c>
      <c r="J990" s="4">
        <v>415.24</v>
      </c>
      <c r="K990" s="3">
        <v>2</v>
      </c>
      <c r="L990" s="2" t="s">
        <v>2523</v>
      </c>
      <c r="M990" s="2" t="s">
        <v>2519</v>
      </c>
      <c r="N990" s="8">
        <f>IFERROR(G990/F990,0)</f>
        <v>2.0725148367952521E-2</v>
      </c>
      <c r="O990" s="8">
        <f>IFERROR(H990/G990,0)</f>
        <v>8.948545861297539E-3</v>
      </c>
      <c r="P990" s="4">
        <f>IFERROR(I990/G990,0)</f>
        <v>0.51118568232662187</v>
      </c>
      <c r="Q990" s="4">
        <f>IFERROR(I990/H990,0)</f>
        <v>57.125</v>
      </c>
      <c r="R990" s="12">
        <f>IFERROR(J990/I990,0)</f>
        <v>1.8172428884026259</v>
      </c>
      <c r="S990" s="7">
        <f>Tabla_nuevas_columnas[[#This Row],[ROAS]]</f>
        <v>1.8172428884026259</v>
      </c>
      <c r="T990" t="str">
        <f>_xlfn.CONCAT(C990,"-",D990)</f>
        <v>Organic Social-Italia</v>
      </c>
      <c r="U990">
        <f>YEAR(A990)</f>
        <v>2025</v>
      </c>
      <c r="V990">
        <f>MONTH(A990)</f>
        <v>9</v>
      </c>
      <c r="W990" t="str">
        <f>PROPER(TEXT(A990,"mmmm"))</f>
        <v>Septiembre</v>
      </c>
      <c r="X990" t="str">
        <f>PROPER(TEXT(A990,"dddd"))</f>
        <v>Martes</v>
      </c>
      <c r="Y990" t="str" cm="1">
        <f t="array" ref="Y990">_xlfn.IFS(R990&gt;10,"Excelente",R990&gt;=5,"Bueno",R990&gt;=2,"Débil",R990&lt;2,"Deficiente")</f>
        <v>Deficiente</v>
      </c>
      <c r="Z990" t="str">
        <f>IF(AND(R990&lt;2,Q990&gt;=100),"Revisar","OK")</f>
        <v>OK</v>
      </c>
      <c r="AA990" s="55">
        <f>_xlfn.XLOOKUP(C990,'Preguntas de negocio'!$C$114:$C$119,'Preguntas de negocio'!$D$114:$D$119,0)</f>
        <v>4</v>
      </c>
      <c r="AB990" s="55">
        <f>VLOOKUP(C990,'Preguntas de negocio'!$C$121:$D$127,2,FALSE)</f>
        <v>0.95</v>
      </c>
    </row>
    <row r="991" spans="1:28" x14ac:dyDescent="0.3">
      <c r="A991" s="1">
        <v>45967</v>
      </c>
      <c r="B991" s="2" t="s">
        <v>2639</v>
      </c>
      <c r="C991" s="2" t="s">
        <v>2533</v>
      </c>
      <c r="D991" s="2" t="s">
        <v>2531</v>
      </c>
      <c r="E991" s="2" t="s">
        <v>2529</v>
      </c>
      <c r="F991" s="3">
        <v>88614</v>
      </c>
      <c r="G991" s="3">
        <v>2787</v>
      </c>
      <c r="H991" s="3">
        <v>216</v>
      </c>
      <c r="I991" s="4">
        <v>5386.79</v>
      </c>
      <c r="J991" s="4">
        <v>7164.93</v>
      </c>
      <c r="K991" s="3">
        <v>117</v>
      </c>
      <c r="L991" s="2" t="s">
        <v>2518</v>
      </c>
      <c r="M991" s="2" t="s">
        <v>2524</v>
      </c>
      <c r="N991" s="8">
        <f>IFERROR(G991/F991,0)</f>
        <v>3.1451012255399827E-2</v>
      </c>
      <c r="O991" s="8">
        <f>IFERROR(H991/G991,0)</f>
        <v>7.7502691065662002E-2</v>
      </c>
      <c r="P991" s="4">
        <f>IFERROR(I991/G991,0)</f>
        <v>1.9328274129888769</v>
      </c>
      <c r="Q991" s="4">
        <f>IFERROR(I991/H991,0)</f>
        <v>24.938842592592593</v>
      </c>
      <c r="R991" s="12">
        <f>IFERROR(J991/I991,0)</f>
        <v>1.330092689709456</v>
      </c>
      <c r="S991" s="7">
        <f>Tabla_nuevas_columnas[[#This Row],[ROAS]]</f>
        <v>1.330092689709456</v>
      </c>
      <c r="T991" t="str">
        <f>_xlfn.CONCAT(C991,"-",D991)</f>
        <v>Paid Social-Portugal</v>
      </c>
      <c r="U991">
        <f>YEAR(A991)</f>
        <v>2025</v>
      </c>
      <c r="V991">
        <f>MONTH(A991)</f>
        <v>11</v>
      </c>
      <c r="W991" t="str">
        <f>PROPER(TEXT(A991,"mmmm"))</f>
        <v>Noviembre</v>
      </c>
      <c r="X991" t="str">
        <f>PROPER(TEXT(A991,"dddd"))</f>
        <v>Jueves</v>
      </c>
      <c r="Y991" t="str" cm="1">
        <f t="array" ref="Y991">_xlfn.IFS(R991&gt;10,"Excelente",R991&gt;=5,"Bueno",R991&gt;=2,"Débil",R991&lt;2,"Deficiente")</f>
        <v>Deficiente</v>
      </c>
      <c r="Z991" t="str">
        <f>IF(AND(R991&lt;2,Q991&gt;=100),"Revisar","OK")</f>
        <v>OK</v>
      </c>
      <c r="AA991" s="55">
        <f>_xlfn.XLOOKUP(C991,'Preguntas de negocio'!$C$114:$C$119,'Preguntas de negocio'!$D$114:$D$119,0)</f>
        <v>6</v>
      </c>
      <c r="AB991" s="55">
        <f>VLOOKUP(C991,'Preguntas de negocio'!$C$121:$D$127,2,FALSE)</f>
        <v>0.8</v>
      </c>
    </row>
    <row r="992" spans="1:28" x14ac:dyDescent="0.3">
      <c r="A992" s="1">
        <v>45939</v>
      </c>
      <c r="B992" s="2" t="s">
        <v>2616</v>
      </c>
      <c r="C992" s="2" t="s">
        <v>2541</v>
      </c>
      <c r="D992" s="2" t="s">
        <v>2528</v>
      </c>
      <c r="E992" s="2" t="s">
        <v>2529</v>
      </c>
      <c r="F992" s="3">
        <v>137155</v>
      </c>
      <c r="G992" s="3">
        <v>9053</v>
      </c>
      <c r="H992" s="3">
        <v>486</v>
      </c>
      <c r="I992" s="4">
        <v>14717.34</v>
      </c>
      <c r="J992" s="4">
        <v>92117.79</v>
      </c>
      <c r="K992" s="3">
        <v>236</v>
      </c>
      <c r="L992" s="2" t="s">
        <v>2523</v>
      </c>
      <c r="M992" s="2" t="s">
        <v>2546</v>
      </c>
      <c r="N992" s="8">
        <f>IFERROR(G992/F992,0)</f>
        <v>6.6005614086252773E-2</v>
      </c>
      <c r="O992" s="8">
        <f>IFERROR(H992/G992,0)</f>
        <v>5.368386170330277E-2</v>
      </c>
      <c r="P992" s="4">
        <f>IFERROR(I992/G992,0)</f>
        <v>1.6256865127582016</v>
      </c>
      <c r="Q992" s="4">
        <f>IFERROR(I992/H992,0)</f>
        <v>30.282592592592593</v>
      </c>
      <c r="R992" s="12">
        <f>IFERROR(J992/I992,0)</f>
        <v>6.2591331042158425</v>
      </c>
      <c r="S992" s="7">
        <f>Tabla_nuevas_columnas[[#This Row],[ROAS]]</f>
        <v>6.2591331042158425</v>
      </c>
      <c r="T992" t="str">
        <f>_xlfn.CONCAT(C992,"-",D992)</f>
        <v>Display-España</v>
      </c>
      <c r="U992">
        <f>YEAR(A992)</f>
        <v>2025</v>
      </c>
      <c r="V992">
        <f>MONTH(A992)</f>
        <v>10</v>
      </c>
      <c r="W992" t="str">
        <f>PROPER(TEXT(A992,"mmmm"))</f>
        <v>Octubre</v>
      </c>
      <c r="X992" t="str">
        <f>PROPER(TEXT(A992,"dddd"))</f>
        <v>Jueves</v>
      </c>
      <c r="Y992" t="str" cm="1">
        <f t="array" ref="Y992">_xlfn.IFS(R992&gt;10,"Excelente",R992&gt;=5,"Bueno",R992&gt;=2,"Débil",R992&lt;2,"Deficiente")</f>
        <v>Bueno</v>
      </c>
      <c r="Z992" t="str">
        <f>IF(AND(R992&lt;2,Q992&gt;=100),"Revisar","OK")</f>
        <v>OK</v>
      </c>
      <c r="AA992" s="55">
        <f>_xlfn.XLOOKUP(C992,'Preguntas de negocio'!$C$114:$C$119,'Preguntas de negocio'!$D$114:$D$119,0)</f>
        <v>5</v>
      </c>
      <c r="AB992" s="55">
        <f>VLOOKUP(C992,'Preguntas de negocio'!$C$121:$D$127,2,FALSE)</f>
        <v>0.5</v>
      </c>
    </row>
    <row r="993" spans="1:28" x14ac:dyDescent="0.3">
      <c r="A993" s="1">
        <v>45738</v>
      </c>
      <c r="B993" s="2" t="s">
        <v>2620</v>
      </c>
      <c r="C993" s="2" t="s">
        <v>2533</v>
      </c>
      <c r="D993" s="2" t="s">
        <v>2528</v>
      </c>
      <c r="E993" s="2" t="s">
        <v>2517</v>
      </c>
      <c r="F993" s="3">
        <v>77768</v>
      </c>
      <c r="G993" s="3">
        <v>3477</v>
      </c>
      <c r="H993" s="3">
        <v>241</v>
      </c>
      <c r="I993" s="4">
        <v>2650.64</v>
      </c>
      <c r="J993" s="4">
        <v>26385.71</v>
      </c>
      <c r="K993" s="3">
        <v>216</v>
      </c>
      <c r="L993" s="2" t="s">
        <v>2518</v>
      </c>
      <c r="M993" s="2" t="s">
        <v>2537</v>
      </c>
      <c r="N993" s="8">
        <f>IFERROR(G993/F993,0)</f>
        <v>4.4709906388231663E-2</v>
      </c>
      <c r="O993" s="8">
        <f>IFERROR(H993/G993,0)</f>
        <v>6.9312625826862234E-2</v>
      </c>
      <c r="P993" s="4">
        <f>IFERROR(I993/G993,0)</f>
        <v>0.76233534656312907</v>
      </c>
      <c r="Q993" s="4">
        <f>IFERROR(I993/H993,0)</f>
        <v>10.998506224066389</v>
      </c>
      <c r="R993" s="12">
        <f>IFERROR(J993/I993,0)</f>
        <v>9.9544676002776686</v>
      </c>
      <c r="S993" s="7">
        <f>Tabla_nuevas_columnas[[#This Row],[ROAS]]</f>
        <v>9.9544676002776686</v>
      </c>
      <c r="T993" t="str">
        <f>_xlfn.CONCAT(C993,"-",D993)</f>
        <v>Paid Social-España</v>
      </c>
      <c r="U993">
        <f>YEAR(A993)</f>
        <v>2025</v>
      </c>
      <c r="V993">
        <f>MONTH(A993)</f>
        <v>3</v>
      </c>
      <c r="W993" t="str">
        <f>PROPER(TEXT(A993,"mmmm"))</f>
        <v>Marzo</v>
      </c>
      <c r="X993" t="str">
        <f>PROPER(TEXT(A993,"dddd"))</f>
        <v>Sábado</v>
      </c>
      <c r="Y993" t="str" cm="1">
        <f t="array" ref="Y993">_xlfn.IFS(R993&gt;10,"Excelente",R993&gt;=5,"Bueno",R993&gt;=2,"Débil",R993&lt;2,"Deficiente")</f>
        <v>Bueno</v>
      </c>
      <c r="Z993" t="str">
        <f>IF(AND(R993&lt;2,Q993&gt;=100),"Revisar","OK")</f>
        <v>OK</v>
      </c>
      <c r="AA993" s="55">
        <f>_xlfn.XLOOKUP(C993,'Preguntas de negocio'!$C$114:$C$119,'Preguntas de negocio'!$D$114:$D$119,0)</f>
        <v>6</v>
      </c>
      <c r="AB993" s="55">
        <f>VLOOKUP(C993,'Preguntas de negocio'!$C$121:$D$127,2,FALSE)</f>
        <v>0.8</v>
      </c>
    </row>
    <row r="994" spans="1:28" x14ac:dyDescent="0.3">
      <c r="A994" s="1">
        <v>45927</v>
      </c>
      <c r="B994" s="2" t="s">
        <v>2642</v>
      </c>
      <c r="C994" s="2" t="s">
        <v>2533</v>
      </c>
      <c r="D994" s="2" t="s">
        <v>2522</v>
      </c>
      <c r="E994" s="2" t="s">
        <v>2529</v>
      </c>
      <c r="F994" s="3">
        <v>41555</v>
      </c>
      <c r="G994" s="3">
        <v>3734</v>
      </c>
      <c r="H994" s="3">
        <v>406</v>
      </c>
      <c r="I994" s="4">
        <v>5396.3</v>
      </c>
      <c r="J994" s="4">
        <v>24339.39</v>
      </c>
      <c r="K994" s="3">
        <v>340</v>
      </c>
      <c r="L994" s="2" t="s">
        <v>2539</v>
      </c>
      <c r="M994" s="2" t="s">
        <v>2519</v>
      </c>
      <c r="N994" s="8">
        <f>IFERROR(G994/F994,0)</f>
        <v>8.9856816267597159E-2</v>
      </c>
      <c r="O994" s="8">
        <f>IFERROR(H994/G994,0)</f>
        <v>0.10873058382431709</v>
      </c>
      <c r="P994" s="4">
        <f>IFERROR(I994/G994,0)</f>
        <v>1.4451794322442422</v>
      </c>
      <c r="Q994" s="4">
        <f>IFERROR(I994/H994,0)</f>
        <v>13.291379310344828</v>
      </c>
      <c r="R994" s="12">
        <f>IFERROR(J994/I994,0)</f>
        <v>4.5103848933528523</v>
      </c>
      <c r="S994" s="7">
        <f>Tabla_nuevas_columnas[[#This Row],[ROAS]]</f>
        <v>4.5103848933528523</v>
      </c>
      <c r="T994" t="str">
        <f>_xlfn.CONCAT(C994,"-",D994)</f>
        <v>Paid Social-Italia</v>
      </c>
      <c r="U994">
        <f>YEAR(A994)</f>
        <v>2025</v>
      </c>
      <c r="V994">
        <f>MONTH(A994)</f>
        <v>9</v>
      </c>
      <c r="W994" t="str">
        <f>PROPER(TEXT(A994,"mmmm"))</f>
        <v>Septiembre</v>
      </c>
      <c r="X994" t="str">
        <f>PROPER(TEXT(A994,"dddd"))</f>
        <v>Sábado</v>
      </c>
      <c r="Y994" t="str" cm="1">
        <f t="array" ref="Y994">_xlfn.IFS(R994&gt;10,"Excelente",R994&gt;=5,"Bueno",R994&gt;=2,"Débil",R994&lt;2,"Deficiente")</f>
        <v>Débil</v>
      </c>
      <c r="Z994" t="str">
        <f>IF(AND(R994&lt;2,Q994&gt;=100),"Revisar","OK")</f>
        <v>OK</v>
      </c>
      <c r="AA994" s="55">
        <f>_xlfn.XLOOKUP(C994,'Preguntas de negocio'!$C$114:$C$119,'Preguntas de negocio'!$D$114:$D$119,0)</f>
        <v>6</v>
      </c>
      <c r="AB994" s="55">
        <f>VLOOKUP(C994,'Preguntas de negocio'!$C$121:$D$127,2,FALSE)</f>
        <v>0.8</v>
      </c>
    </row>
    <row r="995" spans="1:28" x14ac:dyDescent="0.3">
      <c r="A995" s="1">
        <v>45972</v>
      </c>
      <c r="B995" s="2" t="s">
        <v>2639</v>
      </c>
      <c r="C995" s="2" t="s">
        <v>2515</v>
      </c>
      <c r="D995" s="2" t="s">
        <v>2528</v>
      </c>
      <c r="E995" s="2" t="s">
        <v>2529</v>
      </c>
      <c r="F995" s="3">
        <v>158040</v>
      </c>
      <c r="G995" s="3">
        <v>5300</v>
      </c>
      <c r="H995" s="3">
        <v>643</v>
      </c>
      <c r="I995" s="4">
        <v>3699.69</v>
      </c>
      <c r="J995" s="4">
        <v>52503.24</v>
      </c>
      <c r="K995" s="3">
        <v>415</v>
      </c>
      <c r="L995" s="2" t="s">
        <v>2518</v>
      </c>
      <c r="M995" s="2" t="s">
        <v>2537</v>
      </c>
      <c r="N995" s="8">
        <f>IFERROR(G995/F995,0)</f>
        <v>3.3535813718046065E-2</v>
      </c>
      <c r="O995" s="8">
        <f>IFERROR(H995/G995,0)</f>
        <v>0.12132075471698113</v>
      </c>
      <c r="P995" s="4">
        <f>IFERROR(I995/G995,0)</f>
        <v>0.69805471698113208</v>
      </c>
      <c r="Q995" s="4">
        <f>IFERROR(I995/H995,0)</f>
        <v>5.753794712286159</v>
      </c>
      <c r="R995" s="12">
        <f>IFERROR(J995/I995,0)</f>
        <v>14.191253861810043</v>
      </c>
      <c r="S995" s="7">
        <f>Tabla_nuevas_columnas[[#This Row],[ROAS]]</f>
        <v>14.191253861810043</v>
      </c>
      <c r="T995" t="str">
        <f>_xlfn.CONCAT(C995,"-",D995)</f>
        <v>Email-España</v>
      </c>
      <c r="U995">
        <f>YEAR(A995)</f>
        <v>2025</v>
      </c>
      <c r="V995">
        <f>MONTH(A995)</f>
        <v>11</v>
      </c>
      <c r="W995" t="str">
        <f>PROPER(TEXT(A995,"mmmm"))</f>
        <v>Noviembre</v>
      </c>
      <c r="X995" t="str">
        <f>PROPER(TEXT(A995,"dddd"))</f>
        <v>Martes</v>
      </c>
      <c r="Y995" t="str" cm="1">
        <f t="array" ref="Y995">_xlfn.IFS(R995&gt;10,"Excelente",R995&gt;=5,"Bueno",R995&gt;=2,"Débil",R995&lt;2,"Deficiente")</f>
        <v>Excelente</v>
      </c>
      <c r="Z995" t="str">
        <f>IF(AND(R995&lt;2,Q995&gt;=100),"Revisar","OK")</f>
        <v>OK</v>
      </c>
      <c r="AA995" s="55">
        <f>_xlfn.XLOOKUP(C995,'Preguntas de negocio'!$C$114:$C$119,'Preguntas de negocio'!$D$114:$D$119,0)</f>
        <v>5.5</v>
      </c>
      <c r="AB995" s="55">
        <f>VLOOKUP(C995,'Preguntas de negocio'!$C$121:$D$127,2,FALSE)</f>
        <v>0.65</v>
      </c>
    </row>
    <row r="996" spans="1:28" x14ac:dyDescent="0.3">
      <c r="A996" s="1">
        <v>46013</v>
      </c>
      <c r="B996" s="2" t="s">
        <v>2632</v>
      </c>
      <c r="C996" s="2" t="s">
        <v>2533</v>
      </c>
      <c r="D996" s="2" t="s">
        <v>2525</v>
      </c>
      <c r="E996" s="2" t="s">
        <v>2529</v>
      </c>
      <c r="F996" s="3">
        <v>67067</v>
      </c>
      <c r="G996" s="3">
        <v>4075</v>
      </c>
      <c r="H996" s="3">
        <v>469</v>
      </c>
      <c r="I996" s="4">
        <v>3644.6</v>
      </c>
      <c r="J996" s="4">
        <v>29998.53</v>
      </c>
      <c r="K996" s="3">
        <v>246</v>
      </c>
      <c r="L996" s="2" t="s">
        <v>2536</v>
      </c>
      <c r="M996" s="2" t="s">
        <v>2546</v>
      </c>
      <c r="N996" s="8">
        <f>IFERROR(G996/F996,0)</f>
        <v>6.0760135387001056E-2</v>
      </c>
      <c r="O996" s="8">
        <f>IFERROR(H996/G996,0)</f>
        <v>0.1150920245398773</v>
      </c>
      <c r="P996" s="4">
        <f>IFERROR(I996/G996,0)</f>
        <v>0.89438036809815946</v>
      </c>
      <c r="Q996" s="4">
        <f>IFERROR(I996/H996,0)</f>
        <v>7.7710021321961618</v>
      </c>
      <c r="R996" s="12">
        <f>IFERROR(J996/I996,0)</f>
        <v>8.2309526422652688</v>
      </c>
      <c r="S996" s="7">
        <f>Tabla_nuevas_columnas[[#This Row],[ROAS]]</f>
        <v>8.2309526422652688</v>
      </c>
      <c r="T996" t="str">
        <f>_xlfn.CONCAT(C996,"-",D996)</f>
        <v>Paid Social-Francia</v>
      </c>
      <c r="U996">
        <f>YEAR(A996)</f>
        <v>2025</v>
      </c>
      <c r="V996">
        <f>MONTH(A996)</f>
        <v>12</v>
      </c>
      <c r="W996" t="str">
        <f>PROPER(TEXT(A996,"mmmm"))</f>
        <v>Diciembre</v>
      </c>
      <c r="X996" t="str">
        <f>PROPER(TEXT(A996,"dddd"))</f>
        <v>Lunes</v>
      </c>
      <c r="Y996" t="str" cm="1">
        <f t="array" ref="Y996">_xlfn.IFS(R996&gt;10,"Excelente",R996&gt;=5,"Bueno",R996&gt;=2,"Débil",R996&lt;2,"Deficiente")</f>
        <v>Bueno</v>
      </c>
      <c r="Z996" t="str">
        <f>IF(AND(R996&lt;2,Q996&gt;=100),"Revisar","OK")</f>
        <v>OK</v>
      </c>
      <c r="AA996" s="55">
        <f>_xlfn.XLOOKUP(C996,'Preguntas de negocio'!$C$114:$C$119,'Preguntas de negocio'!$D$114:$D$119,0)</f>
        <v>6</v>
      </c>
      <c r="AB996" s="55">
        <f>VLOOKUP(C996,'Preguntas de negocio'!$C$121:$D$127,2,FALSE)</f>
        <v>0.8</v>
      </c>
    </row>
    <row r="997" spans="1:28" x14ac:dyDescent="0.3">
      <c r="A997" s="1">
        <v>45961</v>
      </c>
      <c r="B997" s="2" t="s">
        <v>2634</v>
      </c>
      <c r="C997" s="2" t="s">
        <v>2515</v>
      </c>
      <c r="D997" s="2" t="s">
        <v>2528</v>
      </c>
      <c r="E997" s="2" t="s">
        <v>2529</v>
      </c>
      <c r="F997" s="3">
        <v>24120</v>
      </c>
      <c r="G997" s="3">
        <v>2104</v>
      </c>
      <c r="H997" s="3">
        <v>284</v>
      </c>
      <c r="I997" s="4">
        <v>2152.62</v>
      </c>
      <c r="J997" s="4">
        <v>53347.32</v>
      </c>
      <c r="K997" s="3">
        <v>192</v>
      </c>
      <c r="L997" s="2" t="s">
        <v>2518</v>
      </c>
      <c r="M997" s="2" t="s">
        <v>2546</v>
      </c>
      <c r="N997" s="8">
        <f>IFERROR(G997/F997,0)</f>
        <v>8.7230514096185735E-2</v>
      </c>
      <c r="O997" s="8">
        <f>IFERROR(H997/G997,0)</f>
        <v>0.13498098859315588</v>
      </c>
      <c r="P997" s="4">
        <f>IFERROR(I997/G997,0)</f>
        <v>1.0231083650190114</v>
      </c>
      <c r="Q997" s="4">
        <f>IFERROR(I997/H997,0)</f>
        <v>7.5796478873239437</v>
      </c>
      <c r="R997" s="12">
        <f>IFERROR(J997/I997,0)</f>
        <v>24.782506898570116</v>
      </c>
      <c r="S997" s="7">
        <f>Tabla_nuevas_columnas[[#This Row],[ROAS]]</f>
        <v>24.782506898570116</v>
      </c>
      <c r="T997" t="str">
        <f>_xlfn.CONCAT(C997,"-",D997)</f>
        <v>Email-España</v>
      </c>
      <c r="U997">
        <f>YEAR(A997)</f>
        <v>2025</v>
      </c>
      <c r="V997">
        <f>MONTH(A997)</f>
        <v>10</v>
      </c>
      <c r="W997" t="str">
        <f>PROPER(TEXT(A997,"mmmm"))</f>
        <v>Octubre</v>
      </c>
      <c r="X997" t="str">
        <f>PROPER(TEXT(A997,"dddd"))</f>
        <v>Viernes</v>
      </c>
      <c r="Y997" t="str" cm="1">
        <f t="array" ref="Y997">_xlfn.IFS(R997&gt;10,"Excelente",R997&gt;=5,"Bueno",R997&gt;=2,"Débil",R997&lt;2,"Deficiente")</f>
        <v>Excelente</v>
      </c>
      <c r="Z997" t="str">
        <f>IF(AND(R997&lt;2,Q997&gt;=100),"Revisar","OK")</f>
        <v>OK</v>
      </c>
      <c r="AA997" s="55">
        <f>_xlfn.XLOOKUP(C997,'Preguntas de negocio'!$C$114:$C$119,'Preguntas de negocio'!$D$114:$D$119,0)</f>
        <v>5.5</v>
      </c>
      <c r="AB997" s="55">
        <f>VLOOKUP(C997,'Preguntas de negocio'!$C$121:$D$127,2,FALSE)</f>
        <v>0.65</v>
      </c>
    </row>
    <row r="998" spans="1:28" x14ac:dyDescent="0.3">
      <c r="A998" s="1">
        <v>45905</v>
      </c>
      <c r="B998" s="2" t="s">
        <v>2623</v>
      </c>
      <c r="C998" s="2" t="s">
        <v>2521</v>
      </c>
      <c r="D998" s="2" t="s">
        <v>2528</v>
      </c>
      <c r="E998" s="2" t="s">
        <v>2517</v>
      </c>
      <c r="F998" s="3">
        <v>50790</v>
      </c>
      <c r="G998" s="3">
        <v>1730</v>
      </c>
      <c r="H998" s="3">
        <v>63</v>
      </c>
      <c r="I998" s="4">
        <v>3511.97</v>
      </c>
      <c r="J998" s="4">
        <v>7150.79</v>
      </c>
      <c r="K998" s="3">
        <v>29</v>
      </c>
      <c r="L998" s="2" t="s">
        <v>2518</v>
      </c>
      <c r="M998" s="2" t="s">
        <v>2519</v>
      </c>
      <c r="N998" s="8">
        <f>IFERROR(G998/F998,0)</f>
        <v>3.4061823193542035E-2</v>
      </c>
      <c r="O998" s="8">
        <f>IFERROR(H998/G998,0)</f>
        <v>3.6416184971098269E-2</v>
      </c>
      <c r="P998" s="4">
        <f>IFERROR(I998/G998,0)</f>
        <v>2.0300404624277455</v>
      </c>
      <c r="Q998" s="4">
        <f>IFERROR(I998/H998,0)</f>
        <v>55.745555555555555</v>
      </c>
      <c r="R998" s="12">
        <f>IFERROR(J998/I998,0)</f>
        <v>2.036119329037549</v>
      </c>
      <c r="S998" s="7">
        <f>Tabla_nuevas_columnas[[#This Row],[ROAS]]</f>
        <v>2.036119329037549</v>
      </c>
      <c r="T998" t="str">
        <f>_xlfn.CONCAT(C998,"-",D998)</f>
        <v>Paid Search-España</v>
      </c>
      <c r="U998">
        <f>YEAR(A998)</f>
        <v>2025</v>
      </c>
      <c r="V998">
        <f>MONTH(A998)</f>
        <v>9</v>
      </c>
      <c r="W998" t="str">
        <f>PROPER(TEXT(A998,"mmmm"))</f>
        <v>Septiembre</v>
      </c>
      <c r="X998" t="str">
        <f>PROPER(TEXT(A998,"dddd"))</f>
        <v>Viernes</v>
      </c>
      <c r="Y998" t="str" cm="1">
        <f t="array" ref="Y998">_xlfn.IFS(R998&gt;10,"Excelente",R998&gt;=5,"Bueno",R998&gt;=2,"Débil",R998&lt;2,"Deficiente")</f>
        <v>Débil</v>
      </c>
      <c r="Z998" t="str">
        <f>IF(AND(R998&lt;2,Q998&gt;=100),"Revisar","OK")</f>
        <v>OK</v>
      </c>
      <c r="AA998" s="55">
        <f>_xlfn.XLOOKUP(C998,'Preguntas de negocio'!$C$114:$C$119,'Preguntas de negocio'!$D$114:$D$119,0)</f>
        <v>5</v>
      </c>
      <c r="AB998" s="55">
        <f>VLOOKUP(C998,'Preguntas de negocio'!$C$121:$D$127,2,FALSE)</f>
        <v>1.1000000000000001</v>
      </c>
    </row>
    <row r="999" spans="1:28" x14ac:dyDescent="0.3">
      <c r="A999" s="1">
        <v>45873</v>
      </c>
      <c r="B999" s="2" t="s">
        <v>2630</v>
      </c>
      <c r="C999" s="2" t="s">
        <v>2543</v>
      </c>
      <c r="D999" s="2" t="s">
        <v>2531</v>
      </c>
      <c r="E999" s="2" t="s">
        <v>2529</v>
      </c>
      <c r="F999" s="3">
        <v>84018</v>
      </c>
      <c r="G999" s="3">
        <v>1899</v>
      </c>
      <c r="H999" s="3">
        <v>225</v>
      </c>
      <c r="I999" s="4">
        <v>1804.78</v>
      </c>
      <c r="J999" s="4">
        <v>6499.81</v>
      </c>
      <c r="K999" s="3">
        <v>189</v>
      </c>
      <c r="L999" s="2" t="s">
        <v>2518</v>
      </c>
      <c r="M999" s="2" t="s">
        <v>2519</v>
      </c>
      <c r="N999" s="8">
        <f>IFERROR(G999/F999,0)</f>
        <v>2.2602299507248447E-2</v>
      </c>
      <c r="O999" s="8">
        <f>IFERROR(H999/G999,0)</f>
        <v>0.11848341232227488</v>
      </c>
      <c r="P999" s="4">
        <f>IFERROR(I999/G999,0)</f>
        <v>0.95038441284886777</v>
      </c>
      <c r="Q999" s="4">
        <f>IFERROR(I999/H999,0)</f>
        <v>8.0212444444444451</v>
      </c>
      <c r="R999" s="12">
        <f>IFERROR(J999/I999,0)</f>
        <v>3.6014417269694925</v>
      </c>
      <c r="S999" s="7">
        <f>Tabla_nuevas_columnas[[#This Row],[ROAS]]</f>
        <v>3.6014417269694925</v>
      </c>
      <c r="T999" t="str">
        <f>_xlfn.CONCAT(C999,"-",D999)</f>
        <v>Organic Social-Portugal</v>
      </c>
      <c r="U999">
        <f>YEAR(A999)</f>
        <v>2025</v>
      </c>
      <c r="V999">
        <f>MONTH(A999)</f>
        <v>8</v>
      </c>
      <c r="W999" t="str">
        <f>PROPER(TEXT(A999,"mmmm"))</f>
        <v>Agosto</v>
      </c>
      <c r="X999" t="str">
        <f>PROPER(TEXT(A999,"dddd"))</f>
        <v>Lunes</v>
      </c>
      <c r="Y999" t="str" cm="1">
        <f t="array" ref="Y999">_xlfn.IFS(R999&gt;10,"Excelente",R999&gt;=5,"Bueno",R999&gt;=2,"Débil",R999&lt;2,"Deficiente")</f>
        <v>Débil</v>
      </c>
      <c r="Z999" t="str">
        <f>IF(AND(R999&lt;2,Q999&gt;=100),"Revisar","OK")</f>
        <v>OK</v>
      </c>
      <c r="AA999" s="55">
        <f>_xlfn.XLOOKUP(C999,'Preguntas de negocio'!$C$114:$C$119,'Preguntas de negocio'!$D$114:$D$119,0)</f>
        <v>4</v>
      </c>
      <c r="AB999" s="55">
        <f>VLOOKUP(C999,'Preguntas de negocio'!$C$121:$D$127,2,FALSE)</f>
        <v>0.95</v>
      </c>
    </row>
    <row r="1000" spans="1:28" x14ac:dyDescent="0.3">
      <c r="A1000" s="1">
        <v>45823</v>
      </c>
      <c r="B1000" s="2" t="s">
        <v>2628</v>
      </c>
      <c r="C1000" s="2" t="s">
        <v>2521</v>
      </c>
      <c r="D1000" s="2" t="s">
        <v>2525</v>
      </c>
      <c r="E1000" s="2" t="s">
        <v>2529</v>
      </c>
      <c r="F1000" s="3">
        <v>49479</v>
      </c>
      <c r="G1000" s="3">
        <v>4264</v>
      </c>
      <c r="H1000" s="3">
        <v>34</v>
      </c>
      <c r="I1000" s="4">
        <v>8570.36</v>
      </c>
      <c r="J1000" s="4">
        <v>665.5</v>
      </c>
      <c r="K1000" s="3">
        <v>26</v>
      </c>
      <c r="L1000" s="2" t="s">
        <v>2518</v>
      </c>
      <c r="M1000" s="2" t="s">
        <v>2526</v>
      </c>
      <c r="N1000" s="8">
        <f>IFERROR(G1000/F1000,0)</f>
        <v>8.617797449422987E-2</v>
      </c>
      <c r="O1000" s="8">
        <f>IFERROR(H1000/G1000,0)</f>
        <v>7.9737335834896804E-3</v>
      </c>
      <c r="P1000" s="4">
        <f>IFERROR(I1000/G1000,0)</f>
        <v>2.0099343339587241</v>
      </c>
      <c r="Q1000" s="4">
        <f>IFERROR(I1000/H1000,0)</f>
        <v>252.0694117647059</v>
      </c>
      <c r="R1000" s="12">
        <f>IFERROR(J1000/I1000,0)</f>
        <v>7.7651347201284415E-2</v>
      </c>
      <c r="S1000" s="7">
        <f>Tabla_nuevas_columnas[[#This Row],[ROAS]]</f>
        <v>7.7651347201284415E-2</v>
      </c>
      <c r="T1000" t="str">
        <f>_xlfn.CONCAT(C1000,"-",D1000)</f>
        <v>Paid Search-Francia</v>
      </c>
      <c r="U1000">
        <f>YEAR(A1000)</f>
        <v>2025</v>
      </c>
      <c r="V1000">
        <f>MONTH(A1000)</f>
        <v>6</v>
      </c>
      <c r="W1000" t="str">
        <f>PROPER(TEXT(A1000,"mmmm"))</f>
        <v>Junio</v>
      </c>
      <c r="X1000" t="str">
        <f>PROPER(TEXT(A1000,"dddd"))</f>
        <v>Domingo</v>
      </c>
      <c r="Y1000" t="str" cm="1">
        <f t="array" ref="Y1000">_xlfn.IFS(R1000&gt;10,"Excelente",R1000&gt;=5,"Bueno",R1000&gt;=2,"Débil",R1000&lt;2,"Deficiente")</f>
        <v>Deficiente</v>
      </c>
      <c r="Z1000" t="str">
        <f>IF(AND(R1000&lt;2,Q1000&gt;=100),"Revisar","OK")</f>
        <v>Revisar</v>
      </c>
      <c r="AA1000" s="55">
        <f>_xlfn.XLOOKUP(C1000,'Preguntas de negocio'!$C$114:$C$119,'Preguntas de negocio'!$D$114:$D$119,0)</f>
        <v>5</v>
      </c>
      <c r="AB1000" s="55">
        <f>VLOOKUP(C1000,'Preguntas de negocio'!$C$121:$D$127,2,FALSE)</f>
        <v>1.1000000000000001</v>
      </c>
    </row>
    <row r="1001" spans="1:28" x14ac:dyDescent="0.3">
      <c r="A1001" s="1">
        <v>45704</v>
      </c>
      <c r="B1001" s="2" t="s">
        <v>2615</v>
      </c>
      <c r="C1001" s="2" t="s">
        <v>2521</v>
      </c>
      <c r="D1001" s="2" t="s">
        <v>2531</v>
      </c>
      <c r="E1001" s="2" t="s">
        <v>2529</v>
      </c>
      <c r="F1001" s="3">
        <v>135898</v>
      </c>
      <c r="G1001" s="3">
        <v>11029</v>
      </c>
      <c r="H1001" s="3">
        <v>341</v>
      </c>
      <c r="I1001" s="4">
        <v>10182.02</v>
      </c>
      <c r="J1001" s="4">
        <v>57607.519999999997</v>
      </c>
      <c r="K1001" s="3">
        <v>252</v>
      </c>
      <c r="L1001" s="2" t="s">
        <v>2536</v>
      </c>
      <c r="M1001" s="2" t="s">
        <v>2546</v>
      </c>
      <c r="N1001" s="8">
        <f>IFERROR(G1001/F1001,0)</f>
        <v>8.1156455576976844E-2</v>
      </c>
      <c r="O1001" s="8">
        <f>IFERROR(H1001/G1001,0)</f>
        <v>3.0918487623537945E-2</v>
      </c>
      <c r="P1001" s="4">
        <f>IFERROR(I1001/G1001,0)</f>
        <v>0.92320427962643947</v>
      </c>
      <c r="Q1001" s="4">
        <f>IFERROR(I1001/H1001,0)</f>
        <v>29.859296187683285</v>
      </c>
      <c r="R1001" s="12">
        <f>IFERROR(J1001/I1001,0)</f>
        <v>5.6577692835017013</v>
      </c>
      <c r="S1001" s="7">
        <f>Tabla_nuevas_columnas[[#This Row],[ROAS]]</f>
        <v>5.6577692835017013</v>
      </c>
      <c r="T1001" t="str">
        <f>_xlfn.CONCAT(C1001,"-",D1001)</f>
        <v>Paid Search-Portugal</v>
      </c>
      <c r="U1001">
        <f>YEAR(A1001)</f>
        <v>2025</v>
      </c>
      <c r="V1001">
        <f>MONTH(A1001)</f>
        <v>2</v>
      </c>
      <c r="W1001" t="str">
        <f>PROPER(TEXT(A1001,"mmmm"))</f>
        <v>Febrero</v>
      </c>
      <c r="X1001" t="str">
        <f>PROPER(TEXT(A1001,"dddd"))</f>
        <v>Domingo</v>
      </c>
      <c r="Y1001" t="str" cm="1">
        <f t="array" ref="Y1001">_xlfn.IFS(R1001&gt;10,"Excelente",R1001&gt;=5,"Bueno",R1001&gt;=2,"Débil",R1001&lt;2,"Deficiente")</f>
        <v>Bueno</v>
      </c>
      <c r="Z1001" t="str">
        <f>IF(AND(R1001&lt;2,Q1001&gt;=100),"Revisar","OK")</f>
        <v>OK</v>
      </c>
      <c r="AA1001" s="55">
        <f>_xlfn.XLOOKUP(C1001,'Preguntas de negocio'!$C$114:$C$119,'Preguntas de negocio'!$D$114:$D$119,0)</f>
        <v>5</v>
      </c>
      <c r="AB1001" s="55">
        <f>VLOOKUP(C1001,'Preguntas de negocio'!$C$121:$D$127,2,FALSE)</f>
        <v>1.1000000000000001</v>
      </c>
    </row>
    <row r="1002" spans="1:28" x14ac:dyDescent="0.3">
      <c r="A1002" s="1">
        <v>45734</v>
      </c>
      <c r="B1002" s="2" t="s">
        <v>2632</v>
      </c>
      <c r="C1002" s="2" t="s">
        <v>2521</v>
      </c>
      <c r="D1002" s="2" t="s">
        <v>2516</v>
      </c>
      <c r="E1002" s="2" t="s">
        <v>2517</v>
      </c>
      <c r="F1002" s="3">
        <v>53396</v>
      </c>
      <c r="G1002" s="3">
        <v>2714</v>
      </c>
      <c r="H1002" s="3">
        <v>91</v>
      </c>
      <c r="I1002" s="4">
        <v>2052.33</v>
      </c>
      <c r="J1002" s="4">
        <v>7483.75</v>
      </c>
      <c r="K1002" s="3">
        <v>59</v>
      </c>
      <c r="L1002" s="2" t="s">
        <v>2518</v>
      </c>
      <c r="M1002" s="2" t="s">
        <v>2526</v>
      </c>
      <c r="N1002" s="8">
        <f>IFERROR(G1002/F1002,0)</f>
        <v>5.0827777361600122E-2</v>
      </c>
      <c r="O1002" s="8">
        <f>IFERROR(H1002/G1002,0)</f>
        <v>3.3529845246868091E-2</v>
      </c>
      <c r="P1002" s="4">
        <f>IFERROR(I1002/G1002,0)</f>
        <v>0.75620117907148121</v>
      </c>
      <c r="Q1002" s="4">
        <f>IFERROR(I1002/H1002,0)</f>
        <v>22.553076923076922</v>
      </c>
      <c r="R1002" s="12">
        <f>IFERROR(J1002/I1002,0)</f>
        <v>3.646465237072011</v>
      </c>
      <c r="S1002" s="7">
        <f>Tabla_nuevas_columnas[[#This Row],[ROAS]]</f>
        <v>3.646465237072011</v>
      </c>
      <c r="T1002" t="str">
        <f>_xlfn.CONCAT(C1002,"-",D1002)</f>
        <v>Paid Search-México</v>
      </c>
      <c r="U1002">
        <f>YEAR(A1002)</f>
        <v>2025</v>
      </c>
      <c r="V1002">
        <f>MONTH(A1002)</f>
        <v>3</v>
      </c>
      <c r="W1002" t="str">
        <f>PROPER(TEXT(A1002,"mmmm"))</f>
        <v>Marzo</v>
      </c>
      <c r="X1002" t="str">
        <f>PROPER(TEXT(A1002,"dddd"))</f>
        <v>Martes</v>
      </c>
      <c r="Y1002" t="str" cm="1">
        <f t="array" ref="Y1002">_xlfn.IFS(R1002&gt;10,"Excelente",R1002&gt;=5,"Bueno",R1002&gt;=2,"Débil",R1002&lt;2,"Deficiente")</f>
        <v>Débil</v>
      </c>
      <c r="Z1002" t="str">
        <f>IF(AND(R1002&lt;2,Q1002&gt;=100),"Revisar","OK")</f>
        <v>OK</v>
      </c>
      <c r="AA1002" s="55">
        <f>_xlfn.XLOOKUP(C1002,'Preguntas de negocio'!$C$114:$C$119,'Preguntas de negocio'!$D$114:$D$119,0)</f>
        <v>5</v>
      </c>
      <c r="AB1002" s="55">
        <f>VLOOKUP(C1002,'Preguntas de negocio'!$C$121:$D$127,2,FALSE)</f>
        <v>1.1000000000000001</v>
      </c>
    </row>
    <row r="1003" spans="1:28" x14ac:dyDescent="0.3">
      <c r="A1003" s="1">
        <v>45973</v>
      </c>
      <c r="B1003" s="2" t="s">
        <v>2615</v>
      </c>
      <c r="C1003" s="2" t="s">
        <v>2527</v>
      </c>
      <c r="D1003" s="2" t="s">
        <v>2528</v>
      </c>
      <c r="E1003" s="2" t="s">
        <v>2517</v>
      </c>
      <c r="F1003" s="3">
        <v>64063</v>
      </c>
      <c r="G1003" s="3">
        <v>65037</v>
      </c>
      <c r="H1003" s="3">
        <v>92</v>
      </c>
      <c r="I1003" s="4">
        <v>5526.32</v>
      </c>
      <c r="J1003" s="4">
        <v>11954.8</v>
      </c>
      <c r="K1003" s="3">
        <v>60</v>
      </c>
      <c r="L1003" s="2" t="s">
        <v>2536</v>
      </c>
      <c r="M1003" s="2" t="s">
        <v>2537</v>
      </c>
      <c r="N1003" s="8">
        <f>IFERROR(G1003/F1003,0)</f>
        <v>1.015203783775346</v>
      </c>
      <c r="O1003" s="8">
        <f>IFERROR(H1003/G1003,0)</f>
        <v>1.4145793932684471E-3</v>
      </c>
      <c r="P1003" s="4">
        <f>IFERROR(I1003/G1003,0)</f>
        <v>8.4971939050079187E-2</v>
      </c>
      <c r="Q1003" s="4">
        <f>IFERROR(I1003/H1003,0)</f>
        <v>60.068695652173908</v>
      </c>
      <c r="R1003" s="12">
        <f>IFERROR(J1003/I1003,0)</f>
        <v>2.1632478756206663</v>
      </c>
      <c r="S1003" s="7">
        <f>Tabla_nuevas_columnas[[#This Row],[ROAS]]</f>
        <v>2.1632478756206663</v>
      </c>
      <c r="T1003" t="str">
        <f>_xlfn.CONCAT(C1003,"-",D1003)</f>
        <v>Affiliate-España</v>
      </c>
      <c r="U1003">
        <f>YEAR(A1003)</f>
        <v>2025</v>
      </c>
      <c r="V1003">
        <f>MONTH(A1003)</f>
        <v>11</v>
      </c>
      <c r="W1003" t="str">
        <f>PROPER(TEXT(A1003,"mmmm"))</f>
        <v>Noviembre</v>
      </c>
      <c r="X1003" t="str">
        <f>PROPER(TEXT(A1003,"dddd"))</f>
        <v>Miércoles</v>
      </c>
      <c r="Y1003" t="str" cm="1">
        <f t="array" ref="Y1003">_xlfn.IFS(R1003&gt;10,"Excelente",R1003&gt;=5,"Bueno",R1003&gt;=2,"Débil",R1003&lt;2,"Deficiente")</f>
        <v>Débil</v>
      </c>
      <c r="Z1003" t="str">
        <f>IF(AND(R1003&lt;2,Q1003&gt;=100),"Revisar","OK")</f>
        <v>OK</v>
      </c>
      <c r="AA1003" s="55">
        <f>_xlfn.XLOOKUP(C1003,'Preguntas de negocio'!$C$114:$C$119,'Preguntas de negocio'!$D$114:$D$119,0)</f>
        <v>4.5</v>
      </c>
      <c r="AB1003" s="55">
        <f>VLOOKUP(C1003,'Preguntas de negocio'!$C$121:$D$127,2,FALSE)</f>
        <v>0.35</v>
      </c>
    </row>
    <row r="1004" spans="1:28" x14ac:dyDescent="0.3">
      <c r="A1004" s="1">
        <v>45838</v>
      </c>
      <c r="B1004" s="2" t="s">
        <v>2615</v>
      </c>
      <c r="C1004" s="2" t="s">
        <v>2541</v>
      </c>
      <c r="D1004" s="2" t="s">
        <v>2528</v>
      </c>
      <c r="E1004" s="2" t="s">
        <v>2529</v>
      </c>
      <c r="F1004" s="3">
        <v>10447</v>
      </c>
      <c r="G1004" s="3">
        <v>663</v>
      </c>
      <c r="H1004" s="3">
        <v>23</v>
      </c>
      <c r="I1004" s="4">
        <v>995.72</v>
      </c>
      <c r="J1004" s="4">
        <v>3015.39</v>
      </c>
      <c r="K1004" s="3">
        <v>17</v>
      </c>
      <c r="L1004" s="2" t="s">
        <v>2536</v>
      </c>
      <c r="M1004" s="2" t="s">
        <v>2524</v>
      </c>
      <c r="N1004" s="8">
        <f>IFERROR(G1004/F1004,0)</f>
        <v>6.346319517564851E-2</v>
      </c>
      <c r="O1004" s="8">
        <f>IFERROR(H1004/G1004,0)</f>
        <v>3.4690799396681751E-2</v>
      </c>
      <c r="P1004" s="4">
        <f>IFERROR(I1004/G1004,0)</f>
        <v>1.50184012066365</v>
      </c>
      <c r="Q1004" s="4">
        <f>IFERROR(I1004/H1004,0)</f>
        <v>43.292173913043477</v>
      </c>
      <c r="R1004" s="12">
        <f>IFERROR(J1004/I1004,0)</f>
        <v>3.0283513437512553</v>
      </c>
      <c r="S1004" s="7">
        <f>Tabla_nuevas_columnas[[#This Row],[ROAS]]</f>
        <v>3.0283513437512553</v>
      </c>
      <c r="T1004" t="str">
        <f>_xlfn.CONCAT(C1004,"-",D1004)</f>
        <v>Display-España</v>
      </c>
      <c r="U1004">
        <f>YEAR(A1004)</f>
        <v>2025</v>
      </c>
      <c r="V1004">
        <f>MONTH(A1004)</f>
        <v>6</v>
      </c>
      <c r="W1004" t="str">
        <f>PROPER(TEXT(A1004,"mmmm"))</f>
        <v>Junio</v>
      </c>
      <c r="X1004" t="str">
        <f>PROPER(TEXT(A1004,"dddd"))</f>
        <v>Lunes</v>
      </c>
      <c r="Y1004" t="str" cm="1">
        <f t="array" ref="Y1004">_xlfn.IFS(R1004&gt;10,"Excelente",R1004&gt;=5,"Bueno",R1004&gt;=2,"Débil",R1004&lt;2,"Deficiente")</f>
        <v>Débil</v>
      </c>
      <c r="Z1004" t="str">
        <f>IF(AND(R1004&lt;2,Q1004&gt;=100),"Revisar","OK")</f>
        <v>OK</v>
      </c>
      <c r="AA1004" s="55">
        <f>_xlfn.XLOOKUP(C1004,'Preguntas de negocio'!$C$114:$C$119,'Preguntas de negocio'!$D$114:$D$119,0)</f>
        <v>5</v>
      </c>
      <c r="AB1004" s="55">
        <f>VLOOKUP(C1004,'Preguntas de negocio'!$C$121:$D$127,2,FALSE)</f>
        <v>0.5</v>
      </c>
    </row>
    <row r="1005" spans="1:28" x14ac:dyDescent="0.3">
      <c r="A1005" s="1">
        <v>45915</v>
      </c>
      <c r="B1005" s="2" t="s">
        <v>2620</v>
      </c>
      <c r="C1005" s="2" t="s">
        <v>2533</v>
      </c>
      <c r="D1005" s="2" t="s">
        <v>2522</v>
      </c>
      <c r="E1005" s="2" t="s">
        <v>2517</v>
      </c>
      <c r="F1005" s="3">
        <v>72023</v>
      </c>
      <c r="G1005" s="3">
        <v>5074</v>
      </c>
      <c r="H1005" s="3">
        <v>170</v>
      </c>
      <c r="I1005" s="4">
        <v>1589.75</v>
      </c>
      <c r="J1005" s="4">
        <v>12513.31</v>
      </c>
      <c r="K1005" s="3">
        <v>103</v>
      </c>
      <c r="L1005" s="2" t="s">
        <v>2523</v>
      </c>
      <c r="M1005" s="2" t="s">
        <v>2526</v>
      </c>
      <c r="N1005" s="8">
        <f>IFERROR(G1005/F1005,0)</f>
        <v>7.0449717451369701E-2</v>
      </c>
      <c r="O1005" s="8">
        <f>IFERROR(H1005/G1005,0)</f>
        <v>3.3504138746551046E-2</v>
      </c>
      <c r="P1005" s="4">
        <f>IFERROR(I1005/G1005,0)</f>
        <v>0.31331296807252662</v>
      </c>
      <c r="Q1005" s="4">
        <f>IFERROR(I1005/H1005,0)</f>
        <v>9.3514705882352942</v>
      </c>
      <c r="R1005" s="12">
        <f>IFERROR(J1005/I1005,0)</f>
        <v>7.8712439062745707</v>
      </c>
      <c r="S1005" s="7">
        <f>Tabla_nuevas_columnas[[#This Row],[ROAS]]</f>
        <v>7.8712439062745707</v>
      </c>
      <c r="T1005" t="str">
        <f>_xlfn.CONCAT(C1005,"-",D1005)</f>
        <v>Paid Social-Italia</v>
      </c>
      <c r="U1005">
        <f>YEAR(A1005)</f>
        <v>2025</v>
      </c>
      <c r="V1005">
        <f>MONTH(A1005)</f>
        <v>9</v>
      </c>
      <c r="W1005" t="str">
        <f>PROPER(TEXT(A1005,"mmmm"))</f>
        <v>Septiembre</v>
      </c>
      <c r="X1005" t="str">
        <f>PROPER(TEXT(A1005,"dddd"))</f>
        <v>Lunes</v>
      </c>
      <c r="Y1005" t="str" cm="1">
        <f t="array" ref="Y1005">_xlfn.IFS(R1005&gt;10,"Excelente",R1005&gt;=5,"Bueno",R1005&gt;=2,"Débil",R1005&lt;2,"Deficiente")</f>
        <v>Bueno</v>
      </c>
      <c r="Z1005" t="str">
        <f>IF(AND(R1005&lt;2,Q1005&gt;=100),"Revisar","OK")</f>
        <v>OK</v>
      </c>
      <c r="AA1005" s="55">
        <f>_xlfn.XLOOKUP(C1005,'Preguntas de negocio'!$C$114:$C$119,'Preguntas de negocio'!$D$114:$D$119,0)</f>
        <v>6</v>
      </c>
      <c r="AB1005" s="55">
        <f>VLOOKUP(C1005,'Preguntas de negocio'!$C$121:$D$127,2,FALSE)</f>
        <v>0.8</v>
      </c>
    </row>
    <row r="1006" spans="1:28" x14ac:dyDescent="0.3">
      <c r="A1006" s="1">
        <v>45934</v>
      </c>
      <c r="B1006" s="2" t="s">
        <v>2620</v>
      </c>
      <c r="C1006" s="2" t="s">
        <v>2527</v>
      </c>
      <c r="D1006" s="2" t="s">
        <v>2531</v>
      </c>
      <c r="E1006" s="2" t="s">
        <v>2517</v>
      </c>
      <c r="F1006" s="3">
        <v>44007</v>
      </c>
      <c r="G1006" s="3">
        <v>1585</v>
      </c>
      <c r="H1006" s="3">
        <v>146</v>
      </c>
      <c r="I1006" s="4">
        <v>2086.08</v>
      </c>
      <c r="J1006" s="4">
        <v>30913.98</v>
      </c>
      <c r="K1006" s="3">
        <v>76</v>
      </c>
      <c r="L1006" s="2" t="s">
        <v>2539</v>
      </c>
      <c r="M1006" s="2" t="s">
        <v>2546</v>
      </c>
      <c r="N1006" s="8">
        <f>IFERROR(G1006/F1006,0)</f>
        <v>3.6016997295884742E-2</v>
      </c>
      <c r="O1006" s="8">
        <f>IFERROR(H1006/G1006,0)</f>
        <v>9.2113564668769715E-2</v>
      </c>
      <c r="P1006" s="4">
        <f>IFERROR(I1006/G1006,0)</f>
        <v>1.3161388012618296</v>
      </c>
      <c r="Q1006" s="4">
        <f>IFERROR(I1006/H1006,0)</f>
        <v>14.288219178082191</v>
      </c>
      <c r="R1006" s="12">
        <f>IFERROR(J1006/I1006,0)</f>
        <v>14.819172802577082</v>
      </c>
      <c r="S1006" s="7">
        <f>Tabla_nuevas_columnas[[#This Row],[ROAS]]</f>
        <v>14.819172802577082</v>
      </c>
      <c r="T1006" t="str">
        <f>_xlfn.CONCAT(C1006,"-",D1006)</f>
        <v>Affiliate-Portugal</v>
      </c>
      <c r="U1006">
        <f>YEAR(A1006)</f>
        <v>2025</v>
      </c>
      <c r="V1006">
        <f>MONTH(A1006)</f>
        <v>10</v>
      </c>
      <c r="W1006" t="str">
        <f>PROPER(TEXT(A1006,"mmmm"))</f>
        <v>Octubre</v>
      </c>
      <c r="X1006" t="str">
        <f>PROPER(TEXT(A1006,"dddd"))</f>
        <v>Sábado</v>
      </c>
      <c r="Y1006" t="str" cm="1">
        <f t="array" ref="Y1006">_xlfn.IFS(R1006&gt;10,"Excelente",R1006&gt;=5,"Bueno",R1006&gt;=2,"Débil",R1006&lt;2,"Deficiente")</f>
        <v>Excelente</v>
      </c>
      <c r="Z1006" t="str">
        <f>IF(AND(R1006&lt;2,Q1006&gt;=100),"Revisar","OK")</f>
        <v>OK</v>
      </c>
      <c r="AA1006" s="55">
        <f>_xlfn.XLOOKUP(C1006,'Preguntas de negocio'!$C$114:$C$119,'Preguntas de negocio'!$D$114:$D$119,0)</f>
        <v>4.5</v>
      </c>
      <c r="AB1006" s="55">
        <f>VLOOKUP(C1006,'Preguntas de negocio'!$C$121:$D$127,2,FALSE)</f>
        <v>0.35</v>
      </c>
    </row>
    <row r="1007" spans="1:28" x14ac:dyDescent="0.3">
      <c r="A1007" s="1">
        <v>45970</v>
      </c>
      <c r="B1007" s="2" t="s">
        <v>2642</v>
      </c>
      <c r="C1007" s="2" t="s">
        <v>2541</v>
      </c>
      <c r="D1007" s="2" t="s">
        <v>2525</v>
      </c>
      <c r="E1007" s="2" t="s">
        <v>2534</v>
      </c>
      <c r="F1007" s="3">
        <v>59084</v>
      </c>
      <c r="G1007" s="3">
        <v>761</v>
      </c>
      <c r="H1007" s="3">
        <v>86</v>
      </c>
      <c r="I1007" s="4">
        <v>443.84</v>
      </c>
      <c r="J1007" s="4">
        <v>7295.11</v>
      </c>
      <c r="K1007" s="3">
        <v>58</v>
      </c>
      <c r="L1007" s="2" t="s">
        <v>2539</v>
      </c>
      <c r="M1007" s="2" t="s">
        <v>2537</v>
      </c>
      <c r="N1007" s="8">
        <f>IFERROR(G1007/F1007,0)</f>
        <v>1.2879967503892763E-2</v>
      </c>
      <c r="O1007" s="8">
        <f>IFERROR(H1007/G1007,0)</f>
        <v>0.11300919842312747</v>
      </c>
      <c r="P1007" s="4">
        <f>IFERROR(I1007/G1007,0)</f>
        <v>0.58323258869908012</v>
      </c>
      <c r="Q1007" s="4">
        <f>IFERROR(I1007/H1007,0)</f>
        <v>5.1609302325581394</v>
      </c>
      <c r="R1007" s="12">
        <f>IFERROR(J1007/I1007,0)</f>
        <v>16.436350937274693</v>
      </c>
      <c r="S1007" s="7">
        <f>Tabla_nuevas_columnas[[#This Row],[ROAS]]</f>
        <v>16.436350937274693</v>
      </c>
      <c r="T1007" t="str">
        <f>_xlfn.CONCAT(C1007,"-",D1007)</f>
        <v>Display-Francia</v>
      </c>
      <c r="U1007">
        <f>YEAR(A1007)</f>
        <v>2025</v>
      </c>
      <c r="V1007">
        <f>MONTH(A1007)</f>
        <v>11</v>
      </c>
      <c r="W1007" t="str">
        <f>PROPER(TEXT(A1007,"mmmm"))</f>
        <v>Noviembre</v>
      </c>
      <c r="X1007" t="str">
        <f>PROPER(TEXT(A1007,"dddd"))</f>
        <v>Domingo</v>
      </c>
      <c r="Y1007" t="str" cm="1">
        <f t="array" ref="Y1007">_xlfn.IFS(R1007&gt;10,"Excelente",R1007&gt;=5,"Bueno",R1007&gt;=2,"Débil",R1007&lt;2,"Deficiente")</f>
        <v>Excelente</v>
      </c>
      <c r="Z1007" t="str">
        <f>IF(AND(R1007&lt;2,Q1007&gt;=100),"Revisar","OK")</f>
        <v>OK</v>
      </c>
      <c r="AA1007" s="55">
        <f>_xlfn.XLOOKUP(C1007,'Preguntas de negocio'!$C$114:$C$119,'Preguntas de negocio'!$D$114:$D$119,0)</f>
        <v>5</v>
      </c>
      <c r="AB1007" s="55">
        <f>VLOOKUP(C1007,'Preguntas de negocio'!$C$121:$D$127,2,FALSE)</f>
        <v>0.5</v>
      </c>
    </row>
    <row r="1008" spans="1:28" x14ac:dyDescent="0.3">
      <c r="A1008" s="1">
        <v>45945</v>
      </c>
      <c r="B1008" s="2" t="s">
        <v>2644</v>
      </c>
      <c r="C1008" s="2" t="s">
        <v>2543</v>
      </c>
      <c r="D1008" s="2" t="s">
        <v>2528</v>
      </c>
      <c r="E1008" s="2" t="s">
        <v>2517</v>
      </c>
      <c r="F1008" s="3">
        <v>100871</v>
      </c>
      <c r="G1008" s="3">
        <v>3780</v>
      </c>
      <c r="H1008" s="3">
        <v>114</v>
      </c>
      <c r="I1008" s="4">
        <v>3300.77</v>
      </c>
      <c r="J1008" s="4">
        <v>24063.17</v>
      </c>
      <c r="K1008" s="3">
        <v>96</v>
      </c>
      <c r="L1008" s="2" t="s">
        <v>2523</v>
      </c>
      <c r="M1008" s="2" t="s">
        <v>2526</v>
      </c>
      <c r="N1008" s="8">
        <f>IFERROR(G1008/F1008,0)</f>
        <v>3.747360490130959E-2</v>
      </c>
      <c r="O1008" s="8">
        <f>IFERROR(H1008/G1008,0)</f>
        <v>3.0158730158730159E-2</v>
      </c>
      <c r="P1008" s="4">
        <f>IFERROR(I1008/G1008,0)</f>
        <v>0.87321957671957673</v>
      </c>
      <c r="Q1008" s="4">
        <f>IFERROR(I1008/H1008,0)</f>
        <v>28.954122807017544</v>
      </c>
      <c r="R1008" s="12">
        <f>IFERROR(J1008/I1008,0)</f>
        <v>7.2901686576162525</v>
      </c>
      <c r="S1008" s="7">
        <f>Tabla_nuevas_columnas[[#This Row],[ROAS]]</f>
        <v>7.2901686576162525</v>
      </c>
      <c r="T1008" t="str">
        <f>_xlfn.CONCAT(C1008,"-",D1008)</f>
        <v>Organic Social-España</v>
      </c>
      <c r="U1008">
        <f>YEAR(A1008)</f>
        <v>2025</v>
      </c>
      <c r="V1008">
        <f>MONTH(A1008)</f>
        <v>10</v>
      </c>
      <c r="W1008" t="str">
        <f>PROPER(TEXT(A1008,"mmmm"))</f>
        <v>Octubre</v>
      </c>
      <c r="X1008" t="str">
        <f>PROPER(TEXT(A1008,"dddd"))</f>
        <v>Miércoles</v>
      </c>
      <c r="Y1008" t="str" cm="1">
        <f t="array" ref="Y1008">_xlfn.IFS(R1008&gt;10,"Excelente",R1008&gt;=5,"Bueno",R1008&gt;=2,"Débil",R1008&lt;2,"Deficiente")</f>
        <v>Bueno</v>
      </c>
      <c r="Z1008" t="str">
        <f>IF(AND(R1008&lt;2,Q1008&gt;=100),"Revisar","OK")</f>
        <v>OK</v>
      </c>
      <c r="AA1008" s="55">
        <f>_xlfn.XLOOKUP(C1008,'Preguntas de negocio'!$C$114:$C$119,'Preguntas de negocio'!$D$114:$D$119,0)</f>
        <v>4</v>
      </c>
      <c r="AB1008" s="55">
        <f>VLOOKUP(C1008,'Preguntas de negocio'!$C$121:$D$127,2,FALSE)</f>
        <v>0.95</v>
      </c>
    </row>
    <row r="1009" spans="1:28" x14ac:dyDescent="0.3">
      <c r="A1009" s="1">
        <v>45874</v>
      </c>
      <c r="B1009" s="2" t="s">
        <v>2620</v>
      </c>
      <c r="C1009" s="2" t="s">
        <v>2533</v>
      </c>
      <c r="D1009" s="2" t="s">
        <v>2522</v>
      </c>
      <c r="E1009" s="2" t="s">
        <v>2517</v>
      </c>
      <c r="F1009" s="3">
        <v>111376</v>
      </c>
      <c r="G1009" s="3">
        <v>2750</v>
      </c>
      <c r="H1009" s="3">
        <v>119</v>
      </c>
      <c r="I1009" s="4">
        <v>5315.88</v>
      </c>
      <c r="J1009" s="4">
        <v>5031.13</v>
      </c>
      <c r="K1009" s="3">
        <v>80</v>
      </c>
      <c r="L1009" s="2" t="s">
        <v>2523</v>
      </c>
      <c r="M1009" s="2" t="s">
        <v>2546</v>
      </c>
      <c r="N1009" s="8">
        <f>IFERROR(G1009/F1009,0)</f>
        <v>2.4691136330986928E-2</v>
      </c>
      <c r="O1009" s="8">
        <f>IFERROR(H1009/G1009,0)</f>
        <v>4.3272727272727275E-2</v>
      </c>
      <c r="P1009" s="4">
        <f>IFERROR(I1009/G1009,0)</f>
        <v>1.9330472727272727</v>
      </c>
      <c r="Q1009" s="4">
        <f>IFERROR(I1009/H1009,0)</f>
        <v>44.671260504201683</v>
      </c>
      <c r="R1009" s="12">
        <f>IFERROR(J1009/I1009,0)</f>
        <v>0.94643408052852962</v>
      </c>
      <c r="S1009" s="7">
        <f>Tabla_nuevas_columnas[[#This Row],[ROAS]]</f>
        <v>0.94643408052852962</v>
      </c>
      <c r="T1009" t="str">
        <f>_xlfn.CONCAT(C1009,"-",D1009)</f>
        <v>Paid Social-Italia</v>
      </c>
      <c r="U1009">
        <f>YEAR(A1009)</f>
        <v>2025</v>
      </c>
      <c r="V1009">
        <f>MONTH(A1009)</f>
        <v>8</v>
      </c>
      <c r="W1009" t="str">
        <f>PROPER(TEXT(A1009,"mmmm"))</f>
        <v>Agosto</v>
      </c>
      <c r="X1009" t="str">
        <f>PROPER(TEXT(A1009,"dddd"))</f>
        <v>Martes</v>
      </c>
      <c r="Y1009" t="str" cm="1">
        <f t="array" ref="Y1009">_xlfn.IFS(R1009&gt;10,"Excelente",R1009&gt;=5,"Bueno",R1009&gt;=2,"Débil",R1009&lt;2,"Deficiente")</f>
        <v>Deficiente</v>
      </c>
      <c r="Z1009" t="str">
        <f>IF(AND(R1009&lt;2,Q1009&gt;=100),"Revisar","OK")</f>
        <v>OK</v>
      </c>
      <c r="AA1009" s="55">
        <f>_xlfn.XLOOKUP(C1009,'Preguntas de negocio'!$C$114:$C$119,'Preguntas de negocio'!$D$114:$D$119,0)</f>
        <v>6</v>
      </c>
      <c r="AB1009" s="55">
        <f>VLOOKUP(C1009,'Preguntas de negocio'!$C$121:$D$127,2,FALSE)</f>
        <v>0.8</v>
      </c>
    </row>
    <row r="1010" spans="1:28" x14ac:dyDescent="0.3">
      <c r="A1010" s="1">
        <v>45804</v>
      </c>
      <c r="B1010" s="2" t="s">
        <v>2642</v>
      </c>
      <c r="C1010" s="2" t="s">
        <v>2527</v>
      </c>
      <c r="D1010" s="2" t="s">
        <v>2528</v>
      </c>
      <c r="E1010" s="2" t="s">
        <v>2534</v>
      </c>
      <c r="F1010" s="3">
        <v>5456</v>
      </c>
      <c r="G1010" s="3">
        <v>150</v>
      </c>
      <c r="H1010" s="3">
        <v>9</v>
      </c>
      <c r="I1010" s="4">
        <v>16.22</v>
      </c>
      <c r="J1010" s="4">
        <v>622.11</v>
      </c>
      <c r="K1010" s="3">
        <v>4</v>
      </c>
      <c r="L1010" s="2" t="s">
        <v>2536</v>
      </c>
      <c r="M1010" s="2" t="s">
        <v>2524</v>
      </c>
      <c r="N1010" s="8">
        <f>IFERROR(G1010/F1010,0)</f>
        <v>2.749266862170088E-2</v>
      </c>
      <c r="O1010" s="8">
        <f>IFERROR(H1010/G1010,0)</f>
        <v>0.06</v>
      </c>
      <c r="P1010" s="4">
        <f>IFERROR(I1010/G1010,0)</f>
        <v>0.10813333333333333</v>
      </c>
      <c r="Q1010" s="4">
        <f>IFERROR(I1010/H1010,0)</f>
        <v>1.8022222222222222</v>
      </c>
      <c r="R1010" s="12">
        <f>IFERROR(J1010/I1010,0)</f>
        <v>38.354500616522813</v>
      </c>
      <c r="S1010" s="7">
        <f>Tabla_nuevas_columnas[[#This Row],[ROAS]]</f>
        <v>38.354500616522813</v>
      </c>
      <c r="T1010" t="str">
        <f>_xlfn.CONCAT(C1010,"-",D1010)</f>
        <v>Affiliate-España</v>
      </c>
      <c r="U1010">
        <f>YEAR(A1010)</f>
        <v>2025</v>
      </c>
      <c r="V1010">
        <f>MONTH(A1010)</f>
        <v>5</v>
      </c>
      <c r="W1010" t="str">
        <f>PROPER(TEXT(A1010,"mmmm"))</f>
        <v>Mayo</v>
      </c>
      <c r="X1010" t="str">
        <f>PROPER(TEXT(A1010,"dddd"))</f>
        <v>Martes</v>
      </c>
      <c r="Y1010" t="str" cm="1">
        <f t="array" ref="Y1010">_xlfn.IFS(R1010&gt;10,"Excelente",R1010&gt;=5,"Bueno",R1010&gt;=2,"Débil",R1010&lt;2,"Deficiente")</f>
        <v>Excelente</v>
      </c>
      <c r="Z1010" t="str">
        <f>IF(AND(R1010&lt;2,Q1010&gt;=100),"Revisar","OK")</f>
        <v>OK</v>
      </c>
      <c r="AA1010" s="55">
        <f>_xlfn.XLOOKUP(C1010,'Preguntas de negocio'!$C$114:$C$119,'Preguntas de negocio'!$D$114:$D$119,0)</f>
        <v>4.5</v>
      </c>
      <c r="AB1010" s="55">
        <f>VLOOKUP(C1010,'Preguntas de negocio'!$C$121:$D$127,2,FALSE)</f>
        <v>0.35</v>
      </c>
    </row>
    <row r="1011" spans="1:28" x14ac:dyDescent="0.3">
      <c r="A1011" s="1">
        <v>45898</v>
      </c>
      <c r="B1011" s="2" t="s">
        <v>2635</v>
      </c>
      <c r="C1011" s="2" t="s">
        <v>2541</v>
      </c>
      <c r="D1011" s="2" t="s">
        <v>2528</v>
      </c>
      <c r="E1011" s="2" t="s">
        <v>2529</v>
      </c>
      <c r="F1011" s="3">
        <v>33954</v>
      </c>
      <c r="G1011" s="3">
        <v>238</v>
      </c>
      <c r="H1011" s="3">
        <v>19</v>
      </c>
      <c r="I1011" s="4">
        <v>324.16000000000003</v>
      </c>
      <c r="J1011" s="4">
        <v>572.46</v>
      </c>
      <c r="K1011" s="3">
        <v>11</v>
      </c>
      <c r="L1011" s="2" t="s">
        <v>2523</v>
      </c>
      <c r="M1011" s="2" t="s">
        <v>2519</v>
      </c>
      <c r="N1011" s="8">
        <f>IFERROR(G1011/F1011,0)</f>
        <v>7.0094834187430051E-3</v>
      </c>
      <c r="O1011" s="8">
        <f>IFERROR(H1011/G1011,0)</f>
        <v>7.9831932773109238E-2</v>
      </c>
      <c r="P1011" s="4">
        <f>IFERROR(I1011/G1011,0)</f>
        <v>1.3620168067226892</v>
      </c>
      <c r="Q1011" s="4">
        <f>IFERROR(I1011/H1011,0)</f>
        <v>17.061052631578949</v>
      </c>
      <c r="R1011" s="12">
        <f>IFERROR(J1011/I1011,0)</f>
        <v>1.7659797630799605</v>
      </c>
      <c r="S1011" s="7">
        <f>Tabla_nuevas_columnas[[#This Row],[ROAS]]</f>
        <v>1.7659797630799605</v>
      </c>
      <c r="T1011" t="str">
        <f>_xlfn.CONCAT(C1011,"-",D1011)</f>
        <v>Display-España</v>
      </c>
      <c r="U1011">
        <f>YEAR(A1011)</f>
        <v>2025</v>
      </c>
      <c r="V1011">
        <f>MONTH(A1011)</f>
        <v>8</v>
      </c>
      <c r="W1011" t="str">
        <f>PROPER(TEXT(A1011,"mmmm"))</f>
        <v>Agosto</v>
      </c>
      <c r="X1011" t="str">
        <f>PROPER(TEXT(A1011,"dddd"))</f>
        <v>Viernes</v>
      </c>
      <c r="Y1011" t="str" cm="1">
        <f t="array" ref="Y1011">_xlfn.IFS(R1011&gt;10,"Excelente",R1011&gt;=5,"Bueno",R1011&gt;=2,"Débil",R1011&lt;2,"Deficiente")</f>
        <v>Deficiente</v>
      </c>
      <c r="Z1011" t="str">
        <f>IF(AND(R1011&lt;2,Q1011&gt;=100),"Revisar","OK")</f>
        <v>OK</v>
      </c>
      <c r="AA1011" s="55">
        <f>_xlfn.XLOOKUP(C1011,'Preguntas de negocio'!$C$114:$C$119,'Preguntas de negocio'!$D$114:$D$119,0)</f>
        <v>5</v>
      </c>
      <c r="AB1011" s="55">
        <f>VLOOKUP(C1011,'Preguntas de negocio'!$C$121:$D$127,2,FALSE)</f>
        <v>0.5</v>
      </c>
    </row>
    <row r="1012" spans="1:28" x14ac:dyDescent="0.3">
      <c r="A1012" s="1">
        <v>45914</v>
      </c>
      <c r="B1012" s="2" t="s">
        <v>2619</v>
      </c>
      <c r="C1012" s="2" t="s">
        <v>2533</v>
      </c>
      <c r="D1012" s="2" t="s">
        <v>2528</v>
      </c>
      <c r="E1012" s="2" t="s">
        <v>2529</v>
      </c>
      <c r="F1012" s="3">
        <v>101921</v>
      </c>
      <c r="G1012" s="3">
        <v>5523</v>
      </c>
      <c r="H1012" s="3">
        <v>729</v>
      </c>
      <c r="I1012" s="4">
        <v>5460.95</v>
      </c>
      <c r="J1012" s="4">
        <v>95264.39</v>
      </c>
      <c r="K1012" s="3">
        <v>600</v>
      </c>
      <c r="L1012" s="2" t="s">
        <v>2518</v>
      </c>
      <c r="M1012" s="2" t="s">
        <v>2537</v>
      </c>
      <c r="N1012" s="8">
        <f>IFERROR(G1012/F1012,0)</f>
        <v>5.4189028757567134E-2</v>
      </c>
      <c r="O1012" s="8">
        <f>IFERROR(H1012/G1012,0)</f>
        <v>0.13199348180336773</v>
      </c>
      <c r="P1012" s="4">
        <f>IFERROR(I1012/G1012,0)</f>
        <v>0.98876516386022084</v>
      </c>
      <c r="Q1012" s="4">
        <f>IFERROR(I1012/H1012,0)</f>
        <v>7.4910150891632368</v>
      </c>
      <c r="R1012" s="12">
        <f>IFERROR(J1012/I1012,0)</f>
        <v>17.444655233979436</v>
      </c>
      <c r="S1012" s="7">
        <f>Tabla_nuevas_columnas[[#This Row],[ROAS]]</f>
        <v>17.444655233979436</v>
      </c>
      <c r="T1012" t="str">
        <f>_xlfn.CONCAT(C1012,"-",D1012)</f>
        <v>Paid Social-España</v>
      </c>
      <c r="U1012">
        <f>YEAR(A1012)</f>
        <v>2025</v>
      </c>
      <c r="V1012">
        <f>MONTH(A1012)</f>
        <v>9</v>
      </c>
      <c r="W1012" t="str">
        <f>PROPER(TEXT(A1012,"mmmm"))</f>
        <v>Septiembre</v>
      </c>
      <c r="X1012" t="str">
        <f>PROPER(TEXT(A1012,"dddd"))</f>
        <v>Domingo</v>
      </c>
      <c r="Y1012" t="str" cm="1">
        <f t="array" ref="Y1012">_xlfn.IFS(R1012&gt;10,"Excelente",R1012&gt;=5,"Bueno",R1012&gt;=2,"Débil",R1012&lt;2,"Deficiente")</f>
        <v>Excelente</v>
      </c>
      <c r="Z1012" t="str">
        <f>IF(AND(R1012&lt;2,Q1012&gt;=100),"Revisar","OK")</f>
        <v>OK</v>
      </c>
      <c r="AA1012" s="55">
        <f>_xlfn.XLOOKUP(C1012,'Preguntas de negocio'!$C$114:$C$119,'Preguntas de negocio'!$D$114:$D$119,0)</f>
        <v>6</v>
      </c>
      <c r="AB1012" s="55">
        <f>VLOOKUP(C1012,'Preguntas de negocio'!$C$121:$D$127,2,FALSE)</f>
        <v>0.8</v>
      </c>
    </row>
    <row r="1013" spans="1:28" x14ac:dyDescent="0.3">
      <c r="A1013" s="1">
        <v>45919</v>
      </c>
      <c r="B1013" s="2" t="s">
        <v>2636</v>
      </c>
      <c r="C1013" s="2" t="s">
        <v>2543</v>
      </c>
      <c r="D1013" s="2" t="s">
        <v>2525</v>
      </c>
      <c r="E1013" s="2" t="s">
        <v>2517</v>
      </c>
      <c r="F1013" s="3">
        <v>107165</v>
      </c>
      <c r="G1013" s="3">
        <v>6279</v>
      </c>
      <c r="H1013" s="3">
        <v>96</v>
      </c>
      <c r="I1013" s="4">
        <v>11935.31</v>
      </c>
      <c r="J1013" s="4">
        <v>6865.66</v>
      </c>
      <c r="K1013" s="3">
        <v>49</v>
      </c>
      <c r="L1013" s="2" t="s">
        <v>2539</v>
      </c>
      <c r="M1013" s="2" t="s">
        <v>2524</v>
      </c>
      <c r="N1013" s="8">
        <f>IFERROR(G1013/F1013,0)</f>
        <v>5.8591891009191432E-2</v>
      </c>
      <c r="O1013" s="8">
        <f>IFERROR(H1013/G1013,0)</f>
        <v>1.5289058767319636E-2</v>
      </c>
      <c r="P1013" s="4">
        <f>IFERROR(I1013/G1013,0)</f>
        <v>1.9008297499601847</v>
      </c>
      <c r="Q1013" s="4">
        <f>IFERROR(I1013/H1013,0)</f>
        <v>124.32614583333333</v>
      </c>
      <c r="R1013" s="12">
        <f>IFERROR(J1013/I1013,0)</f>
        <v>0.5752393528111126</v>
      </c>
      <c r="S1013" s="7">
        <f>Tabla_nuevas_columnas[[#This Row],[ROAS]]</f>
        <v>0.5752393528111126</v>
      </c>
      <c r="T1013" t="str">
        <f>_xlfn.CONCAT(C1013,"-",D1013)</f>
        <v>Organic Social-Francia</v>
      </c>
      <c r="U1013">
        <f>YEAR(A1013)</f>
        <v>2025</v>
      </c>
      <c r="V1013">
        <f>MONTH(A1013)</f>
        <v>9</v>
      </c>
      <c r="W1013" t="str">
        <f>PROPER(TEXT(A1013,"mmmm"))</f>
        <v>Septiembre</v>
      </c>
      <c r="X1013" t="str">
        <f>PROPER(TEXT(A1013,"dddd"))</f>
        <v>Viernes</v>
      </c>
      <c r="Y1013" t="str" cm="1">
        <f t="array" ref="Y1013">_xlfn.IFS(R1013&gt;10,"Excelente",R1013&gt;=5,"Bueno",R1013&gt;=2,"Débil",R1013&lt;2,"Deficiente")</f>
        <v>Deficiente</v>
      </c>
      <c r="Z1013" t="str">
        <f>IF(AND(R1013&lt;2,Q1013&gt;=100),"Revisar","OK")</f>
        <v>Revisar</v>
      </c>
      <c r="AA1013" s="55">
        <f>_xlfn.XLOOKUP(C1013,'Preguntas de negocio'!$C$114:$C$119,'Preguntas de negocio'!$D$114:$D$119,0)</f>
        <v>4</v>
      </c>
      <c r="AB1013" s="55">
        <f>VLOOKUP(C1013,'Preguntas de negocio'!$C$121:$D$127,2,FALSE)</f>
        <v>0.95</v>
      </c>
    </row>
    <row r="1014" spans="1:28" x14ac:dyDescent="0.3">
      <c r="A1014" s="1">
        <v>45737</v>
      </c>
      <c r="B1014" s="2" t="s">
        <v>2627</v>
      </c>
      <c r="C1014" s="2" t="s">
        <v>2521</v>
      </c>
      <c r="D1014" s="2" t="s">
        <v>2528</v>
      </c>
      <c r="E1014" s="2" t="s">
        <v>2529</v>
      </c>
      <c r="F1014" s="3">
        <v>155213</v>
      </c>
      <c r="G1014" s="3">
        <v>835</v>
      </c>
      <c r="H1014" s="3">
        <v>29</v>
      </c>
      <c r="I1014" s="4">
        <v>1531.41</v>
      </c>
      <c r="J1014" s="4">
        <v>5761.45</v>
      </c>
      <c r="K1014" s="3">
        <v>13</v>
      </c>
      <c r="L1014" s="2" t="s">
        <v>2523</v>
      </c>
      <c r="M1014" s="2" t="s">
        <v>2537</v>
      </c>
      <c r="N1014" s="8">
        <f>IFERROR(G1014/F1014,0)</f>
        <v>5.3797040196375302E-3</v>
      </c>
      <c r="O1014" s="8">
        <f>IFERROR(H1014/G1014,0)</f>
        <v>3.473053892215569E-2</v>
      </c>
      <c r="P1014" s="4">
        <f>IFERROR(I1014/G1014,0)</f>
        <v>1.8340239520958084</v>
      </c>
      <c r="Q1014" s="4">
        <f>IFERROR(I1014/H1014,0)</f>
        <v>52.807241379310348</v>
      </c>
      <c r="R1014" s="12">
        <f>IFERROR(J1014/I1014,0)</f>
        <v>3.7621864817390507</v>
      </c>
      <c r="S1014" s="7">
        <f>Tabla_nuevas_columnas[[#This Row],[ROAS]]</f>
        <v>3.7621864817390507</v>
      </c>
      <c r="T1014" t="str">
        <f>_xlfn.CONCAT(C1014,"-",D1014)</f>
        <v>Paid Search-España</v>
      </c>
      <c r="U1014">
        <f>YEAR(A1014)</f>
        <v>2025</v>
      </c>
      <c r="V1014">
        <f>MONTH(A1014)</f>
        <v>3</v>
      </c>
      <c r="W1014" t="str">
        <f>PROPER(TEXT(A1014,"mmmm"))</f>
        <v>Marzo</v>
      </c>
      <c r="X1014" t="str">
        <f>PROPER(TEXT(A1014,"dddd"))</f>
        <v>Viernes</v>
      </c>
      <c r="Y1014" t="str" cm="1">
        <f t="array" ref="Y1014">_xlfn.IFS(R1014&gt;10,"Excelente",R1014&gt;=5,"Bueno",R1014&gt;=2,"Débil",R1014&lt;2,"Deficiente")</f>
        <v>Débil</v>
      </c>
      <c r="Z1014" t="str">
        <f>IF(AND(R1014&lt;2,Q1014&gt;=100),"Revisar","OK")</f>
        <v>OK</v>
      </c>
      <c r="AA1014" s="55">
        <f>_xlfn.XLOOKUP(C1014,'Preguntas de negocio'!$C$114:$C$119,'Preguntas de negocio'!$D$114:$D$119,0)</f>
        <v>5</v>
      </c>
      <c r="AB1014" s="55">
        <f>VLOOKUP(C1014,'Preguntas de negocio'!$C$121:$D$127,2,FALSE)</f>
        <v>1.1000000000000001</v>
      </c>
    </row>
    <row r="1015" spans="1:28" x14ac:dyDescent="0.3">
      <c r="A1015" s="1">
        <v>45889</v>
      </c>
      <c r="B1015" s="2" t="s">
        <v>2620</v>
      </c>
      <c r="C1015" s="2" t="s">
        <v>2543</v>
      </c>
      <c r="D1015" s="2" t="s">
        <v>2525</v>
      </c>
      <c r="E1015" s="2" t="s">
        <v>2517</v>
      </c>
      <c r="F1015" s="3">
        <v>59595</v>
      </c>
      <c r="G1015" s="3">
        <v>2773</v>
      </c>
      <c r="H1015" s="3">
        <v>37</v>
      </c>
      <c r="I1015" s="4">
        <v>2321</v>
      </c>
      <c r="J1015" s="4">
        <v>7160.45</v>
      </c>
      <c r="K1015" s="3">
        <v>19</v>
      </c>
      <c r="L1015" s="2" t="s">
        <v>2518</v>
      </c>
      <c r="M1015" s="2" t="s">
        <v>2537</v>
      </c>
      <c r="N1015" s="8">
        <f>IFERROR(G1015/F1015,0)</f>
        <v>4.6530749223928185E-2</v>
      </c>
      <c r="O1015" s="8">
        <f>IFERROR(H1015/G1015,0)</f>
        <v>1.3342949873782907E-2</v>
      </c>
      <c r="P1015" s="4">
        <f>IFERROR(I1015/G1015,0)</f>
        <v>0.8369996393797331</v>
      </c>
      <c r="Q1015" s="4">
        <f>IFERROR(I1015/H1015,0)</f>
        <v>62.729729729729726</v>
      </c>
      <c r="R1015" s="12">
        <f>IFERROR(J1015/I1015,0)</f>
        <v>3.0850710900473932</v>
      </c>
      <c r="S1015" s="7">
        <f>Tabla_nuevas_columnas[[#This Row],[ROAS]]</f>
        <v>3.0850710900473932</v>
      </c>
      <c r="T1015" t="str">
        <f>_xlfn.CONCAT(C1015,"-",D1015)</f>
        <v>Organic Social-Francia</v>
      </c>
      <c r="U1015">
        <f>YEAR(A1015)</f>
        <v>2025</v>
      </c>
      <c r="V1015">
        <f>MONTH(A1015)</f>
        <v>8</v>
      </c>
      <c r="W1015" t="str">
        <f>PROPER(TEXT(A1015,"mmmm"))</f>
        <v>Agosto</v>
      </c>
      <c r="X1015" t="str">
        <f>PROPER(TEXT(A1015,"dddd"))</f>
        <v>Miércoles</v>
      </c>
      <c r="Y1015" t="str" cm="1">
        <f t="array" ref="Y1015">_xlfn.IFS(R1015&gt;10,"Excelente",R1015&gt;=5,"Bueno",R1015&gt;=2,"Débil",R1015&lt;2,"Deficiente")</f>
        <v>Débil</v>
      </c>
      <c r="Z1015" t="str">
        <f>IF(AND(R1015&lt;2,Q1015&gt;=100),"Revisar","OK")</f>
        <v>OK</v>
      </c>
      <c r="AA1015" s="55">
        <f>_xlfn.XLOOKUP(C1015,'Preguntas de negocio'!$C$114:$C$119,'Preguntas de negocio'!$D$114:$D$119,0)</f>
        <v>4</v>
      </c>
      <c r="AB1015" s="55">
        <f>VLOOKUP(C1015,'Preguntas de negocio'!$C$121:$D$127,2,FALSE)</f>
        <v>0.95</v>
      </c>
    </row>
    <row r="1016" spans="1:28" x14ac:dyDescent="0.3">
      <c r="A1016" s="1">
        <v>45729</v>
      </c>
      <c r="B1016" s="2" t="s">
        <v>2625</v>
      </c>
      <c r="C1016" s="2" t="s">
        <v>2541</v>
      </c>
      <c r="D1016" s="2" t="s">
        <v>2528</v>
      </c>
      <c r="E1016" s="2" t="s">
        <v>2517</v>
      </c>
      <c r="F1016" s="3">
        <v>21538</v>
      </c>
      <c r="G1016" s="3">
        <v>840</v>
      </c>
      <c r="H1016" s="3">
        <v>26</v>
      </c>
      <c r="I1016" s="4">
        <v>1026</v>
      </c>
      <c r="J1016" s="4">
        <v>4557.84</v>
      </c>
      <c r="K1016" s="3">
        <v>12</v>
      </c>
      <c r="L1016" s="2" t="s">
        <v>2518</v>
      </c>
      <c r="M1016" s="2" t="s">
        <v>2546</v>
      </c>
      <c r="N1016" s="8">
        <f>IFERROR(G1016/F1016,0)</f>
        <v>3.9000835732194261E-2</v>
      </c>
      <c r="O1016" s="8">
        <f>IFERROR(H1016/G1016,0)</f>
        <v>3.0952380952380953E-2</v>
      </c>
      <c r="P1016" s="4">
        <f>IFERROR(I1016/G1016,0)</f>
        <v>1.2214285714285715</v>
      </c>
      <c r="Q1016" s="4">
        <f>IFERROR(I1016/H1016,0)</f>
        <v>39.46153846153846</v>
      </c>
      <c r="R1016" s="12">
        <f>IFERROR(J1016/I1016,0)</f>
        <v>4.4423391812865498</v>
      </c>
      <c r="S1016" s="7">
        <f>Tabla_nuevas_columnas[[#This Row],[ROAS]]</f>
        <v>4.4423391812865498</v>
      </c>
      <c r="T1016" t="str">
        <f>_xlfn.CONCAT(C1016,"-",D1016)</f>
        <v>Display-España</v>
      </c>
      <c r="U1016">
        <f>YEAR(A1016)</f>
        <v>2025</v>
      </c>
      <c r="V1016">
        <f>MONTH(A1016)</f>
        <v>3</v>
      </c>
      <c r="W1016" t="str">
        <f>PROPER(TEXT(A1016,"mmmm"))</f>
        <v>Marzo</v>
      </c>
      <c r="X1016" t="str">
        <f>PROPER(TEXT(A1016,"dddd"))</f>
        <v>Jueves</v>
      </c>
      <c r="Y1016" t="str" cm="1">
        <f t="array" ref="Y1016">_xlfn.IFS(R1016&gt;10,"Excelente",R1016&gt;=5,"Bueno",R1016&gt;=2,"Débil",R1016&lt;2,"Deficiente")</f>
        <v>Débil</v>
      </c>
      <c r="Z1016" t="str">
        <f>IF(AND(R1016&lt;2,Q1016&gt;=100),"Revisar","OK")</f>
        <v>OK</v>
      </c>
      <c r="AA1016" s="55">
        <f>_xlfn.XLOOKUP(C1016,'Preguntas de negocio'!$C$114:$C$119,'Preguntas de negocio'!$D$114:$D$119,0)</f>
        <v>5</v>
      </c>
      <c r="AB1016" s="55">
        <f>VLOOKUP(C1016,'Preguntas de negocio'!$C$121:$D$127,2,FALSE)</f>
        <v>0.5</v>
      </c>
    </row>
    <row r="1017" spans="1:28" x14ac:dyDescent="0.3">
      <c r="A1017" s="1">
        <v>45839</v>
      </c>
      <c r="B1017" s="2" t="s">
        <v>2620</v>
      </c>
      <c r="C1017" s="2" t="s">
        <v>2533</v>
      </c>
      <c r="D1017" s="2" t="s">
        <v>2525</v>
      </c>
      <c r="E1017" s="2" t="s">
        <v>2517</v>
      </c>
      <c r="F1017" s="3">
        <v>158720</v>
      </c>
      <c r="G1017" s="3">
        <v>6006</v>
      </c>
      <c r="H1017" s="3">
        <v>322</v>
      </c>
      <c r="I1017" s="4">
        <v>5511.04</v>
      </c>
      <c r="J1017" s="4">
        <v>63861.56</v>
      </c>
      <c r="K1017" s="3">
        <v>238</v>
      </c>
      <c r="L1017" s="2" t="s">
        <v>2523</v>
      </c>
      <c r="M1017" s="2" t="s">
        <v>2524</v>
      </c>
      <c r="N1017" s="8">
        <f>IFERROR(G1017/F1017,0)</f>
        <v>3.784022177419355E-2</v>
      </c>
      <c r="O1017" s="8">
        <f>IFERROR(H1017/G1017,0)</f>
        <v>5.3613053613053616E-2</v>
      </c>
      <c r="P1017" s="4">
        <f>IFERROR(I1017/G1017,0)</f>
        <v>0.9175890775890776</v>
      </c>
      <c r="Q1017" s="4">
        <f>IFERROR(I1017/H1017,0)</f>
        <v>17.115031055900619</v>
      </c>
      <c r="R1017" s="12">
        <f>IFERROR(J1017/I1017,0)</f>
        <v>11.587932586226918</v>
      </c>
      <c r="S1017" s="7">
        <f>Tabla_nuevas_columnas[[#This Row],[ROAS]]</f>
        <v>11.587932586226918</v>
      </c>
      <c r="T1017" t="str">
        <f>_xlfn.CONCAT(C1017,"-",D1017)</f>
        <v>Paid Social-Francia</v>
      </c>
      <c r="U1017">
        <f>YEAR(A1017)</f>
        <v>2025</v>
      </c>
      <c r="V1017">
        <f>MONTH(A1017)</f>
        <v>7</v>
      </c>
      <c r="W1017" t="str">
        <f>PROPER(TEXT(A1017,"mmmm"))</f>
        <v>Julio</v>
      </c>
      <c r="X1017" t="str">
        <f>PROPER(TEXT(A1017,"dddd"))</f>
        <v>Martes</v>
      </c>
      <c r="Y1017" t="str" cm="1">
        <f t="array" ref="Y1017">_xlfn.IFS(R1017&gt;10,"Excelente",R1017&gt;=5,"Bueno",R1017&gt;=2,"Débil",R1017&lt;2,"Deficiente")</f>
        <v>Excelente</v>
      </c>
      <c r="Z1017" t="str">
        <f>IF(AND(R1017&lt;2,Q1017&gt;=100),"Revisar","OK")</f>
        <v>OK</v>
      </c>
      <c r="AA1017" s="55">
        <f>_xlfn.XLOOKUP(C1017,'Preguntas de negocio'!$C$114:$C$119,'Preguntas de negocio'!$D$114:$D$119,0)</f>
        <v>6</v>
      </c>
      <c r="AB1017" s="55">
        <f>VLOOKUP(C1017,'Preguntas de negocio'!$C$121:$D$127,2,FALSE)</f>
        <v>0.8</v>
      </c>
    </row>
    <row r="1018" spans="1:28" x14ac:dyDescent="0.3">
      <c r="A1018" s="1">
        <v>45688</v>
      </c>
      <c r="B1018" s="2" t="s">
        <v>2621</v>
      </c>
      <c r="C1018" s="2" t="s">
        <v>2541</v>
      </c>
      <c r="D1018" s="2" t="s">
        <v>2525</v>
      </c>
      <c r="E1018" s="2" t="s">
        <v>2517</v>
      </c>
      <c r="F1018" s="3">
        <v>81630</v>
      </c>
      <c r="G1018" s="3">
        <v>5513</v>
      </c>
      <c r="H1018" s="3">
        <v>380</v>
      </c>
      <c r="I1018" s="4">
        <v>4046.19</v>
      </c>
      <c r="J1018" s="4">
        <v>68048.12</v>
      </c>
      <c r="K1018" s="3">
        <v>328</v>
      </c>
      <c r="L1018" s="2" t="s">
        <v>2523</v>
      </c>
      <c r="M1018" s="2" t="s">
        <v>2519</v>
      </c>
      <c r="N1018" s="8">
        <f>IFERROR(G1018/F1018,0)</f>
        <v>6.7536444934460371E-2</v>
      </c>
      <c r="O1018" s="8">
        <f>IFERROR(H1018/G1018,0)</f>
        <v>6.892798839107564E-2</v>
      </c>
      <c r="P1018" s="4">
        <f>IFERROR(I1018/G1018,0)</f>
        <v>0.73393615091601672</v>
      </c>
      <c r="Q1018" s="4">
        <f>IFERROR(I1018/H1018,0)</f>
        <v>10.647868421052632</v>
      </c>
      <c r="R1018" s="12">
        <f>IFERROR(J1018/I1018,0)</f>
        <v>16.817826152503958</v>
      </c>
      <c r="S1018" s="7">
        <f>Tabla_nuevas_columnas[[#This Row],[ROAS]]</f>
        <v>16.817826152503958</v>
      </c>
      <c r="T1018" t="str">
        <f>_xlfn.CONCAT(C1018,"-",D1018)</f>
        <v>Display-Francia</v>
      </c>
      <c r="U1018">
        <f>YEAR(A1018)</f>
        <v>2025</v>
      </c>
      <c r="V1018">
        <f>MONTH(A1018)</f>
        <v>1</v>
      </c>
      <c r="W1018" t="str">
        <f>PROPER(TEXT(A1018,"mmmm"))</f>
        <v>Enero</v>
      </c>
      <c r="X1018" t="str">
        <f>PROPER(TEXT(A1018,"dddd"))</f>
        <v>Viernes</v>
      </c>
      <c r="Y1018" t="str" cm="1">
        <f t="array" ref="Y1018">_xlfn.IFS(R1018&gt;10,"Excelente",R1018&gt;=5,"Bueno",R1018&gt;=2,"Débil",R1018&lt;2,"Deficiente")</f>
        <v>Excelente</v>
      </c>
      <c r="Z1018" t="str">
        <f>IF(AND(R1018&lt;2,Q1018&gt;=100),"Revisar","OK")</f>
        <v>OK</v>
      </c>
      <c r="AA1018" s="55">
        <f>_xlfn.XLOOKUP(C1018,'Preguntas de negocio'!$C$114:$C$119,'Preguntas de negocio'!$D$114:$D$119,0)</f>
        <v>5</v>
      </c>
      <c r="AB1018" s="55">
        <f>VLOOKUP(C1018,'Preguntas de negocio'!$C$121:$D$127,2,FALSE)</f>
        <v>0.5</v>
      </c>
    </row>
    <row r="1019" spans="1:28" x14ac:dyDescent="0.3">
      <c r="A1019" s="1">
        <v>45861</v>
      </c>
      <c r="B1019" s="2" t="s">
        <v>2616</v>
      </c>
      <c r="C1019" s="2" t="s">
        <v>2521</v>
      </c>
      <c r="D1019" s="2" t="s">
        <v>2528</v>
      </c>
      <c r="E1019" s="2" t="s">
        <v>2517</v>
      </c>
      <c r="F1019" s="3">
        <v>57908</v>
      </c>
      <c r="G1019" s="3">
        <v>1711</v>
      </c>
      <c r="H1019" s="3">
        <v>95</v>
      </c>
      <c r="I1019" s="4">
        <v>962.21</v>
      </c>
      <c r="J1019" s="4">
        <v>19085.830000000002</v>
      </c>
      <c r="K1019" s="3">
        <v>45</v>
      </c>
      <c r="L1019" s="2" t="s">
        <v>2539</v>
      </c>
      <c r="M1019" s="2" t="s">
        <v>2524</v>
      </c>
      <c r="N1019" s="8">
        <f>IFERROR(G1019/F1019,0)</f>
        <v>2.9546867444912622E-2</v>
      </c>
      <c r="O1019" s="8">
        <f>IFERROR(H1019/G1019,0)</f>
        <v>5.5523085914669784E-2</v>
      </c>
      <c r="P1019" s="4">
        <f>IFERROR(I1019/G1019,0)</f>
        <v>0.56236703682057276</v>
      </c>
      <c r="Q1019" s="4">
        <f>IFERROR(I1019/H1019,0)</f>
        <v>10.128526315789474</v>
      </c>
      <c r="R1019" s="12">
        <f>IFERROR(J1019/I1019,0)</f>
        <v>19.835410149551553</v>
      </c>
      <c r="S1019" s="7">
        <f>Tabla_nuevas_columnas[[#This Row],[ROAS]]</f>
        <v>19.835410149551553</v>
      </c>
      <c r="T1019" t="str">
        <f>_xlfn.CONCAT(C1019,"-",D1019)</f>
        <v>Paid Search-España</v>
      </c>
      <c r="U1019">
        <f>YEAR(A1019)</f>
        <v>2025</v>
      </c>
      <c r="V1019">
        <f>MONTH(A1019)</f>
        <v>7</v>
      </c>
      <c r="W1019" t="str">
        <f>PROPER(TEXT(A1019,"mmmm"))</f>
        <v>Julio</v>
      </c>
      <c r="X1019" t="str">
        <f>PROPER(TEXT(A1019,"dddd"))</f>
        <v>Miércoles</v>
      </c>
      <c r="Y1019" t="str" cm="1">
        <f t="array" ref="Y1019">_xlfn.IFS(R1019&gt;10,"Excelente",R1019&gt;=5,"Bueno",R1019&gt;=2,"Débil",R1019&lt;2,"Deficiente")</f>
        <v>Excelente</v>
      </c>
      <c r="Z1019" t="str">
        <f>IF(AND(R1019&lt;2,Q1019&gt;=100),"Revisar","OK")</f>
        <v>OK</v>
      </c>
      <c r="AA1019" s="55">
        <f>_xlfn.XLOOKUP(C1019,'Preguntas de negocio'!$C$114:$C$119,'Preguntas de negocio'!$D$114:$D$119,0)</f>
        <v>5</v>
      </c>
      <c r="AB1019" s="55">
        <f>VLOOKUP(C1019,'Preguntas de negocio'!$C$121:$D$127,2,FALSE)</f>
        <v>1.1000000000000001</v>
      </c>
    </row>
    <row r="1020" spans="1:28" x14ac:dyDescent="0.3">
      <c r="A1020" s="1">
        <v>45992</v>
      </c>
      <c r="B1020" s="2" t="s">
        <v>2622</v>
      </c>
      <c r="C1020" s="2" t="s">
        <v>2527</v>
      </c>
      <c r="D1020" s="2" t="s">
        <v>2516</v>
      </c>
      <c r="E1020" s="2" t="s">
        <v>2529</v>
      </c>
      <c r="F1020" s="3">
        <v>9303</v>
      </c>
      <c r="G1020" s="3">
        <v>516</v>
      </c>
      <c r="H1020" s="3">
        <v>32</v>
      </c>
      <c r="I1020" s="4">
        <v>359.81</v>
      </c>
      <c r="J1020" s="4">
        <v>4431.95</v>
      </c>
      <c r="K1020" s="3">
        <v>28</v>
      </c>
      <c r="L1020" s="2" t="s">
        <v>2523</v>
      </c>
      <c r="M1020" s="2" t="s">
        <v>2524</v>
      </c>
      <c r="N1020" s="8">
        <f>IFERROR(G1020/F1020,0)</f>
        <v>5.5465978716543053E-2</v>
      </c>
      <c r="O1020" s="8">
        <f>IFERROR(H1020/G1020,0)</f>
        <v>6.2015503875968991E-2</v>
      </c>
      <c r="P1020" s="4">
        <f>IFERROR(I1020/G1020,0)</f>
        <v>0.69730620155038758</v>
      </c>
      <c r="Q1020" s="4">
        <f>IFERROR(I1020/H1020,0)</f>
        <v>11.2440625</v>
      </c>
      <c r="R1020" s="12">
        <f>IFERROR(J1020/I1020,0)</f>
        <v>12.317473110808482</v>
      </c>
      <c r="S1020" s="7">
        <f>Tabla_nuevas_columnas[[#This Row],[ROAS]]</f>
        <v>12.317473110808482</v>
      </c>
      <c r="T1020" t="str">
        <f>_xlfn.CONCAT(C1020,"-",D1020)</f>
        <v>Affiliate-México</v>
      </c>
      <c r="U1020">
        <f>YEAR(A1020)</f>
        <v>2025</v>
      </c>
      <c r="V1020">
        <f>MONTH(A1020)</f>
        <v>12</v>
      </c>
      <c r="W1020" t="str">
        <f>PROPER(TEXT(A1020,"mmmm"))</f>
        <v>Diciembre</v>
      </c>
      <c r="X1020" t="str">
        <f>PROPER(TEXT(A1020,"dddd"))</f>
        <v>Lunes</v>
      </c>
      <c r="Y1020" t="str" cm="1">
        <f t="array" ref="Y1020">_xlfn.IFS(R1020&gt;10,"Excelente",R1020&gt;=5,"Bueno",R1020&gt;=2,"Débil",R1020&lt;2,"Deficiente")</f>
        <v>Excelente</v>
      </c>
      <c r="Z1020" t="str">
        <f>IF(AND(R1020&lt;2,Q1020&gt;=100),"Revisar","OK")</f>
        <v>OK</v>
      </c>
      <c r="AA1020" s="55">
        <f>_xlfn.XLOOKUP(C1020,'Preguntas de negocio'!$C$114:$C$119,'Preguntas de negocio'!$D$114:$D$119,0)</f>
        <v>4.5</v>
      </c>
      <c r="AB1020" s="55">
        <f>VLOOKUP(C1020,'Preguntas de negocio'!$C$121:$D$127,2,FALSE)</f>
        <v>0.35</v>
      </c>
    </row>
    <row r="1021" spans="1:28" x14ac:dyDescent="0.3">
      <c r="A1021" s="1">
        <v>45758</v>
      </c>
      <c r="B1021" s="2" t="s">
        <v>2624</v>
      </c>
      <c r="C1021" s="2" t="s">
        <v>2541</v>
      </c>
      <c r="D1021" s="2" t="s">
        <v>2522</v>
      </c>
      <c r="E1021" s="2" t="s">
        <v>2517</v>
      </c>
      <c r="F1021" s="3">
        <v>175964</v>
      </c>
      <c r="G1021" s="3">
        <v>15152</v>
      </c>
      <c r="H1021" s="3">
        <v>162</v>
      </c>
      <c r="I1021" s="4">
        <v>5445.96</v>
      </c>
      <c r="J1021" s="4">
        <v>14353.45</v>
      </c>
      <c r="K1021" s="3">
        <v>114</v>
      </c>
      <c r="L1021" s="2" t="s">
        <v>2539</v>
      </c>
      <c r="M1021" s="2" t="s">
        <v>2524</v>
      </c>
      <c r="N1021" s="8">
        <f>IFERROR(G1021/F1021,0)</f>
        <v>8.6108522197722262E-2</v>
      </c>
      <c r="O1021" s="8">
        <f>IFERROR(H1021/G1021,0)</f>
        <v>1.0691657866948258E-2</v>
      </c>
      <c r="P1021" s="4">
        <f>IFERROR(I1021/G1021,0)</f>
        <v>0.35942185850052799</v>
      </c>
      <c r="Q1021" s="4">
        <f>IFERROR(I1021/H1021,0)</f>
        <v>33.617037037037036</v>
      </c>
      <c r="R1021" s="12">
        <f>IFERROR(J1021/I1021,0)</f>
        <v>2.6356142902261492</v>
      </c>
      <c r="S1021" s="7">
        <f>Tabla_nuevas_columnas[[#This Row],[ROAS]]</f>
        <v>2.6356142902261492</v>
      </c>
      <c r="T1021" t="str">
        <f>_xlfn.CONCAT(C1021,"-",D1021)</f>
        <v>Display-Italia</v>
      </c>
      <c r="U1021">
        <f>YEAR(A1021)</f>
        <v>2025</v>
      </c>
      <c r="V1021">
        <f>MONTH(A1021)</f>
        <v>4</v>
      </c>
      <c r="W1021" t="str">
        <f>PROPER(TEXT(A1021,"mmmm"))</f>
        <v>Abril</v>
      </c>
      <c r="X1021" t="str">
        <f>PROPER(TEXT(A1021,"dddd"))</f>
        <v>Viernes</v>
      </c>
      <c r="Y1021" t="str" cm="1">
        <f t="array" ref="Y1021">_xlfn.IFS(R1021&gt;10,"Excelente",R1021&gt;=5,"Bueno",R1021&gt;=2,"Débil",R1021&lt;2,"Deficiente")</f>
        <v>Débil</v>
      </c>
      <c r="Z1021" t="str">
        <f>IF(AND(R1021&lt;2,Q1021&gt;=100),"Revisar","OK")</f>
        <v>OK</v>
      </c>
      <c r="AA1021" s="55">
        <f>_xlfn.XLOOKUP(C1021,'Preguntas de negocio'!$C$114:$C$119,'Preguntas de negocio'!$D$114:$D$119,0)</f>
        <v>5</v>
      </c>
      <c r="AB1021" s="55">
        <f>VLOOKUP(C1021,'Preguntas de negocio'!$C$121:$D$127,2,FALSE)</f>
        <v>0.5</v>
      </c>
    </row>
    <row r="1022" spans="1:28" x14ac:dyDescent="0.3">
      <c r="A1022" s="1">
        <v>46003</v>
      </c>
      <c r="B1022" s="2" t="s">
        <v>2617</v>
      </c>
      <c r="C1022" s="2" t="s">
        <v>2541</v>
      </c>
      <c r="D1022" s="2" t="s">
        <v>2528</v>
      </c>
      <c r="E1022" s="2" t="s">
        <v>2517</v>
      </c>
      <c r="F1022" s="3">
        <v>38061</v>
      </c>
      <c r="G1022" s="3">
        <v>2140</v>
      </c>
      <c r="H1022" s="3">
        <v>38</v>
      </c>
      <c r="I1022" s="4">
        <v>1551.97</v>
      </c>
      <c r="J1022" s="4">
        <v>2846.51</v>
      </c>
      <c r="K1022" s="3">
        <v>25</v>
      </c>
      <c r="L1022" s="2" t="s">
        <v>2518</v>
      </c>
      <c r="M1022" s="2" t="s">
        <v>2519</v>
      </c>
      <c r="N1022" s="8">
        <f>IFERROR(G1022/F1022,0)</f>
        <v>5.622553269751189E-2</v>
      </c>
      <c r="O1022" s="8">
        <f>IFERROR(H1022/G1022,0)</f>
        <v>1.7757009345794394E-2</v>
      </c>
      <c r="P1022" s="4">
        <f>IFERROR(I1022/G1022,0)</f>
        <v>0.72521962616822433</v>
      </c>
      <c r="Q1022" s="4">
        <f>IFERROR(I1022/H1022,0)</f>
        <v>40.841315789473683</v>
      </c>
      <c r="R1022" s="12">
        <f>IFERROR(J1022/I1022,0)</f>
        <v>1.834126948330187</v>
      </c>
      <c r="S1022" s="7">
        <f>Tabla_nuevas_columnas[[#This Row],[ROAS]]</f>
        <v>1.834126948330187</v>
      </c>
      <c r="T1022" t="str">
        <f>_xlfn.CONCAT(C1022,"-",D1022)</f>
        <v>Display-España</v>
      </c>
      <c r="U1022">
        <f>YEAR(A1022)</f>
        <v>2025</v>
      </c>
      <c r="V1022">
        <f>MONTH(A1022)</f>
        <v>12</v>
      </c>
      <c r="W1022" t="str">
        <f>PROPER(TEXT(A1022,"mmmm"))</f>
        <v>Diciembre</v>
      </c>
      <c r="X1022" t="str">
        <f>PROPER(TEXT(A1022,"dddd"))</f>
        <v>Viernes</v>
      </c>
      <c r="Y1022" t="str" cm="1">
        <f t="array" ref="Y1022">_xlfn.IFS(R1022&gt;10,"Excelente",R1022&gt;=5,"Bueno",R1022&gt;=2,"Débil",R1022&lt;2,"Deficiente")</f>
        <v>Deficiente</v>
      </c>
      <c r="Z1022" t="str">
        <f>IF(AND(R1022&lt;2,Q1022&gt;=100),"Revisar","OK")</f>
        <v>OK</v>
      </c>
      <c r="AA1022" s="55">
        <f>_xlfn.XLOOKUP(C1022,'Preguntas de negocio'!$C$114:$C$119,'Preguntas de negocio'!$D$114:$D$119,0)</f>
        <v>5</v>
      </c>
      <c r="AB1022" s="55">
        <f>VLOOKUP(C1022,'Preguntas de negocio'!$C$121:$D$127,2,FALSE)</f>
        <v>0.5</v>
      </c>
    </row>
    <row r="1023" spans="1:28" x14ac:dyDescent="0.3">
      <c r="A1023" s="1">
        <v>45940</v>
      </c>
      <c r="B1023" s="2" t="s">
        <v>2632</v>
      </c>
      <c r="C1023" s="2" t="s">
        <v>2521</v>
      </c>
      <c r="D1023" s="2" t="s">
        <v>2528</v>
      </c>
      <c r="E1023" s="2" t="s">
        <v>2517</v>
      </c>
      <c r="F1023" s="3">
        <v>120062</v>
      </c>
      <c r="G1023" s="3">
        <v>6021</v>
      </c>
      <c r="H1023" s="3">
        <v>339</v>
      </c>
      <c r="I1023" s="4">
        <v>2374.61</v>
      </c>
      <c r="J1023" s="4">
        <v>23962</v>
      </c>
      <c r="K1023" s="3">
        <v>285</v>
      </c>
      <c r="L1023" s="2" t="s">
        <v>2536</v>
      </c>
      <c r="M1023" s="2" t="s">
        <v>2519</v>
      </c>
      <c r="N1023" s="8">
        <f>IFERROR(G1023/F1023,0)</f>
        <v>5.0149089637020874E-2</v>
      </c>
      <c r="O1023" s="8">
        <f>IFERROR(H1023/G1023,0)</f>
        <v>5.6302939711011461E-2</v>
      </c>
      <c r="P1023" s="4">
        <f>IFERROR(I1023/G1023,0)</f>
        <v>0.3943879754193656</v>
      </c>
      <c r="Q1023" s="4">
        <f>IFERROR(I1023/H1023,0)</f>
        <v>7.0047492625368735</v>
      </c>
      <c r="R1023" s="12">
        <f>IFERROR(J1023/I1023,0)</f>
        <v>10.090920193210675</v>
      </c>
      <c r="S1023" s="7">
        <f>Tabla_nuevas_columnas[[#This Row],[ROAS]]</f>
        <v>10.090920193210675</v>
      </c>
      <c r="T1023" t="str">
        <f>_xlfn.CONCAT(C1023,"-",D1023)</f>
        <v>Paid Search-España</v>
      </c>
      <c r="U1023">
        <f>YEAR(A1023)</f>
        <v>2025</v>
      </c>
      <c r="V1023">
        <f>MONTH(A1023)</f>
        <v>10</v>
      </c>
      <c r="W1023" t="str">
        <f>PROPER(TEXT(A1023,"mmmm"))</f>
        <v>Octubre</v>
      </c>
      <c r="X1023" t="str">
        <f>PROPER(TEXT(A1023,"dddd"))</f>
        <v>Viernes</v>
      </c>
      <c r="Y1023" t="str" cm="1">
        <f t="array" ref="Y1023">_xlfn.IFS(R1023&gt;10,"Excelente",R1023&gt;=5,"Bueno",R1023&gt;=2,"Débil",R1023&lt;2,"Deficiente")</f>
        <v>Excelente</v>
      </c>
      <c r="Z1023" t="str">
        <f>IF(AND(R1023&lt;2,Q1023&gt;=100),"Revisar","OK")</f>
        <v>OK</v>
      </c>
      <c r="AA1023" s="55">
        <f>_xlfn.XLOOKUP(C1023,'Preguntas de negocio'!$C$114:$C$119,'Preguntas de negocio'!$D$114:$D$119,0)</f>
        <v>5</v>
      </c>
      <c r="AB1023" s="55">
        <f>VLOOKUP(C1023,'Preguntas de negocio'!$C$121:$D$127,2,FALSE)</f>
        <v>1.1000000000000001</v>
      </c>
    </row>
    <row r="1024" spans="1:28" x14ac:dyDescent="0.3">
      <c r="A1024" s="1">
        <v>45742</v>
      </c>
      <c r="B1024" s="2" t="s">
        <v>2632</v>
      </c>
      <c r="C1024" s="2" t="s">
        <v>2541</v>
      </c>
      <c r="D1024" s="2" t="s">
        <v>2528</v>
      </c>
      <c r="E1024" s="2" t="s">
        <v>2534</v>
      </c>
      <c r="F1024" s="3">
        <v>6031</v>
      </c>
      <c r="G1024" s="3">
        <v>70</v>
      </c>
      <c r="H1024" s="3">
        <v>7</v>
      </c>
      <c r="I1024" s="4">
        <v>35.159999999999997</v>
      </c>
      <c r="J1024" s="4">
        <v>1414.16</v>
      </c>
      <c r="K1024" s="3">
        <v>5</v>
      </c>
      <c r="L1024" s="2" t="s">
        <v>2536</v>
      </c>
      <c r="M1024" s="2" t="s">
        <v>2546</v>
      </c>
      <c r="N1024" s="8">
        <f>IFERROR(G1024/F1024,0)</f>
        <v>1.1606698723263141E-2</v>
      </c>
      <c r="O1024" s="8">
        <f>IFERROR(H1024/G1024,0)</f>
        <v>0.1</v>
      </c>
      <c r="P1024" s="4">
        <f>IFERROR(I1024/G1024,0)</f>
        <v>0.50228571428571422</v>
      </c>
      <c r="Q1024" s="4">
        <f>IFERROR(I1024/H1024,0)</f>
        <v>5.0228571428571422</v>
      </c>
      <c r="R1024" s="12">
        <f>IFERROR(J1024/I1024,0)</f>
        <v>40.22070534698522</v>
      </c>
      <c r="S1024" s="7">
        <f>Tabla_nuevas_columnas[[#This Row],[ROAS]]</f>
        <v>40.22070534698522</v>
      </c>
      <c r="T1024" t="str">
        <f>_xlfn.CONCAT(C1024,"-",D1024)</f>
        <v>Display-España</v>
      </c>
      <c r="U1024">
        <f>YEAR(A1024)</f>
        <v>2025</v>
      </c>
      <c r="V1024">
        <f>MONTH(A1024)</f>
        <v>3</v>
      </c>
      <c r="W1024" t="str">
        <f>PROPER(TEXT(A1024,"mmmm"))</f>
        <v>Marzo</v>
      </c>
      <c r="X1024" t="str">
        <f>PROPER(TEXT(A1024,"dddd"))</f>
        <v>Miércoles</v>
      </c>
      <c r="Y1024" t="str" cm="1">
        <f t="array" ref="Y1024">_xlfn.IFS(R1024&gt;10,"Excelente",R1024&gt;=5,"Bueno",R1024&gt;=2,"Débil",R1024&lt;2,"Deficiente")</f>
        <v>Excelente</v>
      </c>
      <c r="Z1024" t="str">
        <f>IF(AND(R1024&lt;2,Q1024&gt;=100),"Revisar","OK")</f>
        <v>OK</v>
      </c>
      <c r="AA1024" s="55">
        <f>_xlfn.XLOOKUP(C1024,'Preguntas de negocio'!$C$114:$C$119,'Preguntas de negocio'!$D$114:$D$119,0)</f>
        <v>5</v>
      </c>
      <c r="AB1024" s="55">
        <f>VLOOKUP(C1024,'Preguntas de negocio'!$C$121:$D$127,2,FALSE)</f>
        <v>0.5</v>
      </c>
    </row>
    <row r="1025" spans="1:28" x14ac:dyDescent="0.3">
      <c r="A1025" s="1">
        <v>45945</v>
      </c>
      <c r="B1025" s="2" t="s">
        <v>2635</v>
      </c>
      <c r="C1025" s="2" t="s">
        <v>2543</v>
      </c>
      <c r="D1025" s="2" t="s">
        <v>2522</v>
      </c>
      <c r="E1025" s="2" t="s">
        <v>2517</v>
      </c>
      <c r="F1025" s="3">
        <v>26682</v>
      </c>
      <c r="G1025" s="3">
        <v>1175</v>
      </c>
      <c r="H1025" s="3">
        <v>164</v>
      </c>
      <c r="I1025" s="4">
        <v>2044.65</v>
      </c>
      <c r="J1025" s="4">
        <v>6246.89</v>
      </c>
      <c r="K1025" s="3">
        <v>74</v>
      </c>
      <c r="L1025" s="2" t="s">
        <v>2518</v>
      </c>
      <c r="M1025" s="2" t="s">
        <v>2519</v>
      </c>
      <c r="N1025" s="8">
        <f>IFERROR(G1025/F1025,0)</f>
        <v>4.4037178622292179E-2</v>
      </c>
      <c r="O1025" s="8">
        <f>IFERROR(H1025/G1025,0)</f>
        <v>0.13957446808510637</v>
      </c>
      <c r="P1025" s="4">
        <f>IFERROR(I1025/G1025,0)</f>
        <v>1.7401276595744681</v>
      </c>
      <c r="Q1025" s="4">
        <f>IFERROR(I1025/H1025,0)</f>
        <v>12.467378048780489</v>
      </c>
      <c r="R1025" s="12">
        <f>IFERROR(J1025/I1025,0)</f>
        <v>3.0552368376005674</v>
      </c>
      <c r="S1025" s="7">
        <f>Tabla_nuevas_columnas[[#This Row],[ROAS]]</f>
        <v>3.0552368376005674</v>
      </c>
      <c r="T1025" t="str">
        <f>_xlfn.CONCAT(C1025,"-",D1025)</f>
        <v>Organic Social-Italia</v>
      </c>
      <c r="U1025">
        <f>YEAR(A1025)</f>
        <v>2025</v>
      </c>
      <c r="V1025">
        <f>MONTH(A1025)</f>
        <v>10</v>
      </c>
      <c r="W1025" t="str">
        <f>PROPER(TEXT(A1025,"mmmm"))</f>
        <v>Octubre</v>
      </c>
      <c r="X1025" t="str">
        <f>PROPER(TEXT(A1025,"dddd"))</f>
        <v>Miércoles</v>
      </c>
      <c r="Y1025" t="str" cm="1">
        <f t="array" ref="Y1025">_xlfn.IFS(R1025&gt;10,"Excelente",R1025&gt;=5,"Bueno",R1025&gt;=2,"Débil",R1025&lt;2,"Deficiente")</f>
        <v>Débil</v>
      </c>
      <c r="Z1025" t="str">
        <f>IF(AND(R1025&lt;2,Q1025&gt;=100),"Revisar","OK")</f>
        <v>OK</v>
      </c>
      <c r="AA1025" s="55">
        <f>_xlfn.XLOOKUP(C1025,'Preguntas de negocio'!$C$114:$C$119,'Preguntas de negocio'!$D$114:$D$119,0)</f>
        <v>4</v>
      </c>
      <c r="AB1025" s="55">
        <f>VLOOKUP(C1025,'Preguntas de negocio'!$C$121:$D$127,2,FALSE)</f>
        <v>0.95</v>
      </c>
    </row>
    <row r="1026" spans="1:28" x14ac:dyDescent="0.3">
      <c r="A1026" s="1">
        <v>46015</v>
      </c>
      <c r="B1026" s="2" t="s">
        <v>2640</v>
      </c>
      <c r="C1026" s="2" t="s">
        <v>2543</v>
      </c>
      <c r="D1026" s="2" t="s">
        <v>2525</v>
      </c>
      <c r="E1026" s="2" t="s">
        <v>2517</v>
      </c>
      <c r="F1026" s="3">
        <v>54337</v>
      </c>
      <c r="G1026" s="3">
        <v>1083</v>
      </c>
      <c r="H1026" s="3">
        <v>8</v>
      </c>
      <c r="I1026" s="4">
        <v>1985.77</v>
      </c>
      <c r="J1026" s="4">
        <v>1744.14</v>
      </c>
      <c r="K1026" s="3">
        <v>4</v>
      </c>
      <c r="L1026" s="2" t="s">
        <v>2536</v>
      </c>
      <c r="M1026" s="2" t="s">
        <v>2537</v>
      </c>
      <c r="N1026" s="8">
        <f>IFERROR(G1026/F1026,0)</f>
        <v>1.9931170289121593E-2</v>
      </c>
      <c r="O1026" s="8">
        <f>IFERROR(H1026/G1026,0)</f>
        <v>7.3868882733148658E-3</v>
      </c>
      <c r="P1026" s="4">
        <f>IFERROR(I1026/G1026,0)</f>
        <v>1.8335826408125577</v>
      </c>
      <c r="Q1026" s="4">
        <f>IFERROR(I1026/H1026,0)</f>
        <v>248.22125</v>
      </c>
      <c r="R1026" s="12">
        <f>IFERROR(J1026/I1026,0)</f>
        <v>0.87831924140257944</v>
      </c>
      <c r="S1026" s="7">
        <f>Tabla_nuevas_columnas[[#This Row],[ROAS]]</f>
        <v>0.87831924140257944</v>
      </c>
      <c r="T1026" t="str">
        <f>_xlfn.CONCAT(C1026,"-",D1026)</f>
        <v>Organic Social-Francia</v>
      </c>
      <c r="U1026">
        <f>YEAR(A1026)</f>
        <v>2025</v>
      </c>
      <c r="V1026">
        <f>MONTH(A1026)</f>
        <v>12</v>
      </c>
      <c r="W1026" t="str">
        <f>PROPER(TEXT(A1026,"mmmm"))</f>
        <v>Diciembre</v>
      </c>
      <c r="X1026" t="str">
        <f>PROPER(TEXT(A1026,"dddd"))</f>
        <v>Miércoles</v>
      </c>
      <c r="Y1026" t="str" cm="1">
        <f t="array" ref="Y1026">_xlfn.IFS(R1026&gt;10,"Excelente",R1026&gt;=5,"Bueno",R1026&gt;=2,"Débil",R1026&lt;2,"Deficiente")</f>
        <v>Deficiente</v>
      </c>
      <c r="Z1026" t="str">
        <f>IF(AND(R1026&lt;2,Q1026&gt;=100),"Revisar","OK")</f>
        <v>Revisar</v>
      </c>
      <c r="AA1026" s="55">
        <f>_xlfn.XLOOKUP(C1026,'Preguntas de negocio'!$C$114:$C$119,'Preguntas de negocio'!$D$114:$D$119,0)</f>
        <v>4</v>
      </c>
      <c r="AB1026" s="55">
        <f>VLOOKUP(C1026,'Preguntas de negocio'!$C$121:$D$127,2,FALSE)</f>
        <v>0.95</v>
      </c>
    </row>
    <row r="1027" spans="1:28" x14ac:dyDescent="0.3">
      <c r="A1027" s="1">
        <v>45684</v>
      </c>
      <c r="B1027" s="2" t="s">
        <v>2631</v>
      </c>
      <c r="C1027" s="2" t="s">
        <v>2515</v>
      </c>
      <c r="D1027" s="2" t="s">
        <v>2516</v>
      </c>
      <c r="E1027" s="2" t="s">
        <v>2529</v>
      </c>
      <c r="F1027" s="3">
        <v>13176</v>
      </c>
      <c r="G1027" s="3">
        <v>555</v>
      </c>
      <c r="H1027" s="3">
        <v>5</v>
      </c>
      <c r="I1027" s="4">
        <v>549.78</v>
      </c>
      <c r="J1027" s="4">
        <v>631.83000000000004</v>
      </c>
      <c r="K1027" s="3">
        <v>3</v>
      </c>
      <c r="L1027" s="2" t="s">
        <v>2536</v>
      </c>
      <c r="M1027" s="2" t="s">
        <v>2546</v>
      </c>
      <c r="N1027" s="8">
        <f>IFERROR(G1027/F1027,0)</f>
        <v>4.2122040072859745E-2</v>
      </c>
      <c r="O1027" s="8">
        <f>IFERROR(H1027/G1027,0)</f>
        <v>9.0090090090090089E-3</v>
      </c>
      <c r="P1027" s="4">
        <f>IFERROR(I1027/G1027,0)</f>
        <v>0.99059459459459454</v>
      </c>
      <c r="Q1027" s="4">
        <f>IFERROR(I1027/H1027,0)</f>
        <v>109.95599999999999</v>
      </c>
      <c r="R1027" s="12">
        <f>IFERROR(J1027/I1027,0)</f>
        <v>1.1492415147877335</v>
      </c>
      <c r="S1027" s="7">
        <f>Tabla_nuevas_columnas[[#This Row],[ROAS]]</f>
        <v>1.1492415147877335</v>
      </c>
      <c r="T1027" t="str">
        <f>_xlfn.CONCAT(C1027,"-",D1027)</f>
        <v>Email-México</v>
      </c>
      <c r="U1027">
        <f>YEAR(A1027)</f>
        <v>2025</v>
      </c>
      <c r="V1027">
        <f>MONTH(A1027)</f>
        <v>1</v>
      </c>
      <c r="W1027" t="str">
        <f>PROPER(TEXT(A1027,"mmmm"))</f>
        <v>Enero</v>
      </c>
      <c r="X1027" t="str">
        <f>PROPER(TEXT(A1027,"dddd"))</f>
        <v>Lunes</v>
      </c>
      <c r="Y1027" t="str" cm="1">
        <f t="array" ref="Y1027">_xlfn.IFS(R1027&gt;10,"Excelente",R1027&gt;=5,"Bueno",R1027&gt;=2,"Débil",R1027&lt;2,"Deficiente")</f>
        <v>Deficiente</v>
      </c>
      <c r="Z1027" t="str">
        <f>IF(AND(R1027&lt;2,Q1027&gt;=100),"Revisar","OK")</f>
        <v>Revisar</v>
      </c>
      <c r="AA1027" s="55">
        <f>_xlfn.XLOOKUP(C1027,'Preguntas de negocio'!$C$114:$C$119,'Preguntas de negocio'!$D$114:$D$119,0)</f>
        <v>5.5</v>
      </c>
      <c r="AB1027" s="55">
        <f>VLOOKUP(C1027,'Preguntas de negocio'!$C$121:$D$127,2,FALSE)</f>
        <v>0.65</v>
      </c>
    </row>
    <row r="1028" spans="1:28" x14ac:dyDescent="0.3">
      <c r="A1028" s="1">
        <v>45668</v>
      </c>
      <c r="B1028" s="2" t="s">
        <v>2627</v>
      </c>
      <c r="C1028" s="2" t="s">
        <v>2515</v>
      </c>
      <c r="D1028" s="2" t="s">
        <v>2528</v>
      </c>
      <c r="E1028" s="2" t="s">
        <v>2517</v>
      </c>
      <c r="F1028" s="3">
        <v>12534</v>
      </c>
      <c r="G1028" s="3">
        <v>184</v>
      </c>
      <c r="H1028" s="3">
        <v>2</v>
      </c>
      <c r="I1028" s="4">
        <v>301.64</v>
      </c>
      <c r="J1028" s="4">
        <v>247.54</v>
      </c>
      <c r="K1028" s="3">
        <v>1</v>
      </c>
      <c r="L1028" s="2" t="s">
        <v>2539</v>
      </c>
      <c r="M1028" s="2" t="s">
        <v>2546</v>
      </c>
      <c r="N1028" s="8">
        <f>IFERROR(G1028/F1028,0)</f>
        <v>1.4680070209031434E-2</v>
      </c>
      <c r="O1028" s="8">
        <f>IFERROR(H1028/G1028,0)</f>
        <v>1.0869565217391304E-2</v>
      </c>
      <c r="P1028" s="4">
        <f>IFERROR(I1028/G1028,0)</f>
        <v>1.6393478260869565</v>
      </c>
      <c r="Q1028" s="4">
        <f>IFERROR(I1028/H1028,0)</f>
        <v>150.82</v>
      </c>
      <c r="R1028" s="12">
        <f>IFERROR(J1028/I1028,0)</f>
        <v>0.82064712902798043</v>
      </c>
      <c r="S1028" s="7">
        <f>Tabla_nuevas_columnas[[#This Row],[ROAS]]</f>
        <v>0.82064712902798043</v>
      </c>
      <c r="T1028" t="str">
        <f>_xlfn.CONCAT(C1028,"-",D1028)</f>
        <v>Email-España</v>
      </c>
      <c r="U1028">
        <f>YEAR(A1028)</f>
        <v>2025</v>
      </c>
      <c r="V1028">
        <f>MONTH(A1028)</f>
        <v>1</v>
      </c>
      <c r="W1028" t="str">
        <f>PROPER(TEXT(A1028,"mmmm"))</f>
        <v>Enero</v>
      </c>
      <c r="X1028" t="str">
        <f>PROPER(TEXT(A1028,"dddd"))</f>
        <v>Sábado</v>
      </c>
      <c r="Y1028" t="str" cm="1">
        <f t="array" ref="Y1028">_xlfn.IFS(R1028&gt;10,"Excelente",R1028&gt;=5,"Bueno",R1028&gt;=2,"Débil",R1028&lt;2,"Deficiente")</f>
        <v>Deficiente</v>
      </c>
      <c r="Z1028" t="str">
        <f>IF(AND(R1028&lt;2,Q1028&gt;=100),"Revisar","OK")</f>
        <v>Revisar</v>
      </c>
      <c r="AA1028" s="55">
        <f>_xlfn.XLOOKUP(C1028,'Preguntas de negocio'!$C$114:$C$119,'Preguntas de negocio'!$D$114:$D$119,0)</f>
        <v>5.5</v>
      </c>
      <c r="AB1028" s="55">
        <f>VLOOKUP(C1028,'Preguntas de negocio'!$C$121:$D$127,2,FALSE)</f>
        <v>0.65</v>
      </c>
    </row>
    <row r="1029" spans="1:28" x14ac:dyDescent="0.3">
      <c r="A1029" s="1">
        <v>46017</v>
      </c>
      <c r="B1029" s="2" t="s">
        <v>2623</v>
      </c>
      <c r="C1029" s="2" t="s">
        <v>2527</v>
      </c>
      <c r="D1029" s="2" t="s">
        <v>2516</v>
      </c>
      <c r="E1029" s="2" t="s">
        <v>2517</v>
      </c>
      <c r="F1029" s="3">
        <v>58798</v>
      </c>
      <c r="G1029" s="3">
        <v>3542</v>
      </c>
      <c r="H1029" s="3">
        <v>395</v>
      </c>
      <c r="I1029" s="4">
        <v>3713.96</v>
      </c>
      <c r="J1029" s="4">
        <v>13858.82</v>
      </c>
      <c r="K1029" s="3">
        <v>285</v>
      </c>
      <c r="L1029" s="2" t="s">
        <v>2523</v>
      </c>
      <c r="M1029" s="2" t="s">
        <v>2519</v>
      </c>
      <c r="N1029" s="8">
        <f>IFERROR(G1029/F1029,0)</f>
        <v>6.0240144222592606E-2</v>
      </c>
      <c r="O1029" s="8">
        <f>IFERROR(H1029/G1029,0)</f>
        <v>0.11151891586674195</v>
      </c>
      <c r="P1029" s="4">
        <f>IFERROR(I1029/G1029,0)</f>
        <v>1.0485488424618858</v>
      </c>
      <c r="Q1029" s="4">
        <f>IFERROR(I1029/H1029,0)</f>
        <v>9.4024303797468356</v>
      </c>
      <c r="R1029" s="12">
        <f>IFERROR(J1029/I1029,0)</f>
        <v>3.7315479972859156</v>
      </c>
      <c r="S1029" s="7">
        <f>Tabla_nuevas_columnas[[#This Row],[ROAS]]</f>
        <v>3.7315479972859156</v>
      </c>
      <c r="T1029" t="str">
        <f>_xlfn.CONCAT(C1029,"-",D1029)</f>
        <v>Affiliate-México</v>
      </c>
      <c r="U1029">
        <f>YEAR(A1029)</f>
        <v>2025</v>
      </c>
      <c r="V1029">
        <f>MONTH(A1029)</f>
        <v>12</v>
      </c>
      <c r="W1029" t="str">
        <f>PROPER(TEXT(A1029,"mmmm"))</f>
        <v>Diciembre</v>
      </c>
      <c r="X1029" t="str">
        <f>PROPER(TEXT(A1029,"dddd"))</f>
        <v>Viernes</v>
      </c>
      <c r="Y1029" t="str" cm="1">
        <f t="array" ref="Y1029">_xlfn.IFS(R1029&gt;10,"Excelente",R1029&gt;=5,"Bueno",R1029&gt;=2,"Débil",R1029&lt;2,"Deficiente")</f>
        <v>Débil</v>
      </c>
      <c r="Z1029" t="str">
        <f>IF(AND(R1029&lt;2,Q1029&gt;=100),"Revisar","OK")</f>
        <v>OK</v>
      </c>
      <c r="AA1029" s="55">
        <f>_xlfn.XLOOKUP(C1029,'Preguntas de negocio'!$C$114:$C$119,'Preguntas de negocio'!$D$114:$D$119,0)</f>
        <v>4.5</v>
      </c>
      <c r="AB1029" s="55">
        <f>VLOOKUP(C1029,'Preguntas de negocio'!$C$121:$D$127,2,FALSE)</f>
        <v>0.35</v>
      </c>
    </row>
    <row r="1030" spans="1:28" x14ac:dyDescent="0.3">
      <c r="A1030" s="1">
        <v>45980</v>
      </c>
      <c r="B1030" s="2" t="s">
        <v>2617</v>
      </c>
      <c r="C1030" s="2" t="s">
        <v>2521</v>
      </c>
      <c r="D1030" s="2" t="s">
        <v>2528</v>
      </c>
      <c r="E1030" s="2" t="s">
        <v>2529</v>
      </c>
      <c r="F1030" s="3">
        <v>151157</v>
      </c>
      <c r="G1030" s="3">
        <v>8550</v>
      </c>
      <c r="H1030" s="3">
        <v>532</v>
      </c>
      <c r="I1030" s="4">
        <v>15989.44</v>
      </c>
      <c r="J1030" s="4">
        <v>75598.52</v>
      </c>
      <c r="K1030" s="3">
        <v>363</v>
      </c>
      <c r="L1030" s="2" t="s">
        <v>2523</v>
      </c>
      <c r="M1030" s="2" t="s">
        <v>2524</v>
      </c>
      <c r="N1030" s="8">
        <f>IFERROR(G1030/F1030,0)</f>
        <v>5.6563705286556361E-2</v>
      </c>
      <c r="O1030" s="8">
        <f>IFERROR(H1030/G1030,0)</f>
        <v>6.222222222222222E-2</v>
      </c>
      <c r="P1030" s="4">
        <f>IFERROR(I1030/G1030,0)</f>
        <v>1.8701099415204678</v>
      </c>
      <c r="Q1030" s="4">
        <f>IFERROR(I1030/H1030,0)</f>
        <v>30.055338345864662</v>
      </c>
      <c r="R1030" s="12">
        <f>IFERROR(J1030/I1030,0)</f>
        <v>4.7280279984789964</v>
      </c>
      <c r="S1030" s="7">
        <f>Tabla_nuevas_columnas[[#This Row],[ROAS]]</f>
        <v>4.7280279984789964</v>
      </c>
      <c r="T1030" t="str">
        <f>_xlfn.CONCAT(C1030,"-",D1030)</f>
        <v>Paid Search-España</v>
      </c>
      <c r="U1030">
        <f>YEAR(A1030)</f>
        <v>2025</v>
      </c>
      <c r="V1030">
        <f>MONTH(A1030)</f>
        <v>11</v>
      </c>
      <c r="W1030" t="str">
        <f>PROPER(TEXT(A1030,"mmmm"))</f>
        <v>Noviembre</v>
      </c>
      <c r="X1030" t="str">
        <f>PROPER(TEXT(A1030,"dddd"))</f>
        <v>Miércoles</v>
      </c>
      <c r="Y1030" t="str" cm="1">
        <f t="array" ref="Y1030">_xlfn.IFS(R1030&gt;10,"Excelente",R1030&gt;=5,"Bueno",R1030&gt;=2,"Débil",R1030&lt;2,"Deficiente")</f>
        <v>Débil</v>
      </c>
      <c r="Z1030" t="str">
        <f>IF(AND(R1030&lt;2,Q1030&gt;=100),"Revisar","OK")</f>
        <v>OK</v>
      </c>
      <c r="AA1030" s="55">
        <f>_xlfn.XLOOKUP(C1030,'Preguntas de negocio'!$C$114:$C$119,'Preguntas de negocio'!$D$114:$D$119,0)</f>
        <v>5</v>
      </c>
      <c r="AB1030" s="55">
        <f>VLOOKUP(C1030,'Preguntas de negocio'!$C$121:$D$127,2,FALSE)</f>
        <v>1.1000000000000001</v>
      </c>
    </row>
    <row r="1031" spans="1:28" x14ac:dyDescent="0.3">
      <c r="A1031" s="1">
        <v>45833</v>
      </c>
      <c r="B1031" s="2" t="s">
        <v>2635</v>
      </c>
      <c r="C1031" s="2" t="s">
        <v>2515</v>
      </c>
      <c r="D1031" s="2" t="s">
        <v>2528</v>
      </c>
      <c r="E1031" s="2" t="s">
        <v>2517</v>
      </c>
      <c r="F1031" s="3">
        <v>66303</v>
      </c>
      <c r="G1031" s="3">
        <v>1148</v>
      </c>
      <c r="H1031" s="3">
        <v>37</v>
      </c>
      <c r="I1031" s="4">
        <v>1277.9000000000001</v>
      </c>
      <c r="J1031" s="4">
        <v>1031.99</v>
      </c>
      <c r="K1031" s="3">
        <v>18</v>
      </c>
      <c r="L1031" s="2" t="s">
        <v>2523</v>
      </c>
      <c r="M1031" s="2" t="s">
        <v>2524</v>
      </c>
      <c r="N1031" s="8">
        <f>IFERROR(G1031/F1031,0)</f>
        <v>1.7314450326531228E-2</v>
      </c>
      <c r="O1031" s="8">
        <f>IFERROR(H1031/G1031,0)</f>
        <v>3.2229965156794424E-2</v>
      </c>
      <c r="P1031" s="4">
        <f>IFERROR(I1031/G1031,0)</f>
        <v>1.1131533101045297</v>
      </c>
      <c r="Q1031" s="4">
        <f>IFERROR(I1031/H1031,0)</f>
        <v>34.537837837837841</v>
      </c>
      <c r="R1031" s="12">
        <f>IFERROR(J1031/I1031,0)</f>
        <v>0.80756710227717343</v>
      </c>
      <c r="S1031" s="7">
        <f>Tabla_nuevas_columnas[[#This Row],[ROAS]]</f>
        <v>0.80756710227717343</v>
      </c>
      <c r="T1031" t="str">
        <f>_xlfn.CONCAT(C1031,"-",D1031)</f>
        <v>Email-España</v>
      </c>
      <c r="U1031">
        <f>YEAR(A1031)</f>
        <v>2025</v>
      </c>
      <c r="V1031">
        <f>MONTH(A1031)</f>
        <v>6</v>
      </c>
      <c r="W1031" t="str">
        <f>PROPER(TEXT(A1031,"mmmm"))</f>
        <v>Junio</v>
      </c>
      <c r="X1031" t="str">
        <f>PROPER(TEXT(A1031,"dddd"))</f>
        <v>Miércoles</v>
      </c>
      <c r="Y1031" t="str" cm="1">
        <f t="array" ref="Y1031">_xlfn.IFS(R1031&gt;10,"Excelente",R1031&gt;=5,"Bueno",R1031&gt;=2,"Débil",R1031&lt;2,"Deficiente")</f>
        <v>Deficiente</v>
      </c>
      <c r="Z1031" t="str">
        <f>IF(AND(R1031&lt;2,Q1031&gt;=100),"Revisar","OK")</f>
        <v>OK</v>
      </c>
      <c r="AA1031" s="55">
        <f>_xlfn.XLOOKUP(C1031,'Preguntas de negocio'!$C$114:$C$119,'Preguntas de negocio'!$D$114:$D$119,0)</f>
        <v>5.5</v>
      </c>
      <c r="AB1031" s="55">
        <f>VLOOKUP(C1031,'Preguntas de negocio'!$C$121:$D$127,2,FALSE)</f>
        <v>0.65</v>
      </c>
    </row>
    <row r="1032" spans="1:28" x14ac:dyDescent="0.3">
      <c r="A1032" s="1">
        <v>45681</v>
      </c>
      <c r="B1032" s="2" t="s">
        <v>2626</v>
      </c>
      <c r="C1032" s="2" t="s">
        <v>2541</v>
      </c>
      <c r="D1032" s="2" t="s">
        <v>2528</v>
      </c>
      <c r="E1032" s="2" t="s">
        <v>2534</v>
      </c>
      <c r="F1032" s="3">
        <v>140709</v>
      </c>
      <c r="G1032" s="3">
        <v>7129</v>
      </c>
      <c r="H1032" s="3">
        <v>182</v>
      </c>
      <c r="I1032" s="4">
        <v>2386.96</v>
      </c>
      <c r="J1032" s="4">
        <v>21092.59</v>
      </c>
      <c r="K1032" s="3">
        <v>150</v>
      </c>
      <c r="L1032" s="2" t="s">
        <v>2518</v>
      </c>
      <c r="M1032" s="2" t="s">
        <v>2519</v>
      </c>
      <c r="N1032" s="8">
        <f>IFERROR(G1032/F1032,0)</f>
        <v>5.0664847308985211E-2</v>
      </c>
      <c r="O1032" s="8">
        <f>IFERROR(H1032/G1032,0)</f>
        <v>2.5529527282928881E-2</v>
      </c>
      <c r="P1032" s="4">
        <f>IFERROR(I1032/G1032,0)</f>
        <v>0.33482395847945012</v>
      </c>
      <c r="Q1032" s="4">
        <f>IFERROR(I1032/H1032,0)</f>
        <v>13.115164835164835</v>
      </c>
      <c r="R1032" s="12">
        <f>IFERROR(J1032/I1032,0)</f>
        <v>8.8365913127995448</v>
      </c>
      <c r="S1032" s="7">
        <f>Tabla_nuevas_columnas[[#This Row],[ROAS]]</f>
        <v>8.8365913127995448</v>
      </c>
      <c r="T1032" t="str">
        <f>_xlfn.CONCAT(C1032,"-",D1032)</f>
        <v>Display-España</v>
      </c>
      <c r="U1032">
        <f>YEAR(A1032)</f>
        <v>2025</v>
      </c>
      <c r="V1032">
        <f>MONTH(A1032)</f>
        <v>1</v>
      </c>
      <c r="W1032" t="str">
        <f>PROPER(TEXT(A1032,"mmmm"))</f>
        <v>Enero</v>
      </c>
      <c r="X1032" t="str">
        <f>PROPER(TEXT(A1032,"dddd"))</f>
        <v>Viernes</v>
      </c>
      <c r="Y1032" t="str" cm="1">
        <f t="array" ref="Y1032">_xlfn.IFS(R1032&gt;10,"Excelente",R1032&gt;=5,"Bueno",R1032&gt;=2,"Débil",R1032&lt;2,"Deficiente")</f>
        <v>Bueno</v>
      </c>
      <c r="Z1032" t="str">
        <f>IF(AND(R1032&lt;2,Q1032&gt;=100),"Revisar","OK")</f>
        <v>OK</v>
      </c>
      <c r="AA1032" s="55">
        <f>_xlfn.XLOOKUP(C1032,'Preguntas de negocio'!$C$114:$C$119,'Preguntas de negocio'!$D$114:$D$119,0)</f>
        <v>5</v>
      </c>
      <c r="AB1032" s="55">
        <f>VLOOKUP(C1032,'Preguntas de negocio'!$C$121:$D$127,2,FALSE)</f>
        <v>0.5</v>
      </c>
    </row>
    <row r="1033" spans="1:28" x14ac:dyDescent="0.3">
      <c r="A1033" s="1">
        <v>45954</v>
      </c>
      <c r="B1033" s="2" t="s">
        <v>2617</v>
      </c>
      <c r="C1033" s="2" t="s">
        <v>2543</v>
      </c>
      <c r="D1033" s="2" t="s">
        <v>2528</v>
      </c>
      <c r="E1033" s="2" t="s">
        <v>2534</v>
      </c>
      <c r="F1033" s="3">
        <v>88162</v>
      </c>
      <c r="G1033" s="3">
        <v>5652</v>
      </c>
      <c r="H1033" s="3">
        <v>335</v>
      </c>
      <c r="I1033" s="4">
        <v>8104.04</v>
      </c>
      <c r="J1033" s="4">
        <v>15790.43</v>
      </c>
      <c r="K1033" s="3">
        <v>208</v>
      </c>
      <c r="L1033" s="2" t="s">
        <v>2518</v>
      </c>
      <c r="M1033" s="2" t="s">
        <v>2519</v>
      </c>
      <c r="N1033" s="8">
        <f>IFERROR(G1033/F1033,0)</f>
        <v>6.410925341984075E-2</v>
      </c>
      <c r="O1033" s="8">
        <f>IFERROR(H1033/G1033,0)</f>
        <v>5.9271054493984433E-2</v>
      </c>
      <c r="P1033" s="4">
        <f>IFERROR(I1033/G1033,0)</f>
        <v>1.4338358103326256</v>
      </c>
      <c r="Q1033" s="4">
        <f>IFERROR(I1033/H1033,0)</f>
        <v>24.191164179104476</v>
      </c>
      <c r="R1033" s="12">
        <f>IFERROR(J1033/I1033,0)</f>
        <v>1.9484639759922211</v>
      </c>
      <c r="S1033" s="7">
        <f>Tabla_nuevas_columnas[[#This Row],[ROAS]]</f>
        <v>1.9484639759922211</v>
      </c>
      <c r="T1033" t="str">
        <f>_xlfn.CONCAT(C1033,"-",D1033)</f>
        <v>Organic Social-España</v>
      </c>
      <c r="U1033">
        <f>YEAR(A1033)</f>
        <v>2025</v>
      </c>
      <c r="V1033">
        <f>MONTH(A1033)</f>
        <v>10</v>
      </c>
      <c r="W1033" t="str">
        <f>PROPER(TEXT(A1033,"mmmm"))</f>
        <v>Octubre</v>
      </c>
      <c r="X1033" t="str">
        <f>PROPER(TEXT(A1033,"dddd"))</f>
        <v>Viernes</v>
      </c>
      <c r="Y1033" t="str" cm="1">
        <f t="array" ref="Y1033">_xlfn.IFS(R1033&gt;10,"Excelente",R1033&gt;=5,"Bueno",R1033&gt;=2,"Débil",R1033&lt;2,"Deficiente")</f>
        <v>Deficiente</v>
      </c>
      <c r="Z1033" t="str">
        <f>IF(AND(R1033&lt;2,Q1033&gt;=100),"Revisar","OK")</f>
        <v>OK</v>
      </c>
      <c r="AA1033" s="55">
        <f>_xlfn.XLOOKUP(C1033,'Preguntas de negocio'!$C$114:$C$119,'Preguntas de negocio'!$D$114:$D$119,0)</f>
        <v>4</v>
      </c>
      <c r="AB1033" s="55">
        <f>VLOOKUP(C1033,'Preguntas de negocio'!$C$121:$D$127,2,FALSE)</f>
        <v>0.95</v>
      </c>
    </row>
    <row r="1034" spans="1:28" x14ac:dyDescent="0.3">
      <c r="A1034" s="1">
        <v>45791</v>
      </c>
      <c r="B1034" s="2" t="s">
        <v>2643</v>
      </c>
      <c r="C1034" s="2" t="s">
        <v>2527</v>
      </c>
      <c r="D1034" s="2" t="s">
        <v>2528</v>
      </c>
      <c r="E1034" s="2" t="s">
        <v>2529</v>
      </c>
      <c r="F1034" s="3">
        <v>30292</v>
      </c>
      <c r="G1034" s="3">
        <v>2272</v>
      </c>
      <c r="H1034" s="3">
        <v>96</v>
      </c>
      <c r="I1034" s="4">
        <v>3811.78</v>
      </c>
      <c r="J1034" s="4">
        <v>3314.2</v>
      </c>
      <c r="K1034" s="3">
        <v>70</v>
      </c>
      <c r="L1034" s="2" t="s">
        <v>2523</v>
      </c>
      <c r="M1034" s="2" t="s">
        <v>2546</v>
      </c>
      <c r="N1034" s="8">
        <f>IFERROR(G1034/F1034,0)</f>
        <v>7.5003301201637396E-2</v>
      </c>
      <c r="O1034" s="8">
        <f>IFERROR(H1034/G1034,0)</f>
        <v>4.2253521126760563E-2</v>
      </c>
      <c r="P1034" s="4">
        <f>IFERROR(I1034/G1034,0)</f>
        <v>1.6777200704225352</v>
      </c>
      <c r="Q1034" s="4">
        <f>IFERROR(I1034/H1034,0)</f>
        <v>39.706041666666671</v>
      </c>
      <c r="R1034" s="12">
        <f>IFERROR(J1034/I1034,0)</f>
        <v>0.86946256079836703</v>
      </c>
      <c r="S1034" s="7">
        <f>Tabla_nuevas_columnas[[#This Row],[ROAS]]</f>
        <v>0.86946256079836703</v>
      </c>
      <c r="T1034" t="str">
        <f>_xlfn.CONCAT(C1034,"-",D1034)</f>
        <v>Affiliate-España</v>
      </c>
      <c r="U1034">
        <f>YEAR(A1034)</f>
        <v>2025</v>
      </c>
      <c r="V1034">
        <f>MONTH(A1034)</f>
        <v>5</v>
      </c>
      <c r="W1034" t="str">
        <f>PROPER(TEXT(A1034,"mmmm"))</f>
        <v>Mayo</v>
      </c>
      <c r="X1034" t="str">
        <f>PROPER(TEXT(A1034,"dddd"))</f>
        <v>Miércoles</v>
      </c>
      <c r="Y1034" t="str" cm="1">
        <f t="array" ref="Y1034">_xlfn.IFS(R1034&gt;10,"Excelente",R1034&gt;=5,"Bueno",R1034&gt;=2,"Débil",R1034&lt;2,"Deficiente")</f>
        <v>Deficiente</v>
      </c>
      <c r="Z1034" t="str">
        <f>IF(AND(R1034&lt;2,Q1034&gt;=100),"Revisar","OK")</f>
        <v>OK</v>
      </c>
      <c r="AA1034" s="55">
        <f>_xlfn.XLOOKUP(C1034,'Preguntas de negocio'!$C$114:$C$119,'Preguntas de negocio'!$D$114:$D$119,0)</f>
        <v>4.5</v>
      </c>
      <c r="AB1034" s="55">
        <f>VLOOKUP(C1034,'Preguntas de negocio'!$C$121:$D$127,2,FALSE)</f>
        <v>0.35</v>
      </c>
    </row>
    <row r="1035" spans="1:28" x14ac:dyDescent="0.3">
      <c r="A1035" s="1">
        <v>46014</v>
      </c>
      <c r="B1035" s="2" t="s">
        <v>2617</v>
      </c>
      <c r="C1035" s="2" t="s">
        <v>2543</v>
      </c>
      <c r="D1035" s="2" t="s">
        <v>2516</v>
      </c>
      <c r="E1035" s="2" t="s">
        <v>2517</v>
      </c>
      <c r="F1035" s="3">
        <v>64096</v>
      </c>
      <c r="G1035" s="3">
        <v>998</v>
      </c>
      <c r="H1035" s="3">
        <v>98</v>
      </c>
      <c r="I1035" s="4">
        <v>1261.94</v>
      </c>
      <c r="J1035" s="4">
        <v>10285.290000000001</v>
      </c>
      <c r="K1035" s="3">
        <v>71</v>
      </c>
      <c r="L1035" s="2" t="s">
        <v>2523</v>
      </c>
      <c r="M1035" s="2" t="s">
        <v>2524</v>
      </c>
      <c r="N1035" s="8">
        <f>IFERROR(G1035/F1035,0)</f>
        <v>1.5570394408387419E-2</v>
      </c>
      <c r="O1035" s="8">
        <f>IFERROR(H1035/G1035,0)</f>
        <v>9.8196392785571143E-2</v>
      </c>
      <c r="P1035" s="4">
        <f>IFERROR(I1035/G1035,0)</f>
        <v>1.2644689378757517</v>
      </c>
      <c r="Q1035" s="4">
        <f>IFERROR(I1035/H1035,0)</f>
        <v>12.876938775510204</v>
      </c>
      <c r="R1035" s="12">
        <f>IFERROR(J1035/I1035,0)</f>
        <v>8.1503795743062266</v>
      </c>
      <c r="S1035" s="7">
        <f>Tabla_nuevas_columnas[[#This Row],[ROAS]]</f>
        <v>8.1503795743062266</v>
      </c>
      <c r="T1035" t="str">
        <f>_xlfn.CONCAT(C1035,"-",D1035)</f>
        <v>Organic Social-México</v>
      </c>
      <c r="U1035">
        <f>YEAR(A1035)</f>
        <v>2025</v>
      </c>
      <c r="V1035">
        <f>MONTH(A1035)</f>
        <v>12</v>
      </c>
      <c r="W1035" t="str">
        <f>PROPER(TEXT(A1035,"mmmm"))</f>
        <v>Diciembre</v>
      </c>
      <c r="X1035" t="str">
        <f>PROPER(TEXT(A1035,"dddd"))</f>
        <v>Martes</v>
      </c>
      <c r="Y1035" t="str" cm="1">
        <f t="array" ref="Y1035">_xlfn.IFS(R1035&gt;10,"Excelente",R1035&gt;=5,"Bueno",R1035&gt;=2,"Débil",R1035&lt;2,"Deficiente")</f>
        <v>Bueno</v>
      </c>
      <c r="Z1035" t="str">
        <f>IF(AND(R1035&lt;2,Q1035&gt;=100),"Revisar","OK")</f>
        <v>OK</v>
      </c>
      <c r="AA1035" s="55">
        <f>_xlfn.XLOOKUP(C1035,'Preguntas de negocio'!$C$114:$C$119,'Preguntas de negocio'!$D$114:$D$119,0)</f>
        <v>4</v>
      </c>
      <c r="AB1035" s="55">
        <f>VLOOKUP(C1035,'Preguntas de negocio'!$C$121:$D$127,2,FALSE)</f>
        <v>0.95</v>
      </c>
    </row>
    <row r="1036" spans="1:28" x14ac:dyDescent="0.3">
      <c r="A1036" s="1">
        <v>46001</v>
      </c>
      <c r="B1036" s="2" t="s">
        <v>2621</v>
      </c>
      <c r="C1036" s="2" t="s">
        <v>2515</v>
      </c>
      <c r="D1036" s="2" t="s">
        <v>2516</v>
      </c>
      <c r="E1036" s="2" t="s">
        <v>2529</v>
      </c>
      <c r="F1036" s="3">
        <v>46248</v>
      </c>
      <c r="G1036" s="3">
        <v>2689</v>
      </c>
      <c r="H1036" s="3">
        <v>211</v>
      </c>
      <c r="I1036" s="4">
        <v>2592.69</v>
      </c>
      <c r="J1036" s="4">
        <v>27366.49</v>
      </c>
      <c r="K1036" s="3">
        <v>166</v>
      </c>
      <c r="L1036" s="2" t="s">
        <v>2536</v>
      </c>
      <c r="M1036" s="2" t="s">
        <v>2546</v>
      </c>
      <c r="N1036" s="8">
        <f>IFERROR(G1036/F1036,0)</f>
        <v>5.814305483480367E-2</v>
      </c>
      <c r="O1036" s="8">
        <f>IFERROR(H1036/G1036,0)</f>
        <v>7.8467831907772401E-2</v>
      </c>
      <c r="P1036" s="4">
        <f>IFERROR(I1036/G1036,0)</f>
        <v>0.96418371141688364</v>
      </c>
      <c r="Q1036" s="4">
        <f>IFERROR(I1036/H1036,0)</f>
        <v>12.287630331753554</v>
      </c>
      <c r="R1036" s="12">
        <f>IFERROR(J1036/I1036,0)</f>
        <v>10.55524956705198</v>
      </c>
      <c r="S1036" s="7">
        <f>Tabla_nuevas_columnas[[#This Row],[ROAS]]</f>
        <v>10.55524956705198</v>
      </c>
      <c r="T1036" t="str">
        <f>_xlfn.CONCAT(C1036,"-",D1036)</f>
        <v>Email-México</v>
      </c>
      <c r="U1036">
        <f>YEAR(A1036)</f>
        <v>2025</v>
      </c>
      <c r="V1036">
        <f>MONTH(A1036)</f>
        <v>12</v>
      </c>
      <c r="W1036" t="str">
        <f>PROPER(TEXT(A1036,"mmmm"))</f>
        <v>Diciembre</v>
      </c>
      <c r="X1036" t="str">
        <f>PROPER(TEXT(A1036,"dddd"))</f>
        <v>Miércoles</v>
      </c>
      <c r="Y1036" t="str" cm="1">
        <f t="array" ref="Y1036">_xlfn.IFS(R1036&gt;10,"Excelente",R1036&gt;=5,"Bueno",R1036&gt;=2,"Débil",R1036&lt;2,"Deficiente")</f>
        <v>Excelente</v>
      </c>
      <c r="Z1036" t="str">
        <f>IF(AND(R1036&lt;2,Q1036&gt;=100),"Revisar","OK")</f>
        <v>OK</v>
      </c>
      <c r="AA1036" s="55">
        <f>_xlfn.XLOOKUP(C1036,'Preguntas de negocio'!$C$114:$C$119,'Preguntas de negocio'!$D$114:$D$119,0)</f>
        <v>5.5</v>
      </c>
      <c r="AB1036" s="55">
        <f>VLOOKUP(C1036,'Preguntas de negocio'!$C$121:$D$127,2,FALSE)</f>
        <v>0.65</v>
      </c>
    </row>
    <row r="1037" spans="1:28" x14ac:dyDescent="0.3">
      <c r="A1037" s="1">
        <v>45681</v>
      </c>
      <c r="B1037" s="2" t="s">
        <v>2637</v>
      </c>
      <c r="C1037" s="2" t="s">
        <v>2527</v>
      </c>
      <c r="D1037" s="2" t="s">
        <v>2528</v>
      </c>
      <c r="E1037" s="2" t="s">
        <v>2529</v>
      </c>
      <c r="F1037" s="3">
        <v>10708</v>
      </c>
      <c r="G1037" s="3">
        <v>45</v>
      </c>
      <c r="H1037" s="3">
        <v>1</v>
      </c>
      <c r="I1037" s="4">
        <v>34.369999999999997</v>
      </c>
      <c r="J1037" s="4">
        <v>16.84</v>
      </c>
      <c r="K1037" s="3">
        <v>0</v>
      </c>
      <c r="L1037" s="2" t="s">
        <v>2536</v>
      </c>
      <c r="M1037" s="2" t="s">
        <v>2526</v>
      </c>
      <c r="N1037" s="8">
        <f>IFERROR(G1037/F1037,0)</f>
        <v>4.2024654463952184E-3</v>
      </c>
      <c r="O1037" s="8">
        <f>IFERROR(H1037/G1037,0)</f>
        <v>2.2222222222222223E-2</v>
      </c>
      <c r="P1037" s="4">
        <f>IFERROR(I1037/G1037,0)</f>
        <v>0.76377777777777767</v>
      </c>
      <c r="Q1037" s="4">
        <f>IFERROR(I1037/H1037,0)</f>
        <v>34.369999999999997</v>
      </c>
      <c r="R1037" s="12">
        <f>IFERROR(J1037/I1037,0)</f>
        <v>0.48996217631655514</v>
      </c>
      <c r="S1037" s="7">
        <f>Tabla_nuevas_columnas[[#This Row],[ROAS]]</f>
        <v>0.48996217631655514</v>
      </c>
      <c r="T1037" t="str">
        <f>_xlfn.CONCAT(C1037,"-",D1037)</f>
        <v>Affiliate-España</v>
      </c>
      <c r="U1037">
        <f>YEAR(A1037)</f>
        <v>2025</v>
      </c>
      <c r="V1037">
        <f>MONTH(A1037)</f>
        <v>1</v>
      </c>
      <c r="W1037" t="str">
        <f>PROPER(TEXT(A1037,"mmmm"))</f>
        <v>Enero</v>
      </c>
      <c r="X1037" t="str">
        <f>PROPER(TEXT(A1037,"dddd"))</f>
        <v>Viernes</v>
      </c>
      <c r="Y1037" t="str" cm="1">
        <f t="array" ref="Y1037">_xlfn.IFS(R1037&gt;10,"Excelente",R1037&gt;=5,"Bueno",R1037&gt;=2,"Débil",R1037&lt;2,"Deficiente")</f>
        <v>Deficiente</v>
      </c>
      <c r="Z1037" t="str">
        <f>IF(AND(R1037&lt;2,Q1037&gt;=100),"Revisar","OK")</f>
        <v>OK</v>
      </c>
      <c r="AA1037" s="55">
        <f>_xlfn.XLOOKUP(C1037,'Preguntas de negocio'!$C$114:$C$119,'Preguntas de negocio'!$D$114:$D$119,0)</f>
        <v>4.5</v>
      </c>
      <c r="AB1037" s="55">
        <f>VLOOKUP(C1037,'Preguntas de negocio'!$C$121:$D$127,2,FALSE)</f>
        <v>0.35</v>
      </c>
    </row>
    <row r="1038" spans="1:28" x14ac:dyDescent="0.3">
      <c r="A1038" s="1">
        <v>45665</v>
      </c>
      <c r="B1038" s="2" t="s">
        <v>2620</v>
      </c>
      <c r="C1038" s="2" t="s">
        <v>2521</v>
      </c>
      <c r="D1038" s="2" t="s">
        <v>2528</v>
      </c>
      <c r="E1038" s="2" t="s">
        <v>2517</v>
      </c>
      <c r="F1038" s="3">
        <v>144570</v>
      </c>
      <c r="G1038" s="3">
        <v>12150</v>
      </c>
      <c r="H1038" s="3">
        <v>1039</v>
      </c>
      <c r="I1038" s="4">
        <v>20749.13</v>
      </c>
      <c r="J1038" s="4">
        <v>164072.95999999999</v>
      </c>
      <c r="K1038" s="3">
        <v>853</v>
      </c>
      <c r="L1038" s="2" t="s">
        <v>2523</v>
      </c>
      <c r="M1038" s="2" t="s">
        <v>2526</v>
      </c>
      <c r="N1038" s="8">
        <f>IFERROR(G1038/F1038,0)</f>
        <v>8.4042332434114964E-2</v>
      </c>
      <c r="O1038" s="8">
        <f>IFERROR(H1038/G1038,0)</f>
        <v>8.5514403292181074E-2</v>
      </c>
      <c r="P1038" s="4">
        <f>IFERROR(I1038/G1038,0)</f>
        <v>1.7077473251028807</v>
      </c>
      <c r="Q1038" s="4">
        <f>IFERROR(I1038/H1038,0)</f>
        <v>19.970288739172283</v>
      </c>
      <c r="R1038" s="12">
        <f>IFERROR(J1038/I1038,0)</f>
        <v>7.9074621441959243</v>
      </c>
      <c r="S1038" s="7">
        <f>Tabla_nuevas_columnas[[#This Row],[ROAS]]</f>
        <v>7.9074621441959243</v>
      </c>
      <c r="T1038" t="str">
        <f>_xlfn.CONCAT(C1038,"-",D1038)</f>
        <v>Paid Search-España</v>
      </c>
      <c r="U1038">
        <f>YEAR(A1038)</f>
        <v>2025</v>
      </c>
      <c r="V1038">
        <f>MONTH(A1038)</f>
        <v>1</v>
      </c>
      <c r="W1038" t="str">
        <f>PROPER(TEXT(A1038,"mmmm"))</f>
        <v>Enero</v>
      </c>
      <c r="X1038" t="str">
        <f>PROPER(TEXT(A1038,"dddd"))</f>
        <v>Miércoles</v>
      </c>
      <c r="Y1038" t="str" cm="1">
        <f t="array" ref="Y1038">_xlfn.IFS(R1038&gt;10,"Excelente",R1038&gt;=5,"Bueno",R1038&gt;=2,"Débil",R1038&lt;2,"Deficiente")</f>
        <v>Bueno</v>
      </c>
      <c r="Z1038" t="str">
        <f>IF(AND(R1038&lt;2,Q1038&gt;=100),"Revisar","OK")</f>
        <v>OK</v>
      </c>
      <c r="AA1038" s="55">
        <f>_xlfn.XLOOKUP(C1038,'Preguntas de negocio'!$C$114:$C$119,'Preguntas de negocio'!$D$114:$D$119,0)</f>
        <v>5</v>
      </c>
      <c r="AB1038" s="55">
        <f>VLOOKUP(C1038,'Preguntas de negocio'!$C$121:$D$127,2,FALSE)</f>
        <v>1.1000000000000001</v>
      </c>
    </row>
    <row r="1039" spans="1:28" x14ac:dyDescent="0.3">
      <c r="A1039" s="1">
        <v>45870</v>
      </c>
      <c r="B1039" s="2" t="s">
        <v>2637</v>
      </c>
      <c r="C1039" s="2" t="s">
        <v>2533</v>
      </c>
      <c r="D1039" s="2" t="s">
        <v>2516</v>
      </c>
      <c r="E1039" s="2" t="s">
        <v>2529</v>
      </c>
      <c r="F1039" s="3">
        <v>160712</v>
      </c>
      <c r="G1039" s="3">
        <v>1782</v>
      </c>
      <c r="H1039" s="3">
        <v>115</v>
      </c>
      <c r="I1039" s="4">
        <v>1709.02</v>
      </c>
      <c r="J1039" s="4">
        <v>22142.66</v>
      </c>
      <c r="K1039" s="3">
        <v>91</v>
      </c>
      <c r="L1039" s="2" t="s">
        <v>2518</v>
      </c>
      <c r="M1039" s="2" t="s">
        <v>2524</v>
      </c>
      <c r="N1039" s="8">
        <f>IFERROR(G1039/F1039,0)</f>
        <v>1.1088157698242819E-2</v>
      </c>
      <c r="O1039" s="8">
        <f>IFERROR(H1039/G1039,0)</f>
        <v>6.4534231200897865E-2</v>
      </c>
      <c r="P1039" s="4">
        <f>IFERROR(I1039/G1039,0)</f>
        <v>0.95904601571268233</v>
      </c>
      <c r="Q1039" s="4">
        <f>IFERROR(I1039/H1039,0)</f>
        <v>14.86104347826087</v>
      </c>
      <c r="R1039" s="12">
        <f>IFERROR(J1039/I1039,0)</f>
        <v>12.956349252788147</v>
      </c>
      <c r="S1039" s="7">
        <f>Tabla_nuevas_columnas[[#This Row],[ROAS]]</f>
        <v>12.956349252788147</v>
      </c>
      <c r="T1039" t="str">
        <f>_xlfn.CONCAT(C1039,"-",D1039)</f>
        <v>Paid Social-México</v>
      </c>
      <c r="U1039">
        <f>YEAR(A1039)</f>
        <v>2025</v>
      </c>
      <c r="V1039">
        <f>MONTH(A1039)</f>
        <v>8</v>
      </c>
      <c r="W1039" t="str">
        <f>PROPER(TEXT(A1039,"mmmm"))</f>
        <v>Agosto</v>
      </c>
      <c r="X1039" t="str">
        <f>PROPER(TEXT(A1039,"dddd"))</f>
        <v>Viernes</v>
      </c>
      <c r="Y1039" t="str" cm="1">
        <f t="array" ref="Y1039">_xlfn.IFS(R1039&gt;10,"Excelente",R1039&gt;=5,"Bueno",R1039&gt;=2,"Débil",R1039&lt;2,"Deficiente")</f>
        <v>Excelente</v>
      </c>
      <c r="Z1039" t="str">
        <f>IF(AND(R1039&lt;2,Q1039&gt;=100),"Revisar","OK")</f>
        <v>OK</v>
      </c>
      <c r="AA1039" s="55">
        <f>_xlfn.XLOOKUP(C1039,'Preguntas de negocio'!$C$114:$C$119,'Preguntas de negocio'!$D$114:$D$119,0)</f>
        <v>6</v>
      </c>
      <c r="AB1039" s="55">
        <f>VLOOKUP(C1039,'Preguntas de negocio'!$C$121:$D$127,2,FALSE)</f>
        <v>0.8</v>
      </c>
    </row>
    <row r="1040" spans="1:28" x14ac:dyDescent="0.3">
      <c r="A1040" s="1">
        <v>45886</v>
      </c>
      <c r="B1040" s="2" t="s">
        <v>2640</v>
      </c>
      <c r="C1040" s="2" t="s">
        <v>2533</v>
      </c>
      <c r="D1040" s="2" t="s">
        <v>2528</v>
      </c>
      <c r="E1040" s="2" t="s">
        <v>2529</v>
      </c>
      <c r="F1040" s="3">
        <v>62910</v>
      </c>
      <c r="G1040" s="3">
        <v>4106</v>
      </c>
      <c r="H1040" s="3">
        <v>378</v>
      </c>
      <c r="I1040" s="4">
        <v>4598.8</v>
      </c>
      <c r="J1040" s="4">
        <v>78128.38</v>
      </c>
      <c r="K1040" s="3">
        <v>250</v>
      </c>
      <c r="L1040" s="2" t="s">
        <v>2523</v>
      </c>
      <c r="M1040" s="2" t="s">
        <v>2524</v>
      </c>
      <c r="N1040" s="8">
        <f>IFERROR(G1040/F1040,0)</f>
        <v>6.5267842950246388E-2</v>
      </c>
      <c r="O1040" s="8">
        <f>IFERROR(H1040/G1040,0)</f>
        <v>9.2060399415489533E-2</v>
      </c>
      <c r="P1040" s="4">
        <f>IFERROR(I1040/G1040,0)</f>
        <v>1.120019483682416</v>
      </c>
      <c r="Q1040" s="4">
        <f>IFERROR(I1040/H1040,0)</f>
        <v>12.166137566137566</v>
      </c>
      <c r="R1040" s="12">
        <f>IFERROR(J1040/I1040,0)</f>
        <v>16.988862311907454</v>
      </c>
      <c r="S1040" s="7">
        <f>Tabla_nuevas_columnas[[#This Row],[ROAS]]</f>
        <v>16.988862311907454</v>
      </c>
      <c r="T1040" t="str">
        <f>_xlfn.CONCAT(C1040,"-",D1040)</f>
        <v>Paid Social-España</v>
      </c>
      <c r="U1040">
        <f>YEAR(A1040)</f>
        <v>2025</v>
      </c>
      <c r="V1040">
        <f>MONTH(A1040)</f>
        <v>8</v>
      </c>
      <c r="W1040" t="str">
        <f>PROPER(TEXT(A1040,"mmmm"))</f>
        <v>Agosto</v>
      </c>
      <c r="X1040" t="str">
        <f>PROPER(TEXT(A1040,"dddd"))</f>
        <v>Domingo</v>
      </c>
      <c r="Y1040" t="str" cm="1">
        <f t="array" ref="Y1040">_xlfn.IFS(R1040&gt;10,"Excelente",R1040&gt;=5,"Bueno",R1040&gt;=2,"Débil",R1040&lt;2,"Deficiente")</f>
        <v>Excelente</v>
      </c>
      <c r="Z1040" t="str">
        <f>IF(AND(R1040&lt;2,Q1040&gt;=100),"Revisar","OK")</f>
        <v>OK</v>
      </c>
      <c r="AA1040" s="55">
        <f>_xlfn.XLOOKUP(C1040,'Preguntas de negocio'!$C$114:$C$119,'Preguntas de negocio'!$D$114:$D$119,0)</f>
        <v>6</v>
      </c>
      <c r="AB1040" s="55">
        <f>VLOOKUP(C1040,'Preguntas de negocio'!$C$121:$D$127,2,FALSE)</f>
        <v>0.8</v>
      </c>
    </row>
    <row r="1041" spans="1:28" x14ac:dyDescent="0.3">
      <c r="A1041" s="1">
        <v>45866</v>
      </c>
      <c r="B1041" s="2" t="s">
        <v>2622</v>
      </c>
      <c r="C1041" s="2" t="s">
        <v>2543</v>
      </c>
      <c r="D1041" s="2" t="s">
        <v>2528</v>
      </c>
      <c r="E1041" s="2" t="s">
        <v>2529</v>
      </c>
      <c r="F1041" s="3">
        <v>42096</v>
      </c>
      <c r="G1041" s="3">
        <v>3647</v>
      </c>
      <c r="H1041" s="3">
        <v>78</v>
      </c>
      <c r="I1041" s="4">
        <v>5955.06</v>
      </c>
      <c r="J1041" s="4">
        <v>8670.44</v>
      </c>
      <c r="K1041" s="3">
        <v>62</v>
      </c>
      <c r="L1041" s="2" t="s">
        <v>2518</v>
      </c>
      <c r="M1041" s="2" t="s">
        <v>2526</v>
      </c>
      <c r="N1041" s="8">
        <f>IFERROR(G1041/F1041,0)</f>
        <v>8.6635309768148996E-2</v>
      </c>
      <c r="O1041" s="8">
        <f>IFERROR(H1041/G1041,0)</f>
        <v>2.1387441732931178E-2</v>
      </c>
      <c r="P1041" s="4">
        <f>IFERROR(I1041/G1041,0)</f>
        <v>1.6328653687962711</v>
      </c>
      <c r="Q1041" s="4">
        <f>IFERROR(I1041/H1041,0)</f>
        <v>76.346923076923076</v>
      </c>
      <c r="R1041" s="12">
        <f>IFERROR(J1041/I1041,0)</f>
        <v>1.4559786131457952</v>
      </c>
      <c r="S1041" s="7">
        <f>Tabla_nuevas_columnas[[#This Row],[ROAS]]</f>
        <v>1.4559786131457952</v>
      </c>
      <c r="T1041" t="str">
        <f>_xlfn.CONCAT(C1041,"-",D1041)</f>
        <v>Organic Social-España</v>
      </c>
      <c r="U1041">
        <f>YEAR(A1041)</f>
        <v>2025</v>
      </c>
      <c r="V1041">
        <f>MONTH(A1041)</f>
        <v>7</v>
      </c>
      <c r="W1041" t="str">
        <f>PROPER(TEXT(A1041,"mmmm"))</f>
        <v>Julio</v>
      </c>
      <c r="X1041" t="str">
        <f>PROPER(TEXT(A1041,"dddd"))</f>
        <v>Lunes</v>
      </c>
      <c r="Y1041" t="str" cm="1">
        <f t="array" ref="Y1041">_xlfn.IFS(R1041&gt;10,"Excelente",R1041&gt;=5,"Bueno",R1041&gt;=2,"Débil",R1041&lt;2,"Deficiente")</f>
        <v>Deficiente</v>
      </c>
      <c r="Z1041" t="str">
        <f>IF(AND(R1041&lt;2,Q1041&gt;=100),"Revisar","OK")</f>
        <v>OK</v>
      </c>
      <c r="AA1041" s="55">
        <f>_xlfn.XLOOKUP(C1041,'Preguntas de negocio'!$C$114:$C$119,'Preguntas de negocio'!$D$114:$D$119,0)</f>
        <v>4</v>
      </c>
      <c r="AB1041" s="55">
        <f>VLOOKUP(C1041,'Preguntas de negocio'!$C$121:$D$127,2,FALSE)</f>
        <v>0.95</v>
      </c>
    </row>
    <row r="1042" spans="1:28" x14ac:dyDescent="0.3">
      <c r="A1042" s="1">
        <v>45978</v>
      </c>
      <c r="B1042" s="2" t="s">
        <v>2629</v>
      </c>
      <c r="C1042" s="2" t="s">
        <v>2541</v>
      </c>
      <c r="D1042" s="2" t="s">
        <v>2522</v>
      </c>
      <c r="E1042" s="2" t="s">
        <v>2534</v>
      </c>
      <c r="F1042" s="3">
        <v>49353</v>
      </c>
      <c r="G1042" s="3">
        <v>475</v>
      </c>
      <c r="H1042" s="3">
        <v>14</v>
      </c>
      <c r="I1042" s="4">
        <v>276.64999999999998</v>
      </c>
      <c r="J1042" s="4">
        <v>2505.61</v>
      </c>
      <c r="K1042" s="3">
        <v>7</v>
      </c>
      <c r="L1042" s="2" t="s">
        <v>2536</v>
      </c>
      <c r="M1042" s="2" t="s">
        <v>2526</v>
      </c>
      <c r="N1042" s="8">
        <f>IFERROR(G1042/F1042,0)</f>
        <v>9.6245415678884762E-3</v>
      </c>
      <c r="O1042" s="8">
        <f>IFERROR(H1042/G1042,0)</f>
        <v>2.9473684210526315E-2</v>
      </c>
      <c r="P1042" s="4">
        <f>IFERROR(I1042/G1042,0)</f>
        <v>0.58242105263157895</v>
      </c>
      <c r="Q1042" s="4">
        <f>IFERROR(I1042/H1042,0)</f>
        <v>19.760714285714283</v>
      </c>
      <c r="R1042" s="12">
        <f>IFERROR(J1042/I1042,0)</f>
        <v>9.0569672871859765</v>
      </c>
      <c r="S1042" s="7">
        <f>Tabla_nuevas_columnas[[#This Row],[ROAS]]</f>
        <v>9.0569672871859765</v>
      </c>
      <c r="T1042" t="str">
        <f>_xlfn.CONCAT(C1042,"-",D1042)</f>
        <v>Display-Italia</v>
      </c>
      <c r="U1042">
        <f>YEAR(A1042)</f>
        <v>2025</v>
      </c>
      <c r="V1042">
        <f>MONTH(A1042)</f>
        <v>11</v>
      </c>
      <c r="W1042" t="str">
        <f>PROPER(TEXT(A1042,"mmmm"))</f>
        <v>Noviembre</v>
      </c>
      <c r="X1042" t="str">
        <f>PROPER(TEXT(A1042,"dddd"))</f>
        <v>Lunes</v>
      </c>
      <c r="Y1042" t="str" cm="1">
        <f t="array" ref="Y1042">_xlfn.IFS(R1042&gt;10,"Excelente",R1042&gt;=5,"Bueno",R1042&gt;=2,"Débil",R1042&lt;2,"Deficiente")</f>
        <v>Bueno</v>
      </c>
      <c r="Z1042" t="str">
        <f>IF(AND(R1042&lt;2,Q1042&gt;=100),"Revisar","OK")</f>
        <v>OK</v>
      </c>
      <c r="AA1042" s="55">
        <f>_xlfn.XLOOKUP(C1042,'Preguntas de negocio'!$C$114:$C$119,'Preguntas de negocio'!$D$114:$D$119,0)</f>
        <v>5</v>
      </c>
      <c r="AB1042" s="55">
        <f>VLOOKUP(C1042,'Preguntas de negocio'!$C$121:$D$127,2,FALSE)</f>
        <v>0.5</v>
      </c>
    </row>
    <row r="1043" spans="1:28" x14ac:dyDescent="0.3">
      <c r="A1043" s="1">
        <v>45905</v>
      </c>
      <c r="B1043" s="2" t="s">
        <v>2621</v>
      </c>
      <c r="C1043" s="2" t="s">
        <v>2521</v>
      </c>
      <c r="D1043" s="2" t="s">
        <v>2528</v>
      </c>
      <c r="E1043" s="2" t="s">
        <v>2529</v>
      </c>
      <c r="F1043" s="3">
        <v>134045</v>
      </c>
      <c r="G1043" s="3">
        <v>10884</v>
      </c>
      <c r="H1043" s="3">
        <v>836</v>
      </c>
      <c r="I1043" s="4">
        <v>20466.03</v>
      </c>
      <c r="J1043" s="4">
        <v>48704.19</v>
      </c>
      <c r="K1043" s="3">
        <v>635</v>
      </c>
      <c r="L1043" s="2" t="s">
        <v>2518</v>
      </c>
      <c r="M1043" s="2" t="s">
        <v>2519</v>
      </c>
      <c r="N1043" s="8">
        <f>IFERROR(G1043/F1043,0)</f>
        <v>8.1196613077697793E-2</v>
      </c>
      <c r="O1043" s="8">
        <f>IFERROR(H1043/G1043,0)</f>
        <v>7.6809996324880558E-2</v>
      </c>
      <c r="P1043" s="4">
        <f>IFERROR(I1043/G1043,0)</f>
        <v>1.8803776185226018</v>
      </c>
      <c r="Q1043" s="4">
        <f>IFERROR(I1043/H1043,0)</f>
        <v>24.480897129186602</v>
      </c>
      <c r="R1043" s="12">
        <f>IFERROR(J1043/I1043,0)</f>
        <v>2.3797575787781025</v>
      </c>
      <c r="S1043" s="7">
        <f>Tabla_nuevas_columnas[[#This Row],[ROAS]]</f>
        <v>2.3797575787781025</v>
      </c>
      <c r="T1043" t="str">
        <f>_xlfn.CONCAT(C1043,"-",D1043)</f>
        <v>Paid Search-España</v>
      </c>
      <c r="U1043">
        <f>YEAR(A1043)</f>
        <v>2025</v>
      </c>
      <c r="V1043">
        <f>MONTH(A1043)</f>
        <v>9</v>
      </c>
      <c r="W1043" t="str">
        <f>PROPER(TEXT(A1043,"mmmm"))</f>
        <v>Septiembre</v>
      </c>
      <c r="X1043" t="str">
        <f>PROPER(TEXT(A1043,"dddd"))</f>
        <v>Viernes</v>
      </c>
      <c r="Y1043" t="str" cm="1">
        <f t="array" ref="Y1043">_xlfn.IFS(R1043&gt;10,"Excelente",R1043&gt;=5,"Bueno",R1043&gt;=2,"Débil",R1043&lt;2,"Deficiente")</f>
        <v>Débil</v>
      </c>
      <c r="Z1043" t="str">
        <f>IF(AND(R1043&lt;2,Q1043&gt;=100),"Revisar","OK")</f>
        <v>OK</v>
      </c>
      <c r="AA1043" s="55">
        <f>_xlfn.XLOOKUP(C1043,'Preguntas de negocio'!$C$114:$C$119,'Preguntas de negocio'!$D$114:$D$119,0)</f>
        <v>5</v>
      </c>
      <c r="AB1043" s="55">
        <f>VLOOKUP(C1043,'Preguntas de negocio'!$C$121:$D$127,2,FALSE)</f>
        <v>1.1000000000000001</v>
      </c>
    </row>
    <row r="1044" spans="1:28" x14ac:dyDescent="0.3">
      <c r="A1044" s="1">
        <v>45967</v>
      </c>
      <c r="B1044" s="2" t="s">
        <v>2634</v>
      </c>
      <c r="C1044" s="2" t="s">
        <v>2533</v>
      </c>
      <c r="D1044" s="2" t="s">
        <v>2528</v>
      </c>
      <c r="E1044" s="2" t="s">
        <v>2534</v>
      </c>
      <c r="F1044" s="3">
        <v>135125</v>
      </c>
      <c r="G1044" s="3">
        <v>8640</v>
      </c>
      <c r="H1044" s="3">
        <v>554</v>
      </c>
      <c r="I1044" s="4">
        <v>14429.25</v>
      </c>
      <c r="J1044" s="4">
        <v>48903.64</v>
      </c>
      <c r="K1044" s="3">
        <v>258</v>
      </c>
      <c r="L1044" s="2" t="s">
        <v>2539</v>
      </c>
      <c r="M1044" s="2" t="s">
        <v>2526</v>
      </c>
      <c r="N1044" s="8">
        <f>IFERROR(G1044/F1044,0)</f>
        <v>6.3940795559666974E-2</v>
      </c>
      <c r="O1044" s="8">
        <f>IFERROR(H1044/G1044,0)</f>
        <v>6.4120370370370369E-2</v>
      </c>
      <c r="P1044" s="4">
        <f>IFERROR(I1044/G1044,0)</f>
        <v>1.6700520833333334</v>
      </c>
      <c r="Q1044" s="4">
        <f>IFERROR(I1044/H1044,0)</f>
        <v>26.045577617328519</v>
      </c>
      <c r="R1044" s="12">
        <f>IFERROR(J1044/I1044,0)</f>
        <v>3.3892017949650883</v>
      </c>
      <c r="S1044" s="7">
        <f>Tabla_nuevas_columnas[[#This Row],[ROAS]]</f>
        <v>3.3892017949650883</v>
      </c>
      <c r="T1044" t="str">
        <f>_xlfn.CONCAT(C1044,"-",D1044)</f>
        <v>Paid Social-España</v>
      </c>
      <c r="U1044">
        <f>YEAR(A1044)</f>
        <v>2025</v>
      </c>
      <c r="V1044">
        <f>MONTH(A1044)</f>
        <v>11</v>
      </c>
      <c r="W1044" t="str">
        <f>PROPER(TEXT(A1044,"mmmm"))</f>
        <v>Noviembre</v>
      </c>
      <c r="X1044" t="str">
        <f>PROPER(TEXT(A1044,"dddd"))</f>
        <v>Jueves</v>
      </c>
      <c r="Y1044" t="str" cm="1">
        <f t="array" ref="Y1044">_xlfn.IFS(R1044&gt;10,"Excelente",R1044&gt;=5,"Bueno",R1044&gt;=2,"Débil",R1044&lt;2,"Deficiente")</f>
        <v>Débil</v>
      </c>
      <c r="Z1044" t="str">
        <f>IF(AND(R1044&lt;2,Q1044&gt;=100),"Revisar","OK")</f>
        <v>OK</v>
      </c>
      <c r="AA1044" s="55">
        <f>_xlfn.XLOOKUP(C1044,'Preguntas de negocio'!$C$114:$C$119,'Preguntas de negocio'!$D$114:$D$119,0)</f>
        <v>6</v>
      </c>
      <c r="AB1044" s="55">
        <f>VLOOKUP(C1044,'Preguntas de negocio'!$C$121:$D$127,2,FALSE)</f>
        <v>0.8</v>
      </c>
    </row>
    <row r="1045" spans="1:28" x14ac:dyDescent="0.3">
      <c r="A1045" s="1">
        <v>46004</v>
      </c>
      <c r="B1045" s="2" t="s">
        <v>2619</v>
      </c>
      <c r="C1045" s="2" t="s">
        <v>2541</v>
      </c>
      <c r="D1045" s="2" t="s">
        <v>2528</v>
      </c>
      <c r="E1045" s="2" t="s">
        <v>2529</v>
      </c>
      <c r="F1045" s="3">
        <v>109440</v>
      </c>
      <c r="G1045" s="3">
        <v>783</v>
      </c>
      <c r="H1045" s="3">
        <v>73</v>
      </c>
      <c r="I1045" s="4">
        <v>1438.35</v>
      </c>
      <c r="J1045" s="4">
        <v>8688.39</v>
      </c>
      <c r="K1045" s="3">
        <v>39</v>
      </c>
      <c r="L1045" s="2" t="s">
        <v>2536</v>
      </c>
      <c r="M1045" s="2" t="s">
        <v>2524</v>
      </c>
      <c r="N1045" s="8">
        <f>IFERROR(G1045/F1045,0)</f>
        <v>7.1546052631578944E-3</v>
      </c>
      <c r="O1045" s="8">
        <f>IFERROR(H1045/G1045,0)</f>
        <v>9.3231162196679443E-2</v>
      </c>
      <c r="P1045" s="4">
        <f>IFERROR(I1045/G1045,0)</f>
        <v>1.8369731800766282</v>
      </c>
      <c r="Q1045" s="4">
        <f>IFERROR(I1045/H1045,0)</f>
        <v>19.703424657534246</v>
      </c>
      <c r="R1045" s="12">
        <f>IFERROR(J1045/I1045,0)</f>
        <v>6.0405256022525808</v>
      </c>
      <c r="S1045" s="7">
        <f>Tabla_nuevas_columnas[[#This Row],[ROAS]]</f>
        <v>6.0405256022525808</v>
      </c>
      <c r="T1045" t="str">
        <f>_xlfn.CONCAT(C1045,"-",D1045)</f>
        <v>Display-España</v>
      </c>
      <c r="U1045">
        <f>YEAR(A1045)</f>
        <v>2025</v>
      </c>
      <c r="V1045">
        <f>MONTH(A1045)</f>
        <v>12</v>
      </c>
      <c r="W1045" t="str">
        <f>PROPER(TEXT(A1045,"mmmm"))</f>
        <v>Diciembre</v>
      </c>
      <c r="X1045" t="str">
        <f>PROPER(TEXT(A1045,"dddd"))</f>
        <v>Sábado</v>
      </c>
      <c r="Y1045" t="str" cm="1">
        <f t="array" ref="Y1045">_xlfn.IFS(R1045&gt;10,"Excelente",R1045&gt;=5,"Bueno",R1045&gt;=2,"Débil",R1045&lt;2,"Deficiente")</f>
        <v>Bueno</v>
      </c>
      <c r="Z1045" t="str">
        <f>IF(AND(R1045&lt;2,Q1045&gt;=100),"Revisar","OK")</f>
        <v>OK</v>
      </c>
      <c r="AA1045" s="55">
        <f>_xlfn.XLOOKUP(C1045,'Preguntas de negocio'!$C$114:$C$119,'Preguntas de negocio'!$D$114:$D$119,0)</f>
        <v>5</v>
      </c>
      <c r="AB1045" s="55">
        <f>VLOOKUP(C1045,'Preguntas de negocio'!$C$121:$D$127,2,FALSE)</f>
        <v>0.5</v>
      </c>
    </row>
    <row r="1046" spans="1:28" x14ac:dyDescent="0.3">
      <c r="A1046" s="1">
        <v>45705</v>
      </c>
      <c r="B1046" s="2" t="s">
        <v>2636</v>
      </c>
      <c r="C1046" s="2" t="s">
        <v>2543</v>
      </c>
      <c r="D1046" s="2" t="s">
        <v>2528</v>
      </c>
      <c r="E1046" s="2" t="s">
        <v>2529</v>
      </c>
      <c r="F1046" s="3">
        <v>27274</v>
      </c>
      <c r="G1046" s="3">
        <v>831</v>
      </c>
      <c r="H1046" s="3">
        <v>66</v>
      </c>
      <c r="I1046" s="4">
        <v>1614.63</v>
      </c>
      <c r="J1046" s="4">
        <v>5071.88</v>
      </c>
      <c r="K1046" s="3">
        <v>33</v>
      </c>
      <c r="L1046" s="2" t="s">
        <v>2518</v>
      </c>
      <c r="M1046" s="2" t="s">
        <v>2526</v>
      </c>
      <c r="N1046" s="8">
        <f>IFERROR(G1046/F1046,0)</f>
        <v>3.0468578133020459E-2</v>
      </c>
      <c r="O1046" s="8">
        <f>IFERROR(H1046/G1046,0)</f>
        <v>7.9422382671480149E-2</v>
      </c>
      <c r="P1046" s="4">
        <f>IFERROR(I1046/G1046,0)</f>
        <v>1.9429963898916969</v>
      </c>
      <c r="Q1046" s="4">
        <f>IFERROR(I1046/H1046,0)</f>
        <v>24.46409090909091</v>
      </c>
      <c r="R1046" s="12">
        <f>IFERROR(J1046/I1046,0)</f>
        <v>3.141202628465964</v>
      </c>
      <c r="S1046" s="7">
        <f>Tabla_nuevas_columnas[[#This Row],[ROAS]]</f>
        <v>3.141202628465964</v>
      </c>
      <c r="T1046" t="str">
        <f>_xlfn.CONCAT(C1046,"-",D1046)</f>
        <v>Organic Social-España</v>
      </c>
      <c r="U1046">
        <f>YEAR(A1046)</f>
        <v>2025</v>
      </c>
      <c r="V1046">
        <f>MONTH(A1046)</f>
        <v>2</v>
      </c>
      <c r="W1046" t="str">
        <f>PROPER(TEXT(A1046,"mmmm"))</f>
        <v>Febrero</v>
      </c>
      <c r="X1046" t="str">
        <f>PROPER(TEXT(A1046,"dddd"))</f>
        <v>Lunes</v>
      </c>
      <c r="Y1046" t="str" cm="1">
        <f t="array" ref="Y1046">_xlfn.IFS(R1046&gt;10,"Excelente",R1046&gt;=5,"Bueno",R1046&gt;=2,"Débil",R1046&lt;2,"Deficiente")</f>
        <v>Débil</v>
      </c>
      <c r="Z1046" t="str">
        <f>IF(AND(R1046&lt;2,Q1046&gt;=100),"Revisar","OK")</f>
        <v>OK</v>
      </c>
      <c r="AA1046" s="55">
        <f>_xlfn.XLOOKUP(C1046,'Preguntas de negocio'!$C$114:$C$119,'Preguntas de negocio'!$D$114:$D$119,0)</f>
        <v>4</v>
      </c>
      <c r="AB1046" s="55">
        <f>VLOOKUP(C1046,'Preguntas de negocio'!$C$121:$D$127,2,FALSE)</f>
        <v>0.95</v>
      </c>
    </row>
    <row r="1047" spans="1:28" x14ac:dyDescent="0.3">
      <c r="A1047" s="1">
        <v>45939</v>
      </c>
      <c r="B1047" s="2" t="s">
        <v>2636</v>
      </c>
      <c r="C1047" s="2" t="s">
        <v>2533</v>
      </c>
      <c r="D1047" s="2" t="s">
        <v>2525</v>
      </c>
      <c r="E1047" s="2" t="s">
        <v>2534</v>
      </c>
      <c r="F1047" s="3">
        <v>104628</v>
      </c>
      <c r="G1047" s="3">
        <v>3857</v>
      </c>
      <c r="H1047" s="3">
        <v>35</v>
      </c>
      <c r="I1047" s="4">
        <v>3005.29</v>
      </c>
      <c r="J1047" s="4">
        <v>6410.53</v>
      </c>
      <c r="K1047" s="3">
        <v>24</v>
      </c>
      <c r="L1047" s="2" t="s">
        <v>2539</v>
      </c>
      <c r="M1047" s="2" t="s">
        <v>2524</v>
      </c>
      <c r="N1047" s="8">
        <f>IFERROR(G1047/F1047,0)</f>
        <v>3.6863936995832854E-2</v>
      </c>
      <c r="O1047" s="8">
        <f>IFERROR(H1047/G1047,0)</f>
        <v>9.0744101633393835E-3</v>
      </c>
      <c r="P1047" s="4">
        <f>IFERROR(I1047/G1047,0)</f>
        <v>0.77917811770806322</v>
      </c>
      <c r="Q1047" s="4">
        <f>IFERROR(I1047/H1047,0)</f>
        <v>85.865428571428566</v>
      </c>
      <c r="R1047" s="12">
        <f>IFERROR(J1047/I1047,0)</f>
        <v>2.133081998742218</v>
      </c>
      <c r="S1047" s="7">
        <f>Tabla_nuevas_columnas[[#This Row],[ROAS]]</f>
        <v>2.133081998742218</v>
      </c>
      <c r="T1047" t="str">
        <f>_xlfn.CONCAT(C1047,"-",D1047)</f>
        <v>Paid Social-Francia</v>
      </c>
      <c r="U1047">
        <f>YEAR(A1047)</f>
        <v>2025</v>
      </c>
      <c r="V1047">
        <f>MONTH(A1047)</f>
        <v>10</v>
      </c>
      <c r="W1047" t="str">
        <f>PROPER(TEXT(A1047,"mmmm"))</f>
        <v>Octubre</v>
      </c>
      <c r="X1047" t="str">
        <f>PROPER(TEXT(A1047,"dddd"))</f>
        <v>Jueves</v>
      </c>
      <c r="Y1047" t="str" cm="1">
        <f t="array" ref="Y1047">_xlfn.IFS(R1047&gt;10,"Excelente",R1047&gt;=5,"Bueno",R1047&gt;=2,"Débil",R1047&lt;2,"Deficiente")</f>
        <v>Débil</v>
      </c>
      <c r="Z1047" t="str">
        <f>IF(AND(R1047&lt;2,Q1047&gt;=100),"Revisar","OK")</f>
        <v>OK</v>
      </c>
      <c r="AA1047" s="55">
        <f>_xlfn.XLOOKUP(C1047,'Preguntas de negocio'!$C$114:$C$119,'Preguntas de negocio'!$D$114:$D$119,0)</f>
        <v>6</v>
      </c>
      <c r="AB1047" s="55">
        <f>VLOOKUP(C1047,'Preguntas de negocio'!$C$121:$D$127,2,FALSE)</f>
        <v>0.8</v>
      </c>
    </row>
    <row r="1048" spans="1:28" x14ac:dyDescent="0.3">
      <c r="A1048" s="1">
        <v>45833</v>
      </c>
      <c r="B1048" s="2" t="s">
        <v>2623</v>
      </c>
      <c r="C1048" s="2" t="s">
        <v>2533</v>
      </c>
      <c r="D1048" s="2" t="s">
        <v>2525</v>
      </c>
      <c r="E1048" s="2" t="s">
        <v>2529</v>
      </c>
      <c r="F1048" s="3">
        <v>136847</v>
      </c>
      <c r="G1048" s="3">
        <v>11153</v>
      </c>
      <c r="H1048" s="3">
        <v>941</v>
      </c>
      <c r="I1048" s="4">
        <v>17823.189999999999</v>
      </c>
      <c r="J1048" s="4">
        <v>169319.93</v>
      </c>
      <c r="K1048" s="3">
        <v>701</v>
      </c>
      <c r="L1048" s="2" t="s">
        <v>2518</v>
      </c>
      <c r="M1048" s="2" t="s">
        <v>2526</v>
      </c>
      <c r="N1048" s="8">
        <f>IFERROR(G1048/F1048,0)</f>
        <v>8.1499777123356737E-2</v>
      </c>
      <c r="O1048" s="8">
        <f>IFERROR(H1048/G1048,0)</f>
        <v>8.4371917869631483E-2</v>
      </c>
      <c r="P1048" s="4">
        <f>IFERROR(I1048/G1048,0)</f>
        <v>1.5980624047341521</v>
      </c>
      <c r="Q1048" s="4">
        <f>IFERROR(I1048/H1048,0)</f>
        <v>18.940690754516471</v>
      </c>
      <c r="R1048" s="12">
        <f>IFERROR(J1048/I1048,0)</f>
        <v>9.4999789599953779</v>
      </c>
      <c r="S1048" s="7">
        <f>Tabla_nuevas_columnas[[#This Row],[ROAS]]</f>
        <v>9.4999789599953779</v>
      </c>
      <c r="T1048" t="str">
        <f>_xlfn.CONCAT(C1048,"-",D1048)</f>
        <v>Paid Social-Francia</v>
      </c>
      <c r="U1048">
        <f>YEAR(A1048)</f>
        <v>2025</v>
      </c>
      <c r="V1048">
        <f>MONTH(A1048)</f>
        <v>6</v>
      </c>
      <c r="W1048" t="str">
        <f>PROPER(TEXT(A1048,"mmmm"))</f>
        <v>Junio</v>
      </c>
      <c r="X1048" t="str">
        <f>PROPER(TEXT(A1048,"dddd"))</f>
        <v>Miércoles</v>
      </c>
      <c r="Y1048" t="str" cm="1">
        <f t="array" ref="Y1048">_xlfn.IFS(R1048&gt;10,"Excelente",R1048&gt;=5,"Bueno",R1048&gt;=2,"Débil",R1048&lt;2,"Deficiente")</f>
        <v>Bueno</v>
      </c>
      <c r="Z1048" t="str">
        <f>IF(AND(R1048&lt;2,Q1048&gt;=100),"Revisar","OK")</f>
        <v>OK</v>
      </c>
      <c r="AA1048" s="55">
        <f>_xlfn.XLOOKUP(C1048,'Preguntas de negocio'!$C$114:$C$119,'Preguntas de negocio'!$D$114:$D$119,0)</f>
        <v>6</v>
      </c>
      <c r="AB1048" s="55">
        <f>VLOOKUP(C1048,'Preguntas de negocio'!$C$121:$D$127,2,FALSE)</f>
        <v>0.8</v>
      </c>
    </row>
    <row r="1049" spans="1:28" x14ac:dyDescent="0.3">
      <c r="A1049" s="1">
        <v>46007</v>
      </c>
      <c r="B1049" s="2" t="s">
        <v>2632</v>
      </c>
      <c r="C1049" s="2" t="s">
        <v>2541</v>
      </c>
      <c r="D1049" s="2" t="s">
        <v>2522</v>
      </c>
      <c r="E1049" s="2" t="s">
        <v>2517</v>
      </c>
      <c r="F1049" s="3">
        <v>63159</v>
      </c>
      <c r="G1049" s="3">
        <v>4633</v>
      </c>
      <c r="H1049" s="3">
        <v>602</v>
      </c>
      <c r="I1049" s="4">
        <v>7360.46</v>
      </c>
      <c r="J1049" s="4">
        <v>90967.67</v>
      </c>
      <c r="K1049" s="3">
        <v>534</v>
      </c>
      <c r="L1049" s="2" t="s">
        <v>2539</v>
      </c>
      <c r="M1049" s="2" t="s">
        <v>2519</v>
      </c>
      <c r="N1049" s="8">
        <f>IFERROR(G1049/F1049,0)</f>
        <v>7.3354549628714835E-2</v>
      </c>
      <c r="O1049" s="8">
        <f>IFERROR(H1049/G1049,0)</f>
        <v>0.12993740556874595</v>
      </c>
      <c r="P1049" s="4">
        <f>IFERROR(I1049/G1049,0)</f>
        <v>1.5887027843729764</v>
      </c>
      <c r="Q1049" s="4">
        <f>IFERROR(I1049/H1049,0)</f>
        <v>12.226677740863787</v>
      </c>
      <c r="R1049" s="12">
        <f>IFERROR(J1049/I1049,0)</f>
        <v>12.358965336405605</v>
      </c>
      <c r="S1049" s="7">
        <f>Tabla_nuevas_columnas[[#This Row],[ROAS]]</f>
        <v>12.358965336405605</v>
      </c>
      <c r="T1049" t="str">
        <f>_xlfn.CONCAT(C1049,"-",D1049)</f>
        <v>Display-Italia</v>
      </c>
      <c r="U1049">
        <f>YEAR(A1049)</f>
        <v>2025</v>
      </c>
      <c r="V1049">
        <f>MONTH(A1049)</f>
        <v>12</v>
      </c>
      <c r="W1049" t="str">
        <f>PROPER(TEXT(A1049,"mmmm"))</f>
        <v>Diciembre</v>
      </c>
      <c r="X1049" t="str">
        <f>PROPER(TEXT(A1049,"dddd"))</f>
        <v>Martes</v>
      </c>
      <c r="Y1049" t="str" cm="1">
        <f t="array" ref="Y1049">_xlfn.IFS(R1049&gt;10,"Excelente",R1049&gt;=5,"Bueno",R1049&gt;=2,"Débil",R1049&lt;2,"Deficiente")</f>
        <v>Excelente</v>
      </c>
      <c r="Z1049" t="str">
        <f>IF(AND(R1049&lt;2,Q1049&gt;=100),"Revisar","OK")</f>
        <v>OK</v>
      </c>
      <c r="AA1049" s="55">
        <f>_xlfn.XLOOKUP(C1049,'Preguntas de negocio'!$C$114:$C$119,'Preguntas de negocio'!$D$114:$D$119,0)</f>
        <v>5</v>
      </c>
      <c r="AB1049" s="55">
        <f>VLOOKUP(C1049,'Preguntas de negocio'!$C$121:$D$127,2,FALSE)</f>
        <v>0.5</v>
      </c>
    </row>
    <row r="1050" spans="1:28" x14ac:dyDescent="0.3">
      <c r="A1050" s="1">
        <v>45963</v>
      </c>
      <c r="B1050" s="2" t="s">
        <v>2627</v>
      </c>
      <c r="C1050" s="2" t="s">
        <v>2527</v>
      </c>
      <c r="D1050" s="2" t="s">
        <v>2528</v>
      </c>
      <c r="E1050" s="2" t="s">
        <v>2517</v>
      </c>
      <c r="F1050" s="3">
        <v>161425</v>
      </c>
      <c r="G1050" s="3">
        <v>6911</v>
      </c>
      <c r="H1050" s="3">
        <v>83</v>
      </c>
      <c r="I1050" s="4">
        <v>3341.48</v>
      </c>
      <c r="J1050" s="4">
        <v>18156.060000000001</v>
      </c>
      <c r="K1050" s="3">
        <v>49</v>
      </c>
      <c r="L1050" s="2" t="s">
        <v>2539</v>
      </c>
      <c r="M1050" s="2" t="s">
        <v>2526</v>
      </c>
      <c r="N1050" s="8">
        <f>IFERROR(G1050/F1050,0)</f>
        <v>4.2812451602911569E-2</v>
      </c>
      <c r="O1050" s="8">
        <f>IFERROR(H1050/G1050,0)</f>
        <v>1.2009839386485314E-2</v>
      </c>
      <c r="P1050" s="4">
        <f>IFERROR(I1050/G1050,0)</f>
        <v>0.48350166401389089</v>
      </c>
      <c r="Q1050" s="4">
        <f>IFERROR(I1050/H1050,0)</f>
        <v>40.258795180722892</v>
      </c>
      <c r="R1050" s="12">
        <f>IFERROR(J1050/I1050,0)</f>
        <v>5.4335384320720159</v>
      </c>
      <c r="S1050" s="7">
        <f>Tabla_nuevas_columnas[[#This Row],[ROAS]]</f>
        <v>5.4335384320720159</v>
      </c>
      <c r="T1050" t="str">
        <f>_xlfn.CONCAT(C1050,"-",D1050)</f>
        <v>Affiliate-España</v>
      </c>
      <c r="U1050">
        <f>YEAR(A1050)</f>
        <v>2025</v>
      </c>
      <c r="V1050">
        <f>MONTH(A1050)</f>
        <v>11</v>
      </c>
      <c r="W1050" t="str">
        <f>PROPER(TEXT(A1050,"mmmm"))</f>
        <v>Noviembre</v>
      </c>
      <c r="X1050" t="str">
        <f>PROPER(TEXT(A1050,"dddd"))</f>
        <v>Domingo</v>
      </c>
      <c r="Y1050" t="str" cm="1">
        <f t="array" ref="Y1050">_xlfn.IFS(R1050&gt;10,"Excelente",R1050&gt;=5,"Bueno",R1050&gt;=2,"Débil",R1050&lt;2,"Deficiente")</f>
        <v>Bueno</v>
      </c>
      <c r="Z1050" t="str">
        <f>IF(AND(R1050&lt;2,Q1050&gt;=100),"Revisar","OK")</f>
        <v>OK</v>
      </c>
      <c r="AA1050" s="55">
        <f>_xlfn.XLOOKUP(C1050,'Preguntas de negocio'!$C$114:$C$119,'Preguntas de negocio'!$D$114:$D$119,0)</f>
        <v>4.5</v>
      </c>
      <c r="AB1050" s="55">
        <f>VLOOKUP(C1050,'Preguntas de negocio'!$C$121:$D$127,2,FALSE)</f>
        <v>0.35</v>
      </c>
    </row>
    <row r="1051" spans="1:28" x14ac:dyDescent="0.3">
      <c r="A1051" s="1">
        <v>45948</v>
      </c>
      <c r="B1051" s="2" t="s">
        <v>2638</v>
      </c>
      <c r="C1051" s="2" t="s">
        <v>2515</v>
      </c>
      <c r="D1051" s="2" t="s">
        <v>2528</v>
      </c>
      <c r="E1051" s="2" t="s">
        <v>2517</v>
      </c>
      <c r="F1051" s="3">
        <v>7883</v>
      </c>
      <c r="G1051" s="3">
        <v>479</v>
      </c>
      <c r="H1051" s="3">
        <v>65</v>
      </c>
      <c r="I1051" s="4">
        <v>701.18</v>
      </c>
      <c r="J1051" s="4">
        <v>11032.03</v>
      </c>
      <c r="K1051" s="3">
        <v>57</v>
      </c>
      <c r="L1051" s="2" t="s">
        <v>2536</v>
      </c>
      <c r="M1051" s="2" t="s">
        <v>2526</v>
      </c>
      <c r="N1051" s="8">
        <f>IFERROR(G1051/F1051,0)</f>
        <v>6.0763668654065711E-2</v>
      </c>
      <c r="O1051" s="8">
        <f>IFERROR(H1051/G1051,0)</f>
        <v>0.13569937369519833</v>
      </c>
      <c r="P1051" s="4">
        <f>IFERROR(I1051/G1051,0)</f>
        <v>1.46384133611691</v>
      </c>
      <c r="Q1051" s="4">
        <f>IFERROR(I1051/H1051,0)</f>
        <v>10.787384615384614</v>
      </c>
      <c r="R1051" s="12">
        <f>IFERROR(J1051/I1051,0)</f>
        <v>15.733520636641092</v>
      </c>
      <c r="S1051" s="7">
        <f>Tabla_nuevas_columnas[[#This Row],[ROAS]]</f>
        <v>15.733520636641092</v>
      </c>
      <c r="T1051" t="str">
        <f>_xlfn.CONCAT(C1051,"-",D1051)</f>
        <v>Email-España</v>
      </c>
      <c r="U1051">
        <f>YEAR(A1051)</f>
        <v>2025</v>
      </c>
      <c r="V1051">
        <f>MONTH(A1051)</f>
        <v>10</v>
      </c>
      <c r="W1051" t="str">
        <f>PROPER(TEXT(A1051,"mmmm"))</f>
        <v>Octubre</v>
      </c>
      <c r="X1051" t="str">
        <f>PROPER(TEXT(A1051,"dddd"))</f>
        <v>Sábado</v>
      </c>
      <c r="Y1051" t="str" cm="1">
        <f t="array" ref="Y1051">_xlfn.IFS(R1051&gt;10,"Excelente",R1051&gt;=5,"Bueno",R1051&gt;=2,"Débil",R1051&lt;2,"Deficiente")</f>
        <v>Excelente</v>
      </c>
      <c r="Z1051" t="str">
        <f>IF(AND(R1051&lt;2,Q1051&gt;=100),"Revisar","OK")</f>
        <v>OK</v>
      </c>
      <c r="AA1051" s="55">
        <f>_xlfn.XLOOKUP(C1051,'Preguntas de negocio'!$C$114:$C$119,'Preguntas de negocio'!$D$114:$D$119,0)</f>
        <v>5.5</v>
      </c>
      <c r="AB1051" s="55">
        <f>VLOOKUP(C1051,'Preguntas de negocio'!$C$121:$D$127,2,FALSE)</f>
        <v>0.65</v>
      </c>
    </row>
    <row r="1052" spans="1:28" x14ac:dyDescent="0.3">
      <c r="A1052" s="1">
        <v>45675</v>
      </c>
      <c r="B1052" s="2" t="s">
        <v>2620</v>
      </c>
      <c r="C1052" s="2" t="s">
        <v>2533</v>
      </c>
      <c r="D1052" s="2" t="s">
        <v>2516</v>
      </c>
      <c r="E1052" s="2" t="s">
        <v>2529</v>
      </c>
      <c r="F1052" s="3">
        <v>168985</v>
      </c>
      <c r="G1052" s="3">
        <v>10515</v>
      </c>
      <c r="H1052" s="3">
        <v>778</v>
      </c>
      <c r="I1052" s="4">
        <v>12412.09</v>
      </c>
      <c r="J1052" s="4">
        <v>85237.28</v>
      </c>
      <c r="K1052" s="3">
        <v>511</v>
      </c>
      <c r="L1052" s="2" t="s">
        <v>2523</v>
      </c>
      <c r="M1052" s="2" t="s">
        <v>2526</v>
      </c>
      <c r="N1052" s="8">
        <f>IFERROR(G1052/F1052,0)</f>
        <v>6.2224457792111727E-2</v>
      </c>
      <c r="O1052" s="8">
        <f>IFERROR(H1052/G1052,0)</f>
        <v>7.3989538754160727E-2</v>
      </c>
      <c r="P1052" s="4">
        <f>IFERROR(I1052/G1052,0)</f>
        <v>1.1804174988112222</v>
      </c>
      <c r="Q1052" s="4">
        <f>IFERROR(I1052/H1052,0)</f>
        <v>15.953843187660668</v>
      </c>
      <c r="R1052" s="12">
        <f>IFERROR(J1052/I1052,0)</f>
        <v>6.8672785969163934</v>
      </c>
      <c r="S1052" s="7">
        <f>Tabla_nuevas_columnas[[#This Row],[ROAS]]</f>
        <v>6.8672785969163934</v>
      </c>
      <c r="T1052" t="str">
        <f>_xlfn.CONCAT(C1052,"-",D1052)</f>
        <v>Paid Social-México</v>
      </c>
      <c r="U1052">
        <f>YEAR(A1052)</f>
        <v>2025</v>
      </c>
      <c r="V1052">
        <f>MONTH(A1052)</f>
        <v>1</v>
      </c>
      <c r="W1052" t="str">
        <f>PROPER(TEXT(A1052,"mmmm"))</f>
        <v>Enero</v>
      </c>
      <c r="X1052" t="str">
        <f>PROPER(TEXT(A1052,"dddd"))</f>
        <v>Sábado</v>
      </c>
      <c r="Y1052" t="str" cm="1">
        <f t="array" ref="Y1052">_xlfn.IFS(R1052&gt;10,"Excelente",R1052&gt;=5,"Bueno",R1052&gt;=2,"Débil",R1052&lt;2,"Deficiente")</f>
        <v>Bueno</v>
      </c>
      <c r="Z1052" t="str">
        <f>IF(AND(R1052&lt;2,Q1052&gt;=100),"Revisar","OK")</f>
        <v>OK</v>
      </c>
      <c r="AA1052" s="55">
        <f>_xlfn.XLOOKUP(C1052,'Preguntas de negocio'!$C$114:$C$119,'Preguntas de negocio'!$D$114:$D$119,0)</f>
        <v>6</v>
      </c>
      <c r="AB1052" s="55">
        <f>VLOOKUP(C1052,'Preguntas de negocio'!$C$121:$D$127,2,FALSE)</f>
        <v>0.8</v>
      </c>
    </row>
    <row r="1053" spans="1:28" x14ac:dyDescent="0.3">
      <c r="A1053" s="1">
        <v>45697</v>
      </c>
      <c r="B1053" s="2" t="s">
        <v>2642</v>
      </c>
      <c r="C1053" s="2" t="s">
        <v>2543</v>
      </c>
      <c r="D1053" s="2" t="s">
        <v>2528</v>
      </c>
      <c r="E1053" s="2" t="s">
        <v>2529</v>
      </c>
      <c r="F1053" s="3">
        <v>12074</v>
      </c>
      <c r="G1053" s="3">
        <v>1071</v>
      </c>
      <c r="H1053" s="3">
        <v>146</v>
      </c>
      <c r="I1053" s="4">
        <v>1617.16</v>
      </c>
      <c r="J1053" s="4">
        <v>8383.6299999999992</v>
      </c>
      <c r="K1053" s="3">
        <v>101</v>
      </c>
      <c r="L1053" s="2" t="s">
        <v>2523</v>
      </c>
      <c r="M1053" s="2" t="s">
        <v>2526</v>
      </c>
      <c r="N1053" s="8">
        <f>IFERROR(G1053/F1053,0)</f>
        <v>8.8702998177902934E-2</v>
      </c>
      <c r="O1053" s="8">
        <f>IFERROR(H1053/G1053,0)</f>
        <v>0.13632119514472454</v>
      </c>
      <c r="P1053" s="4">
        <f>IFERROR(I1053/G1053,0)</f>
        <v>1.509953314659197</v>
      </c>
      <c r="Q1053" s="4">
        <f>IFERROR(I1053/H1053,0)</f>
        <v>11.076438356164385</v>
      </c>
      <c r="R1053" s="12">
        <f>IFERROR(J1053/I1053,0)</f>
        <v>5.1841685423829418</v>
      </c>
      <c r="S1053" s="7">
        <f>Tabla_nuevas_columnas[[#This Row],[ROAS]]</f>
        <v>5.1841685423829418</v>
      </c>
      <c r="T1053" t="str">
        <f>_xlfn.CONCAT(C1053,"-",D1053)</f>
        <v>Organic Social-España</v>
      </c>
      <c r="U1053">
        <f>YEAR(A1053)</f>
        <v>2025</v>
      </c>
      <c r="V1053">
        <f>MONTH(A1053)</f>
        <v>2</v>
      </c>
      <c r="W1053" t="str">
        <f>PROPER(TEXT(A1053,"mmmm"))</f>
        <v>Febrero</v>
      </c>
      <c r="X1053" t="str">
        <f>PROPER(TEXT(A1053,"dddd"))</f>
        <v>Domingo</v>
      </c>
      <c r="Y1053" t="str" cm="1">
        <f t="array" ref="Y1053">_xlfn.IFS(R1053&gt;10,"Excelente",R1053&gt;=5,"Bueno",R1053&gt;=2,"Débil",R1053&lt;2,"Deficiente")</f>
        <v>Bueno</v>
      </c>
      <c r="Z1053" t="str">
        <f>IF(AND(R1053&lt;2,Q1053&gt;=100),"Revisar","OK")</f>
        <v>OK</v>
      </c>
      <c r="AA1053" s="55">
        <f>_xlfn.XLOOKUP(C1053,'Preguntas de negocio'!$C$114:$C$119,'Preguntas de negocio'!$D$114:$D$119,0)</f>
        <v>4</v>
      </c>
      <c r="AB1053" s="55">
        <f>VLOOKUP(C1053,'Preguntas de negocio'!$C$121:$D$127,2,FALSE)</f>
        <v>0.95</v>
      </c>
    </row>
    <row r="1054" spans="1:28" x14ac:dyDescent="0.3">
      <c r="A1054" s="1">
        <v>45784</v>
      </c>
      <c r="B1054" s="2" t="s">
        <v>2637</v>
      </c>
      <c r="C1054" s="2" t="s">
        <v>2533</v>
      </c>
      <c r="D1054" s="2" t="s">
        <v>2516</v>
      </c>
      <c r="E1054" s="2" t="s">
        <v>2534</v>
      </c>
      <c r="F1054" s="3">
        <v>99525</v>
      </c>
      <c r="G1054" s="3">
        <v>8517</v>
      </c>
      <c r="H1054" s="3">
        <v>824</v>
      </c>
      <c r="I1054" s="4">
        <v>3855.04</v>
      </c>
      <c r="J1054" s="4">
        <v>177573.71</v>
      </c>
      <c r="K1054" s="3">
        <v>648</v>
      </c>
      <c r="L1054" s="2" t="s">
        <v>2523</v>
      </c>
      <c r="M1054" s="2" t="s">
        <v>2537</v>
      </c>
      <c r="N1054" s="8">
        <f>IFERROR(G1054/F1054,0)</f>
        <v>8.557648831951771E-2</v>
      </c>
      <c r="O1054" s="8">
        <f>IFERROR(H1054/G1054,0)</f>
        <v>9.6747681108371494E-2</v>
      </c>
      <c r="P1054" s="4">
        <f>IFERROR(I1054/G1054,0)</f>
        <v>0.45262885992720442</v>
      </c>
      <c r="Q1054" s="4">
        <f>IFERROR(I1054/H1054,0)</f>
        <v>4.6784466019417472</v>
      </c>
      <c r="R1054" s="12">
        <f>IFERROR(J1054/I1054,0)</f>
        <v>46.062741242633017</v>
      </c>
      <c r="S1054" s="7">
        <f>Tabla_nuevas_columnas[[#This Row],[ROAS]]</f>
        <v>46.062741242633017</v>
      </c>
      <c r="T1054" t="str">
        <f>_xlfn.CONCAT(C1054,"-",D1054)</f>
        <v>Paid Social-México</v>
      </c>
      <c r="U1054">
        <f>YEAR(A1054)</f>
        <v>2025</v>
      </c>
      <c r="V1054">
        <f>MONTH(A1054)</f>
        <v>5</v>
      </c>
      <c r="W1054" t="str">
        <f>PROPER(TEXT(A1054,"mmmm"))</f>
        <v>Mayo</v>
      </c>
      <c r="X1054" t="str">
        <f>PROPER(TEXT(A1054,"dddd"))</f>
        <v>Miércoles</v>
      </c>
      <c r="Y1054" t="str" cm="1">
        <f t="array" ref="Y1054">_xlfn.IFS(R1054&gt;10,"Excelente",R1054&gt;=5,"Bueno",R1054&gt;=2,"Débil",R1054&lt;2,"Deficiente")</f>
        <v>Excelente</v>
      </c>
      <c r="Z1054" t="str">
        <f>IF(AND(R1054&lt;2,Q1054&gt;=100),"Revisar","OK")</f>
        <v>OK</v>
      </c>
      <c r="AA1054" s="55">
        <f>_xlfn.XLOOKUP(C1054,'Preguntas de negocio'!$C$114:$C$119,'Preguntas de negocio'!$D$114:$D$119,0)</f>
        <v>6</v>
      </c>
      <c r="AB1054" s="55">
        <f>VLOOKUP(C1054,'Preguntas de negocio'!$C$121:$D$127,2,FALSE)</f>
        <v>0.8</v>
      </c>
    </row>
    <row r="1055" spans="1:28" x14ac:dyDescent="0.3">
      <c r="A1055" s="1">
        <v>46012</v>
      </c>
      <c r="B1055" s="2" t="s">
        <v>2640</v>
      </c>
      <c r="C1055" s="2" t="s">
        <v>2533</v>
      </c>
      <c r="D1055" s="2" t="s">
        <v>2528</v>
      </c>
      <c r="E1055" s="2" t="s">
        <v>2517</v>
      </c>
      <c r="F1055" s="3">
        <v>69381</v>
      </c>
      <c r="G1055" s="3">
        <v>4401</v>
      </c>
      <c r="H1055" s="3">
        <v>78</v>
      </c>
      <c r="I1055" s="4">
        <v>2851.17</v>
      </c>
      <c r="J1055" s="4">
        <v>12998.06</v>
      </c>
      <c r="K1055" s="3">
        <v>66</v>
      </c>
      <c r="L1055" s="2" t="s">
        <v>2539</v>
      </c>
      <c r="M1055" s="2" t="s">
        <v>2526</v>
      </c>
      <c r="N1055" s="8">
        <f>IFERROR(G1055/F1055,0)</f>
        <v>6.343235179660138E-2</v>
      </c>
      <c r="O1055" s="8">
        <f>IFERROR(H1055/G1055,0)</f>
        <v>1.7723244717109749E-2</v>
      </c>
      <c r="P1055" s="4">
        <f>IFERROR(I1055/G1055,0)</f>
        <v>0.64784594410361285</v>
      </c>
      <c r="Q1055" s="4">
        <f>IFERROR(I1055/H1055,0)</f>
        <v>36.553461538461541</v>
      </c>
      <c r="R1055" s="12">
        <f>IFERROR(J1055/I1055,0)</f>
        <v>4.558851278597909</v>
      </c>
      <c r="S1055" s="7">
        <f>Tabla_nuevas_columnas[[#This Row],[ROAS]]</f>
        <v>4.558851278597909</v>
      </c>
      <c r="T1055" t="str">
        <f>_xlfn.CONCAT(C1055,"-",D1055)</f>
        <v>Paid Social-España</v>
      </c>
      <c r="U1055">
        <f>YEAR(A1055)</f>
        <v>2025</v>
      </c>
      <c r="V1055">
        <f>MONTH(A1055)</f>
        <v>12</v>
      </c>
      <c r="W1055" t="str">
        <f>PROPER(TEXT(A1055,"mmmm"))</f>
        <v>Diciembre</v>
      </c>
      <c r="X1055" t="str">
        <f>PROPER(TEXT(A1055,"dddd"))</f>
        <v>Domingo</v>
      </c>
      <c r="Y1055" t="str" cm="1">
        <f t="array" ref="Y1055">_xlfn.IFS(R1055&gt;10,"Excelente",R1055&gt;=5,"Bueno",R1055&gt;=2,"Débil",R1055&lt;2,"Deficiente")</f>
        <v>Débil</v>
      </c>
      <c r="Z1055" t="str">
        <f>IF(AND(R1055&lt;2,Q1055&gt;=100),"Revisar","OK")</f>
        <v>OK</v>
      </c>
      <c r="AA1055" s="55">
        <f>_xlfn.XLOOKUP(C1055,'Preguntas de negocio'!$C$114:$C$119,'Preguntas de negocio'!$D$114:$D$119,0)</f>
        <v>6</v>
      </c>
      <c r="AB1055" s="55">
        <f>VLOOKUP(C1055,'Preguntas de negocio'!$C$121:$D$127,2,FALSE)</f>
        <v>0.8</v>
      </c>
    </row>
    <row r="1056" spans="1:28" x14ac:dyDescent="0.3">
      <c r="A1056" s="1">
        <v>45690</v>
      </c>
      <c r="B1056" s="2" t="s">
        <v>2626</v>
      </c>
      <c r="C1056" s="2" t="s">
        <v>2541</v>
      </c>
      <c r="D1056" s="2" t="s">
        <v>2531</v>
      </c>
      <c r="E1056" s="2" t="s">
        <v>2529</v>
      </c>
      <c r="F1056" s="3">
        <v>23326</v>
      </c>
      <c r="G1056" s="3">
        <v>1858</v>
      </c>
      <c r="H1056" s="3">
        <v>117</v>
      </c>
      <c r="I1056" s="4">
        <v>3642.46</v>
      </c>
      <c r="J1056" s="4">
        <v>8802.01</v>
      </c>
      <c r="K1056" s="3">
        <v>88</v>
      </c>
      <c r="L1056" s="2" t="s">
        <v>2539</v>
      </c>
      <c r="M1056" s="2" t="s">
        <v>2524</v>
      </c>
      <c r="N1056" s="8">
        <f>IFERROR(G1056/F1056,0)</f>
        <v>7.9653605418845919E-2</v>
      </c>
      <c r="O1056" s="8">
        <f>IFERROR(H1056/G1056,0)</f>
        <v>6.2970936490850379E-2</v>
      </c>
      <c r="P1056" s="4">
        <f>IFERROR(I1056/G1056,0)</f>
        <v>1.9604198062432723</v>
      </c>
      <c r="Q1056" s="4">
        <f>IFERROR(I1056/H1056,0)</f>
        <v>31.132136752136752</v>
      </c>
      <c r="R1056" s="12">
        <f>IFERROR(J1056/I1056,0)</f>
        <v>2.4165014852599618</v>
      </c>
      <c r="S1056" s="7">
        <f>Tabla_nuevas_columnas[[#This Row],[ROAS]]</f>
        <v>2.4165014852599618</v>
      </c>
      <c r="T1056" t="str">
        <f>_xlfn.CONCAT(C1056,"-",D1056)</f>
        <v>Display-Portugal</v>
      </c>
      <c r="U1056">
        <f>YEAR(A1056)</f>
        <v>2025</v>
      </c>
      <c r="V1056">
        <f>MONTH(A1056)</f>
        <v>2</v>
      </c>
      <c r="W1056" t="str">
        <f>PROPER(TEXT(A1056,"mmmm"))</f>
        <v>Febrero</v>
      </c>
      <c r="X1056" t="str">
        <f>PROPER(TEXT(A1056,"dddd"))</f>
        <v>Domingo</v>
      </c>
      <c r="Y1056" t="str" cm="1">
        <f t="array" ref="Y1056">_xlfn.IFS(R1056&gt;10,"Excelente",R1056&gt;=5,"Bueno",R1056&gt;=2,"Débil",R1056&lt;2,"Deficiente")</f>
        <v>Débil</v>
      </c>
      <c r="Z1056" t="str">
        <f>IF(AND(R1056&lt;2,Q1056&gt;=100),"Revisar","OK")</f>
        <v>OK</v>
      </c>
      <c r="AA1056" s="55">
        <f>_xlfn.XLOOKUP(C1056,'Preguntas de negocio'!$C$114:$C$119,'Preguntas de negocio'!$D$114:$D$119,0)</f>
        <v>5</v>
      </c>
      <c r="AB1056" s="55">
        <f>VLOOKUP(C1056,'Preguntas de negocio'!$C$121:$D$127,2,FALSE)</f>
        <v>0.5</v>
      </c>
    </row>
    <row r="1057" spans="1:28" x14ac:dyDescent="0.3">
      <c r="A1057" s="1">
        <v>45852</v>
      </c>
      <c r="B1057" s="2" t="s">
        <v>2626</v>
      </c>
      <c r="C1057" s="2" t="s">
        <v>2543</v>
      </c>
      <c r="D1057" s="2" t="s">
        <v>2528</v>
      </c>
      <c r="E1057" s="2" t="s">
        <v>2529</v>
      </c>
      <c r="F1057" s="3">
        <v>9969</v>
      </c>
      <c r="G1057" s="3">
        <v>363</v>
      </c>
      <c r="H1057" s="3">
        <v>21</v>
      </c>
      <c r="I1057" s="4">
        <v>172.4</v>
      </c>
      <c r="J1057" s="4">
        <v>1554.11</v>
      </c>
      <c r="K1057" s="3">
        <v>10</v>
      </c>
      <c r="L1057" s="2" t="s">
        <v>2523</v>
      </c>
      <c r="M1057" s="2" t="s">
        <v>2546</v>
      </c>
      <c r="N1057" s="8">
        <f>IFERROR(G1057/F1057,0)</f>
        <v>3.6412879927776108E-2</v>
      </c>
      <c r="O1057" s="8">
        <f>IFERROR(H1057/G1057,0)</f>
        <v>5.7851239669421489E-2</v>
      </c>
      <c r="P1057" s="4">
        <f>IFERROR(I1057/G1057,0)</f>
        <v>0.47493112947658406</v>
      </c>
      <c r="Q1057" s="4">
        <f>IFERROR(I1057/H1057,0)</f>
        <v>8.2095238095238106</v>
      </c>
      <c r="R1057" s="12">
        <f>IFERROR(J1057/I1057,0)</f>
        <v>9.0145591647331784</v>
      </c>
      <c r="S1057" s="7">
        <f>Tabla_nuevas_columnas[[#This Row],[ROAS]]</f>
        <v>9.0145591647331784</v>
      </c>
      <c r="T1057" t="str">
        <f>_xlfn.CONCAT(C1057,"-",D1057)</f>
        <v>Organic Social-España</v>
      </c>
      <c r="U1057">
        <f>YEAR(A1057)</f>
        <v>2025</v>
      </c>
      <c r="V1057">
        <f>MONTH(A1057)</f>
        <v>7</v>
      </c>
      <c r="W1057" t="str">
        <f>PROPER(TEXT(A1057,"mmmm"))</f>
        <v>Julio</v>
      </c>
      <c r="X1057" t="str">
        <f>PROPER(TEXT(A1057,"dddd"))</f>
        <v>Lunes</v>
      </c>
      <c r="Y1057" t="str" cm="1">
        <f t="array" ref="Y1057">_xlfn.IFS(R1057&gt;10,"Excelente",R1057&gt;=5,"Bueno",R1057&gt;=2,"Débil",R1057&lt;2,"Deficiente")</f>
        <v>Bueno</v>
      </c>
      <c r="Z1057" t="str">
        <f>IF(AND(R1057&lt;2,Q1057&gt;=100),"Revisar","OK")</f>
        <v>OK</v>
      </c>
      <c r="AA1057" s="55">
        <f>_xlfn.XLOOKUP(C1057,'Preguntas de negocio'!$C$114:$C$119,'Preguntas de negocio'!$D$114:$D$119,0)</f>
        <v>4</v>
      </c>
      <c r="AB1057" s="55">
        <f>VLOOKUP(C1057,'Preguntas de negocio'!$C$121:$D$127,2,FALSE)</f>
        <v>0.95</v>
      </c>
    </row>
    <row r="1058" spans="1:28" x14ac:dyDescent="0.3">
      <c r="A1058" s="1">
        <v>46017</v>
      </c>
      <c r="B1058" s="2" t="s">
        <v>2641</v>
      </c>
      <c r="C1058" s="2" t="s">
        <v>2533</v>
      </c>
      <c r="D1058" s="2" t="s">
        <v>2528</v>
      </c>
      <c r="E1058" s="2" t="s">
        <v>2517</v>
      </c>
      <c r="F1058" s="3">
        <v>124208</v>
      </c>
      <c r="G1058" s="3">
        <v>4203</v>
      </c>
      <c r="H1058" s="3">
        <v>194</v>
      </c>
      <c r="I1058" s="4">
        <v>2093.17</v>
      </c>
      <c r="J1058" s="4">
        <v>5084.1000000000004</v>
      </c>
      <c r="K1058" s="3">
        <v>156</v>
      </c>
      <c r="L1058" s="2" t="s">
        <v>2518</v>
      </c>
      <c r="M1058" s="2" t="s">
        <v>2524</v>
      </c>
      <c r="N1058" s="8">
        <f>IFERROR(G1058/F1058,0)</f>
        <v>3.3838400103052946E-2</v>
      </c>
      <c r="O1058" s="8">
        <f>IFERROR(H1058/G1058,0)</f>
        <v>4.6157506542945516E-2</v>
      </c>
      <c r="P1058" s="4">
        <f>IFERROR(I1058/G1058,0)</f>
        <v>0.49801808232215083</v>
      </c>
      <c r="Q1058" s="4">
        <f>IFERROR(I1058/H1058,0)</f>
        <v>10.789536082474227</v>
      </c>
      <c r="R1058" s="12">
        <f>IFERROR(J1058/I1058,0)</f>
        <v>2.4288997071427549</v>
      </c>
      <c r="S1058" s="7">
        <f>Tabla_nuevas_columnas[[#This Row],[ROAS]]</f>
        <v>2.4288997071427549</v>
      </c>
      <c r="T1058" t="str">
        <f>_xlfn.CONCAT(C1058,"-",D1058)</f>
        <v>Paid Social-España</v>
      </c>
      <c r="U1058">
        <f>YEAR(A1058)</f>
        <v>2025</v>
      </c>
      <c r="V1058">
        <f>MONTH(A1058)</f>
        <v>12</v>
      </c>
      <c r="W1058" t="str">
        <f>PROPER(TEXT(A1058,"mmmm"))</f>
        <v>Diciembre</v>
      </c>
      <c r="X1058" t="str">
        <f>PROPER(TEXT(A1058,"dddd"))</f>
        <v>Viernes</v>
      </c>
      <c r="Y1058" t="str" cm="1">
        <f t="array" ref="Y1058">_xlfn.IFS(R1058&gt;10,"Excelente",R1058&gt;=5,"Bueno",R1058&gt;=2,"Débil",R1058&lt;2,"Deficiente")</f>
        <v>Débil</v>
      </c>
      <c r="Z1058" t="str">
        <f>IF(AND(R1058&lt;2,Q1058&gt;=100),"Revisar","OK")</f>
        <v>OK</v>
      </c>
      <c r="AA1058" s="55">
        <f>_xlfn.XLOOKUP(C1058,'Preguntas de negocio'!$C$114:$C$119,'Preguntas de negocio'!$D$114:$D$119,0)</f>
        <v>6</v>
      </c>
      <c r="AB1058" s="55">
        <f>VLOOKUP(C1058,'Preguntas de negocio'!$C$121:$D$127,2,FALSE)</f>
        <v>0.8</v>
      </c>
    </row>
    <row r="1059" spans="1:28" x14ac:dyDescent="0.3">
      <c r="A1059" s="1">
        <v>45843</v>
      </c>
      <c r="B1059" s="2" t="s">
        <v>2637</v>
      </c>
      <c r="C1059" s="2" t="s">
        <v>2521</v>
      </c>
      <c r="D1059" s="2" t="s">
        <v>2525</v>
      </c>
      <c r="E1059" s="2" t="s">
        <v>2517</v>
      </c>
      <c r="F1059" s="3">
        <v>121896</v>
      </c>
      <c r="G1059" s="3">
        <v>7110</v>
      </c>
      <c r="H1059" s="3">
        <v>880</v>
      </c>
      <c r="I1059" s="4">
        <v>5445.71</v>
      </c>
      <c r="J1059" s="4">
        <v>148674.01</v>
      </c>
      <c r="K1059" s="3">
        <v>408</v>
      </c>
      <c r="L1059" s="2" t="s">
        <v>2536</v>
      </c>
      <c r="M1059" s="2" t="s">
        <v>2524</v>
      </c>
      <c r="N1059" s="8">
        <f>IFERROR(G1059/F1059,0)</f>
        <v>5.8328411104548138E-2</v>
      </c>
      <c r="O1059" s="8">
        <f>IFERROR(H1059/G1059,0)</f>
        <v>0.12376933895921238</v>
      </c>
      <c r="P1059" s="4">
        <f>IFERROR(I1059/G1059,0)</f>
        <v>0.76592264416315048</v>
      </c>
      <c r="Q1059" s="4">
        <f>IFERROR(I1059/H1059,0)</f>
        <v>6.1883068181818182</v>
      </c>
      <c r="R1059" s="12">
        <f>IFERROR(J1059/I1059,0)</f>
        <v>27.301125105817242</v>
      </c>
      <c r="S1059" s="7">
        <f>Tabla_nuevas_columnas[[#This Row],[ROAS]]</f>
        <v>27.301125105817242</v>
      </c>
      <c r="T1059" t="str">
        <f>_xlfn.CONCAT(C1059,"-",D1059)</f>
        <v>Paid Search-Francia</v>
      </c>
      <c r="U1059">
        <f>YEAR(A1059)</f>
        <v>2025</v>
      </c>
      <c r="V1059">
        <f>MONTH(A1059)</f>
        <v>7</v>
      </c>
      <c r="W1059" t="str">
        <f>PROPER(TEXT(A1059,"mmmm"))</f>
        <v>Julio</v>
      </c>
      <c r="X1059" t="str">
        <f>PROPER(TEXT(A1059,"dddd"))</f>
        <v>Sábado</v>
      </c>
      <c r="Y1059" t="str" cm="1">
        <f t="array" ref="Y1059">_xlfn.IFS(R1059&gt;10,"Excelente",R1059&gt;=5,"Bueno",R1059&gt;=2,"Débil",R1059&lt;2,"Deficiente")</f>
        <v>Excelente</v>
      </c>
      <c r="Z1059" t="str">
        <f>IF(AND(R1059&lt;2,Q1059&gt;=100),"Revisar","OK")</f>
        <v>OK</v>
      </c>
      <c r="AA1059" s="55">
        <f>_xlfn.XLOOKUP(C1059,'Preguntas de negocio'!$C$114:$C$119,'Preguntas de negocio'!$D$114:$D$119,0)</f>
        <v>5</v>
      </c>
      <c r="AB1059" s="55">
        <f>VLOOKUP(C1059,'Preguntas de negocio'!$C$121:$D$127,2,FALSE)</f>
        <v>1.1000000000000001</v>
      </c>
    </row>
    <row r="1060" spans="1:28" x14ac:dyDescent="0.3">
      <c r="A1060" s="1">
        <v>45850</v>
      </c>
      <c r="B1060" s="2" t="s">
        <v>2643</v>
      </c>
      <c r="C1060" s="2" t="s">
        <v>2521</v>
      </c>
      <c r="D1060" s="2" t="s">
        <v>2528</v>
      </c>
      <c r="E1060" s="2" t="s">
        <v>2517</v>
      </c>
      <c r="F1060" s="3">
        <v>72303</v>
      </c>
      <c r="G1060" s="3">
        <v>4165</v>
      </c>
      <c r="H1060" s="3">
        <v>268</v>
      </c>
      <c r="I1060" s="4">
        <v>5536.73</v>
      </c>
      <c r="J1060" s="4">
        <v>23073.54</v>
      </c>
      <c r="K1060" s="3">
        <v>211</v>
      </c>
      <c r="L1060" s="2" t="s">
        <v>2536</v>
      </c>
      <c r="M1060" s="2" t="s">
        <v>2519</v>
      </c>
      <c r="N1060" s="8">
        <f>IFERROR(G1060/F1060,0)</f>
        <v>5.7604802013747701E-2</v>
      </c>
      <c r="O1060" s="8">
        <f>IFERROR(H1060/G1060,0)</f>
        <v>6.4345738295318131E-2</v>
      </c>
      <c r="P1060" s="4">
        <f>IFERROR(I1060/G1060,0)</f>
        <v>1.3293469387755101</v>
      </c>
      <c r="Q1060" s="4">
        <f>IFERROR(I1060/H1060,0)</f>
        <v>20.659440298507462</v>
      </c>
      <c r="R1060" s="12">
        <f>IFERROR(J1060/I1060,0)</f>
        <v>4.1673587117305706</v>
      </c>
      <c r="S1060" s="7">
        <f>Tabla_nuevas_columnas[[#This Row],[ROAS]]</f>
        <v>4.1673587117305706</v>
      </c>
      <c r="T1060" t="str">
        <f>_xlfn.CONCAT(C1060,"-",D1060)</f>
        <v>Paid Search-España</v>
      </c>
      <c r="U1060">
        <f>YEAR(A1060)</f>
        <v>2025</v>
      </c>
      <c r="V1060">
        <f>MONTH(A1060)</f>
        <v>7</v>
      </c>
      <c r="W1060" t="str">
        <f>PROPER(TEXT(A1060,"mmmm"))</f>
        <v>Julio</v>
      </c>
      <c r="X1060" t="str">
        <f>PROPER(TEXT(A1060,"dddd"))</f>
        <v>Sábado</v>
      </c>
      <c r="Y1060" t="str" cm="1">
        <f t="array" ref="Y1060">_xlfn.IFS(R1060&gt;10,"Excelente",R1060&gt;=5,"Bueno",R1060&gt;=2,"Débil",R1060&lt;2,"Deficiente")</f>
        <v>Débil</v>
      </c>
      <c r="Z1060" t="str">
        <f>IF(AND(R1060&lt;2,Q1060&gt;=100),"Revisar","OK")</f>
        <v>OK</v>
      </c>
      <c r="AA1060" s="55">
        <f>_xlfn.XLOOKUP(C1060,'Preguntas de negocio'!$C$114:$C$119,'Preguntas de negocio'!$D$114:$D$119,0)</f>
        <v>5</v>
      </c>
      <c r="AB1060" s="55">
        <f>VLOOKUP(C1060,'Preguntas de negocio'!$C$121:$D$127,2,FALSE)</f>
        <v>1.1000000000000001</v>
      </c>
    </row>
    <row r="1061" spans="1:28" x14ac:dyDescent="0.3">
      <c r="A1061" s="1">
        <v>45938</v>
      </c>
      <c r="B1061" s="2" t="s">
        <v>2630</v>
      </c>
      <c r="C1061" s="2" t="s">
        <v>2533</v>
      </c>
      <c r="D1061" s="2" t="s">
        <v>2522</v>
      </c>
      <c r="E1061" s="2" t="s">
        <v>2517</v>
      </c>
      <c r="F1061" s="3">
        <v>124225</v>
      </c>
      <c r="G1061" s="3">
        <v>2420</v>
      </c>
      <c r="H1061" s="3">
        <v>336</v>
      </c>
      <c r="I1061" s="4">
        <v>4242.41</v>
      </c>
      <c r="J1061" s="4">
        <v>63473.66</v>
      </c>
      <c r="K1061" s="3">
        <v>230</v>
      </c>
      <c r="L1061" s="2" t="s">
        <v>2518</v>
      </c>
      <c r="M1061" s="2" t="s">
        <v>2524</v>
      </c>
      <c r="N1061" s="8">
        <f>IFERROR(G1061/F1061,0)</f>
        <v>1.9480780841215538E-2</v>
      </c>
      <c r="O1061" s="8">
        <f>IFERROR(H1061/G1061,0)</f>
        <v>0.13884297520661157</v>
      </c>
      <c r="P1061" s="4">
        <f>IFERROR(I1061/G1061,0)</f>
        <v>1.7530619834710743</v>
      </c>
      <c r="Q1061" s="4">
        <f>IFERROR(I1061/H1061,0)</f>
        <v>12.626220238095238</v>
      </c>
      <c r="R1061" s="12">
        <f>IFERROR(J1061/I1061,0)</f>
        <v>14.961698657131208</v>
      </c>
      <c r="S1061" s="7">
        <f>Tabla_nuevas_columnas[[#This Row],[ROAS]]</f>
        <v>14.961698657131208</v>
      </c>
      <c r="T1061" t="str">
        <f>_xlfn.CONCAT(C1061,"-",D1061)</f>
        <v>Paid Social-Italia</v>
      </c>
      <c r="U1061">
        <f>YEAR(A1061)</f>
        <v>2025</v>
      </c>
      <c r="V1061">
        <f>MONTH(A1061)</f>
        <v>10</v>
      </c>
      <c r="W1061" t="str">
        <f>PROPER(TEXT(A1061,"mmmm"))</f>
        <v>Octubre</v>
      </c>
      <c r="X1061" t="str">
        <f>PROPER(TEXT(A1061,"dddd"))</f>
        <v>Miércoles</v>
      </c>
      <c r="Y1061" t="str" cm="1">
        <f t="array" ref="Y1061">_xlfn.IFS(R1061&gt;10,"Excelente",R1061&gt;=5,"Bueno",R1061&gt;=2,"Débil",R1061&lt;2,"Deficiente")</f>
        <v>Excelente</v>
      </c>
      <c r="Z1061" t="str">
        <f>IF(AND(R1061&lt;2,Q1061&gt;=100),"Revisar","OK")</f>
        <v>OK</v>
      </c>
      <c r="AA1061" s="55">
        <f>_xlfn.XLOOKUP(C1061,'Preguntas de negocio'!$C$114:$C$119,'Preguntas de negocio'!$D$114:$D$119,0)</f>
        <v>6</v>
      </c>
      <c r="AB1061" s="55">
        <f>VLOOKUP(C1061,'Preguntas de negocio'!$C$121:$D$127,2,FALSE)</f>
        <v>0.8</v>
      </c>
    </row>
    <row r="1062" spans="1:28" x14ac:dyDescent="0.3">
      <c r="A1062" s="1">
        <v>45926</v>
      </c>
      <c r="B1062" s="2" t="s">
        <v>2628</v>
      </c>
      <c r="C1062" s="2" t="s">
        <v>2527</v>
      </c>
      <c r="D1062" s="2" t="s">
        <v>2528</v>
      </c>
      <c r="E1062" s="2" t="s">
        <v>2529</v>
      </c>
      <c r="F1062" s="3">
        <v>60641</v>
      </c>
      <c r="G1062" s="3">
        <v>3681</v>
      </c>
      <c r="H1062" s="3">
        <v>511</v>
      </c>
      <c r="I1062" s="4">
        <v>5436.83</v>
      </c>
      <c r="J1062" s="4">
        <v>52077.760000000002</v>
      </c>
      <c r="K1062" s="3">
        <v>293</v>
      </c>
      <c r="L1062" s="2" t="s">
        <v>2536</v>
      </c>
      <c r="M1062" s="2" t="s">
        <v>2526</v>
      </c>
      <c r="N1062" s="8">
        <f>IFERROR(G1062/F1062,0)</f>
        <v>6.070150558203196E-2</v>
      </c>
      <c r="O1062" s="8">
        <f>IFERROR(H1062/G1062,0)</f>
        <v>0.13882097256180387</v>
      </c>
      <c r="P1062" s="4">
        <f>IFERROR(I1062/G1062,0)</f>
        <v>1.4769980983428417</v>
      </c>
      <c r="Q1062" s="4">
        <f>IFERROR(I1062/H1062,0)</f>
        <v>10.63958904109589</v>
      </c>
      <c r="R1062" s="12">
        <f>IFERROR(J1062/I1062,0)</f>
        <v>9.5786993523799726</v>
      </c>
      <c r="S1062" s="7">
        <f>Tabla_nuevas_columnas[[#This Row],[ROAS]]</f>
        <v>9.5786993523799726</v>
      </c>
      <c r="T1062" t="str">
        <f>_xlfn.CONCAT(C1062,"-",D1062)</f>
        <v>Affiliate-España</v>
      </c>
      <c r="U1062">
        <f>YEAR(A1062)</f>
        <v>2025</v>
      </c>
      <c r="V1062">
        <f>MONTH(A1062)</f>
        <v>9</v>
      </c>
      <c r="W1062" t="str">
        <f>PROPER(TEXT(A1062,"mmmm"))</f>
        <v>Septiembre</v>
      </c>
      <c r="X1062" t="str">
        <f>PROPER(TEXT(A1062,"dddd"))</f>
        <v>Viernes</v>
      </c>
      <c r="Y1062" t="str" cm="1">
        <f t="array" ref="Y1062">_xlfn.IFS(R1062&gt;10,"Excelente",R1062&gt;=5,"Bueno",R1062&gt;=2,"Débil",R1062&lt;2,"Deficiente")</f>
        <v>Bueno</v>
      </c>
      <c r="Z1062" t="str">
        <f>IF(AND(R1062&lt;2,Q1062&gt;=100),"Revisar","OK")</f>
        <v>OK</v>
      </c>
      <c r="AA1062" s="55">
        <f>_xlfn.XLOOKUP(C1062,'Preguntas de negocio'!$C$114:$C$119,'Preguntas de negocio'!$D$114:$D$119,0)</f>
        <v>4.5</v>
      </c>
      <c r="AB1062" s="55">
        <f>VLOOKUP(C1062,'Preguntas de negocio'!$C$121:$D$127,2,FALSE)</f>
        <v>0.35</v>
      </c>
    </row>
    <row r="1063" spans="1:28" x14ac:dyDescent="0.3">
      <c r="A1063" s="1">
        <v>45758</v>
      </c>
      <c r="B1063" s="2" t="s">
        <v>2633</v>
      </c>
      <c r="C1063" s="2" t="s">
        <v>2543</v>
      </c>
      <c r="D1063" s="2" t="s">
        <v>2522</v>
      </c>
      <c r="E1063" s="2" t="s">
        <v>2529</v>
      </c>
      <c r="F1063" s="3">
        <v>144686</v>
      </c>
      <c r="G1063" s="3">
        <v>12540</v>
      </c>
      <c r="H1063" s="3">
        <v>935</v>
      </c>
      <c r="I1063" s="4">
        <v>11842.52</v>
      </c>
      <c r="J1063" s="4">
        <v>39892.870000000003</v>
      </c>
      <c r="K1063" s="3">
        <v>717</v>
      </c>
      <c r="L1063" s="2" t="s">
        <v>2536</v>
      </c>
      <c r="M1063" s="2" t="s">
        <v>2546</v>
      </c>
      <c r="N1063" s="8">
        <f>IFERROR(G1063/F1063,0)</f>
        <v>8.6670444963576301E-2</v>
      </c>
      <c r="O1063" s="8">
        <f>IFERROR(H1063/G1063,0)</f>
        <v>7.4561403508771926E-2</v>
      </c>
      <c r="P1063" s="4">
        <f>IFERROR(I1063/G1063,0)</f>
        <v>0.94437958532695376</v>
      </c>
      <c r="Q1063" s="4">
        <f>IFERROR(I1063/H1063,0)</f>
        <v>12.665796791443851</v>
      </c>
      <c r="R1063" s="12">
        <f>IFERROR(J1063/I1063,0)</f>
        <v>3.3686132681219876</v>
      </c>
      <c r="S1063" s="7">
        <f>Tabla_nuevas_columnas[[#This Row],[ROAS]]</f>
        <v>3.3686132681219876</v>
      </c>
      <c r="T1063" t="str">
        <f>_xlfn.CONCAT(C1063,"-",D1063)</f>
        <v>Organic Social-Italia</v>
      </c>
      <c r="U1063">
        <f>YEAR(A1063)</f>
        <v>2025</v>
      </c>
      <c r="V1063">
        <f>MONTH(A1063)</f>
        <v>4</v>
      </c>
      <c r="W1063" t="str">
        <f>PROPER(TEXT(A1063,"mmmm"))</f>
        <v>Abril</v>
      </c>
      <c r="X1063" t="str">
        <f>PROPER(TEXT(A1063,"dddd"))</f>
        <v>Viernes</v>
      </c>
      <c r="Y1063" t="str" cm="1">
        <f t="array" ref="Y1063">_xlfn.IFS(R1063&gt;10,"Excelente",R1063&gt;=5,"Bueno",R1063&gt;=2,"Débil",R1063&lt;2,"Deficiente")</f>
        <v>Débil</v>
      </c>
      <c r="Z1063" t="str">
        <f>IF(AND(R1063&lt;2,Q1063&gt;=100),"Revisar","OK")</f>
        <v>OK</v>
      </c>
      <c r="AA1063" s="55">
        <f>_xlfn.XLOOKUP(C1063,'Preguntas de negocio'!$C$114:$C$119,'Preguntas de negocio'!$D$114:$D$119,0)</f>
        <v>4</v>
      </c>
      <c r="AB1063" s="55">
        <f>VLOOKUP(C1063,'Preguntas de negocio'!$C$121:$D$127,2,FALSE)</f>
        <v>0.95</v>
      </c>
    </row>
    <row r="1064" spans="1:28" x14ac:dyDescent="0.3">
      <c r="A1064" s="1">
        <v>45896</v>
      </c>
      <c r="B1064" s="2" t="s">
        <v>2636</v>
      </c>
      <c r="C1064" s="2" t="s">
        <v>2521</v>
      </c>
      <c r="D1064" s="2" t="s">
        <v>2531</v>
      </c>
      <c r="E1064" s="2" t="s">
        <v>2517</v>
      </c>
      <c r="F1064" s="3">
        <v>95829</v>
      </c>
      <c r="G1064" s="3">
        <v>943</v>
      </c>
      <c r="H1064" s="3">
        <v>69</v>
      </c>
      <c r="I1064" s="4">
        <v>1119.92</v>
      </c>
      <c r="J1064" s="4">
        <v>8834.7800000000007</v>
      </c>
      <c r="K1064" s="3">
        <v>42</v>
      </c>
      <c r="L1064" s="2" t="s">
        <v>2539</v>
      </c>
      <c r="M1064" s="2" t="s">
        <v>2524</v>
      </c>
      <c r="N1064" s="8">
        <f>IFERROR(G1064/F1064,0)</f>
        <v>9.8404449592503305E-3</v>
      </c>
      <c r="O1064" s="8">
        <f>IFERROR(H1064/G1064,0)</f>
        <v>7.3170731707317069E-2</v>
      </c>
      <c r="P1064" s="4">
        <f>IFERROR(I1064/G1064,0)</f>
        <v>1.1876139978791094</v>
      </c>
      <c r="Q1064" s="4">
        <f>IFERROR(I1064/H1064,0)</f>
        <v>16.23072463768116</v>
      </c>
      <c r="R1064" s="12">
        <f>IFERROR(J1064/I1064,0)</f>
        <v>7.8887599114222446</v>
      </c>
      <c r="S1064" s="7">
        <f>Tabla_nuevas_columnas[[#This Row],[ROAS]]</f>
        <v>7.8887599114222446</v>
      </c>
      <c r="T1064" t="str">
        <f>_xlfn.CONCAT(C1064,"-",D1064)</f>
        <v>Paid Search-Portugal</v>
      </c>
      <c r="U1064">
        <f>YEAR(A1064)</f>
        <v>2025</v>
      </c>
      <c r="V1064">
        <f>MONTH(A1064)</f>
        <v>8</v>
      </c>
      <c r="W1064" t="str">
        <f>PROPER(TEXT(A1064,"mmmm"))</f>
        <v>Agosto</v>
      </c>
      <c r="X1064" t="str">
        <f>PROPER(TEXT(A1064,"dddd"))</f>
        <v>Miércoles</v>
      </c>
      <c r="Y1064" t="str" cm="1">
        <f t="array" ref="Y1064">_xlfn.IFS(R1064&gt;10,"Excelente",R1064&gt;=5,"Bueno",R1064&gt;=2,"Débil",R1064&lt;2,"Deficiente")</f>
        <v>Bueno</v>
      </c>
      <c r="Z1064" t="str">
        <f>IF(AND(R1064&lt;2,Q1064&gt;=100),"Revisar","OK")</f>
        <v>OK</v>
      </c>
      <c r="AA1064" s="55">
        <f>_xlfn.XLOOKUP(C1064,'Preguntas de negocio'!$C$114:$C$119,'Preguntas de negocio'!$D$114:$D$119,0)</f>
        <v>5</v>
      </c>
      <c r="AB1064" s="55">
        <f>VLOOKUP(C1064,'Preguntas de negocio'!$C$121:$D$127,2,FALSE)</f>
        <v>1.1000000000000001</v>
      </c>
    </row>
    <row r="1065" spans="1:28" x14ac:dyDescent="0.3">
      <c r="A1065" s="1">
        <v>45729</v>
      </c>
      <c r="B1065" s="2" t="s">
        <v>2642</v>
      </c>
      <c r="C1065" s="2" t="s">
        <v>2515</v>
      </c>
      <c r="D1065" s="2" t="s">
        <v>2525</v>
      </c>
      <c r="E1065" s="2" t="s">
        <v>2517</v>
      </c>
      <c r="F1065" s="3">
        <v>97169</v>
      </c>
      <c r="G1065" s="3">
        <v>958</v>
      </c>
      <c r="H1065" s="3">
        <v>92</v>
      </c>
      <c r="I1065" s="4">
        <v>406.13</v>
      </c>
      <c r="J1065" s="4">
        <v>11926.35</v>
      </c>
      <c r="K1065" s="3">
        <v>46</v>
      </c>
      <c r="L1065" s="2" t="s">
        <v>2539</v>
      </c>
      <c r="M1065" s="2" t="s">
        <v>2519</v>
      </c>
      <c r="N1065" s="8">
        <f>IFERROR(G1065/F1065,0)</f>
        <v>9.8591114450081816E-3</v>
      </c>
      <c r="O1065" s="8">
        <f>IFERROR(H1065/G1065,0)</f>
        <v>9.6033402922755737E-2</v>
      </c>
      <c r="P1065" s="4">
        <f>IFERROR(I1065/G1065,0)</f>
        <v>0.42393528183716073</v>
      </c>
      <c r="Q1065" s="4">
        <f>IFERROR(I1065/H1065,0)</f>
        <v>4.4144565217391305</v>
      </c>
      <c r="R1065" s="12">
        <f>IFERROR(J1065/I1065,0)</f>
        <v>29.365843449141902</v>
      </c>
      <c r="S1065" s="7">
        <f>Tabla_nuevas_columnas[[#This Row],[ROAS]]</f>
        <v>29.365843449141902</v>
      </c>
      <c r="T1065" t="str">
        <f>_xlfn.CONCAT(C1065,"-",D1065)</f>
        <v>Email-Francia</v>
      </c>
      <c r="U1065">
        <f>YEAR(A1065)</f>
        <v>2025</v>
      </c>
      <c r="V1065">
        <f>MONTH(A1065)</f>
        <v>3</v>
      </c>
      <c r="W1065" t="str">
        <f>PROPER(TEXT(A1065,"mmmm"))</f>
        <v>Marzo</v>
      </c>
      <c r="X1065" t="str">
        <f>PROPER(TEXT(A1065,"dddd"))</f>
        <v>Jueves</v>
      </c>
      <c r="Y1065" t="str" cm="1">
        <f t="array" ref="Y1065">_xlfn.IFS(R1065&gt;10,"Excelente",R1065&gt;=5,"Bueno",R1065&gt;=2,"Débil",R1065&lt;2,"Deficiente")</f>
        <v>Excelente</v>
      </c>
      <c r="Z1065" t="str">
        <f>IF(AND(R1065&lt;2,Q1065&gt;=100),"Revisar","OK")</f>
        <v>OK</v>
      </c>
      <c r="AA1065" s="55">
        <f>_xlfn.XLOOKUP(C1065,'Preguntas de negocio'!$C$114:$C$119,'Preguntas de negocio'!$D$114:$D$119,0)</f>
        <v>5.5</v>
      </c>
      <c r="AB1065" s="55">
        <f>VLOOKUP(C1065,'Preguntas de negocio'!$C$121:$D$127,2,FALSE)</f>
        <v>0.65</v>
      </c>
    </row>
    <row r="1066" spans="1:28" x14ac:dyDescent="0.3">
      <c r="A1066" s="1">
        <v>45739</v>
      </c>
      <c r="B1066" s="2" t="s">
        <v>2619</v>
      </c>
      <c r="C1066" s="2" t="s">
        <v>2533</v>
      </c>
      <c r="D1066" s="2" t="s">
        <v>2525</v>
      </c>
      <c r="E1066" s="2" t="s">
        <v>2517</v>
      </c>
      <c r="F1066" s="3">
        <v>5485</v>
      </c>
      <c r="G1066" s="3">
        <v>216</v>
      </c>
      <c r="H1066" s="3">
        <v>19</v>
      </c>
      <c r="I1066" s="4">
        <v>157.79</v>
      </c>
      <c r="J1066" s="4">
        <v>1726.93</v>
      </c>
      <c r="K1066" s="3">
        <v>9</v>
      </c>
      <c r="L1066" s="2" t="s">
        <v>2539</v>
      </c>
      <c r="M1066" s="2" t="s">
        <v>2537</v>
      </c>
      <c r="N1066" s="8">
        <f>IFERROR(G1066/F1066,0)</f>
        <v>3.9380127620783953E-2</v>
      </c>
      <c r="O1066" s="8">
        <f>IFERROR(H1066/G1066,0)</f>
        <v>8.7962962962962965E-2</v>
      </c>
      <c r="P1066" s="4">
        <f>IFERROR(I1066/G1066,0)</f>
        <v>0.73050925925925925</v>
      </c>
      <c r="Q1066" s="4">
        <f>IFERROR(I1066/H1066,0)</f>
        <v>8.3047368421052621</v>
      </c>
      <c r="R1066" s="12">
        <f>IFERROR(J1066/I1066,0)</f>
        <v>10.944483173838647</v>
      </c>
      <c r="S1066" s="7">
        <f>Tabla_nuevas_columnas[[#This Row],[ROAS]]</f>
        <v>10.944483173838647</v>
      </c>
      <c r="T1066" t="str">
        <f>_xlfn.CONCAT(C1066,"-",D1066)</f>
        <v>Paid Social-Francia</v>
      </c>
      <c r="U1066">
        <f>YEAR(A1066)</f>
        <v>2025</v>
      </c>
      <c r="V1066">
        <f>MONTH(A1066)</f>
        <v>3</v>
      </c>
      <c r="W1066" t="str">
        <f>PROPER(TEXT(A1066,"mmmm"))</f>
        <v>Marzo</v>
      </c>
      <c r="X1066" t="str">
        <f>PROPER(TEXT(A1066,"dddd"))</f>
        <v>Domingo</v>
      </c>
      <c r="Y1066" t="str" cm="1">
        <f t="array" ref="Y1066">_xlfn.IFS(R1066&gt;10,"Excelente",R1066&gt;=5,"Bueno",R1066&gt;=2,"Débil",R1066&lt;2,"Deficiente")</f>
        <v>Excelente</v>
      </c>
      <c r="Z1066" t="str">
        <f>IF(AND(R1066&lt;2,Q1066&gt;=100),"Revisar","OK")</f>
        <v>OK</v>
      </c>
      <c r="AA1066" s="55">
        <f>_xlfn.XLOOKUP(C1066,'Preguntas de negocio'!$C$114:$C$119,'Preguntas de negocio'!$D$114:$D$119,0)</f>
        <v>6</v>
      </c>
      <c r="AB1066" s="55">
        <f>VLOOKUP(C1066,'Preguntas de negocio'!$C$121:$D$127,2,FALSE)</f>
        <v>0.8</v>
      </c>
    </row>
    <row r="1067" spans="1:28" x14ac:dyDescent="0.3">
      <c r="A1067" s="1">
        <v>45802</v>
      </c>
      <c r="B1067" s="2" t="s">
        <v>2642</v>
      </c>
      <c r="C1067" s="2" t="s">
        <v>2533</v>
      </c>
      <c r="D1067" s="2" t="s">
        <v>2531</v>
      </c>
      <c r="E1067" s="2" t="s">
        <v>2517</v>
      </c>
      <c r="F1067" s="3">
        <v>114156</v>
      </c>
      <c r="G1067" s="3">
        <v>2762</v>
      </c>
      <c r="H1067" s="3">
        <v>141</v>
      </c>
      <c r="I1067" s="4">
        <v>3471.55</v>
      </c>
      <c r="J1067" s="4">
        <v>23260.31</v>
      </c>
      <c r="K1067" s="3">
        <v>106</v>
      </c>
      <c r="L1067" s="2" t="s">
        <v>2539</v>
      </c>
      <c r="M1067" s="2" t="s">
        <v>2537</v>
      </c>
      <c r="N1067" s="8">
        <f>IFERROR(G1067/F1067,0)</f>
        <v>2.4194961281053997E-2</v>
      </c>
      <c r="O1067" s="8">
        <f>IFERROR(H1067/G1067,0)</f>
        <v>5.1049963794351921E-2</v>
      </c>
      <c r="P1067" s="4">
        <f>IFERROR(I1067/G1067,0)</f>
        <v>1.2568971759594498</v>
      </c>
      <c r="Q1067" s="4">
        <f>IFERROR(I1067/H1067,0)</f>
        <v>24.620921985815603</v>
      </c>
      <c r="R1067" s="12">
        <f>IFERROR(J1067/I1067,0)</f>
        <v>6.7002664515850272</v>
      </c>
      <c r="S1067" s="7">
        <f>Tabla_nuevas_columnas[[#This Row],[ROAS]]</f>
        <v>6.7002664515850272</v>
      </c>
      <c r="T1067" t="str">
        <f>_xlfn.CONCAT(C1067,"-",D1067)</f>
        <v>Paid Social-Portugal</v>
      </c>
      <c r="U1067">
        <f>YEAR(A1067)</f>
        <v>2025</v>
      </c>
      <c r="V1067">
        <f>MONTH(A1067)</f>
        <v>5</v>
      </c>
      <c r="W1067" t="str">
        <f>PROPER(TEXT(A1067,"mmmm"))</f>
        <v>Mayo</v>
      </c>
      <c r="X1067" t="str">
        <f>PROPER(TEXT(A1067,"dddd"))</f>
        <v>Domingo</v>
      </c>
      <c r="Y1067" t="str" cm="1">
        <f t="array" ref="Y1067">_xlfn.IFS(R1067&gt;10,"Excelente",R1067&gt;=5,"Bueno",R1067&gt;=2,"Débil",R1067&lt;2,"Deficiente")</f>
        <v>Bueno</v>
      </c>
      <c r="Z1067" t="str">
        <f>IF(AND(R1067&lt;2,Q1067&gt;=100),"Revisar","OK")</f>
        <v>OK</v>
      </c>
      <c r="AA1067" s="55">
        <f>_xlfn.XLOOKUP(C1067,'Preguntas de negocio'!$C$114:$C$119,'Preguntas de negocio'!$D$114:$D$119,0)</f>
        <v>6</v>
      </c>
      <c r="AB1067" s="55">
        <f>VLOOKUP(C1067,'Preguntas de negocio'!$C$121:$D$127,2,FALSE)</f>
        <v>0.8</v>
      </c>
    </row>
    <row r="1068" spans="1:28" x14ac:dyDescent="0.3">
      <c r="A1068" s="1">
        <v>45820</v>
      </c>
      <c r="B1068" s="2" t="s">
        <v>2636</v>
      </c>
      <c r="C1068" s="2" t="s">
        <v>2521</v>
      </c>
      <c r="D1068" s="2" t="s">
        <v>2528</v>
      </c>
      <c r="E1068" s="2" t="s">
        <v>2529</v>
      </c>
      <c r="F1068" s="3">
        <v>142601</v>
      </c>
      <c r="G1068" s="3">
        <v>12780</v>
      </c>
      <c r="H1068" s="3">
        <v>590</v>
      </c>
      <c r="I1068" s="4">
        <v>13766.92</v>
      </c>
      <c r="J1068" s="4">
        <v>104812.85</v>
      </c>
      <c r="K1068" s="3">
        <v>493</v>
      </c>
      <c r="L1068" s="2" t="s">
        <v>2518</v>
      </c>
      <c r="M1068" s="2" t="s">
        <v>2546</v>
      </c>
      <c r="N1068" s="8">
        <f>IFERROR(G1068/F1068,0)</f>
        <v>8.9620689896985295E-2</v>
      </c>
      <c r="O1068" s="8">
        <f>IFERROR(H1068/G1068,0)</f>
        <v>4.6165884194053208E-2</v>
      </c>
      <c r="P1068" s="4">
        <f>IFERROR(I1068/G1068,0)</f>
        <v>1.077223787167449</v>
      </c>
      <c r="Q1068" s="4">
        <f>IFERROR(I1068/H1068,0)</f>
        <v>23.333762711864406</v>
      </c>
      <c r="R1068" s="12">
        <f>IFERROR(J1068/I1068,0)</f>
        <v>7.6133841120599239</v>
      </c>
      <c r="S1068" s="7">
        <f>Tabla_nuevas_columnas[[#This Row],[ROAS]]</f>
        <v>7.6133841120599239</v>
      </c>
      <c r="T1068" t="str">
        <f>_xlfn.CONCAT(C1068,"-",D1068)</f>
        <v>Paid Search-España</v>
      </c>
      <c r="U1068">
        <f>YEAR(A1068)</f>
        <v>2025</v>
      </c>
      <c r="V1068">
        <f>MONTH(A1068)</f>
        <v>6</v>
      </c>
      <c r="W1068" t="str">
        <f>PROPER(TEXT(A1068,"mmmm"))</f>
        <v>Junio</v>
      </c>
      <c r="X1068" t="str">
        <f>PROPER(TEXT(A1068,"dddd"))</f>
        <v>Jueves</v>
      </c>
      <c r="Y1068" t="str" cm="1">
        <f t="array" ref="Y1068">_xlfn.IFS(R1068&gt;10,"Excelente",R1068&gt;=5,"Bueno",R1068&gt;=2,"Débil",R1068&lt;2,"Deficiente")</f>
        <v>Bueno</v>
      </c>
      <c r="Z1068" t="str">
        <f>IF(AND(R1068&lt;2,Q1068&gt;=100),"Revisar","OK")</f>
        <v>OK</v>
      </c>
      <c r="AA1068" s="55">
        <f>_xlfn.XLOOKUP(C1068,'Preguntas de negocio'!$C$114:$C$119,'Preguntas de negocio'!$D$114:$D$119,0)</f>
        <v>5</v>
      </c>
      <c r="AB1068" s="55">
        <f>VLOOKUP(C1068,'Preguntas de negocio'!$C$121:$D$127,2,FALSE)</f>
        <v>1.1000000000000001</v>
      </c>
    </row>
    <row r="1069" spans="1:28" x14ac:dyDescent="0.3">
      <c r="A1069" s="1">
        <v>45961</v>
      </c>
      <c r="B1069" s="2" t="s">
        <v>2620</v>
      </c>
      <c r="C1069" s="2" t="s">
        <v>2533</v>
      </c>
      <c r="D1069" s="2" t="s">
        <v>2525</v>
      </c>
      <c r="E1069" s="2" t="s">
        <v>2529</v>
      </c>
      <c r="F1069" s="3">
        <v>17021</v>
      </c>
      <c r="G1069" s="3">
        <v>638</v>
      </c>
      <c r="H1069" s="3">
        <v>66</v>
      </c>
      <c r="I1069" s="4">
        <v>619.58000000000004</v>
      </c>
      <c r="J1069" s="4">
        <v>10698.09</v>
      </c>
      <c r="K1069" s="3">
        <v>35</v>
      </c>
      <c r="L1069" s="2" t="s">
        <v>2523</v>
      </c>
      <c r="M1069" s="2" t="s">
        <v>2526</v>
      </c>
      <c r="N1069" s="8">
        <f>IFERROR(G1069/F1069,0)</f>
        <v>3.7483109100522882E-2</v>
      </c>
      <c r="O1069" s="8">
        <f>IFERROR(H1069/G1069,0)</f>
        <v>0.10344827586206896</v>
      </c>
      <c r="P1069" s="4">
        <f>IFERROR(I1069/G1069,0)</f>
        <v>0.9711285266457681</v>
      </c>
      <c r="Q1069" s="4">
        <f>IFERROR(I1069/H1069,0)</f>
        <v>9.3875757575757586</v>
      </c>
      <c r="R1069" s="12">
        <f>IFERROR(J1069/I1069,0)</f>
        <v>17.26668065463701</v>
      </c>
      <c r="S1069" s="7">
        <f>Tabla_nuevas_columnas[[#This Row],[ROAS]]</f>
        <v>17.26668065463701</v>
      </c>
      <c r="T1069" t="str">
        <f>_xlfn.CONCAT(C1069,"-",D1069)</f>
        <v>Paid Social-Francia</v>
      </c>
      <c r="U1069">
        <f>YEAR(A1069)</f>
        <v>2025</v>
      </c>
      <c r="V1069">
        <f>MONTH(A1069)</f>
        <v>10</v>
      </c>
      <c r="W1069" t="str">
        <f>PROPER(TEXT(A1069,"mmmm"))</f>
        <v>Octubre</v>
      </c>
      <c r="X1069" t="str">
        <f>PROPER(TEXT(A1069,"dddd"))</f>
        <v>Viernes</v>
      </c>
      <c r="Y1069" t="str" cm="1">
        <f t="array" ref="Y1069">_xlfn.IFS(R1069&gt;10,"Excelente",R1069&gt;=5,"Bueno",R1069&gt;=2,"Débil",R1069&lt;2,"Deficiente")</f>
        <v>Excelente</v>
      </c>
      <c r="Z1069" t="str">
        <f>IF(AND(R1069&lt;2,Q1069&gt;=100),"Revisar","OK")</f>
        <v>OK</v>
      </c>
      <c r="AA1069" s="55">
        <f>_xlfn.XLOOKUP(C1069,'Preguntas de negocio'!$C$114:$C$119,'Preguntas de negocio'!$D$114:$D$119,0)</f>
        <v>6</v>
      </c>
      <c r="AB1069" s="55">
        <f>VLOOKUP(C1069,'Preguntas de negocio'!$C$121:$D$127,2,FALSE)</f>
        <v>0.8</v>
      </c>
    </row>
    <row r="1070" spans="1:28" x14ac:dyDescent="0.3">
      <c r="A1070" s="1">
        <v>45658</v>
      </c>
      <c r="B1070" s="2" t="s">
        <v>2638</v>
      </c>
      <c r="C1070" s="2" t="s">
        <v>2527</v>
      </c>
      <c r="D1070" s="2" t="s">
        <v>2528</v>
      </c>
      <c r="E1070" s="2" t="s">
        <v>2534</v>
      </c>
      <c r="F1070" s="3">
        <v>41287</v>
      </c>
      <c r="G1070" s="3">
        <v>2407</v>
      </c>
      <c r="H1070" s="3">
        <v>190</v>
      </c>
      <c r="I1070" s="4">
        <v>4851.4399999999996</v>
      </c>
      <c r="J1070" s="4">
        <v>21327.06</v>
      </c>
      <c r="K1070" s="3">
        <v>147</v>
      </c>
      <c r="L1070" s="2" t="s">
        <v>2518</v>
      </c>
      <c r="M1070" s="2" t="s">
        <v>2537</v>
      </c>
      <c r="N1070" s="8">
        <f>IFERROR(G1070/F1070,0)</f>
        <v>5.8299222515561799E-2</v>
      </c>
      <c r="O1070" s="8">
        <f>IFERROR(H1070/G1070,0)</f>
        <v>7.8936435396759458E-2</v>
      </c>
      <c r="P1070" s="4">
        <f>IFERROR(I1070/G1070,0)</f>
        <v>2.015554632322393</v>
      </c>
      <c r="Q1070" s="4">
        <f>IFERROR(I1070/H1070,0)</f>
        <v>25.533894736842104</v>
      </c>
      <c r="R1070" s="12">
        <f>IFERROR(J1070/I1070,0)</f>
        <v>4.3960267466978884</v>
      </c>
      <c r="S1070" s="7">
        <f>Tabla_nuevas_columnas[[#This Row],[ROAS]]</f>
        <v>4.3960267466978884</v>
      </c>
      <c r="T1070" t="str">
        <f>_xlfn.CONCAT(C1070,"-",D1070)</f>
        <v>Affiliate-España</v>
      </c>
      <c r="U1070">
        <f>YEAR(A1070)</f>
        <v>2025</v>
      </c>
      <c r="V1070">
        <f>MONTH(A1070)</f>
        <v>1</v>
      </c>
      <c r="W1070" t="str">
        <f>PROPER(TEXT(A1070,"mmmm"))</f>
        <v>Enero</v>
      </c>
      <c r="X1070" t="str">
        <f>PROPER(TEXT(A1070,"dddd"))</f>
        <v>Miércoles</v>
      </c>
      <c r="Y1070" t="str" cm="1">
        <f t="array" ref="Y1070">_xlfn.IFS(R1070&gt;10,"Excelente",R1070&gt;=5,"Bueno",R1070&gt;=2,"Débil",R1070&lt;2,"Deficiente")</f>
        <v>Débil</v>
      </c>
      <c r="Z1070" t="str">
        <f>IF(AND(R1070&lt;2,Q1070&gt;=100),"Revisar","OK")</f>
        <v>OK</v>
      </c>
      <c r="AA1070" s="55">
        <f>_xlfn.XLOOKUP(C1070,'Preguntas de negocio'!$C$114:$C$119,'Preguntas de negocio'!$D$114:$D$119,0)</f>
        <v>4.5</v>
      </c>
      <c r="AB1070" s="55">
        <f>VLOOKUP(C1070,'Preguntas de negocio'!$C$121:$D$127,2,FALSE)</f>
        <v>0.35</v>
      </c>
    </row>
    <row r="1071" spans="1:28" x14ac:dyDescent="0.3">
      <c r="A1071" s="1">
        <v>45926</v>
      </c>
      <c r="B1071" s="2" t="s">
        <v>2632</v>
      </c>
      <c r="C1071" s="2" t="s">
        <v>2521</v>
      </c>
      <c r="D1071" s="2" t="s">
        <v>2528</v>
      </c>
      <c r="E1071" s="2" t="s">
        <v>2529</v>
      </c>
      <c r="F1071" s="3">
        <v>51078</v>
      </c>
      <c r="G1071" s="3">
        <v>2397</v>
      </c>
      <c r="H1071" s="3">
        <v>160</v>
      </c>
      <c r="I1071" s="4">
        <v>3264.04</v>
      </c>
      <c r="J1071" s="4">
        <v>27109.7</v>
      </c>
      <c r="K1071" s="3">
        <v>130</v>
      </c>
      <c r="L1071" s="2" t="s">
        <v>2539</v>
      </c>
      <c r="M1071" s="2" t="s">
        <v>2537</v>
      </c>
      <c r="N1071" s="8">
        <f>IFERROR(G1071/F1071,0)</f>
        <v>4.6928227416891816E-2</v>
      </c>
      <c r="O1071" s="8">
        <f>IFERROR(H1071/G1071,0)</f>
        <v>6.6750104297037968E-2</v>
      </c>
      <c r="P1071" s="4">
        <f>IFERROR(I1071/G1071,0)</f>
        <v>1.3617188151856487</v>
      </c>
      <c r="Q1071" s="4">
        <f>IFERROR(I1071/H1071,0)</f>
        <v>20.40025</v>
      </c>
      <c r="R1071" s="12">
        <f>IFERROR(J1071/I1071,0)</f>
        <v>8.3055661082584784</v>
      </c>
      <c r="S1071" s="7">
        <f>Tabla_nuevas_columnas[[#This Row],[ROAS]]</f>
        <v>8.3055661082584784</v>
      </c>
      <c r="T1071" t="str">
        <f>_xlfn.CONCAT(C1071,"-",D1071)</f>
        <v>Paid Search-España</v>
      </c>
      <c r="U1071">
        <f>YEAR(A1071)</f>
        <v>2025</v>
      </c>
      <c r="V1071">
        <f>MONTH(A1071)</f>
        <v>9</v>
      </c>
      <c r="W1071" t="str">
        <f>PROPER(TEXT(A1071,"mmmm"))</f>
        <v>Septiembre</v>
      </c>
      <c r="X1071" t="str">
        <f>PROPER(TEXT(A1071,"dddd"))</f>
        <v>Viernes</v>
      </c>
      <c r="Y1071" t="str" cm="1">
        <f t="array" ref="Y1071">_xlfn.IFS(R1071&gt;10,"Excelente",R1071&gt;=5,"Bueno",R1071&gt;=2,"Débil",R1071&lt;2,"Deficiente")</f>
        <v>Bueno</v>
      </c>
      <c r="Z1071" t="str">
        <f>IF(AND(R1071&lt;2,Q1071&gt;=100),"Revisar","OK")</f>
        <v>OK</v>
      </c>
      <c r="AA1071" s="55">
        <f>_xlfn.XLOOKUP(C1071,'Preguntas de negocio'!$C$114:$C$119,'Preguntas de negocio'!$D$114:$D$119,0)</f>
        <v>5</v>
      </c>
      <c r="AB1071" s="55">
        <f>VLOOKUP(C1071,'Preguntas de negocio'!$C$121:$D$127,2,FALSE)</f>
        <v>1.1000000000000001</v>
      </c>
    </row>
    <row r="1072" spans="1:28" x14ac:dyDescent="0.3">
      <c r="A1072" s="1">
        <v>45952</v>
      </c>
      <c r="B1072" s="2" t="s">
        <v>2640</v>
      </c>
      <c r="C1072" s="2" t="s">
        <v>2515</v>
      </c>
      <c r="D1072" s="2" t="s">
        <v>2525</v>
      </c>
      <c r="E1072" s="2" t="s">
        <v>2517</v>
      </c>
      <c r="F1072" s="3">
        <v>167623</v>
      </c>
      <c r="G1072" s="3">
        <v>14312</v>
      </c>
      <c r="H1072" s="3">
        <v>1404</v>
      </c>
      <c r="I1072" s="4">
        <v>13255.99</v>
      </c>
      <c r="J1072" s="4">
        <v>32852.46</v>
      </c>
      <c r="K1072" s="3">
        <v>1130</v>
      </c>
      <c r="L1072" s="2" t="s">
        <v>2536</v>
      </c>
      <c r="M1072" s="2" t="s">
        <v>2524</v>
      </c>
      <c r="N1072" s="8">
        <f>IFERROR(G1072/F1072,0)</f>
        <v>8.5382077638510231E-2</v>
      </c>
      <c r="O1072" s="8">
        <f>IFERROR(H1072/G1072,0)</f>
        <v>9.8099496925656796E-2</v>
      </c>
      <c r="P1072" s="4">
        <f>IFERROR(I1072/G1072,0)</f>
        <v>0.92621506428172162</v>
      </c>
      <c r="Q1072" s="4">
        <f>IFERROR(I1072/H1072,0)</f>
        <v>9.4415883190883196</v>
      </c>
      <c r="R1072" s="12">
        <f>IFERROR(J1072/I1072,0)</f>
        <v>2.4783105599808088</v>
      </c>
      <c r="S1072" s="7">
        <f>Tabla_nuevas_columnas[[#This Row],[ROAS]]</f>
        <v>2.4783105599808088</v>
      </c>
      <c r="T1072" t="str">
        <f>_xlfn.CONCAT(C1072,"-",D1072)</f>
        <v>Email-Francia</v>
      </c>
      <c r="U1072">
        <f>YEAR(A1072)</f>
        <v>2025</v>
      </c>
      <c r="V1072">
        <f>MONTH(A1072)</f>
        <v>10</v>
      </c>
      <c r="W1072" t="str">
        <f>PROPER(TEXT(A1072,"mmmm"))</f>
        <v>Octubre</v>
      </c>
      <c r="X1072" t="str">
        <f>PROPER(TEXT(A1072,"dddd"))</f>
        <v>Miércoles</v>
      </c>
      <c r="Y1072" t="str" cm="1">
        <f t="array" ref="Y1072">_xlfn.IFS(R1072&gt;10,"Excelente",R1072&gt;=5,"Bueno",R1072&gt;=2,"Débil",R1072&lt;2,"Deficiente")</f>
        <v>Débil</v>
      </c>
      <c r="Z1072" t="str">
        <f>IF(AND(R1072&lt;2,Q1072&gt;=100),"Revisar","OK")</f>
        <v>OK</v>
      </c>
      <c r="AA1072" s="55">
        <f>_xlfn.XLOOKUP(C1072,'Preguntas de negocio'!$C$114:$C$119,'Preguntas de negocio'!$D$114:$D$119,0)</f>
        <v>5.5</v>
      </c>
      <c r="AB1072" s="55">
        <f>VLOOKUP(C1072,'Preguntas de negocio'!$C$121:$D$127,2,FALSE)</f>
        <v>0.65</v>
      </c>
    </row>
    <row r="1073" spans="1:28" x14ac:dyDescent="0.3">
      <c r="A1073" s="1">
        <v>45750</v>
      </c>
      <c r="B1073" s="2" t="s">
        <v>2641</v>
      </c>
      <c r="C1073" s="2" t="s">
        <v>2515</v>
      </c>
      <c r="D1073" s="2" t="s">
        <v>2528</v>
      </c>
      <c r="E1073" s="2" t="s">
        <v>2517</v>
      </c>
      <c r="F1073" s="3">
        <v>70603</v>
      </c>
      <c r="G1073" s="3">
        <v>6342</v>
      </c>
      <c r="H1073" s="3">
        <v>825</v>
      </c>
      <c r="I1073" s="4">
        <v>868.44</v>
      </c>
      <c r="J1073" s="4">
        <v>176068.4</v>
      </c>
      <c r="K1073" s="3">
        <v>439</v>
      </c>
      <c r="L1073" s="2" t="s">
        <v>2539</v>
      </c>
      <c r="M1073" s="2" t="s">
        <v>2526</v>
      </c>
      <c r="N1073" s="8">
        <f>IFERROR(G1073/F1073,0)</f>
        <v>8.9826211350792454E-2</v>
      </c>
      <c r="O1073" s="8">
        <f>IFERROR(H1073/G1073,0)</f>
        <v>0.13008514664143803</v>
      </c>
      <c r="P1073" s="4">
        <f>IFERROR(I1073/G1073,0)</f>
        <v>0.13693472090823086</v>
      </c>
      <c r="Q1073" s="4">
        <f>IFERROR(I1073/H1073,0)</f>
        <v>1.0526545454545455</v>
      </c>
      <c r="R1073" s="12">
        <f>IFERROR(J1073/I1073,0)</f>
        <v>202.74100686288054</v>
      </c>
      <c r="S1073" s="7">
        <f>Tabla_nuevas_columnas[[#This Row],[ROAS]]</f>
        <v>202.74100686288054</v>
      </c>
      <c r="T1073" t="str">
        <f>_xlfn.CONCAT(C1073,"-",D1073)</f>
        <v>Email-España</v>
      </c>
      <c r="U1073">
        <f>YEAR(A1073)</f>
        <v>2025</v>
      </c>
      <c r="V1073">
        <f>MONTH(A1073)</f>
        <v>4</v>
      </c>
      <c r="W1073" t="str">
        <f>PROPER(TEXT(A1073,"mmmm"))</f>
        <v>Abril</v>
      </c>
      <c r="X1073" t="str">
        <f>PROPER(TEXT(A1073,"dddd"))</f>
        <v>Jueves</v>
      </c>
      <c r="Y1073" t="str" cm="1">
        <f t="array" ref="Y1073">_xlfn.IFS(R1073&gt;10,"Excelente",R1073&gt;=5,"Bueno",R1073&gt;=2,"Débil",R1073&lt;2,"Deficiente")</f>
        <v>Excelente</v>
      </c>
      <c r="Z1073" t="str">
        <f>IF(AND(R1073&lt;2,Q1073&gt;=100),"Revisar","OK")</f>
        <v>OK</v>
      </c>
      <c r="AA1073" s="55">
        <f>_xlfn.XLOOKUP(C1073,'Preguntas de negocio'!$C$114:$C$119,'Preguntas de negocio'!$D$114:$D$119,0)</f>
        <v>5.5</v>
      </c>
      <c r="AB1073" s="55">
        <f>VLOOKUP(C1073,'Preguntas de negocio'!$C$121:$D$127,2,FALSE)</f>
        <v>0.65</v>
      </c>
    </row>
    <row r="1074" spans="1:28" x14ac:dyDescent="0.3">
      <c r="A1074" s="1">
        <v>45903</v>
      </c>
      <c r="B1074" s="2" t="s">
        <v>2616</v>
      </c>
      <c r="C1074" s="2" t="s">
        <v>2541</v>
      </c>
      <c r="D1074" s="2" t="s">
        <v>2522</v>
      </c>
      <c r="E1074" s="2" t="s">
        <v>2517</v>
      </c>
      <c r="F1074" s="3">
        <v>133096</v>
      </c>
      <c r="G1074" s="3">
        <v>10617</v>
      </c>
      <c r="H1074" s="3">
        <v>1139</v>
      </c>
      <c r="I1074" s="4">
        <v>20580.93</v>
      </c>
      <c r="J1074" s="4">
        <v>76496.22</v>
      </c>
      <c r="K1074" s="3">
        <v>731</v>
      </c>
      <c r="L1074" s="2" t="s">
        <v>2518</v>
      </c>
      <c r="M1074" s="2" t="s">
        <v>2546</v>
      </c>
      <c r="N1074" s="8">
        <f>IFERROR(G1074/F1074,0)</f>
        <v>7.9769489691651138E-2</v>
      </c>
      <c r="O1074" s="8">
        <f>IFERROR(H1074/G1074,0)</f>
        <v>0.10728077611377979</v>
      </c>
      <c r="P1074" s="4">
        <f>IFERROR(I1074/G1074,0)</f>
        <v>1.9384882735235942</v>
      </c>
      <c r="Q1074" s="4">
        <f>IFERROR(I1074/H1074,0)</f>
        <v>18.069297629499562</v>
      </c>
      <c r="R1074" s="12">
        <f>IFERROR(J1074/I1074,0)</f>
        <v>3.7168495301232745</v>
      </c>
      <c r="S1074" s="7">
        <f>Tabla_nuevas_columnas[[#This Row],[ROAS]]</f>
        <v>3.7168495301232745</v>
      </c>
      <c r="T1074" t="str">
        <f>_xlfn.CONCAT(C1074,"-",D1074)</f>
        <v>Display-Italia</v>
      </c>
      <c r="U1074">
        <f>YEAR(A1074)</f>
        <v>2025</v>
      </c>
      <c r="V1074">
        <f>MONTH(A1074)</f>
        <v>9</v>
      </c>
      <c r="W1074" t="str">
        <f>PROPER(TEXT(A1074,"mmmm"))</f>
        <v>Septiembre</v>
      </c>
      <c r="X1074" t="str">
        <f>PROPER(TEXT(A1074,"dddd"))</f>
        <v>Miércoles</v>
      </c>
      <c r="Y1074" t="str" cm="1">
        <f t="array" ref="Y1074">_xlfn.IFS(R1074&gt;10,"Excelente",R1074&gt;=5,"Bueno",R1074&gt;=2,"Débil",R1074&lt;2,"Deficiente")</f>
        <v>Débil</v>
      </c>
      <c r="Z1074" t="str">
        <f>IF(AND(R1074&lt;2,Q1074&gt;=100),"Revisar","OK")</f>
        <v>OK</v>
      </c>
      <c r="AA1074" s="55">
        <f>_xlfn.XLOOKUP(C1074,'Preguntas de negocio'!$C$114:$C$119,'Preguntas de negocio'!$D$114:$D$119,0)</f>
        <v>5</v>
      </c>
      <c r="AB1074" s="55">
        <f>VLOOKUP(C1074,'Preguntas de negocio'!$C$121:$D$127,2,FALSE)</f>
        <v>0.5</v>
      </c>
    </row>
    <row r="1075" spans="1:28" x14ac:dyDescent="0.3">
      <c r="A1075" s="1">
        <v>45871</v>
      </c>
      <c r="B1075" s="2" t="s">
        <v>2638</v>
      </c>
      <c r="C1075" s="2" t="s">
        <v>2521</v>
      </c>
      <c r="D1075" s="2" t="s">
        <v>2531</v>
      </c>
      <c r="E1075" s="2" t="s">
        <v>2529</v>
      </c>
      <c r="F1075" s="3">
        <v>98564</v>
      </c>
      <c r="G1075" s="3">
        <v>7334</v>
      </c>
      <c r="H1075" s="3">
        <v>494</v>
      </c>
      <c r="I1075" s="4">
        <v>14958.13</v>
      </c>
      <c r="J1075" s="4">
        <v>52240.41</v>
      </c>
      <c r="K1075" s="3">
        <v>283</v>
      </c>
      <c r="L1075" s="2" t="s">
        <v>2539</v>
      </c>
      <c r="M1075" s="2" t="s">
        <v>2524</v>
      </c>
      <c r="N1075" s="8">
        <f>IFERROR(G1075/F1075,0)</f>
        <v>7.4408506148289436E-2</v>
      </c>
      <c r="O1075" s="8">
        <f>IFERROR(H1075/G1075,0)</f>
        <v>6.7357512953367879E-2</v>
      </c>
      <c r="P1075" s="4">
        <f>IFERROR(I1075/G1075,0)</f>
        <v>2.0395595854922277</v>
      </c>
      <c r="Q1075" s="4">
        <f>IFERROR(I1075/H1075,0)</f>
        <v>30.279615384615383</v>
      </c>
      <c r="R1075" s="12">
        <f>IFERROR(J1075/I1075,0)</f>
        <v>3.4924425713642018</v>
      </c>
      <c r="S1075" s="7">
        <f>Tabla_nuevas_columnas[[#This Row],[ROAS]]</f>
        <v>3.4924425713642018</v>
      </c>
      <c r="T1075" t="str">
        <f>_xlfn.CONCAT(C1075,"-",D1075)</f>
        <v>Paid Search-Portugal</v>
      </c>
      <c r="U1075">
        <f>YEAR(A1075)</f>
        <v>2025</v>
      </c>
      <c r="V1075">
        <f>MONTH(A1075)</f>
        <v>8</v>
      </c>
      <c r="W1075" t="str">
        <f>PROPER(TEXT(A1075,"mmmm"))</f>
        <v>Agosto</v>
      </c>
      <c r="X1075" t="str">
        <f>PROPER(TEXT(A1075,"dddd"))</f>
        <v>Sábado</v>
      </c>
      <c r="Y1075" t="str" cm="1">
        <f t="array" ref="Y1075">_xlfn.IFS(R1075&gt;10,"Excelente",R1075&gt;=5,"Bueno",R1075&gt;=2,"Débil",R1075&lt;2,"Deficiente")</f>
        <v>Débil</v>
      </c>
      <c r="Z1075" t="str">
        <f>IF(AND(R1075&lt;2,Q1075&gt;=100),"Revisar","OK")</f>
        <v>OK</v>
      </c>
      <c r="AA1075" s="55">
        <f>_xlfn.XLOOKUP(C1075,'Preguntas de negocio'!$C$114:$C$119,'Preguntas de negocio'!$D$114:$D$119,0)</f>
        <v>5</v>
      </c>
      <c r="AB1075" s="55">
        <f>VLOOKUP(C1075,'Preguntas de negocio'!$C$121:$D$127,2,FALSE)</f>
        <v>1.1000000000000001</v>
      </c>
    </row>
    <row r="1076" spans="1:28" x14ac:dyDescent="0.3">
      <c r="A1076" s="1">
        <v>45781</v>
      </c>
      <c r="B1076" s="2" t="s">
        <v>2640</v>
      </c>
      <c r="C1076" s="2" t="s">
        <v>2533</v>
      </c>
      <c r="D1076" s="2" t="s">
        <v>2528</v>
      </c>
      <c r="E1076" s="2" t="s">
        <v>2529</v>
      </c>
      <c r="F1076" s="3">
        <v>78349</v>
      </c>
      <c r="G1076" s="3">
        <v>6006</v>
      </c>
      <c r="H1076" s="3">
        <v>801</v>
      </c>
      <c r="I1076" s="4">
        <v>1219.1099999999999</v>
      </c>
      <c r="J1076" s="4">
        <v>131056.92</v>
      </c>
      <c r="K1076" s="3">
        <v>547</v>
      </c>
      <c r="L1076" s="2" t="s">
        <v>2536</v>
      </c>
      <c r="M1076" s="2" t="s">
        <v>2537</v>
      </c>
      <c r="N1076" s="8">
        <f>IFERROR(G1076/F1076,0)</f>
        <v>7.6657009023727171E-2</v>
      </c>
      <c r="O1076" s="8">
        <f>IFERROR(H1076/G1076,0)</f>
        <v>0.13336663336663337</v>
      </c>
      <c r="P1076" s="4">
        <f>IFERROR(I1076/G1076,0)</f>
        <v>0.20298201798201795</v>
      </c>
      <c r="Q1076" s="4">
        <f>IFERROR(I1076/H1076,0)</f>
        <v>1.5219850187265915</v>
      </c>
      <c r="R1076" s="12">
        <f>IFERROR(J1076/I1076,0)</f>
        <v>107.50212860201295</v>
      </c>
      <c r="S1076" s="7">
        <f>Tabla_nuevas_columnas[[#This Row],[ROAS]]</f>
        <v>107.50212860201295</v>
      </c>
      <c r="T1076" t="str">
        <f>_xlfn.CONCAT(C1076,"-",D1076)</f>
        <v>Paid Social-España</v>
      </c>
      <c r="U1076">
        <f>YEAR(A1076)</f>
        <v>2025</v>
      </c>
      <c r="V1076">
        <f>MONTH(A1076)</f>
        <v>5</v>
      </c>
      <c r="W1076" t="str">
        <f>PROPER(TEXT(A1076,"mmmm"))</f>
        <v>Mayo</v>
      </c>
      <c r="X1076" t="str">
        <f>PROPER(TEXT(A1076,"dddd"))</f>
        <v>Domingo</v>
      </c>
      <c r="Y1076" t="str" cm="1">
        <f t="array" ref="Y1076">_xlfn.IFS(R1076&gt;10,"Excelente",R1076&gt;=5,"Bueno",R1076&gt;=2,"Débil",R1076&lt;2,"Deficiente")</f>
        <v>Excelente</v>
      </c>
      <c r="Z1076" t="str">
        <f>IF(AND(R1076&lt;2,Q1076&gt;=100),"Revisar","OK")</f>
        <v>OK</v>
      </c>
      <c r="AA1076" s="55">
        <f>_xlfn.XLOOKUP(C1076,'Preguntas de negocio'!$C$114:$C$119,'Preguntas de negocio'!$D$114:$D$119,0)</f>
        <v>6</v>
      </c>
      <c r="AB1076" s="55">
        <f>VLOOKUP(C1076,'Preguntas de negocio'!$C$121:$D$127,2,FALSE)</f>
        <v>0.8</v>
      </c>
    </row>
    <row r="1077" spans="1:28" x14ac:dyDescent="0.3">
      <c r="A1077" s="1">
        <v>45772</v>
      </c>
      <c r="B1077" s="2" t="s">
        <v>2632</v>
      </c>
      <c r="C1077" s="2" t="s">
        <v>2527</v>
      </c>
      <c r="D1077" s="2" t="s">
        <v>2528</v>
      </c>
      <c r="E1077" s="2" t="s">
        <v>2529</v>
      </c>
      <c r="F1077" s="3">
        <v>86935</v>
      </c>
      <c r="G1077" s="3">
        <v>798</v>
      </c>
      <c r="H1077" s="3">
        <v>52</v>
      </c>
      <c r="I1077" s="4">
        <v>572.33000000000004</v>
      </c>
      <c r="J1077" s="4">
        <v>5109.24</v>
      </c>
      <c r="K1077" s="3">
        <v>28</v>
      </c>
      <c r="L1077" s="2" t="s">
        <v>2518</v>
      </c>
      <c r="M1077" s="2" t="s">
        <v>2524</v>
      </c>
      <c r="N1077" s="8">
        <f>IFERROR(G1077/F1077,0)</f>
        <v>9.1792718697877723E-3</v>
      </c>
      <c r="O1077" s="8">
        <f>IFERROR(H1077/G1077,0)</f>
        <v>6.5162907268170422E-2</v>
      </c>
      <c r="P1077" s="4">
        <f>IFERROR(I1077/G1077,0)</f>
        <v>0.71720551378446118</v>
      </c>
      <c r="Q1077" s="4">
        <f>IFERROR(I1077/H1077,0)</f>
        <v>11.006346153846154</v>
      </c>
      <c r="R1077" s="12">
        <f>IFERROR(J1077/I1077,0)</f>
        <v>8.9270875194380856</v>
      </c>
      <c r="S1077" s="7">
        <f>Tabla_nuevas_columnas[[#This Row],[ROAS]]</f>
        <v>8.9270875194380856</v>
      </c>
      <c r="T1077" t="str">
        <f>_xlfn.CONCAT(C1077,"-",D1077)</f>
        <v>Affiliate-España</v>
      </c>
      <c r="U1077">
        <f>YEAR(A1077)</f>
        <v>2025</v>
      </c>
      <c r="V1077">
        <f>MONTH(A1077)</f>
        <v>4</v>
      </c>
      <c r="W1077" t="str">
        <f>PROPER(TEXT(A1077,"mmmm"))</f>
        <v>Abril</v>
      </c>
      <c r="X1077" t="str">
        <f>PROPER(TEXT(A1077,"dddd"))</f>
        <v>Viernes</v>
      </c>
      <c r="Y1077" t="str" cm="1">
        <f t="array" ref="Y1077">_xlfn.IFS(R1077&gt;10,"Excelente",R1077&gt;=5,"Bueno",R1077&gt;=2,"Débil",R1077&lt;2,"Deficiente")</f>
        <v>Bueno</v>
      </c>
      <c r="Z1077" t="str">
        <f>IF(AND(R1077&lt;2,Q1077&gt;=100),"Revisar","OK")</f>
        <v>OK</v>
      </c>
      <c r="AA1077" s="55">
        <f>_xlfn.XLOOKUP(C1077,'Preguntas de negocio'!$C$114:$C$119,'Preguntas de negocio'!$D$114:$D$119,0)</f>
        <v>4.5</v>
      </c>
      <c r="AB1077" s="55">
        <f>VLOOKUP(C1077,'Preguntas de negocio'!$C$121:$D$127,2,FALSE)</f>
        <v>0.35</v>
      </c>
    </row>
    <row r="1078" spans="1:28" x14ac:dyDescent="0.3">
      <c r="A1078" s="1">
        <v>45899</v>
      </c>
      <c r="B1078" s="2" t="s">
        <v>2626</v>
      </c>
      <c r="C1078" s="2" t="s">
        <v>2541</v>
      </c>
      <c r="D1078" s="2" t="s">
        <v>2531</v>
      </c>
      <c r="E1078" s="2" t="s">
        <v>2529</v>
      </c>
      <c r="F1078" s="3">
        <v>94800</v>
      </c>
      <c r="G1078" s="3">
        <v>5840</v>
      </c>
      <c r="H1078" s="3">
        <v>747</v>
      </c>
      <c r="I1078" s="4">
        <v>8439.92</v>
      </c>
      <c r="J1078" s="4">
        <v>89848.06</v>
      </c>
      <c r="K1078" s="3">
        <v>606</v>
      </c>
      <c r="L1078" s="2" t="s">
        <v>2518</v>
      </c>
      <c r="M1078" s="2" t="s">
        <v>2537</v>
      </c>
      <c r="N1078" s="8">
        <f>IFERROR(G1078/F1078,0)</f>
        <v>6.160337552742616E-2</v>
      </c>
      <c r="O1078" s="8">
        <f>IFERROR(H1078/G1078,0)</f>
        <v>0.12791095890410958</v>
      </c>
      <c r="P1078" s="4">
        <f>IFERROR(I1078/G1078,0)</f>
        <v>1.4451917808219179</v>
      </c>
      <c r="Q1078" s="4">
        <f>IFERROR(I1078/H1078,0)</f>
        <v>11.298420348058903</v>
      </c>
      <c r="R1078" s="12">
        <f>IFERROR(J1078/I1078,0)</f>
        <v>10.645605645551143</v>
      </c>
      <c r="S1078" s="7">
        <f>Tabla_nuevas_columnas[[#This Row],[ROAS]]</f>
        <v>10.645605645551143</v>
      </c>
      <c r="T1078" t="str">
        <f>_xlfn.CONCAT(C1078,"-",D1078)</f>
        <v>Display-Portugal</v>
      </c>
      <c r="U1078">
        <f>YEAR(A1078)</f>
        <v>2025</v>
      </c>
      <c r="V1078">
        <f>MONTH(A1078)</f>
        <v>8</v>
      </c>
      <c r="W1078" t="str">
        <f>PROPER(TEXT(A1078,"mmmm"))</f>
        <v>Agosto</v>
      </c>
      <c r="X1078" t="str">
        <f>PROPER(TEXT(A1078,"dddd"))</f>
        <v>Sábado</v>
      </c>
      <c r="Y1078" t="str" cm="1">
        <f t="array" ref="Y1078">_xlfn.IFS(R1078&gt;10,"Excelente",R1078&gt;=5,"Bueno",R1078&gt;=2,"Débil",R1078&lt;2,"Deficiente")</f>
        <v>Excelente</v>
      </c>
      <c r="Z1078" t="str">
        <f>IF(AND(R1078&lt;2,Q1078&gt;=100),"Revisar","OK")</f>
        <v>OK</v>
      </c>
      <c r="AA1078" s="55">
        <f>_xlfn.XLOOKUP(C1078,'Preguntas de negocio'!$C$114:$C$119,'Preguntas de negocio'!$D$114:$D$119,0)</f>
        <v>5</v>
      </c>
      <c r="AB1078" s="55">
        <f>VLOOKUP(C1078,'Preguntas de negocio'!$C$121:$D$127,2,FALSE)</f>
        <v>0.5</v>
      </c>
    </row>
    <row r="1079" spans="1:28" x14ac:dyDescent="0.3">
      <c r="A1079" s="1">
        <v>45801</v>
      </c>
      <c r="B1079" s="2" t="s">
        <v>2619</v>
      </c>
      <c r="C1079" s="2" t="s">
        <v>2521</v>
      </c>
      <c r="D1079" s="2" t="s">
        <v>2522</v>
      </c>
      <c r="E1079" s="2" t="s">
        <v>2517</v>
      </c>
      <c r="F1079" s="3">
        <v>17014</v>
      </c>
      <c r="G1079" s="3">
        <v>229</v>
      </c>
      <c r="H1079" s="3">
        <v>26</v>
      </c>
      <c r="I1079" s="4">
        <v>83.48</v>
      </c>
      <c r="J1079" s="4">
        <v>3639.85</v>
      </c>
      <c r="K1079" s="3">
        <v>20</v>
      </c>
      <c r="L1079" s="2" t="s">
        <v>2536</v>
      </c>
      <c r="M1079" s="2" t="s">
        <v>2519</v>
      </c>
      <c r="N1079" s="8">
        <f>IFERROR(G1079/F1079,0)</f>
        <v>1.3459503937933466E-2</v>
      </c>
      <c r="O1079" s="8">
        <f>IFERROR(H1079/G1079,0)</f>
        <v>0.11353711790393013</v>
      </c>
      <c r="P1079" s="4">
        <f>IFERROR(I1079/G1079,0)</f>
        <v>0.36454148471615722</v>
      </c>
      <c r="Q1079" s="4">
        <f>IFERROR(I1079/H1079,0)</f>
        <v>3.2107692307692308</v>
      </c>
      <c r="R1079" s="12">
        <f>IFERROR(J1079/I1079,0)</f>
        <v>43.601461427886917</v>
      </c>
      <c r="S1079" s="7">
        <f>Tabla_nuevas_columnas[[#This Row],[ROAS]]</f>
        <v>43.601461427886917</v>
      </c>
      <c r="T1079" t="str">
        <f>_xlfn.CONCAT(C1079,"-",D1079)</f>
        <v>Paid Search-Italia</v>
      </c>
      <c r="U1079">
        <f>YEAR(A1079)</f>
        <v>2025</v>
      </c>
      <c r="V1079">
        <f>MONTH(A1079)</f>
        <v>5</v>
      </c>
      <c r="W1079" t="str">
        <f>PROPER(TEXT(A1079,"mmmm"))</f>
        <v>Mayo</v>
      </c>
      <c r="X1079" t="str">
        <f>PROPER(TEXT(A1079,"dddd"))</f>
        <v>Sábado</v>
      </c>
      <c r="Y1079" t="str" cm="1">
        <f t="array" ref="Y1079">_xlfn.IFS(R1079&gt;10,"Excelente",R1079&gt;=5,"Bueno",R1079&gt;=2,"Débil",R1079&lt;2,"Deficiente")</f>
        <v>Excelente</v>
      </c>
      <c r="Z1079" t="str">
        <f>IF(AND(R1079&lt;2,Q1079&gt;=100),"Revisar","OK")</f>
        <v>OK</v>
      </c>
      <c r="AA1079" s="55">
        <f>_xlfn.XLOOKUP(C1079,'Preguntas de negocio'!$C$114:$C$119,'Preguntas de negocio'!$D$114:$D$119,0)</f>
        <v>5</v>
      </c>
      <c r="AB1079" s="55">
        <f>VLOOKUP(C1079,'Preguntas de negocio'!$C$121:$D$127,2,FALSE)</f>
        <v>1.1000000000000001</v>
      </c>
    </row>
    <row r="1080" spans="1:28" x14ac:dyDescent="0.3">
      <c r="A1080" s="1">
        <v>46007</v>
      </c>
      <c r="B1080" s="2" t="s">
        <v>2625</v>
      </c>
      <c r="C1080" s="2" t="s">
        <v>2527</v>
      </c>
      <c r="D1080" s="2" t="s">
        <v>2525</v>
      </c>
      <c r="E1080" s="2" t="s">
        <v>2529</v>
      </c>
      <c r="F1080" s="3">
        <v>124073</v>
      </c>
      <c r="G1080" s="3">
        <v>8384</v>
      </c>
      <c r="H1080" s="3">
        <v>522</v>
      </c>
      <c r="I1080" s="4">
        <v>9807.1200000000008</v>
      </c>
      <c r="J1080" s="4">
        <v>44087.18</v>
      </c>
      <c r="K1080" s="3">
        <v>437</v>
      </c>
      <c r="L1080" s="2" t="s">
        <v>2523</v>
      </c>
      <c r="M1080" s="2" t="s">
        <v>2537</v>
      </c>
      <c r="N1080" s="8">
        <f>IFERROR(G1080/F1080,0)</f>
        <v>6.7573122274789843E-2</v>
      </c>
      <c r="O1080" s="8">
        <f>IFERROR(H1080/G1080,0)</f>
        <v>6.2261450381679392E-2</v>
      </c>
      <c r="P1080" s="4">
        <f>IFERROR(I1080/G1080,0)</f>
        <v>1.1697423664122137</v>
      </c>
      <c r="Q1080" s="4">
        <f>IFERROR(I1080/H1080,0)</f>
        <v>18.787586206896552</v>
      </c>
      <c r="R1080" s="12">
        <f>IFERROR(J1080/I1080,0)</f>
        <v>4.4954257722960458</v>
      </c>
      <c r="S1080" s="7">
        <f>Tabla_nuevas_columnas[[#This Row],[ROAS]]</f>
        <v>4.4954257722960458</v>
      </c>
      <c r="T1080" t="str">
        <f>_xlfn.CONCAT(C1080,"-",D1080)</f>
        <v>Affiliate-Francia</v>
      </c>
      <c r="U1080">
        <f>YEAR(A1080)</f>
        <v>2025</v>
      </c>
      <c r="V1080">
        <f>MONTH(A1080)</f>
        <v>12</v>
      </c>
      <c r="W1080" t="str">
        <f>PROPER(TEXT(A1080,"mmmm"))</f>
        <v>Diciembre</v>
      </c>
      <c r="X1080" t="str">
        <f>PROPER(TEXT(A1080,"dddd"))</f>
        <v>Martes</v>
      </c>
      <c r="Y1080" t="str" cm="1">
        <f t="array" ref="Y1080">_xlfn.IFS(R1080&gt;10,"Excelente",R1080&gt;=5,"Bueno",R1080&gt;=2,"Débil",R1080&lt;2,"Deficiente")</f>
        <v>Débil</v>
      </c>
      <c r="Z1080" t="str">
        <f>IF(AND(R1080&lt;2,Q1080&gt;=100),"Revisar","OK")</f>
        <v>OK</v>
      </c>
      <c r="AA1080" s="55">
        <f>_xlfn.XLOOKUP(C1080,'Preguntas de negocio'!$C$114:$C$119,'Preguntas de negocio'!$D$114:$D$119,0)</f>
        <v>4.5</v>
      </c>
      <c r="AB1080" s="55">
        <f>VLOOKUP(C1080,'Preguntas de negocio'!$C$121:$D$127,2,FALSE)</f>
        <v>0.35</v>
      </c>
    </row>
    <row r="1081" spans="1:28" x14ac:dyDescent="0.3">
      <c r="A1081" s="1">
        <v>45791</v>
      </c>
      <c r="B1081" s="2" t="s">
        <v>2617</v>
      </c>
      <c r="C1081" s="2" t="s">
        <v>2541</v>
      </c>
      <c r="D1081" s="2" t="s">
        <v>2522</v>
      </c>
      <c r="E1081" s="2" t="s">
        <v>2529</v>
      </c>
      <c r="F1081" s="3">
        <v>20323</v>
      </c>
      <c r="G1081" s="3">
        <v>1234</v>
      </c>
      <c r="H1081" s="3">
        <v>147</v>
      </c>
      <c r="I1081" s="4">
        <v>1120.03</v>
      </c>
      <c r="J1081" s="4">
        <v>20864.39</v>
      </c>
      <c r="K1081" s="3">
        <v>121</v>
      </c>
      <c r="L1081" s="2" t="s">
        <v>2536</v>
      </c>
      <c r="M1081" s="2" t="s">
        <v>2537</v>
      </c>
      <c r="N1081" s="8">
        <f>IFERROR(G1081/F1081,0)</f>
        <v>6.0719381981006744E-2</v>
      </c>
      <c r="O1081" s="8">
        <f>IFERROR(H1081/G1081,0)</f>
        <v>0.11912479740680713</v>
      </c>
      <c r="P1081" s="4">
        <f>IFERROR(I1081/G1081,0)</f>
        <v>0.90764181523500809</v>
      </c>
      <c r="Q1081" s="4">
        <f>IFERROR(I1081/H1081,0)</f>
        <v>7.6192517006802722</v>
      </c>
      <c r="R1081" s="12">
        <f>IFERROR(J1081/I1081,0)</f>
        <v>18.628420667303555</v>
      </c>
      <c r="S1081" s="7">
        <f>Tabla_nuevas_columnas[[#This Row],[ROAS]]</f>
        <v>18.628420667303555</v>
      </c>
      <c r="T1081" t="str">
        <f>_xlfn.CONCAT(C1081,"-",D1081)</f>
        <v>Display-Italia</v>
      </c>
      <c r="U1081">
        <f>YEAR(A1081)</f>
        <v>2025</v>
      </c>
      <c r="V1081">
        <f>MONTH(A1081)</f>
        <v>5</v>
      </c>
      <c r="W1081" t="str">
        <f>PROPER(TEXT(A1081,"mmmm"))</f>
        <v>Mayo</v>
      </c>
      <c r="X1081" t="str">
        <f>PROPER(TEXT(A1081,"dddd"))</f>
        <v>Miércoles</v>
      </c>
      <c r="Y1081" t="str" cm="1">
        <f t="array" ref="Y1081">_xlfn.IFS(R1081&gt;10,"Excelente",R1081&gt;=5,"Bueno",R1081&gt;=2,"Débil",R1081&lt;2,"Deficiente")</f>
        <v>Excelente</v>
      </c>
      <c r="Z1081" t="str">
        <f>IF(AND(R1081&lt;2,Q1081&gt;=100),"Revisar","OK")</f>
        <v>OK</v>
      </c>
      <c r="AA1081" s="55">
        <f>_xlfn.XLOOKUP(C1081,'Preguntas de negocio'!$C$114:$C$119,'Preguntas de negocio'!$D$114:$D$119,0)</f>
        <v>5</v>
      </c>
      <c r="AB1081" s="55">
        <f>VLOOKUP(C1081,'Preguntas de negocio'!$C$121:$D$127,2,FALSE)</f>
        <v>0.5</v>
      </c>
    </row>
    <row r="1082" spans="1:28" x14ac:dyDescent="0.3">
      <c r="A1082" s="1">
        <v>45735</v>
      </c>
      <c r="B1082" s="2" t="s">
        <v>2633</v>
      </c>
      <c r="C1082" s="2" t="s">
        <v>2521</v>
      </c>
      <c r="D1082" s="2" t="s">
        <v>2528</v>
      </c>
      <c r="E1082" s="2" t="s">
        <v>2529</v>
      </c>
      <c r="F1082" s="3">
        <v>168419</v>
      </c>
      <c r="G1082" s="3">
        <v>11813</v>
      </c>
      <c r="H1082" s="3">
        <v>227</v>
      </c>
      <c r="I1082" s="4">
        <v>22459.919999999998</v>
      </c>
      <c r="J1082" s="4">
        <v>27768.49</v>
      </c>
      <c r="K1082" s="3">
        <v>141</v>
      </c>
      <c r="L1082" s="2" t="s">
        <v>2518</v>
      </c>
      <c r="M1082" s="2" t="s">
        <v>2519</v>
      </c>
      <c r="N1082" s="8">
        <f>IFERROR(G1082/F1082,0)</f>
        <v>7.014054233785974E-2</v>
      </c>
      <c r="O1082" s="8">
        <f>IFERROR(H1082/G1082,0)</f>
        <v>1.9216117836282062E-2</v>
      </c>
      <c r="P1082" s="4">
        <f>IFERROR(I1082/G1082,0)</f>
        <v>1.901288411072547</v>
      </c>
      <c r="Q1082" s="4">
        <f>IFERROR(I1082/H1082,0)</f>
        <v>98.942378854625545</v>
      </c>
      <c r="R1082" s="12">
        <f>IFERROR(J1082/I1082,0)</f>
        <v>1.2363574758948386</v>
      </c>
      <c r="S1082" s="7">
        <f>Tabla_nuevas_columnas[[#This Row],[ROAS]]</f>
        <v>1.2363574758948386</v>
      </c>
      <c r="T1082" t="str">
        <f>_xlfn.CONCAT(C1082,"-",D1082)</f>
        <v>Paid Search-España</v>
      </c>
      <c r="U1082">
        <f>YEAR(A1082)</f>
        <v>2025</v>
      </c>
      <c r="V1082">
        <f>MONTH(A1082)</f>
        <v>3</v>
      </c>
      <c r="W1082" t="str">
        <f>PROPER(TEXT(A1082,"mmmm"))</f>
        <v>Marzo</v>
      </c>
      <c r="X1082" t="str">
        <f>PROPER(TEXT(A1082,"dddd"))</f>
        <v>Miércoles</v>
      </c>
      <c r="Y1082" t="str" cm="1">
        <f t="array" ref="Y1082">_xlfn.IFS(R1082&gt;10,"Excelente",R1082&gt;=5,"Bueno",R1082&gt;=2,"Débil",R1082&lt;2,"Deficiente")</f>
        <v>Deficiente</v>
      </c>
      <c r="Z1082" t="str">
        <f>IF(AND(R1082&lt;2,Q1082&gt;=100),"Revisar","OK")</f>
        <v>OK</v>
      </c>
      <c r="AA1082" s="55">
        <f>_xlfn.XLOOKUP(C1082,'Preguntas de negocio'!$C$114:$C$119,'Preguntas de negocio'!$D$114:$D$119,0)</f>
        <v>5</v>
      </c>
      <c r="AB1082" s="55">
        <f>VLOOKUP(C1082,'Preguntas de negocio'!$C$121:$D$127,2,FALSE)</f>
        <v>1.1000000000000001</v>
      </c>
    </row>
    <row r="1083" spans="1:28" x14ac:dyDescent="0.3">
      <c r="A1083" s="1">
        <v>45677</v>
      </c>
      <c r="B1083" s="2" t="s">
        <v>2633</v>
      </c>
      <c r="C1083" s="2" t="s">
        <v>2527</v>
      </c>
      <c r="D1083" s="2" t="s">
        <v>2528</v>
      </c>
      <c r="E1083" s="2" t="s">
        <v>2517</v>
      </c>
      <c r="F1083" s="3">
        <v>172364</v>
      </c>
      <c r="G1083" s="3">
        <v>7896</v>
      </c>
      <c r="H1083" s="3">
        <v>745</v>
      </c>
      <c r="I1083" s="4">
        <v>3865.44</v>
      </c>
      <c r="J1083" s="4">
        <v>152652.1</v>
      </c>
      <c r="K1083" s="3">
        <v>474</v>
      </c>
      <c r="L1083" s="2" t="s">
        <v>2518</v>
      </c>
      <c r="M1083" s="2" t="s">
        <v>2537</v>
      </c>
      <c r="N1083" s="8">
        <f>IFERROR(G1083/F1083,0)</f>
        <v>4.5810029936645701E-2</v>
      </c>
      <c r="O1083" s="8">
        <f>IFERROR(H1083/G1083,0)</f>
        <v>9.4351570415400196E-2</v>
      </c>
      <c r="P1083" s="4">
        <f>IFERROR(I1083/G1083,0)</f>
        <v>0.4895440729483283</v>
      </c>
      <c r="Q1083" s="4">
        <f>IFERROR(I1083/H1083,0)</f>
        <v>5.1885100671140938</v>
      </c>
      <c r="R1083" s="12">
        <f>IFERROR(J1083/I1083,0)</f>
        <v>39.491519723498492</v>
      </c>
      <c r="S1083" s="7">
        <f>Tabla_nuevas_columnas[[#This Row],[ROAS]]</f>
        <v>39.491519723498492</v>
      </c>
      <c r="T1083" t="str">
        <f>_xlfn.CONCAT(C1083,"-",D1083)</f>
        <v>Affiliate-España</v>
      </c>
      <c r="U1083">
        <f>YEAR(A1083)</f>
        <v>2025</v>
      </c>
      <c r="V1083">
        <f>MONTH(A1083)</f>
        <v>1</v>
      </c>
      <c r="W1083" t="str">
        <f>PROPER(TEXT(A1083,"mmmm"))</f>
        <v>Enero</v>
      </c>
      <c r="X1083" t="str">
        <f>PROPER(TEXT(A1083,"dddd"))</f>
        <v>Lunes</v>
      </c>
      <c r="Y1083" t="str" cm="1">
        <f t="array" ref="Y1083">_xlfn.IFS(R1083&gt;10,"Excelente",R1083&gt;=5,"Bueno",R1083&gt;=2,"Débil",R1083&lt;2,"Deficiente")</f>
        <v>Excelente</v>
      </c>
      <c r="Z1083" t="str">
        <f>IF(AND(R1083&lt;2,Q1083&gt;=100),"Revisar","OK")</f>
        <v>OK</v>
      </c>
      <c r="AA1083" s="55">
        <f>_xlfn.XLOOKUP(C1083,'Preguntas de negocio'!$C$114:$C$119,'Preguntas de negocio'!$D$114:$D$119,0)</f>
        <v>4.5</v>
      </c>
      <c r="AB1083" s="55">
        <f>VLOOKUP(C1083,'Preguntas de negocio'!$C$121:$D$127,2,FALSE)</f>
        <v>0.35</v>
      </c>
    </row>
    <row r="1084" spans="1:28" x14ac:dyDescent="0.3">
      <c r="A1084" s="1">
        <v>45708</v>
      </c>
      <c r="B1084" s="2" t="s">
        <v>2628</v>
      </c>
      <c r="C1084" s="2" t="s">
        <v>2527</v>
      </c>
      <c r="D1084" s="2" t="s">
        <v>2528</v>
      </c>
      <c r="E1084" s="2" t="s">
        <v>2529</v>
      </c>
      <c r="F1084" s="3">
        <v>19329</v>
      </c>
      <c r="G1084" s="3">
        <v>1171</v>
      </c>
      <c r="H1084" s="3">
        <v>82</v>
      </c>
      <c r="I1084" s="4">
        <v>2019.65</v>
      </c>
      <c r="J1084" s="4">
        <v>9064.18</v>
      </c>
      <c r="K1084" s="3">
        <v>37</v>
      </c>
      <c r="L1084" s="2" t="s">
        <v>2536</v>
      </c>
      <c r="M1084" s="2" t="s">
        <v>2519</v>
      </c>
      <c r="N1084" s="8">
        <f>IFERROR(G1084/F1084,0)</f>
        <v>6.0582544363391798E-2</v>
      </c>
      <c r="O1084" s="8">
        <f>IFERROR(H1084/G1084,0)</f>
        <v>7.0025619128949612E-2</v>
      </c>
      <c r="P1084" s="4">
        <f>IFERROR(I1084/G1084,0)</f>
        <v>1.7247224594363793</v>
      </c>
      <c r="Q1084" s="4">
        <f>IFERROR(I1084/H1084,0)</f>
        <v>24.62987804878049</v>
      </c>
      <c r="R1084" s="12">
        <f>IFERROR(J1084/I1084,0)</f>
        <v>4.4879954447552795</v>
      </c>
      <c r="S1084" s="7">
        <f>Tabla_nuevas_columnas[[#This Row],[ROAS]]</f>
        <v>4.4879954447552795</v>
      </c>
      <c r="T1084" t="str">
        <f>_xlfn.CONCAT(C1084,"-",D1084)</f>
        <v>Affiliate-España</v>
      </c>
      <c r="U1084">
        <f>YEAR(A1084)</f>
        <v>2025</v>
      </c>
      <c r="V1084">
        <f>MONTH(A1084)</f>
        <v>2</v>
      </c>
      <c r="W1084" t="str">
        <f>PROPER(TEXT(A1084,"mmmm"))</f>
        <v>Febrero</v>
      </c>
      <c r="X1084" t="str">
        <f>PROPER(TEXT(A1084,"dddd"))</f>
        <v>Jueves</v>
      </c>
      <c r="Y1084" t="str" cm="1">
        <f t="array" ref="Y1084">_xlfn.IFS(R1084&gt;10,"Excelente",R1084&gt;=5,"Bueno",R1084&gt;=2,"Débil",R1084&lt;2,"Deficiente")</f>
        <v>Débil</v>
      </c>
      <c r="Z1084" t="str">
        <f>IF(AND(R1084&lt;2,Q1084&gt;=100),"Revisar","OK")</f>
        <v>OK</v>
      </c>
      <c r="AA1084" s="55">
        <f>_xlfn.XLOOKUP(C1084,'Preguntas de negocio'!$C$114:$C$119,'Preguntas de negocio'!$D$114:$D$119,0)</f>
        <v>4.5</v>
      </c>
      <c r="AB1084" s="55">
        <f>VLOOKUP(C1084,'Preguntas de negocio'!$C$121:$D$127,2,FALSE)</f>
        <v>0.35</v>
      </c>
    </row>
    <row r="1085" spans="1:28" x14ac:dyDescent="0.3">
      <c r="A1085" s="1">
        <v>46006</v>
      </c>
      <c r="B1085" s="2" t="s">
        <v>2621</v>
      </c>
      <c r="C1085" s="2" t="s">
        <v>2543</v>
      </c>
      <c r="D1085" s="2" t="s">
        <v>2516</v>
      </c>
      <c r="E1085" s="2" t="s">
        <v>2529</v>
      </c>
      <c r="F1085" s="3">
        <v>163068</v>
      </c>
      <c r="G1085" s="3">
        <v>4623</v>
      </c>
      <c r="H1085" s="3">
        <v>595</v>
      </c>
      <c r="I1085" s="4">
        <v>6407.64</v>
      </c>
      <c r="J1085" s="4">
        <v>38969.129999999997</v>
      </c>
      <c r="K1085" s="3">
        <v>376</v>
      </c>
      <c r="L1085" s="2" t="s">
        <v>2539</v>
      </c>
      <c r="M1085" s="2" t="s">
        <v>2546</v>
      </c>
      <c r="N1085" s="8">
        <f>IFERROR(G1085/F1085,0)</f>
        <v>2.8350136139524616E-2</v>
      </c>
      <c r="O1085" s="8">
        <f>IFERROR(H1085/G1085,0)</f>
        <v>0.12870430456413584</v>
      </c>
      <c r="P1085" s="4">
        <f>IFERROR(I1085/G1085,0)</f>
        <v>1.3860350421804024</v>
      </c>
      <c r="Q1085" s="4">
        <f>IFERROR(I1085/H1085,0)</f>
        <v>10.769142857142858</v>
      </c>
      <c r="R1085" s="12">
        <f>IFERROR(J1085/I1085,0)</f>
        <v>6.0816665730284463</v>
      </c>
      <c r="S1085" s="7">
        <f>Tabla_nuevas_columnas[[#This Row],[ROAS]]</f>
        <v>6.0816665730284463</v>
      </c>
      <c r="T1085" t="str">
        <f>_xlfn.CONCAT(C1085,"-",D1085)</f>
        <v>Organic Social-México</v>
      </c>
      <c r="U1085">
        <f>YEAR(A1085)</f>
        <v>2025</v>
      </c>
      <c r="V1085">
        <f>MONTH(A1085)</f>
        <v>12</v>
      </c>
      <c r="W1085" t="str">
        <f>PROPER(TEXT(A1085,"mmmm"))</f>
        <v>Diciembre</v>
      </c>
      <c r="X1085" t="str">
        <f>PROPER(TEXT(A1085,"dddd"))</f>
        <v>Lunes</v>
      </c>
      <c r="Y1085" t="str" cm="1">
        <f t="array" ref="Y1085">_xlfn.IFS(R1085&gt;10,"Excelente",R1085&gt;=5,"Bueno",R1085&gt;=2,"Débil",R1085&lt;2,"Deficiente")</f>
        <v>Bueno</v>
      </c>
      <c r="Z1085" t="str">
        <f>IF(AND(R1085&lt;2,Q1085&gt;=100),"Revisar","OK")</f>
        <v>OK</v>
      </c>
      <c r="AA1085" s="55">
        <f>_xlfn.XLOOKUP(C1085,'Preguntas de negocio'!$C$114:$C$119,'Preguntas de negocio'!$D$114:$D$119,0)</f>
        <v>4</v>
      </c>
      <c r="AB1085" s="55">
        <f>VLOOKUP(C1085,'Preguntas de negocio'!$C$121:$D$127,2,FALSE)</f>
        <v>0.95</v>
      </c>
    </row>
    <row r="1086" spans="1:28" x14ac:dyDescent="0.3">
      <c r="A1086" s="1">
        <v>45735</v>
      </c>
      <c r="B1086" s="2" t="s">
        <v>2643</v>
      </c>
      <c r="C1086" s="2" t="s">
        <v>2521</v>
      </c>
      <c r="D1086" s="2" t="s">
        <v>2516</v>
      </c>
      <c r="E1086" s="2" t="s">
        <v>2534</v>
      </c>
      <c r="F1086" s="3">
        <v>16454</v>
      </c>
      <c r="G1086" s="3">
        <v>409</v>
      </c>
      <c r="H1086" s="3">
        <v>30</v>
      </c>
      <c r="I1086" s="4">
        <v>177.86</v>
      </c>
      <c r="J1086" s="4">
        <v>2319.94</v>
      </c>
      <c r="K1086" s="3">
        <v>16</v>
      </c>
      <c r="L1086" s="2" t="s">
        <v>2536</v>
      </c>
      <c r="M1086" s="2" t="s">
        <v>2524</v>
      </c>
      <c r="N1086" s="8">
        <f>IFERROR(G1086/F1086,0)</f>
        <v>2.4857177585997325E-2</v>
      </c>
      <c r="O1086" s="8">
        <f>IFERROR(H1086/G1086,0)</f>
        <v>7.3349633251833746E-2</v>
      </c>
      <c r="P1086" s="4">
        <f>IFERROR(I1086/G1086,0)</f>
        <v>0.43486552567237169</v>
      </c>
      <c r="Q1086" s="4">
        <f>IFERROR(I1086/H1086,0)</f>
        <v>5.9286666666666674</v>
      </c>
      <c r="R1086" s="12">
        <f>IFERROR(J1086/I1086,0)</f>
        <v>13.043629821207691</v>
      </c>
      <c r="S1086" s="7">
        <f>Tabla_nuevas_columnas[[#This Row],[ROAS]]</f>
        <v>13.043629821207691</v>
      </c>
      <c r="T1086" t="str">
        <f>_xlfn.CONCAT(C1086,"-",D1086)</f>
        <v>Paid Search-México</v>
      </c>
      <c r="U1086">
        <f>YEAR(A1086)</f>
        <v>2025</v>
      </c>
      <c r="V1086">
        <f>MONTH(A1086)</f>
        <v>3</v>
      </c>
      <c r="W1086" t="str">
        <f>PROPER(TEXT(A1086,"mmmm"))</f>
        <v>Marzo</v>
      </c>
      <c r="X1086" t="str">
        <f>PROPER(TEXT(A1086,"dddd"))</f>
        <v>Miércoles</v>
      </c>
      <c r="Y1086" t="str" cm="1">
        <f t="array" ref="Y1086">_xlfn.IFS(R1086&gt;10,"Excelente",R1086&gt;=5,"Bueno",R1086&gt;=2,"Débil",R1086&lt;2,"Deficiente")</f>
        <v>Excelente</v>
      </c>
      <c r="Z1086" t="str">
        <f>IF(AND(R1086&lt;2,Q1086&gt;=100),"Revisar","OK")</f>
        <v>OK</v>
      </c>
      <c r="AA1086" s="55">
        <f>_xlfn.XLOOKUP(C1086,'Preguntas de negocio'!$C$114:$C$119,'Preguntas de negocio'!$D$114:$D$119,0)</f>
        <v>5</v>
      </c>
      <c r="AB1086" s="55">
        <f>VLOOKUP(C1086,'Preguntas de negocio'!$C$121:$D$127,2,FALSE)</f>
        <v>1.1000000000000001</v>
      </c>
    </row>
    <row r="1087" spans="1:28" x14ac:dyDescent="0.3">
      <c r="A1087" s="1">
        <v>46008</v>
      </c>
      <c r="B1087" s="2" t="s">
        <v>2634</v>
      </c>
      <c r="C1087" s="2" t="s">
        <v>2533</v>
      </c>
      <c r="D1087" s="2" t="s">
        <v>2528</v>
      </c>
      <c r="E1087" s="2" t="s">
        <v>2529</v>
      </c>
      <c r="F1087" s="3">
        <v>179844</v>
      </c>
      <c r="G1087" s="3">
        <v>8689</v>
      </c>
      <c r="H1087" s="3">
        <v>979</v>
      </c>
      <c r="I1087" s="4">
        <v>10451.719999999999</v>
      </c>
      <c r="J1087" s="4">
        <v>27464.99</v>
      </c>
      <c r="K1087" s="3">
        <v>652</v>
      </c>
      <c r="L1087" s="2" t="s">
        <v>2523</v>
      </c>
      <c r="M1087" s="2" t="s">
        <v>2526</v>
      </c>
      <c r="N1087" s="8">
        <f>IFERROR(G1087/F1087,0)</f>
        <v>4.8314094437401305E-2</v>
      </c>
      <c r="O1087" s="8">
        <f>IFERROR(H1087/G1087,0)</f>
        <v>0.1126711934629992</v>
      </c>
      <c r="P1087" s="4">
        <f>IFERROR(I1087/G1087,0)</f>
        <v>1.2028679940154217</v>
      </c>
      <c r="Q1087" s="4">
        <f>IFERROR(I1087/H1087,0)</f>
        <v>10.675914198161388</v>
      </c>
      <c r="R1087" s="12">
        <f>IFERROR(J1087/I1087,0)</f>
        <v>2.6277961904834806</v>
      </c>
      <c r="S1087" s="7">
        <f>Tabla_nuevas_columnas[[#This Row],[ROAS]]</f>
        <v>2.6277961904834806</v>
      </c>
      <c r="T1087" t="str">
        <f>_xlfn.CONCAT(C1087,"-",D1087)</f>
        <v>Paid Social-España</v>
      </c>
      <c r="U1087">
        <f>YEAR(A1087)</f>
        <v>2025</v>
      </c>
      <c r="V1087">
        <f>MONTH(A1087)</f>
        <v>12</v>
      </c>
      <c r="W1087" t="str">
        <f>PROPER(TEXT(A1087,"mmmm"))</f>
        <v>Diciembre</v>
      </c>
      <c r="X1087" t="str">
        <f>PROPER(TEXT(A1087,"dddd"))</f>
        <v>Miércoles</v>
      </c>
      <c r="Y1087" t="str" cm="1">
        <f t="array" ref="Y1087">_xlfn.IFS(R1087&gt;10,"Excelente",R1087&gt;=5,"Bueno",R1087&gt;=2,"Débil",R1087&lt;2,"Deficiente")</f>
        <v>Débil</v>
      </c>
      <c r="Z1087" t="str">
        <f>IF(AND(R1087&lt;2,Q1087&gt;=100),"Revisar","OK")</f>
        <v>OK</v>
      </c>
      <c r="AA1087" s="55">
        <f>_xlfn.XLOOKUP(C1087,'Preguntas de negocio'!$C$114:$C$119,'Preguntas de negocio'!$D$114:$D$119,0)</f>
        <v>6</v>
      </c>
      <c r="AB1087" s="55">
        <f>VLOOKUP(C1087,'Preguntas de negocio'!$C$121:$D$127,2,FALSE)</f>
        <v>0.8</v>
      </c>
    </row>
    <row r="1088" spans="1:28" x14ac:dyDescent="0.3">
      <c r="A1088" s="1">
        <v>46002</v>
      </c>
      <c r="B1088" s="2" t="s">
        <v>2644</v>
      </c>
      <c r="C1088" s="2" t="s">
        <v>2527</v>
      </c>
      <c r="D1088" s="2" t="s">
        <v>2525</v>
      </c>
      <c r="E1088" s="2" t="s">
        <v>2517</v>
      </c>
      <c r="F1088" s="3">
        <v>152204</v>
      </c>
      <c r="G1088" s="3">
        <v>5362</v>
      </c>
      <c r="H1088" s="3">
        <v>158</v>
      </c>
      <c r="I1088" s="4">
        <v>6820.84</v>
      </c>
      <c r="J1088" s="4">
        <v>14317.49</v>
      </c>
      <c r="K1088" s="3">
        <v>106</v>
      </c>
      <c r="L1088" s="2" t="s">
        <v>2523</v>
      </c>
      <c r="M1088" s="2" t="s">
        <v>2546</v>
      </c>
      <c r="N1088" s="8">
        <f>IFERROR(G1088/F1088,0)</f>
        <v>3.5229034716564613E-2</v>
      </c>
      <c r="O1088" s="8">
        <f>IFERROR(H1088/G1088,0)</f>
        <v>2.946661693397986E-2</v>
      </c>
      <c r="P1088" s="4">
        <f>IFERROR(I1088/G1088,0)</f>
        <v>1.2720701230884</v>
      </c>
      <c r="Q1088" s="4">
        <f>IFERROR(I1088/H1088,0)</f>
        <v>43.169873417721519</v>
      </c>
      <c r="R1088" s="12">
        <f>IFERROR(J1088/I1088,0)</f>
        <v>2.0990801719436316</v>
      </c>
      <c r="S1088" s="7">
        <f>Tabla_nuevas_columnas[[#This Row],[ROAS]]</f>
        <v>2.0990801719436316</v>
      </c>
      <c r="T1088" t="str">
        <f>_xlfn.CONCAT(C1088,"-",D1088)</f>
        <v>Affiliate-Francia</v>
      </c>
      <c r="U1088">
        <f>YEAR(A1088)</f>
        <v>2025</v>
      </c>
      <c r="V1088">
        <f>MONTH(A1088)</f>
        <v>12</v>
      </c>
      <c r="W1088" t="str">
        <f>PROPER(TEXT(A1088,"mmmm"))</f>
        <v>Diciembre</v>
      </c>
      <c r="X1088" t="str">
        <f>PROPER(TEXT(A1088,"dddd"))</f>
        <v>Jueves</v>
      </c>
      <c r="Y1088" t="str" cm="1">
        <f t="array" ref="Y1088">_xlfn.IFS(R1088&gt;10,"Excelente",R1088&gt;=5,"Bueno",R1088&gt;=2,"Débil",R1088&lt;2,"Deficiente")</f>
        <v>Débil</v>
      </c>
      <c r="Z1088" t="str">
        <f>IF(AND(R1088&lt;2,Q1088&gt;=100),"Revisar","OK")</f>
        <v>OK</v>
      </c>
      <c r="AA1088" s="55">
        <f>_xlfn.XLOOKUP(C1088,'Preguntas de negocio'!$C$114:$C$119,'Preguntas de negocio'!$D$114:$D$119,0)</f>
        <v>4.5</v>
      </c>
      <c r="AB1088" s="55">
        <f>VLOOKUP(C1088,'Preguntas de negocio'!$C$121:$D$127,2,FALSE)</f>
        <v>0.35</v>
      </c>
    </row>
    <row r="1089" spans="1:28" x14ac:dyDescent="0.3">
      <c r="A1089" s="1">
        <v>45938</v>
      </c>
      <c r="B1089" s="2" t="s">
        <v>2639</v>
      </c>
      <c r="C1089" s="2" t="s">
        <v>2541</v>
      </c>
      <c r="D1089" s="2" t="s">
        <v>2525</v>
      </c>
      <c r="E1089" s="2" t="s">
        <v>2534</v>
      </c>
      <c r="F1089" s="3">
        <v>51205</v>
      </c>
      <c r="G1089" s="3">
        <v>673</v>
      </c>
      <c r="H1089" s="3">
        <v>47</v>
      </c>
      <c r="I1089" s="4">
        <v>1200.73</v>
      </c>
      <c r="J1089" s="4">
        <v>9597.81</v>
      </c>
      <c r="K1089" s="3">
        <v>41</v>
      </c>
      <c r="L1089" s="2" t="s">
        <v>2523</v>
      </c>
      <c r="M1089" s="2" t="s">
        <v>2524</v>
      </c>
      <c r="N1089" s="8">
        <f>IFERROR(G1089/F1089,0)</f>
        <v>1.3143247729713895E-2</v>
      </c>
      <c r="O1089" s="8">
        <f>IFERROR(H1089/G1089,0)</f>
        <v>6.9836552748885589E-2</v>
      </c>
      <c r="P1089" s="4">
        <f>IFERROR(I1089/G1089,0)</f>
        <v>1.7841456166419019</v>
      </c>
      <c r="Q1089" s="4">
        <f>IFERROR(I1089/H1089,0)</f>
        <v>25.547446808510639</v>
      </c>
      <c r="R1089" s="12">
        <f>IFERROR(J1089/I1089,0)</f>
        <v>7.9933124016223456</v>
      </c>
      <c r="S1089" s="7">
        <f>Tabla_nuevas_columnas[[#This Row],[ROAS]]</f>
        <v>7.9933124016223456</v>
      </c>
      <c r="T1089" t="str">
        <f>_xlfn.CONCAT(C1089,"-",D1089)</f>
        <v>Display-Francia</v>
      </c>
      <c r="U1089">
        <f>YEAR(A1089)</f>
        <v>2025</v>
      </c>
      <c r="V1089">
        <f>MONTH(A1089)</f>
        <v>10</v>
      </c>
      <c r="W1089" t="str">
        <f>PROPER(TEXT(A1089,"mmmm"))</f>
        <v>Octubre</v>
      </c>
      <c r="X1089" t="str">
        <f>PROPER(TEXT(A1089,"dddd"))</f>
        <v>Miércoles</v>
      </c>
      <c r="Y1089" t="str" cm="1">
        <f t="array" ref="Y1089">_xlfn.IFS(R1089&gt;10,"Excelente",R1089&gt;=5,"Bueno",R1089&gt;=2,"Débil",R1089&lt;2,"Deficiente")</f>
        <v>Bueno</v>
      </c>
      <c r="Z1089" t="str">
        <f>IF(AND(R1089&lt;2,Q1089&gt;=100),"Revisar","OK")</f>
        <v>OK</v>
      </c>
      <c r="AA1089" s="55">
        <f>_xlfn.XLOOKUP(C1089,'Preguntas de negocio'!$C$114:$C$119,'Preguntas de negocio'!$D$114:$D$119,0)</f>
        <v>5</v>
      </c>
      <c r="AB1089" s="55">
        <f>VLOOKUP(C1089,'Preguntas de negocio'!$C$121:$D$127,2,FALSE)</f>
        <v>0.5</v>
      </c>
    </row>
    <row r="1090" spans="1:28" x14ac:dyDescent="0.3">
      <c r="A1090" s="1">
        <v>45700</v>
      </c>
      <c r="B1090" s="2" t="s">
        <v>2617</v>
      </c>
      <c r="C1090" s="2" t="s">
        <v>2533</v>
      </c>
      <c r="D1090" s="2" t="s">
        <v>2528</v>
      </c>
      <c r="E1090" s="2" t="s">
        <v>2529</v>
      </c>
      <c r="F1090" s="3">
        <v>134420</v>
      </c>
      <c r="G1090" s="3">
        <v>10832</v>
      </c>
      <c r="H1090" s="3">
        <v>1451</v>
      </c>
      <c r="I1090" s="4">
        <v>13208.77</v>
      </c>
      <c r="J1090" s="4">
        <v>124506.66</v>
      </c>
      <c r="K1090" s="3">
        <v>1138</v>
      </c>
      <c r="L1090" s="2" t="s">
        <v>2518</v>
      </c>
      <c r="M1090" s="2" t="s">
        <v>2524</v>
      </c>
      <c r="N1090" s="8">
        <f>IFERROR(G1090/F1090,0)</f>
        <v>8.0583246540693348E-2</v>
      </c>
      <c r="O1090" s="8">
        <f>IFERROR(H1090/G1090,0)</f>
        <v>0.1339549483013294</v>
      </c>
      <c r="P1090" s="4">
        <f>IFERROR(I1090/G1090,0)</f>
        <v>1.2194211595273265</v>
      </c>
      <c r="Q1090" s="4">
        <f>IFERROR(I1090/H1090,0)</f>
        <v>9.1032184700206749</v>
      </c>
      <c r="R1090" s="12">
        <f>IFERROR(J1090/I1090,0)</f>
        <v>9.4260601100632382</v>
      </c>
      <c r="S1090" s="7">
        <f>Tabla_nuevas_columnas[[#This Row],[ROAS]]</f>
        <v>9.4260601100632382</v>
      </c>
      <c r="T1090" t="str">
        <f>_xlfn.CONCAT(C1090,"-",D1090)</f>
        <v>Paid Social-España</v>
      </c>
      <c r="U1090">
        <f>YEAR(A1090)</f>
        <v>2025</v>
      </c>
      <c r="V1090">
        <f>MONTH(A1090)</f>
        <v>2</v>
      </c>
      <c r="W1090" t="str">
        <f>PROPER(TEXT(A1090,"mmmm"))</f>
        <v>Febrero</v>
      </c>
      <c r="X1090" t="str">
        <f>PROPER(TEXT(A1090,"dddd"))</f>
        <v>Miércoles</v>
      </c>
      <c r="Y1090" t="str" cm="1">
        <f t="array" ref="Y1090">_xlfn.IFS(R1090&gt;10,"Excelente",R1090&gt;=5,"Bueno",R1090&gt;=2,"Débil",R1090&lt;2,"Deficiente")</f>
        <v>Bueno</v>
      </c>
      <c r="Z1090" t="str">
        <f>IF(AND(R1090&lt;2,Q1090&gt;=100),"Revisar","OK")</f>
        <v>OK</v>
      </c>
      <c r="AA1090" s="55">
        <f>_xlfn.XLOOKUP(C1090,'Preguntas de negocio'!$C$114:$C$119,'Preguntas de negocio'!$D$114:$D$119,0)</f>
        <v>6</v>
      </c>
      <c r="AB1090" s="55">
        <f>VLOOKUP(C1090,'Preguntas de negocio'!$C$121:$D$127,2,FALSE)</f>
        <v>0.8</v>
      </c>
    </row>
    <row r="1091" spans="1:28" x14ac:dyDescent="0.3">
      <c r="A1091" s="1">
        <v>45744</v>
      </c>
      <c r="B1091" s="2" t="s">
        <v>2629</v>
      </c>
      <c r="C1091" s="2" t="s">
        <v>2515</v>
      </c>
      <c r="D1091" s="2" t="s">
        <v>2528</v>
      </c>
      <c r="E1091" s="2" t="s">
        <v>2529</v>
      </c>
      <c r="F1091" s="3">
        <v>66543</v>
      </c>
      <c r="G1091" s="3">
        <v>2075</v>
      </c>
      <c r="H1091" s="3">
        <v>38</v>
      </c>
      <c r="I1091" s="4">
        <v>2775.31</v>
      </c>
      <c r="J1091" s="4">
        <v>7919.9</v>
      </c>
      <c r="K1091" s="3">
        <v>28</v>
      </c>
      <c r="L1091" s="2" t="s">
        <v>2536</v>
      </c>
      <c r="M1091" s="2" t="s">
        <v>2519</v>
      </c>
      <c r="N1091" s="8">
        <f>IFERROR(G1091/F1091,0)</f>
        <v>3.118284417594638E-2</v>
      </c>
      <c r="O1091" s="8">
        <f>IFERROR(H1091/G1091,0)</f>
        <v>1.8313253012048194E-2</v>
      </c>
      <c r="P1091" s="4">
        <f>IFERROR(I1091/G1091,0)</f>
        <v>1.3374987951807229</v>
      </c>
      <c r="Q1091" s="4">
        <f>IFERROR(I1091/H1091,0)</f>
        <v>73.034473684210525</v>
      </c>
      <c r="R1091" s="12">
        <f>IFERROR(J1091/I1091,0)</f>
        <v>2.8536992263927274</v>
      </c>
      <c r="S1091" s="7">
        <f>Tabla_nuevas_columnas[[#This Row],[ROAS]]</f>
        <v>2.8536992263927274</v>
      </c>
      <c r="T1091" t="str">
        <f>_xlfn.CONCAT(C1091,"-",D1091)</f>
        <v>Email-España</v>
      </c>
      <c r="U1091">
        <f>YEAR(A1091)</f>
        <v>2025</v>
      </c>
      <c r="V1091">
        <f>MONTH(A1091)</f>
        <v>3</v>
      </c>
      <c r="W1091" t="str">
        <f>PROPER(TEXT(A1091,"mmmm"))</f>
        <v>Marzo</v>
      </c>
      <c r="X1091" t="str">
        <f>PROPER(TEXT(A1091,"dddd"))</f>
        <v>Viernes</v>
      </c>
      <c r="Y1091" t="str" cm="1">
        <f t="array" ref="Y1091">_xlfn.IFS(R1091&gt;10,"Excelente",R1091&gt;=5,"Bueno",R1091&gt;=2,"Débil",R1091&lt;2,"Deficiente")</f>
        <v>Débil</v>
      </c>
      <c r="Z1091" t="str">
        <f>IF(AND(R1091&lt;2,Q1091&gt;=100),"Revisar","OK")</f>
        <v>OK</v>
      </c>
      <c r="AA1091" s="55">
        <f>_xlfn.XLOOKUP(C1091,'Preguntas de negocio'!$C$114:$C$119,'Preguntas de negocio'!$D$114:$D$119,0)</f>
        <v>5.5</v>
      </c>
      <c r="AB1091" s="55">
        <f>VLOOKUP(C1091,'Preguntas de negocio'!$C$121:$D$127,2,FALSE)</f>
        <v>0.65</v>
      </c>
    </row>
    <row r="1092" spans="1:28" x14ac:dyDescent="0.3">
      <c r="A1092" s="1">
        <v>45862</v>
      </c>
      <c r="B1092" s="2" t="s">
        <v>2638</v>
      </c>
      <c r="C1092" s="2" t="s">
        <v>2515</v>
      </c>
      <c r="D1092" s="2" t="s">
        <v>2525</v>
      </c>
      <c r="E1092" s="2" t="s">
        <v>2529</v>
      </c>
      <c r="F1092" s="3">
        <v>73536</v>
      </c>
      <c r="G1092" s="3">
        <v>5231</v>
      </c>
      <c r="H1092" s="3">
        <v>395</v>
      </c>
      <c r="I1092" s="4">
        <v>9855.4599999999991</v>
      </c>
      <c r="J1092" s="4">
        <v>74326.789999999994</v>
      </c>
      <c r="K1092" s="3">
        <v>254</v>
      </c>
      <c r="L1092" s="2" t="s">
        <v>2523</v>
      </c>
      <c r="M1092" s="2" t="s">
        <v>2546</v>
      </c>
      <c r="N1092" s="8">
        <f>IFERROR(G1092/F1092,0)</f>
        <v>7.1135226283724984E-2</v>
      </c>
      <c r="O1092" s="8">
        <f>IFERROR(H1092/G1092,0)</f>
        <v>7.5511374498183903E-2</v>
      </c>
      <c r="P1092" s="4">
        <f>IFERROR(I1092/G1092,0)</f>
        <v>1.8840489390173962</v>
      </c>
      <c r="Q1092" s="4">
        <f>IFERROR(I1092/H1092,0)</f>
        <v>24.950531645569619</v>
      </c>
      <c r="R1092" s="12">
        <f>IFERROR(J1092/I1092,0)</f>
        <v>7.5416865372088164</v>
      </c>
      <c r="S1092" s="7">
        <f>Tabla_nuevas_columnas[[#This Row],[ROAS]]</f>
        <v>7.5416865372088164</v>
      </c>
      <c r="T1092" t="str">
        <f>_xlfn.CONCAT(C1092,"-",D1092)</f>
        <v>Email-Francia</v>
      </c>
      <c r="U1092">
        <f>YEAR(A1092)</f>
        <v>2025</v>
      </c>
      <c r="V1092">
        <f>MONTH(A1092)</f>
        <v>7</v>
      </c>
      <c r="W1092" t="str">
        <f>PROPER(TEXT(A1092,"mmmm"))</f>
        <v>Julio</v>
      </c>
      <c r="X1092" t="str">
        <f>PROPER(TEXT(A1092,"dddd"))</f>
        <v>Jueves</v>
      </c>
      <c r="Y1092" t="str" cm="1">
        <f t="array" ref="Y1092">_xlfn.IFS(R1092&gt;10,"Excelente",R1092&gt;=5,"Bueno",R1092&gt;=2,"Débil",R1092&lt;2,"Deficiente")</f>
        <v>Bueno</v>
      </c>
      <c r="Z1092" t="str">
        <f>IF(AND(R1092&lt;2,Q1092&gt;=100),"Revisar","OK")</f>
        <v>OK</v>
      </c>
      <c r="AA1092" s="55">
        <f>_xlfn.XLOOKUP(C1092,'Preguntas de negocio'!$C$114:$C$119,'Preguntas de negocio'!$D$114:$D$119,0)</f>
        <v>5.5</v>
      </c>
      <c r="AB1092" s="55">
        <f>VLOOKUP(C1092,'Preguntas de negocio'!$C$121:$D$127,2,FALSE)</f>
        <v>0.65</v>
      </c>
    </row>
    <row r="1093" spans="1:28" x14ac:dyDescent="0.3">
      <c r="A1093" s="1">
        <v>45798</v>
      </c>
      <c r="B1093" s="2" t="s">
        <v>2632</v>
      </c>
      <c r="C1093" s="2" t="s">
        <v>2543</v>
      </c>
      <c r="D1093" s="2" t="s">
        <v>2525</v>
      </c>
      <c r="E1093" s="2" t="s">
        <v>2529</v>
      </c>
      <c r="F1093" s="3">
        <v>93873</v>
      </c>
      <c r="G1093" s="3">
        <v>6249</v>
      </c>
      <c r="H1093" s="3">
        <v>691</v>
      </c>
      <c r="I1093" s="4">
        <v>2364.0700000000002</v>
      </c>
      <c r="J1093" s="4">
        <v>57502.02</v>
      </c>
      <c r="K1093" s="3">
        <v>507</v>
      </c>
      <c r="L1093" s="2" t="s">
        <v>2518</v>
      </c>
      <c r="M1093" s="2" t="s">
        <v>2524</v>
      </c>
      <c r="N1093" s="8">
        <f>IFERROR(G1093/F1093,0)</f>
        <v>6.6568661915566776E-2</v>
      </c>
      <c r="O1093" s="8">
        <f>IFERROR(H1093/G1093,0)</f>
        <v>0.11057769243078892</v>
      </c>
      <c r="P1093" s="4">
        <f>IFERROR(I1093/G1093,0)</f>
        <v>0.3783117298767803</v>
      </c>
      <c r="Q1093" s="4">
        <f>IFERROR(I1093/H1093,0)</f>
        <v>3.4212301013024606</v>
      </c>
      <c r="R1093" s="12">
        <f>IFERROR(J1093/I1093,0)</f>
        <v>24.323315299462365</v>
      </c>
      <c r="S1093" s="7">
        <f>Tabla_nuevas_columnas[[#This Row],[ROAS]]</f>
        <v>24.323315299462365</v>
      </c>
      <c r="T1093" t="str">
        <f>_xlfn.CONCAT(C1093,"-",D1093)</f>
        <v>Organic Social-Francia</v>
      </c>
      <c r="U1093">
        <f>YEAR(A1093)</f>
        <v>2025</v>
      </c>
      <c r="V1093">
        <f>MONTH(A1093)</f>
        <v>5</v>
      </c>
      <c r="W1093" t="str">
        <f>PROPER(TEXT(A1093,"mmmm"))</f>
        <v>Mayo</v>
      </c>
      <c r="X1093" t="str">
        <f>PROPER(TEXT(A1093,"dddd"))</f>
        <v>Miércoles</v>
      </c>
      <c r="Y1093" t="str" cm="1">
        <f t="array" ref="Y1093">_xlfn.IFS(R1093&gt;10,"Excelente",R1093&gt;=5,"Bueno",R1093&gt;=2,"Débil",R1093&lt;2,"Deficiente")</f>
        <v>Excelente</v>
      </c>
      <c r="Z1093" t="str">
        <f>IF(AND(R1093&lt;2,Q1093&gt;=100),"Revisar","OK")</f>
        <v>OK</v>
      </c>
      <c r="AA1093" s="55">
        <f>_xlfn.XLOOKUP(C1093,'Preguntas de negocio'!$C$114:$C$119,'Preguntas de negocio'!$D$114:$D$119,0)</f>
        <v>4</v>
      </c>
      <c r="AB1093" s="55">
        <f>VLOOKUP(C1093,'Preguntas de negocio'!$C$121:$D$127,2,FALSE)</f>
        <v>0.95</v>
      </c>
    </row>
    <row r="1094" spans="1:28" x14ac:dyDescent="0.3">
      <c r="A1094" s="1">
        <v>45836</v>
      </c>
      <c r="B1094" s="2" t="s">
        <v>2640</v>
      </c>
      <c r="C1094" s="2" t="s">
        <v>2533</v>
      </c>
      <c r="D1094" s="2" t="s">
        <v>2528</v>
      </c>
      <c r="E1094" s="2" t="s">
        <v>2529</v>
      </c>
      <c r="F1094" s="3">
        <v>173129</v>
      </c>
      <c r="G1094" s="3">
        <v>8028</v>
      </c>
      <c r="H1094" s="3">
        <v>1015</v>
      </c>
      <c r="I1094" s="4">
        <v>990.11</v>
      </c>
      <c r="J1094" s="4">
        <v>196743.7</v>
      </c>
      <c r="K1094" s="3">
        <v>893</v>
      </c>
      <c r="L1094" s="2" t="s">
        <v>2536</v>
      </c>
      <c r="M1094" s="2" t="s">
        <v>2537</v>
      </c>
      <c r="N1094" s="8">
        <f>IFERROR(G1094/F1094,0)</f>
        <v>4.6370047767849407E-2</v>
      </c>
      <c r="O1094" s="8">
        <f>IFERROR(H1094/G1094,0)</f>
        <v>0.12643248629795714</v>
      </c>
      <c r="P1094" s="4">
        <f>IFERROR(I1094/G1094,0)</f>
        <v>0.12333208769307424</v>
      </c>
      <c r="Q1094" s="4">
        <f>IFERROR(I1094/H1094,0)</f>
        <v>0.97547783251231523</v>
      </c>
      <c r="R1094" s="12">
        <f>IFERROR(J1094/I1094,0)</f>
        <v>198.70893133086224</v>
      </c>
      <c r="S1094" s="7">
        <f>Tabla_nuevas_columnas[[#This Row],[ROAS]]</f>
        <v>198.70893133086224</v>
      </c>
      <c r="T1094" t="str">
        <f>_xlfn.CONCAT(C1094,"-",D1094)</f>
        <v>Paid Social-España</v>
      </c>
      <c r="U1094">
        <f>YEAR(A1094)</f>
        <v>2025</v>
      </c>
      <c r="V1094">
        <f>MONTH(A1094)</f>
        <v>6</v>
      </c>
      <c r="W1094" t="str">
        <f>PROPER(TEXT(A1094,"mmmm"))</f>
        <v>Junio</v>
      </c>
      <c r="X1094" t="str">
        <f>PROPER(TEXT(A1094,"dddd"))</f>
        <v>Sábado</v>
      </c>
      <c r="Y1094" t="str" cm="1">
        <f t="array" ref="Y1094">_xlfn.IFS(R1094&gt;10,"Excelente",R1094&gt;=5,"Bueno",R1094&gt;=2,"Débil",R1094&lt;2,"Deficiente")</f>
        <v>Excelente</v>
      </c>
      <c r="Z1094" t="str">
        <f>IF(AND(R1094&lt;2,Q1094&gt;=100),"Revisar","OK")</f>
        <v>OK</v>
      </c>
      <c r="AA1094" s="55">
        <f>_xlfn.XLOOKUP(C1094,'Preguntas de negocio'!$C$114:$C$119,'Preguntas de negocio'!$D$114:$D$119,0)</f>
        <v>6</v>
      </c>
      <c r="AB1094" s="55">
        <f>VLOOKUP(C1094,'Preguntas de negocio'!$C$121:$D$127,2,FALSE)</f>
        <v>0.8</v>
      </c>
    </row>
    <row r="1095" spans="1:28" x14ac:dyDescent="0.3">
      <c r="A1095" s="1">
        <v>45781</v>
      </c>
      <c r="B1095" s="2" t="s">
        <v>2637</v>
      </c>
      <c r="C1095" s="2" t="s">
        <v>2541</v>
      </c>
      <c r="D1095" s="2" t="s">
        <v>2528</v>
      </c>
      <c r="E1095" s="2" t="s">
        <v>2517</v>
      </c>
      <c r="F1095" s="3">
        <v>131267</v>
      </c>
      <c r="G1095" s="3">
        <v>1387</v>
      </c>
      <c r="H1095" s="3">
        <v>163</v>
      </c>
      <c r="I1095" s="4">
        <v>946.67</v>
      </c>
      <c r="J1095" s="4">
        <v>18259.77</v>
      </c>
      <c r="K1095" s="3">
        <v>75</v>
      </c>
      <c r="L1095" s="2" t="s">
        <v>2518</v>
      </c>
      <c r="M1095" s="2" t="s">
        <v>2537</v>
      </c>
      <c r="N1095" s="8">
        <f>IFERROR(G1095/F1095,0)</f>
        <v>1.056625046660623E-2</v>
      </c>
      <c r="O1095" s="8">
        <f>IFERROR(H1095/G1095,0)</f>
        <v>0.11751982696467195</v>
      </c>
      <c r="P1095" s="4">
        <f>IFERROR(I1095/G1095,0)</f>
        <v>0.68253064167267485</v>
      </c>
      <c r="Q1095" s="4">
        <f>IFERROR(I1095/H1095,0)</f>
        <v>5.8077914110429445</v>
      </c>
      <c r="R1095" s="12">
        <f>IFERROR(J1095/I1095,0)</f>
        <v>19.288421519642537</v>
      </c>
      <c r="S1095" s="7">
        <f>Tabla_nuevas_columnas[[#This Row],[ROAS]]</f>
        <v>19.288421519642537</v>
      </c>
      <c r="T1095" t="str">
        <f>_xlfn.CONCAT(C1095,"-",D1095)</f>
        <v>Display-España</v>
      </c>
      <c r="U1095">
        <f>YEAR(A1095)</f>
        <v>2025</v>
      </c>
      <c r="V1095">
        <f>MONTH(A1095)</f>
        <v>5</v>
      </c>
      <c r="W1095" t="str">
        <f>PROPER(TEXT(A1095,"mmmm"))</f>
        <v>Mayo</v>
      </c>
      <c r="X1095" t="str">
        <f>PROPER(TEXT(A1095,"dddd"))</f>
        <v>Domingo</v>
      </c>
      <c r="Y1095" t="str" cm="1">
        <f t="array" ref="Y1095">_xlfn.IFS(R1095&gt;10,"Excelente",R1095&gt;=5,"Bueno",R1095&gt;=2,"Débil",R1095&lt;2,"Deficiente")</f>
        <v>Excelente</v>
      </c>
      <c r="Z1095" t="str">
        <f>IF(AND(R1095&lt;2,Q1095&gt;=100),"Revisar","OK")</f>
        <v>OK</v>
      </c>
      <c r="AA1095" s="55">
        <f>_xlfn.XLOOKUP(C1095,'Preguntas de negocio'!$C$114:$C$119,'Preguntas de negocio'!$D$114:$D$119,0)</f>
        <v>5</v>
      </c>
      <c r="AB1095" s="55">
        <f>VLOOKUP(C1095,'Preguntas de negocio'!$C$121:$D$127,2,FALSE)</f>
        <v>0.5</v>
      </c>
    </row>
    <row r="1096" spans="1:28" x14ac:dyDescent="0.3">
      <c r="A1096" s="1">
        <v>45738</v>
      </c>
      <c r="B1096" s="2" t="s">
        <v>2627</v>
      </c>
      <c r="C1096" s="2" t="s">
        <v>2533</v>
      </c>
      <c r="D1096" s="2" t="s">
        <v>2528</v>
      </c>
      <c r="E1096" s="2" t="s">
        <v>2529</v>
      </c>
      <c r="F1096" s="3">
        <v>18996</v>
      </c>
      <c r="G1096" s="3">
        <v>552</v>
      </c>
      <c r="H1096" s="3">
        <v>76</v>
      </c>
      <c r="I1096" s="4">
        <v>1025.57</v>
      </c>
      <c r="J1096" s="4">
        <v>16139.37</v>
      </c>
      <c r="K1096" s="3">
        <v>50</v>
      </c>
      <c r="L1096" s="2" t="s">
        <v>2539</v>
      </c>
      <c r="M1096" s="2" t="s">
        <v>2519</v>
      </c>
      <c r="N1096" s="8">
        <f>IFERROR(G1096/F1096,0)</f>
        <v>2.9058749210360075E-2</v>
      </c>
      <c r="O1096" s="8">
        <f>IFERROR(H1096/G1096,0)</f>
        <v>0.13768115942028986</v>
      </c>
      <c r="P1096" s="4">
        <f>IFERROR(I1096/G1096,0)</f>
        <v>1.8579166666666667</v>
      </c>
      <c r="Q1096" s="4">
        <f>IFERROR(I1096/H1096,0)</f>
        <v>13.494342105263158</v>
      </c>
      <c r="R1096" s="12">
        <f>IFERROR(J1096/I1096,0)</f>
        <v>15.736975535555839</v>
      </c>
      <c r="S1096" s="7">
        <f>Tabla_nuevas_columnas[[#This Row],[ROAS]]</f>
        <v>15.736975535555839</v>
      </c>
      <c r="T1096" t="str">
        <f>_xlfn.CONCAT(C1096,"-",D1096)</f>
        <v>Paid Social-España</v>
      </c>
      <c r="U1096">
        <f>YEAR(A1096)</f>
        <v>2025</v>
      </c>
      <c r="V1096">
        <f>MONTH(A1096)</f>
        <v>3</v>
      </c>
      <c r="W1096" t="str">
        <f>PROPER(TEXT(A1096,"mmmm"))</f>
        <v>Marzo</v>
      </c>
      <c r="X1096" t="str">
        <f>PROPER(TEXT(A1096,"dddd"))</f>
        <v>Sábado</v>
      </c>
      <c r="Y1096" t="str" cm="1">
        <f t="array" ref="Y1096">_xlfn.IFS(R1096&gt;10,"Excelente",R1096&gt;=5,"Bueno",R1096&gt;=2,"Débil",R1096&lt;2,"Deficiente")</f>
        <v>Excelente</v>
      </c>
      <c r="Z1096" t="str">
        <f>IF(AND(R1096&lt;2,Q1096&gt;=100),"Revisar","OK")</f>
        <v>OK</v>
      </c>
      <c r="AA1096" s="55">
        <f>_xlfn.XLOOKUP(C1096,'Preguntas de negocio'!$C$114:$C$119,'Preguntas de negocio'!$D$114:$D$119,0)</f>
        <v>6</v>
      </c>
      <c r="AB1096" s="55">
        <f>VLOOKUP(C1096,'Preguntas de negocio'!$C$121:$D$127,2,FALSE)</f>
        <v>0.8</v>
      </c>
    </row>
    <row r="1097" spans="1:28" x14ac:dyDescent="0.3">
      <c r="A1097" s="1">
        <v>45701</v>
      </c>
      <c r="B1097" s="2" t="s">
        <v>2636</v>
      </c>
      <c r="C1097" s="2" t="s">
        <v>2543</v>
      </c>
      <c r="D1097" s="2" t="s">
        <v>2645</v>
      </c>
      <c r="E1097" s="2" t="s">
        <v>2529</v>
      </c>
      <c r="F1097" s="3">
        <v>22382</v>
      </c>
      <c r="G1097" s="3">
        <v>551</v>
      </c>
      <c r="H1097" s="3">
        <v>66</v>
      </c>
      <c r="I1097" s="4">
        <v>152.49</v>
      </c>
      <c r="J1097" s="4">
        <v>8581.93</v>
      </c>
      <c r="K1097" s="3">
        <v>48</v>
      </c>
      <c r="L1097" s="2" t="s">
        <v>2523</v>
      </c>
      <c r="M1097" s="2" t="s">
        <v>2519</v>
      </c>
      <c r="N1097" s="8">
        <f>IFERROR(G1097/F1097,0)</f>
        <v>2.4617996604414261E-2</v>
      </c>
      <c r="O1097" s="8">
        <f>IFERROR(H1097/G1097,0)</f>
        <v>0.11978221415607986</v>
      </c>
      <c r="P1097" s="4">
        <f>IFERROR(I1097/G1097,0)</f>
        <v>0.27675136116152455</v>
      </c>
      <c r="Q1097" s="4">
        <f>IFERROR(I1097/H1097,0)</f>
        <v>2.3104545454545455</v>
      </c>
      <c r="R1097" s="12">
        <f>IFERROR(J1097/I1097,0)</f>
        <v>56.278641222375235</v>
      </c>
      <c r="S1097" s="7">
        <f>Tabla_nuevas_columnas[[#This Row],[ROAS]]</f>
        <v>56.278641222375235</v>
      </c>
      <c r="T1097" t="str">
        <f>_xlfn.CONCAT(C1097,"-",D1097)</f>
        <v>Organic Social-Por identificar</v>
      </c>
      <c r="U1097">
        <f>YEAR(A1097)</f>
        <v>2025</v>
      </c>
      <c r="V1097">
        <f>MONTH(A1097)</f>
        <v>2</v>
      </c>
      <c r="W1097" t="str">
        <f>PROPER(TEXT(A1097,"mmmm"))</f>
        <v>Febrero</v>
      </c>
      <c r="X1097" t="str">
        <f>PROPER(TEXT(A1097,"dddd"))</f>
        <v>Jueves</v>
      </c>
      <c r="Y1097" t="str" cm="1">
        <f t="array" ref="Y1097">_xlfn.IFS(R1097&gt;10,"Excelente",R1097&gt;=5,"Bueno",R1097&gt;=2,"Débil",R1097&lt;2,"Deficiente")</f>
        <v>Excelente</v>
      </c>
      <c r="Z1097" t="str">
        <f>IF(AND(R1097&lt;2,Q1097&gt;=100),"Revisar","OK")</f>
        <v>OK</v>
      </c>
      <c r="AA1097" s="55">
        <f>_xlfn.XLOOKUP(C1097,'Preguntas de negocio'!$C$114:$C$119,'Preguntas de negocio'!$D$114:$D$119,0)</f>
        <v>4</v>
      </c>
      <c r="AB1097" s="55">
        <f>VLOOKUP(C1097,'Preguntas de negocio'!$C$121:$D$127,2,FALSE)</f>
        <v>0.95</v>
      </c>
    </row>
    <row r="1098" spans="1:28" x14ac:dyDescent="0.3">
      <c r="A1098" s="1">
        <v>45761</v>
      </c>
      <c r="B1098" s="2" t="s">
        <v>2634</v>
      </c>
      <c r="C1098" s="2" t="s">
        <v>2527</v>
      </c>
      <c r="D1098" s="2" t="s">
        <v>2528</v>
      </c>
      <c r="E1098" s="2" t="s">
        <v>2529</v>
      </c>
      <c r="F1098" s="3">
        <v>99665</v>
      </c>
      <c r="G1098" s="3">
        <v>7730</v>
      </c>
      <c r="H1098" s="3">
        <v>988</v>
      </c>
      <c r="I1098" s="4">
        <v>8693.48</v>
      </c>
      <c r="J1098" s="4">
        <v>120059.43</v>
      </c>
      <c r="K1098" s="3">
        <v>797</v>
      </c>
      <c r="L1098" s="2" t="s">
        <v>2523</v>
      </c>
      <c r="M1098" s="2" t="s">
        <v>2537</v>
      </c>
      <c r="N1098" s="8">
        <f>IFERROR(G1098/F1098,0)</f>
        <v>7.7559825415140726E-2</v>
      </c>
      <c r="O1098" s="8">
        <f>IFERROR(H1098/G1098,0)</f>
        <v>0.12781371280724449</v>
      </c>
      <c r="P1098" s="4">
        <f>IFERROR(I1098/G1098,0)</f>
        <v>1.1246416558861578</v>
      </c>
      <c r="Q1098" s="4">
        <f>IFERROR(I1098/H1098,0)</f>
        <v>8.7990688259109309</v>
      </c>
      <c r="R1098" s="12">
        <f>IFERROR(J1098/I1098,0)</f>
        <v>13.810284259007901</v>
      </c>
      <c r="S1098" s="7">
        <f>Tabla_nuevas_columnas[[#This Row],[ROAS]]</f>
        <v>13.810284259007901</v>
      </c>
      <c r="T1098" t="str">
        <f>_xlfn.CONCAT(C1098,"-",D1098)</f>
        <v>Affiliate-España</v>
      </c>
      <c r="U1098">
        <f>YEAR(A1098)</f>
        <v>2025</v>
      </c>
      <c r="V1098">
        <f>MONTH(A1098)</f>
        <v>4</v>
      </c>
      <c r="W1098" t="str">
        <f>PROPER(TEXT(A1098,"mmmm"))</f>
        <v>Abril</v>
      </c>
      <c r="X1098" t="str">
        <f>PROPER(TEXT(A1098,"dddd"))</f>
        <v>Lunes</v>
      </c>
      <c r="Y1098" t="str" cm="1">
        <f t="array" ref="Y1098">_xlfn.IFS(R1098&gt;10,"Excelente",R1098&gt;=5,"Bueno",R1098&gt;=2,"Débil",R1098&lt;2,"Deficiente")</f>
        <v>Excelente</v>
      </c>
      <c r="Z1098" t="str">
        <f>IF(AND(R1098&lt;2,Q1098&gt;=100),"Revisar","OK")</f>
        <v>OK</v>
      </c>
      <c r="AA1098" s="55">
        <f>_xlfn.XLOOKUP(C1098,'Preguntas de negocio'!$C$114:$C$119,'Preguntas de negocio'!$D$114:$D$119,0)</f>
        <v>4.5</v>
      </c>
      <c r="AB1098" s="55">
        <f>VLOOKUP(C1098,'Preguntas de negocio'!$C$121:$D$127,2,FALSE)</f>
        <v>0.35</v>
      </c>
    </row>
    <row r="1099" spans="1:28" x14ac:dyDescent="0.3">
      <c r="A1099" s="1">
        <v>45962</v>
      </c>
      <c r="B1099" s="2" t="s">
        <v>2641</v>
      </c>
      <c r="C1099" s="2" t="s">
        <v>2521</v>
      </c>
      <c r="D1099" s="2" t="s">
        <v>2525</v>
      </c>
      <c r="E1099" s="2" t="s">
        <v>2529</v>
      </c>
      <c r="F1099" s="3">
        <v>13986</v>
      </c>
      <c r="G1099" s="3">
        <v>377</v>
      </c>
      <c r="H1099" s="3">
        <v>42</v>
      </c>
      <c r="I1099" s="4">
        <v>463.74</v>
      </c>
      <c r="J1099" s="4">
        <v>9132.08</v>
      </c>
      <c r="K1099" s="3">
        <v>30</v>
      </c>
      <c r="L1099" s="2" t="s">
        <v>2539</v>
      </c>
      <c r="M1099" s="2" t="s">
        <v>2537</v>
      </c>
      <c r="N1099" s="8">
        <f>IFERROR(G1099/F1099,0)</f>
        <v>2.6955526955526957E-2</v>
      </c>
      <c r="O1099" s="8">
        <f>IFERROR(H1099/G1099,0)</f>
        <v>0.11140583554376658</v>
      </c>
      <c r="P1099" s="4">
        <f>IFERROR(I1099/G1099,0)</f>
        <v>1.230079575596817</v>
      </c>
      <c r="Q1099" s="4">
        <f>IFERROR(I1099/H1099,0)</f>
        <v>11.041428571428572</v>
      </c>
      <c r="R1099" s="12">
        <f>IFERROR(J1099/I1099,0)</f>
        <v>19.692241342131368</v>
      </c>
      <c r="S1099" s="7">
        <f>Tabla_nuevas_columnas[[#This Row],[ROAS]]</f>
        <v>19.692241342131368</v>
      </c>
      <c r="T1099" t="str">
        <f>_xlfn.CONCAT(C1099,"-",D1099)</f>
        <v>Paid Search-Francia</v>
      </c>
      <c r="U1099">
        <f>YEAR(A1099)</f>
        <v>2025</v>
      </c>
      <c r="V1099">
        <f>MONTH(A1099)</f>
        <v>11</v>
      </c>
      <c r="W1099" t="str">
        <f>PROPER(TEXT(A1099,"mmmm"))</f>
        <v>Noviembre</v>
      </c>
      <c r="X1099" t="str">
        <f>PROPER(TEXT(A1099,"dddd"))</f>
        <v>Sábado</v>
      </c>
      <c r="Y1099" t="str" cm="1">
        <f t="array" ref="Y1099">_xlfn.IFS(R1099&gt;10,"Excelente",R1099&gt;=5,"Bueno",R1099&gt;=2,"Débil",R1099&lt;2,"Deficiente")</f>
        <v>Excelente</v>
      </c>
      <c r="Z1099" t="str">
        <f>IF(AND(R1099&lt;2,Q1099&gt;=100),"Revisar","OK")</f>
        <v>OK</v>
      </c>
      <c r="AA1099" s="55">
        <f>_xlfn.XLOOKUP(C1099,'Preguntas de negocio'!$C$114:$C$119,'Preguntas de negocio'!$D$114:$D$119,0)</f>
        <v>5</v>
      </c>
      <c r="AB1099" s="55">
        <f>VLOOKUP(C1099,'Preguntas de negocio'!$C$121:$D$127,2,FALSE)</f>
        <v>1.1000000000000001</v>
      </c>
    </row>
    <row r="1100" spans="1:28" x14ac:dyDescent="0.3">
      <c r="A1100" s="1">
        <v>46011</v>
      </c>
      <c r="B1100" s="2" t="s">
        <v>2629</v>
      </c>
      <c r="C1100" s="2" t="s">
        <v>2543</v>
      </c>
      <c r="D1100" s="2" t="s">
        <v>2525</v>
      </c>
      <c r="E1100" s="2" t="s">
        <v>2529</v>
      </c>
      <c r="F1100" s="3">
        <v>162853</v>
      </c>
      <c r="G1100" s="3">
        <v>3389</v>
      </c>
      <c r="H1100" s="3">
        <v>358</v>
      </c>
      <c r="I1100" s="4">
        <v>1434.85</v>
      </c>
      <c r="J1100" s="4">
        <v>50286.080000000002</v>
      </c>
      <c r="K1100" s="3">
        <v>237</v>
      </c>
      <c r="L1100" s="2" t="s">
        <v>2518</v>
      </c>
      <c r="M1100" s="2" t="s">
        <v>2537</v>
      </c>
      <c r="N1100" s="8">
        <f>IFERROR(G1100/F1100,0)</f>
        <v>2.0810178504540904E-2</v>
      </c>
      <c r="O1100" s="8">
        <f>IFERROR(H1100/G1100,0)</f>
        <v>0.10563588079079375</v>
      </c>
      <c r="P1100" s="4">
        <f>IFERROR(I1100/G1100,0)</f>
        <v>0.42338447919740335</v>
      </c>
      <c r="Q1100" s="4">
        <f>IFERROR(I1100/H1100,0)</f>
        <v>4.0079608938547482</v>
      </c>
      <c r="R1100" s="12">
        <f>IFERROR(J1100/I1100,0)</f>
        <v>35.046227828692899</v>
      </c>
      <c r="S1100" s="7">
        <f>Tabla_nuevas_columnas[[#This Row],[ROAS]]</f>
        <v>35.046227828692899</v>
      </c>
      <c r="T1100" t="str">
        <f>_xlfn.CONCAT(C1100,"-",D1100)</f>
        <v>Organic Social-Francia</v>
      </c>
      <c r="U1100">
        <f>YEAR(A1100)</f>
        <v>2025</v>
      </c>
      <c r="V1100">
        <f>MONTH(A1100)</f>
        <v>12</v>
      </c>
      <c r="W1100" t="str">
        <f>PROPER(TEXT(A1100,"mmmm"))</f>
        <v>Diciembre</v>
      </c>
      <c r="X1100" t="str">
        <f>PROPER(TEXT(A1100,"dddd"))</f>
        <v>Sábado</v>
      </c>
      <c r="Y1100" t="str" cm="1">
        <f t="array" ref="Y1100">_xlfn.IFS(R1100&gt;10,"Excelente",R1100&gt;=5,"Bueno",R1100&gt;=2,"Débil",R1100&lt;2,"Deficiente")</f>
        <v>Excelente</v>
      </c>
      <c r="Z1100" t="str">
        <f>IF(AND(R1100&lt;2,Q1100&gt;=100),"Revisar","OK")</f>
        <v>OK</v>
      </c>
      <c r="AA1100" s="55">
        <f>_xlfn.XLOOKUP(C1100,'Preguntas de negocio'!$C$114:$C$119,'Preguntas de negocio'!$D$114:$D$119,0)</f>
        <v>4</v>
      </c>
      <c r="AB1100" s="55">
        <f>VLOOKUP(C1100,'Preguntas de negocio'!$C$121:$D$127,2,FALSE)</f>
        <v>0.95</v>
      </c>
    </row>
    <row r="1101" spans="1:28" x14ac:dyDescent="0.3">
      <c r="A1101" s="1">
        <v>45818</v>
      </c>
      <c r="B1101" s="2" t="s">
        <v>2640</v>
      </c>
      <c r="C1101" s="2" t="s">
        <v>2541</v>
      </c>
      <c r="D1101" s="2" t="s">
        <v>2525</v>
      </c>
      <c r="E1101" s="2" t="s">
        <v>2529</v>
      </c>
      <c r="F1101" s="3">
        <v>91560</v>
      </c>
      <c r="G1101" s="3">
        <v>5364</v>
      </c>
      <c r="H1101" s="3">
        <v>201</v>
      </c>
      <c r="I1101" s="4">
        <v>8949.08</v>
      </c>
      <c r="J1101" s="4">
        <v>12606.8</v>
      </c>
      <c r="K1101" s="3">
        <v>93</v>
      </c>
      <c r="L1101" s="2" t="s">
        <v>2518</v>
      </c>
      <c r="M1101" s="2" t="s">
        <v>2519</v>
      </c>
      <c r="N1101" s="8">
        <f>IFERROR(G1101/F1101,0)</f>
        <v>5.8584534731323724E-2</v>
      </c>
      <c r="O1101" s="8">
        <f>IFERROR(H1101/G1101,0)</f>
        <v>3.7472035794183442E-2</v>
      </c>
      <c r="P1101" s="4">
        <f>IFERROR(I1101/G1101,0)</f>
        <v>1.6683594332587621</v>
      </c>
      <c r="Q1101" s="4">
        <f>IFERROR(I1101/H1101,0)</f>
        <v>44.522786069651744</v>
      </c>
      <c r="R1101" s="12">
        <f>IFERROR(J1101/I1101,0)</f>
        <v>1.4087258131562126</v>
      </c>
      <c r="S1101" s="7">
        <f>Tabla_nuevas_columnas[[#This Row],[ROAS]]</f>
        <v>1.4087258131562126</v>
      </c>
      <c r="T1101" t="str">
        <f>_xlfn.CONCAT(C1101,"-",D1101)</f>
        <v>Display-Francia</v>
      </c>
      <c r="U1101">
        <f>YEAR(A1101)</f>
        <v>2025</v>
      </c>
      <c r="V1101">
        <f>MONTH(A1101)</f>
        <v>6</v>
      </c>
      <c r="W1101" t="str">
        <f>PROPER(TEXT(A1101,"mmmm"))</f>
        <v>Junio</v>
      </c>
      <c r="X1101" t="str">
        <f>PROPER(TEXT(A1101,"dddd"))</f>
        <v>Martes</v>
      </c>
      <c r="Y1101" t="str" cm="1">
        <f t="array" ref="Y1101">_xlfn.IFS(R1101&gt;10,"Excelente",R1101&gt;=5,"Bueno",R1101&gt;=2,"Débil",R1101&lt;2,"Deficiente")</f>
        <v>Deficiente</v>
      </c>
      <c r="Z1101" t="str">
        <f>IF(AND(R1101&lt;2,Q1101&gt;=100),"Revisar","OK")</f>
        <v>OK</v>
      </c>
      <c r="AA1101" s="55">
        <f>_xlfn.XLOOKUP(C1101,'Preguntas de negocio'!$C$114:$C$119,'Preguntas de negocio'!$D$114:$D$119,0)</f>
        <v>5</v>
      </c>
      <c r="AB1101" s="55">
        <f>VLOOKUP(C1101,'Preguntas de negocio'!$C$121:$D$127,2,FALSE)</f>
        <v>0.5</v>
      </c>
    </row>
    <row r="1102" spans="1:28" x14ac:dyDescent="0.3">
      <c r="A1102" s="1">
        <v>46001</v>
      </c>
      <c r="B1102" s="2" t="s">
        <v>2629</v>
      </c>
      <c r="C1102" s="2" t="s">
        <v>2527</v>
      </c>
      <c r="D1102" s="2" t="s">
        <v>2522</v>
      </c>
      <c r="E1102" s="2" t="s">
        <v>2529</v>
      </c>
      <c r="F1102" s="3">
        <v>139901</v>
      </c>
      <c r="G1102" s="3">
        <v>5114</v>
      </c>
      <c r="H1102" s="3">
        <v>70</v>
      </c>
      <c r="I1102" s="4">
        <v>5775.04</v>
      </c>
      <c r="J1102" s="4">
        <v>13004.54</v>
      </c>
      <c r="K1102" s="3">
        <v>40</v>
      </c>
      <c r="L1102" s="2" t="s">
        <v>2523</v>
      </c>
      <c r="M1102" s="2" t="s">
        <v>2524</v>
      </c>
      <c r="N1102" s="8">
        <f>IFERROR(G1102/F1102,0)</f>
        <v>3.6554420626014113E-2</v>
      </c>
      <c r="O1102" s="8">
        <f>IFERROR(H1102/G1102,0)</f>
        <v>1.368791552600704E-2</v>
      </c>
      <c r="P1102" s="4">
        <f>IFERROR(I1102/G1102,0)</f>
        <v>1.1292608525615957</v>
      </c>
      <c r="Q1102" s="4">
        <f>IFERROR(I1102/H1102,0)</f>
        <v>82.500571428571433</v>
      </c>
      <c r="R1102" s="12">
        <f>IFERROR(J1102/I1102,0)</f>
        <v>2.2518528010195604</v>
      </c>
      <c r="S1102" s="7">
        <f>Tabla_nuevas_columnas[[#This Row],[ROAS]]</f>
        <v>2.2518528010195604</v>
      </c>
      <c r="T1102" t="str">
        <f>_xlfn.CONCAT(C1102,"-",D1102)</f>
        <v>Affiliate-Italia</v>
      </c>
      <c r="U1102">
        <f>YEAR(A1102)</f>
        <v>2025</v>
      </c>
      <c r="V1102">
        <f>MONTH(A1102)</f>
        <v>12</v>
      </c>
      <c r="W1102" t="str">
        <f>PROPER(TEXT(A1102,"mmmm"))</f>
        <v>Diciembre</v>
      </c>
      <c r="X1102" t="str">
        <f>PROPER(TEXT(A1102,"dddd"))</f>
        <v>Miércoles</v>
      </c>
      <c r="Y1102" t="str" cm="1">
        <f t="array" ref="Y1102">_xlfn.IFS(R1102&gt;10,"Excelente",R1102&gt;=5,"Bueno",R1102&gt;=2,"Débil",R1102&lt;2,"Deficiente")</f>
        <v>Débil</v>
      </c>
      <c r="Z1102" t="str">
        <f>IF(AND(R1102&lt;2,Q1102&gt;=100),"Revisar","OK")</f>
        <v>OK</v>
      </c>
      <c r="AA1102" s="55">
        <f>_xlfn.XLOOKUP(C1102,'Preguntas de negocio'!$C$114:$C$119,'Preguntas de negocio'!$D$114:$D$119,0)</f>
        <v>4.5</v>
      </c>
      <c r="AB1102" s="55">
        <f>VLOOKUP(C1102,'Preguntas de negocio'!$C$121:$D$127,2,FALSE)</f>
        <v>0.35</v>
      </c>
    </row>
    <row r="1103" spans="1:28" x14ac:dyDescent="0.3">
      <c r="A1103" s="1">
        <v>45933</v>
      </c>
      <c r="B1103" s="2" t="s">
        <v>2640</v>
      </c>
      <c r="C1103" s="2" t="s">
        <v>2527</v>
      </c>
      <c r="D1103" s="2" t="s">
        <v>2528</v>
      </c>
      <c r="E1103" s="2" t="s">
        <v>2517</v>
      </c>
      <c r="F1103" s="3">
        <v>23453</v>
      </c>
      <c r="G1103" s="3">
        <v>768</v>
      </c>
      <c r="H1103" s="3">
        <v>25</v>
      </c>
      <c r="I1103" s="4">
        <v>750.47</v>
      </c>
      <c r="J1103" s="4">
        <v>4247.25</v>
      </c>
      <c r="K1103" s="3">
        <v>17</v>
      </c>
      <c r="L1103" s="2" t="s">
        <v>2539</v>
      </c>
      <c r="M1103" s="2" t="s">
        <v>2537</v>
      </c>
      <c r="N1103" s="8">
        <f>IFERROR(G1103/F1103,0)</f>
        <v>3.2746343751332452E-2</v>
      </c>
      <c r="O1103" s="8">
        <f>IFERROR(H1103/G1103,0)</f>
        <v>3.2552083333333336E-2</v>
      </c>
      <c r="P1103" s="4">
        <f>IFERROR(I1103/G1103,0)</f>
        <v>0.97717447916666667</v>
      </c>
      <c r="Q1103" s="4">
        <f>IFERROR(I1103/H1103,0)</f>
        <v>30.018800000000002</v>
      </c>
      <c r="R1103" s="12">
        <f>IFERROR(J1103/I1103,0)</f>
        <v>5.6594534091969031</v>
      </c>
      <c r="S1103" s="7">
        <f>Tabla_nuevas_columnas[[#This Row],[ROAS]]</f>
        <v>5.6594534091969031</v>
      </c>
      <c r="T1103" t="str">
        <f>_xlfn.CONCAT(C1103,"-",D1103)</f>
        <v>Affiliate-España</v>
      </c>
      <c r="U1103">
        <f>YEAR(A1103)</f>
        <v>2025</v>
      </c>
      <c r="V1103">
        <f>MONTH(A1103)</f>
        <v>10</v>
      </c>
      <c r="W1103" t="str">
        <f>PROPER(TEXT(A1103,"mmmm"))</f>
        <v>Octubre</v>
      </c>
      <c r="X1103" t="str">
        <f>PROPER(TEXT(A1103,"dddd"))</f>
        <v>Viernes</v>
      </c>
      <c r="Y1103" t="str" cm="1">
        <f t="array" ref="Y1103">_xlfn.IFS(R1103&gt;10,"Excelente",R1103&gt;=5,"Bueno",R1103&gt;=2,"Débil",R1103&lt;2,"Deficiente")</f>
        <v>Bueno</v>
      </c>
      <c r="Z1103" t="str">
        <f>IF(AND(R1103&lt;2,Q1103&gt;=100),"Revisar","OK")</f>
        <v>OK</v>
      </c>
      <c r="AA1103" s="55">
        <f>_xlfn.XLOOKUP(C1103,'Preguntas de negocio'!$C$114:$C$119,'Preguntas de negocio'!$D$114:$D$119,0)</f>
        <v>4.5</v>
      </c>
      <c r="AB1103" s="55">
        <f>VLOOKUP(C1103,'Preguntas de negocio'!$C$121:$D$127,2,FALSE)</f>
        <v>0.35</v>
      </c>
    </row>
    <row r="1104" spans="1:28" x14ac:dyDescent="0.3">
      <c r="A1104" s="1">
        <v>45838</v>
      </c>
      <c r="B1104" s="2" t="s">
        <v>2626</v>
      </c>
      <c r="C1104" s="2" t="s">
        <v>2515</v>
      </c>
      <c r="D1104" s="2" t="s">
        <v>2531</v>
      </c>
      <c r="E1104" s="2" t="s">
        <v>2529</v>
      </c>
      <c r="F1104" s="3">
        <v>39029</v>
      </c>
      <c r="G1104" s="3">
        <v>462</v>
      </c>
      <c r="H1104" s="3">
        <v>16</v>
      </c>
      <c r="I1104" s="4">
        <v>411.52</v>
      </c>
      <c r="J1104" s="4">
        <v>2854.52</v>
      </c>
      <c r="K1104" s="3">
        <v>9</v>
      </c>
      <c r="L1104" s="2" t="s">
        <v>2518</v>
      </c>
      <c r="M1104" s="2" t="s">
        <v>2546</v>
      </c>
      <c r="N1104" s="8">
        <f>IFERROR(G1104/F1104,0)</f>
        <v>1.1837351712828922E-2</v>
      </c>
      <c r="O1104" s="8">
        <f>IFERROR(H1104/G1104,0)</f>
        <v>3.4632034632034632E-2</v>
      </c>
      <c r="P1104" s="4">
        <f>IFERROR(I1104/G1104,0)</f>
        <v>0.89073593073593071</v>
      </c>
      <c r="Q1104" s="4">
        <f>IFERROR(I1104/H1104,0)</f>
        <v>25.72</v>
      </c>
      <c r="R1104" s="12">
        <f>IFERROR(J1104/I1104,0)</f>
        <v>6.9365279937791602</v>
      </c>
      <c r="S1104" s="7">
        <f>Tabla_nuevas_columnas[[#This Row],[ROAS]]</f>
        <v>6.9365279937791602</v>
      </c>
      <c r="T1104" t="str">
        <f>_xlfn.CONCAT(C1104,"-",D1104)</f>
        <v>Email-Portugal</v>
      </c>
      <c r="U1104">
        <f>YEAR(A1104)</f>
        <v>2025</v>
      </c>
      <c r="V1104">
        <f>MONTH(A1104)</f>
        <v>6</v>
      </c>
      <c r="W1104" t="str">
        <f>PROPER(TEXT(A1104,"mmmm"))</f>
        <v>Junio</v>
      </c>
      <c r="X1104" t="str">
        <f>PROPER(TEXT(A1104,"dddd"))</f>
        <v>Lunes</v>
      </c>
      <c r="Y1104" t="str" cm="1">
        <f t="array" ref="Y1104">_xlfn.IFS(R1104&gt;10,"Excelente",R1104&gt;=5,"Bueno",R1104&gt;=2,"Débil",R1104&lt;2,"Deficiente")</f>
        <v>Bueno</v>
      </c>
      <c r="Z1104" t="str">
        <f>IF(AND(R1104&lt;2,Q1104&gt;=100),"Revisar","OK")</f>
        <v>OK</v>
      </c>
      <c r="AA1104" s="55">
        <f>_xlfn.XLOOKUP(C1104,'Preguntas de negocio'!$C$114:$C$119,'Preguntas de negocio'!$D$114:$D$119,0)</f>
        <v>5.5</v>
      </c>
      <c r="AB1104" s="55">
        <f>VLOOKUP(C1104,'Preguntas de negocio'!$C$121:$D$127,2,FALSE)</f>
        <v>0.65</v>
      </c>
    </row>
    <row r="1105" spans="1:28" x14ac:dyDescent="0.3">
      <c r="A1105" s="1">
        <v>45678</v>
      </c>
      <c r="B1105" s="2" t="s">
        <v>2627</v>
      </c>
      <c r="C1105" s="2" t="s">
        <v>2521</v>
      </c>
      <c r="D1105" s="2" t="s">
        <v>2528</v>
      </c>
      <c r="E1105" s="2" t="s">
        <v>2529</v>
      </c>
      <c r="F1105" s="3">
        <v>4001</v>
      </c>
      <c r="G1105" s="3">
        <v>61</v>
      </c>
      <c r="H1105" s="3">
        <v>1</v>
      </c>
      <c r="I1105" s="4">
        <v>85.15</v>
      </c>
      <c r="J1105" s="4">
        <v>165.55</v>
      </c>
      <c r="K1105" s="3">
        <v>0</v>
      </c>
      <c r="L1105" s="2" t="s">
        <v>2536</v>
      </c>
      <c r="M1105" s="2" t="s">
        <v>2519</v>
      </c>
      <c r="N1105" s="8">
        <f>IFERROR(G1105/F1105,0)</f>
        <v>1.5246188452886777E-2</v>
      </c>
      <c r="O1105" s="8">
        <f>IFERROR(H1105/G1105,0)</f>
        <v>1.6393442622950821E-2</v>
      </c>
      <c r="P1105" s="4">
        <f>IFERROR(I1105/G1105,0)</f>
        <v>1.3959016393442625</v>
      </c>
      <c r="Q1105" s="4">
        <f>IFERROR(I1105/H1105,0)</f>
        <v>85.15</v>
      </c>
      <c r="R1105" s="12">
        <f>IFERROR(J1105/I1105,0)</f>
        <v>1.9442160892542573</v>
      </c>
      <c r="S1105" s="7">
        <f>Tabla_nuevas_columnas[[#This Row],[ROAS]]</f>
        <v>1.9442160892542573</v>
      </c>
      <c r="T1105" t="str">
        <f>_xlfn.CONCAT(C1105,"-",D1105)</f>
        <v>Paid Search-España</v>
      </c>
      <c r="U1105">
        <f>YEAR(A1105)</f>
        <v>2025</v>
      </c>
      <c r="V1105">
        <f>MONTH(A1105)</f>
        <v>1</v>
      </c>
      <c r="W1105" t="str">
        <f>PROPER(TEXT(A1105,"mmmm"))</f>
        <v>Enero</v>
      </c>
      <c r="X1105" t="str">
        <f>PROPER(TEXT(A1105,"dddd"))</f>
        <v>Martes</v>
      </c>
      <c r="Y1105" t="str" cm="1">
        <f t="array" ref="Y1105">_xlfn.IFS(R1105&gt;10,"Excelente",R1105&gt;=5,"Bueno",R1105&gt;=2,"Débil",R1105&lt;2,"Deficiente")</f>
        <v>Deficiente</v>
      </c>
      <c r="Z1105" t="str">
        <f>IF(AND(R1105&lt;2,Q1105&gt;=100),"Revisar","OK")</f>
        <v>OK</v>
      </c>
      <c r="AA1105" s="55">
        <f>_xlfn.XLOOKUP(C1105,'Preguntas de negocio'!$C$114:$C$119,'Preguntas de negocio'!$D$114:$D$119,0)</f>
        <v>5</v>
      </c>
      <c r="AB1105" s="55">
        <f>VLOOKUP(C1105,'Preguntas de negocio'!$C$121:$D$127,2,FALSE)</f>
        <v>1.1000000000000001</v>
      </c>
    </row>
    <row r="1106" spans="1:28" x14ac:dyDescent="0.3">
      <c r="A1106" s="1">
        <v>45959</v>
      </c>
      <c r="B1106" s="2" t="s">
        <v>2619</v>
      </c>
      <c r="C1106" s="2" t="s">
        <v>2527</v>
      </c>
      <c r="D1106" s="2" t="s">
        <v>2531</v>
      </c>
      <c r="E1106" s="2" t="s">
        <v>2517</v>
      </c>
      <c r="F1106" s="3">
        <v>53807</v>
      </c>
      <c r="G1106" s="3">
        <v>1510</v>
      </c>
      <c r="H1106" s="3">
        <v>112</v>
      </c>
      <c r="I1106" s="4">
        <v>599.79999999999995</v>
      </c>
      <c r="J1106" s="4">
        <v>12534.38</v>
      </c>
      <c r="K1106" s="3">
        <v>76</v>
      </c>
      <c r="L1106" s="2" t="s">
        <v>2518</v>
      </c>
      <c r="M1106" s="2" t="s">
        <v>2526</v>
      </c>
      <c r="N1106" s="8">
        <f>IFERROR(G1106/F1106,0)</f>
        <v>2.806326314420057E-2</v>
      </c>
      <c r="O1106" s="8">
        <f>IFERROR(H1106/G1106,0)</f>
        <v>7.4172185430463583E-2</v>
      </c>
      <c r="P1106" s="4">
        <f>IFERROR(I1106/G1106,0)</f>
        <v>0.39721854304635756</v>
      </c>
      <c r="Q1106" s="4">
        <f>IFERROR(I1106/H1106,0)</f>
        <v>5.3553571428571427</v>
      </c>
      <c r="R1106" s="12">
        <f>IFERROR(J1106/I1106,0)</f>
        <v>20.897599199733246</v>
      </c>
      <c r="S1106" s="7">
        <f>Tabla_nuevas_columnas[[#This Row],[ROAS]]</f>
        <v>20.897599199733246</v>
      </c>
      <c r="T1106" t="str">
        <f>_xlfn.CONCAT(C1106,"-",D1106)</f>
        <v>Affiliate-Portugal</v>
      </c>
      <c r="U1106">
        <f>YEAR(A1106)</f>
        <v>2025</v>
      </c>
      <c r="V1106">
        <f>MONTH(A1106)</f>
        <v>10</v>
      </c>
      <c r="W1106" t="str">
        <f>PROPER(TEXT(A1106,"mmmm"))</f>
        <v>Octubre</v>
      </c>
      <c r="X1106" t="str">
        <f>PROPER(TEXT(A1106,"dddd"))</f>
        <v>Miércoles</v>
      </c>
      <c r="Y1106" t="str" cm="1">
        <f t="array" ref="Y1106">_xlfn.IFS(R1106&gt;10,"Excelente",R1106&gt;=5,"Bueno",R1106&gt;=2,"Débil",R1106&lt;2,"Deficiente")</f>
        <v>Excelente</v>
      </c>
      <c r="Z1106" t="str">
        <f>IF(AND(R1106&lt;2,Q1106&gt;=100),"Revisar","OK")</f>
        <v>OK</v>
      </c>
      <c r="AA1106" s="55">
        <f>_xlfn.XLOOKUP(C1106,'Preguntas de negocio'!$C$114:$C$119,'Preguntas de negocio'!$D$114:$D$119,0)</f>
        <v>4.5</v>
      </c>
      <c r="AB1106" s="55">
        <f>VLOOKUP(C1106,'Preguntas de negocio'!$C$121:$D$127,2,FALSE)</f>
        <v>0.35</v>
      </c>
    </row>
    <row r="1107" spans="1:28" x14ac:dyDescent="0.3">
      <c r="A1107" s="1">
        <v>45895</v>
      </c>
      <c r="B1107" s="2" t="s">
        <v>2632</v>
      </c>
      <c r="C1107" s="2" t="s">
        <v>2527</v>
      </c>
      <c r="D1107" s="2" t="s">
        <v>2525</v>
      </c>
      <c r="E1107" s="2" t="s">
        <v>2529</v>
      </c>
      <c r="F1107" s="3">
        <v>173827</v>
      </c>
      <c r="G1107" s="3">
        <v>15467</v>
      </c>
      <c r="H1107" s="3">
        <v>1090</v>
      </c>
      <c r="I1107" s="4">
        <v>31379.62</v>
      </c>
      <c r="J1107" s="4">
        <v>85507.33</v>
      </c>
      <c r="K1107" s="3">
        <v>954</v>
      </c>
      <c r="L1107" s="2" t="s">
        <v>2523</v>
      </c>
      <c r="M1107" s="2" t="s">
        <v>2546</v>
      </c>
      <c r="N1107" s="8">
        <f>IFERROR(G1107/F1107,0)</f>
        <v>8.897927249506693E-2</v>
      </c>
      <c r="O1107" s="8">
        <f>IFERROR(H1107/G1107,0)</f>
        <v>7.0472619124587826E-2</v>
      </c>
      <c r="P1107" s="4">
        <f>IFERROR(I1107/G1107,0)</f>
        <v>2.0288110170039437</v>
      </c>
      <c r="Q1107" s="4">
        <f>IFERROR(I1107/H1107,0)</f>
        <v>28.788642201834861</v>
      </c>
      <c r="R1107" s="12">
        <f>IFERROR(J1107/I1107,0)</f>
        <v>2.7249319781437764</v>
      </c>
      <c r="S1107" s="7">
        <f>Tabla_nuevas_columnas[[#This Row],[ROAS]]</f>
        <v>2.7249319781437764</v>
      </c>
      <c r="T1107" t="str">
        <f>_xlfn.CONCAT(C1107,"-",D1107)</f>
        <v>Affiliate-Francia</v>
      </c>
      <c r="U1107">
        <f>YEAR(A1107)</f>
        <v>2025</v>
      </c>
      <c r="V1107">
        <f>MONTH(A1107)</f>
        <v>8</v>
      </c>
      <c r="W1107" t="str">
        <f>PROPER(TEXT(A1107,"mmmm"))</f>
        <v>Agosto</v>
      </c>
      <c r="X1107" t="str">
        <f>PROPER(TEXT(A1107,"dddd"))</f>
        <v>Martes</v>
      </c>
      <c r="Y1107" t="str" cm="1">
        <f t="array" ref="Y1107">_xlfn.IFS(R1107&gt;10,"Excelente",R1107&gt;=5,"Bueno",R1107&gt;=2,"Débil",R1107&lt;2,"Deficiente")</f>
        <v>Débil</v>
      </c>
      <c r="Z1107" t="str">
        <f>IF(AND(R1107&lt;2,Q1107&gt;=100),"Revisar","OK")</f>
        <v>OK</v>
      </c>
      <c r="AA1107" s="55">
        <f>_xlfn.XLOOKUP(C1107,'Preguntas de negocio'!$C$114:$C$119,'Preguntas de negocio'!$D$114:$D$119,0)</f>
        <v>4.5</v>
      </c>
      <c r="AB1107" s="55">
        <f>VLOOKUP(C1107,'Preguntas de negocio'!$C$121:$D$127,2,FALSE)</f>
        <v>0.35</v>
      </c>
    </row>
    <row r="1108" spans="1:28" x14ac:dyDescent="0.3">
      <c r="A1108" s="1">
        <v>45769</v>
      </c>
      <c r="B1108" s="2" t="s">
        <v>2644</v>
      </c>
      <c r="C1108" s="2" t="s">
        <v>2543</v>
      </c>
      <c r="D1108" s="2" t="s">
        <v>2531</v>
      </c>
      <c r="E1108" s="2" t="s">
        <v>2517</v>
      </c>
      <c r="F1108" s="3">
        <v>153892</v>
      </c>
      <c r="G1108" s="3">
        <v>4351</v>
      </c>
      <c r="H1108" s="3">
        <v>592</v>
      </c>
      <c r="I1108" s="4">
        <v>2324.62</v>
      </c>
      <c r="J1108" s="4">
        <v>112479.99</v>
      </c>
      <c r="K1108" s="3">
        <v>342</v>
      </c>
      <c r="L1108" s="2" t="s">
        <v>2539</v>
      </c>
      <c r="M1108" s="2" t="s">
        <v>2519</v>
      </c>
      <c r="N1108" s="8">
        <f>IFERROR(G1108/F1108,0)</f>
        <v>2.8273074623762121E-2</v>
      </c>
      <c r="O1108" s="8">
        <f>IFERROR(H1108/G1108,0)</f>
        <v>0.13606067570673408</v>
      </c>
      <c r="P1108" s="4">
        <f>IFERROR(I1108/G1108,0)</f>
        <v>0.53427258101585839</v>
      </c>
      <c r="Q1108" s="4">
        <f>IFERROR(I1108/H1108,0)</f>
        <v>3.9267229729729727</v>
      </c>
      <c r="R1108" s="12">
        <f>IFERROR(J1108/I1108,0)</f>
        <v>48.386398637196621</v>
      </c>
      <c r="S1108" s="7">
        <f>Tabla_nuevas_columnas[[#This Row],[ROAS]]</f>
        <v>48.386398637196621</v>
      </c>
      <c r="T1108" t="str">
        <f>_xlfn.CONCAT(C1108,"-",D1108)</f>
        <v>Organic Social-Portugal</v>
      </c>
      <c r="U1108">
        <f>YEAR(A1108)</f>
        <v>2025</v>
      </c>
      <c r="V1108">
        <f>MONTH(A1108)</f>
        <v>4</v>
      </c>
      <c r="W1108" t="str">
        <f>PROPER(TEXT(A1108,"mmmm"))</f>
        <v>Abril</v>
      </c>
      <c r="X1108" t="str">
        <f>PROPER(TEXT(A1108,"dddd"))</f>
        <v>Martes</v>
      </c>
      <c r="Y1108" t="str" cm="1">
        <f t="array" ref="Y1108">_xlfn.IFS(R1108&gt;10,"Excelente",R1108&gt;=5,"Bueno",R1108&gt;=2,"Débil",R1108&lt;2,"Deficiente")</f>
        <v>Excelente</v>
      </c>
      <c r="Z1108" t="str">
        <f>IF(AND(R1108&lt;2,Q1108&gt;=100),"Revisar","OK")</f>
        <v>OK</v>
      </c>
      <c r="AA1108" s="55">
        <f>_xlfn.XLOOKUP(C1108,'Preguntas de negocio'!$C$114:$C$119,'Preguntas de negocio'!$D$114:$D$119,0)</f>
        <v>4</v>
      </c>
      <c r="AB1108" s="55">
        <f>VLOOKUP(C1108,'Preguntas de negocio'!$C$121:$D$127,2,FALSE)</f>
        <v>0.95</v>
      </c>
    </row>
    <row r="1109" spans="1:28" x14ac:dyDescent="0.3">
      <c r="A1109" s="1">
        <v>45697</v>
      </c>
      <c r="B1109" s="2" t="s">
        <v>2621</v>
      </c>
      <c r="C1109" s="2" t="s">
        <v>2515</v>
      </c>
      <c r="D1109" s="2" t="s">
        <v>2528</v>
      </c>
      <c r="E1109" s="2" t="s">
        <v>2529</v>
      </c>
      <c r="F1109" s="3">
        <v>120267</v>
      </c>
      <c r="G1109" s="3">
        <v>5706</v>
      </c>
      <c r="H1109" s="3">
        <v>39</v>
      </c>
      <c r="I1109" s="4">
        <v>4394.7</v>
      </c>
      <c r="J1109" s="4">
        <v>6467.84</v>
      </c>
      <c r="K1109" s="3">
        <v>30</v>
      </c>
      <c r="L1109" s="2" t="s">
        <v>2518</v>
      </c>
      <c r="M1109" s="2" t="s">
        <v>2519</v>
      </c>
      <c r="N1109" s="8">
        <f>IFERROR(G1109/F1109,0)</f>
        <v>4.7444436129611613E-2</v>
      </c>
      <c r="O1109" s="8">
        <f>IFERROR(H1109/G1109,0)</f>
        <v>6.8349106203995794E-3</v>
      </c>
      <c r="P1109" s="4">
        <f>IFERROR(I1109/G1109,0)</f>
        <v>0.77018927444794949</v>
      </c>
      <c r="Q1109" s="4">
        <f>IFERROR(I1109/H1109,0)</f>
        <v>112.68461538461538</v>
      </c>
      <c r="R1109" s="12">
        <f>IFERROR(J1109/I1109,0)</f>
        <v>1.4717364097663095</v>
      </c>
      <c r="S1109" s="7">
        <f>Tabla_nuevas_columnas[[#This Row],[ROAS]]</f>
        <v>1.4717364097663095</v>
      </c>
      <c r="T1109" t="str">
        <f>_xlfn.CONCAT(C1109,"-",D1109)</f>
        <v>Email-España</v>
      </c>
      <c r="U1109">
        <f>YEAR(A1109)</f>
        <v>2025</v>
      </c>
      <c r="V1109">
        <f>MONTH(A1109)</f>
        <v>2</v>
      </c>
      <c r="W1109" t="str">
        <f>PROPER(TEXT(A1109,"mmmm"))</f>
        <v>Febrero</v>
      </c>
      <c r="X1109" t="str">
        <f>PROPER(TEXT(A1109,"dddd"))</f>
        <v>Domingo</v>
      </c>
      <c r="Y1109" t="str" cm="1">
        <f t="array" ref="Y1109">_xlfn.IFS(R1109&gt;10,"Excelente",R1109&gt;=5,"Bueno",R1109&gt;=2,"Débil",R1109&lt;2,"Deficiente")</f>
        <v>Deficiente</v>
      </c>
      <c r="Z1109" t="str">
        <f>IF(AND(R1109&lt;2,Q1109&gt;=100),"Revisar","OK")</f>
        <v>Revisar</v>
      </c>
      <c r="AA1109" s="55">
        <f>_xlfn.XLOOKUP(C1109,'Preguntas de negocio'!$C$114:$C$119,'Preguntas de negocio'!$D$114:$D$119,0)</f>
        <v>5.5</v>
      </c>
      <c r="AB1109" s="55">
        <f>VLOOKUP(C1109,'Preguntas de negocio'!$C$121:$D$127,2,FALSE)</f>
        <v>0.65</v>
      </c>
    </row>
    <row r="1110" spans="1:28" x14ac:dyDescent="0.3">
      <c r="A1110" s="1">
        <v>45669</v>
      </c>
      <c r="B1110" s="2" t="s">
        <v>2628</v>
      </c>
      <c r="C1110" s="2" t="s">
        <v>2541</v>
      </c>
      <c r="D1110" s="2" t="s">
        <v>2528</v>
      </c>
      <c r="E1110" s="2" t="s">
        <v>2517</v>
      </c>
      <c r="F1110" s="3">
        <v>165467</v>
      </c>
      <c r="G1110" s="3">
        <v>12688</v>
      </c>
      <c r="H1110" s="3">
        <v>614</v>
      </c>
      <c r="I1110" s="4">
        <v>1724.43</v>
      </c>
      <c r="J1110" s="4">
        <v>86264.88</v>
      </c>
      <c r="K1110" s="3">
        <v>399</v>
      </c>
      <c r="L1110" s="2" t="s">
        <v>2536</v>
      </c>
      <c r="M1110" s="2" t="s">
        <v>2537</v>
      </c>
      <c r="N1110" s="8">
        <f>IFERROR(G1110/F1110,0)</f>
        <v>7.6679942224129286E-2</v>
      </c>
      <c r="O1110" s="8">
        <f>IFERROR(H1110/G1110,0)</f>
        <v>4.8392181588902898E-2</v>
      </c>
      <c r="P1110" s="4">
        <f>IFERROR(I1110/G1110,0)</f>
        <v>0.13591030895334175</v>
      </c>
      <c r="Q1110" s="4">
        <f>IFERROR(I1110/H1110,0)</f>
        <v>2.8085179153094462</v>
      </c>
      <c r="R1110" s="12">
        <f>IFERROR(J1110/I1110,0)</f>
        <v>50.02515613855013</v>
      </c>
      <c r="S1110" s="7">
        <f>Tabla_nuevas_columnas[[#This Row],[ROAS]]</f>
        <v>50.02515613855013</v>
      </c>
      <c r="T1110" t="str">
        <f>_xlfn.CONCAT(C1110,"-",D1110)</f>
        <v>Display-España</v>
      </c>
      <c r="U1110">
        <f>YEAR(A1110)</f>
        <v>2025</v>
      </c>
      <c r="V1110">
        <f>MONTH(A1110)</f>
        <v>1</v>
      </c>
      <c r="W1110" t="str">
        <f>PROPER(TEXT(A1110,"mmmm"))</f>
        <v>Enero</v>
      </c>
      <c r="X1110" t="str">
        <f>PROPER(TEXT(A1110,"dddd"))</f>
        <v>Domingo</v>
      </c>
      <c r="Y1110" t="str" cm="1">
        <f t="array" ref="Y1110">_xlfn.IFS(R1110&gt;10,"Excelente",R1110&gt;=5,"Bueno",R1110&gt;=2,"Débil",R1110&lt;2,"Deficiente")</f>
        <v>Excelente</v>
      </c>
      <c r="Z1110" t="str">
        <f>IF(AND(R1110&lt;2,Q1110&gt;=100),"Revisar","OK")</f>
        <v>OK</v>
      </c>
      <c r="AA1110" s="55">
        <f>_xlfn.XLOOKUP(C1110,'Preguntas de negocio'!$C$114:$C$119,'Preguntas de negocio'!$D$114:$D$119,0)</f>
        <v>5</v>
      </c>
      <c r="AB1110" s="55">
        <f>VLOOKUP(C1110,'Preguntas de negocio'!$C$121:$D$127,2,FALSE)</f>
        <v>0.5</v>
      </c>
    </row>
    <row r="1111" spans="1:28" x14ac:dyDescent="0.3">
      <c r="A1111" s="1">
        <v>45690</v>
      </c>
      <c r="B1111" s="2" t="s">
        <v>2628</v>
      </c>
      <c r="C1111" s="2" t="s">
        <v>2541</v>
      </c>
      <c r="D1111" s="2" t="s">
        <v>2525</v>
      </c>
      <c r="E1111" s="2" t="s">
        <v>2517</v>
      </c>
      <c r="F1111" s="3">
        <v>37891</v>
      </c>
      <c r="G1111" s="3">
        <v>2758</v>
      </c>
      <c r="H1111" s="3">
        <v>181</v>
      </c>
      <c r="I1111" s="4">
        <v>5207.95</v>
      </c>
      <c r="J1111" s="4">
        <v>5831.83</v>
      </c>
      <c r="K1111" s="3">
        <v>157</v>
      </c>
      <c r="L1111" s="2" t="s">
        <v>2536</v>
      </c>
      <c r="M1111" s="2" t="s">
        <v>2537</v>
      </c>
      <c r="N1111" s="8">
        <f>IFERROR(G1111/F1111,0)</f>
        <v>7.2787733234805099E-2</v>
      </c>
      <c r="O1111" s="8">
        <f>IFERROR(H1111/G1111,0)</f>
        <v>6.5627266134880347E-2</v>
      </c>
      <c r="P1111" s="4">
        <f>IFERROR(I1111/G1111,0)</f>
        <v>1.8883067440174039</v>
      </c>
      <c r="Q1111" s="4">
        <f>IFERROR(I1111/H1111,0)</f>
        <v>28.773204419889503</v>
      </c>
      <c r="R1111" s="12">
        <f>IFERROR(J1111/I1111,0)</f>
        <v>1.1197937768219741</v>
      </c>
      <c r="S1111" s="7">
        <f>Tabla_nuevas_columnas[[#This Row],[ROAS]]</f>
        <v>1.1197937768219741</v>
      </c>
      <c r="T1111" t="str">
        <f>_xlfn.CONCAT(C1111,"-",D1111)</f>
        <v>Display-Francia</v>
      </c>
      <c r="U1111">
        <f>YEAR(A1111)</f>
        <v>2025</v>
      </c>
      <c r="V1111">
        <f>MONTH(A1111)</f>
        <v>2</v>
      </c>
      <c r="W1111" t="str">
        <f>PROPER(TEXT(A1111,"mmmm"))</f>
        <v>Febrero</v>
      </c>
      <c r="X1111" t="str">
        <f>PROPER(TEXT(A1111,"dddd"))</f>
        <v>Domingo</v>
      </c>
      <c r="Y1111" t="str" cm="1">
        <f t="array" ref="Y1111">_xlfn.IFS(R1111&gt;10,"Excelente",R1111&gt;=5,"Bueno",R1111&gt;=2,"Débil",R1111&lt;2,"Deficiente")</f>
        <v>Deficiente</v>
      </c>
      <c r="Z1111" t="str">
        <f>IF(AND(R1111&lt;2,Q1111&gt;=100),"Revisar","OK")</f>
        <v>OK</v>
      </c>
      <c r="AA1111" s="55">
        <f>_xlfn.XLOOKUP(C1111,'Preguntas de negocio'!$C$114:$C$119,'Preguntas de negocio'!$D$114:$D$119,0)</f>
        <v>5</v>
      </c>
      <c r="AB1111" s="55">
        <f>VLOOKUP(C1111,'Preguntas de negocio'!$C$121:$D$127,2,FALSE)</f>
        <v>0.5</v>
      </c>
    </row>
    <row r="1112" spans="1:28" x14ac:dyDescent="0.3">
      <c r="A1112" s="1">
        <v>45896</v>
      </c>
      <c r="B1112" s="2" t="s">
        <v>2633</v>
      </c>
      <c r="C1112" s="2" t="s">
        <v>2527</v>
      </c>
      <c r="D1112" s="2" t="s">
        <v>2516</v>
      </c>
      <c r="E1112" s="2" t="s">
        <v>2517</v>
      </c>
      <c r="F1112" s="3">
        <v>24161</v>
      </c>
      <c r="G1112" s="3">
        <v>262</v>
      </c>
      <c r="H1112" s="3">
        <v>18</v>
      </c>
      <c r="I1112" s="4">
        <v>37.49</v>
      </c>
      <c r="J1112" s="4">
        <v>2225.7600000000002</v>
      </c>
      <c r="K1112" s="3">
        <v>10</v>
      </c>
      <c r="L1112" s="2" t="s">
        <v>2518</v>
      </c>
      <c r="M1112" s="2" t="s">
        <v>2537</v>
      </c>
      <c r="N1112" s="8">
        <f>IFERROR(G1112/F1112,0)</f>
        <v>1.084392202309507E-2</v>
      </c>
      <c r="O1112" s="8">
        <f>IFERROR(H1112/G1112,0)</f>
        <v>6.8702290076335881E-2</v>
      </c>
      <c r="P1112" s="4">
        <f>IFERROR(I1112/G1112,0)</f>
        <v>0.14309160305343513</v>
      </c>
      <c r="Q1112" s="4">
        <f>IFERROR(I1112/H1112,0)</f>
        <v>2.0827777777777778</v>
      </c>
      <c r="R1112" s="12">
        <f>IFERROR(J1112/I1112,0)</f>
        <v>59.369431848492937</v>
      </c>
      <c r="S1112" s="7">
        <f>Tabla_nuevas_columnas[[#This Row],[ROAS]]</f>
        <v>59.369431848492937</v>
      </c>
      <c r="T1112" t="str">
        <f>_xlfn.CONCAT(C1112,"-",D1112)</f>
        <v>Affiliate-México</v>
      </c>
      <c r="U1112">
        <f>YEAR(A1112)</f>
        <v>2025</v>
      </c>
      <c r="V1112">
        <f>MONTH(A1112)</f>
        <v>8</v>
      </c>
      <c r="W1112" t="str">
        <f>PROPER(TEXT(A1112,"mmmm"))</f>
        <v>Agosto</v>
      </c>
      <c r="X1112" t="str">
        <f>PROPER(TEXT(A1112,"dddd"))</f>
        <v>Miércoles</v>
      </c>
      <c r="Y1112" t="str" cm="1">
        <f t="array" ref="Y1112">_xlfn.IFS(R1112&gt;10,"Excelente",R1112&gt;=5,"Bueno",R1112&gt;=2,"Débil",R1112&lt;2,"Deficiente")</f>
        <v>Excelente</v>
      </c>
      <c r="Z1112" t="str">
        <f>IF(AND(R1112&lt;2,Q1112&gt;=100),"Revisar","OK")</f>
        <v>OK</v>
      </c>
      <c r="AA1112" s="55">
        <f>_xlfn.XLOOKUP(C1112,'Preguntas de negocio'!$C$114:$C$119,'Preguntas de negocio'!$D$114:$D$119,0)</f>
        <v>4.5</v>
      </c>
      <c r="AB1112" s="55">
        <f>VLOOKUP(C1112,'Preguntas de negocio'!$C$121:$D$127,2,FALSE)</f>
        <v>0.35</v>
      </c>
    </row>
    <row r="1113" spans="1:28" x14ac:dyDescent="0.3">
      <c r="A1113" s="1">
        <v>45725</v>
      </c>
      <c r="B1113" s="2" t="s">
        <v>2635</v>
      </c>
      <c r="C1113" s="2" t="s">
        <v>2543</v>
      </c>
      <c r="D1113" s="2" t="s">
        <v>2528</v>
      </c>
      <c r="E1113" s="2" t="s">
        <v>2529</v>
      </c>
      <c r="F1113" s="3">
        <v>40760</v>
      </c>
      <c r="G1113" s="3">
        <v>2082</v>
      </c>
      <c r="H1113" s="3">
        <v>161</v>
      </c>
      <c r="I1113" s="4">
        <v>1279.8800000000001</v>
      </c>
      <c r="J1113" s="4">
        <v>16700.439999999999</v>
      </c>
      <c r="K1113" s="3">
        <v>113</v>
      </c>
      <c r="L1113" s="2" t="s">
        <v>2536</v>
      </c>
      <c r="M1113" s="2" t="s">
        <v>2519</v>
      </c>
      <c r="N1113" s="8">
        <f>IFERROR(G1113/F1113,0)</f>
        <v>5.1079489695780175E-2</v>
      </c>
      <c r="O1113" s="8">
        <f>IFERROR(H1113/G1113,0)</f>
        <v>7.7329490874159468E-2</v>
      </c>
      <c r="P1113" s="4">
        <f>IFERROR(I1113/G1113,0)</f>
        <v>0.6147358309317964</v>
      </c>
      <c r="Q1113" s="4">
        <f>IFERROR(I1113/H1113,0)</f>
        <v>7.9495652173913047</v>
      </c>
      <c r="R1113" s="12">
        <f>IFERROR(J1113/I1113,0)</f>
        <v>13.048442041441383</v>
      </c>
      <c r="S1113" s="7">
        <f>Tabla_nuevas_columnas[[#This Row],[ROAS]]</f>
        <v>13.048442041441383</v>
      </c>
      <c r="T1113" t="str">
        <f>_xlfn.CONCAT(C1113,"-",D1113)</f>
        <v>Organic Social-España</v>
      </c>
      <c r="U1113">
        <f>YEAR(A1113)</f>
        <v>2025</v>
      </c>
      <c r="V1113">
        <f>MONTH(A1113)</f>
        <v>3</v>
      </c>
      <c r="W1113" t="str">
        <f>PROPER(TEXT(A1113,"mmmm"))</f>
        <v>Marzo</v>
      </c>
      <c r="X1113" t="str">
        <f>PROPER(TEXT(A1113,"dddd"))</f>
        <v>Domingo</v>
      </c>
      <c r="Y1113" t="str" cm="1">
        <f t="array" ref="Y1113">_xlfn.IFS(R1113&gt;10,"Excelente",R1113&gt;=5,"Bueno",R1113&gt;=2,"Débil",R1113&lt;2,"Deficiente")</f>
        <v>Excelente</v>
      </c>
      <c r="Z1113" t="str">
        <f>IF(AND(R1113&lt;2,Q1113&gt;=100),"Revisar","OK")</f>
        <v>OK</v>
      </c>
      <c r="AA1113" s="55">
        <f>_xlfn.XLOOKUP(C1113,'Preguntas de negocio'!$C$114:$C$119,'Preguntas de negocio'!$D$114:$D$119,0)</f>
        <v>4</v>
      </c>
      <c r="AB1113" s="55">
        <f>VLOOKUP(C1113,'Preguntas de negocio'!$C$121:$D$127,2,FALSE)</f>
        <v>0.95</v>
      </c>
    </row>
    <row r="1114" spans="1:28" x14ac:dyDescent="0.3">
      <c r="A1114" s="1">
        <v>45801</v>
      </c>
      <c r="B1114" s="2" t="s">
        <v>2644</v>
      </c>
      <c r="C1114" s="2" t="s">
        <v>2543</v>
      </c>
      <c r="D1114" s="2" t="s">
        <v>2528</v>
      </c>
      <c r="E1114" s="2" t="s">
        <v>2529</v>
      </c>
      <c r="F1114" s="3">
        <v>92634</v>
      </c>
      <c r="G1114" s="3">
        <v>511</v>
      </c>
      <c r="H1114" s="3">
        <v>27</v>
      </c>
      <c r="I1114" s="4">
        <v>631.42999999999995</v>
      </c>
      <c r="J1114" s="4">
        <v>3473.7</v>
      </c>
      <c r="K1114" s="3">
        <v>19</v>
      </c>
      <c r="L1114" s="2" t="s">
        <v>2523</v>
      </c>
      <c r="M1114" s="2" t="s">
        <v>2537</v>
      </c>
      <c r="N1114" s="8">
        <f>IFERROR(G1114/F1114,0)</f>
        <v>5.5163330958395403E-3</v>
      </c>
      <c r="O1114" s="8">
        <f>IFERROR(H1114/G1114,0)</f>
        <v>5.2837573385518588E-2</v>
      </c>
      <c r="P1114" s="4">
        <f>IFERROR(I1114/G1114,0)</f>
        <v>1.2356751467710372</v>
      </c>
      <c r="Q1114" s="4">
        <f>IFERROR(I1114/H1114,0)</f>
        <v>23.386296296296294</v>
      </c>
      <c r="R1114" s="12">
        <f>IFERROR(J1114/I1114,0)</f>
        <v>5.5013223951982013</v>
      </c>
      <c r="S1114" s="7">
        <f>Tabla_nuevas_columnas[[#This Row],[ROAS]]</f>
        <v>5.5013223951982013</v>
      </c>
      <c r="T1114" t="str">
        <f>_xlfn.CONCAT(C1114,"-",D1114)</f>
        <v>Organic Social-España</v>
      </c>
      <c r="U1114">
        <f>YEAR(A1114)</f>
        <v>2025</v>
      </c>
      <c r="V1114">
        <f>MONTH(A1114)</f>
        <v>5</v>
      </c>
      <c r="W1114" t="str">
        <f>PROPER(TEXT(A1114,"mmmm"))</f>
        <v>Mayo</v>
      </c>
      <c r="X1114" t="str">
        <f>PROPER(TEXT(A1114,"dddd"))</f>
        <v>Sábado</v>
      </c>
      <c r="Y1114" t="str" cm="1">
        <f t="array" ref="Y1114">_xlfn.IFS(R1114&gt;10,"Excelente",R1114&gt;=5,"Bueno",R1114&gt;=2,"Débil",R1114&lt;2,"Deficiente")</f>
        <v>Bueno</v>
      </c>
      <c r="Z1114" t="str">
        <f>IF(AND(R1114&lt;2,Q1114&gt;=100),"Revisar","OK")</f>
        <v>OK</v>
      </c>
      <c r="AA1114" s="55">
        <f>_xlfn.XLOOKUP(C1114,'Preguntas de negocio'!$C$114:$C$119,'Preguntas de negocio'!$D$114:$D$119,0)</f>
        <v>4</v>
      </c>
      <c r="AB1114" s="55">
        <f>VLOOKUP(C1114,'Preguntas de negocio'!$C$121:$D$127,2,FALSE)</f>
        <v>0.95</v>
      </c>
    </row>
    <row r="1115" spans="1:28" x14ac:dyDescent="0.3">
      <c r="A1115" s="1">
        <v>45890</v>
      </c>
      <c r="B1115" s="2" t="s">
        <v>2618</v>
      </c>
      <c r="C1115" s="2" t="s">
        <v>2543</v>
      </c>
      <c r="D1115" s="2" t="s">
        <v>2528</v>
      </c>
      <c r="E1115" s="2" t="s">
        <v>2517</v>
      </c>
      <c r="F1115" s="3">
        <v>140978</v>
      </c>
      <c r="G1115" s="3">
        <v>783</v>
      </c>
      <c r="H1115" s="3">
        <v>6</v>
      </c>
      <c r="I1115" s="4">
        <v>1039.4000000000001</v>
      </c>
      <c r="J1115" s="4">
        <v>903.5</v>
      </c>
      <c r="K1115" s="3">
        <v>3</v>
      </c>
      <c r="L1115" s="2" t="s">
        <v>2536</v>
      </c>
      <c r="M1115" s="2" t="s">
        <v>2524</v>
      </c>
      <c r="N1115" s="8">
        <f>IFERROR(G1115/F1115,0)</f>
        <v>5.5540580799841111E-3</v>
      </c>
      <c r="O1115" s="8">
        <f>IFERROR(H1115/G1115,0)</f>
        <v>7.6628352490421452E-3</v>
      </c>
      <c r="P1115" s="4">
        <f>IFERROR(I1115/G1115,0)</f>
        <v>1.3274584929757345</v>
      </c>
      <c r="Q1115" s="4">
        <f>IFERROR(I1115/H1115,0)</f>
        <v>173.23333333333335</v>
      </c>
      <c r="R1115" s="12">
        <f>IFERROR(J1115/I1115,0)</f>
        <v>0.86925149124494894</v>
      </c>
      <c r="S1115" s="7">
        <f>Tabla_nuevas_columnas[[#This Row],[ROAS]]</f>
        <v>0.86925149124494894</v>
      </c>
      <c r="T1115" t="str">
        <f>_xlfn.CONCAT(C1115,"-",D1115)</f>
        <v>Organic Social-España</v>
      </c>
      <c r="U1115">
        <f>YEAR(A1115)</f>
        <v>2025</v>
      </c>
      <c r="V1115">
        <f>MONTH(A1115)</f>
        <v>8</v>
      </c>
      <c r="W1115" t="str">
        <f>PROPER(TEXT(A1115,"mmmm"))</f>
        <v>Agosto</v>
      </c>
      <c r="X1115" t="str">
        <f>PROPER(TEXT(A1115,"dddd"))</f>
        <v>Jueves</v>
      </c>
      <c r="Y1115" t="str" cm="1">
        <f t="array" ref="Y1115">_xlfn.IFS(R1115&gt;10,"Excelente",R1115&gt;=5,"Bueno",R1115&gt;=2,"Débil",R1115&lt;2,"Deficiente")</f>
        <v>Deficiente</v>
      </c>
      <c r="Z1115" t="str">
        <f>IF(AND(R1115&lt;2,Q1115&gt;=100),"Revisar","OK")</f>
        <v>Revisar</v>
      </c>
      <c r="AA1115" s="55">
        <f>_xlfn.XLOOKUP(C1115,'Preguntas de negocio'!$C$114:$C$119,'Preguntas de negocio'!$D$114:$D$119,0)</f>
        <v>4</v>
      </c>
      <c r="AB1115" s="55">
        <f>VLOOKUP(C1115,'Preguntas de negocio'!$C$121:$D$127,2,FALSE)</f>
        <v>0.95</v>
      </c>
    </row>
    <row r="1116" spans="1:28" x14ac:dyDescent="0.3">
      <c r="A1116" s="1">
        <v>45672</v>
      </c>
      <c r="B1116" s="2" t="s">
        <v>2638</v>
      </c>
      <c r="C1116" s="2" t="s">
        <v>2541</v>
      </c>
      <c r="D1116" s="2" t="s">
        <v>2525</v>
      </c>
      <c r="E1116" s="2" t="s">
        <v>2529</v>
      </c>
      <c r="F1116" s="3">
        <v>21672</v>
      </c>
      <c r="G1116" s="3">
        <v>842</v>
      </c>
      <c r="H1116" s="3">
        <v>102</v>
      </c>
      <c r="I1116" s="4">
        <v>1127.49</v>
      </c>
      <c r="J1116" s="4">
        <v>3576.72</v>
      </c>
      <c r="K1116" s="3">
        <v>73</v>
      </c>
      <c r="L1116" s="2" t="s">
        <v>2523</v>
      </c>
      <c r="M1116" s="2" t="s">
        <v>2546</v>
      </c>
      <c r="N1116" s="8">
        <f>IFERROR(G1116/F1116,0)</f>
        <v>3.8851974898486526E-2</v>
      </c>
      <c r="O1116" s="8">
        <f>IFERROR(H1116/G1116,0)</f>
        <v>0.12114014251781473</v>
      </c>
      <c r="P1116" s="4">
        <f>IFERROR(I1116/G1116,0)</f>
        <v>1.339061757719715</v>
      </c>
      <c r="Q1116" s="4">
        <f>IFERROR(I1116/H1116,0)</f>
        <v>11.053823529411765</v>
      </c>
      <c r="R1116" s="12">
        <f>IFERROR(J1116/I1116,0)</f>
        <v>3.1722853417768668</v>
      </c>
      <c r="S1116" s="7">
        <f>Tabla_nuevas_columnas[[#This Row],[ROAS]]</f>
        <v>3.1722853417768668</v>
      </c>
      <c r="T1116" t="str">
        <f>_xlfn.CONCAT(C1116,"-",D1116)</f>
        <v>Display-Francia</v>
      </c>
      <c r="U1116">
        <f>YEAR(A1116)</f>
        <v>2025</v>
      </c>
      <c r="V1116">
        <f>MONTH(A1116)</f>
        <v>1</v>
      </c>
      <c r="W1116" t="str">
        <f>PROPER(TEXT(A1116,"mmmm"))</f>
        <v>Enero</v>
      </c>
      <c r="X1116" t="str">
        <f>PROPER(TEXT(A1116,"dddd"))</f>
        <v>Miércoles</v>
      </c>
      <c r="Y1116" t="str" cm="1">
        <f t="array" ref="Y1116">_xlfn.IFS(R1116&gt;10,"Excelente",R1116&gt;=5,"Bueno",R1116&gt;=2,"Débil",R1116&lt;2,"Deficiente")</f>
        <v>Débil</v>
      </c>
      <c r="Z1116" t="str">
        <f>IF(AND(R1116&lt;2,Q1116&gt;=100),"Revisar","OK")</f>
        <v>OK</v>
      </c>
      <c r="AA1116" s="55">
        <f>_xlfn.XLOOKUP(C1116,'Preguntas de negocio'!$C$114:$C$119,'Preguntas de negocio'!$D$114:$D$119,0)</f>
        <v>5</v>
      </c>
      <c r="AB1116" s="55">
        <f>VLOOKUP(C1116,'Preguntas de negocio'!$C$121:$D$127,2,FALSE)</f>
        <v>0.5</v>
      </c>
    </row>
    <row r="1117" spans="1:28" x14ac:dyDescent="0.3">
      <c r="A1117" s="1">
        <v>45753</v>
      </c>
      <c r="B1117" s="2" t="s">
        <v>2624</v>
      </c>
      <c r="C1117" s="2" t="s">
        <v>2533</v>
      </c>
      <c r="D1117" s="2" t="s">
        <v>2528</v>
      </c>
      <c r="E1117" s="2" t="s">
        <v>2517</v>
      </c>
      <c r="F1117" s="3">
        <v>149238</v>
      </c>
      <c r="G1117" s="3">
        <v>3909</v>
      </c>
      <c r="H1117" s="3">
        <v>479</v>
      </c>
      <c r="I1117" s="4">
        <v>5288.3</v>
      </c>
      <c r="J1117" s="4">
        <v>13907.99</v>
      </c>
      <c r="K1117" s="3">
        <v>269</v>
      </c>
      <c r="L1117" s="2" t="s">
        <v>2539</v>
      </c>
      <c r="M1117" s="2" t="s">
        <v>2524</v>
      </c>
      <c r="N1117" s="8">
        <f>IFERROR(G1117/F1117,0)</f>
        <v>2.6193060748602903E-2</v>
      </c>
      <c r="O1117" s="8">
        <f>IFERROR(H1117/G1117,0)</f>
        <v>0.12253773343566129</v>
      </c>
      <c r="P1117" s="4">
        <f>IFERROR(I1117/G1117,0)</f>
        <v>1.3528523919160911</v>
      </c>
      <c r="Q1117" s="4">
        <f>IFERROR(I1117/H1117,0)</f>
        <v>11.040292275574114</v>
      </c>
      <c r="R1117" s="12">
        <f>IFERROR(J1117/I1117,0)</f>
        <v>2.6299548058922526</v>
      </c>
      <c r="S1117" s="7">
        <f>Tabla_nuevas_columnas[[#This Row],[ROAS]]</f>
        <v>2.6299548058922526</v>
      </c>
      <c r="T1117" t="str">
        <f>_xlfn.CONCAT(C1117,"-",D1117)</f>
        <v>Paid Social-España</v>
      </c>
      <c r="U1117">
        <f>YEAR(A1117)</f>
        <v>2025</v>
      </c>
      <c r="V1117">
        <f>MONTH(A1117)</f>
        <v>4</v>
      </c>
      <c r="W1117" t="str">
        <f>PROPER(TEXT(A1117,"mmmm"))</f>
        <v>Abril</v>
      </c>
      <c r="X1117" t="str">
        <f>PROPER(TEXT(A1117,"dddd"))</f>
        <v>Domingo</v>
      </c>
      <c r="Y1117" t="str" cm="1">
        <f t="array" ref="Y1117">_xlfn.IFS(R1117&gt;10,"Excelente",R1117&gt;=5,"Bueno",R1117&gt;=2,"Débil",R1117&lt;2,"Deficiente")</f>
        <v>Débil</v>
      </c>
      <c r="Z1117" t="str">
        <f>IF(AND(R1117&lt;2,Q1117&gt;=100),"Revisar","OK")</f>
        <v>OK</v>
      </c>
      <c r="AA1117" s="55">
        <f>_xlfn.XLOOKUP(C1117,'Preguntas de negocio'!$C$114:$C$119,'Preguntas de negocio'!$D$114:$D$119,0)</f>
        <v>6</v>
      </c>
      <c r="AB1117" s="55">
        <f>VLOOKUP(C1117,'Preguntas de negocio'!$C$121:$D$127,2,FALSE)</f>
        <v>0.8</v>
      </c>
    </row>
    <row r="1118" spans="1:28" x14ac:dyDescent="0.3">
      <c r="A1118" s="1">
        <v>45933</v>
      </c>
      <c r="B1118" s="2" t="s">
        <v>2639</v>
      </c>
      <c r="C1118" s="2" t="s">
        <v>2541</v>
      </c>
      <c r="D1118" s="2" t="s">
        <v>2525</v>
      </c>
      <c r="E1118" s="2" t="s">
        <v>2529</v>
      </c>
      <c r="F1118" s="3">
        <v>7179</v>
      </c>
      <c r="G1118" s="3">
        <v>345</v>
      </c>
      <c r="H1118" s="3">
        <v>28</v>
      </c>
      <c r="I1118" s="4">
        <v>57.28</v>
      </c>
      <c r="J1118" s="4">
        <v>3805.99</v>
      </c>
      <c r="K1118" s="3">
        <v>23</v>
      </c>
      <c r="L1118" s="2" t="s">
        <v>2523</v>
      </c>
      <c r="M1118" s="2" t="s">
        <v>2526</v>
      </c>
      <c r="N1118" s="8">
        <f>IFERROR(G1118/F1118,0)</f>
        <v>4.8056832427914753E-2</v>
      </c>
      <c r="O1118" s="8">
        <f>IFERROR(H1118/G1118,0)</f>
        <v>8.1159420289855067E-2</v>
      </c>
      <c r="P1118" s="4">
        <f>IFERROR(I1118/G1118,0)</f>
        <v>0.16602898550724637</v>
      </c>
      <c r="Q1118" s="4">
        <f>IFERROR(I1118/H1118,0)</f>
        <v>2.0457142857142858</v>
      </c>
      <c r="R1118" s="12">
        <f>IFERROR(J1118/I1118,0)</f>
        <v>66.445356145251395</v>
      </c>
      <c r="S1118" s="7">
        <f>Tabla_nuevas_columnas[[#This Row],[ROAS]]</f>
        <v>66.445356145251395</v>
      </c>
      <c r="T1118" t="str">
        <f>_xlfn.CONCAT(C1118,"-",D1118)</f>
        <v>Display-Francia</v>
      </c>
      <c r="U1118">
        <f>YEAR(A1118)</f>
        <v>2025</v>
      </c>
      <c r="V1118">
        <f>MONTH(A1118)</f>
        <v>10</v>
      </c>
      <c r="W1118" t="str">
        <f>PROPER(TEXT(A1118,"mmmm"))</f>
        <v>Octubre</v>
      </c>
      <c r="X1118" t="str">
        <f>PROPER(TEXT(A1118,"dddd"))</f>
        <v>Viernes</v>
      </c>
      <c r="Y1118" t="str" cm="1">
        <f t="array" ref="Y1118">_xlfn.IFS(R1118&gt;10,"Excelente",R1118&gt;=5,"Bueno",R1118&gt;=2,"Débil",R1118&lt;2,"Deficiente")</f>
        <v>Excelente</v>
      </c>
      <c r="Z1118" t="str">
        <f>IF(AND(R1118&lt;2,Q1118&gt;=100),"Revisar","OK")</f>
        <v>OK</v>
      </c>
      <c r="AA1118" s="55">
        <f>_xlfn.XLOOKUP(C1118,'Preguntas de negocio'!$C$114:$C$119,'Preguntas de negocio'!$D$114:$D$119,0)</f>
        <v>5</v>
      </c>
      <c r="AB1118" s="55">
        <f>VLOOKUP(C1118,'Preguntas de negocio'!$C$121:$D$127,2,FALSE)</f>
        <v>0.5</v>
      </c>
    </row>
    <row r="1119" spans="1:28" x14ac:dyDescent="0.3">
      <c r="A1119" s="1">
        <v>45928</v>
      </c>
      <c r="B1119" s="2" t="s">
        <v>2642</v>
      </c>
      <c r="C1119" s="2" t="s">
        <v>2543</v>
      </c>
      <c r="D1119" s="2" t="s">
        <v>2528</v>
      </c>
      <c r="E1119" s="2" t="s">
        <v>2517</v>
      </c>
      <c r="F1119" s="3">
        <v>145285</v>
      </c>
      <c r="G1119" s="3">
        <v>9434</v>
      </c>
      <c r="H1119" s="3">
        <v>268</v>
      </c>
      <c r="I1119" s="4">
        <v>5133.46</v>
      </c>
      <c r="J1119" s="4">
        <v>18332.810000000001</v>
      </c>
      <c r="K1119" s="3">
        <v>129</v>
      </c>
      <c r="L1119" s="2" t="s">
        <v>2523</v>
      </c>
      <c r="M1119" s="2" t="s">
        <v>2524</v>
      </c>
      <c r="N1119" s="8">
        <f>IFERROR(G1119/F1119,0)</f>
        <v>6.4934439205699149E-2</v>
      </c>
      <c r="O1119" s="8">
        <f>IFERROR(H1119/G1119,0)</f>
        <v>2.8407886368454528E-2</v>
      </c>
      <c r="P1119" s="4">
        <f>IFERROR(I1119/G1119,0)</f>
        <v>0.54414458342166627</v>
      </c>
      <c r="Q1119" s="4">
        <f>IFERROR(I1119/H1119,0)</f>
        <v>19.154701492537313</v>
      </c>
      <c r="R1119" s="12">
        <f>IFERROR(J1119/I1119,0)</f>
        <v>3.571238501907096</v>
      </c>
      <c r="S1119" s="7">
        <f>Tabla_nuevas_columnas[[#This Row],[ROAS]]</f>
        <v>3.571238501907096</v>
      </c>
      <c r="T1119" t="str">
        <f>_xlfn.CONCAT(C1119,"-",D1119)</f>
        <v>Organic Social-España</v>
      </c>
      <c r="U1119">
        <f>YEAR(A1119)</f>
        <v>2025</v>
      </c>
      <c r="V1119">
        <f>MONTH(A1119)</f>
        <v>9</v>
      </c>
      <c r="W1119" t="str">
        <f>PROPER(TEXT(A1119,"mmmm"))</f>
        <v>Septiembre</v>
      </c>
      <c r="X1119" t="str">
        <f>PROPER(TEXT(A1119,"dddd"))</f>
        <v>Domingo</v>
      </c>
      <c r="Y1119" t="str" cm="1">
        <f t="array" ref="Y1119">_xlfn.IFS(R1119&gt;10,"Excelente",R1119&gt;=5,"Bueno",R1119&gt;=2,"Débil",R1119&lt;2,"Deficiente")</f>
        <v>Débil</v>
      </c>
      <c r="Z1119" t="str">
        <f>IF(AND(R1119&lt;2,Q1119&gt;=100),"Revisar","OK")</f>
        <v>OK</v>
      </c>
      <c r="AA1119" s="55">
        <f>_xlfn.XLOOKUP(C1119,'Preguntas de negocio'!$C$114:$C$119,'Preguntas de negocio'!$D$114:$D$119,0)</f>
        <v>4</v>
      </c>
      <c r="AB1119" s="55">
        <f>VLOOKUP(C1119,'Preguntas de negocio'!$C$121:$D$127,2,FALSE)</f>
        <v>0.95</v>
      </c>
    </row>
    <row r="1120" spans="1:28" x14ac:dyDescent="0.3">
      <c r="A1120" s="1">
        <v>45693</v>
      </c>
      <c r="B1120" s="2" t="s">
        <v>2641</v>
      </c>
      <c r="C1120" s="2" t="s">
        <v>2527</v>
      </c>
      <c r="D1120" s="2" t="s">
        <v>2528</v>
      </c>
      <c r="E1120" s="2" t="s">
        <v>2517</v>
      </c>
      <c r="F1120" s="3">
        <v>107252</v>
      </c>
      <c r="G1120" s="3">
        <v>2414</v>
      </c>
      <c r="H1120" s="3">
        <v>272</v>
      </c>
      <c r="I1120" s="4">
        <v>3505.07</v>
      </c>
      <c r="J1120" s="4">
        <v>35706</v>
      </c>
      <c r="K1120" s="3">
        <v>192</v>
      </c>
      <c r="L1120" s="2" t="s">
        <v>2518</v>
      </c>
      <c r="M1120" s="2" t="s">
        <v>2524</v>
      </c>
      <c r="N1120" s="8">
        <f>IFERROR(G1120/F1120,0)</f>
        <v>2.2507738783425948E-2</v>
      </c>
      <c r="O1120" s="8">
        <f>IFERROR(H1120/G1120,0)</f>
        <v>0.11267605633802817</v>
      </c>
      <c r="P1120" s="4">
        <f>IFERROR(I1120/G1120,0)</f>
        <v>1.4519759734879869</v>
      </c>
      <c r="Q1120" s="4">
        <f>IFERROR(I1120/H1120,0)</f>
        <v>12.886286764705883</v>
      </c>
      <c r="R1120" s="12">
        <f>IFERROR(J1120/I1120,0)</f>
        <v>10.186957749773898</v>
      </c>
      <c r="S1120" s="7">
        <f>Tabla_nuevas_columnas[[#This Row],[ROAS]]</f>
        <v>10.186957749773898</v>
      </c>
      <c r="T1120" t="str">
        <f>_xlfn.CONCAT(C1120,"-",D1120)</f>
        <v>Affiliate-España</v>
      </c>
      <c r="U1120">
        <f>YEAR(A1120)</f>
        <v>2025</v>
      </c>
      <c r="V1120">
        <f>MONTH(A1120)</f>
        <v>2</v>
      </c>
      <c r="W1120" t="str">
        <f>PROPER(TEXT(A1120,"mmmm"))</f>
        <v>Febrero</v>
      </c>
      <c r="X1120" t="str">
        <f>PROPER(TEXT(A1120,"dddd"))</f>
        <v>Miércoles</v>
      </c>
      <c r="Y1120" t="str" cm="1">
        <f t="array" ref="Y1120">_xlfn.IFS(R1120&gt;10,"Excelente",R1120&gt;=5,"Bueno",R1120&gt;=2,"Débil",R1120&lt;2,"Deficiente")</f>
        <v>Excelente</v>
      </c>
      <c r="Z1120" t="str">
        <f>IF(AND(R1120&lt;2,Q1120&gt;=100),"Revisar","OK")</f>
        <v>OK</v>
      </c>
      <c r="AA1120" s="55">
        <f>_xlfn.XLOOKUP(C1120,'Preguntas de negocio'!$C$114:$C$119,'Preguntas de negocio'!$D$114:$D$119,0)</f>
        <v>4.5</v>
      </c>
      <c r="AB1120" s="55">
        <f>VLOOKUP(C1120,'Preguntas de negocio'!$C$121:$D$127,2,FALSE)</f>
        <v>0.35</v>
      </c>
    </row>
    <row r="1121" spans="1:28" x14ac:dyDescent="0.3">
      <c r="A1121" s="1">
        <v>45875</v>
      </c>
      <c r="B1121" s="2" t="s">
        <v>2632</v>
      </c>
      <c r="C1121" s="2" t="s">
        <v>2533</v>
      </c>
      <c r="D1121" s="2" t="s">
        <v>2528</v>
      </c>
      <c r="E1121" s="2" t="s">
        <v>2517</v>
      </c>
      <c r="F1121" s="3">
        <v>58840</v>
      </c>
      <c r="G1121" s="3">
        <v>485</v>
      </c>
      <c r="H1121" s="3">
        <v>13</v>
      </c>
      <c r="I1121" s="4">
        <v>425.56</v>
      </c>
      <c r="J1121" s="4">
        <v>1537.81</v>
      </c>
      <c r="K1121" s="3">
        <v>7</v>
      </c>
      <c r="L1121" s="2" t="s">
        <v>2523</v>
      </c>
      <c r="M1121" s="2" t="s">
        <v>2526</v>
      </c>
      <c r="N1121" s="8">
        <f>IFERROR(G1121/F1121,0)</f>
        <v>8.2426920462270563E-3</v>
      </c>
      <c r="O1121" s="8">
        <f>IFERROR(H1121/G1121,0)</f>
        <v>2.6804123711340205E-2</v>
      </c>
      <c r="P1121" s="4">
        <f>IFERROR(I1121/G1121,0)</f>
        <v>0.87744329896907214</v>
      </c>
      <c r="Q1121" s="4">
        <f>IFERROR(I1121/H1121,0)</f>
        <v>32.735384615384618</v>
      </c>
      <c r="R1121" s="12">
        <f>IFERROR(J1121/I1121,0)</f>
        <v>3.6136150014099067</v>
      </c>
      <c r="S1121" s="7">
        <f>Tabla_nuevas_columnas[[#This Row],[ROAS]]</f>
        <v>3.6136150014099067</v>
      </c>
      <c r="T1121" t="str">
        <f>_xlfn.CONCAT(C1121,"-",D1121)</f>
        <v>Paid Social-España</v>
      </c>
      <c r="U1121">
        <f>YEAR(A1121)</f>
        <v>2025</v>
      </c>
      <c r="V1121">
        <f>MONTH(A1121)</f>
        <v>8</v>
      </c>
      <c r="W1121" t="str">
        <f>PROPER(TEXT(A1121,"mmmm"))</f>
        <v>Agosto</v>
      </c>
      <c r="X1121" t="str">
        <f>PROPER(TEXT(A1121,"dddd"))</f>
        <v>Miércoles</v>
      </c>
      <c r="Y1121" t="str" cm="1">
        <f t="array" ref="Y1121">_xlfn.IFS(R1121&gt;10,"Excelente",R1121&gt;=5,"Bueno",R1121&gt;=2,"Débil",R1121&lt;2,"Deficiente")</f>
        <v>Débil</v>
      </c>
      <c r="Z1121" t="str">
        <f>IF(AND(R1121&lt;2,Q1121&gt;=100),"Revisar","OK")</f>
        <v>OK</v>
      </c>
      <c r="AA1121" s="55">
        <f>_xlfn.XLOOKUP(C1121,'Preguntas de negocio'!$C$114:$C$119,'Preguntas de negocio'!$D$114:$D$119,0)</f>
        <v>6</v>
      </c>
      <c r="AB1121" s="55">
        <f>VLOOKUP(C1121,'Preguntas de negocio'!$C$121:$D$127,2,FALSE)</f>
        <v>0.8</v>
      </c>
    </row>
    <row r="1122" spans="1:28" x14ac:dyDescent="0.3">
      <c r="A1122" s="1">
        <v>45941</v>
      </c>
      <c r="B1122" s="2" t="s">
        <v>2640</v>
      </c>
      <c r="C1122" s="2" t="s">
        <v>2527</v>
      </c>
      <c r="D1122" s="2" t="s">
        <v>2522</v>
      </c>
      <c r="E1122" s="2" t="s">
        <v>2534</v>
      </c>
      <c r="F1122" s="3">
        <v>118665</v>
      </c>
      <c r="G1122" s="3">
        <v>3137</v>
      </c>
      <c r="H1122" s="3">
        <v>260</v>
      </c>
      <c r="I1122" s="4">
        <v>1348.47</v>
      </c>
      <c r="J1122" s="4">
        <v>26446.23</v>
      </c>
      <c r="K1122" s="3">
        <v>186</v>
      </c>
      <c r="L1122" s="2" t="s">
        <v>2539</v>
      </c>
      <c r="M1122" s="2" t="s">
        <v>2526</v>
      </c>
      <c r="N1122" s="8">
        <f>IFERROR(G1122/F1122,0)</f>
        <v>2.6435764547254877E-2</v>
      </c>
      <c r="O1122" s="8">
        <f>IFERROR(H1122/G1122,0)</f>
        <v>8.2881734140898944E-2</v>
      </c>
      <c r="P1122" s="4">
        <f>IFERROR(I1122/G1122,0)</f>
        <v>0.42985973860376159</v>
      </c>
      <c r="Q1122" s="4">
        <f>IFERROR(I1122/H1122,0)</f>
        <v>5.1864230769230772</v>
      </c>
      <c r="R1122" s="12">
        <f>IFERROR(J1122/I1122,0)</f>
        <v>19.612026963892411</v>
      </c>
      <c r="S1122" s="7">
        <f>Tabla_nuevas_columnas[[#This Row],[ROAS]]</f>
        <v>19.612026963892411</v>
      </c>
      <c r="T1122" t="str">
        <f>_xlfn.CONCAT(C1122,"-",D1122)</f>
        <v>Affiliate-Italia</v>
      </c>
      <c r="U1122">
        <f>YEAR(A1122)</f>
        <v>2025</v>
      </c>
      <c r="V1122">
        <f>MONTH(A1122)</f>
        <v>10</v>
      </c>
      <c r="W1122" t="str">
        <f>PROPER(TEXT(A1122,"mmmm"))</f>
        <v>Octubre</v>
      </c>
      <c r="X1122" t="str">
        <f>PROPER(TEXT(A1122,"dddd"))</f>
        <v>Sábado</v>
      </c>
      <c r="Y1122" t="str" cm="1">
        <f t="array" ref="Y1122">_xlfn.IFS(R1122&gt;10,"Excelente",R1122&gt;=5,"Bueno",R1122&gt;=2,"Débil",R1122&lt;2,"Deficiente")</f>
        <v>Excelente</v>
      </c>
      <c r="Z1122" t="str">
        <f>IF(AND(R1122&lt;2,Q1122&gt;=100),"Revisar","OK")</f>
        <v>OK</v>
      </c>
      <c r="AA1122" s="55">
        <f>_xlfn.XLOOKUP(C1122,'Preguntas de negocio'!$C$114:$C$119,'Preguntas de negocio'!$D$114:$D$119,0)</f>
        <v>4.5</v>
      </c>
      <c r="AB1122" s="55">
        <f>VLOOKUP(C1122,'Preguntas de negocio'!$C$121:$D$127,2,FALSE)</f>
        <v>0.35</v>
      </c>
    </row>
    <row r="1123" spans="1:28" x14ac:dyDescent="0.3">
      <c r="A1123" s="1">
        <v>45828</v>
      </c>
      <c r="B1123" s="2" t="s">
        <v>2634</v>
      </c>
      <c r="C1123" s="2" t="s">
        <v>2515</v>
      </c>
      <c r="D1123" s="2" t="s">
        <v>2528</v>
      </c>
      <c r="E1123" s="2" t="s">
        <v>2517</v>
      </c>
      <c r="F1123" s="3">
        <v>4363</v>
      </c>
      <c r="G1123" s="3">
        <v>84</v>
      </c>
      <c r="H1123" s="3">
        <v>1</v>
      </c>
      <c r="I1123" s="4">
        <v>79.75</v>
      </c>
      <c r="J1123" s="4">
        <v>71.88</v>
      </c>
      <c r="K1123" s="3">
        <v>0</v>
      </c>
      <c r="L1123" s="2" t="s">
        <v>2518</v>
      </c>
      <c r="M1123" s="2" t="s">
        <v>2537</v>
      </c>
      <c r="N1123" s="8">
        <f>IFERROR(G1123/F1123,0)</f>
        <v>1.925280770112308E-2</v>
      </c>
      <c r="O1123" s="8">
        <f>IFERROR(H1123/G1123,0)</f>
        <v>1.1904761904761904E-2</v>
      </c>
      <c r="P1123" s="4">
        <f>IFERROR(I1123/G1123,0)</f>
        <v>0.94940476190476186</v>
      </c>
      <c r="Q1123" s="4">
        <f>IFERROR(I1123/H1123,0)</f>
        <v>79.75</v>
      </c>
      <c r="R1123" s="12">
        <f>IFERROR(J1123/I1123,0)</f>
        <v>0.90131661442006261</v>
      </c>
      <c r="S1123" s="7">
        <f>Tabla_nuevas_columnas[[#This Row],[ROAS]]</f>
        <v>0.90131661442006261</v>
      </c>
      <c r="T1123" t="str">
        <f>_xlfn.CONCAT(C1123,"-",D1123)</f>
        <v>Email-España</v>
      </c>
      <c r="U1123">
        <f>YEAR(A1123)</f>
        <v>2025</v>
      </c>
      <c r="V1123">
        <f>MONTH(A1123)</f>
        <v>6</v>
      </c>
      <c r="W1123" t="str">
        <f>PROPER(TEXT(A1123,"mmmm"))</f>
        <v>Junio</v>
      </c>
      <c r="X1123" t="str">
        <f>PROPER(TEXT(A1123,"dddd"))</f>
        <v>Viernes</v>
      </c>
      <c r="Y1123" t="str" cm="1">
        <f t="array" ref="Y1123">_xlfn.IFS(R1123&gt;10,"Excelente",R1123&gt;=5,"Bueno",R1123&gt;=2,"Débil",R1123&lt;2,"Deficiente")</f>
        <v>Deficiente</v>
      </c>
      <c r="Z1123" t="str">
        <f>IF(AND(R1123&lt;2,Q1123&gt;=100),"Revisar","OK")</f>
        <v>OK</v>
      </c>
      <c r="AA1123" s="55">
        <f>_xlfn.XLOOKUP(C1123,'Preguntas de negocio'!$C$114:$C$119,'Preguntas de negocio'!$D$114:$D$119,0)</f>
        <v>5.5</v>
      </c>
      <c r="AB1123" s="55">
        <f>VLOOKUP(C1123,'Preguntas de negocio'!$C$121:$D$127,2,FALSE)</f>
        <v>0.65</v>
      </c>
    </row>
    <row r="1124" spans="1:28" x14ac:dyDescent="0.3">
      <c r="A1124" s="1">
        <v>45740</v>
      </c>
      <c r="B1124" s="2" t="s">
        <v>2618</v>
      </c>
      <c r="C1124" s="2" t="s">
        <v>2533</v>
      </c>
      <c r="D1124" s="2" t="s">
        <v>2528</v>
      </c>
      <c r="E1124" s="2" t="s">
        <v>2529</v>
      </c>
      <c r="F1124" s="3">
        <v>3454</v>
      </c>
      <c r="G1124" s="3">
        <v>92</v>
      </c>
      <c r="H1124" s="3">
        <v>4</v>
      </c>
      <c r="I1124" s="4">
        <v>162.02000000000001</v>
      </c>
      <c r="J1124" s="4">
        <v>431.58</v>
      </c>
      <c r="K1124" s="3">
        <v>2</v>
      </c>
      <c r="L1124" s="2" t="s">
        <v>2523</v>
      </c>
      <c r="M1124" s="2" t="s">
        <v>2519</v>
      </c>
      <c r="N1124" s="8">
        <f>IFERROR(G1124/F1124,0)</f>
        <v>2.6635784597568036E-2</v>
      </c>
      <c r="O1124" s="8">
        <f>IFERROR(H1124/G1124,0)</f>
        <v>4.3478260869565216E-2</v>
      </c>
      <c r="P1124" s="4">
        <f>IFERROR(I1124/G1124,0)</f>
        <v>1.7610869565217393</v>
      </c>
      <c r="Q1124" s="4">
        <f>IFERROR(I1124/H1124,0)</f>
        <v>40.505000000000003</v>
      </c>
      <c r="R1124" s="12">
        <f>IFERROR(J1124/I1124,0)</f>
        <v>2.6637452166399207</v>
      </c>
      <c r="S1124" s="7">
        <f>Tabla_nuevas_columnas[[#This Row],[ROAS]]</f>
        <v>2.6637452166399207</v>
      </c>
      <c r="T1124" t="str">
        <f>_xlfn.CONCAT(C1124,"-",D1124)</f>
        <v>Paid Social-España</v>
      </c>
      <c r="U1124">
        <f>YEAR(A1124)</f>
        <v>2025</v>
      </c>
      <c r="V1124">
        <f>MONTH(A1124)</f>
        <v>3</v>
      </c>
      <c r="W1124" t="str">
        <f>PROPER(TEXT(A1124,"mmmm"))</f>
        <v>Marzo</v>
      </c>
      <c r="X1124" t="str">
        <f>PROPER(TEXT(A1124,"dddd"))</f>
        <v>Lunes</v>
      </c>
      <c r="Y1124" t="str" cm="1">
        <f t="array" ref="Y1124">_xlfn.IFS(R1124&gt;10,"Excelente",R1124&gt;=5,"Bueno",R1124&gt;=2,"Débil",R1124&lt;2,"Deficiente")</f>
        <v>Débil</v>
      </c>
      <c r="Z1124" t="str">
        <f>IF(AND(R1124&lt;2,Q1124&gt;=100),"Revisar","OK")</f>
        <v>OK</v>
      </c>
      <c r="AA1124" s="55">
        <f>_xlfn.XLOOKUP(C1124,'Preguntas de negocio'!$C$114:$C$119,'Preguntas de negocio'!$D$114:$D$119,0)</f>
        <v>6</v>
      </c>
      <c r="AB1124" s="55">
        <f>VLOOKUP(C1124,'Preguntas de negocio'!$C$121:$D$127,2,FALSE)</f>
        <v>0.8</v>
      </c>
    </row>
    <row r="1125" spans="1:28" x14ac:dyDescent="0.3">
      <c r="A1125" s="1">
        <v>45748</v>
      </c>
      <c r="B1125" s="2" t="s">
        <v>2620</v>
      </c>
      <c r="C1125" s="2" t="s">
        <v>2527</v>
      </c>
      <c r="D1125" s="2" t="s">
        <v>2531</v>
      </c>
      <c r="E1125" s="2" t="s">
        <v>2517</v>
      </c>
      <c r="F1125" s="3">
        <v>12402</v>
      </c>
      <c r="G1125" s="3">
        <v>919</v>
      </c>
      <c r="H1125" s="3">
        <v>106</v>
      </c>
      <c r="I1125" s="4">
        <v>301.26</v>
      </c>
      <c r="J1125" s="4">
        <v>15680.68</v>
      </c>
      <c r="K1125" s="3">
        <v>55</v>
      </c>
      <c r="L1125" s="2" t="s">
        <v>2518</v>
      </c>
      <c r="M1125" s="2" t="s">
        <v>2526</v>
      </c>
      <c r="N1125" s="8">
        <f>IFERROR(G1125/F1125,0)</f>
        <v>7.4100951459442024E-2</v>
      </c>
      <c r="O1125" s="8">
        <f>IFERROR(H1125/G1125,0)</f>
        <v>0.11534276387377584</v>
      </c>
      <c r="P1125" s="4">
        <f>IFERROR(I1125/G1125,0)</f>
        <v>0.32781284004352557</v>
      </c>
      <c r="Q1125" s="4">
        <f>IFERROR(I1125/H1125,0)</f>
        <v>2.8420754716981129</v>
      </c>
      <c r="R1125" s="12">
        <f>IFERROR(J1125/I1125,0)</f>
        <v>52.050321981013084</v>
      </c>
      <c r="S1125" s="7">
        <f>Tabla_nuevas_columnas[[#This Row],[ROAS]]</f>
        <v>52.050321981013084</v>
      </c>
      <c r="T1125" t="str">
        <f>_xlfn.CONCAT(C1125,"-",D1125)</f>
        <v>Affiliate-Portugal</v>
      </c>
      <c r="U1125">
        <f>YEAR(A1125)</f>
        <v>2025</v>
      </c>
      <c r="V1125">
        <f>MONTH(A1125)</f>
        <v>4</v>
      </c>
      <c r="W1125" t="str">
        <f>PROPER(TEXT(A1125,"mmmm"))</f>
        <v>Abril</v>
      </c>
      <c r="X1125" t="str">
        <f>PROPER(TEXT(A1125,"dddd"))</f>
        <v>Martes</v>
      </c>
      <c r="Y1125" t="str" cm="1">
        <f t="array" ref="Y1125">_xlfn.IFS(R1125&gt;10,"Excelente",R1125&gt;=5,"Bueno",R1125&gt;=2,"Débil",R1125&lt;2,"Deficiente")</f>
        <v>Excelente</v>
      </c>
      <c r="Z1125" t="str">
        <f>IF(AND(R1125&lt;2,Q1125&gt;=100),"Revisar","OK")</f>
        <v>OK</v>
      </c>
      <c r="AA1125" s="55">
        <f>_xlfn.XLOOKUP(C1125,'Preguntas de negocio'!$C$114:$C$119,'Preguntas de negocio'!$D$114:$D$119,0)</f>
        <v>4.5</v>
      </c>
      <c r="AB1125" s="55">
        <f>VLOOKUP(C1125,'Preguntas de negocio'!$C$121:$D$127,2,FALSE)</f>
        <v>0.35</v>
      </c>
    </row>
    <row r="1126" spans="1:28" x14ac:dyDescent="0.3">
      <c r="A1126" s="1">
        <v>45919</v>
      </c>
      <c r="B1126" s="2" t="s">
        <v>2638</v>
      </c>
      <c r="C1126" s="2" t="s">
        <v>2515</v>
      </c>
      <c r="D1126" s="2" t="s">
        <v>2528</v>
      </c>
      <c r="E1126" s="2" t="s">
        <v>2517</v>
      </c>
      <c r="F1126" s="3">
        <v>72807</v>
      </c>
      <c r="G1126" s="3">
        <v>5574</v>
      </c>
      <c r="H1126" s="3">
        <v>118</v>
      </c>
      <c r="I1126" s="4">
        <v>6156.75</v>
      </c>
      <c r="J1126" s="4">
        <v>21779.55</v>
      </c>
      <c r="K1126" s="3">
        <v>93</v>
      </c>
      <c r="L1126" s="2" t="s">
        <v>2539</v>
      </c>
      <c r="M1126" s="2" t="s">
        <v>2537</v>
      </c>
      <c r="N1126" s="8">
        <f>IFERROR(G1126/F1126,0)</f>
        <v>7.6558572664716301E-2</v>
      </c>
      <c r="O1126" s="8">
        <f>IFERROR(H1126/G1126,0)</f>
        <v>2.1169716541083603E-2</v>
      </c>
      <c r="P1126" s="4">
        <f>IFERROR(I1126/G1126,0)</f>
        <v>1.1045479009687837</v>
      </c>
      <c r="Q1126" s="4">
        <f>IFERROR(I1126/H1126,0)</f>
        <v>52.175847457627121</v>
      </c>
      <c r="R1126" s="12">
        <f>IFERROR(J1126/I1126,0)</f>
        <v>3.5375076135948347</v>
      </c>
      <c r="S1126" s="7">
        <f>Tabla_nuevas_columnas[[#This Row],[ROAS]]</f>
        <v>3.5375076135948347</v>
      </c>
      <c r="T1126" t="str">
        <f>_xlfn.CONCAT(C1126,"-",D1126)</f>
        <v>Email-España</v>
      </c>
      <c r="U1126">
        <f>YEAR(A1126)</f>
        <v>2025</v>
      </c>
      <c r="V1126">
        <f>MONTH(A1126)</f>
        <v>9</v>
      </c>
      <c r="W1126" t="str">
        <f>PROPER(TEXT(A1126,"mmmm"))</f>
        <v>Septiembre</v>
      </c>
      <c r="X1126" t="str">
        <f>PROPER(TEXT(A1126,"dddd"))</f>
        <v>Viernes</v>
      </c>
      <c r="Y1126" t="str" cm="1">
        <f t="array" ref="Y1126">_xlfn.IFS(R1126&gt;10,"Excelente",R1126&gt;=5,"Bueno",R1126&gt;=2,"Débil",R1126&lt;2,"Deficiente")</f>
        <v>Débil</v>
      </c>
      <c r="Z1126" t="str">
        <f>IF(AND(R1126&lt;2,Q1126&gt;=100),"Revisar","OK")</f>
        <v>OK</v>
      </c>
      <c r="AA1126" s="55">
        <f>_xlfn.XLOOKUP(C1126,'Preguntas de negocio'!$C$114:$C$119,'Preguntas de negocio'!$D$114:$D$119,0)</f>
        <v>5.5</v>
      </c>
      <c r="AB1126" s="55">
        <f>VLOOKUP(C1126,'Preguntas de negocio'!$C$121:$D$127,2,FALSE)</f>
        <v>0.65</v>
      </c>
    </row>
    <row r="1127" spans="1:28" x14ac:dyDescent="0.3">
      <c r="A1127" s="1">
        <v>45784</v>
      </c>
      <c r="B1127" s="2" t="s">
        <v>2629</v>
      </c>
      <c r="C1127" s="2" t="s">
        <v>2543</v>
      </c>
      <c r="D1127" s="2" t="s">
        <v>2528</v>
      </c>
      <c r="E1127" s="2" t="s">
        <v>2517</v>
      </c>
      <c r="F1127" s="3">
        <v>151759</v>
      </c>
      <c r="G1127" s="3">
        <v>3242</v>
      </c>
      <c r="H1127" s="3">
        <v>45</v>
      </c>
      <c r="I1127" s="4">
        <v>3986.26</v>
      </c>
      <c r="J1127" s="4">
        <v>6754.16</v>
      </c>
      <c r="K1127" s="3">
        <v>21</v>
      </c>
      <c r="L1127" s="2" t="s">
        <v>2523</v>
      </c>
      <c r="M1127" s="2" t="s">
        <v>2524</v>
      </c>
      <c r="N1127" s="8">
        <f>IFERROR(G1127/F1127,0)</f>
        <v>2.1362818679617025E-2</v>
      </c>
      <c r="O1127" s="8">
        <f>IFERROR(H1127/G1127,0)</f>
        <v>1.3880320789636027E-2</v>
      </c>
      <c r="P1127" s="4">
        <f>IFERROR(I1127/G1127,0)</f>
        <v>1.2295681677976558</v>
      </c>
      <c r="Q1127" s="4">
        <f>IFERROR(I1127/H1127,0)</f>
        <v>88.583555555555563</v>
      </c>
      <c r="R1127" s="12">
        <f>IFERROR(J1127/I1127,0)</f>
        <v>1.6943601270363697</v>
      </c>
      <c r="S1127" s="7">
        <f>Tabla_nuevas_columnas[[#This Row],[ROAS]]</f>
        <v>1.6943601270363697</v>
      </c>
      <c r="T1127" t="str">
        <f>_xlfn.CONCAT(C1127,"-",D1127)</f>
        <v>Organic Social-España</v>
      </c>
      <c r="U1127">
        <f>YEAR(A1127)</f>
        <v>2025</v>
      </c>
      <c r="V1127">
        <f>MONTH(A1127)</f>
        <v>5</v>
      </c>
      <c r="W1127" t="str">
        <f>PROPER(TEXT(A1127,"mmmm"))</f>
        <v>Mayo</v>
      </c>
      <c r="X1127" t="str">
        <f>PROPER(TEXT(A1127,"dddd"))</f>
        <v>Miércoles</v>
      </c>
      <c r="Y1127" t="str" cm="1">
        <f t="array" ref="Y1127">_xlfn.IFS(R1127&gt;10,"Excelente",R1127&gt;=5,"Bueno",R1127&gt;=2,"Débil",R1127&lt;2,"Deficiente")</f>
        <v>Deficiente</v>
      </c>
      <c r="Z1127" t="str">
        <f>IF(AND(R1127&lt;2,Q1127&gt;=100),"Revisar","OK")</f>
        <v>OK</v>
      </c>
      <c r="AA1127" s="55">
        <f>_xlfn.XLOOKUP(C1127,'Preguntas de negocio'!$C$114:$C$119,'Preguntas de negocio'!$D$114:$D$119,0)</f>
        <v>4</v>
      </c>
      <c r="AB1127" s="55">
        <f>VLOOKUP(C1127,'Preguntas de negocio'!$C$121:$D$127,2,FALSE)</f>
        <v>0.95</v>
      </c>
    </row>
    <row r="1128" spans="1:28" x14ac:dyDescent="0.3">
      <c r="A1128" s="1">
        <v>45764</v>
      </c>
      <c r="B1128" s="2" t="s">
        <v>2615</v>
      </c>
      <c r="C1128" s="2" t="s">
        <v>2541</v>
      </c>
      <c r="D1128" s="2" t="s">
        <v>2525</v>
      </c>
      <c r="E1128" s="2" t="s">
        <v>2517</v>
      </c>
      <c r="F1128" s="3">
        <v>4855</v>
      </c>
      <c r="G1128" s="3">
        <v>95</v>
      </c>
      <c r="H1128" s="3">
        <v>7</v>
      </c>
      <c r="I1128" s="4">
        <v>121.78</v>
      </c>
      <c r="J1128" s="4">
        <v>1283.22</v>
      </c>
      <c r="K1128" s="3">
        <v>4</v>
      </c>
      <c r="L1128" s="2" t="s">
        <v>2539</v>
      </c>
      <c r="M1128" s="2" t="s">
        <v>2546</v>
      </c>
      <c r="N1128" s="8">
        <f>IFERROR(G1128/F1128,0)</f>
        <v>1.9567456230690009E-2</v>
      </c>
      <c r="O1128" s="8">
        <f>IFERROR(H1128/G1128,0)</f>
        <v>7.3684210526315783E-2</v>
      </c>
      <c r="P1128" s="4">
        <f>IFERROR(I1128/G1128,0)</f>
        <v>1.2818947368421052</v>
      </c>
      <c r="Q1128" s="4">
        <f>IFERROR(I1128/H1128,0)</f>
        <v>17.397142857142857</v>
      </c>
      <c r="R1128" s="12">
        <f>IFERROR(J1128/I1128,0)</f>
        <v>10.537198226309739</v>
      </c>
      <c r="S1128" s="7">
        <f>Tabla_nuevas_columnas[[#This Row],[ROAS]]</f>
        <v>10.537198226309739</v>
      </c>
      <c r="T1128" t="str">
        <f>_xlfn.CONCAT(C1128,"-",D1128)</f>
        <v>Display-Francia</v>
      </c>
      <c r="U1128">
        <f>YEAR(A1128)</f>
        <v>2025</v>
      </c>
      <c r="V1128">
        <f>MONTH(A1128)</f>
        <v>4</v>
      </c>
      <c r="W1128" t="str">
        <f>PROPER(TEXT(A1128,"mmmm"))</f>
        <v>Abril</v>
      </c>
      <c r="X1128" t="str">
        <f>PROPER(TEXT(A1128,"dddd"))</f>
        <v>Jueves</v>
      </c>
      <c r="Y1128" t="str" cm="1">
        <f t="array" ref="Y1128">_xlfn.IFS(R1128&gt;10,"Excelente",R1128&gt;=5,"Bueno",R1128&gt;=2,"Débil",R1128&lt;2,"Deficiente")</f>
        <v>Excelente</v>
      </c>
      <c r="Z1128" t="str">
        <f>IF(AND(R1128&lt;2,Q1128&gt;=100),"Revisar","OK")</f>
        <v>OK</v>
      </c>
      <c r="AA1128" s="55">
        <f>_xlfn.XLOOKUP(C1128,'Preguntas de negocio'!$C$114:$C$119,'Preguntas de negocio'!$D$114:$D$119,0)</f>
        <v>5</v>
      </c>
      <c r="AB1128" s="55">
        <f>VLOOKUP(C1128,'Preguntas de negocio'!$C$121:$D$127,2,FALSE)</f>
        <v>0.5</v>
      </c>
    </row>
    <row r="1129" spans="1:28" x14ac:dyDescent="0.3">
      <c r="A1129" s="1">
        <v>45717</v>
      </c>
      <c r="B1129" s="2" t="s">
        <v>2632</v>
      </c>
      <c r="C1129" s="2" t="s">
        <v>2543</v>
      </c>
      <c r="D1129" s="2" t="s">
        <v>2525</v>
      </c>
      <c r="E1129" s="2" t="s">
        <v>2517</v>
      </c>
      <c r="F1129" s="3">
        <v>50699</v>
      </c>
      <c r="G1129" s="3">
        <v>1473</v>
      </c>
      <c r="H1129" s="3">
        <v>50</v>
      </c>
      <c r="I1129" s="4">
        <v>3083.9</v>
      </c>
      <c r="J1129" s="4">
        <v>2983.83</v>
      </c>
      <c r="K1129" s="3">
        <v>40</v>
      </c>
      <c r="L1129" s="2" t="s">
        <v>2536</v>
      </c>
      <c r="M1129" s="2" t="s">
        <v>2537</v>
      </c>
      <c r="N1129" s="8">
        <f>IFERROR(G1129/F1129,0)</f>
        <v>2.9053827491666503E-2</v>
      </c>
      <c r="O1129" s="8">
        <f>IFERROR(H1129/G1129,0)</f>
        <v>3.3944331296673458E-2</v>
      </c>
      <c r="P1129" s="4">
        <f>IFERROR(I1129/G1129,0)</f>
        <v>2.0936184657162253</v>
      </c>
      <c r="Q1129" s="4">
        <f>IFERROR(I1129/H1129,0)</f>
        <v>61.678000000000004</v>
      </c>
      <c r="R1129" s="12">
        <f>IFERROR(J1129/I1129,0)</f>
        <v>0.96755082849638441</v>
      </c>
      <c r="S1129" s="7">
        <f>Tabla_nuevas_columnas[[#This Row],[ROAS]]</f>
        <v>0.96755082849638441</v>
      </c>
      <c r="T1129" t="str">
        <f>_xlfn.CONCAT(C1129,"-",D1129)</f>
        <v>Organic Social-Francia</v>
      </c>
      <c r="U1129">
        <f>YEAR(A1129)</f>
        <v>2025</v>
      </c>
      <c r="V1129">
        <f>MONTH(A1129)</f>
        <v>3</v>
      </c>
      <c r="W1129" t="str">
        <f>PROPER(TEXT(A1129,"mmmm"))</f>
        <v>Marzo</v>
      </c>
      <c r="X1129" t="str">
        <f>PROPER(TEXT(A1129,"dddd"))</f>
        <v>Sábado</v>
      </c>
      <c r="Y1129" t="str" cm="1">
        <f t="array" ref="Y1129">_xlfn.IFS(R1129&gt;10,"Excelente",R1129&gt;=5,"Bueno",R1129&gt;=2,"Débil",R1129&lt;2,"Deficiente")</f>
        <v>Deficiente</v>
      </c>
      <c r="Z1129" t="str">
        <f>IF(AND(R1129&lt;2,Q1129&gt;=100),"Revisar","OK")</f>
        <v>OK</v>
      </c>
      <c r="AA1129" s="55">
        <f>_xlfn.XLOOKUP(C1129,'Preguntas de negocio'!$C$114:$C$119,'Preguntas de negocio'!$D$114:$D$119,0)</f>
        <v>4</v>
      </c>
      <c r="AB1129" s="55">
        <f>VLOOKUP(C1129,'Preguntas de negocio'!$C$121:$D$127,2,FALSE)</f>
        <v>0.95</v>
      </c>
    </row>
    <row r="1130" spans="1:28" x14ac:dyDescent="0.3">
      <c r="A1130" s="1">
        <v>45883</v>
      </c>
      <c r="B1130" s="2" t="s">
        <v>2632</v>
      </c>
      <c r="C1130" s="2" t="s">
        <v>2533</v>
      </c>
      <c r="D1130" s="2" t="s">
        <v>2528</v>
      </c>
      <c r="E1130" s="2" t="s">
        <v>2534</v>
      </c>
      <c r="F1130" s="3">
        <v>121666</v>
      </c>
      <c r="G1130" s="3">
        <v>3931</v>
      </c>
      <c r="H1130" s="3">
        <v>302</v>
      </c>
      <c r="I1130" s="4">
        <v>6983.02</v>
      </c>
      <c r="J1130" s="4">
        <v>9569.41</v>
      </c>
      <c r="K1130" s="3">
        <v>147</v>
      </c>
      <c r="L1130" s="2" t="s">
        <v>2518</v>
      </c>
      <c r="M1130" s="2" t="s">
        <v>2526</v>
      </c>
      <c r="N1130" s="8">
        <f>IFERROR(G1130/F1130,0)</f>
        <v>3.2309766080910032E-2</v>
      </c>
      <c r="O1130" s="8">
        <f>IFERROR(H1130/G1130,0)</f>
        <v>7.6825235309081655E-2</v>
      </c>
      <c r="P1130" s="4">
        <f>IFERROR(I1130/G1130,0)</f>
        <v>1.7763978631391504</v>
      </c>
      <c r="Q1130" s="4">
        <f>IFERROR(I1130/H1130,0)</f>
        <v>23.122582781456956</v>
      </c>
      <c r="R1130" s="12">
        <f>IFERROR(J1130/I1130,0)</f>
        <v>1.3703827283897223</v>
      </c>
      <c r="S1130" s="7">
        <f>Tabla_nuevas_columnas[[#This Row],[ROAS]]</f>
        <v>1.3703827283897223</v>
      </c>
      <c r="T1130" t="str">
        <f>_xlfn.CONCAT(C1130,"-",D1130)</f>
        <v>Paid Social-España</v>
      </c>
      <c r="U1130">
        <f>YEAR(A1130)</f>
        <v>2025</v>
      </c>
      <c r="V1130">
        <f>MONTH(A1130)</f>
        <v>8</v>
      </c>
      <c r="W1130" t="str">
        <f>PROPER(TEXT(A1130,"mmmm"))</f>
        <v>Agosto</v>
      </c>
      <c r="X1130" t="str">
        <f>PROPER(TEXT(A1130,"dddd"))</f>
        <v>Jueves</v>
      </c>
      <c r="Y1130" t="str" cm="1">
        <f t="array" ref="Y1130">_xlfn.IFS(R1130&gt;10,"Excelente",R1130&gt;=5,"Bueno",R1130&gt;=2,"Débil",R1130&lt;2,"Deficiente")</f>
        <v>Deficiente</v>
      </c>
      <c r="Z1130" t="str">
        <f>IF(AND(R1130&lt;2,Q1130&gt;=100),"Revisar","OK")</f>
        <v>OK</v>
      </c>
      <c r="AA1130" s="55">
        <f>_xlfn.XLOOKUP(C1130,'Preguntas de negocio'!$C$114:$C$119,'Preguntas de negocio'!$D$114:$D$119,0)</f>
        <v>6</v>
      </c>
      <c r="AB1130" s="55">
        <f>VLOOKUP(C1130,'Preguntas de negocio'!$C$121:$D$127,2,FALSE)</f>
        <v>0.8</v>
      </c>
    </row>
    <row r="1131" spans="1:28" x14ac:dyDescent="0.3">
      <c r="A1131" s="1">
        <v>45811</v>
      </c>
      <c r="B1131" s="2" t="s">
        <v>2631</v>
      </c>
      <c r="C1131" s="2" t="s">
        <v>2527</v>
      </c>
      <c r="D1131" s="2" t="s">
        <v>2528</v>
      </c>
      <c r="E1131" s="2" t="s">
        <v>2529</v>
      </c>
      <c r="F1131" s="3">
        <v>139061</v>
      </c>
      <c r="G1131" s="3">
        <v>8846</v>
      </c>
      <c r="H1131" s="3">
        <v>952</v>
      </c>
      <c r="I1131" s="4">
        <v>2056.54</v>
      </c>
      <c r="J1131" s="4">
        <v>120820.71</v>
      </c>
      <c r="K1131" s="3">
        <v>653</v>
      </c>
      <c r="L1131" s="2" t="s">
        <v>2539</v>
      </c>
      <c r="M1131" s="2" t="s">
        <v>2546</v>
      </c>
      <c r="N1131" s="8">
        <f>IFERROR(G1131/F1131,0)</f>
        <v>6.3612371549176261E-2</v>
      </c>
      <c r="O1131" s="8">
        <f>IFERROR(H1131/G1131,0)</f>
        <v>0.10761926294370337</v>
      </c>
      <c r="P1131" s="4">
        <f>IFERROR(I1131/G1131,0)</f>
        <v>0.23248247795613836</v>
      </c>
      <c r="Q1131" s="4">
        <f>IFERROR(I1131/H1131,0)</f>
        <v>2.1602310924369745</v>
      </c>
      <c r="R1131" s="12">
        <f>IFERROR(J1131/I1131,0)</f>
        <v>58.749506452585415</v>
      </c>
      <c r="S1131" s="7">
        <f>Tabla_nuevas_columnas[[#This Row],[ROAS]]</f>
        <v>58.749506452585415</v>
      </c>
      <c r="T1131" t="str">
        <f>_xlfn.CONCAT(C1131,"-",D1131)</f>
        <v>Affiliate-España</v>
      </c>
      <c r="U1131">
        <f>YEAR(A1131)</f>
        <v>2025</v>
      </c>
      <c r="V1131">
        <f>MONTH(A1131)</f>
        <v>6</v>
      </c>
      <c r="W1131" t="str">
        <f>PROPER(TEXT(A1131,"mmmm"))</f>
        <v>Junio</v>
      </c>
      <c r="X1131" t="str">
        <f>PROPER(TEXT(A1131,"dddd"))</f>
        <v>Martes</v>
      </c>
      <c r="Y1131" t="str" cm="1">
        <f t="array" ref="Y1131">_xlfn.IFS(R1131&gt;10,"Excelente",R1131&gt;=5,"Bueno",R1131&gt;=2,"Débil",R1131&lt;2,"Deficiente")</f>
        <v>Excelente</v>
      </c>
      <c r="Z1131" t="str">
        <f>IF(AND(R1131&lt;2,Q1131&gt;=100),"Revisar","OK")</f>
        <v>OK</v>
      </c>
      <c r="AA1131" s="55">
        <f>_xlfn.XLOOKUP(C1131,'Preguntas de negocio'!$C$114:$C$119,'Preguntas de negocio'!$D$114:$D$119,0)</f>
        <v>4.5</v>
      </c>
      <c r="AB1131" s="55">
        <f>VLOOKUP(C1131,'Preguntas de negocio'!$C$121:$D$127,2,FALSE)</f>
        <v>0.35</v>
      </c>
    </row>
    <row r="1132" spans="1:28" x14ac:dyDescent="0.3">
      <c r="A1132" s="1">
        <v>45944</v>
      </c>
      <c r="B1132" s="2" t="s">
        <v>2620</v>
      </c>
      <c r="C1132" s="2" t="s">
        <v>2515</v>
      </c>
      <c r="D1132" s="2" t="s">
        <v>2528</v>
      </c>
      <c r="E1132" s="2" t="s">
        <v>2529</v>
      </c>
      <c r="F1132" s="3">
        <v>37754</v>
      </c>
      <c r="G1132" s="3">
        <v>629</v>
      </c>
      <c r="H1132" s="3">
        <v>5</v>
      </c>
      <c r="I1132" s="4">
        <v>233.22</v>
      </c>
      <c r="J1132" s="4">
        <v>734.19</v>
      </c>
      <c r="K1132" s="3">
        <v>4</v>
      </c>
      <c r="L1132" s="2" t="s">
        <v>2523</v>
      </c>
      <c r="M1132" s="2" t="s">
        <v>2546</v>
      </c>
      <c r="N1132" s="8">
        <f>IFERROR(G1132/F1132,0)</f>
        <v>1.6660486306086773E-2</v>
      </c>
      <c r="O1132" s="8">
        <f>IFERROR(H1132/G1132,0)</f>
        <v>7.9491255961844191E-3</v>
      </c>
      <c r="P1132" s="4">
        <f>IFERROR(I1132/G1132,0)</f>
        <v>0.37077901430842608</v>
      </c>
      <c r="Q1132" s="4">
        <f>IFERROR(I1132/H1132,0)</f>
        <v>46.643999999999998</v>
      </c>
      <c r="R1132" s="12">
        <f>IFERROR(J1132/I1132,0)</f>
        <v>3.1480576279907386</v>
      </c>
      <c r="S1132" s="7">
        <f>Tabla_nuevas_columnas[[#This Row],[ROAS]]</f>
        <v>3.1480576279907386</v>
      </c>
      <c r="T1132" t="str">
        <f>_xlfn.CONCAT(C1132,"-",D1132)</f>
        <v>Email-España</v>
      </c>
      <c r="U1132">
        <f>YEAR(A1132)</f>
        <v>2025</v>
      </c>
      <c r="V1132">
        <f>MONTH(A1132)</f>
        <v>10</v>
      </c>
      <c r="W1132" t="str">
        <f>PROPER(TEXT(A1132,"mmmm"))</f>
        <v>Octubre</v>
      </c>
      <c r="X1132" t="str">
        <f>PROPER(TEXT(A1132,"dddd"))</f>
        <v>Martes</v>
      </c>
      <c r="Y1132" t="str" cm="1">
        <f t="array" ref="Y1132">_xlfn.IFS(R1132&gt;10,"Excelente",R1132&gt;=5,"Bueno",R1132&gt;=2,"Débil",R1132&lt;2,"Deficiente")</f>
        <v>Débil</v>
      </c>
      <c r="Z1132" t="str">
        <f>IF(AND(R1132&lt;2,Q1132&gt;=100),"Revisar","OK")</f>
        <v>OK</v>
      </c>
      <c r="AA1132" s="55">
        <f>_xlfn.XLOOKUP(C1132,'Preguntas de negocio'!$C$114:$C$119,'Preguntas de negocio'!$D$114:$D$119,0)</f>
        <v>5.5</v>
      </c>
      <c r="AB1132" s="55">
        <f>VLOOKUP(C1132,'Preguntas de negocio'!$C$121:$D$127,2,FALSE)</f>
        <v>0.65</v>
      </c>
    </row>
    <row r="1133" spans="1:28" x14ac:dyDescent="0.3">
      <c r="A1133" s="1">
        <v>45844</v>
      </c>
      <c r="B1133" s="2" t="s">
        <v>2625</v>
      </c>
      <c r="C1133" s="2" t="s">
        <v>2533</v>
      </c>
      <c r="D1133" s="2" t="s">
        <v>2522</v>
      </c>
      <c r="E1133" s="2" t="s">
        <v>2529</v>
      </c>
      <c r="F1133" s="3">
        <v>55877</v>
      </c>
      <c r="G1133" s="3">
        <v>4902</v>
      </c>
      <c r="H1133" s="3">
        <v>466</v>
      </c>
      <c r="I1133" s="4">
        <v>3259.6</v>
      </c>
      <c r="J1133" s="4">
        <v>36907.08</v>
      </c>
      <c r="K1133" s="3">
        <v>243</v>
      </c>
      <c r="L1133" s="2" t="s">
        <v>2539</v>
      </c>
      <c r="M1133" s="2" t="s">
        <v>2524</v>
      </c>
      <c r="N1133" s="8">
        <f>IFERROR(G1133/F1133,0)</f>
        <v>8.7728403457594362E-2</v>
      </c>
      <c r="O1133" s="8">
        <f>IFERROR(H1133/G1133,0)</f>
        <v>9.5063239494084045E-2</v>
      </c>
      <c r="P1133" s="4">
        <f>IFERROR(I1133/G1133,0)</f>
        <v>0.66495308037535694</v>
      </c>
      <c r="Q1133" s="4">
        <f>IFERROR(I1133/H1133,0)</f>
        <v>6.994849785407725</v>
      </c>
      <c r="R1133" s="12">
        <f>IFERROR(J1133/I1133,0)</f>
        <v>11.32257945760216</v>
      </c>
      <c r="S1133" s="7">
        <f>Tabla_nuevas_columnas[[#This Row],[ROAS]]</f>
        <v>11.32257945760216</v>
      </c>
      <c r="T1133" t="str">
        <f>_xlfn.CONCAT(C1133,"-",D1133)</f>
        <v>Paid Social-Italia</v>
      </c>
      <c r="U1133">
        <f>YEAR(A1133)</f>
        <v>2025</v>
      </c>
      <c r="V1133">
        <f>MONTH(A1133)</f>
        <v>7</v>
      </c>
      <c r="W1133" t="str">
        <f>PROPER(TEXT(A1133,"mmmm"))</f>
        <v>Julio</v>
      </c>
      <c r="X1133" t="str">
        <f>PROPER(TEXT(A1133,"dddd"))</f>
        <v>Domingo</v>
      </c>
      <c r="Y1133" t="str" cm="1">
        <f t="array" ref="Y1133">_xlfn.IFS(R1133&gt;10,"Excelente",R1133&gt;=5,"Bueno",R1133&gt;=2,"Débil",R1133&lt;2,"Deficiente")</f>
        <v>Excelente</v>
      </c>
      <c r="Z1133" t="str">
        <f>IF(AND(R1133&lt;2,Q1133&gt;=100),"Revisar","OK")</f>
        <v>OK</v>
      </c>
      <c r="AA1133" s="55">
        <f>_xlfn.XLOOKUP(C1133,'Preguntas de negocio'!$C$114:$C$119,'Preguntas de negocio'!$D$114:$D$119,0)</f>
        <v>6</v>
      </c>
      <c r="AB1133" s="55">
        <f>VLOOKUP(C1133,'Preguntas de negocio'!$C$121:$D$127,2,FALSE)</f>
        <v>0.8</v>
      </c>
    </row>
    <row r="1134" spans="1:28" x14ac:dyDescent="0.3">
      <c r="A1134" s="1">
        <v>45720</v>
      </c>
      <c r="B1134" s="2" t="s">
        <v>2629</v>
      </c>
      <c r="C1134" s="2" t="s">
        <v>2515</v>
      </c>
      <c r="D1134" s="2" t="s">
        <v>2528</v>
      </c>
      <c r="E1134" s="2" t="s">
        <v>2529</v>
      </c>
      <c r="F1134" s="3">
        <v>90163</v>
      </c>
      <c r="G1134" s="3">
        <v>4268</v>
      </c>
      <c r="H1134" s="3">
        <v>443</v>
      </c>
      <c r="I1134" s="4">
        <v>7429.3</v>
      </c>
      <c r="J1134" s="4">
        <v>31552.81</v>
      </c>
      <c r="K1134" s="3">
        <v>231</v>
      </c>
      <c r="L1134" s="2" t="s">
        <v>2539</v>
      </c>
      <c r="M1134" s="2" t="s">
        <v>2526</v>
      </c>
      <c r="N1134" s="8">
        <f>IFERROR(G1134/F1134,0)</f>
        <v>4.7336490578175086E-2</v>
      </c>
      <c r="O1134" s="8">
        <f>IFERROR(H1134/G1134,0)</f>
        <v>0.10379568884723524</v>
      </c>
      <c r="P1134" s="4">
        <f>IFERROR(I1134/G1134,0)</f>
        <v>1.7406982193064668</v>
      </c>
      <c r="Q1134" s="4">
        <f>IFERROR(I1134/H1134,0)</f>
        <v>16.770428893905191</v>
      </c>
      <c r="R1134" s="12">
        <f>IFERROR(J1134/I1134,0)</f>
        <v>4.2470771135907821</v>
      </c>
      <c r="S1134" s="7">
        <f>Tabla_nuevas_columnas[[#This Row],[ROAS]]</f>
        <v>4.2470771135907821</v>
      </c>
      <c r="T1134" t="str">
        <f>_xlfn.CONCAT(C1134,"-",D1134)</f>
        <v>Email-España</v>
      </c>
      <c r="U1134">
        <f>YEAR(A1134)</f>
        <v>2025</v>
      </c>
      <c r="V1134">
        <f>MONTH(A1134)</f>
        <v>3</v>
      </c>
      <c r="W1134" t="str">
        <f>PROPER(TEXT(A1134,"mmmm"))</f>
        <v>Marzo</v>
      </c>
      <c r="X1134" t="str">
        <f>PROPER(TEXT(A1134,"dddd"))</f>
        <v>Martes</v>
      </c>
      <c r="Y1134" t="str" cm="1">
        <f t="array" ref="Y1134">_xlfn.IFS(R1134&gt;10,"Excelente",R1134&gt;=5,"Bueno",R1134&gt;=2,"Débil",R1134&lt;2,"Deficiente")</f>
        <v>Débil</v>
      </c>
      <c r="Z1134" t="str">
        <f>IF(AND(R1134&lt;2,Q1134&gt;=100),"Revisar","OK")</f>
        <v>OK</v>
      </c>
      <c r="AA1134" s="55">
        <f>_xlfn.XLOOKUP(C1134,'Preguntas de negocio'!$C$114:$C$119,'Preguntas de negocio'!$D$114:$D$119,0)</f>
        <v>5.5</v>
      </c>
      <c r="AB1134" s="55">
        <f>VLOOKUP(C1134,'Preguntas de negocio'!$C$121:$D$127,2,FALSE)</f>
        <v>0.65</v>
      </c>
    </row>
    <row r="1135" spans="1:28" x14ac:dyDescent="0.3">
      <c r="A1135" s="1">
        <v>45929</v>
      </c>
      <c r="B1135" s="2" t="s">
        <v>2639</v>
      </c>
      <c r="C1135" s="2" t="s">
        <v>2533</v>
      </c>
      <c r="D1135" s="2" t="s">
        <v>2531</v>
      </c>
      <c r="E1135" s="2" t="s">
        <v>2529</v>
      </c>
      <c r="F1135" s="3">
        <v>8746</v>
      </c>
      <c r="G1135" s="3">
        <v>581</v>
      </c>
      <c r="H1135" s="3">
        <v>9</v>
      </c>
      <c r="I1135" s="4">
        <v>777.55</v>
      </c>
      <c r="J1135" s="4">
        <v>1248.27</v>
      </c>
      <c r="K1135" s="3">
        <v>4</v>
      </c>
      <c r="L1135" s="2" t="s">
        <v>2518</v>
      </c>
      <c r="M1135" s="2" t="s">
        <v>2526</v>
      </c>
      <c r="N1135" s="8">
        <f>IFERROR(G1135/F1135,0)</f>
        <v>6.6430368168305512E-2</v>
      </c>
      <c r="O1135" s="8">
        <f>IFERROR(H1135/G1135,0)</f>
        <v>1.549053356282272E-2</v>
      </c>
      <c r="P1135" s="4">
        <f>IFERROR(I1135/G1135,0)</f>
        <v>1.3382960413080893</v>
      </c>
      <c r="Q1135" s="4">
        <f>IFERROR(I1135/H1135,0)</f>
        <v>86.394444444444446</v>
      </c>
      <c r="R1135" s="12">
        <f>IFERROR(J1135/I1135,0)</f>
        <v>1.6053887209825735</v>
      </c>
      <c r="S1135" s="7">
        <f>Tabla_nuevas_columnas[[#This Row],[ROAS]]</f>
        <v>1.6053887209825735</v>
      </c>
      <c r="T1135" t="str">
        <f>_xlfn.CONCAT(C1135,"-",D1135)</f>
        <v>Paid Social-Portugal</v>
      </c>
      <c r="U1135">
        <f>YEAR(A1135)</f>
        <v>2025</v>
      </c>
      <c r="V1135">
        <f>MONTH(A1135)</f>
        <v>9</v>
      </c>
      <c r="W1135" t="str">
        <f>PROPER(TEXT(A1135,"mmmm"))</f>
        <v>Septiembre</v>
      </c>
      <c r="X1135" t="str">
        <f>PROPER(TEXT(A1135,"dddd"))</f>
        <v>Lunes</v>
      </c>
      <c r="Y1135" t="str" cm="1">
        <f t="array" ref="Y1135">_xlfn.IFS(R1135&gt;10,"Excelente",R1135&gt;=5,"Bueno",R1135&gt;=2,"Débil",R1135&lt;2,"Deficiente")</f>
        <v>Deficiente</v>
      </c>
      <c r="Z1135" t="str">
        <f>IF(AND(R1135&lt;2,Q1135&gt;=100),"Revisar","OK")</f>
        <v>OK</v>
      </c>
      <c r="AA1135" s="55">
        <f>_xlfn.XLOOKUP(C1135,'Preguntas de negocio'!$C$114:$C$119,'Preguntas de negocio'!$D$114:$D$119,0)</f>
        <v>6</v>
      </c>
      <c r="AB1135" s="55">
        <f>VLOOKUP(C1135,'Preguntas de negocio'!$C$121:$D$127,2,FALSE)</f>
        <v>0.8</v>
      </c>
    </row>
    <row r="1136" spans="1:28" x14ac:dyDescent="0.3">
      <c r="A1136" s="1">
        <v>45720</v>
      </c>
      <c r="B1136" s="2" t="s">
        <v>2641</v>
      </c>
      <c r="C1136" s="2" t="s">
        <v>2521</v>
      </c>
      <c r="D1136" s="2" t="s">
        <v>2528</v>
      </c>
      <c r="E1136" s="2" t="s">
        <v>2517</v>
      </c>
      <c r="F1136" s="3">
        <v>33293</v>
      </c>
      <c r="G1136" s="3">
        <v>553</v>
      </c>
      <c r="H1136" s="3">
        <v>74</v>
      </c>
      <c r="I1136" s="4">
        <v>465.04</v>
      </c>
      <c r="J1136" s="4">
        <v>11335.61</v>
      </c>
      <c r="K1136" s="3">
        <v>43</v>
      </c>
      <c r="L1136" s="2" t="s">
        <v>2518</v>
      </c>
      <c r="M1136" s="2" t="s">
        <v>2519</v>
      </c>
      <c r="N1136" s="8">
        <f>IFERROR(G1136/F1136,0)</f>
        <v>1.6610098218844804E-2</v>
      </c>
      <c r="O1136" s="8">
        <f>IFERROR(H1136/G1136,0)</f>
        <v>0.13381555153707053</v>
      </c>
      <c r="P1136" s="4">
        <f>IFERROR(I1136/G1136,0)</f>
        <v>0.84094032549728759</v>
      </c>
      <c r="Q1136" s="4">
        <f>IFERROR(I1136/H1136,0)</f>
        <v>6.2843243243243245</v>
      </c>
      <c r="R1136" s="12">
        <f>IFERROR(J1136/I1136,0)</f>
        <v>24.375559091691038</v>
      </c>
      <c r="S1136" s="7">
        <f>Tabla_nuevas_columnas[[#This Row],[ROAS]]</f>
        <v>24.375559091691038</v>
      </c>
      <c r="T1136" t="str">
        <f>_xlfn.CONCAT(C1136,"-",D1136)</f>
        <v>Paid Search-España</v>
      </c>
      <c r="U1136">
        <f>YEAR(A1136)</f>
        <v>2025</v>
      </c>
      <c r="V1136">
        <f>MONTH(A1136)</f>
        <v>3</v>
      </c>
      <c r="W1136" t="str">
        <f>PROPER(TEXT(A1136,"mmmm"))</f>
        <v>Marzo</v>
      </c>
      <c r="X1136" t="str">
        <f>PROPER(TEXT(A1136,"dddd"))</f>
        <v>Martes</v>
      </c>
      <c r="Y1136" t="str" cm="1">
        <f t="array" ref="Y1136">_xlfn.IFS(R1136&gt;10,"Excelente",R1136&gt;=5,"Bueno",R1136&gt;=2,"Débil",R1136&lt;2,"Deficiente")</f>
        <v>Excelente</v>
      </c>
      <c r="Z1136" t="str">
        <f>IF(AND(R1136&lt;2,Q1136&gt;=100),"Revisar","OK")</f>
        <v>OK</v>
      </c>
      <c r="AA1136" s="55">
        <f>_xlfn.XLOOKUP(C1136,'Preguntas de negocio'!$C$114:$C$119,'Preguntas de negocio'!$D$114:$D$119,0)</f>
        <v>5</v>
      </c>
      <c r="AB1136" s="55">
        <f>VLOOKUP(C1136,'Preguntas de negocio'!$C$121:$D$127,2,FALSE)</f>
        <v>1.1000000000000001</v>
      </c>
    </row>
    <row r="1137" spans="1:28" x14ac:dyDescent="0.3">
      <c r="A1137" s="1">
        <v>45983</v>
      </c>
      <c r="B1137" s="2" t="s">
        <v>2643</v>
      </c>
      <c r="C1137" s="2" t="s">
        <v>2527</v>
      </c>
      <c r="D1137" s="2" t="s">
        <v>2528</v>
      </c>
      <c r="E1137" s="2" t="s">
        <v>2517</v>
      </c>
      <c r="F1137" s="3">
        <v>88575</v>
      </c>
      <c r="G1137" s="3">
        <v>3863</v>
      </c>
      <c r="H1137" s="3">
        <v>144</v>
      </c>
      <c r="I1137" s="4">
        <v>5128.53</v>
      </c>
      <c r="J1137" s="4">
        <v>14704.61</v>
      </c>
      <c r="K1137" s="3">
        <v>84</v>
      </c>
      <c r="L1137" s="2" t="s">
        <v>2539</v>
      </c>
      <c r="M1137" s="2" t="s">
        <v>2524</v>
      </c>
      <c r="N1137" s="8">
        <f>IFERROR(G1137/F1137,0)</f>
        <v>4.3612757550098788E-2</v>
      </c>
      <c r="O1137" s="8">
        <f>IFERROR(H1137/G1137,0)</f>
        <v>3.7276727931659336E-2</v>
      </c>
      <c r="P1137" s="4">
        <f>IFERROR(I1137/G1137,0)</f>
        <v>1.3276028993010613</v>
      </c>
      <c r="Q1137" s="4">
        <f>IFERROR(I1137/H1137,0)</f>
        <v>35.614791666666662</v>
      </c>
      <c r="R1137" s="12">
        <f>IFERROR(J1137/I1137,0)</f>
        <v>2.8672173117832989</v>
      </c>
      <c r="S1137" s="7">
        <f>Tabla_nuevas_columnas[[#This Row],[ROAS]]</f>
        <v>2.8672173117832989</v>
      </c>
      <c r="T1137" t="str">
        <f>_xlfn.CONCAT(C1137,"-",D1137)</f>
        <v>Affiliate-España</v>
      </c>
      <c r="U1137">
        <f>YEAR(A1137)</f>
        <v>2025</v>
      </c>
      <c r="V1137">
        <f>MONTH(A1137)</f>
        <v>11</v>
      </c>
      <c r="W1137" t="str">
        <f>PROPER(TEXT(A1137,"mmmm"))</f>
        <v>Noviembre</v>
      </c>
      <c r="X1137" t="str">
        <f>PROPER(TEXT(A1137,"dddd"))</f>
        <v>Sábado</v>
      </c>
      <c r="Y1137" t="str" cm="1">
        <f t="array" ref="Y1137">_xlfn.IFS(R1137&gt;10,"Excelente",R1137&gt;=5,"Bueno",R1137&gt;=2,"Débil",R1137&lt;2,"Deficiente")</f>
        <v>Débil</v>
      </c>
      <c r="Z1137" t="str">
        <f>IF(AND(R1137&lt;2,Q1137&gt;=100),"Revisar","OK")</f>
        <v>OK</v>
      </c>
      <c r="AA1137" s="55">
        <f>_xlfn.XLOOKUP(C1137,'Preguntas de negocio'!$C$114:$C$119,'Preguntas de negocio'!$D$114:$D$119,0)</f>
        <v>4.5</v>
      </c>
      <c r="AB1137" s="55">
        <f>VLOOKUP(C1137,'Preguntas de negocio'!$C$121:$D$127,2,FALSE)</f>
        <v>0.35</v>
      </c>
    </row>
    <row r="1138" spans="1:28" x14ac:dyDescent="0.3">
      <c r="A1138" s="1">
        <v>45680</v>
      </c>
      <c r="B1138" s="2" t="s">
        <v>2641</v>
      </c>
      <c r="C1138" s="2" t="s">
        <v>2541</v>
      </c>
      <c r="D1138" s="2" t="s">
        <v>2528</v>
      </c>
      <c r="E1138" s="2" t="s">
        <v>2517</v>
      </c>
      <c r="F1138" s="3">
        <v>67641</v>
      </c>
      <c r="G1138" s="3">
        <v>5862</v>
      </c>
      <c r="H1138" s="3">
        <v>41</v>
      </c>
      <c r="I1138" s="4">
        <v>1462.11</v>
      </c>
      <c r="J1138" s="4">
        <v>8431.9500000000007</v>
      </c>
      <c r="K1138" s="3">
        <v>27</v>
      </c>
      <c r="L1138" s="2" t="s">
        <v>2539</v>
      </c>
      <c r="M1138" s="2" t="s">
        <v>2526</v>
      </c>
      <c r="N1138" s="8">
        <f>IFERROR(G1138/F1138,0)</f>
        <v>8.6663414201445868E-2</v>
      </c>
      <c r="O1138" s="8">
        <f>IFERROR(H1138/G1138,0)</f>
        <v>6.9941999317639034E-3</v>
      </c>
      <c r="P1138" s="4">
        <f>IFERROR(I1138/G1138,0)</f>
        <v>0.24942169907881268</v>
      </c>
      <c r="Q1138" s="4">
        <f>IFERROR(I1138/H1138,0)</f>
        <v>35.661219512195117</v>
      </c>
      <c r="R1138" s="12">
        <f>IFERROR(J1138/I1138,0)</f>
        <v>5.7669737571044593</v>
      </c>
      <c r="S1138" s="7">
        <f>Tabla_nuevas_columnas[[#This Row],[ROAS]]</f>
        <v>5.7669737571044593</v>
      </c>
      <c r="T1138" t="str">
        <f>_xlfn.CONCAT(C1138,"-",D1138)</f>
        <v>Display-España</v>
      </c>
      <c r="U1138">
        <f>YEAR(A1138)</f>
        <v>2025</v>
      </c>
      <c r="V1138">
        <f>MONTH(A1138)</f>
        <v>1</v>
      </c>
      <c r="W1138" t="str">
        <f>PROPER(TEXT(A1138,"mmmm"))</f>
        <v>Enero</v>
      </c>
      <c r="X1138" t="str">
        <f>PROPER(TEXT(A1138,"dddd"))</f>
        <v>Jueves</v>
      </c>
      <c r="Y1138" t="str" cm="1">
        <f t="array" ref="Y1138">_xlfn.IFS(R1138&gt;10,"Excelente",R1138&gt;=5,"Bueno",R1138&gt;=2,"Débil",R1138&lt;2,"Deficiente")</f>
        <v>Bueno</v>
      </c>
      <c r="Z1138" t="str">
        <f>IF(AND(R1138&lt;2,Q1138&gt;=100),"Revisar","OK")</f>
        <v>OK</v>
      </c>
      <c r="AA1138" s="55">
        <f>_xlfn.XLOOKUP(C1138,'Preguntas de negocio'!$C$114:$C$119,'Preguntas de negocio'!$D$114:$D$119,0)</f>
        <v>5</v>
      </c>
      <c r="AB1138" s="55">
        <f>VLOOKUP(C1138,'Preguntas de negocio'!$C$121:$D$127,2,FALSE)</f>
        <v>0.5</v>
      </c>
    </row>
    <row r="1139" spans="1:28" x14ac:dyDescent="0.3">
      <c r="A1139" s="1">
        <v>45763</v>
      </c>
      <c r="B1139" s="2" t="s">
        <v>2626</v>
      </c>
      <c r="C1139" s="2" t="s">
        <v>2527</v>
      </c>
      <c r="D1139" s="2" t="s">
        <v>2528</v>
      </c>
      <c r="E1139" s="2" t="s">
        <v>2517</v>
      </c>
      <c r="F1139" s="3">
        <v>172623</v>
      </c>
      <c r="G1139" s="3">
        <v>10575</v>
      </c>
      <c r="H1139" s="3">
        <v>759</v>
      </c>
      <c r="I1139" s="4">
        <v>7207.13</v>
      </c>
      <c r="J1139" s="4">
        <v>117323.77</v>
      </c>
      <c r="K1139" s="3">
        <v>468</v>
      </c>
      <c r="L1139" s="2" t="s">
        <v>2539</v>
      </c>
      <c r="M1139" s="2" t="s">
        <v>2526</v>
      </c>
      <c r="N1139" s="8">
        <f>IFERROR(G1139/F1139,0)</f>
        <v>6.1260666307502473E-2</v>
      </c>
      <c r="O1139" s="8">
        <f>IFERROR(H1139/G1139,0)</f>
        <v>7.1773049645390066E-2</v>
      </c>
      <c r="P1139" s="4">
        <f>IFERROR(I1139/G1139,0)</f>
        <v>0.68152529550827423</v>
      </c>
      <c r="Q1139" s="4">
        <f>IFERROR(I1139/H1139,0)</f>
        <v>9.4955599472990784</v>
      </c>
      <c r="R1139" s="12">
        <f>IFERROR(J1139/I1139,0)</f>
        <v>16.278847474653574</v>
      </c>
      <c r="S1139" s="7">
        <f>Tabla_nuevas_columnas[[#This Row],[ROAS]]</f>
        <v>16.278847474653574</v>
      </c>
      <c r="T1139" t="str">
        <f>_xlfn.CONCAT(C1139,"-",D1139)</f>
        <v>Affiliate-España</v>
      </c>
      <c r="U1139">
        <f>YEAR(A1139)</f>
        <v>2025</v>
      </c>
      <c r="V1139">
        <f>MONTH(A1139)</f>
        <v>4</v>
      </c>
      <c r="W1139" t="str">
        <f>PROPER(TEXT(A1139,"mmmm"))</f>
        <v>Abril</v>
      </c>
      <c r="X1139" t="str">
        <f>PROPER(TEXT(A1139,"dddd"))</f>
        <v>Miércoles</v>
      </c>
      <c r="Y1139" t="str" cm="1">
        <f t="array" ref="Y1139">_xlfn.IFS(R1139&gt;10,"Excelente",R1139&gt;=5,"Bueno",R1139&gt;=2,"Débil",R1139&lt;2,"Deficiente")</f>
        <v>Excelente</v>
      </c>
      <c r="Z1139" t="str">
        <f>IF(AND(R1139&lt;2,Q1139&gt;=100),"Revisar","OK")</f>
        <v>OK</v>
      </c>
      <c r="AA1139" s="55">
        <f>_xlfn.XLOOKUP(C1139,'Preguntas de negocio'!$C$114:$C$119,'Preguntas de negocio'!$D$114:$D$119,0)</f>
        <v>4.5</v>
      </c>
      <c r="AB1139" s="55">
        <f>VLOOKUP(C1139,'Preguntas de negocio'!$C$121:$D$127,2,FALSE)</f>
        <v>0.35</v>
      </c>
    </row>
    <row r="1140" spans="1:28" x14ac:dyDescent="0.3">
      <c r="A1140" s="1">
        <v>45874</v>
      </c>
      <c r="B1140" s="2" t="s">
        <v>2618</v>
      </c>
      <c r="C1140" s="2" t="s">
        <v>2533</v>
      </c>
      <c r="D1140" s="2" t="s">
        <v>2525</v>
      </c>
      <c r="E1140" s="2" t="s">
        <v>2529</v>
      </c>
      <c r="F1140" s="3">
        <v>18518</v>
      </c>
      <c r="G1140" s="3">
        <v>1160</v>
      </c>
      <c r="H1140" s="3">
        <v>158</v>
      </c>
      <c r="I1140" s="4">
        <v>689.01</v>
      </c>
      <c r="J1140" s="4">
        <v>3396.64</v>
      </c>
      <c r="K1140" s="3">
        <v>101</v>
      </c>
      <c r="L1140" s="2" t="s">
        <v>2523</v>
      </c>
      <c r="M1140" s="2" t="s">
        <v>2546</v>
      </c>
      <c r="N1140" s="8">
        <f>IFERROR(G1140/F1140,0)</f>
        <v>6.2641753969111133E-2</v>
      </c>
      <c r="O1140" s="8">
        <f>IFERROR(H1140/G1140,0)</f>
        <v>0.13620689655172413</v>
      </c>
      <c r="P1140" s="4">
        <f>IFERROR(I1140/G1140,0)</f>
        <v>0.59397413793103448</v>
      </c>
      <c r="Q1140" s="4">
        <f>IFERROR(I1140/H1140,0)</f>
        <v>4.3608227848101269</v>
      </c>
      <c r="R1140" s="12">
        <f>IFERROR(J1140/I1140,0)</f>
        <v>4.9297397715562905</v>
      </c>
      <c r="S1140" s="7">
        <f>Tabla_nuevas_columnas[[#This Row],[ROAS]]</f>
        <v>4.9297397715562905</v>
      </c>
      <c r="T1140" t="str">
        <f>_xlfn.CONCAT(C1140,"-",D1140)</f>
        <v>Paid Social-Francia</v>
      </c>
      <c r="U1140">
        <f>YEAR(A1140)</f>
        <v>2025</v>
      </c>
      <c r="V1140">
        <f>MONTH(A1140)</f>
        <v>8</v>
      </c>
      <c r="W1140" t="str">
        <f>PROPER(TEXT(A1140,"mmmm"))</f>
        <v>Agosto</v>
      </c>
      <c r="X1140" t="str">
        <f>PROPER(TEXT(A1140,"dddd"))</f>
        <v>Martes</v>
      </c>
      <c r="Y1140" t="str" cm="1">
        <f t="array" ref="Y1140">_xlfn.IFS(R1140&gt;10,"Excelente",R1140&gt;=5,"Bueno",R1140&gt;=2,"Débil",R1140&lt;2,"Deficiente")</f>
        <v>Débil</v>
      </c>
      <c r="Z1140" t="str">
        <f>IF(AND(R1140&lt;2,Q1140&gt;=100),"Revisar","OK")</f>
        <v>OK</v>
      </c>
      <c r="AA1140" s="55">
        <f>_xlfn.XLOOKUP(C1140,'Preguntas de negocio'!$C$114:$C$119,'Preguntas de negocio'!$D$114:$D$119,0)</f>
        <v>6</v>
      </c>
      <c r="AB1140" s="55">
        <f>VLOOKUP(C1140,'Preguntas de negocio'!$C$121:$D$127,2,FALSE)</f>
        <v>0.8</v>
      </c>
    </row>
    <row r="1141" spans="1:28" x14ac:dyDescent="0.3">
      <c r="A1141" s="1">
        <v>45888</v>
      </c>
      <c r="B1141" s="2" t="s">
        <v>2631</v>
      </c>
      <c r="C1141" s="2" t="s">
        <v>2543</v>
      </c>
      <c r="D1141" s="2" t="s">
        <v>2528</v>
      </c>
      <c r="E1141" s="2" t="s">
        <v>2529</v>
      </c>
      <c r="F1141" s="3">
        <v>130067</v>
      </c>
      <c r="G1141" s="3">
        <v>10650</v>
      </c>
      <c r="H1141" s="3">
        <v>1025</v>
      </c>
      <c r="I1141" s="4">
        <v>4595.96</v>
      </c>
      <c r="J1141" s="4">
        <v>137379.29999999999</v>
      </c>
      <c r="K1141" s="3">
        <v>680</v>
      </c>
      <c r="L1141" s="2" t="s">
        <v>2539</v>
      </c>
      <c r="M1141" s="2" t="s">
        <v>2519</v>
      </c>
      <c r="N1141" s="8">
        <f>IFERROR(G1141/F1141,0)</f>
        <v>8.1880876778890874E-2</v>
      </c>
      <c r="O1141" s="8">
        <f>IFERROR(H1141/G1141,0)</f>
        <v>9.6244131455399062E-2</v>
      </c>
      <c r="P1141" s="4">
        <f>IFERROR(I1141/G1141,0)</f>
        <v>0.43154553990610328</v>
      </c>
      <c r="Q1141" s="4">
        <f>IFERROR(I1141/H1141,0)</f>
        <v>4.4838634146341461</v>
      </c>
      <c r="R1141" s="12">
        <f>IFERROR(J1141/I1141,0)</f>
        <v>29.891317591972076</v>
      </c>
      <c r="S1141" s="7">
        <f>Tabla_nuevas_columnas[[#This Row],[ROAS]]</f>
        <v>29.891317591972076</v>
      </c>
      <c r="T1141" t="str">
        <f>_xlfn.CONCAT(C1141,"-",D1141)</f>
        <v>Organic Social-España</v>
      </c>
      <c r="U1141">
        <f>YEAR(A1141)</f>
        <v>2025</v>
      </c>
      <c r="V1141">
        <f>MONTH(A1141)</f>
        <v>8</v>
      </c>
      <c r="W1141" t="str">
        <f>PROPER(TEXT(A1141,"mmmm"))</f>
        <v>Agosto</v>
      </c>
      <c r="X1141" t="str">
        <f>PROPER(TEXT(A1141,"dddd"))</f>
        <v>Martes</v>
      </c>
      <c r="Y1141" t="str" cm="1">
        <f t="array" ref="Y1141">_xlfn.IFS(R1141&gt;10,"Excelente",R1141&gt;=5,"Bueno",R1141&gt;=2,"Débil",R1141&lt;2,"Deficiente")</f>
        <v>Excelente</v>
      </c>
      <c r="Z1141" t="str">
        <f>IF(AND(R1141&lt;2,Q1141&gt;=100),"Revisar","OK")</f>
        <v>OK</v>
      </c>
      <c r="AA1141" s="55">
        <f>_xlfn.XLOOKUP(C1141,'Preguntas de negocio'!$C$114:$C$119,'Preguntas de negocio'!$D$114:$D$119,0)</f>
        <v>4</v>
      </c>
      <c r="AB1141" s="55">
        <f>VLOOKUP(C1141,'Preguntas de negocio'!$C$121:$D$127,2,FALSE)</f>
        <v>0.95</v>
      </c>
    </row>
    <row r="1142" spans="1:28" x14ac:dyDescent="0.3">
      <c r="A1142" s="1">
        <v>45672</v>
      </c>
      <c r="B1142" s="2" t="s">
        <v>2640</v>
      </c>
      <c r="C1142" s="2" t="s">
        <v>2543</v>
      </c>
      <c r="D1142" s="2" t="s">
        <v>2528</v>
      </c>
      <c r="E1142" s="2" t="s">
        <v>2534</v>
      </c>
      <c r="F1142" s="3">
        <v>177703</v>
      </c>
      <c r="G1142" s="3">
        <v>14067</v>
      </c>
      <c r="H1142" s="3">
        <v>1465</v>
      </c>
      <c r="I1142" s="4">
        <v>13486.04</v>
      </c>
      <c r="J1142" s="4">
        <v>126597.44</v>
      </c>
      <c r="K1142" s="3">
        <v>1181</v>
      </c>
      <c r="L1142" s="2" t="s">
        <v>2523</v>
      </c>
      <c r="M1142" s="2" t="s">
        <v>2519</v>
      </c>
      <c r="N1142" s="8">
        <f>IFERROR(G1142/F1142,0)</f>
        <v>7.9160171747241187E-2</v>
      </c>
      <c r="O1142" s="8">
        <f>IFERROR(H1142/G1142,0)</f>
        <v>0.10414445155328073</v>
      </c>
      <c r="P1142" s="4">
        <f>IFERROR(I1142/G1142,0)</f>
        <v>0.95870050472737622</v>
      </c>
      <c r="Q1142" s="4">
        <f>IFERROR(I1142/H1142,0)</f>
        <v>9.2054880546075086</v>
      </c>
      <c r="R1142" s="12">
        <f>IFERROR(J1142/I1142,0)</f>
        <v>9.3872953068506391</v>
      </c>
      <c r="S1142" s="7">
        <f>Tabla_nuevas_columnas[[#This Row],[ROAS]]</f>
        <v>9.3872953068506391</v>
      </c>
      <c r="T1142" t="str">
        <f>_xlfn.CONCAT(C1142,"-",D1142)</f>
        <v>Organic Social-España</v>
      </c>
      <c r="U1142">
        <f>YEAR(A1142)</f>
        <v>2025</v>
      </c>
      <c r="V1142">
        <f>MONTH(A1142)</f>
        <v>1</v>
      </c>
      <c r="W1142" t="str">
        <f>PROPER(TEXT(A1142,"mmmm"))</f>
        <v>Enero</v>
      </c>
      <c r="X1142" t="str">
        <f>PROPER(TEXT(A1142,"dddd"))</f>
        <v>Miércoles</v>
      </c>
      <c r="Y1142" t="str" cm="1">
        <f t="array" ref="Y1142">_xlfn.IFS(R1142&gt;10,"Excelente",R1142&gt;=5,"Bueno",R1142&gt;=2,"Débil",R1142&lt;2,"Deficiente")</f>
        <v>Bueno</v>
      </c>
      <c r="Z1142" t="str">
        <f>IF(AND(R1142&lt;2,Q1142&gt;=100),"Revisar","OK")</f>
        <v>OK</v>
      </c>
      <c r="AA1142" s="55">
        <f>_xlfn.XLOOKUP(C1142,'Preguntas de negocio'!$C$114:$C$119,'Preguntas de negocio'!$D$114:$D$119,0)</f>
        <v>4</v>
      </c>
      <c r="AB1142" s="55">
        <f>VLOOKUP(C1142,'Preguntas de negocio'!$C$121:$D$127,2,FALSE)</f>
        <v>0.95</v>
      </c>
    </row>
    <row r="1143" spans="1:28" x14ac:dyDescent="0.3">
      <c r="A1143" s="1">
        <v>45788</v>
      </c>
      <c r="B1143" s="2" t="s">
        <v>2637</v>
      </c>
      <c r="C1143" s="2" t="s">
        <v>2515</v>
      </c>
      <c r="D1143" s="2" t="s">
        <v>2516</v>
      </c>
      <c r="E1143" s="2" t="s">
        <v>2529</v>
      </c>
      <c r="F1143" s="3">
        <v>68139</v>
      </c>
      <c r="G1143" s="3">
        <v>2369</v>
      </c>
      <c r="H1143" s="3">
        <v>258</v>
      </c>
      <c r="I1143" s="4">
        <v>4436.49</v>
      </c>
      <c r="J1143" s="4">
        <v>49978.66</v>
      </c>
      <c r="K1143" s="3">
        <v>219</v>
      </c>
      <c r="L1143" s="2" t="s">
        <v>2518</v>
      </c>
      <c r="M1143" s="2" t="s">
        <v>2546</v>
      </c>
      <c r="N1143" s="8">
        <f>IFERROR(G1143/F1143,0)</f>
        <v>3.47671671142811E-2</v>
      </c>
      <c r="O1143" s="8">
        <f>IFERROR(H1143/G1143,0)</f>
        <v>0.10890671169269735</v>
      </c>
      <c r="P1143" s="4">
        <f>IFERROR(I1143/G1143,0)</f>
        <v>1.8727268889826931</v>
      </c>
      <c r="Q1143" s="4">
        <f>IFERROR(I1143/H1143,0)</f>
        <v>17.195697674418604</v>
      </c>
      <c r="R1143" s="12">
        <f>IFERROR(J1143/I1143,0)</f>
        <v>11.265360679275735</v>
      </c>
      <c r="S1143" s="7">
        <f>Tabla_nuevas_columnas[[#This Row],[ROAS]]</f>
        <v>11.265360679275735</v>
      </c>
      <c r="T1143" t="str">
        <f>_xlfn.CONCAT(C1143,"-",D1143)</f>
        <v>Email-México</v>
      </c>
      <c r="U1143">
        <f>YEAR(A1143)</f>
        <v>2025</v>
      </c>
      <c r="V1143">
        <f>MONTH(A1143)</f>
        <v>5</v>
      </c>
      <c r="W1143" t="str">
        <f>PROPER(TEXT(A1143,"mmmm"))</f>
        <v>Mayo</v>
      </c>
      <c r="X1143" t="str">
        <f>PROPER(TEXT(A1143,"dddd"))</f>
        <v>Domingo</v>
      </c>
      <c r="Y1143" t="str" cm="1">
        <f t="array" ref="Y1143">_xlfn.IFS(R1143&gt;10,"Excelente",R1143&gt;=5,"Bueno",R1143&gt;=2,"Débil",R1143&lt;2,"Deficiente")</f>
        <v>Excelente</v>
      </c>
      <c r="Z1143" t="str">
        <f>IF(AND(R1143&lt;2,Q1143&gt;=100),"Revisar","OK")</f>
        <v>OK</v>
      </c>
      <c r="AA1143" s="55">
        <f>_xlfn.XLOOKUP(C1143,'Preguntas de negocio'!$C$114:$C$119,'Preguntas de negocio'!$D$114:$D$119,0)</f>
        <v>5.5</v>
      </c>
      <c r="AB1143" s="55">
        <f>VLOOKUP(C1143,'Preguntas de negocio'!$C$121:$D$127,2,FALSE)</f>
        <v>0.65</v>
      </c>
    </row>
    <row r="1144" spans="1:28" x14ac:dyDescent="0.3">
      <c r="A1144" s="1">
        <v>45947</v>
      </c>
      <c r="B1144" s="2" t="s">
        <v>2641</v>
      </c>
      <c r="C1144" s="2" t="s">
        <v>2541</v>
      </c>
      <c r="D1144" s="2" t="s">
        <v>2531</v>
      </c>
      <c r="E1144" s="2" t="s">
        <v>2529</v>
      </c>
      <c r="F1144" s="3">
        <v>164017</v>
      </c>
      <c r="G1144" s="3">
        <v>4996</v>
      </c>
      <c r="H1144" s="3">
        <v>170</v>
      </c>
      <c r="I1144" s="4">
        <v>6449.46</v>
      </c>
      <c r="J1144" s="4">
        <v>16638.349999999999</v>
      </c>
      <c r="K1144" s="3">
        <v>78</v>
      </c>
      <c r="L1144" s="2" t="s">
        <v>2539</v>
      </c>
      <c r="M1144" s="2" t="s">
        <v>2524</v>
      </c>
      <c r="N1144" s="8">
        <f>IFERROR(G1144/F1144,0)</f>
        <v>3.0460257168464244E-2</v>
      </c>
      <c r="O1144" s="8">
        <f>IFERROR(H1144/G1144,0)</f>
        <v>3.4027221777421936E-2</v>
      </c>
      <c r="P1144" s="4">
        <f>IFERROR(I1144/G1144,0)</f>
        <v>1.2909247397918335</v>
      </c>
      <c r="Q1144" s="4">
        <f>IFERROR(I1144/H1144,0)</f>
        <v>37.938000000000002</v>
      </c>
      <c r="R1144" s="12">
        <f>IFERROR(J1144/I1144,0)</f>
        <v>2.579805130972205</v>
      </c>
      <c r="S1144" s="7">
        <f>Tabla_nuevas_columnas[[#This Row],[ROAS]]</f>
        <v>2.579805130972205</v>
      </c>
      <c r="T1144" t="str">
        <f>_xlfn.CONCAT(C1144,"-",D1144)</f>
        <v>Display-Portugal</v>
      </c>
      <c r="U1144">
        <f>YEAR(A1144)</f>
        <v>2025</v>
      </c>
      <c r="V1144">
        <f>MONTH(A1144)</f>
        <v>10</v>
      </c>
      <c r="W1144" t="str">
        <f>PROPER(TEXT(A1144,"mmmm"))</f>
        <v>Octubre</v>
      </c>
      <c r="X1144" t="str">
        <f>PROPER(TEXT(A1144,"dddd"))</f>
        <v>Viernes</v>
      </c>
      <c r="Y1144" t="str" cm="1">
        <f t="array" ref="Y1144">_xlfn.IFS(R1144&gt;10,"Excelente",R1144&gt;=5,"Bueno",R1144&gt;=2,"Débil",R1144&lt;2,"Deficiente")</f>
        <v>Débil</v>
      </c>
      <c r="Z1144" t="str">
        <f>IF(AND(R1144&lt;2,Q1144&gt;=100),"Revisar","OK")</f>
        <v>OK</v>
      </c>
      <c r="AA1144" s="55">
        <f>_xlfn.XLOOKUP(C1144,'Preguntas de negocio'!$C$114:$C$119,'Preguntas de negocio'!$D$114:$D$119,0)</f>
        <v>5</v>
      </c>
      <c r="AB1144" s="55">
        <f>VLOOKUP(C1144,'Preguntas de negocio'!$C$121:$D$127,2,FALSE)</f>
        <v>0.5</v>
      </c>
    </row>
    <row r="1145" spans="1:28" x14ac:dyDescent="0.3">
      <c r="A1145" s="1">
        <v>45822</v>
      </c>
      <c r="B1145" s="2" t="s">
        <v>2626</v>
      </c>
      <c r="C1145" s="2" t="s">
        <v>2533</v>
      </c>
      <c r="D1145" s="2" t="s">
        <v>2528</v>
      </c>
      <c r="E1145" s="2" t="s">
        <v>2517</v>
      </c>
      <c r="F1145" s="3">
        <v>124594</v>
      </c>
      <c r="G1145" s="3">
        <v>4746</v>
      </c>
      <c r="H1145" s="3">
        <v>299</v>
      </c>
      <c r="I1145" s="4">
        <v>5268.96</v>
      </c>
      <c r="J1145" s="4">
        <v>54344.959999999999</v>
      </c>
      <c r="K1145" s="3">
        <v>205</v>
      </c>
      <c r="L1145" s="2" t="s">
        <v>2523</v>
      </c>
      <c r="M1145" s="2" t="s">
        <v>2524</v>
      </c>
      <c r="N1145" s="8">
        <f>IFERROR(G1145/F1145,0)</f>
        <v>3.8091721912772686E-2</v>
      </c>
      <c r="O1145" s="8">
        <f>IFERROR(H1145/G1145,0)</f>
        <v>6.3000421407501048E-2</v>
      </c>
      <c r="P1145" s="4">
        <f>IFERROR(I1145/G1145,0)</f>
        <v>1.1101896333754742</v>
      </c>
      <c r="Q1145" s="4">
        <f>IFERROR(I1145/H1145,0)</f>
        <v>17.621939799331106</v>
      </c>
      <c r="R1145" s="12">
        <f>IFERROR(J1145/I1145,0)</f>
        <v>10.314172056724667</v>
      </c>
      <c r="S1145" s="7">
        <f>Tabla_nuevas_columnas[[#This Row],[ROAS]]</f>
        <v>10.314172056724667</v>
      </c>
      <c r="T1145" t="str">
        <f>_xlfn.CONCAT(C1145,"-",D1145)</f>
        <v>Paid Social-España</v>
      </c>
      <c r="U1145">
        <f>YEAR(A1145)</f>
        <v>2025</v>
      </c>
      <c r="V1145">
        <f>MONTH(A1145)</f>
        <v>6</v>
      </c>
      <c r="W1145" t="str">
        <f>PROPER(TEXT(A1145,"mmmm"))</f>
        <v>Junio</v>
      </c>
      <c r="X1145" t="str">
        <f>PROPER(TEXT(A1145,"dddd"))</f>
        <v>Sábado</v>
      </c>
      <c r="Y1145" t="str" cm="1">
        <f t="array" ref="Y1145">_xlfn.IFS(R1145&gt;10,"Excelente",R1145&gt;=5,"Bueno",R1145&gt;=2,"Débil",R1145&lt;2,"Deficiente")</f>
        <v>Excelente</v>
      </c>
      <c r="Z1145" t="str">
        <f>IF(AND(R1145&lt;2,Q1145&gt;=100),"Revisar","OK")</f>
        <v>OK</v>
      </c>
      <c r="AA1145" s="55">
        <f>_xlfn.XLOOKUP(C1145,'Preguntas de negocio'!$C$114:$C$119,'Preguntas de negocio'!$D$114:$D$119,0)</f>
        <v>6</v>
      </c>
      <c r="AB1145" s="55">
        <f>VLOOKUP(C1145,'Preguntas de negocio'!$C$121:$D$127,2,FALSE)</f>
        <v>0.8</v>
      </c>
    </row>
    <row r="1146" spans="1:28" x14ac:dyDescent="0.3">
      <c r="A1146" s="1">
        <v>45678</v>
      </c>
      <c r="B1146" s="2" t="s">
        <v>2615</v>
      </c>
      <c r="C1146" s="2" t="s">
        <v>2521</v>
      </c>
      <c r="D1146" s="2" t="s">
        <v>2525</v>
      </c>
      <c r="E1146" s="2" t="s">
        <v>2517</v>
      </c>
      <c r="F1146" s="3">
        <v>156965</v>
      </c>
      <c r="G1146" s="3">
        <v>5806</v>
      </c>
      <c r="H1146" s="3">
        <v>73</v>
      </c>
      <c r="I1146" s="4">
        <v>3091.91</v>
      </c>
      <c r="J1146" s="4">
        <v>6415.7</v>
      </c>
      <c r="K1146" s="3">
        <v>33</v>
      </c>
      <c r="L1146" s="2" t="s">
        <v>2536</v>
      </c>
      <c r="M1146" s="2" t="s">
        <v>2519</v>
      </c>
      <c r="N1146" s="8">
        <f>IFERROR(G1146/F1146,0)</f>
        <v>3.6989137705857995E-2</v>
      </c>
      <c r="O1146" s="8">
        <f>IFERROR(H1146/G1146,0)</f>
        <v>1.2573200137788494E-2</v>
      </c>
      <c r="P1146" s="4">
        <f>IFERROR(I1146/G1146,0)</f>
        <v>0.53253703065794</v>
      </c>
      <c r="Q1146" s="4">
        <f>IFERROR(I1146/H1146,0)</f>
        <v>42.354931506849312</v>
      </c>
      <c r="R1146" s="12">
        <f>IFERROR(J1146/I1146,0)</f>
        <v>2.0749957146230003</v>
      </c>
      <c r="S1146" s="7">
        <f>Tabla_nuevas_columnas[[#This Row],[ROAS]]</f>
        <v>2.0749957146230003</v>
      </c>
      <c r="T1146" t="str">
        <f>_xlfn.CONCAT(C1146,"-",D1146)</f>
        <v>Paid Search-Francia</v>
      </c>
      <c r="U1146">
        <f>YEAR(A1146)</f>
        <v>2025</v>
      </c>
      <c r="V1146">
        <f>MONTH(A1146)</f>
        <v>1</v>
      </c>
      <c r="W1146" t="str">
        <f>PROPER(TEXT(A1146,"mmmm"))</f>
        <v>Enero</v>
      </c>
      <c r="X1146" t="str">
        <f>PROPER(TEXT(A1146,"dddd"))</f>
        <v>Martes</v>
      </c>
      <c r="Y1146" t="str" cm="1">
        <f t="array" ref="Y1146">_xlfn.IFS(R1146&gt;10,"Excelente",R1146&gt;=5,"Bueno",R1146&gt;=2,"Débil",R1146&lt;2,"Deficiente")</f>
        <v>Débil</v>
      </c>
      <c r="Z1146" t="str">
        <f>IF(AND(R1146&lt;2,Q1146&gt;=100),"Revisar","OK")</f>
        <v>OK</v>
      </c>
      <c r="AA1146" s="55">
        <f>_xlfn.XLOOKUP(C1146,'Preguntas de negocio'!$C$114:$C$119,'Preguntas de negocio'!$D$114:$D$119,0)</f>
        <v>5</v>
      </c>
      <c r="AB1146" s="55">
        <f>VLOOKUP(C1146,'Preguntas de negocio'!$C$121:$D$127,2,FALSE)</f>
        <v>1.1000000000000001</v>
      </c>
    </row>
    <row r="1147" spans="1:28" x14ac:dyDescent="0.3">
      <c r="A1147" s="1">
        <v>45934</v>
      </c>
      <c r="B1147" s="2" t="s">
        <v>2620</v>
      </c>
      <c r="C1147" s="2" t="s">
        <v>2521</v>
      </c>
      <c r="D1147" s="2" t="s">
        <v>2531</v>
      </c>
      <c r="E1147" s="2" t="s">
        <v>2517</v>
      </c>
      <c r="F1147" s="3">
        <v>166082</v>
      </c>
      <c r="G1147" s="3">
        <v>14573</v>
      </c>
      <c r="H1147" s="3">
        <v>1163</v>
      </c>
      <c r="I1147" s="4">
        <v>25999.78</v>
      </c>
      <c r="J1147" s="4">
        <v>132734.29</v>
      </c>
      <c r="K1147" s="3">
        <v>846</v>
      </c>
      <c r="L1147" s="2" t="s">
        <v>2518</v>
      </c>
      <c r="M1147" s="2" t="s">
        <v>2537</v>
      </c>
      <c r="N1147" s="8">
        <f>IFERROR(G1147/F1147,0)</f>
        <v>8.7745812309582019E-2</v>
      </c>
      <c r="O1147" s="8">
        <f>IFERROR(H1147/G1147,0)</f>
        <v>7.9805119055788104E-2</v>
      </c>
      <c r="P1147" s="4">
        <f>IFERROR(I1147/G1147,0)</f>
        <v>1.7841062238386056</v>
      </c>
      <c r="Q1147" s="4">
        <f>IFERROR(I1147/H1147,0)</f>
        <v>22.355786758383491</v>
      </c>
      <c r="R1147" s="12">
        <f>IFERROR(J1147/I1147,0)</f>
        <v>5.1052081979155215</v>
      </c>
      <c r="S1147" s="7">
        <f>Tabla_nuevas_columnas[[#This Row],[ROAS]]</f>
        <v>5.1052081979155215</v>
      </c>
      <c r="T1147" t="str">
        <f>_xlfn.CONCAT(C1147,"-",D1147)</f>
        <v>Paid Search-Portugal</v>
      </c>
      <c r="U1147">
        <f>YEAR(A1147)</f>
        <v>2025</v>
      </c>
      <c r="V1147">
        <f>MONTH(A1147)</f>
        <v>10</v>
      </c>
      <c r="W1147" t="str">
        <f>PROPER(TEXT(A1147,"mmmm"))</f>
        <v>Octubre</v>
      </c>
      <c r="X1147" t="str">
        <f>PROPER(TEXT(A1147,"dddd"))</f>
        <v>Sábado</v>
      </c>
      <c r="Y1147" t="str" cm="1">
        <f t="array" ref="Y1147">_xlfn.IFS(R1147&gt;10,"Excelente",R1147&gt;=5,"Bueno",R1147&gt;=2,"Débil",R1147&lt;2,"Deficiente")</f>
        <v>Bueno</v>
      </c>
      <c r="Z1147" t="str">
        <f>IF(AND(R1147&lt;2,Q1147&gt;=100),"Revisar","OK")</f>
        <v>OK</v>
      </c>
      <c r="AA1147" s="55">
        <f>_xlfn.XLOOKUP(C1147,'Preguntas de negocio'!$C$114:$C$119,'Preguntas de negocio'!$D$114:$D$119,0)</f>
        <v>5</v>
      </c>
      <c r="AB1147" s="55">
        <f>VLOOKUP(C1147,'Preguntas de negocio'!$C$121:$D$127,2,FALSE)</f>
        <v>1.1000000000000001</v>
      </c>
    </row>
    <row r="1148" spans="1:28" x14ac:dyDescent="0.3">
      <c r="A1148" s="1">
        <v>45931</v>
      </c>
      <c r="B1148" s="2" t="s">
        <v>2632</v>
      </c>
      <c r="C1148" s="2" t="s">
        <v>2543</v>
      </c>
      <c r="D1148" s="2" t="s">
        <v>2528</v>
      </c>
      <c r="E1148" s="2" t="s">
        <v>2517</v>
      </c>
      <c r="F1148" s="3">
        <v>140686</v>
      </c>
      <c r="G1148" s="3">
        <v>9087</v>
      </c>
      <c r="H1148" s="3">
        <v>875</v>
      </c>
      <c r="I1148" s="4">
        <v>3201.94</v>
      </c>
      <c r="J1148" s="4">
        <v>92960.03</v>
      </c>
      <c r="K1148" s="3">
        <v>628</v>
      </c>
      <c r="L1148" s="2" t="s">
        <v>2518</v>
      </c>
      <c r="M1148" s="2" t="s">
        <v>2546</v>
      </c>
      <c r="N1148" s="8">
        <f>IFERROR(G1148/F1148,0)</f>
        <v>6.4590648678617635E-2</v>
      </c>
      <c r="O1148" s="8">
        <f>IFERROR(H1148/G1148,0)</f>
        <v>9.6291405304280847E-2</v>
      </c>
      <c r="P1148" s="4">
        <f>IFERROR(I1148/G1148,0)</f>
        <v>0.35236491691427313</v>
      </c>
      <c r="Q1148" s="4">
        <f>IFERROR(I1148/H1148,0)</f>
        <v>3.6593599999999999</v>
      </c>
      <c r="R1148" s="12">
        <f>IFERROR(J1148/I1148,0)</f>
        <v>29.032408477360601</v>
      </c>
      <c r="S1148" s="7">
        <f>Tabla_nuevas_columnas[[#This Row],[ROAS]]</f>
        <v>29.032408477360601</v>
      </c>
      <c r="T1148" t="str">
        <f>_xlfn.CONCAT(C1148,"-",D1148)</f>
        <v>Organic Social-España</v>
      </c>
      <c r="U1148">
        <f>YEAR(A1148)</f>
        <v>2025</v>
      </c>
      <c r="V1148">
        <f>MONTH(A1148)</f>
        <v>10</v>
      </c>
      <c r="W1148" t="str">
        <f>PROPER(TEXT(A1148,"mmmm"))</f>
        <v>Octubre</v>
      </c>
      <c r="X1148" t="str">
        <f>PROPER(TEXT(A1148,"dddd"))</f>
        <v>Miércoles</v>
      </c>
      <c r="Y1148" t="str" cm="1">
        <f t="array" ref="Y1148">_xlfn.IFS(R1148&gt;10,"Excelente",R1148&gt;=5,"Bueno",R1148&gt;=2,"Débil",R1148&lt;2,"Deficiente")</f>
        <v>Excelente</v>
      </c>
      <c r="Z1148" t="str">
        <f>IF(AND(R1148&lt;2,Q1148&gt;=100),"Revisar","OK")</f>
        <v>OK</v>
      </c>
      <c r="AA1148" s="55">
        <f>_xlfn.XLOOKUP(C1148,'Preguntas de negocio'!$C$114:$C$119,'Preguntas de negocio'!$D$114:$D$119,0)</f>
        <v>4</v>
      </c>
      <c r="AB1148" s="55">
        <f>VLOOKUP(C1148,'Preguntas de negocio'!$C$121:$D$127,2,FALSE)</f>
        <v>0.95</v>
      </c>
    </row>
    <row r="1149" spans="1:28" x14ac:dyDescent="0.3">
      <c r="A1149" s="1">
        <v>45865</v>
      </c>
      <c r="B1149" s="2" t="s">
        <v>2635</v>
      </c>
      <c r="C1149" s="2" t="s">
        <v>2527</v>
      </c>
      <c r="D1149" s="2" t="s">
        <v>2528</v>
      </c>
      <c r="E1149" s="2" t="s">
        <v>2517</v>
      </c>
      <c r="F1149" s="3">
        <v>39458</v>
      </c>
      <c r="G1149" s="3">
        <v>656</v>
      </c>
      <c r="H1149" s="3">
        <v>84</v>
      </c>
      <c r="I1149" s="4">
        <v>91.49</v>
      </c>
      <c r="J1149" s="4">
        <v>3652.61</v>
      </c>
      <c r="K1149" s="3">
        <v>50</v>
      </c>
      <c r="L1149" s="2" t="s">
        <v>2518</v>
      </c>
      <c r="M1149" s="2" t="s">
        <v>2524</v>
      </c>
      <c r="N1149" s="8">
        <f>IFERROR(G1149/F1149,0)</f>
        <v>1.6625272441583457E-2</v>
      </c>
      <c r="O1149" s="8">
        <f>IFERROR(H1149/G1149,0)</f>
        <v>0.12804878048780488</v>
      </c>
      <c r="P1149" s="4">
        <f>IFERROR(I1149/G1149,0)</f>
        <v>0.13946646341463415</v>
      </c>
      <c r="Q1149" s="4">
        <f>IFERROR(I1149/H1149,0)</f>
        <v>1.0891666666666666</v>
      </c>
      <c r="R1149" s="12">
        <f>IFERROR(J1149/I1149,0)</f>
        <v>39.923598207454368</v>
      </c>
      <c r="S1149" s="7">
        <f>Tabla_nuevas_columnas[[#This Row],[ROAS]]</f>
        <v>39.923598207454368</v>
      </c>
      <c r="T1149" t="str">
        <f>_xlfn.CONCAT(C1149,"-",D1149)</f>
        <v>Affiliate-España</v>
      </c>
      <c r="U1149">
        <f>YEAR(A1149)</f>
        <v>2025</v>
      </c>
      <c r="V1149">
        <f>MONTH(A1149)</f>
        <v>7</v>
      </c>
      <c r="W1149" t="str">
        <f>PROPER(TEXT(A1149,"mmmm"))</f>
        <v>Julio</v>
      </c>
      <c r="X1149" t="str">
        <f>PROPER(TEXT(A1149,"dddd"))</f>
        <v>Domingo</v>
      </c>
      <c r="Y1149" t="str" cm="1">
        <f t="array" ref="Y1149">_xlfn.IFS(R1149&gt;10,"Excelente",R1149&gt;=5,"Bueno",R1149&gt;=2,"Débil",R1149&lt;2,"Deficiente")</f>
        <v>Excelente</v>
      </c>
      <c r="Z1149" t="str">
        <f>IF(AND(R1149&lt;2,Q1149&gt;=100),"Revisar","OK")</f>
        <v>OK</v>
      </c>
      <c r="AA1149" s="55">
        <f>_xlfn.XLOOKUP(C1149,'Preguntas de negocio'!$C$114:$C$119,'Preguntas de negocio'!$D$114:$D$119,0)</f>
        <v>4.5</v>
      </c>
      <c r="AB1149" s="55">
        <f>VLOOKUP(C1149,'Preguntas de negocio'!$C$121:$D$127,2,FALSE)</f>
        <v>0.35</v>
      </c>
    </row>
    <row r="1150" spans="1:28" x14ac:dyDescent="0.3">
      <c r="A1150" s="1">
        <v>45954</v>
      </c>
      <c r="B1150" s="2" t="s">
        <v>2634</v>
      </c>
      <c r="C1150" s="2" t="s">
        <v>2541</v>
      </c>
      <c r="D1150" s="2" t="s">
        <v>2531</v>
      </c>
      <c r="E1150" s="2" t="s">
        <v>2529</v>
      </c>
      <c r="F1150" s="3">
        <v>94072</v>
      </c>
      <c r="G1150" s="3">
        <v>8240</v>
      </c>
      <c r="H1150" s="3">
        <v>501</v>
      </c>
      <c r="I1150" s="4">
        <v>6995.63</v>
      </c>
      <c r="J1150" s="4">
        <v>63029.34</v>
      </c>
      <c r="K1150" s="3">
        <v>449</v>
      </c>
      <c r="L1150" s="2" t="s">
        <v>2518</v>
      </c>
      <c r="M1150" s="2" t="s">
        <v>2546</v>
      </c>
      <c r="N1150" s="8">
        <f>IFERROR(G1150/F1150,0)</f>
        <v>8.7592482353941667E-2</v>
      </c>
      <c r="O1150" s="8">
        <f>IFERROR(H1150/G1150,0)</f>
        <v>6.0800970873786407E-2</v>
      </c>
      <c r="P1150" s="4">
        <f>IFERROR(I1150/G1150,0)</f>
        <v>0.8489842233009709</v>
      </c>
      <c r="Q1150" s="4">
        <f>IFERROR(I1150/H1150,0)</f>
        <v>13.963333333333333</v>
      </c>
      <c r="R1150" s="12">
        <f>IFERROR(J1150/I1150,0)</f>
        <v>9.0098161280685218</v>
      </c>
      <c r="S1150" s="7">
        <f>Tabla_nuevas_columnas[[#This Row],[ROAS]]</f>
        <v>9.0098161280685218</v>
      </c>
      <c r="T1150" t="str">
        <f>_xlfn.CONCAT(C1150,"-",D1150)</f>
        <v>Display-Portugal</v>
      </c>
      <c r="U1150">
        <f>YEAR(A1150)</f>
        <v>2025</v>
      </c>
      <c r="V1150">
        <f>MONTH(A1150)</f>
        <v>10</v>
      </c>
      <c r="W1150" t="str">
        <f>PROPER(TEXT(A1150,"mmmm"))</f>
        <v>Octubre</v>
      </c>
      <c r="X1150" t="str">
        <f>PROPER(TEXT(A1150,"dddd"))</f>
        <v>Viernes</v>
      </c>
      <c r="Y1150" t="str" cm="1">
        <f t="array" ref="Y1150">_xlfn.IFS(R1150&gt;10,"Excelente",R1150&gt;=5,"Bueno",R1150&gt;=2,"Débil",R1150&lt;2,"Deficiente")</f>
        <v>Bueno</v>
      </c>
      <c r="Z1150" t="str">
        <f>IF(AND(R1150&lt;2,Q1150&gt;=100),"Revisar","OK")</f>
        <v>OK</v>
      </c>
      <c r="AA1150" s="55">
        <f>_xlfn.XLOOKUP(C1150,'Preguntas de negocio'!$C$114:$C$119,'Preguntas de negocio'!$D$114:$D$119,0)</f>
        <v>5</v>
      </c>
      <c r="AB1150" s="55">
        <f>VLOOKUP(C1150,'Preguntas de negocio'!$C$121:$D$127,2,FALSE)</f>
        <v>0.5</v>
      </c>
    </row>
    <row r="1151" spans="1:28" x14ac:dyDescent="0.3">
      <c r="A1151" s="1">
        <v>45666</v>
      </c>
      <c r="B1151" s="2" t="s">
        <v>2615</v>
      </c>
      <c r="C1151" s="2" t="s">
        <v>2533</v>
      </c>
      <c r="D1151" s="2" t="s">
        <v>2528</v>
      </c>
      <c r="E1151" s="2" t="s">
        <v>2517</v>
      </c>
      <c r="F1151" s="3">
        <v>29356</v>
      </c>
      <c r="G1151" s="3">
        <v>2424</v>
      </c>
      <c r="H1151" s="3">
        <v>259</v>
      </c>
      <c r="I1151" s="4">
        <v>4720.26</v>
      </c>
      <c r="J1151" s="4">
        <v>35486.42</v>
      </c>
      <c r="K1151" s="3">
        <v>177</v>
      </c>
      <c r="L1151" s="2" t="s">
        <v>2539</v>
      </c>
      <c r="M1151" s="2" t="s">
        <v>2526</v>
      </c>
      <c r="N1151" s="8">
        <f>IFERROR(G1151/F1151,0)</f>
        <v>8.2572557569151106E-2</v>
      </c>
      <c r="O1151" s="8">
        <f>IFERROR(H1151/G1151,0)</f>
        <v>0.10684818481848185</v>
      </c>
      <c r="P1151" s="4">
        <f>IFERROR(I1151/G1151,0)</f>
        <v>1.9473019801980198</v>
      </c>
      <c r="Q1151" s="4">
        <f>IFERROR(I1151/H1151,0)</f>
        <v>18.224942084942086</v>
      </c>
      <c r="R1151" s="12">
        <f>IFERROR(J1151/I1151,0)</f>
        <v>7.5178952006880966</v>
      </c>
      <c r="S1151" s="7">
        <f>Tabla_nuevas_columnas[[#This Row],[ROAS]]</f>
        <v>7.5178952006880966</v>
      </c>
      <c r="T1151" t="str">
        <f>_xlfn.CONCAT(C1151,"-",D1151)</f>
        <v>Paid Social-España</v>
      </c>
      <c r="U1151">
        <f>YEAR(A1151)</f>
        <v>2025</v>
      </c>
      <c r="V1151">
        <f>MONTH(A1151)</f>
        <v>1</v>
      </c>
      <c r="W1151" t="str">
        <f>PROPER(TEXT(A1151,"mmmm"))</f>
        <v>Enero</v>
      </c>
      <c r="X1151" t="str">
        <f>PROPER(TEXT(A1151,"dddd"))</f>
        <v>Jueves</v>
      </c>
      <c r="Y1151" t="str" cm="1">
        <f t="array" ref="Y1151">_xlfn.IFS(R1151&gt;10,"Excelente",R1151&gt;=5,"Bueno",R1151&gt;=2,"Débil",R1151&lt;2,"Deficiente")</f>
        <v>Bueno</v>
      </c>
      <c r="Z1151" t="str">
        <f>IF(AND(R1151&lt;2,Q1151&gt;=100),"Revisar","OK")</f>
        <v>OK</v>
      </c>
      <c r="AA1151" s="55">
        <f>_xlfn.XLOOKUP(C1151,'Preguntas de negocio'!$C$114:$C$119,'Preguntas de negocio'!$D$114:$D$119,0)</f>
        <v>6</v>
      </c>
      <c r="AB1151" s="55">
        <f>VLOOKUP(C1151,'Preguntas de negocio'!$C$121:$D$127,2,FALSE)</f>
        <v>0.8</v>
      </c>
    </row>
    <row r="1152" spans="1:28" x14ac:dyDescent="0.3">
      <c r="A1152" s="1">
        <v>45812</v>
      </c>
      <c r="B1152" s="2" t="s">
        <v>2634</v>
      </c>
      <c r="C1152" s="2" t="s">
        <v>2515</v>
      </c>
      <c r="D1152" s="2" t="s">
        <v>2528</v>
      </c>
      <c r="E1152" s="2" t="s">
        <v>2517</v>
      </c>
      <c r="F1152" s="3">
        <v>107522</v>
      </c>
      <c r="G1152" s="3">
        <v>1399</v>
      </c>
      <c r="H1152" s="3">
        <v>66</v>
      </c>
      <c r="I1152" s="4">
        <v>1584.04</v>
      </c>
      <c r="J1152" s="4">
        <v>1659.05</v>
      </c>
      <c r="K1152" s="3">
        <v>44</v>
      </c>
      <c r="L1152" s="2" t="s">
        <v>2536</v>
      </c>
      <c r="M1152" s="2" t="s">
        <v>2546</v>
      </c>
      <c r="N1152" s="8">
        <f>IFERROR(G1152/F1152,0)</f>
        <v>1.3011290712598352E-2</v>
      </c>
      <c r="O1152" s="8">
        <f>IFERROR(H1152/G1152,0)</f>
        <v>4.7176554681915651E-2</v>
      </c>
      <c r="P1152" s="4">
        <f>IFERROR(I1152/G1152,0)</f>
        <v>1.132265904217298</v>
      </c>
      <c r="Q1152" s="4">
        <f>IFERROR(I1152/H1152,0)</f>
        <v>24.00060606060606</v>
      </c>
      <c r="R1152" s="12">
        <f>IFERROR(J1152/I1152,0)</f>
        <v>1.0473536021817631</v>
      </c>
      <c r="S1152" s="7">
        <f>Tabla_nuevas_columnas[[#This Row],[ROAS]]</f>
        <v>1.0473536021817631</v>
      </c>
      <c r="T1152" t="str">
        <f>_xlfn.CONCAT(C1152,"-",D1152)</f>
        <v>Email-España</v>
      </c>
      <c r="U1152">
        <f>YEAR(A1152)</f>
        <v>2025</v>
      </c>
      <c r="V1152">
        <f>MONTH(A1152)</f>
        <v>6</v>
      </c>
      <c r="W1152" t="str">
        <f>PROPER(TEXT(A1152,"mmmm"))</f>
        <v>Junio</v>
      </c>
      <c r="X1152" t="str">
        <f>PROPER(TEXT(A1152,"dddd"))</f>
        <v>Miércoles</v>
      </c>
      <c r="Y1152" t="str" cm="1">
        <f t="array" ref="Y1152">_xlfn.IFS(R1152&gt;10,"Excelente",R1152&gt;=5,"Bueno",R1152&gt;=2,"Débil",R1152&lt;2,"Deficiente")</f>
        <v>Deficiente</v>
      </c>
      <c r="Z1152" t="str">
        <f>IF(AND(R1152&lt;2,Q1152&gt;=100),"Revisar","OK")</f>
        <v>OK</v>
      </c>
      <c r="AA1152" s="55">
        <f>_xlfn.XLOOKUP(C1152,'Preguntas de negocio'!$C$114:$C$119,'Preguntas de negocio'!$D$114:$D$119,0)</f>
        <v>5.5</v>
      </c>
      <c r="AB1152" s="55">
        <f>VLOOKUP(C1152,'Preguntas de negocio'!$C$121:$D$127,2,FALSE)</f>
        <v>0.65</v>
      </c>
    </row>
    <row r="1153" spans="1:28" x14ac:dyDescent="0.3">
      <c r="A1153" s="1">
        <v>45896</v>
      </c>
      <c r="B1153" s="2" t="s">
        <v>2617</v>
      </c>
      <c r="C1153" s="2" t="s">
        <v>2515</v>
      </c>
      <c r="D1153" s="2" t="s">
        <v>2531</v>
      </c>
      <c r="E1153" s="2" t="s">
        <v>2534</v>
      </c>
      <c r="F1153" s="3">
        <v>1648</v>
      </c>
      <c r="G1153" s="3">
        <v>60</v>
      </c>
      <c r="H1153" s="3">
        <v>4</v>
      </c>
      <c r="I1153" s="4">
        <v>81.400000000000006</v>
      </c>
      <c r="J1153" s="4">
        <v>442.76</v>
      </c>
      <c r="K1153" s="3">
        <v>2</v>
      </c>
      <c r="L1153" s="2" t="s">
        <v>2518</v>
      </c>
      <c r="M1153" s="2" t="s">
        <v>2524</v>
      </c>
      <c r="N1153" s="8">
        <f>IFERROR(G1153/F1153,0)</f>
        <v>3.640776699029126E-2</v>
      </c>
      <c r="O1153" s="8">
        <f>IFERROR(H1153/G1153,0)</f>
        <v>6.6666666666666666E-2</v>
      </c>
      <c r="P1153" s="4">
        <f>IFERROR(I1153/G1153,0)</f>
        <v>1.3566666666666667</v>
      </c>
      <c r="Q1153" s="4">
        <f>IFERROR(I1153/H1153,0)</f>
        <v>20.350000000000001</v>
      </c>
      <c r="R1153" s="12">
        <f>IFERROR(J1153/I1153,0)</f>
        <v>5.4393120393120391</v>
      </c>
      <c r="S1153" s="7">
        <f>Tabla_nuevas_columnas[[#This Row],[ROAS]]</f>
        <v>5.4393120393120391</v>
      </c>
      <c r="T1153" t="str">
        <f>_xlfn.CONCAT(C1153,"-",D1153)</f>
        <v>Email-Portugal</v>
      </c>
      <c r="U1153">
        <f>YEAR(A1153)</f>
        <v>2025</v>
      </c>
      <c r="V1153">
        <f>MONTH(A1153)</f>
        <v>8</v>
      </c>
      <c r="W1153" t="str">
        <f>PROPER(TEXT(A1153,"mmmm"))</f>
        <v>Agosto</v>
      </c>
      <c r="X1153" t="str">
        <f>PROPER(TEXT(A1153,"dddd"))</f>
        <v>Miércoles</v>
      </c>
      <c r="Y1153" t="str" cm="1">
        <f t="array" ref="Y1153">_xlfn.IFS(R1153&gt;10,"Excelente",R1153&gt;=5,"Bueno",R1153&gt;=2,"Débil",R1153&lt;2,"Deficiente")</f>
        <v>Bueno</v>
      </c>
      <c r="Z1153" t="str">
        <f>IF(AND(R1153&lt;2,Q1153&gt;=100),"Revisar","OK")</f>
        <v>OK</v>
      </c>
      <c r="AA1153" s="55">
        <f>_xlfn.XLOOKUP(C1153,'Preguntas de negocio'!$C$114:$C$119,'Preguntas de negocio'!$D$114:$D$119,0)</f>
        <v>5.5</v>
      </c>
      <c r="AB1153" s="55">
        <f>VLOOKUP(C1153,'Preguntas de negocio'!$C$121:$D$127,2,FALSE)</f>
        <v>0.65</v>
      </c>
    </row>
    <row r="1154" spans="1:28" x14ac:dyDescent="0.3">
      <c r="A1154" s="1">
        <v>45692</v>
      </c>
      <c r="B1154" s="2" t="s">
        <v>2627</v>
      </c>
      <c r="C1154" s="2" t="s">
        <v>2527</v>
      </c>
      <c r="D1154" s="2" t="s">
        <v>2531</v>
      </c>
      <c r="E1154" s="2" t="s">
        <v>2517</v>
      </c>
      <c r="F1154" s="3">
        <v>22762</v>
      </c>
      <c r="G1154" s="3">
        <v>1042</v>
      </c>
      <c r="H1154" s="3">
        <v>103</v>
      </c>
      <c r="I1154" s="4">
        <v>160.85</v>
      </c>
      <c r="J1154" s="4">
        <v>13839.38</v>
      </c>
      <c r="K1154" s="3">
        <v>73</v>
      </c>
      <c r="L1154" s="2" t="s">
        <v>2536</v>
      </c>
      <c r="M1154" s="2" t="s">
        <v>2526</v>
      </c>
      <c r="N1154" s="8">
        <f>IFERROR(G1154/F1154,0)</f>
        <v>4.5778051137861347E-2</v>
      </c>
      <c r="O1154" s="8">
        <f>IFERROR(H1154/G1154,0)</f>
        <v>9.8848368522072932E-2</v>
      </c>
      <c r="P1154" s="4">
        <f>IFERROR(I1154/G1154,0)</f>
        <v>0.15436660268714011</v>
      </c>
      <c r="Q1154" s="4">
        <f>IFERROR(I1154/H1154,0)</f>
        <v>1.5616504854368931</v>
      </c>
      <c r="R1154" s="12">
        <f>IFERROR(J1154/I1154,0)</f>
        <v>86.039042586260493</v>
      </c>
      <c r="S1154" s="7">
        <f>Tabla_nuevas_columnas[[#This Row],[ROAS]]</f>
        <v>86.039042586260493</v>
      </c>
      <c r="T1154" t="str">
        <f>_xlfn.CONCAT(C1154,"-",D1154)</f>
        <v>Affiliate-Portugal</v>
      </c>
      <c r="U1154">
        <f>YEAR(A1154)</f>
        <v>2025</v>
      </c>
      <c r="V1154">
        <f>MONTH(A1154)</f>
        <v>2</v>
      </c>
      <c r="W1154" t="str">
        <f>PROPER(TEXT(A1154,"mmmm"))</f>
        <v>Febrero</v>
      </c>
      <c r="X1154" t="str">
        <f>PROPER(TEXT(A1154,"dddd"))</f>
        <v>Martes</v>
      </c>
      <c r="Y1154" t="str" cm="1">
        <f t="array" ref="Y1154">_xlfn.IFS(R1154&gt;10,"Excelente",R1154&gt;=5,"Bueno",R1154&gt;=2,"Débil",R1154&lt;2,"Deficiente")</f>
        <v>Excelente</v>
      </c>
      <c r="Z1154" t="str">
        <f>IF(AND(R1154&lt;2,Q1154&gt;=100),"Revisar","OK")</f>
        <v>OK</v>
      </c>
      <c r="AA1154" s="55">
        <f>_xlfn.XLOOKUP(C1154,'Preguntas de negocio'!$C$114:$C$119,'Preguntas de negocio'!$D$114:$D$119,0)</f>
        <v>4.5</v>
      </c>
      <c r="AB1154" s="55">
        <f>VLOOKUP(C1154,'Preguntas de negocio'!$C$121:$D$127,2,FALSE)</f>
        <v>0.35</v>
      </c>
    </row>
    <row r="1155" spans="1:28" x14ac:dyDescent="0.3">
      <c r="A1155" s="1">
        <v>45899</v>
      </c>
      <c r="B1155" s="2" t="s">
        <v>2619</v>
      </c>
      <c r="C1155" s="2" t="s">
        <v>2541</v>
      </c>
      <c r="D1155" s="2" t="s">
        <v>2525</v>
      </c>
      <c r="E1155" s="2" t="s">
        <v>2517</v>
      </c>
      <c r="F1155" s="3">
        <v>27522</v>
      </c>
      <c r="G1155" s="3">
        <v>1823</v>
      </c>
      <c r="H1155" s="3">
        <v>23</v>
      </c>
      <c r="I1155" s="4">
        <v>1850.65</v>
      </c>
      <c r="J1155" s="4">
        <v>4066.14</v>
      </c>
      <c r="K1155" s="3">
        <v>12</v>
      </c>
      <c r="L1155" s="2" t="s">
        <v>2518</v>
      </c>
      <c r="M1155" s="2" t="s">
        <v>2519</v>
      </c>
      <c r="N1155" s="8">
        <f>IFERROR(G1155/F1155,0)</f>
        <v>6.6237918755904374E-2</v>
      </c>
      <c r="O1155" s="8">
        <f>IFERROR(H1155/G1155,0)</f>
        <v>1.2616566099835436E-2</v>
      </c>
      <c r="P1155" s="4">
        <f>IFERROR(I1155/G1155,0)</f>
        <v>1.0151673066374109</v>
      </c>
      <c r="Q1155" s="4">
        <f>IFERROR(I1155/H1155,0)</f>
        <v>80.463043478260872</v>
      </c>
      <c r="R1155" s="12">
        <f>IFERROR(J1155/I1155,0)</f>
        <v>2.1971415448626157</v>
      </c>
      <c r="S1155" s="7">
        <f>Tabla_nuevas_columnas[[#This Row],[ROAS]]</f>
        <v>2.1971415448626157</v>
      </c>
      <c r="T1155" t="str">
        <f>_xlfn.CONCAT(C1155,"-",D1155)</f>
        <v>Display-Francia</v>
      </c>
      <c r="U1155">
        <f>YEAR(A1155)</f>
        <v>2025</v>
      </c>
      <c r="V1155">
        <f>MONTH(A1155)</f>
        <v>8</v>
      </c>
      <c r="W1155" t="str">
        <f>PROPER(TEXT(A1155,"mmmm"))</f>
        <v>Agosto</v>
      </c>
      <c r="X1155" t="str">
        <f>PROPER(TEXT(A1155,"dddd"))</f>
        <v>Sábado</v>
      </c>
      <c r="Y1155" t="str" cm="1">
        <f t="array" ref="Y1155">_xlfn.IFS(R1155&gt;10,"Excelente",R1155&gt;=5,"Bueno",R1155&gt;=2,"Débil",R1155&lt;2,"Deficiente")</f>
        <v>Débil</v>
      </c>
      <c r="Z1155" t="str">
        <f>IF(AND(R1155&lt;2,Q1155&gt;=100),"Revisar","OK")</f>
        <v>OK</v>
      </c>
      <c r="AA1155" s="55">
        <f>_xlfn.XLOOKUP(C1155,'Preguntas de negocio'!$C$114:$C$119,'Preguntas de negocio'!$D$114:$D$119,0)</f>
        <v>5</v>
      </c>
      <c r="AB1155" s="55">
        <f>VLOOKUP(C1155,'Preguntas de negocio'!$C$121:$D$127,2,FALSE)</f>
        <v>0.5</v>
      </c>
    </row>
    <row r="1156" spans="1:28" x14ac:dyDescent="0.3">
      <c r="A1156" s="1">
        <v>45883</v>
      </c>
      <c r="B1156" s="2" t="s">
        <v>2632</v>
      </c>
      <c r="C1156" s="2" t="s">
        <v>2543</v>
      </c>
      <c r="D1156" s="2" t="s">
        <v>2516</v>
      </c>
      <c r="E1156" s="2" t="s">
        <v>2517</v>
      </c>
      <c r="F1156" s="3">
        <v>60647</v>
      </c>
      <c r="G1156" s="3">
        <v>1677</v>
      </c>
      <c r="H1156" s="3">
        <v>133</v>
      </c>
      <c r="I1156" s="4">
        <v>796.35</v>
      </c>
      <c r="J1156" s="4">
        <v>24591.9</v>
      </c>
      <c r="K1156" s="3">
        <v>66</v>
      </c>
      <c r="L1156" s="2" t="s">
        <v>2518</v>
      </c>
      <c r="M1156" s="2" t="s">
        <v>2524</v>
      </c>
      <c r="N1156" s="8">
        <f>IFERROR(G1156/F1156,0)</f>
        <v>2.7651821194782922E-2</v>
      </c>
      <c r="O1156" s="8">
        <f>IFERROR(H1156/G1156,0)</f>
        <v>7.9308288610614189E-2</v>
      </c>
      <c r="P1156" s="4">
        <f>IFERROR(I1156/G1156,0)</f>
        <v>0.47486583184257602</v>
      </c>
      <c r="Q1156" s="4">
        <f>IFERROR(I1156/H1156,0)</f>
        <v>5.9875939849624062</v>
      </c>
      <c r="R1156" s="12">
        <f>IFERROR(J1156/I1156,0)</f>
        <v>30.880768506310041</v>
      </c>
      <c r="S1156" s="7">
        <f>Tabla_nuevas_columnas[[#This Row],[ROAS]]</f>
        <v>30.880768506310041</v>
      </c>
      <c r="T1156" t="str">
        <f>_xlfn.CONCAT(C1156,"-",D1156)</f>
        <v>Organic Social-México</v>
      </c>
      <c r="U1156">
        <f>YEAR(A1156)</f>
        <v>2025</v>
      </c>
      <c r="V1156">
        <f>MONTH(A1156)</f>
        <v>8</v>
      </c>
      <c r="W1156" t="str">
        <f>PROPER(TEXT(A1156,"mmmm"))</f>
        <v>Agosto</v>
      </c>
      <c r="X1156" t="str">
        <f>PROPER(TEXT(A1156,"dddd"))</f>
        <v>Jueves</v>
      </c>
      <c r="Y1156" t="str" cm="1">
        <f t="array" ref="Y1156">_xlfn.IFS(R1156&gt;10,"Excelente",R1156&gt;=5,"Bueno",R1156&gt;=2,"Débil",R1156&lt;2,"Deficiente")</f>
        <v>Excelente</v>
      </c>
      <c r="Z1156" t="str">
        <f>IF(AND(R1156&lt;2,Q1156&gt;=100),"Revisar","OK")</f>
        <v>OK</v>
      </c>
      <c r="AA1156" s="55">
        <f>_xlfn.XLOOKUP(C1156,'Preguntas de negocio'!$C$114:$C$119,'Preguntas de negocio'!$D$114:$D$119,0)</f>
        <v>4</v>
      </c>
      <c r="AB1156" s="55">
        <f>VLOOKUP(C1156,'Preguntas de negocio'!$C$121:$D$127,2,FALSE)</f>
        <v>0.95</v>
      </c>
    </row>
    <row r="1157" spans="1:28" x14ac:dyDescent="0.3">
      <c r="A1157" s="1">
        <v>45802</v>
      </c>
      <c r="B1157" s="2" t="s">
        <v>2618</v>
      </c>
      <c r="C1157" s="2" t="s">
        <v>2521</v>
      </c>
      <c r="D1157" s="2" t="s">
        <v>2528</v>
      </c>
      <c r="E1157" s="2" t="s">
        <v>2534</v>
      </c>
      <c r="F1157" s="3">
        <v>157640</v>
      </c>
      <c r="G1157" s="3">
        <v>8880</v>
      </c>
      <c r="H1157" s="3">
        <v>1156</v>
      </c>
      <c r="I1157" s="4">
        <v>8972.9699999999993</v>
      </c>
      <c r="J1157" s="4">
        <v>218433</v>
      </c>
      <c r="K1157" s="3">
        <v>997</v>
      </c>
      <c r="L1157" s="2" t="s">
        <v>2536</v>
      </c>
      <c r="M1157" s="2" t="s">
        <v>2546</v>
      </c>
      <c r="N1157" s="8">
        <f>IFERROR(G1157/F1157,0)</f>
        <v>5.6330880487185993E-2</v>
      </c>
      <c r="O1157" s="8">
        <f>IFERROR(H1157/G1157,0)</f>
        <v>0.13018018018018018</v>
      </c>
      <c r="P1157" s="4">
        <f>IFERROR(I1157/G1157,0)</f>
        <v>1.0104695945945945</v>
      </c>
      <c r="Q1157" s="4">
        <f>IFERROR(I1157/H1157,0)</f>
        <v>7.762084775086505</v>
      </c>
      <c r="R1157" s="12">
        <f>IFERROR(J1157/I1157,0)</f>
        <v>24.343444812587137</v>
      </c>
      <c r="S1157" s="7">
        <f>Tabla_nuevas_columnas[[#This Row],[ROAS]]</f>
        <v>24.343444812587137</v>
      </c>
      <c r="T1157" t="str">
        <f>_xlfn.CONCAT(C1157,"-",D1157)</f>
        <v>Paid Search-España</v>
      </c>
      <c r="U1157">
        <f>YEAR(A1157)</f>
        <v>2025</v>
      </c>
      <c r="V1157">
        <f>MONTH(A1157)</f>
        <v>5</v>
      </c>
      <c r="W1157" t="str">
        <f>PROPER(TEXT(A1157,"mmmm"))</f>
        <v>Mayo</v>
      </c>
      <c r="X1157" t="str">
        <f>PROPER(TEXT(A1157,"dddd"))</f>
        <v>Domingo</v>
      </c>
      <c r="Y1157" t="str" cm="1">
        <f t="array" ref="Y1157">_xlfn.IFS(R1157&gt;10,"Excelente",R1157&gt;=5,"Bueno",R1157&gt;=2,"Débil",R1157&lt;2,"Deficiente")</f>
        <v>Excelente</v>
      </c>
      <c r="Z1157" t="str">
        <f>IF(AND(R1157&lt;2,Q1157&gt;=100),"Revisar","OK")</f>
        <v>OK</v>
      </c>
      <c r="AA1157" s="55">
        <f>_xlfn.XLOOKUP(C1157,'Preguntas de negocio'!$C$114:$C$119,'Preguntas de negocio'!$D$114:$D$119,0)</f>
        <v>5</v>
      </c>
      <c r="AB1157" s="55">
        <f>VLOOKUP(C1157,'Preguntas de negocio'!$C$121:$D$127,2,FALSE)</f>
        <v>1.1000000000000001</v>
      </c>
    </row>
    <row r="1158" spans="1:28" x14ac:dyDescent="0.3">
      <c r="A1158" s="1">
        <v>45816</v>
      </c>
      <c r="B1158" s="2" t="s">
        <v>2643</v>
      </c>
      <c r="C1158" s="2" t="s">
        <v>2527</v>
      </c>
      <c r="D1158" s="2" t="s">
        <v>2528</v>
      </c>
      <c r="E1158" s="2" t="s">
        <v>2517</v>
      </c>
      <c r="F1158" s="3">
        <v>106770</v>
      </c>
      <c r="G1158" s="3">
        <v>6364</v>
      </c>
      <c r="H1158" s="3">
        <v>596</v>
      </c>
      <c r="I1158" s="4">
        <v>4939.3599999999997</v>
      </c>
      <c r="J1158" s="4">
        <v>81568.100000000006</v>
      </c>
      <c r="K1158" s="3">
        <v>444</v>
      </c>
      <c r="L1158" s="2" t="s">
        <v>2518</v>
      </c>
      <c r="M1158" s="2" t="s">
        <v>2537</v>
      </c>
      <c r="N1158" s="8">
        <f>IFERROR(G1158/F1158,0)</f>
        <v>5.9604757890793295E-2</v>
      </c>
      <c r="O1158" s="8">
        <f>IFERROR(H1158/G1158,0)</f>
        <v>9.3651791326209932E-2</v>
      </c>
      <c r="P1158" s="4">
        <f>IFERROR(I1158/G1158,0)</f>
        <v>0.77614079195474539</v>
      </c>
      <c r="Q1158" s="4">
        <f>IFERROR(I1158/H1158,0)</f>
        <v>8.2875167785234893</v>
      </c>
      <c r="R1158" s="12">
        <f>IFERROR(J1158/I1158,0)</f>
        <v>16.513900586310779</v>
      </c>
      <c r="S1158" s="7">
        <f>Tabla_nuevas_columnas[[#This Row],[ROAS]]</f>
        <v>16.513900586310779</v>
      </c>
      <c r="T1158" t="str">
        <f>_xlfn.CONCAT(C1158,"-",D1158)</f>
        <v>Affiliate-España</v>
      </c>
      <c r="U1158">
        <f>YEAR(A1158)</f>
        <v>2025</v>
      </c>
      <c r="V1158">
        <f>MONTH(A1158)</f>
        <v>6</v>
      </c>
      <c r="W1158" t="str">
        <f>PROPER(TEXT(A1158,"mmmm"))</f>
        <v>Junio</v>
      </c>
      <c r="X1158" t="str">
        <f>PROPER(TEXT(A1158,"dddd"))</f>
        <v>Domingo</v>
      </c>
      <c r="Y1158" t="str" cm="1">
        <f t="array" ref="Y1158">_xlfn.IFS(R1158&gt;10,"Excelente",R1158&gt;=5,"Bueno",R1158&gt;=2,"Débil",R1158&lt;2,"Deficiente")</f>
        <v>Excelente</v>
      </c>
      <c r="Z1158" t="str">
        <f>IF(AND(R1158&lt;2,Q1158&gt;=100),"Revisar","OK")</f>
        <v>OK</v>
      </c>
      <c r="AA1158" s="55">
        <f>_xlfn.XLOOKUP(C1158,'Preguntas de negocio'!$C$114:$C$119,'Preguntas de negocio'!$D$114:$D$119,0)</f>
        <v>4.5</v>
      </c>
      <c r="AB1158" s="55">
        <f>VLOOKUP(C1158,'Preguntas de negocio'!$C$121:$D$127,2,FALSE)</f>
        <v>0.35</v>
      </c>
    </row>
    <row r="1159" spans="1:28" x14ac:dyDescent="0.3">
      <c r="A1159" s="1">
        <v>45660</v>
      </c>
      <c r="B1159" s="2" t="s">
        <v>2630</v>
      </c>
      <c r="C1159" s="2" t="s">
        <v>2533</v>
      </c>
      <c r="D1159" s="2" t="s">
        <v>2525</v>
      </c>
      <c r="E1159" s="2" t="s">
        <v>2529</v>
      </c>
      <c r="F1159" s="3">
        <v>98572</v>
      </c>
      <c r="G1159" s="3">
        <v>1369</v>
      </c>
      <c r="H1159" s="3">
        <v>23</v>
      </c>
      <c r="I1159" s="4">
        <v>1314.29</v>
      </c>
      <c r="J1159" s="4">
        <v>3325.16</v>
      </c>
      <c r="K1159" s="3">
        <v>16</v>
      </c>
      <c r="L1159" s="2" t="s">
        <v>2518</v>
      </c>
      <c r="M1159" s="2" t="s">
        <v>2546</v>
      </c>
      <c r="N1159" s="8">
        <f>IFERROR(G1159/F1159,0)</f>
        <v>1.3888325285070811E-2</v>
      </c>
      <c r="O1159" s="8">
        <f>IFERROR(H1159/G1159,0)</f>
        <v>1.6800584368151936E-2</v>
      </c>
      <c r="P1159" s="4">
        <f>IFERROR(I1159/G1159,0)</f>
        <v>0.96003652300949593</v>
      </c>
      <c r="Q1159" s="4">
        <f>IFERROR(I1159/H1159,0)</f>
        <v>57.143043478260871</v>
      </c>
      <c r="R1159" s="12">
        <f>IFERROR(J1159/I1159,0)</f>
        <v>2.5300047934626302</v>
      </c>
      <c r="S1159" s="7">
        <f>Tabla_nuevas_columnas[[#This Row],[ROAS]]</f>
        <v>2.5300047934626302</v>
      </c>
      <c r="T1159" t="str">
        <f>_xlfn.CONCAT(C1159,"-",D1159)</f>
        <v>Paid Social-Francia</v>
      </c>
      <c r="U1159">
        <f>YEAR(A1159)</f>
        <v>2025</v>
      </c>
      <c r="V1159">
        <f>MONTH(A1159)</f>
        <v>1</v>
      </c>
      <c r="W1159" t="str">
        <f>PROPER(TEXT(A1159,"mmmm"))</f>
        <v>Enero</v>
      </c>
      <c r="X1159" t="str">
        <f>PROPER(TEXT(A1159,"dddd"))</f>
        <v>Viernes</v>
      </c>
      <c r="Y1159" t="str" cm="1">
        <f t="array" ref="Y1159">_xlfn.IFS(R1159&gt;10,"Excelente",R1159&gt;=5,"Bueno",R1159&gt;=2,"Débil",R1159&lt;2,"Deficiente")</f>
        <v>Débil</v>
      </c>
      <c r="Z1159" t="str">
        <f>IF(AND(R1159&lt;2,Q1159&gt;=100),"Revisar","OK")</f>
        <v>OK</v>
      </c>
      <c r="AA1159" s="55">
        <f>_xlfn.XLOOKUP(C1159,'Preguntas de negocio'!$C$114:$C$119,'Preguntas de negocio'!$D$114:$D$119,0)</f>
        <v>6</v>
      </c>
      <c r="AB1159" s="55">
        <f>VLOOKUP(C1159,'Preguntas de negocio'!$C$121:$D$127,2,FALSE)</f>
        <v>0.8</v>
      </c>
    </row>
    <row r="1160" spans="1:28" x14ac:dyDescent="0.3">
      <c r="A1160" s="1">
        <v>45789</v>
      </c>
      <c r="B1160" s="2" t="s">
        <v>2627</v>
      </c>
      <c r="C1160" s="2" t="s">
        <v>2515</v>
      </c>
      <c r="D1160" s="2" t="s">
        <v>2531</v>
      </c>
      <c r="E1160" s="2" t="s">
        <v>2517</v>
      </c>
      <c r="F1160" s="3">
        <v>68029</v>
      </c>
      <c r="G1160" s="3">
        <v>4233</v>
      </c>
      <c r="H1160" s="3">
        <v>497</v>
      </c>
      <c r="I1160" s="4">
        <v>4017.98</v>
      </c>
      <c r="J1160" s="4">
        <v>39941.26</v>
      </c>
      <c r="K1160" s="3">
        <v>324</v>
      </c>
      <c r="L1160" s="2" t="s">
        <v>2523</v>
      </c>
      <c r="M1160" s="2" t="s">
        <v>2546</v>
      </c>
      <c r="N1160" s="8">
        <f>IFERROR(G1160/F1160,0)</f>
        <v>6.2223463522909347E-2</v>
      </c>
      <c r="O1160" s="8">
        <f>IFERROR(H1160/G1160,0)</f>
        <v>0.11741081974958659</v>
      </c>
      <c r="P1160" s="4">
        <f>IFERROR(I1160/G1160,0)</f>
        <v>0.94920387432081266</v>
      </c>
      <c r="Q1160" s="4">
        <f>IFERROR(I1160/H1160,0)</f>
        <v>8.0844668008048295</v>
      </c>
      <c r="R1160" s="12">
        <f>IFERROR(J1160/I1160,0)</f>
        <v>9.9406318597902441</v>
      </c>
      <c r="S1160" s="7">
        <f>Tabla_nuevas_columnas[[#This Row],[ROAS]]</f>
        <v>9.9406318597902441</v>
      </c>
      <c r="T1160" t="str">
        <f>_xlfn.CONCAT(C1160,"-",D1160)</f>
        <v>Email-Portugal</v>
      </c>
      <c r="U1160">
        <f>YEAR(A1160)</f>
        <v>2025</v>
      </c>
      <c r="V1160">
        <f>MONTH(A1160)</f>
        <v>5</v>
      </c>
      <c r="W1160" t="str">
        <f>PROPER(TEXT(A1160,"mmmm"))</f>
        <v>Mayo</v>
      </c>
      <c r="X1160" t="str">
        <f>PROPER(TEXT(A1160,"dddd"))</f>
        <v>Lunes</v>
      </c>
      <c r="Y1160" t="str" cm="1">
        <f t="array" ref="Y1160">_xlfn.IFS(R1160&gt;10,"Excelente",R1160&gt;=5,"Bueno",R1160&gt;=2,"Débil",R1160&lt;2,"Deficiente")</f>
        <v>Bueno</v>
      </c>
      <c r="Z1160" t="str">
        <f>IF(AND(R1160&lt;2,Q1160&gt;=100),"Revisar","OK")</f>
        <v>OK</v>
      </c>
      <c r="AA1160" s="55">
        <f>_xlfn.XLOOKUP(C1160,'Preguntas de negocio'!$C$114:$C$119,'Preguntas de negocio'!$D$114:$D$119,0)</f>
        <v>5.5</v>
      </c>
      <c r="AB1160" s="55">
        <f>VLOOKUP(C1160,'Preguntas de negocio'!$C$121:$D$127,2,FALSE)</f>
        <v>0.65</v>
      </c>
    </row>
    <row r="1161" spans="1:28" x14ac:dyDescent="0.3">
      <c r="A1161" s="1">
        <v>45899</v>
      </c>
      <c r="B1161" s="2" t="s">
        <v>2622</v>
      </c>
      <c r="C1161" s="2" t="s">
        <v>2541</v>
      </c>
      <c r="D1161" s="2" t="s">
        <v>2525</v>
      </c>
      <c r="E1161" s="2" t="s">
        <v>2517</v>
      </c>
      <c r="F1161" s="3">
        <v>118994</v>
      </c>
      <c r="G1161" s="3">
        <v>850</v>
      </c>
      <c r="H1161" s="3">
        <v>76</v>
      </c>
      <c r="I1161" s="4">
        <v>556.84</v>
      </c>
      <c r="J1161" s="4">
        <v>11715.58</v>
      </c>
      <c r="K1161" s="3">
        <v>56</v>
      </c>
      <c r="L1161" s="2" t="s">
        <v>2536</v>
      </c>
      <c r="M1161" s="2" t="s">
        <v>2524</v>
      </c>
      <c r="N1161" s="8">
        <f>IFERROR(G1161/F1161,0)</f>
        <v>7.1432173050742058E-3</v>
      </c>
      <c r="O1161" s="8">
        <f>IFERROR(H1161/G1161,0)</f>
        <v>8.9411764705882357E-2</v>
      </c>
      <c r="P1161" s="4">
        <f>IFERROR(I1161/G1161,0)</f>
        <v>0.6551058823529412</v>
      </c>
      <c r="Q1161" s="4">
        <f>IFERROR(I1161/H1161,0)</f>
        <v>7.3268421052631583</v>
      </c>
      <c r="R1161" s="12">
        <f>IFERROR(J1161/I1161,0)</f>
        <v>21.039400905107389</v>
      </c>
      <c r="S1161" s="7">
        <f>Tabla_nuevas_columnas[[#This Row],[ROAS]]</f>
        <v>21.039400905107389</v>
      </c>
      <c r="T1161" t="str">
        <f>_xlfn.CONCAT(C1161,"-",D1161)</f>
        <v>Display-Francia</v>
      </c>
      <c r="U1161">
        <f>YEAR(A1161)</f>
        <v>2025</v>
      </c>
      <c r="V1161">
        <f>MONTH(A1161)</f>
        <v>8</v>
      </c>
      <c r="W1161" t="str">
        <f>PROPER(TEXT(A1161,"mmmm"))</f>
        <v>Agosto</v>
      </c>
      <c r="X1161" t="str">
        <f>PROPER(TEXT(A1161,"dddd"))</f>
        <v>Sábado</v>
      </c>
      <c r="Y1161" t="str" cm="1">
        <f t="array" ref="Y1161">_xlfn.IFS(R1161&gt;10,"Excelente",R1161&gt;=5,"Bueno",R1161&gt;=2,"Débil",R1161&lt;2,"Deficiente")</f>
        <v>Excelente</v>
      </c>
      <c r="Z1161" t="str">
        <f>IF(AND(R1161&lt;2,Q1161&gt;=100),"Revisar","OK")</f>
        <v>OK</v>
      </c>
      <c r="AA1161" s="55">
        <f>_xlfn.XLOOKUP(C1161,'Preguntas de negocio'!$C$114:$C$119,'Preguntas de negocio'!$D$114:$D$119,0)</f>
        <v>5</v>
      </c>
      <c r="AB1161" s="55">
        <f>VLOOKUP(C1161,'Preguntas de negocio'!$C$121:$D$127,2,FALSE)</f>
        <v>0.5</v>
      </c>
    </row>
    <row r="1162" spans="1:28" x14ac:dyDescent="0.3">
      <c r="A1162" s="1">
        <v>45856</v>
      </c>
      <c r="B1162" s="2" t="s">
        <v>2624</v>
      </c>
      <c r="C1162" s="2" t="s">
        <v>2515</v>
      </c>
      <c r="D1162" s="2" t="s">
        <v>2528</v>
      </c>
      <c r="E1162" s="2" t="s">
        <v>2529</v>
      </c>
      <c r="F1162" s="3">
        <v>80926</v>
      </c>
      <c r="G1162" s="3">
        <v>5003</v>
      </c>
      <c r="H1162" s="3">
        <v>106</v>
      </c>
      <c r="I1162" s="4">
        <v>9907.75</v>
      </c>
      <c r="J1162" s="4">
        <v>22196.35</v>
      </c>
      <c r="K1162" s="3">
        <v>82</v>
      </c>
      <c r="L1162" s="2" t="s">
        <v>2539</v>
      </c>
      <c r="M1162" s="2" t="s">
        <v>2526</v>
      </c>
      <c r="N1162" s="8">
        <f>IFERROR(G1162/F1162,0)</f>
        <v>6.182191137582483E-2</v>
      </c>
      <c r="O1162" s="8">
        <f>IFERROR(H1162/G1162,0)</f>
        <v>2.1187287627423546E-2</v>
      </c>
      <c r="P1162" s="4">
        <f>IFERROR(I1162/G1162,0)</f>
        <v>1.9803617829302418</v>
      </c>
      <c r="Q1162" s="4">
        <f>IFERROR(I1162/H1162,0)</f>
        <v>93.469339622641513</v>
      </c>
      <c r="R1162" s="12">
        <f>IFERROR(J1162/I1162,0)</f>
        <v>2.2403017839570034</v>
      </c>
      <c r="S1162" s="7">
        <f>Tabla_nuevas_columnas[[#This Row],[ROAS]]</f>
        <v>2.2403017839570034</v>
      </c>
      <c r="T1162" t="str">
        <f>_xlfn.CONCAT(C1162,"-",D1162)</f>
        <v>Email-España</v>
      </c>
      <c r="U1162">
        <f>YEAR(A1162)</f>
        <v>2025</v>
      </c>
      <c r="V1162">
        <f>MONTH(A1162)</f>
        <v>7</v>
      </c>
      <c r="W1162" t="str">
        <f>PROPER(TEXT(A1162,"mmmm"))</f>
        <v>Julio</v>
      </c>
      <c r="X1162" t="str">
        <f>PROPER(TEXT(A1162,"dddd"))</f>
        <v>Viernes</v>
      </c>
      <c r="Y1162" t="str" cm="1">
        <f t="array" ref="Y1162">_xlfn.IFS(R1162&gt;10,"Excelente",R1162&gt;=5,"Bueno",R1162&gt;=2,"Débil",R1162&lt;2,"Deficiente")</f>
        <v>Débil</v>
      </c>
      <c r="Z1162" t="str">
        <f>IF(AND(R1162&lt;2,Q1162&gt;=100),"Revisar","OK")</f>
        <v>OK</v>
      </c>
      <c r="AA1162" s="55">
        <f>_xlfn.XLOOKUP(C1162,'Preguntas de negocio'!$C$114:$C$119,'Preguntas de negocio'!$D$114:$D$119,0)</f>
        <v>5.5</v>
      </c>
      <c r="AB1162" s="55">
        <f>VLOOKUP(C1162,'Preguntas de negocio'!$C$121:$D$127,2,FALSE)</f>
        <v>0.65</v>
      </c>
    </row>
    <row r="1163" spans="1:28" x14ac:dyDescent="0.3">
      <c r="A1163" s="1">
        <v>45888</v>
      </c>
      <c r="B1163" s="2" t="s">
        <v>2622</v>
      </c>
      <c r="C1163" s="2" t="s">
        <v>2541</v>
      </c>
      <c r="D1163" s="2" t="s">
        <v>2531</v>
      </c>
      <c r="E1163" s="2" t="s">
        <v>2517</v>
      </c>
      <c r="F1163" s="3">
        <v>132767</v>
      </c>
      <c r="G1163" s="3">
        <v>8237</v>
      </c>
      <c r="H1163" s="3">
        <v>660</v>
      </c>
      <c r="I1163" s="4">
        <v>6670.74</v>
      </c>
      <c r="J1163" s="4">
        <v>14103.52</v>
      </c>
      <c r="K1163" s="3">
        <v>532</v>
      </c>
      <c r="L1163" s="2" t="s">
        <v>2536</v>
      </c>
      <c r="M1163" s="2" t="s">
        <v>2526</v>
      </c>
      <c r="N1163" s="8">
        <f>IFERROR(G1163/F1163,0)</f>
        <v>6.2041019229175924E-2</v>
      </c>
      <c r="O1163" s="8">
        <f>IFERROR(H1163/G1163,0)</f>
        <v>8.0126259560519608E-2</v>
      </c>
      <c r="P1163" s="4">
        <f>IFERROR(I1163/G1163,0)</f>
        <v>0.80985067378900077</v>
      </c>
      <c r="Q1163" s="4">
        <f>IFERROR(I1163/H1163,0)</f>
        <v>10.107181818181818</v>
      </c>
      <c r="R1163" s="12">
        <f>IFERROR(J1163/I1163,0)</f>
        <v>2.114236201680773</v>
      </c>
      <c r="S1163" s="7">
        <f>Tabla_nuevas_columnas[[#This Row],[ROAS]]</f>
        <v>2.114236201680773</v>
      </c>
      <c r="T1163" t="str">
        <f>_xlfn.CONCAT(C1163,"-",D1163)</f>
        <v>Display-Portugal</v>
      </c>
      <c r="U1163">
        <f>YEAR(A1163)</f>
        <v>2025</v>
      </c>
      <c r="V1163">
        <f>MONTH(A1163)</f>
        <v>8</v>
      </c>
      <c r="W1163" t="str">
        <f>PROPER(TEXT(A1163,"mmmm"))</f>
        <v>Agosto</v>
      </c>
      <c r="X1163" t="str">
        <f>PROPER(TEXT(A1163,"dddd"))</f>
        <v>Martes</v>
      </c>
      <c r="Y1163" t="str" cm="1">
        <f t="array" ref="Y1163">_xlfn.IFS(R1163&gt;10,"Excelente",R1163&gt;=5,"Bueno",R1163&gt;=2,"Débil",R1163&lt;2,"Deficiente")</f>
        <v>Débil</v>
      </c>
      <c r="Z1163" t="str">
        <f>IF(AND(R1163&lt;2,Q1163&gt;=100),"Revisar","OK")</f>
        <v>OK</v>
      </c>
      <c r="AA1163" s="55">
        <f>_xlfn.XLOOKUP(C1163,'Preguntas de negocio'!$C$114:$C$119,'Preguntas de negocio'!$D$114:$D$119,0)</f>
        <v>5</v>
      </c>
      <c r="AB1163" s="55">
        <f>VLOOKUP(C1163,'Preguntas de negocio'!$C$121:$D$127,2,FALSE)</f>
        <v>0.5</v>
      </c>
    </row>
    <row r="1164" spans="1:28" x14ac:dyDescent="0.3">
      <c r="A1164" s="1">
        <v>45901</v>
      </c>
      <c r="B1164" s="2" t="s">
        <v>2637</v>
      </c>
      <c r="C1164" s="2" t="s">
        <v>2527</v>
      </c>
      <c r="D1164" s="2" t="s">
        <v>2516</v>
      </c>
      <c r="E1164" s="2" t="s">
        <v>2529</v>
      </c>
      <c r="F1164" s="3">
        <v>18632</v>
      </c>
      <c r="G1164" s="3">
        <v>566</v>
      </c>
      <c r="H1164" s="3">
        <v>25</v>
      </c>
      <c r="I1164" s="4">
        <v>1037.67</v>
      </c>
      <c r="J1164" s="4">
        <v>5288.09</v>
      </c>
      <c r="K1164" s="3">
        <v>11</v>
      </c>
      <c r="L1164" s="2" t="s">
        <v>2536</v>
      </c>
      <c r="M1164" s="2" t="s">
        <v>2546</v>
      </c>
      <c r="N1164" s="8">
        <f>IFERROR(G1164/F1164,0)</f>
        <v>3.0377844568484327E-2</v>
      </c>
      <c r="O1164" s="8">
        <f>IFERROR(H1164/G1164,0)</f>
        <v>4.4169611307420496E-2</v>
      </c>
      <c r="P1164" s="4">
        <f>IFERROR(I1164/G1164,0)</f>
        <v>1.8333392226148411</v>
      </c>
      <c r="Q1164" s="4">
        <f>IFERROR(I1164/H1164,0)</f>
        <v>41.506800000000005</v>
      </c>
      <c r="R1164" s="12">
        <f>IFERROR(J1164/I1164,0)</f>
        <v>5.0961191901086087</v>
      </c>
      <c r="S1164" s="7">
        <f>Tabla_nuevas_columnas[[#This Row],[ROAS]]</f>
        <v>5.0961191901086087</v>
      </c>
      <c r="T1164" t="str">
        <f>_xlfn.CONCAT(C1164,"-",D1164)</f>
        <v>Affiliate-México</v>
      </c>
      <c r="U1164">
        <f>YEAR(A1164)</f>
        <v>2025</v>
      </c>
      <c r="V1164">
        <f>MONTH(A1164)</f>
        <v>9</v>
      </c>
      <c r="W1164" t="str">
        <f>PROPER(TEXT(A1164,"mmmm"))</f>
        <v>Septiembre</v>
      </c>
      <c r="X1164" t="str">
        <f>PROPER(TEXT(A1164,"dddd"))</f>
        <v>Lunes</v>
      </c>
      <c r="Y1164" t="str" cm="1">
        <f t="array" ref="Y1164">_xlfn.IFS(R1164&gt;10,"Excelente",R1164&gt;=5,"Bueno",R1164&gt;=2,"Débil",R1164&lt;2,"Deficiente")</f>
        <v>Bueno</v>
      </c>
      <c r="Z1164" t="str">
        <f>IF(AND(R1164&lt;2,Q1164&gt;=100),"Revisar","OK")</f>
        <v>OK</v>
      </c>
      <c r="AA1164" s="55">
        <f>_xlfn.XLOOKUP(C1164,'Preguntas de negocio'!$C$114:$C$119,'Preguntas de negocio'!$D$114:$D$119,0)</f>
        <v>4.5</v>
      </c>
      <c r="AB1164" s="55">
        <f>VLOOKUP(C1164,'Preguntas de negocio'!$C$121:$D$127,2,FALSE)</f>
        <v>0.35</v>
      </c>
    </row>
    <row r="1165" spans="1:28" x14ac:dyDescent="0.3">
      <c r="A1165" s="1">
        <v>45705</v>
      </c>
      <c r="B1165" s="2" t="s">
        <v>2636</v>
      </c>
      <c r="C1165" s="2" t="s">
        <v>2521</v>
      </c>
      <c r="D1165" s="2" t="s">
        <v>2522</v>
      </c>
      <c r="E1165" s="2" t="s">
        <v>2529</v>
      </c>
      <c r="F1165" s="3">
        <v>103207</v>
      </c>
      <c r="G1165" s="3">
        <v>4973</v>
      </c>
      <c r="H1165" s="3">
        <v>435</v>
      </c>
      <c r="I1165" s="4">
        <v>8940.83</v>
      </c>
      <c r="J1165" s="4">
        <v>28887.26</v>
      </c>
      <c r="K1165" s="3">
        <v>290</v>
      </c>
      <c r="L1165" s="2" t="s">
        <v>2536</v>
      </c>
      <c r="M1165" s="2" t="s">
        <v>2526</v>
      </c>
      <c r="N1165" s="8">
        <f>IFERROR(G1165/F1165,0)</f>
        <v>4.8184716152974122E-2</v>
      </c>
      <c r="O1165" s="8">
        <f>IFERROR(H1165/G1165,0)</f>
        <v>8.7472350693746231E-2</v>
      </c>
      <c r="P1165" s="4">
        <f>IFERROR(I1165/G1165,0)</f>
        <v>1.7978745224210737</v>
      </c>
      <c r="Q1165" s="4">
        <f>IFERROR(I1165/H1165,0)</f>
        <v>20.553632183908046</v>
      </c>
      <c r="R1165" s="12">
        <f>IFERROR(J1165/I1165,0)</f>
        <v>3.2309371724996447</v>
      </c>
      <c r="S1165" s="7">
        <f>Tabla_nuevas_columnas[[#This Row],[ROAS]]</f>
        <v>3.2309371724996447</v>
      </c>
      <c r="T1165" t="str">
        <f>_xlfn.CONCAT(C1165,"-",D1165)</f>
        <v>Paid Search-Italia</v>
      </c>
      <c r="U1165">
        <f>YEAR(A1165)</f>
        <v>2025</v>
      </c>
      <c r="V1165">
        <f>MONTH(A1165)</f>
        <v>2</v>
      </c>
      <c r="W1165" t="str">
        <f>PROPER(TEXT(A1165,"mmmm"))</f>
        <v>Febrero</v>
      </c>
      <c r="X1165" t="str">
        <f>PROPER(TEXT(A1165,"dddd"))</f>
        <v>Lunes</v>
      </c>
      <c r="Y1165" t="str" cm="1">
        <f t="array" ref="Y1165">_xlfn.IFS(R1165&gt;10,"Excelente",R1165&gt;=5,"Bueno",R1165&gt;=2,"Débil",R1165&lt;2,"Deficiente")</f>
        <v>Débil</v>
      </c>
      <c r="Z1165" t="str">
        <f>IF(AND(R1165&lt;2,Q1165&gt;=100),"Revisar","OK")</f>
        <v>OK</v>
      </c>
      <c r="AA1165" s="55">
        <f>_xlfn.XLOOKUP(C1165,'Preguntas de negocio'!$C$114:$C$119,'Preguntas de negocio'!$D$114:$D$119,0)</f>
        <v>5</v>
      </c>
      <c r="AB1165" s="55">
        <f>VLOOKUP(C1165,'Preguntas de negocio'!$C$121:$D$127,2,FALSE)</f>
        <v>1.1000000000000001</v>
      </c>
    </row>
    <row r="1166" spans="1:28" x14ac:dyDescent="0.3">
      <c r="A1166" s="1">
        <v>45924</v>
      </c>
      <c r="B1166" s="2" t="s">
        <v>2629</v>
      </c>
      <c r="C1166" s="2" t="s">
        <v>2533</v>
      </c>
      <c r="D1166" s="2" t="s">
        <v>2528</v>
      </c>
      <c r="E1166" s="2" t="s">
        <v>2517</v>
      </c>
      <c r="F1166" s="3">
        <v>104825</v>
      </c>
      <c r="G1166" s="3">
        <v>7224</v>
      </c>
      <c r="H1166" s="3">
        <v>390</v>
      </c>
      <c r="I1166" s="4">
        <v>11911.22</v>
      </c>
      <c r="J1166" s="4">
        <v>33359.67</v>
      </c>
      <c r="K1166" s="3">
        <v>332</v>
      </c>
      <c r="L1166" s="2" t="s">
        <v>2518</v>
      </c>
      <c r="M1166" s="2" t="s">
        <v>2519</v>
      </c>
      <c r="N1166" s="8">
        <f>IFERROR(G1166/F1166,0)</f>
        <v>6.8914858096828041E-2</v>
      </c>
      <c r="O1166" s="8">
        <f>IFERROR(H1166/G1166,0)</f>
        <v>5.3986710963455149E-2</v>
      </c>
      <c r="P1166" s="4">
        <f>IFERROR(I1166/G1166,0)</f>
        <v>1.6488399778516056</v>
      </c>
      <c r="Q1166" s="4">
        <f>IFERROR(I1166/H1166,0)</f>
        <v>30.541589743589743</v>
      </c>
      <c r="R1166" s="12">
        <f>IFERROR(J1166/I1166,0)</f>
        <v>2.8006929600830142</v>
      </c>
      <c r="S1166" s="7">
        <f>Tabla_nuevas_columnas[[#This Row],[ROAS]]</f>
        <v>2.8006929600830142</v>
      </c>
      <c r="T1166" t="str">
        <f>_xlfn.CONCAT(C1166,"-",D1166)</f>
        <v>Paid Social-España</v>
      </c>
      <c r="U1166">
        <f>YEAR(A1166)</f>
        <v>2025</v>
      </c>
      <c r="V1166">
        <f>MONTH(A1166)</f>
        <v>9</v>
      </c>
      <c r="W1166" t="str">
        <f>PROPER(TEXT(A1166,"mmmm"))</f>
        <v>Septiembre</v>
      </c>
      <c r="X1166" t="str">
        <f>PROPER(TEXT(A1166,"dddd"))</f>
        <v>Miércoles</v>
      </c>
      <c r="Y1166" t="str" cm="1">
        <f t="array" ref="Y1166">_xlfn.IFS(R1166&gt;10,"Excelente",R1166&gt;=5,"Bueno",R1166&gt;=2,"Débil",R1166&lt;2,"Deficiente")</f>
        <v>Débil</v>
      </c>
      <c r="Z1166" t="str">
        <f>IF(AND(R1166&lt;2,Q1166&gt;=100),"Revisar","OK")</f>
        <v>OK</v>
      </c>
      <c r="AA1166" s="55">
        <f>_xlfn.XLOOKUP(C1166,'Preguntas de negocio'!$C$114:$C$119,'Preguntas de negocio'!$D$114:$D$119,0)</f>
        <v>6</v>
      </c>
      <c r="AB1166" s="55">
        <f>VLOOKUP(C1166,'Preguntas de negocio'!$C$121:$D$127,2,FALSE)</f>
        <v>0.8</v>
      </c>
    </row>
    <row r="1167" spans="1:28" x14ac:dyDescent="0.3">
      <c r="A1167" s="1">
        <v>45712</v>
      </c>
      <c r="B1167" s="2" t="s">
        <v>2622</v>
      </c>
      <c r="C1167" s="2" t="s">
        <v>2521</v>
      </c>
      <c r="D1167" s="2" t="s">
        <v>2528</v>
      </c>
      <c r="E1167" s="2" t="s">
        <v>2517</v>
      </c>
      <c r="F1167" s="3">
        <v>86641</v>
      </c>
      <c r="G1167" s="3">
        <v>7611</v>
      </c>
      <c r="H1167" s="3">
        <v>497</v>
      </c>
      <c r="I1167" s="4">
        <v>2241.98</v>
      </c>
      <c r="J1167" s="4">
        <v>73378.429999999993</v>
      </c>
      <c r="K1167" s="3">
        <v>368</v>
      </c>
      <c r="L1167" s="2" t="s">
        <v>2539</v>
      </c>
      <c r="M1167" s="2" t="s">
        <v>2524</v>
      </c>
      <c r="N1167" s="8">
        <f>IFERROR(G1167/F1167,0)</f>
        <v>8.7845246476841221E-2</v>
      </c>
      <c r="O1167" s="8">
        <f>IFERROR(H1167/G1167,0)</f>
        <v>6.5300223360924975E-2</v>
      </c>
      <c r="P1167" s="4">
        <f>IFERROR(I1167/G1167,0)</f>
        <v>0.29457101563526478</v>
      </c>
      <c r="Q1167" s="4">
        <f>IFERROR(I1167/H1167,0)</f>
        <v>4.5110261569416501</v>
      </c>
      <c r="R1167" s="12">
        <f>IFERROR(J1167/I1167,0)</f>
        <v>32.729297317549666</v>
      </c>
      <c r="S1167" s="7">
        <f>Tabla_nuevas_columnas[[#This Row],[ROAS]]</f>
        <v>32.729297317549666</v>
      </c>
      <c r="T1167" t="str">
        <f>_xlfn.CONCAT(C1167,"-",D1167)</f>
        <v>Paid Search-España</v>
      </c>
      <c r="U1167">
        <f>YEAR(A1167)</f>
        <v>2025</v>
      </c>
      <c r="V1167">
        <f>MONTH(A1167)</f>
        <v>2</v>
      </c>
      <c r="W1167" t="str">
        <f>PROPER(TEXT(A1167,"mmmm"))</f>
        <v>Febrero</v>
      </c>
      <c r="X1167" t="str">
        <f>PROPER(TEXT(A1167,"dddd"))</f>
        <v>Lunes</v>
      </c>
      <c r="Y1167" t="str" cm="1">
        <f t="array" ref="Y1167">_xlfn.IFS(R1167&gt;10,"Excelente",R1167&gt;=5,"Bueno",R1167&gt;=2,"Débil",R1167&lt;2,"Deficiente")</f>
        <v>Excelente</v>
      </c>
      <c r="Z1167" t="str">
        <f>IF(AND(R1167&lt;2,Q1167&gt;=100),"Revisar","OK")</f>
        <v>OK</v>
      </c>
      <c r="AA1167" s="55">
        <f>_xlfn.XLOOKUP(C1167,'Preguntas de negocio'!$C$114:$C$119,'Preguntas de negocio'!$D$114:$D$119,0)</f>
        <v>5</v>
      </c>
      <c r="AB1167" s="55">
        <f>VLOOKUP(C1167,'Preguntas de negocio'!$C$121:$D$127,2,FALSE)</f>
        <v>1.1000000000000001</v>
      </c>
    </row>
    <row r="1168" spans="1:28" x14ac:dyDescent="0.3">
      <c r="A1168" s="1">
        <v>45788</v>
      </c>
      <c r="B1168" s="2" t="s">
        <v>2633</v>
      </c>
      <c r="C1168" s="2" t="s">
        <v>2533</v>
      </c>
      <c r="D1168" s="2" t="s">
        <v>2522</v>
      </c>
      <c r="E1168" s="2" t="s">
        <v>2517</v>
      </c>
      <c r="F1168" s="3">
        <v>100000</v>
      </c>
      <c r="G1168" s="3">
        <v>4421</v>
      </c>
      <c r="H1168" s="3">
        <v>473</v>
      </c>
      <c r="I1168" s="4">
        <v>5556.08</v>
      </c>
      <c r="J1168" s="4">
        <v>26106.41</v>
      </c>
      <c r="K1168" s="3">
        <v>353</v>
      </c>
      <c r="L1168" s="2" t="s">
        <v>2536</v>
      </c>
      <c r="M1168" s="2" t="s">
        <v>2526</v>
      </c>
      <c r="N1168" s="8">
        <f>IFERROR(G1168/F1168,0)</f>
        <v>4.4209999999999999E-2</v>
      </c>
      <c r="O1168" s="8">
        <f>IFERROR(H1168/G1168,0)</f>
        <v>0.10698936892105858</v>
      </c>
      <c r="P1168" s="4">
        <f>IFERROR(I1168/G1168,0)</f>
        <v>1.2567473422302646</v>
      </c>
      <c r="Q1168" s="4">
        <f>IFERROR(I1168/H1168,0)</f>
        <v>11.746469344608879</v>
      </c>
      <c r="R1168" s="12">
        <f>IFERROR(J1168/I1168,0)</f>
        <v>4.6987102417531785</v>
      </c>
      <c r="S1168" s="7">
        <f>Tabla_nuevas_columnas[[#This Row],[ROAS]]</f>
        <v>4.6987102417531785</v>
      </c>
      <c r="T1168" t="str">
        <f>_xlfn.CONCAT(C1168,"-",D1168)</f>
        <v>Paid Social-Italia</v>
      </c>
      <c r="U1168">
        <f>YEAR(A1168)</f>
        <v>2025</v>
      </c>
      <c r="V1168">
        <f>MONTH(A1168)</f>
        <v>5</v>
      </c>
      <c r="W1168" t="str">
        <f>PROPER(TEXT(A1168,"mmmm"))</f>
        <v>Mayo</v>
      </c>
      <c r="X1168" t="str">
        <f>PROPER(TEXT(A1168,"dddd"))</f>
        <v>Domingo</v>
      </c>
      <c r="Y1168" t="str" cm="1">
        <f t="array" ref="Y1168">_xlfn.IFS(R1168&gt;10,"Excelente",R1168&gt;=5,"Bueno",R1168&gt;=2,"Débil",R1168&lt;2,"Deficiente")</f>
        <v>Débil</v>
      </c>
      <c r="Z1168" t="str">
        <f>IF(AND(R1168&lt;2,Q1168&gt;=100),"Revisar","OK")</f>
        <v>OK</v>
      </c>
      <c r="AA1168" s="55">
        <f>_xlfn.XLOOKUP(C1168,'Preguntas de negocio'!$C$114:$C$119,'Preguntas de negocio'!$D$114:$D$119,0)</f>
        <v>6</v>
      </c>
      <c r="AB1168" s="55">
        <f>VLOOKUP(C1168,'Preguntas de negocio'!$C$121:$D$127,2,FALSE)</f>
        <v>0.8</v>
      </c>
    </row>
    <row r="1169" spans="1:28" x14ac:dyDescent="0.3">
      <c r="A1169" s="1">
        <v>45831</v>
      </c>
      <c r="B1169" s="2" t="s">
        <v>2622</v>
      </c>
      <c r="C1169" s="2" t="s">
        <v>2521</v>
      </c>
      <c r="D1169" s="2" t="s">
        <v>2528</v>
      </c>
      <c r="E1169" s="2" t="s">
        <v>2529</v>
      </c>
      <c r="F1169" s="3">
        <v>98320</v>
      </c>
      <c r="G1169" s="3">
        <v>3901</v>
      </c>
      <c r="H1169" s="3">
        <v>103</v>
      </c>
      <c r="I1169" s="4">
        <v>5049.18</v>
      </c>
      <c r="J1169" s="4">
        <v>3932.46</v>
      </c>
      <c r="K1169" s="3">
        <v>82</v>
      </c>
      <c r="L1169" s="2" t="s">
        <v>2518</v>
      </c>
      <c r="M1169" s="2" t="s">
        <v>2519</v>
      </c>
      <c r="N1169" s="8">
        <f>IFERROR(G1169/F1169,0)</f>
        <v>3.9676566314076483E-2</v>
      </c>
      <c r="O1169" s="8">
        <f>IFERROR(H1169/G1169,0)</f>
        <v>2.6403486285567802E-2</v>
      </c>
      <c r="P1169" s="4">
        <f>IFERROR(I1169/G1169,0)</f>
        <v>1.2943296590617792</v>
      </c>
      <c r="Q1169" s="4">
        <f>IFERROR(I1169/H1169,0)</f>
        <v>49.021165048543693</v>
      </c>
      <c r="R1169" s="12">
        <f>IFERROR(J1169/I1169,0)</f>
        <v>0.77883141420983204</v>
      </c>
      <c r="S1169" s="7">
        <f>Tabla_nuevas_columnas[[#This Row],[ROAS]]</f>
        <v>0.77883141420983204</v>
      </c>
      <c r="T1169" t="str">
        <f>_xlfn.CONCAT(C1169,"-",D1169)</f>
        <v>Paid Search-España</v>
      </c>
      <c r="U1169">
        <f>YEAR(A1169)</f>
        <v>2025</v>
      </c>
      <c r="V1169">
        <f>MONTH(A1169)</f>
        <v>6</v>
      </c>
      <c r="W1169" t="str">
        <f>PROPER(TEXT(A1169,"mmmm"))</f>
        <v>Junio</v>
      </c>
      <c r="X1169" t="str">
        <f>PROPER(TEXT(A1169,"dddd"))</f>
        <v>Lunes</v>
      </c>
      <c r="Y1169" t="str" cm="1">
        <f t="array" ref="Y1169">_xlfn.IFS(R1169&gt;10,"Excelente",R1169&gt;=5,"Bueno",R1169&gt;=2,"Débil",R1169&lt;2,"Deficiente")</f>
        <v>Deficiente</v>
      </c>
      <c r="Z1169" t="str">
        <f>IF(AND(R1169&lt;2,Q1169&gt;=100),"Revisar","OK")</f>
        <v>OK</v>
      </c>
      <c r="AA1169" s="55">
        <f>_xlfn.XLOOKUP(C1169,'Preguntas de negocio'!$C$114:$C$119,'Preguntas de negocio'!$D$114:$D$119,0)</f>
        <v>5</v>
      </c>
      <c r="AB1169" s="55">
        <f>VLOOKUP(C1169,'Preguntas de negocio'!$C$121:$D$127,2,FALSE)</f>
        <v>1.1000000000000001</v>
      </c>
    </row>
    <row r="1170" spans="1:28" x14ac:dyDescent="0.3">
      <c r="A1170" s="1">
        <v>45843</v>
      </c>
      <c r="B1170" s="2" t="s">
        <v>2638</v>
      </c>
      <c r="C1170" s="2" t="s">
        <v>2541</v>
      </c>
      <c r="D1170" s="2" t="s">
        <v>2645</v>
      </c>
      <c r="E1170" s="2" t="s">
        <v>2529</v>
      </c>
      <c r="F1170" s="3">
        <v>29691</v>
      </c>
      <c r="G1170" s="3">
        <v>697</v>
      </c>
      <c r="H1170" s="3">
        <v>14</v>
      </c>
      <c r="I1170" s="4">
        <v>942.94</v>
      </c>
      <c r="J1170" s="4">
        <v>1909.56</v>
      </c>
      <c r="K1170" s="3">
        <v>7</v>
      </c>
      <c r="L1170" s="2" t="s">
        <v>2536</v>
      </c>
      <c r="M1170" s="2" t="s">
        <v>2526</v>
      </c>
      <c r="N1170" s="8">
        <f>IFERROR(G1170/F1170,0)</f>
        <v>2.3475127142905259E-2</v>
      </c>
      <c r="O1170" s="8">
        <f>IFERROR(H1170/G1170,0)</f>
        <v>2.0086083213773313E-2</v>
      </c>
      <c r="P1170" s="4">
        <f>IFERROR(I1170/G1170,0)</f>
        <v>1.3528550932568151</v>
      </c>
      <c r="Q1170" s="4">
        <f>IFERROR(I1170/H1170,0)</f>
        <v>67.352857142857147</v>
      </c>
      <c r="R1170" s="12">
        <f>IFERROR(J1170/I1170,0)</f>
        <v>2.0251129446200182</v>
      </c>
      <c r="S1170" s="7">
        <f>Tabla_nuevas_columnas[[#This Row],[ROAS]]</f>
        <v>2.0251129446200182</v>
      </c>
      <c r="T1170" t="str">
        <f>_xlfn.CONCAT(C1170,"-",D1170)</f>
        <v>Display-Por identificar</v>
      </c>
      <c r="U1170">
        <f>YEAR(A1170)</f>
        <v>2025</v>
      </c>
      <c r="V1170">
        <f>MONTH(A1170)</f>
        <v>7</v>
      </c>
      <c r="W1170" t="str">
        <f>PROPER(TEXT(A1170,"mmmm"))</f>
        <v>Julio</v>
      </c>
      <c r="X1170" t="str">
        <f>PROPER(TEXT(A1170,"dddd"))</f>
        <v>Sábado</v>
      </c>
      <c r="Y1170" t="str" cm="1">
        <f t="array" ref="Y1170">_xlfn.IFS(R1170&gt;10,"Excelente",R1170&gt;=5,"Bueno",R1170&gt;=2,"Débil",R1170&lt;2,"Deficiente")</f>
        <v>Débil</v>
      </c>
      <c r="Z1170" t="str">
        <f>IF(AND(R1170&lt;2,Q1170&gt;=100),"Revisar","OK")</f>
        <v>OK</v>
      </c>
      <c r="AA1170" s="55">
        <f>_xlfn.XLOOKUP(C1170,'Preguntas de negocio'!$C$114:$C$119,'Preguntas de negocio'!$D$114:$D$119,0)</f>
        <v>5</v>
      </c>
      <c r="AB1170" s="55">
        <f>VLOOKUP(C1170,'Preguntas de negocio'!$C$121:$D$127,2,FALSE)</f>
        <v>0.5</v>
      </c>
    </row>
    <row r="1171" spans="1:28" x14ac:dyDescent="0.3">
      <c r="A1171" s="1">
        <v>45710</v>
      </c>
      <c r="B1171" s="2" t="s">
        <v>2643</v>
      </c>
      <c r="C1171" s="2" t="s">
        <v>2527</v>
      </c>
      <c r="D1171" s="2" t="s">
        <v>2528</v>
      </c>
      <c r="E1171" s="2" t="s">
        <v>2517</v>
      </c>
      <c r="F1171" s="3">
        <v>137395</v>
      </c>
      <c r="G1171" s="3">
        <v>5256</v>
      </c>
      <c r="H1171" s="3">
        <v>55</v>
      </c>
      <c r="I1171" s="4">
        <v>5591.55</v>
      </c>
      <c r="J1171" s="4">
        <v>2820.81</v>
      </c>
      <c r="K1171" s="3">
        <v>36</v>
      </c>
      <c r="L1171" s="2" t="s">
        <v>2523</v>
      </c>
      <c r="M1171" s="2" t="s">
        <v>2526</v>
      </c>
      <c r="N1171" s="8">
        <f>IFERROR(G1171/F1171,0)</f>
        <v>3.8254667200407586E-2</v>
      </c>
      <c r="O1171" s="8">
        <f>IFERROR(H1171/G1171,0)</f>
        <v>1.0464231354642313E-2</v>
      </c>
      <c r="P1171" s="4">
        <f>IFERROR(I1171/G1171,0)</f>
        <v>1.0638413242009133</v>
      </c>
      <c r="Q1171" s="4">
        <f>IFERROR(I1171/H1171,0)</f>
        <v>101.66454545454546</v>
      </c>
      <c r="R1171" s="12">
        <f>IFERROR(J1171/I1171,0)</f>
        <v>0.50447729162754507</v>
      </c>
      <c r="S1171" s="7">
        <f>Tabla_nuevas_columnas[[#This Row],[ROAS]]</f>
        <v>0.50447729162754507</v>
      </c>
      <c r="T1171" t="str">
        <f>_xlfn.CONCAT(C1171,"-",D1171)</f>
        <v>Affiliate-España</v>
      </c>
      <c r="U1171">
        <f>YEAR(A1171)</f>
        <v>2025</v>
      </c>
      <c r="V1171">
        <f>MONTH(A1171)</f>
        <v>2</v>
      </c>
      <c r="W1171" t="str">
        <f>PROPER(TEXT(A1171,"mmmm"))</f>
        <v>Febrero</v>
      </c>
      <c r="X1171" t="str">
        <f>PROPER(TEXT(A1171,"dddd"))</f>
        <v>Sábado</v>
      </c>
      <c r="Y1171" t="str" cm="1">
        <f t="array" ref="Y1171">_xlfn.IFS(R1171&gt;10,"Excelente",R1171&gt;=5,"Bueno",R1171&gt;=2,"Débil",R1171&lt;2,"Deficiente")</f>
        <v>Deficiente</v>
      </c>
      <c r="Z1171" t="str">
        <f>IF(AND(R1171&lt;2,Q1171&gt;=100),"Revisar","OK")</f>
        <v>Revisar</v>
      </c>
      <c r="AA1171" s="55">
        <f>_xlfn.XLOOKUP(C1171,'Preguntas de negocio'!$C$114:$C$119,'Preguntas de negocio'!$D$114:$D$119,0)</f>
        <v>4.5</v>
      </c>
      <c r="AB1171" s="55">
        <f>VLOOKUP(C1171,'Preguntas de negocio'!$C$121:$D$127,2,FALSE)</f>
        <v>0.35</v>
      </c>
    </row>
    <row r="1172" spans="1:28" x14ac:dyDescent="0.3">
      <c r="A1172" s="1">
        <v>45955</v>
      </c>
      <c r="B1172" s="2" t="s">
        <v>2615</v>
      </c>
      <c r="C1172" s="2" t="s">
        <v>2533</v>
      </c>
      <c r="D1172" s="2" t="s">
        <v>2528</v>
      </c>
      <c r="E1172" s="2" t="s">
        <v>2534</v>
      </c>
      <c r="F1172" s="3">
        <v>93028</v>
      </c>
      <c r="G1172" s="3">
        <v>2974</v>
      </c>
      <c r="H1172" s="3">
        <v>272</v>
      </c>
      <c r="I1172" s="4">
        <v>3578.64</v>
      </c>
      <c r="J1172" s="4">
        <v>26107.439999999999</v>
      </c>
      <c r="K1172" s="3">
        <v>235</v>
      </c>
      <c r="L1172" s="2" t="s">
        <v>2518</v>
      </c>
      <c r="M1172" s="2" t="s">
        <v>2546</v>
      </c>
      <c r="N1172" s="8">
        <f>IFERROR(G1172/F1172,0)</f>
        <v>3.1968869587651029E-2</v>
      </c>
      <c r="O1172" s="8">
        <f>IFERROR(H1172/G1172,0)</f>
        <v>9.1459314055144583E-2</v>
      </c>
      <c r="P1172" s="4">
        <f>IFERROR(I1172/G1172,0)</f>
        <v>1.203308675184936</v>
      </c>
      <c r="Q1172" s="4">
        <f>IFERROR(I1172/H1172,0)</f>
        <v>13.156764705882352</v>
      </c>
      <c r="R1172" s="12">
        <f>IFERROR(J1172/I1172,0)</f>
        <v>7.2953524243846823</v>
      </c>
      <c r="S1172" s="7">
        <f>Tabla_nuevas_columnas[[#This Row],[ROAS]]</f>
        <v>7.2953524243846823</v>
      </c>
      <c r="T1172" t="str">
        <f>_xlfn.CONCAT(C1172,"-",D1172)</f>
        <v>Paid Social-España</v>
      </c>
      <c r="U1172">
        <f>YEAR(A1172)</f>
        <v>2025</v>
      </c>
      <c r="V1172">
        <f>MONTH(A1172)</f>
        <v>10</v>
      </c>
      <c r="W1172" t="str">
        <f>PROPER(TEXT(A1172,"mmmm"))</f>
        <v>Octubre</v>
      </c>
      <c r="X1172" t="str">
        <f>PROPER(TEXT(A1172,"dddd"))</f>
        <v>Sábado</v>
      </c>
      <c r="Y1172" t="str" cm="1">
        <f t="array" ref="Y1172">_xlfn.IFS(R1172&gt;10,"Excelente",R1172&gt;=5,"Bueno",R1172&gt;=2,"Débil",R1172&lt;2,"Deficiente")</f>
        <v>Bueno</v>
      </c>
      <c r="Z1172" t="str">
        <f>IF(AND(R1172&lt;2,Q1172&gt;=100),"Revisar","OK")</f>
        <v>OK</v>
      </c>
      <c r="AA1172" s="55">
        <f>_xlfn.XLOOKUP(C1172,'Preguntas de negocio'!$C$114:$C$119,'Preguntas de negocio'!$D$114:$D$119,0)</f>
        <v>6</v>
      </c>
      <c r="AB1172" s="55">
        <f>VLOOKUP(C1172,'Preguntas de negocio'!$C$121:$D$127,2,FALSE)</f>
        <v>0.8</v>
      </c>
    </row>
    <row r="1173" spans="1:28" x14ac:dyDescent="0.3">
      <c r="A1173" s="1">
        <v>45828</v>
      </c>
      <c r="B1173" s="2" t="s">
        <v>2631</v>
      </c>
      <c r="C1173" s="2" t="s">
        <v>2541</v>
      </c>
      <c r="D1173" s="2" t="s">
        <v>2525</v>
      </c>
      <c r="E1173" s="2" t="s">
        <v>2529</v>
      </c>
      <c r="F1173" s="3">
        <v>88025</v>
      </c>
      <c r="G1173" s="3">
        <v>1193</v>
      </c>
      <c r="H1173" s="3">
        <v>142</v>
      </c>
      <c r="I1173" s="4">
        <v>1419.25</v>
      </c>
      <c r="J1173" s="4">
        <v>4393</v>
      </c>
      <c r="K1173" s="3">
        <v>113</v>
      </c>
      <c r="L1173" s="2" t="s">
        <v>2518</v>
      </c>
      <c r="M1173" s="2" t="s">
        <v>2519</v>
      </c>
      <c r="N1173" s="8">
        <f>IFERROR(G1173/F1173,0)</f>
        <v>1.3552967906844647E-2</v>
      </c>
      <c r="O1173" s="8">
        <f>IFERROR(H1173/G1173,0)</f>
        <v>0.11902766135792121</v>
      </c>
      <c r="P1173" s="4">
        <f>IFERROR(I1173/G1173,0)</f>
        <v>1.1896479463537302</v>
      </c>
      <c r="Q1173" s="4">
        <f>IFERROR(I1173/H1173,0)</f>
        <v>9.9947183098591541</v>
      </c>
      <c r="R1173" s="12">
        <f>IFERROR(J1173/I1173,0)</f>
        <v>3.0952968116963184</v>
      </c>
      <c r="S1173" s="7">
        <f>Tabla_nuevas_columnas[[#This Row],[ROAS]]</f>
        <v>3.0952968116963184</v>
      </c>
      <c r="T1173" t="str">
        <f>_xlfn.CONCAT(C1173,"-",D1173)</f>
        <v>Display-Francia</v>
      </c>
      <c r="U1173">
        <f>YEAR(A1173)</f>
        <v>2025</v>
      </c>
      <c r="V1173">
        <f>MONTH(A1173)</f>
        <v>6</v>
      </c>
      <c r="W1173" t="str">
        <f>PROPER(TEXT(A1173,"mmmm"))</f>
        <v>Junio</v>
      </c>
      <c r="X1173" t="str">
        <f>PROPER(TEXT(A1173,"dddd"))</f>
        <v>Viernes</v>
      </c>
      <c r="Y1173" t="str" cm="1">
        <f t="array" ref="Y1173">_xlfn.IFS(R1173&gt;10,"Excelente",R1173&gt;=5,"Bueno",R1173&gt;=2,"Débil",R1173&lt;2,"Deficiente")</f>
        <v>Débil</v>
      </c>
      <c r="Z1173" t="str">
        <f>IF(AND(R1173&lt;2,Q1173&gt;=100),"Revisar","OK")</f>
        <v>OK</v>
      </c>
      <c r="AA1173" s="55">
        <f>_xlfn.XLOOKUP(C1173,'Preguntas de negocio'!$C$114:$C$119,'Preguntas de negocio'!$D$114:$D$119,0)</f>
        <v>5</v>
      </c>
      <c r="AB1173" s="55">
        <f>VLOOKUP(C1173,'Preguntas de negocio'!$C$121:$D$127,2,FALSE)</f>
        <v>0.5</v>
      </c>
    </row>
    <row r="1174" spans="1:28" x14ac:dyDescent="0.3">
      <c r="A1174" s="1">
        <v>45694</v>
      </c>
      <c r="B1174" s="2" t="s">
        <v>2623</v>
      </c>
      <c r="C1174" s="2" t="s">
        <v>2541</v>
      </c>
      <c r="D1174" s="2" t="s">
        <v>2528</v>
      </c>
      <c r="E1174" s="2" t="s">
        <v>2529</v>
      </c>
      <c r="F1174" s="3">
        <v>3993</v>
      </c>
      <c r="G1174" s="3">
        <v>40</v>
      </c>
      <c r="H1174" s="3">
        <v>1</v>
      </c>
      <c r="I1174" s="4">
        <v>33.9</v>
      </c>
      <c r="J1174" s="4">
        <v>71.09</v>
      </c>
      <c r="K1174" s="3">
        <v>0</v>
      </c>
      <c r="L1174" s="2" t="s">
        <v>2523</v>
      </c>
      <c r="M1174" s="2" t="s">
        <v>2526</v>
      </c>
      <c r="N1174" s="8">
        <f>IFERROR(G1174/F1174,0)</f>
        <v>1.0017530678687703E-2</v>
      </c>
      <c r="O1174" s="8">
        <f>IFERROR(H1174/G1174,0)</f>
        <v>2.5000000000000001E-2</v>
      </c>
      <c r="P1174" s="4">
        <f>IFERROR(I1174/G1174,0)</f>
        <v>0.84749999999999992</v>
      </c>
      <c r="Q1174" s="4">
        <f>IFERROR(I1174/H1174,0)</f>
        <v>33.9</v>
      </c>
      <c r="R1174" s="12">
        <f>IFERROR(J1174/I1174,0)</f>
        <v>2.0970501474926255</v>
      </c>
      <c r="S1174" s="7">
        <f>Tabla_nuevas_columnas[[#This Row],[ROAS]]</f>
        <v>2.0970501474926255</v>
      </c>
      <c r="T1174" t="str">
        <f>_xlfn.CONCAT(C1174,"-",D1174)</f>
        <v>Display-España</v>
      </c>
      <c r="U1174">
        <f>YEAR(A1174)</f>
        <v>2025</v>
      </c>
      <c r="V1174">
        <f>MONTH(A1174)</f>
        <v>2</v>
      </c>
      <c r="W1174" t="str">
        <f>PROPER(TEXT(A1174,"mmmm"))</f>
        <v>Febrero</v>
      </c>
      <c r="X1174" t="str">
        <f>PROPER(TEXT(A1174,"dddd"))</f>
        <v>Jueves</v>
      </c>
      <c r="Y1174" t="str" cm="1">
        <f t="array" ref="Y1174">_xlfn.IFS(R1174&gt;10,"Excelente",R1174&gt;=5,"Bueno",R1174&gt;=2,"Débil",R1174&lt;2,"Deficiente")</f>
        <v>Débil</v>
      </c>
      <c r="Z1174" t="str">
        <f>IF(AND(R1174&lt;2,Q1174&gt;=100),"Revisar","OK")</f>
        <v>OK</v>
      </c>
      <c r="AA1174" s="55">
        <f>_xlfn.XLOOKUP(C1174,'Preguntas de negocio'!$C$114:$C$119,'Preguntas de negocio'!$D$114:$D$119,0)</f>
        <v>5</v>
      </c>
      <c r="AB1174" s="55">
        <f>VLOOKUP(C1174,'Preguntas de negocio'!$C$121:$D$127,2,FALSE)</f>
        <v>0.5</v>
      </c>
    </row>
    <row r="1175" spans="1:28" x14ac:dyDescent="0.3">
      <c r="A1175" s="1">
        <v>45739</v>
      </c>
      <c r="B1175" s="2" t="s">
        <v>2627</v>
      </c>
      <c r="C1175" s="2" t="s">
        <v>2533</v>
      </c>
      <c r="D1175" s="2" t="s">
        <v>2516</v>
      </c>
      <c r="E1175" s="2" t="s">
        <v>2529</v>
      </c>
      <c r="F1175" s="3">
        <v>53435</v>
      </c>
      <c r="G1175" s="3">
        <v>2306</v>
      </c>
      <c r="H1175" s="3">
        <v>95</v>
      </c>
      <c r="I1175" s="4">
        <v>1511.2</v>
      </c>
      <c r="J1175" s="4">
        <v>3878.02</v>
      </c>
      <c r="K1175" s="3">
        <v>57</v>
      </c>
      <c r="L1175" s="2" t="s">
        <v>2536</v>
      </c>
      <c r="M1175" s="2" t="s">
        <v>2524</v>
      </c>
      <c r="N1175" s="8">
        <f>IFERROR(G1175/F1175,0)</f>
        <v>4.3155235332647139E-2</v>
      </c>
      <c r="O1175" s="8">
        <f>IFERROR(H1175/G1175,0)</f>
        <v>4.1196877710320899E-2</v>
      </c>
      <c r="P1175" s="4">
        <f>IFERROR(I1175/G1175,0)</f>
        <v>0.65533391153512577</v>
      </c>
      <c r="Q1175" s="4">
        <f>IFERROR(I1175/H1175,0)</f>
        <v>15.907368421052633</v>
      </c>
      <c r="R1175" s="12">
        <f>IFERROR(J1175/I1175,0)</f>
        <v>2.5661858125992589</v>
      </c>
      <c r="S1175" s="7">
        <f>Tabla_nuevas_columnas[[#This Row],[ROAS]]</f>
        <v>2.5661858125992589</v>
      </c>
      <c r="T1175" t="str">
        <f>_xlfn.CONCAT(C1175,"-",D1175)</f>
        <v>Paid Social-México</v>
      </c>
      <c r="U1175">
        <f>YEAR(A1175)</f>
        <v>2025</v>
      </c>
      <c r="V1175">
        <f>MONTH(A1175)</f>
        <v>3</v>
      </c>
      <c r="W1175" t="str">
        <f>PROPER(TEXT(A1175,"mmmm"))</f>
        <v>Marzo</v>
      </c>
      <c r="X1175" t="str">
        <f>PROPER(TEXT(A1175,"dddd"))</f>
        <v>Domingo</v>
      </c>
      <c r="Y1175" t="str" cm="1">
        <f t="array" ref="Y1175">_xlfn.IFS(R1175&gt;10,"Excelente",R1175&gt;=5,"Bueno",R1175&gt;=2,"Débil",R1175&lt;2,"Deficiente")</f>
        <v>Débil</v>
      </c>
      <c r="Z1175" t="str">
        <f>IF(AND(R1175&lt;2,Q1175&gt;=100),"Revisar","OK")</f>
        <v>OK</v>
      </c>
      <c r="AA1175" s="55">
        <f>_xlfn.XLOOKUP(C1175,'Preguntas de negocio'!$C$114:$C$119,'Preguntas de negocio'!$D$114:$D$119,0)</f>
        <v>6</v>
      </c>
      <c r="AB1175" s="55">
        <f>VLOOKUP(C1175,'Preguntas de negocio'!$C$121:$D$127,2,FALSE)</f>
        <v>0.8</v>
      </c>
    </row>
    <row r="1176" spans="1:28" x14ac:dyDescent="0.3">
      <c r="A1176" s="1">
        <v>45767</v>
      </c>
      <c r="B1176" s="2" t="s">
        <v>2634</v>
      </c>
      <c r="C1176" s="2" t="s">
        <v>2521</v>
      </c>
      <c r="D1176" s="2" t="s">
        <v>2528</v>
      </c>
      <c r="E1176" s="2" t="s">
        <v>2517</v>
      </c>
      <c r="F1176" s="3">
        <v>103681</v>
      </c>
      <c r="G1176" s="3">
        <v>6792</v>
      </c>
      <c r="H1176" s="3">
        <v>593</v>
      </c>
      <c r="I1176" s="4">
        <v>8818.6200000000008</v>
      </c>
      <c r="J1176" s="4">
        <v>117559.63</v>
      </c>
      <c r="K1176" s="3">
        <v>335</v>
      </c>
      <c r="L1176" s="2" t="s">
        <v>2523</v>
      </c>
      <c r="M1176" s="2" t="s">
        <v>2524</v>
      </c>
      <c r="N1176" s="8">
        <f>IFERROR(G1176/F1176,0)</f>
        <v>6.5508627424504001E-2</v>
      </c>
      <c r="O1176" s="8">
        <f>IFERROR(H1176/G1176,0)</f>
        <v>8.7308598351001174E-2</v>
      </c>
      <c r="P1176" s="4">
        <f>IFERROR(I1176/G1176,0)</f>
        <v>1.2983833922261485</v>
      </c>
      <c r="Q1176" s="4">
        <f>IFERROR(I1176/H1176,0)</f>
        <v>14.871197301854975</v>
      </c>
      <c r="R1176" s="12">
        <f>IFERROR(J1176/I1176,0)</f>
        <v>13.330842013829827</v>
      </c>
      <c r="S1176" s="7">
        <f>Tabla_nuevas_columnas[[#This Row],[ROAS]]</f>
        <v>13.330842013829827</v>
      </c>
      <c r="T1176" t="str">
        <f>_xlfn.CONCAT(C1176,"-",D1176)</f>
        <v>Paid Search-España</v>
      </c>
      <c r="U1176">
        <f>YEAR(A1176)</f>
        <v>2025</v>
      </c>
      <c r="V1176">
        <f>MONTH(A1176)</f>
        <v>4</v>
      </c>
      <c r="W1176" t="str">
        <f>PROPER(TEXT(A1176,"mmmm"))</f>
        <v>Abril</v>
      </c>
      <c r="X1176" t="str">
        <f>PROPER(TEXT(A1176,"dddd"))</f>
        <v>Domingo</v>
      </c>
      <c r="Y1176" t="str" cm="1">
        <f t="array" ref="Y1176">_xlfn.IFS(R1176&gt;10,"Excelente",R1176&gt;=5,"Bueno",R1176&gt;=2,"Débil",R1176&lt;2,"Deficiente")</f>
        <v>Excelente</v>
      </c>
      <c r="Z1176" t="str">
        <f>IF(AND(R1176&lt;2,Q1176&gt;=100),"Revisar","OK")</f>
        <v>OK</v>
      </c>
      <c r="AA1176" s="55">
        <f>_xlfn.XLOOKUP(C1176,'Preguntas de negocio'!$C$114:$C$119,'Preguntas de negocio'!$D$114:$D$119,0)</f>
        <v>5</v>
      </c>
      <c r="AB1176" s="55">
        <f>VLOOKUP(C1176,'Preguntas de negocio'!$C$121:$D$127,2,FALSE)</f>
        <v>1.1000000000000001</v>
      </c>
    </row>
    <row r="1177" spans="1:28" x14ac:dyDescent="0.3">
      <c r="A1177" s="1">
        <v>46009</v>
      </c>
      <c r="B1177" s="2" t="s">
        <v>2619</v>
      </c>
      <c r="C1177" s="2" t="s">
        <v>2527</v>
      </c>
      <c r="D1177" s="2" t="s">
        <v>2528</v>
      </c>
      <c r="E1177" s="2" t="s">
        <v>2529</v>
      </c>
      <c r="F1177" s="3">
        <v>137133</v>
      </c>
      <c r="G1177" s="3">
        <v>4780</v>
      </c>
      <c r="H1177" s="3">
        <v>584</v>
      </c>
      <c r="I1177" s="4">
        <v>1174.95</v>
      </c>
      <c r="J1177" s="4">
        <v>14588.16</v>
      </c>
      <c r="K1177" s="3">
        <v>391</v>
      </c>
      <c r="L1177" s="2" t="s">
        <v>2523</v>
      </c>
      <c r="M1177" s="2" t="s">
        <v>2519</v>
      </c>
      <c r="N1177" s="8">
        <f>IFERROR(G1177/F1177,0)</f>
        <v>3.4856671989965948E-2</v>
      </c>
      <c r="O1177" s="8">
        <f>IFERROR(H1177/G1177,0)</f>
        <v>0.12217573221757322</v>
      </c>
      <c r="P1177" s="4">
        <f>IFERROR(I1177/G1177,0)</f>
        <v>0.24580543933054394</v>
      </c>
      <c r="Q1177" s="4">
        <f>IFERROR(I1177/H1177,0)</f>
        <v>2.0119006849315069</v>
      </c>
      <c r="R1177" s="12">
        <f>IFERROR(J1177/I1177,0)</f>
        <v>12.415983658879101</v>
      </c>
      <c r="S1177" s="7">
        <f>Tabla_nuevas_columnas[[#This Row],[ROAS]]</f>
        <v>12.415983658879101</v>
      </c>
      <c r="T1177" t="str">
        <f>_xlfn.CONCAT(C1177,"-",D1177)</f>
        <v>Affiliate-España</v>
      </c>
      <c r="U1177">
        <f>YEAR(A1177)</f>
        <v>2025</v>
      </c>
      <c r="V1177">
        <f>MONTH(A1177)</f>
        <v>12</v>
      </c>
      <c r="W1177" t="str">
        <f>PROPER(TEXT(A1177,"mmmm"))</f>
        <v>Diciembre</v>
      </c>
      <c r="X1177" t="str">
        <f>PROPER(TEXT(A1177,"dddd"))</f>
        <v>Jueves</v>
      </c>
      <c r="Y1177" t="str" cm="1">
        <f t="array" ref="Y1177">_xlfn.IFS(R1177&gt;10,"Excelente",R1177&gt;=5,"Bueno",R1177&gt;=2,"Débil",R1177&lt;2,"Deficiente")</f>
        <v>Excelente</v>
      </c>
      <c r="Z1177" t="str">
        <f>IF(AND(R1177&lt;2,Q1177&gt;=100),"Revisar","OK")</f>
        <v>OK</v>
      </c>
      <c r="AA1177" s="55">
        <f>_xlfn.XLOOKUP(C1177,'Preguntas de negocio'!$C$114:$C$119,'Preguntas de negocio'!$D$114:$D$119,0)</f>
        <v>4.5</v>
      </c>
      <c r="AB1177" s="55">
        <f>VLOOKUP(C1177,'Preguntas de negocio'!$C$121:$D$127,2,FALSE)</f>
        <v>0.35</v>
      </c>
    </row>
    <row r="1178" spans="1:28" x14ac:dyDescent="0.3">
      <c r="A1178" s="1">
        <v>45942</v>
      </c>
      <c r="B1178" s="2" t="s">
        <v>2617</v>
      </c>
      <c r="C1178" s="2" t="s">
        <v>2515</v>
      </c>
      <c r="D1178" s="2" t="s">
        <v>2531</v>
      </c>
      <c r="E1178" s="2" t="s">
        <v>2517</v>
      </c>
      <c r="F1178" s="3">
        <v>44533</v>
      </c>
      <c r="G1178" s="3">
        <v>787</v>
      </c>
      <c r="H1178" s="3">
        <v>92</v>
      </c>
      <c r="I1178" s="4">
        <v>1422.3</v>
      </c>
      <c r="J1178" s="4">
        <v>3210.39</v>
      </c>
      <c r="K1178" s="3">
        <v>72</v>
      </c>
      <c r="L1178" s="2" t="s">
        <v>2536</v>
      </c>
      <c r="M1178" s="2" t="s">
        <v>2526</v>
      </c>
      <c r="N1178" s="8">
        <f>IFERROR(G1178/F1178,0)</f>
        <v>1.7672287966227291E-2</v>
      </c>
      <c r="O1178" s="8">
        <f>IFERROR(H1178/G1178,0)</f>
        <v>0.11689961880559085</v>
      </c>
      <c r="P1178" s="4">
        <f>IFERROR(I1178/G1178,0)</f>
        <v>1.8072426937738246</v>
      </c>
      <c r="Q1178" s="4">
        <f>IFERROR(I1178/H1178,0)</f>
        <v>15.459782608695651</v>
      </c>
      <c r="R1178" s="12">
        <f>IFERROR(J1178/I1178,0)</f>
        <v>2.2571820291077831</v>
      </c>
      <c r="S1178" s="7">
        <f>Tabla_nuevas_columnas[[#This Row],[ROAS]]</f>
        <v>2.2571820291077831</v>
      </c>
      <c r="T1178" t="str">
        <f>_xlfn.CONCAT(C1178,"-",D1178)</f>
        <v>Email-Portugal</v>
      </c>
      <c r="U1178">
        <f>YEAR(A1178)</f>
        <v>2025</v>
      </c>
      <c r="V1178">
        <f>MONTH(A1178)</f>
        <v>10</v>
      </c>
      <c r="W1178" t="str">
        <f>PROPER(TEXT(A1178,"mmmm"))</f>
        <v>Octubre</v>
      </c>
      <c r="X1178" t="str">
        <f>PROPER(TEXT(A1178,"dddd"))</f>
        <v>Domingo</v>
      </c>
      <c r="Y1178" t="str" cm="1">
        <f t="array" ref="Y1178">_xlfn.IFS(R1178&gt;10,"Excelente",R1178&gt;=5,"Bueno",R1178&gt;=2,"Débil",R1178&lt;2,"Deficiente")</f>
        <v>Débil</v>
      </c>
      <c r="Z1178" t="str">
        <f>IF(AND(R1178&lt;2,Q1178&gt;=100),"Revisar","OK")</f>
        <v>OK</v>
      </c>
      <c r="AA1178" s="55">
        <f>_xlfn.XLOOKUP(C1178,'Preguntas de negocio'!$C$114:$C$119,'Preguntas de negocio'!$D$114:$D$119,0)</f>
        <v>5.5</v>
      </c>
      <c r="AB1178" s="55">
        <f>VLOOKUP(C1178,'Preguntas de negocio'!$C$121:$D$127,2,FALSE)</f>
        <v>0.65</v>
      </c>
    </row>
    <row r="1179" spans="1:28" x14ac:dyDescent="0.3">
      <c r="A1179" s="1">
        <v>45979</v>
      </c>
      <c r="B1179" s="2" t="s">
        <v>2624</v>
      </c>
      <c r="C1179" s="2" t="s">
        <v>2515</v>
      </c>
      <c r="D1179" s="2" t="s">
        <v>2528</v>
      </c>
      <c r="E1179" s="2" t="s">
        <v>2517</v>
      </c>
      <c r="F1179" s="3">
        <v>65245</v>
      </c>
      <c r="G1179" s="3">
        <v>5501</v>
      </c>
      <c r="H1179" s="3">
        <v>626</v>
      </c>
      <c r="I1179" s="4">
        <v>11056.8</v>
      </c>
      <c r="J1179" s="4">
        <v>68534.559999999998</v>
      </c>
      <c r="K1179" s="3">
        <v>342</v>
      </c>
      <c r="L1179" s="2" t="s">
        <v>2518</v>
      </c>
      <c r="M1179" s="2" t="s">
        <v>2524</v>
      </c>
      <c r="N1179" s="8">
        <f>IFERROR(G1179/F1179,0)</f>
        <v>8.4312974174266225E-2</v>
      </c>
      <c r="O1179" s="8">
        <f>IFERROR(H1179/G1179,0)</f>
        <v>0.11379749136520632</v>
      </c>
      <c r="P1179" s="4">
        <f>IFERROR(I1179/G1179,0)</f>
        <v>2.0099618251227049</v>
      </c>
      <c r="Q1179" s="4">
        <f>IFERROR(I1179/H1179,0)</f>
        <v>17.662619808306708</v>
      </c>
      <c r="R1179" s="12">
        <f>IFERROR(J1179/I1179,0)</f>
        <v>6.1984082193763115</v>
      </c>
      <c r="S1179" s="7">
        <f>Tabla_nuevas_columnas[[#This Row],[ROAS]]</f>
        <v>6.1984082193763115</v>
      </c>
      <c r="T1179" t="str">
        <f>_xlfn.CONCAT(C1179,"-",D1179)</f>
        <v>Email-España</v>
      </c>
      <c r="U1179">
        <f>YEAR(A1179)</f>
        <v>2025</v>
      </c>
      <c r="V1179">
        <f>MONTH(A1179)</f>
        <v>11</v>
      </c>
      <c r="W1179" t="str">
        <f>PROPER(TEXT(A1179,"mmmm"))</f>
        <v>Noviembre</v>
      </c>
      <c r="X1179" t="str">
        <f>PROPER(TEXT(A1179,"dddd"))</f>
        <v>Martes</v>
      </c>
      <c r="Y1179" t="str" cm="1">
        <f t="array" ref="Y1179">_xlfn.IFS(R1179&gt;10,"Excelente",R1179&gt;=5,"Bueno",R1179&gt;=2,"Débil",R1179&lt;2,"Deficiente")</f>
        <v>Bueno</v>
      </c>
      <c r="Z1179" t="str">
        <f>IF(AND(R1179&lt;2,Q1179&gt;=100),"Revisar","OK")</f>
        <v>OK</v>
      </c>
      <c r="AA1179" s="55">
        <f>_xlfn.XLOOKUP(C1179,'Preguntas de negocio'!$C$114:$C$119,'Preguntas de negocio'!$D$114:$D$119,0)</f>
        <v>5.5</v>
      </c>
      <c r="AB1179" s="55">
        <f>VLOOKUP(C1179,'Preguntas de negocio'!$C$121:$D$127,2,FALSE)</f>
        <v>0.65</v>
      </c>
    </row>
    <row r="1180" spans="1:28" x14ac:dyDescent="0.3">
      <c r="A1180" s="1">
        <v>45738</v>
      </c>
      <c r="B1180" s="2" t="s">
        <v>2625</v>
      </c>
      <c r="C1180" s="2" t="s">
        <v>2527</v>
      </c>
      <c r="D1180" s="2" t="s">
        <v>2516</v>
      </c>
      <c r="E1180" s="2" t="s">
        <v>2517</v>
      </c>
      <c r="F1180" s="3">
        <v>150020</v>
      </c>
      <c r="G1180" s="3">
        <v>1137</v>
      </c>
      <c r="H1180" s="3">
        <v>122</v>
      </c>
      <c r="I1180" s="4">
        <v>1424.16</v>
      </c>
      <c r="J1180" s="4">
        <v>7450.9</v>
      </c>
      <c r="K1180" s="3">
        <v>100</v>
      </c>
      <c r="L1180" s="2" t="s">
        <v>2539</v>
      </c>
      <c r="M1180" s="2" t="s">
        <v>2524</v>
      </c>
      <c r="N1180" s="8">
        <f>IFERROR(G1180/F1180,0)</f>
        <v>7.5789894680709236E-3</v>
      </c>
      <c r="O1180" s="8">
        <f>IFERROR(H1180/G1180,0)</f>
        <v>0.10729991204925242</v>
      </c>
      <c r="P1180" s="4">
        <f>IFERROR(I1180/G1180,0)</f>
        <v>1.2525593667546175</v>
      </c>
      <c r="Q1180" s="4">
        <f>IFERROR(I1180/H1180,0)</f>
        <v>11.673442622950819</v>
      </c>
      <c r="R1180" s="12">
        <f>IFERROR(J1180/I1180,0)</f>
        <v>5.231785754409616</v>
      </c>
      <c r="S1180" s="7">
        <f>Tabla_nuevas_columnas[[#This Row],[ROAS]]</f>
        <v>5.231785754409616</v>
      </c>
      <c r="T1180" t="str">
        <f>_xlfn.CONCAT(C1180,"-",D1180)</f>
        <v>Affiliate-México</v>
      </c>
      <c r="U1180">
        <f>YEAR(A1180)</f>
        <v>2025</v>
      </c>
      <c r="V1180">
        <f>MONTH(A1180)</f>
        <v>3</v>
      </c>
      <c r="W1180" t="str">
        <f>PROPER(TEXT(A1180,"mmmm"))</f>
        <v>Marzo</v>
      </c>
      <c r="X1180" t="str">
        <f>PROPER(TEXT(A1180,"dddd"))</f>
        <v>Sábado</v>
      </c>
      <c r="Y1180" t="str" cm="1">
        <f t="array" ref="Y1180">_xlfn.IFS(R1180&gt;10,"Excelente",R1180&gt;=5,"Bueno",R1180&gt;=2,"Débil",R1180&lt;2,"Deficiente")</f>
        <v>Bueno</v>
      </c>
      <c r="Z1180" t="str">
        <f>IF(AND(R1180&lt;2,Q1180&gt;=100),"Revisar","OK")</f>
        <v>OK</v>
      </c>
      <c r="AA1180" s="55">
        <f>_xlfn.XLOOKUP(C1180,'Preguntas de negocio'!$C$114:$C$119,'Preguntas de negocio'!$D$114:$D$119,0)</f>
        <v>4.5</v>
      </c>
      <c r="AB1180" s="55">
        <f>VLOOKUP(C1180,'Preguntas de negocio'!$C$121:$D$127,2,FALSE)</f>
        <v>0.35</v>
      </c>
    </row>
    <row r="1181" spans="1:28" x14ac:dyDescent="0.3">
      <c r="A1181" s="1">
        <v>45980</v>
      </c>
      <c r="B1181" s="2" t="s">
        <v>2635</v>
      </c>
      <c r="C1181" s="2" t="s">
        <v>2521</v>
      </c>
      <c r="D1181" s="2" t="s">
        <v>2531</v>
      </c>
      <c r="E1181" s="2" t="s">
        <v>2517</v>
      </c>
      <c r="F1181" s="3">
        <v>56282</v>
      </c>
      <c r="G1181" s="3">
        <v>4190</v>
      </c>
      <c r="H1181" s="3">
        <v>552</v>
      </c>
      <c r="I1181" s="4">
        <v>5681.97</v>
      </c>
      <c r="J1181" s="4">
        <v>25182.82</v>
      </c>
      <c r="K1181" s="3">
        <v>347</v>
      </c>
      <c r="L1181" s="2" t="s">
        <v>2518</v>
      </c>
      <c r="M1181" s="2" t="s">
        <v>2519</v>
      </c>
      <c r="N1181" s="8">
        <f>IFERROR(G1181/F1181,0)</f>
        <v>7.4446537081127181E-2</v>
      </c>
      <c r="O1181" s="8">
        <f>IFERROR(H1181/G1181,0)</f>
        <v>0.13174224343675417</v>
      </c>
      <c r="P1181" s="4">
        <f>IFERROR(I1181/G1181,0)</f>
        <v>1.3560787589498808</v>
      </c>
      <c r="Q1181" s="4">
        <f>IFERROR(I1181/H1181,0)</f>
        <v>10.293423913043478</v>
      </c>
      <c r="R1181" s="12">
        <f>IFERROR(J1181/I1181,0)</f>
        <v>4.4320578954130347</v>
      </c>
      <c r="S1181" s="7">
        <f>Tabla_nuevas_columnas[[#This Row],[ROAS]]</f>
        <v>4.4320578954130347</v>
      </c>
      <c r="T1181" t="str">
        <f>_xlfn.CONCAT(C1181,"-",D1181)</f>
        <v>Paid Search-Portugal</v>
      </c>
      <c r="U1181">
        <f>YEAR(A1181)</f>
        <v>2025</v>
      </c>
      <c r="V1181">
        <f>MONTH(A1181)</f>
        <v>11</v>
      </c>
      <c r="W1181" t="str">
        <f>PROPER(TEXT(A1181,"mmmm"))</f>
        <v>Noviembre</v>
      </c>
      <c r="X1181" t="str">
        <f>PROPER(TEXT(A1181,"dddd"))</f>
        <v>Miércoles</v>
      </c>
      <c r="Y1181" t="str" cm="1">
        <f t="array" ref="Y1181">_xlfn.IFS(R1181&gt;10,"Excelente",R1181&gt;=5,"Bueno",R1181&gt;=2,"Débil",R1181&lt;2,"Deficiente")</f>
        <v>Débil</v>
      </c>
      <c r="Z1181" t="str">
        <f>IF(AND(R1181&lt;2,Q1181&gt;=100),"Revisar","OK")</f>
        <v>OK</v>
      </c>
      <c r="AA1181" s="55">
        <f>_xlfn.XLOOKUP(C1181,'Preguntas de negocio'!$C$114:$C$119,'Preguntas de negocio'!$D$114:$D$119,0)</f>
        <v>5</v>
      </c>
      <c r="AB1181" s="55">
        <f>VLOOKUP(C1181,'Preguntas de negocio'!$C$121:$D$127,2,FALSE)</f>
        <v>1.1000000000000001</v>
      </c>
    </row>
    <row r="1182" spans="1:28" x14ac:dyDescent="0.3">
      <c r="A1182" s="1">
        <v>45971</v>
      </c>
      <c r="B1182" s="2" t="s">
        <v>2643</v>
      </c>
      <c r="C1182" s="2" t="s">
        <v>2543</v>
      </c>
      <c r="D1182" s="2" t="s">
        <v>2525</v>
      </c>
      <c r="E1182" s="2" t="s">
        <v>2529</v>
      </c>
      <c r="F1182" s="3">
        <v>16226</v>
      </c>
      <c r="G1182" s="3">
        <v>383</v>
      </c>
      <c r="H1182" s="3">
        <v>41</v>
      </c>
      <c r="I1182" s="4">
        <v>464.21</v>
      </c>
      <c r="J1182" s="4">
        <v>2722.42</v>
      </c>
      <c r="K1182" s="3">
        <v>29</v>
      </c>
      <c r="L1182" s="2" t="s">
        <v>2518</v>
      </c>
      <c r="M1182" s="2" t="s">
        <v>2546</v>
      </c>
      <c r="N1182" s="8">
        <f>IFERROR(G1182/F1182,0)</f>
        <v>2.3604092197707382E-2</v>
      </c>
      <c r="O1182" s="8">
        <f>IFERROR(H1182/G1182,0)</f>
        <v>0.10704960835509138</v>
      </c>
      <c r="P1182" s="4">
        <f>IFERROR(I1182/G1182,0)</f>
        <v>1.2120365535248041</v>
      </c>
      <c r="Q1182" s="4">
        <f>IFERROR(I1182/H1182,0)</f>
        <v>11.32219512195122</v>
      </c>
      <c r="R1182" s="12">
        <f>IFERROR(J1182/I1182,0)</f>
        <v>5.864630232007066</v>
      </c>
      <c r="S1182" s="7">
        <f>Tabla_nuevas_columnas[[#This Row],[ROAS]]</f>
        <v>5.864630232007066</v>
      </c>
      <c r="T1182" t="str">
        <f>_xlfn.CONCAT(C1182,"-",D1182)</f>
        <v>Organic Social-Francia</v>
      </c>
      <c r="U1182">
        <f>YEAR(A1182)</f>
        <v>2025</v>
      </c>
      <c r="V1182">
        <f>MONTH(A1182)</f>
        <v>11</v>
      </c>
      <c r="W1182" t="str">
        <f>PROPER(TEXT(A1182,"mmmm"))</f>
        <v>Noviembre</v>
      </c>
      <c r="X1182" t="str">
        <f>PROPER(TEXT(A1182,"dddd"))</f>
        <v>Lunes</v>
      </c>
      <c r="Y1182" t="str" cm="1">
        <f t="array" ref="Y1182">_xlfn.IFS(R1182&gt;10,"Excelente",R1182&gt;=5,"Bueno",R1182&gt;=2,"Débil",R1182&lt;2,"Deficiente")</f>
        <v>Bueno</v>
      </c>
      <c r="Z1182" t="str">
        <f>IF(AND(R1182&lt;2,Q1182&gt;=100),"Revisar","OK")</f>
        <v>OK</v>
      </c>
      <c r="AA1182" s="55">
        <f>_xlfn.XLOOKUP(C1182,'Preguntas de negocio'!$C$114:$C$119,'Preguntas de negocio'!$D$114:$D$119,0)</f>
        <v>4</v>
      </c>
      <c r="AB1182" s="55">
        <f>VLOOKUP(C1182,'Preguntas de negocio'!$C$121:$D$127,2,FALSE)</f>
        <v>0.95</v>
      </c>
    </row>
    <row r="1183" spans="1:28" x14ac:dyDescent="0.3">
      <c r="A1183" s="1">
        <v>46005</v>
      </c>
      <c r="B1183" s="2" t="s">
        <v>2617</v>
      </c>
      <c r="C1183" s="2" t="s">
        <v>2541</v>
      </c>
      <c r="D1183" s="2" t="s">
        <v>2528</v>
      </c>
      <c r="E1183" s="2" t="s">
        <v>2517</v>
      </c>
      <c r="F1183" s="3">
        <v>144983</v>
      </c>
      <c r="G1183" s="3">
        <v>7917</v>
      </c>
      <c r="H1183" s="3">
        <v>1062</v>
      </c>
      <c r="I1183" s="4">
        <v>12398.31</v>
      </c>
      <c r="J1183" s="4">
        <v>203986.06</v>
      </c>
      <c r="K1183" s="3">
        <v>713</v>
      </c>
      <c r="L1183" s="2" t="s">
        <v>2523</v>
      </c>
      <c r="M1183" s="2" t="s">
        <v>2537</v>
      </c>
      <c r="N1183" s="8">
        <f>IFERROR(G1183/F1183,0)</f>
        <v>5.4606402129904884E-2</v>
      </c>
      <c r="O1183" s="8">
        <f>IFERROR(H1183/G1183,0)</f>
        <v>0.13414172034861691</v>
      </c>
      <c r="P1183" s="4">
        <f>IFERROR(I1183/G1183,0)</f>
        <v>1.5660363774156878</v>
      </c>
      <c r="Q1183" s="4">
        <f>IFERROR(I1183/H1183,0)</f>
        <v>11.674491525423729</v>
      </c>
      <c r="R1183" s="12">
        <f>IFERROR(J1183/I1183,0)</f>
        <v>16.452731057700607</v>
      </c>
      <c r="S1183" s="7">
        <f>Tabla_nuevas_columnas[[#This Row],[ROAS]]</f>
        <v>16.452731057700607</v>
      </c>
      <c r="T1183" t="str">
        <f>_xlfn.CONCAT(C1183,"-",D1183)</f>
        <v>Display-España</v>
      </c>
      <c r="U1183">
        <f>YEAR(A1183)</f>
        <v>2025</v>
      </c>
      <c r="V1183">
        <f>MONTH(A1183)</f>
        <v>12</v>
      </c>
      <c r="W1183" t="str">
        <f>PROPER(TEXT(A1183,"mmmm"))</f>
        <v>Diciembre</v>
      </c>
      <c r="X1183" t="str">
        <f>PROPER(TEXT(A1183,"dddd"))</f>
        <v>Domingo</v>
      </c>
      <c r="Y1183" t="str" cm="1">
        <f t="array" ref="Y1183">_xlfn.IFS(R1183&gt;10,"Excelente",R1183&gt;=5,"Bueno",R1183&gt;=2,"Débil",R1183&lt;2,"Deficiente")</f>
        <v>Excelente</v>
      </c>
      <c r="Z1183" t="str">
        <f>IF(AND(R1183&lt;2,Q1183&gt;=100),"Revisar","OK")</f>
        <v>OK</v>
      </c>
      <c r="AA1183" s="55">
        <f>_xlfn.XLOOKUP(C1183,'Preguntas de negocio'!$C$114:$C$119,'Preguntas de negocio'!$D$114:$D$119,0)</f>
        <v>5</v>
      </c>
      <c r="AB1183" s="55">
        <f>VLOOKUP(C1183,'Preguntas de negocio'!$C$121:$D$127,2,FALSE)</f>
        <v>0.5</v>
      </c>
    </row>
    <row r="1184" spans="1:28" x14ac:dyDescent="0.3">
      <c r="A1184" s="1">
        <v>45771</v>
      </c>
      <c r="B1184" s="2" t="s">
        <v>2620</v>
      </c>
      <c r="C1184" s="2" t="s">
        <v>2515</v>
      </c>
      <c r="D1184" s="2" t="s">
        <v>2645</v>
      </c>
      <c r="E1184" s="2" t="s">
        <v>2517</v>
      </c>
      <c r="F1184" s="3">
        <v>29813</v>
      </c>
      <c r="G1184" s="3">
        <v>2481</v>
      </c>
      <c r="H1184" s="3">
        <v>152</v>
      </c>
      <c r="I1184" s="4">
        <v>4984.74</v>
      </c>
      <c r="J1184" s="4">
        <v>28894.43</v>
      </c>
      <c r="K1184" s="3">
        <v>69</v>
      </c>
      <c r="L1184" s="2" t="s">
        <v>2518</v>
      </c>
      <c r="M1184" s="2" t="s">
        <v>2524</v>
      </c>
      <c r="N1184" s="8">
        <f>IFERROR(G1184/F1184,0)</f>
        <v>8.3218730084191464E-2</v>
      </c>
      <c r="O1184" s="8">
        <f>IFERROR(H1184/G1184,0)</f>
        <v>6.1265618702136232E-2</v>
      </c>
      <c r="P1184" s="4">
        <f>IFERROR(I1184/G1184,0)</f>
        <v>2.0091656590084641</v>
      </c>
      <c r="Q1184" s="4">
        <f>IFERROR(I1184/H1184,0)</f>
        <v>32.794342105263155</v>
      </c>
      <c r="R1184" s="12">
        <f>IFERROR(J1184/I1184,0)</f>
        <v>5.7965771534723984</v>
      </c>
      <c r="S1184" s="7">
        <f>Tabla_nuevas_columnas[[#This Row],[ROAS]]</f>
        <v>5.7965771534723984</v>
      </c>
      <c r="T1184" t="str">
        <f>_xlfn.CONCAT(C1184,"-",D1184)</f>
        <v>Email-Por identificar</v>
      </c>
      <c r="U1184">
        <f>YEAR(A1184)</f>
        <v>2025</v>
      </c>
      <c r="V1184">
        <f>MONTH(A1184)</f>
        <v>4</v>
      </c>
      <c r="W1184" t="str">
        <f>PROPER(TEXT(A1184,"mmmm"))</f>
        <v>Abril</v>
      </c>
      <c r="X1184" t="str">
        <f>PROPER(TEXT(A1184,"dddd"))</f>
        <v>Jueves</v>
      </c>
      <c r="Y1184" t="str" cm="1">
        <f t="array" ref="Y1184">_xlfn.IFS(R1184&gt;10,"Excelente",R1184&gt;=5,"Bueno",R1184&gt;=2,"Débil",R1184&lt;2,"Deficiente")</f>
        <v>Bueno</v>
      </c>
      <c r="Z1184" t="str">
        <f>IF(AND(R1184&lt;2,Q1184&gt;=100),"Revisar","OK")</f>
        <v>OK</v>
      </c>
      <c r="AA1184" s="55">
        <f>_xlfn.XLOOKUP(C1184,'Preguntas de negocio'!$C$114:$C$119,'Preguntas de negocio'!$D$114:$D$119,0)</f>
        <v>5.5</v>
      </c>
      <c r="AB1184" s="55">
        <f>VLOOKUP(C1184,'Preguntas de negocio'!$C$121:$D$127,2,FALSE)</f>
        <v>0.65</v>
      </c>
    </row>
    <row r="1185" spans="1:28" x14ac:dyDescent="0.3">
      <c r="A1185" s="1">
        <v>45774</v>
      </c>
      <c r="B1185" s="2" t="s">
        <v>2624</v>
      </c>
      <c r="C1185" s="2" t="s">
        <v>2527</v>
      </c>
      <c r="D1185" s="2" t="s">
        <v>2528</v>
      </c>
      <c r="E1185" s="2" t="s">
        <v>2534</v>
      </c>
      <c r="F1185" s="3">
        <v>12716</v>
      </c>
      <c r="G1185" s="3">
        <v>880</v>
      </c>
      <c r="H1185" s="3">
        <v>75</v>
      </c>
      <c r="I1185" s="4">
        <v>484.18</v>
      </c>
      <c r="J1185" s="4">
        <v>1656.77</v>
      </c>
      <c r="K1185" s="3">
        <v>39</v>
      </c>
      <c r="L1185" s="2" t="s">
        <v>2539</v>
      </c>
      <c r="M1185" s="2" t="s">
        <v>2537</v>
      </c>
      <c r="N1185" s="8">
        <f>IFERROR(G1185/F1185,0)</f>
        <v>6.9204152249134954E-2</v>
      </c>
      <c r="O1185" s="8">
        <f>IFERROR(H1185/G1185,0)</f>
        <v>8.5227272727272721E-2</v>
      </c>
      <c r="P1185" s="4">
        <f>IFERROR(I1185/G1185,0)</f>
        <v>0.55020454545454545</v>
      </c>
      <c r="Q1185" s="4">
        <f>IFERROR(I1185/H1185,0)</f>
        <v>6.4557333333333338</v>
      </c>
      <c r="R1185" s="12">
        <f>IFERROR(J1185/I1185,0)</f>
        <v>3.4218059399396918</v>
      </c>
      <c r="S1185" s="7">
        <f>Tabla_nuevas_columnas[[#This Row],[ROAS]]</f>
        <v>3.4218059399396918</v>
      </c>
      <c r="T1185" t="str">
        <f>_xlfn.CONCAT(C1185,"-",D1185)</f>
        <v>Affiliate-España</v>
      </c>
      <c r="U1185">
        <f>YEAR(A1185)</f>
        <v>2025</v>
      </c>
      <c r="V1185">
        <f>MONTH(A1185)</f>
        <v>4</v>
      </c>
      <c r="W1185" t="str">
        <f>PROPER(TEXT(A1185,"mmmm"))</f>
        <v>Abril</v>
      </c>
      <c r="X1185" t="str">
        <f>PROPER(TEXT(A1185,"dddd"))</f>
        <v>Domingo</v>
      </c>
      <c r="Y1185" t="str" cm="1">
        <f t="array" ref="Y1185">_xlfn.IFS(R1185&gt;10,"Excelente",R1185&gt;=5,"Bueno",R1185&gt;=2,"Débil",R1185&lt;2,"Deficiente")</f>
        <v>Débil</v>
      </c>
      <c r="Z1185" t="str">
        <f>IF(AND(R1185&lt;2,Q1185&gt;=100),"Revisar","OK")</f>
        <v>OK</v>
      </c>
      <c r="AA1185" s="55">
        <f>_xlfn.XLOOKUP(C1185,'Preguntas de negocio'!$C$114:$C$119,'Preguntas de negocio'!$D$114:$D$119,0)</f>
        <v>4.5</v>
      </c>
      <c r="AB1185" s="55">
        <f>VLOOKUP(C1185,'Preguntas de negocio'!$C$121:$D$127,2,FALSE)</f>
        <v>0.35</v>
      </c>
    </row>
    <row r="1186" spans="1:28" x14ac:dyDescent="0.3">
      <c r="A1186" s="1">
        <v>45769</v>
      </c>
      <c r="B1186" s="2" t="s">
        <v>2616</v>
      </c>
      <c r="C1186" s="2" t="s">
        <v>2527</v>
      </c>
      <c r="D1186" s="2" t="s">
        <v>2522</v>
      </c>
      <c r="E1186" s="2" t="s">
        <v>2534</v>
      </c>
      <c r="F1186" s="3">
        <v>48244</v>
      </c>
      <c r="G1186" s="3">
        <v>359</v>
      </c>
      <c r="H1186" s="3">
        <v>35</v>
      </c>
      <c r="I1186" s="4">
        <v>84.21</v>
      </c>
      <c r="J1186" s="4">
        <v>3302.56</v>
      </c>
      <c r="K1186" s="3">
        <v>27</v>
      </c>
      <c r="L1186" s="2" t="s">
        <v>2539</v>
      </c>
      <c r="M1186" s="2" t="s">
        <v>2524</v>
      </c>
      <c r="N1186" s="8">
        <f>IFERROR(G1186/F1186,0)</f>
        <v>7.4413398557333556E-3</v>
      </c>
      <c r="O1186" s="8">
        <f>IFERROR(H1186/G1186,0)</f>
        <v>9.7493036211699163E-2</v>
      </c>
      <c r="P1186" s="4">
        <f>IFERROR(I1186/G1186,0)</f>
        <v>0.23456824512534818</v>
      </c>
      <c r="Q1186" s="4">
        <f>IFERROR(I1186/H1186,0)</f>
        <v>2.4059999999999997</v>
      </c>
      <c r="R1186" s="12">
        <f>IFERROR(J1186/I1186,0)</f>
        <v>39.218145113406962</v>
      </c>
      <c r="S1186" s="7">
        <f>Tabla_nuevas_columnas[[#This Row],[ROAS]]</f>
        <v>39.218145113406962</v>
      </c>
      <c r="T1186" t="str">
        <f>_xlfn.CONCAT(C1186,"-",D1186)</f>
        <v>Affiliate-Italia</v>
      </c>
      <c r="U1186">
        <f>YEAR(A1186)</f>
        <v>2025</v>
      </c>
      <c r="V1186">
        <f>MONTH(A1186)</f>
        <v>4</v>
      </c>
      <c r="W1186" t="str">
        <f>PROPER(TEXT(A1186,"mmmm"))</f>
        <v>Abril</v>
      </c>
      <c r="X1186" t="str">
        <f>PROPER(TEXT(A1186,"dddd"))</f>
        <v>Martes</v>
      </c>
      <c r="Y1186" t="str" cm="1">
        <f t="array" ref="Y1186">_xlfn.IFS(R1186&gt;10,"Excelente",R1186&gt;=5,"Bueno",R1186&gt;=2,"Débil",R1186&lt;2,"Deficiente")</f>
        <v>Excelente</v>
      </c>
      <c r="Z1186" t="str">
        <f>IF(AND(R1186&lt;2,Q1186&gt;=100),"Revisar","OK")</f>
        <v>OK</v>
      </c>
      <c r="AA1186" s="55">
        <f>_xlfn.XLOOKUP(C1186,'Preguntas de negocio'!$C$114:$C$119,'Preguntas de negocio'!$D$114:$D$119,0)</f>
        <v>4.5</v>
      </c>
      <c r="AB1186" s="55">
        <f>VLOOKUP(C1186,'Preguntas de negocio'!$C$121:$D$127,2,FALSE)</f>
        <v>0.35</v>
      </c>
    </row>
    <row r="1187" spans="1:28" x14ac:dyDescent="0.3">
      <c r="A1187" s="1">
        <v>45902</v>
      </c>
      <c r="B1187" s="2" t="s">
        <v>2630</v>
      </c>
      <c r="C1187" s="2" t="s">
        <v>2521</v>
      </c>
      <c r="D1187" s="2" t="s">
        <v>2528</v>
      </c>
      <c r="E1187" s="2" t="s">
        <v>2529</v>
      </c>
      <c r="F1187" s="3">
        <v>138924</v>
      </c>
      <c r="G1187" s="3">
        <v>3284</v>
      </c>
      <c r="H1187" s="3">
        <v>318</v>
      </c>
      <c r="I1187" s="4">
        <v>1529.57</v>
      </c>
      <c r="J1187" s="4">
        <v>62508.99</v>
      </c>
      <c r="K1187" s="3">
        <v>247</v>
      </c>
      <c r="L1187" s="2" t="s">
        <v>2523</v>
      </c>
      <c r="M1187" s="2" t="s">
        <v>2537</v>
      </c>
      <c r="N1187" s="8">
        <f>IFERROR(G1187/F1187,0)</f>
        <v>2.3638824105266187E-2</v>
      </c>
      <c r="O1187" s="8">
        <f>IFERROR(H1187/G1187,0)</f>
        <v>9.6833130328867228E-2</v>
      </c>
      <c r="P1187" s="4">
        <f>IFERROR(I1187/G1187,0)</f>
        <v>0.46576431181485989</v>
      </c>
      <c r="Q1187" s="4">
        <f>IFERROR(I1187/H1187,0)</f>
        <v>4.809968553459119</v>
      </c>
      <c r="R1187" s="12">
        <f>IFERROR(J1187/I1187,0)</f>
        <v>40.86703452604327</v>
      </c>
      <c r="S1187" s="7">
        <f>Tabla_nuevas_columnas[[#This Row],[ROAS]]</f>
        <v>40.86703452604327</v>
      </c>
      <c r="T1187" t="str">
        <f>_xlfn.CONCAT(C1187,"-",D1187)</f>
        <v>Paid Search-España</v>
      </c>
      <c r="U1187">
        <f>YEAR(A1187)</f>
        <v>2025</v>
      </c>
      <c r="V1187">
        <f>MONTH(A1187)</f>
        <v>9</v>
      </c>
      <c r="W1187" t="str">
        <f>PROPER(TEXT(A1187,"mmmm"))</f>
        <v>Septiembre</v>
      </c>
      <c r="X1187" t="str">
        <f>PROPER(TEXT(A1187,"dddd"))</f>
        <v>Martes</v>
      </c>
      <c r="Y1187" t="str" cm="1">
        <f t="array" ref="Y1187">_xlfn.IFS(R1187&gt;10,"Excelente",R1187&gt;=5,"Bueno",R1187&gt;=2,"Débil",R1187&lt;2,"Deficiente")</f>
        <v>Excelente</v>
      </c>
      <c r="Z1187" t="str">
        <f>IF(AND(R1187&lt;2,Q1187&gt;=100),"Revisar","OK")</f>
        <v>OK</v>
      </c>
      <c r="AA1187" s="55">
        <f>_xlfn.XLOOKUP(C1187,'Preguntas de negocio'!$C$114:$C$119,'Preguntas de negocio'!$D$114:$D$119,0)</f>
        <v>5</v>
      </c>
      <c r="AB1187" s="55">
        <f>VLOOKUP(C1187,'Preguntas de negocio'!$C$121:$D$127,2,FALSE)</f>
        <v>1.1000000000000001</v>
      </c>
    </row>
    <row r="1188" spans="1:28" x14ac:dyDescent="0.3">
      <c r="A1188" s="1">
        <v>45703</v>
      </c>
      <c r="B1188" s="2" t="s">
        <v>2619</v>
      </c>
      <c r="C1188" s="2" t="s">
        <v>2515</v>
      </c>
      <c r="D1188" s="2" t="s">
        <v>2516</v>
      </c>
      <c r="E1188" s="2" t="s">
        <v>2517</v>
      </c>
      <c r="F1188" s="3">
        <v>50105</v>
      </c>
      <c r="G1188" s="3">
        <v>1587</v>
      </c>
      <c r="H1188" s="3">
        <v>18</v>
      </c>
      <c r="I1188" s="4">
        <v>1904.24</v>
      </c>
      <c r="J1188" s="4">
        <v>359.68</v>
      </c>
      <c r="K1188" s="3">
        <v>10</v>
      </c>
      <c r="L1188" s="2" t="s">
        <v>2536</v>
      </c>
      <c r="M1188" s="2" t="s">
        <v>2524</v>
      </c>
      <c r="N1188" s="8">
        <f>IFERROR(G1188/F1188,0)</f>
        <v>3.1673485680071847E-2</v>
      </c>
      <c r="O1188" s="8">
        <f>IFERROR(H1188/G1188,0)</f>
        <v>1.1342155009451797E-2</v>
      </c>
      <c r="P1188" s="4">
        <f>IFERROR(I1188/G1188,0)</f>
        <v>1.1998991808443604</v>
      </c>
      <c r="Q1188" s="4">
        <f>IFERROR(I1188/H1188,0)</f>
        <v>105.79111111111111</v>
      </c>
      <c r="R1188" s="12">
        <f>IFERROR(J1188/I1188,0)</f>
        <v>0.18888375414863673</v>
      </c>
      <c r="S1188" s="7">
        <f>Tabla_nuevas_columnas[[#This Row],[ROAS]]</f>
        <v>0.18888375414863673</v>
      </c>
      <c r="T1188" t="str">
        <f>_xlfn.CONCAT(C1188,"-",D1188)</f>
        <v>Email-México</v>
      </c>
      <c r="U1188">
        <f>YEAR(A1188)</f>
        <v>2025</v>
      </c>
      <c r="V1188">
        <f>MONTH(A1188)</f>
        <v>2</v>
      </c>
      <c r="W1188" t="str">
        <f>PROPER(TEXT(A1188,"mmmm"))</f>
        <v>Febrero</v>
      </c>
      <c r="X1188" t="str">
        <f>PROPER(TEXT(A1188,"dddd"))</f>
        <v>Sábado</v>
      </c>
      <c r="Y1188" t="str" cm="1">
        <f t="array" ref="Y1188">_xlfn.IFS(R1188&gt;10,"Excelente",R1188&gt;=5,"Bueno",R1188&gt;=2,"Débil",R1188&lt;2,"Deficiente")</f>
        <v>Deficiente</v>
      </c>
      <c r="Z1188" t="str">
        <f>IF(AND(R1188&lt;2,Q1188&gt;=100),"Revisar","OK")</f>
        <v>Revisar</v>
      </c>
      <c r="AA1188" s="55">
        <f>_xlfn.XLOOKUP(C1188,'Preguntas de negocio'!$C$114:$C$119,'Preguntas de negocio'!$D$114:$D$119,0)</f>
        <v>5.5</v>
      </c>
      <c r="AB1188" s="55">
        <f>VLOOKUP(C1188,'Preguntas de negocio'!$C$121:$D$127,2,FALSE)</f>
        <v>0.65</v>
      </c>
    </row>
    <row r="1189" spans="1:28" x14ac:dyDescent="0.3">
      <c r="A1189" s="1">
        <v>45825</v>
      </c>
      <c r="B1189" s="2" t="s">
        <v>2634</v>
      </c>
      <c r="C1189" s="2" t="s">
        <v>2543</v>
      </c>
      <c r="D1189" s="2" t="s">
        <v>2516</v>
      </c>
      <c r="E1189" s="2" t="s">
        <v>2517</v>
      </c>
      <c r="F1189" s="3">
        <v>130793</v>
      </c>
      <c r="G1189" s="3">
        <v>2611</v>
      </c>
      <c r="H1189" s="3">
        <v>192</v>
      </c>
      <c r="I1189" s="4">
        <v>1907.04</v>
      </c>
      <c r="J1189" s="4">
        <v>27356.32</v>
      </c>
      <c r="K1189" s="3">
        <v>116</v>
      </c>
      <c r="L1189" s="2" t="s">
        <v>2523</v>
      </c>
      <c r="M1189" s="2" t="s">
        <v>2524</v>
      </c>
      <c r="N1189" s="8">
        <f>IFERROR(G1189/F1189,0)</f>
        <v>1.9962842048121841E-2</v>
      </c>
      <c r="O1189" s="8">
        <f>IFERROR(H1189/G1189,0)</f>
        <v>7.3535044044427428E-2</v>
      </c>
      <c r="P1189" s="4">
        <f>IFERROR(I1189/G1189,0)</f>
        <v>0.73038682497127538</v>
      </c>
      <c r="Q1189" s="4">
        <f>IFERROR(I1189/H1189,0)</f>
        <v>9.9324999999999992</v>
      </c>
      <c r="R1189" s="12">
        <f>IFERROR(J1189/I1189,0)</f>
        <v>14.344911485862909</v>
      </c>
      <c r="S1189" s="7">
        <f>Tabla_nuevas_columnas[[#This Row],[ROAS]]</f>
        <v>14.344911485862909</v>
      </c>
      <c r="T1189" t="str">
        <f>_xlfn.CONCAT(C1189,"-",D1189)</f>
        <v>Organic Social-México</v>
      </c>
      <c r="U1189">
        <f>YEAR(A1189)</f>
        <v>2025</v>
      </c>
      <c r="V1189">
        <f>MONTH(A1189)</f>
        <v>6</v>
      </c>
      <c r="W1189" t="str">
        <f>PROPER(TEXT(A1189,"mmmm"))</f>
        <v>Junio</v>
      </c>
      <c r="X1189" t="str">
        <f>PROPER(TEXT(A1189,"dddd"))</f>
        <v>Martes</v>
      </c>
      <c r="Y1189" t="str" cm="1">
        <f t="array" ref="Y1189">_xlfn.IFS(R1189&gt;10,"Excelente",R1189&gt;=5,"Bueno",R1189&gt;=2,"Débil",R1189&lt;2,"Deficiente")</f>
        <v>Excelente</v>
      </c>
      <c r="Z1189" t="str">
        <f>IF(AND(R1189&lt;2,Q1189&gt;=100),"Revisar","OK")</f>
        <v>OK</v>
      </c>
      <c r="AA1189" s="55">
        <f>_xlfn.XLOOKUP(C1189,'Preguntas de negocio'!$C$114:$C$119,'Preguntas de negocio'!$D$114:$D$119,0)</f>
        <v>4</v>
      </c>
      <c r="AB1189" s="55">
        <f>VLOOKUP(C1189,'Preguntas de negocio'!$C$121:$D$127,2,FALSE)</f>
        <v>0.95</v>
      </c>
    </row>
    <row r="1190" spans="1:28" x14ac:dyDescent="0.3">
      <c r="A1190" s="1">
        <v>45758</v>
      </c>
      <c r="B1190" s="2" t="s">
        <v>2643</v>
      </c>
      <c r="C1190" s="2" t="s">
        <v>2527</v>
      </c>
      <c r="D1190" s="2" t="s">
        <v>2528</v>
      </c>
      <c r="E1190" s="2" t="s">
        <v>2529</v>
      </c>
      <c r="F1190" s="3">
        <v>116439</v>
      </c>
      <c r="G1190" s="3">
        <v>2377</v>
      </c>
      <c r="H1190" s="3">
        <v>247</v>
      </c>
      <c r="I1190" s="4">
        <v>3456.41</v>
      </c>
      <c r="J1190" s="4">
        <v>29509.75</v>
      </c>
      <c r="K1190" s="3">
        <v>173</v>
      </c>
      <c r="L1190" s="2" t="s">
        <v>2523</v>
      </c>
      <c r="M1190" s="2" t="s">
        <v>2546</v>
      </c>
      <c r="N1190" s="8">
        <f>IFERROR(G1190/F1190,0)</f>
        <v>2.0414122416028992E-2</v>
      </c>
      <c r="O1190" s="8">
        <f>IFERROR(H1190/G1190,0)</f>
        <v>0.10391249474127051</v>
      </c>
      <c r="P1190" s="4">
        <f>IFERROR(I1190/G1190,0)</f>
        <v>1.4541060159865375</v>
      </c>
      <c r="Q1190" s="4">
        <f>IFERROR(I1190/H1190,0)</f>
        <v>13.993562753036437</v>
      </c>
      <c r="R1190" s="12">
        <f>IFERROR(J1190/I1190,0)</f>
        <v>8.5376879478997001</v>
      </c>
      <c r="S1190" s="7">
        <f>Tabla_nuevas_columnas[[#This Row],[ROAS]]</f>
        <v>8.5376879478997001</v>
      </c>
      <c r="T1190" t="str">
        <f>_xlfn.CONCAT(C1190,"-",D1190)</f>
        <v>Affiliate-España</v>
      </c>
      <c r="U1190">
        <f>YEAR(A1190)</f>
        <v>2025</v>
      </c>
      <c r="V1190">
        <f>MONTH(A1190)</f>
        <v>4</v>
      </c>
      <c r="W1190" t="str">
        <f>PROPER(TEXT(A1190,"mmmm"))</f>
        <v>Abril</v>
      </c>
      <c r="X1190" t="str">
        <f>PROPER(TEXT(A1190,"dddd"))</f>
        <v>Viernes</v>
      </c>
      <c r="Y1190" t="str" cm="1">
        <f t="array" ref="Y1190">_xlfn.IFS(R1190&gt;10,"Excelente",R1190&gt;=5,"Bueno",R1190&gt;=2,"Débil",R1190&lt;2,"Deficiente")</f>
        <v>Bueno</v>
      </c>
      <c r="Z1190" t="str">
        <f>IF(AND(R1190&lt;2,Q1190&gt;=100),"Revisar","OK")</f>
        <v>OK</v>
      </c>
      <c r="AA1190" s="55">
        <f>_xlfn.XLOOKUP(C1190,'Preguntas de negocio'!$C$114:$C$119,'Preguntas de negocio'!$D$114:$D$119,0)</f>
        <v>4.5</v>
      </c>
      <c r="AB1190" s="55">
        <f>VLOOKUP(C1190,'Preguntas de negocio'!$C$121:$D$127,2,FALSE)</f>
        <v>0.35</v>
      </c>
    </row>
    <row r="1191" spans="1:28" x14ac:dyDescent="0.3">
      <c r="A1191" s="1">
        <v>45935</v>
      </c>
      <c r="B1191" s="2" t="s">
        <v>2635</v>
      </c>
      <c r="C1191" s="2" t="s">
        <v>2521</v>
      </c>
      <c r="D1191" s="2" t="s">
        <v>2528</v>
      </c>
      <c r="E1191" s="2" t="s">
        <v>2529</v>
      </c>
      <c r="F1191" s="3">
        <v>60737</v>
      </c>
      <c r="G1191" s="3">
        <v>3294</v>
      </c>
      <c r="H1191" s="3">
        <v>284</v>
      </c>
      <c r="I1191" s="4">
        <v>3087.95</v>
      </c>
      <c r="J1191" s="4">
        <v>21257.72</v>
      </c>
      <c r="K1191" s="3">
        <v>195</v>
      </c>
      <c r="L1191" s="2" t="s">
        <v>2518</v>
      </c>
      <c r="M1191" s="2" t="s">
        <v>2537</v>
      </c>
      <c r="N1191" s="8">
        <f>IFERROR(G1191/F1191,0)</f>
        <v>5.4233827815005679E-2</v>
      </c>
      <c r="O1191" s="8">
        <f>IFERROR(H1191/G1191,0)</f>
        <v>8.6217364905889493E-2</v>
      </c>
      <c r="P1191" s="4">
        <f>IFERROR(I1191/G1191,0)</f>
        <v>0.93744687310261077</v>
      </c>
      <c r="Q1191" s="4">
        <f>IFERROR(I1191/H1191,0)</f>
        <v>10.873063380281689</v>
      </c>
      <c r="R1191" s="12">
        <f>IFERROR(J1191/I1191,0)</f>
        <v>6.8840881490956791</v>
      </c>
      <c r="S1191" s="7">
        <f>Tabla_nuevas_columnas[[#This Row],[ROAS]]</f>
        <v>6.8840881490956791</v>
      </c>
      <c r="T1191" t="str">
        <f>_xlfn.CONCAT(C1191,"-",D1191)</f>
        <v>Paid Search-España</v>
      </c>
      <c r="U1191">
        <f>YEAR(A1191)</f>
        <v>2025</v>
      </c>
      <c r="V1191">
        <f>MONTH(A1191)</f>
        <v>10</v>
      </c>
      <c r="W1191" t="str">
        <f>PROPER(TEXT(A1191,"mmmm"))</f>
        <v>Octubre</v>
      </c>
      <c r="X1191" t="str">
        <f>PROPER(TEXT(A1191,"dddd"))</f>
        <v>Domingo</v>
      </c>
      <c r="Y1191" t="str" cm="1">
        <f t="array" ref="Y1191">_xlfn.IFS(R1191&gt;10,"Excelente",R1191&gt;=5,"Bueno",R1191&gt;=2,"Débil",R1191&lt;2,"Deficiente")</f>
        <v>Bueno</v>
      </c>
      <c r="Z1191" t="str">
        <f>IF(AND(R1191&lt;2,Q1191&gt;=100),"Revisar","OK")</f>
        <v>OK</v>
      </c>
      <c r="AA1191" s="55">
        <f>_xlfn.XLOOKUP(C1191,'Preguntas de negocio'!$C$114:$C$119,'Preguntas de negocio'!$D$114:$D$119,0)</f>
        <v>5</v>
      </c>
      <c r="AB1191" s="55">
        <f>VLOOKUP(C1191,'Preguntas de negocio'!$C$121:$D$127,2,FALSE)</f>
        <v>1.1000000000000001</v>
      </c>
    </row>
    <row r="1192" spans="1:28" x14ac:dyDescent="0.3">
      <c r="A1192" s="1">
        <v>45944</v>
      </c>
      <c r="B1192" s="2" t="s">
        <v>2631</v>
      </c>
      <c r="C1192" s="2" t="s">
        <v>2527</v>
      </c>
      <c r="D1192" s="2" t="s">
        <v>2522</v>
      </c>
      <c r="E1192" s="2" t="s">
        <v>2517</v>
      </c>
      <c r="F1192" s="3">
        <v>43828</v>
      </c>
      <c r="G1192" s="3">
        <v>499</v>
      </c>
      <c r="H1192" s="3">
        <v>51</v>
      </c>
      <c r="I1192" s="4">
        <v>737.74</v>
      </c>
      <c r="J1192" s="4">
        <v>7852.37</v>
      </c>
      <c r="K1192" s="3">
        <v>41</v>
      </c>
      <c r="L1192" s="2" t="s">
        <v>2536</v>
      </c>
      <c r="M1192" s="2" t="s">
        <v>2524</v>
      </c>
      <c r="N1192" s="8">
        <f>IFERROR(G1192/F1192,0)</f>
        <v>1.1385415715980651E-2</v>
      </c>
      <c r="O1192" s="8">
        <f>IFERROR(H1192/G1192,0)</f>
        <v>0.10220440881763528</v>
      </c>
      <c r="P1192" s="4">
        <f>IFERROR(I1192/G1192,0)</f>
        <v>1.4784368737474951</v>
      </c>
      <c r="Q1192" s="4">
        <f>IFERROR(I1192/H1192,0)</f>
        <v>14.465490196078431</v>
      </c>
      <c r="R1192" s="12">
        <f>IFERROR(J1192/I1192,0)</f>
        <v>10.643817605118334</v>
      </c>
      <c r="S1192" s="7">
        <f>Tabla_nuevas_columnas[[#This Row],[ROAS]]</f>
        <v>10.643817605118334</v>
      </c>
      <c r="T1192" t="str">
        <f>_xlfn.CONCAT(C1192,"-",D1192)</f>
        <v>Affiliate-Italia</v>
      </c>
      <c r="U1192">
        <f>YEAR(A1192)</f>
        <v>2025</v>
      </c>
      <c r="V1192">
        <f>MONTH(A1192)</f>
        <v>10</v>
      </c>
      <c r="W1192" t="str">
        <f>PROPER(TEXT(A1192,"mmmm"))</f>
        <v>Octubre</v>
      </c>
      <c r="X1192" t="str">
        <f>PROPER(TEXT(A1192,"dddd"))</f>
        <v>Martes</v>
      </c>
      <c r="Y1192" t="str" cm="1">
        <f t="array" ref="Y1192">_xlfn.IFS(R1192&gt;10,"Excelente",R1192&gt;=5,"Bueno",R1192&gt;=2,"Débil",R1192&lt;2,"Deficiente")</f>
        <v>Excelente</v>
      </c>
      <c r="Z1192" t="str">
        <f>IF(AND(R1192&lt;2,Q1192&gt;=100),"Revisar","OK")</f>
        <v>OK</v>
      </c>
      <c r="AA1192" s="55">
        <f>_xlfn.XLOOKUP(C1192,'Preguntas de negocio'!$C$114:$C$119,'Preguntas de negocio'!$D$114:$D$119,0)</f>
        <v>4.5</v>
      </c>
      <c r="AB1192" s="55">
        <f>VLOOKUP(C1192,'Preguntas de negocio'!$C$121:$D$127,2,FALSE)</f>
        <v>0.35</v>
      </c>
    </row>
    <row r="1193" spans="1:28" x14ac:dyDescent="0.3">
      <c r="A1193" s="1">
        <v>45754</v>
      </c>
      <c r="B1193" s="2" t="s">
        <v>2618</v>
      </c>
      <c r="C1193" s="2" t="s">
        <v>2533</v>
      </c>
      <c r="D1193" s="2" t="s">
        <v>2528</v>
      </c>
      <c r="E1193" s="2" t="s">
        <v>2517</v>
      </c>
      <c r="F1193" s="3">
        <v>3144</v>
      </c>
      <c r="G1193" s="3">
        <v>77</v>
      </c>
      <c r="H1193" s="3">
        <v>0</v>
      </c>
      <c r="I1193" s="4">
        <v>135.29</v>
      </c>
      <c r="J1193" s="4">
        <v>0</v>
      </c>
      <c r="K1193" s="3">
        <v>0</v>
      </c>
      <c r="L1193" s="2" t="s">
        <v>2518</v>
      </c>
      <c r="M1193" s="2" t="s">
        <v>2537</v>
      </c>
      <c r="N1193" s="8">
        <f>IFERROR(G1193/F1193,0)</f>
        <v>2.4491094147582698E-2</v>
      </c>
      <c r="O1193" s="8">
        <f>IFERROR(H1193/G1193,0)</f>
        <v>0</v>
      </c>
      <c r="P1193" s="4">
        <f>IFERROR(I1193/G1193,0)</f>
        <v>1.7570129870129869</v>
      </c>
      <c r="Q1193" s="4">
        <f>IFERROR(I1193/H1193,0)</f>
        <v>0</v>
      </c>
      <c r="R1193" s="12">
        <f>IFERROR(J1193/I1193,0)</f>
        <v>0</v>
      </c>
      <c r="S1193" s="7">
        <f>Tabla_nuevas_columnas[[#This Row],[ROAS]]</f>
        <v>0</v>
      </c>
      <c r="T1193" t="str">
        <f>_xlfn.CONCAT(C1193,"-",D1193)</f>
        <v>Paid Social-España</v>
      </c>
      <c r="U1193">
        <f>YEAR(A1193)</f>
        <v>2025</v>
      </c>
      <c r="V1193">
        <f>MONTH(A1193)</f>
        <v>4</v>
      </c>
      <c r="W1193" t="str">
        <f>PROPER(TEXT(A1193,"mmmm"))</f>
        <v>Abril</v>
      </c>
      <c r="X1193" t="str">
        <f>PROPER(TEXT(A1193,"dddd"))</f>
        <v>Lunes</v>
      </c>
      <c r="Y1193" t="str" cm="1">
        <f t="array" ref="Y1193">_xlfn.IFS(R1193&gt;10,"Excelente",R1193&gt;=5,"Bueno",R1193&gt;=2,"Débil",R1193&lt;2,"Deficiente")</f>
        <v>Deficiente</v>
      </c>
      <c r="Z1193" t="str">
        <f>IF(AND(R1193&lt;2,Q1193&gt;=100),"Revisar","OK")</f>
        <v>OK</v>
      </c>
      <c r="AA1193" s="55">
        <f>_xlfn.XLOOKUP(C1193,'Preguntas de negocio'!$C$114:$C$119,'Preguntas de negocio'!$D$114:$D$119,0)</f>
        <v>6</v>
      </c>
      <c r="AB1193" s="55">
        <f>VLOOKUP(C1193,'Preguntas de negocio'!$C$121:$D$127,2,FALSE)</f>
        <v>0.8</v>
      </c>
    </row>
    <row r="1194" spans="1:28" x14ac:dyDescent="0.3">
      <c r="A1194" s="1">
        <v>45937</v>
      </c>
      <c r="B1194" s="2" t="s">
        <v>2621</v>
      </c>
      <c r="C1194" s="2" t="s">
        <v>2521</v>
      </c>
      <c r="D1194" s="2" t="s">
        <v>2528</v>
      </c>
      <c r="E1194" s="2" t="s">
        <v>2529</v>
      </c>
      <c r="F1194" s="3">
        <v>109721</v>
      </c>
      <c r="G1194" s="3">
        <v>3385</v>
      </c>
      <c r="H1194" s="3">
        <v>233</v>
      </c>
      <c r="I1194" s="4">
        <v>2316.64</v>
      </c>
      <c r="J1194" s="4">
        <v>38486.129999999997</v>
      </c>
      <c r="K1194" s="3">
        <v>151</v>
      </c>
      <c r="L1194" s="2" t="s">
        <v>2518</v>
      </c>
      <c r="M1194" s="2" t="s">
        <v>2526</v>
      </c>
      <c r="N1194" s="8">
        <f>IFERROR(G1194/F1194,0)</f>
        <v>3.0850976567840249E-2</v>
      </c>
      <c r="O1194" s="8">
        <f>IFERROR(H1194/G1194,0)</f>
        <v>6.8833087149187594E-2</v>
      </c>
      <c r="P1194" s="4">
        <f>IFERROR(I1194/G1194,0)</f>
        <v>0.68438404726735591</v>
      </c>
      <c r="Q1194" s="4">
        <f>IFERROR(I1194/H1194,0)</f>
        <v>9.9426609442060077</v>
      </c>
      <c r="R1194" s="12">
        <f>IFERROR(J1194/I1194,0)</f>
        <v>16.612909213343464</v>
      </c>
      <c r="S1194" s="7">
        <f>Tabla_nuevas_columnas[[#This Row],[ROAS]]</f>
        <v>16.612909213343464</v>
      </c>
      <c r="T1194" t="str">
        <f>_xlfn.CONCAT(C1194,"-",D1194)</f>
        <v>Paid Search-España</v>
      </c>
      <c r="U1194">
        <f>YEAR(A1194)</f>
        <v>2025</v>
      </c>
      <c r="V1194">
        <f>MONTH(A1194)</f>
        <v>10</v>
      </c>
      <c r="W1194" t="str">
        <f>PROPER(TEXT(A1194,"mmmm"))</f>
        <v>Octubre</v>
      </c>
      <c r="X1194" t="str">
        <f>PROPER(TEXT(A1194,"dddd"))</f>
        <v>Martes</v>
      </c>
      <c r="Y1194" t="str" cm="1">
        <f t="array" ref="Y1194">_xlfn.IFS(R1194&gt;10,"Excelente",R1194&gt;=5,"Bueno",R1194&gt;=2,"Débil",R1194&lt;2,"Deficiente")</f>
        <v>Excelente</v>
      </c>
      <c r="Z1194" t="str">
        <f>IF(AND(R1194&lt;2,Q1194&gt;=100),"Revisar","OK")</f>
        <v>OK</v>
      </c>
      <c r="AA1194" s="55">
        <f>_xlfn.XLOOKUP(C1194,'Preguntas de negocio'!$C$114:$C$119,'Preguntas de negocio'!$D$114:$D$119,0)</f>
        <v>5</v>
      </c>
      <c r="AB1194" s="55">
        <f>VLOOKUP(C1194,'Preguntas de negocio'!$C$121:$D$127,2,FALSE)</f>
        <v>1.1000000000000001</v>
      </c>
    </row>
    <row r="1195" spans="1:28" x14ac:dyDescent="0.3">
      <c r="A1195" s="1">
        <v>46005</v>
      </c>
      <c r="B1195" s="2" t="s">
        <v>2621</v>
      </c>
      <c r="C1195" s="2" t="s">
        <v>2533</v>
      </c>
      <c r="D1195" s="2" t="s">
        <v>2516</v>
      </c>
      <c r="E1195" s="2" t="s">
        <v>2517</v>
      </c>
      <c r="F1195" s="3">
        <v>89894</v>
      </c>
      <c r="G1195" s="3">
        <v>6632</v>
      </c>
      <c r="H1195" s="3">
        <v>765</v>
      </c>
      <c r="I1195" s="4">
        <v>1540.4</v>
      </c>
      <c r="J1195" s="4">
        <v>68429.86</v>
      </c>
      <c r="K1195" s="3">
        <v>379</v>
      </c>
      <c r="L1195" s="2" t="s">
        <v>2536</v>
      </c>
      <c r="M1195" s="2" t="s">
        <v>2537</v>
      </c>
      <c r="N1195" s="8">
        <f>IFERROR(G1195/F1195,0)</f>
        <v>7.3775780363539281E-2</v>
      </c>
      <c r="O1195" s="8">
        <f>IFERROR(H1195/G1195,0)</f>
        <v>0.11534981905910736</v>
      </c>
      <c r="P1195" s="4">
        <f>IFERROR(I1195/G1195,0)</f>
        <v>0.23226779252110979</v>
      </c>
      <c r="Q1195" s="4">
        <f>IFERROR(I1195/H1195,0)</f>
        <v>2.0135947712418303</v>
      </c>
      <c r="R1195" s="12">
        <f>IFERROR(J1195/I1195,0)</f>
        <v>44.423435471306149</v>
      </c>
      <c r="S1195" s="7">
        <f>Tabla_nuevas_columnas[[#This Row],[ROAS]]</f>
        <v>44.423435471306149</v>
      </c>
      <c r="T1195" t="str">
        <f>_xlfn.CONCAT(C1195,"-",D1195)</f>
        <v>Paid Social-México</v>
      </c>
      <c r="U1195">
        <f>YEAR(A1195)</f>
        <v>2025</v>
      </c>
      <c r="V1195">
        <f>MONTH(A1195)</f>
        <v>12</v>
      </c>
      <c r="W1195" t="str">
        <f>PROPER(TEXT(A1195,"mmmm"))</f>
        <v>Diciembre</v>
      </c>
      <c r="X1195" t="str">
        <f>PROPER(TEXT(A1195,"dddd"))</f>
        <v>Domingo</v>
      </c>
      <c r="Y1195" t="str" cm="1">
        <f t="array" ref="Y1195">_xlfn.IFS(R1195&gt;10,"Excelente",R1195&gt;=5,"Bueno",R1195&gt;=2,"Débil",R1195&lt;2,"Deficiente")</f>
        <v>Excelente</v>
      </c>
      <c r="Z1195" t="str">
        <f>IF(AND(R1195&lt;2,Q1195&gt;=100),"Revisar","OK")</f>
        <v>OK</v>
      </c>
      <c r="AA1195" s="55">
        <f>_xlfn.XLOOKUP(C1195,'Preguntas de negocio'!$C$114:$C$119,'Preguntas de negocio'!$D$114:$D$119,0)</f>
        <v>6</v>
      </c>
      <c r="AB1195" s="55">
        <f>VLOOKUP(C1195,'Preguntas de negocio'!$C$121:$D$127,2,FALSE)</f>
        <v>0.8</v>
      </c>
    </row>
    <row r="1196" spans="1:28" x14ac:dyDescent="0.3">
      <c r="A1196" s="1">
        <v>45988</v>
      </c>
      <c r="B1196" s="2" t="s">
        <v>2617</v>
      </c>
      <c r="C1196" s="2" t="s">
        <v>2533</v>
      </c>
      <c r="D1196" s="2" t="s">
        <v>2516</v>
      </c>
      <c r="E1196" s="2" t="s">
        <v>2517</v>
      </c>
      <c r="F1196" s="3">
        <v>48189</v>
      </c>
      <c r="G1196" s="3">
        <v>1634</v>
      </c>
      <c r="H1196" s="3">
        <v>79</v>
      </c>
      <c r="I1196" s="4">
        <v>1261.92</v>
      </c>
      <c r="J1196" s="4">
        <v>4345.9399999999996</v>
      </c>
      <c r="K1196" s="3">
        <v>61</v>
      </c>
      <c r="L1196" s="2" t="s">
        <v>2536</v>
      </c>
      <c r="M1196" s="2" t="s">
        <v>2519</v>
      </c>
      <c r="N1196" s="8">
        <f>IFERROR(G1196/F1196,0)</f>
        <v>3.3908153312996743E-2</v>
      </c>
      <c r="O1196" s="8">
        <f>IFERROR(H1196/G1196,0)</f>
        <v>4.8347613219094247E-2</v>
      </c>
      <c r="P1196" s="4">
        <f>IFERROR(I1196/G1196,0)</f>
        <v>0.77228886168910649</v>
      </c>
      <c r="Q1196" s="4">
        <f>IFERROR(I1196/H1196,0)</f>
        <v>15.973670886075951</v>
      </c>
      <c r="R1196" s="12">
        <f>IFERROR(J1196/I1196,0)</f>
        <v>3.4439108659819953</v>
      </c>
      <c r="S1196" s="7">
        <f>Tabla_nuevas_columnas[[#This Row],[ROAS]]</f>
        <v>3.4439108659819953</v>
      </c>
      <c r="T1196" t="str">
        <f>_xlfn.CONCAT(C1196,"-",D1196)</f>
        <v>Paid Social-México</v>
      </c>
      <c r="U1196">
        <f>YEAR(A1196)</f>
        <v>2025</v>
      </c>
      <c r="V1196">
        <f>MONTH(A1196)</f>
        <v>11</v>
      </c>
      <c r="W1196" t="str">
        <f>PROPER(TEXT(A1196,"mmmm"))</f>
        <v>Noviembre</v>
      </c>
      <c r="X1196" t="str">
        <f>PROPER(TEXT(A1196,"dddd"))</f>
        <v>Jueves</v>
      </c>
      <c r="Y1196" t="str" cm="1">
        <f t="array" ref="Y1196">_xlfn.IFS(R1196&gt;10,"Excelente",R1196&gt;=5,"Bueno",R1196&gt;=2,"Débil",R1196&lt;2,"Deficiente")</f>
        <v>Débil</v>
      </c>
      <c r="Z1196" t="str">
        <f>IF(AND(R1196&lt;2,Q1196&gt;=100),"Revisar","OK")</f>
        <v>OK</v>
      </c>
      <c r="AA1196" s="55">
        <f>_xlfn.XLOOKUP(C1196,'Preguntas de negocio'!$C$114:$C$119,'Preguntas de negocio'!$D$114:$D$119,0)</f>
        <v>6</v>
      </c>
      <c r="AB1196" s="55">
        <f>VLOOKUP(C1196,'Preguntas de negocio'!$C$121:$D$127,2,FALSE)</f>
        <v>0.8</v>
      </c>
    </row>
    <row r="1197" spans="1:28" x14ac:dyDescent="0.3">
      <c r="A1197" s="1">
        <v>45871</v>
      </c>
      <c r="B1197" s="2" t="s">
        <v>2629</v>
      </c>
      <c r="C1197" s="2" t="s">
        <v>2527</v>
      </c>
      <c r="D1197" s="2" t="s">
        <v>2528</v>
      </c>
      <c r="E1197" s="2" t="s">
        <v>2517</v>
      </c>
      <c r="F1197" s="3">
        <v>51244</v>
      </c>
      <c r="G1197" s="3">
        <v>1628</v>
      </c>
      <c r="H1197" s="3">
        <v>64</v>
      </c>
      <c r="I1197" s="4">
        <v>1545.42</v>
      </c>
      <c r="J1197" s="4">
        <v>11725.95</v>
      </c>
      <c r="K1197" s="3">
        <v>43</v>
      </c>
      <c r="L1197" s="2" t="s">
        <v>2518</v>
      </c>
      <c r="M1197" s="2" t="s">
        <v>2524</v>
      </c>
      <c r="N1197" s="8">
        <f>IFERROR(G1197/F1197,0)</f>
        <v>3.1769573023183201E-2</v>
      </c>
      <c r="O1197" s="8">
        <f>IFERROR(H1197/G1197,0)</f>
        <v>3.9312039312039311E-2</v>
      </c>
      <c r="P1197" s="4">
        <f>IFERROR(I1197/G1197,0)</f>
        <v>0.94927518427518431</v>
      </c>
      <c r="Q1197" s="4">
        <f>IFERROR(I1197/H1197,0)</f>
        <v>24.147187500000001</v>
      </c>
      <c r="R1197" s="12">
        <f>IFERROR(J1197/I1197,0)</f>
        <v>7.58754901580153</v>
      </c>
      <c r="S1197" s="7">
        <f>Tabla_nuevas_columnas[[#This Row],[ROAS]]</f>
        <v>7.58754901580153</v>
      </c>
      <c r="T1197" t="str">
        <f>_xlfn.CONCAT(C1197,"-",D1197)</f>
        <v>Affiliate-España</v>
      </c>
      <c r="U1197">
        <f>YEAR(A1197)</f>
        <v>2025</v>
      </c>
      <c r="V1197">
        <f>MONTH(A1197)</f>
        <v>8</v>
      </c>
      <c r="W1197" t="str">
        <f>PROPER(TEXT(A1197,"mmmm"))</f>
        <v>Agosto</v>
      </c>
      <c r="X1197" t="str">
        <f>PROPER(TEXT(A1197,"dddd"))</f>
        <v>Sábado</v>
      </c>
      <c r="Y1197" t="str" cm="1">
        <f t="array" ref="Y1197">_xlfn.IFS(R1197&gt;10,"Excelente",R1197&gt;=5,"Bueno",R1197&gt;=2,"Débil",R1197&lt;2,"Deficiente")</f>
        <v>Bueno</v>
      </c>
      <c r="Z1197" t="str">
        <f>IF(AND(R1197&lt;2,Q1197&gt;=100),"Revisar","OK")</f>
        <v>OK</v>
      </c>
      <c r="AA1197" s="55">
        <f>_xlfn.XLOOKUP(C1197,'Preguntas de negocio'!$C$114:$C$119,'Preguntas de negocio'!$D$114:$D$119,0)</f>
        <v>4.5</v>
      </c>
      <c r="AB1197" s="55">
        <f>VLOOKUP(C1197,'Preguntas de negocio'!$C$121:$D$127,2,FALSE)</f>
        <v>0.35</v>
      </c>
    </row>
    <row r="1198" spans="1:28" x14ac:dyDescent="0.3">
      <c r="A1198" s="1">
        <v>45913</v>
      </c>
      <c r="B1198" s="2" t="s">
        <v>2622</v>
      </c>
      <c r="C1198" s="2" t="s">
        <v>2527</v>
      </c>
      <c r="D1198" s="2" t="s">
        <v>2516</v>
      </c>
      <c r="E1198" s="2" t="s">
        <v>2529</v>
      </c>
      <c r="F1198" s="3">
        <v>152330</v>
      </c>
      <c r="G1198" s="3">
        <v>7552</v>
      </c>
      <c r="H1198" s="3">
        <v>839</v>
      </c>
      <c r="I1198" s="4">
        <v>7868.29</v>
      </c>
      <c r="J1198" s="4">
        <v>131502.68</v>
      </c>
      <c r="K1198" s="3">
        <v>705</v>
      </c>
      <c r="L1198" s="2" t="s">
        <v>2539</v>
      </c>
      <c r="M1198" s="2" t="s">
        <v>2526</v>
      </c>
      <c r="N1198" s="8">
        <f>IFERROR(G1198/F1198,0)</f>
        <v>4.9576577167990549E-2</v>
      </c>
      <c r="O1198" s="8">
        <f>IFERROR(H1198/G1198,0)</f>
        <v>0.11109639830508475</v>
      </c>
      <c r="P1198" s="4">
        <f>IFERROR(I1198/G1198,0)</f>
        <v>1.041881620762712</v>
      </c>
      <c r="Q1198" s="4">
        <f>IFERROR(I1198/H1198,0)</f>
        <v>9.3781764004767574</v>
      </c>
      <c r="R1198" s="12">
        <f>IFERROR(J1198/I1198,0)</f>
        <v>16.712993547517947</v>
      </c>
      <c r="S1198" s="7">
        <f>Tabla_nuevas_columnas[[#This Row],[ROAS]]</f>
        <v>16.712993547517947</v>
      </c>
      <c r="T1198" t="str">
        <f>_xlfn.CONCAT(C1198,"-",D1198)</f>
        <v>Affiliate-México</v>
      </c>
      <c r="U1198">
        <f>YEAR(A1198)</f>
        <v>2025</v>
      </c>
      <c r="V1198">
        <f>MONTH(A1198)</f>
        <v>9</v>
      </c>
      <c r="W1198" t="str">
        <f>PROPER(TEXT(A1198,"mmmm"))</f>
        <v>Septiembre</v>
      </c>
      <c r="X1198" t="str">
        <f>PROPER(TEXT(A1198,"dddd"))</f>
        <v>Sábado</v>
      </c>
      <c r="Y1198" t="str" cm="1">
        <f t="array" ref="Y1198">_xlfn.IFS(R1198&gt;10,"Excelente",R1198&gt;=5,"Bueno",R1198&gt;=2,"Débil",R1198&lt;2,"Deficiente")</f>
        <v>Excelente</v>
      </c>
      <c r="Z1198" t="str">
        <f>IF(AND(R1198&lt;2,Q1198&gt;=100),"Revisar","OK")</f>
        <v>OK</v>
      </c>
      <c r="AA1198" s="55">
        <f>_xlfn.XLOOKUP(C1198,'Preguntas de negocio'!$C$114:$C$119,'Preguntas de negocio'!$D$114:$D$119,0)</f>
        <v>4.5</v>
      </c>
      <c r="AB1198" s="55">
        <f>VLOOKUP(C1198,'Preguntas de negocio'!$C$121:$D$127,2,FALSE)</f>
        <v>0.35</v>
      </c>
    </row>
    <row r="1199" spans="1:28" x14ac:dyDescent="0.3">
      <c r="A1199" s="1">
        <v>45717</v>
      </c>
      <c r="B1199" s="2" t="s">
        <v>2617</v>
      </c>
      <c r="C1199" s="2" t="s">
        <v>2533</v>
      </c>
      <c r="D1199" s="2" t="s">
        <v>2528</v>
      </c>
      <c r="E1199" s="2" t="s">
        <v>2529</v>
      </c>
      <c r="F1199" s="3">
        <v>58805</v>
      </c>
      <c r="G1199" s="3">
        <v>1384</v>
      </c>
      <c r="H1199" s="3">
        <v>171</v>
      </c>
      <c r="I1199" s="4">
        <v>1210.6199999999999</v>
      </c>
      <c r="J1199" s="4">
        <v>8101.63</v>
      </c>
      <c r="K1199" s="3">
        <v>131</v>
      </c>
      <c r="L1199" s="2" t="s">
        <v>2523</v>
      </c>
      <c r="M1199" s="2" t="s">
        <v>2537</v>
      </c>
      <c r="N1199" s="8">
        <f>IFERROR(G1199/F1199,0)</f>
        <v>2.3535413655301419E-2</v>
      </c>
      <c r="O1199" s="8">
        <f>IFERROR(H1199/G1199,0)</f>
        <v>0.12355491329479769</v>
      </c>
      <c r="P1199" s="4">
        <f>IFERROR(I1199/G1199,0)</f>
        <v>0.87472543352601151</v>
      </c>
      <c r="Q1199" s="4">
        <f>IFERROR(I1199/H1199,0)</f>
        <v>7.0796491228070169</v>
      </c>
      <c r="R1199" s="12">
        <f>IFERROR(J1199/I1199,0)</f>
        <v>6.6921329566668328</v>
      </c>
      <c r="S1199" s="7">
        <f>Tabla_nuevas_columnas[[#This Row],[ROAS]]</f>
        <v>6.6921329566668328</v>
      </c>
      <c r="T1199" t="str">
        <f>_xlfn.CONCAT(C1199,"-",D1199)</f>
        <v>Paid Social-España</v>
      </c>
      <c r="U1199">
        <f>YEAR(A1199)</f>
        <v>2025</v>
      </c>
      <c r="V1199">
        <f>MONTH(A1199)</f>
        <v>3</v>
      </c>
      <c r="W1199" t="str">
        <f>PROPER(TEXT(A1199,"mmmm"))</f>
        <v>Marzo</v>
      </c>
      <c r="X1199" t="str">
        <f>PROPER(TEXT(A1199,"dddd"))</f>
        <v>Sábado</v>
      </c>
      <c r="Y1199" t="str" cm="1">
        <f t="array" ref="Y1199">_xlfn.IFS(R1199&gt;10,"Excelente",R1199&gt;=5,"Bueno",R1199&gt;=2,"Débil",R1199&lt;2,"Deficiente")</f>
        <v>Bueno</v>
      </c>
      <c r="Z1199" t="str">
        <f>IF(AND(R1199&lt;2,Q1199&gt;=100),"Revisar","OK")</f>
        <v>OK</v>
      </c>
      <c r="AA1199" s="55">
        <f>_xlfn.XLOOKUP(C1199,'Preguntas de negocio'!$C$114:$C$119,'Preguntas de negocio'!$D$114:$D$119,0)</f>
        <v>6</v>
      </c>
      <c r="AB1199" s="55">
        <f>VLOOKUP(C1199,'Preguntas de negocio'!$C$121:$D$127,2,FALSE)</f>
        <v>0.8</v>
      </c>
    </row>
    <row r="1200" spans="1:28" x14ac:dyDescent="0.3">
      <c r="A1200" s="1">
        <v>45758</v>
      </c>
      <c r="B1200" s="2" t="s">
        <v>2640</v>
      </c>
      <c r="C1200" s="2" t="s">
        <v>2533</v>
      </c>
      <c r="D1200" s="2" t="s">
        <v>2528</v>
      </c>
      <c r="E1200" s="2" t="s">
        <v>2529</v>
      </c>
      <c r="F1200" s="3">
        <v>165179</v>
      </c>
      <c r="G1200" s="3">
        <v>9890</v>
      </c>
      <c r="H1200" s="3">
        <v>682</v>
      </c>
      <c r="I1200" s="4">
        <v>16078.17</v>
      </c>
      <c r="J1200" s="4">
        <v>107528.63</v>
      </c>
      <c r="K1200" s="3">
        <v>565</v>
      </c>
      <c r="L1200" s="2" t="s">
        <v>2518</v>
      </c>
      <c r="M1200" s="2" t="s">
        <v>2546</v>
      </c>
      <c r="N1200" s="8">
        <f>IFERROR(G1200/F1200,0)</f>
        <v>5.9874439244698173E-2</v>
      </c>
      <c r="O1200" s="8">
        <f>IFERROR(H1200/G1200,0)</f>
        <v>6.8958543983822049E-2</v>
      </c>
      <c r="P1200" s="4">
        <f>IFERROR(I1200/G1200,0)</f>
        <v>1.6256996966632962</v>
      </c>
      <c r="Q1200" s="4">
        <f>IFERROR(I1200/H1200,0)</f>
        <v>23.575029325513196</v>
      </c>
      <c r="R1200" s="12">
        <f>IFERROR(J1200/I1200,0)</f>
        <v>6.6878649746830643</v>
      </c>
      <c r="S1200" s="7">
        <f>Tabla_nuevas_columnas[[#This Row],[ROAS]]</f>
        <v>6.6878649746830643</v>
      </c>
      <c r="T1200" t="str">
        <f>_xlfn.CONCAT(C1200,"-",D1200)</f>
        <v>Paid Social-España</v>
      </c>
      <c r="U1200">
        <f>YEAR(A1200)</f>
        <v>2025</v>
      </c>
      <c r="V1200">
        <f>MONTH(A1200)</f>
        <v>4</v>
      </c>
      <c r="W1200" t="str">
        <f>PROPER(TEXT(A1200,"mmmm"))</f>
        <v>Abril</v>
      </c>
      <c r="X1200" t="str">
        <f>PROPER(TEXT(A1200,"dddd"))</f>
        <v>Viernes</v>
      </c>
      <c r="Y1200" t="str" cm="1">
        <f t="array" ref="Y1200">_xlfn.IFS(R1200&gt;10,"Excelente",R1200&gt;=5,"Bueno",R1200&gt;=2,"Débil",R1200&lt;2,"Deficiente")</f>
        <v>Bueno</v>
      </c>
      <c r="Z1200" t="str">
        <f>IF(AND(R1200&lt;2,Q1200&gt;=100),"Revisar","OK")</f>
        <v>OK</v>
      </c>
      <c r="AA1200" s="55">
        <f>_xlfn.XLOOKUP(C1200,'Preguntas de negocio'!$C$114:$C$119,'Preguntas de negocio'!$D$114:$D$119,0)</f>
        <v>6</v>
      </c>
      <c r="AB1200" s="55">
        <f>VLOOKUP(C1200,'Preguntas de negocio'!$C$121:$D$127,2,FALSE)</f>
        <v>0.8</v>
      </c>
    </row>
    <row r="1201" spans="1:28" x14ac:dyDescent="0.3">
      <c r="A1201" s="1">
        <v>46016</v>
      </c>
      <c r="B1201" s="2" t="s">
        <v>2643</v>
      </c>
      <c r="C1201" s="2" t="s">
        <v>2527</v>
      </c>
      <c r="D1201" s="2" t="s">
        <v>2528</v>
      </c>
      <c r="E1201" s="2" t="s">
        <v>2517</v>
      </c>
      <c r="F1201" s="3">
        <v>70351</v>
      </c>
      <c r="G1201" s="3">
        <v>2858</v>
      </c>
      <c r="H1201" s="3">
        <v>51</v>
      </c>
      <c r="I1201" s="4">
        <v>1127.9000000000001</v>
      </c>
      <c r="J1201" s="4">
        <v>3070.75</v>
      </c>
      <c r="K1201" s="3">
        <v>36</v>
      </c>
      <c r="L1201" s="2" t="s">
        <v>2536</v>
      </c>
      <c r="M1201" s="2" t="s">
        <v>2519</v>
      </c>
      <c r="N1201" s="8">
        <f>IFERROR(G1201/F1201,0)</f>
        <v>4.062486673963412E-2</v>
      </c>
      <c r="O1201" s="8">
        <f>IFERROR(H1201/G1201,0)</f>
        <v>1.7844646606018196E-2</v>
      </c>
      <c r="P1201" s="4">
        <f>IFERROR(I1201/G1201,0)</f>
        <v>0.39464660601819457</v>
      </c>
      <c r="Q1201" s="4">
        <f>IFERROR(I1201/H1201,0)</f>
        <v>22.115686274509805</v>
      </c>
      <c r="R1201" s="12">
        <f>IFERROR(J1201/I1201,0)</f>
        <v>2.7225374589945917</v>
      </c>
      <c r="S1201" s="7">
        <f>Tabla_nuevas_columnas[[#This Row],[ROAS]]</f>
        <v>2.7225374589945917</v>
      </c>
      <c r="T1201" t="str">
        <f>_xlfn.CONCAT(C1201,"-",D1201)</f>
        <v>Affiliate-España</v>
      </c>
      <c r="U1201">
        <f>YEAR(A1201)</f>
        <v>2025</v>
      </c>
      <c r="V1201">
        <f>MONTH(A1201)</f>
        <v>12</v>
      </c>
      <c r="W1201" t="str">
        <f>PROPER(TEXT(A1201,"mmmm"))</f>
        <v>Diciembre</v>
      </c>
      <c r="X1201" t="str">
        <f>PROPER(TEXT(A1201,"dddd"))</f>
        <v>Jueves</v>
      </c>
      <c r="Y1201" t="str" cm="1">
        <f t="array" ref="Y1201">_xlfn.IFS(R1201&gt;10,"Excelente",R1201&gt;=5,"Bueno",R1201&gt;=2,"Débil",R1201&lt;2,"Deficiente")</f>
        <v>Débil</v>
      </c>
      <c r="Z1201" t="str">
        <f>IF(AND(R1201&lt;2,Q1201&gt;=100),"Revisar","OK")</f>
        <v>OK</v>
      </c>
      <c r="AA1201" s="55">
        <f>_xlfn.XLOOKUP(C1201,'Preguntas de negocio'!$C$114:$C$119,'Preguntas de negocio'!$D$114:$D$119,0)</f>
        <v>4.5</v>
      </c>
      <c r="AB1201" s="55">
        <f>VLOOKUP(C1201,'Preguntas de negocio'!$C$121:$D$127,2,FALSE)</f>
        <v>0.35</v>
      </c>
    </row>
    <row r="1202" spans="1:28" x14ac:dyDescent="0.3">
      <c r="A1202" s="1">
        <v>45709</v>
      </c>
      <c r="B1202" s="2" t="s">
        <v>2633</v>
      </c>
      <c r="C1202" s="2" t="s">
        <v>2521</v>
      </c>
      <c r="D1202" s="2" t="s">
        <v>2528</v>
      </c>
      <c r="E1202" s="2" t="s">
        <v>2529</v>
      </c>
      <c r="F1202" s="3">
        <v>109061</v>
      </c>
      <c r="G1202" s="3">
        <v>9496</v>
      </c>
      <c r="H1202" s="3">
        <v>188</v>
      </c>
      <c r="I1202" s="4">
        <v>5056.24</v>
      </c>
      <c r="J1202" s="4">
        <v>3275.14</v>
      </c>
      <c r="K1202" s="3">
        <v>125</v>
      </c>
      <c r="L1202" s="2" t="s">
        <v>2523</v>
      </c>
      <c r="M1202" s="2" t="s">
        <v>2519</v>
      </c>
      <c r="N1202" s="8">
        <f>IFERROR(G1202/F1202,0)</f>
        <v>8.7070538505973724E-2</v>
      </c>
      <c r="O1202" s="8">
        <f>IFERROR(H1202/G1202,0)</f>
        <v>1.9797809604043808E-2</v>
      </c>
      <c r="P1202" s="4">
        <f>IFERROR(I1202/G1202,0)</f>
        <v>0.53245998315080034</v>
      </c>
      <c r="Q1202" s="4">
        <f>IFERROR(I1202/H1202,0)</f>
        <v>26.894893617021275</v>
      </c>
      <c r="R1202" s="12">
        <f>IFERROR(J1202/I1202,0)</f>
        <v>0.64774219578184578</v>
      </c>
      <c r="S1202" s="7">
        <f>Tabla_nuevas_columnas[[#This Row],[ROAS]]</f>
        <v>0.64774219578184578</v>
      </c>
      <c r="T1202" t="str">
        <f>_xlfn.CONCAT(C1202,"-",D1202)</f>
        <v>Paid Search-España</v>
      </c>
      <c r="U1202">
        <f>YEAR(A1202)</f>
        <v>2025</v>
      </c>
      <c r="V1202">
        <f>MONTH(A1202)</f>
        <v>2</v>
      </c>
      <c r="W1202" t="str">
        <f>PROPER(TEXT(A1202,"mmmm"))</f>
        <v>Febrero</v>
      </c>
      <c r="X1202" t="str">
        <f>PROPER(TEXT(A1202,"dddd"))</f>
        <v>Viernes</v>
      </c>
      <c r="Y1202" t="str" cm="1">
        <f t="array" ref="Y1202">_xlfn.IFS(R1202&gt;10,"Excelente",R1202&gt;=5,"Bueno",R1202&gt;=2,"Débil",R1202&lt;2,"Deficiente")</f>
        <v>Deficiente</v>
      </c>
      <c r="Z1202" t="str">
        <f>IF(AND(R1202&lt;2,Q1202&gt;=100),"Revisar","OK")</f>
        <v>OK</v>
      </c>
      <c r="AA1202" s="55">
        <f>_xlfn.XLOOKUP(C1202,'Preguntas de negocio'!$C$114:$C$119,'Preguntas de negocio'!$D$114:$D$119,0)</f>
        <v>5</v>
      </c>
      <c r="AB1202" s="55">
        <f>VLOOKUP(C1202,'Preguntas de negocio'!$C$121:$D$127,2,FALSE)</f>
        <v>1.1000000000000001</v>
      </c>
    </row>
    <row r="1203" spans="1:28" x14ac:dyDescent="0.3">
      <c r="A1203" s="1">
        <v>45764</v>
      </c>
      <c r="B1203" s="2" t="s">
        <v>2630</v>
      </c>
      <c r="C1203" s="2" t="s">
        <v>2521</v>
      </c>
      <c r="D1203" s="2" t="s">
        <v>2516</v>
      </c>
      <c r="E1203" s="2" t="s">
        <v>2517</v>
      </c>
      <c r="F1203" s="3">
        <v>101902</v>
      </c>
      <c r="G1203" s="3">
        <v>5410</v>
      </c>
      <c r="H1203" s="3">
        <v>153</v>
      </c>
      <c r="I1203" s="4">
        <v>4598.78</v>
      </c>
      <c r="J1203" s="4">
        <v>16603.8</v>
      </c>
      <c r="K1203" s="3">
        <v>112</v>
      </c>
      <c r="L1203" s="2" t="s">
        <v>2539</v>
      </c>
      <c r="M1203" s="2" t="s">
        <v>2546</v>
      </c>
      <c r="N1203" s="8">
        <f>IFERROR(G1203/F1203,0)</f>
        <v>5.3090223940648856E-2</v>
      </c>
      <c r="O1203" s="8">
        <f>IFERROR(H1203/G1203,0)</f>
        <v>2.8280961182994453E-2</v>
      </c>
      <c r="P1203" s="4">
        <f>IFERROR(I1203/G1203,0)</f>
        <v>0.85005175600739369</v>
      </c>
      <c r="Q1203" s="4">
        <f>IFERROR(I1203/H1203,0)</f>
        <v>30.057385620915031</v>
      </c>
      <c r="R1203" s="12">
        <f>IFERROR(J1203/I1203,0)</f>
        <v>3.6104793010320129</v>
      </c>
      <c r="S1203" s="7">
        <f>Tabla_nuevas_columnas[[#This Row],[ROAS]]</f>
        <v>3.6104793010320129</v>
      </c>
      <c r="T1203" t="str">
        <f>_xlfn.CONCAT(C1203,"-",D1203)</f>
        <v>Paid Search-México</v>
      </c>
      <c r="U1203">
        <f>YEAR(A1203)</f>
        <v>2025</v>
      </c>
      <c r="V1203">
        <f>MONTH(A1203)</f>
        <v>4</v>
      </c>
      <c r="W1203" t="str">
        <f>PROPER(TEXT(A1203,"mmmm"))</f>
        <v>Abril</v>
      </c>
      <c r="X1203" t="str">
        <f>PROPER(TEXT(A1203,"dddd"))</f>
        <v>Jueves</v>
      </c>
      <c r="Y1203" t="str" cm="1">
        <f t="array" ref="Y1203">_xlfn.IFS(R1203&gt;10,"Excelente",R1203&gt;=5,"Bueno",R1203&gt;=2,"Débil",R1203&lt;2,"Deficiente")</f>
        <v>Débil</v>
      </c>
      <c r="Z1203" t="str">
        <f>IF(AND(R1203&lt;2,Q1203&gt;=100),"Revisar","OK")</f>
        <v>OK</v>
      </c>
      <c r="AA1203" s="55">
        <f>_xlfn.XLOOKUP(C1203,'Preguntas de negocio'!$C$114:$C$119,'Preguntas de negocio'!$D$114:$D$119,0)</f>
        <v>5</v>
      </c>
      <c r="AB1203" s="55">
        <f>VLOOKUP(C1203,'Preguntas de negocio'!$C$121:$D$127,2,FALSE)</f>
        <v>1.1000000000000001</v>
      </c>
    </row>
    <row r="1204" spans="1:28" x14ac:dyDescent="0.3">
      <c r="A1204" s="1">
        <v>45757</v>
      </c>
      <c r="B1204" s="2" t="s">
        <v>2643</v>
      </c>
      <c r="C1204" s="2" t="s">
        <v>2543</v>
      </c>
      <c r="D1204" s="2" t="s">
        <v>2528</v>
      </c>
      <c r="E1204" s="2" t="s">
        <v>2517</v>
      </c>
      <c r="F1204" s="3">
        <v>77670</v>
      </c>
      <c r="G1204" s="3">
        <v>3197</v>
      </c>
      <c r="H1204" s="3">
        <v>235</v>
      </c>
      <c r="I1204" s="4">
        <v>1261.1199999999999</v>
      </c>
      <c r="J1204" s="4">
        <v>39932.94</v>
      </c>
      <c r="K1204" s="3">
        <v>139</v>
      </c>
      <c r="L1204" s="2" t="s">
        <v>2536</v>
      </c>
      <c r="M1204" s="2" t="s">
        <v>2519</v>
      </c>
      <c r="N1204" s="8">
        <f>IFERROR(G1204/F1204,0)</f>
        <v>4.1161323548345563E-2</v>
      </c>
      <c r="O1204" s="8">
        <f>IFERROR(H1204/G1204,0)</f>
        <v>7.3506412261495152E-2</v>
      </c>
      <c r="P1204" s="4">
        <f>IFERROR(I1204/G1204,0)</f>
        <v>0.39446981545198623</v>
      </c>
      <c r="Q1204" s="4">
        <f>IFERROR(I1204/H1204,0)</f>
        <v>5.3664680851063826</v>
      </c>
      <c r="R1204" s="12">
        <f>IFERROR(J1204/I1204,0)</f>
        <v>31.664663156559254</v>
      </c>
      <c r="S1204" s="7">
        <f>Tabla_nuevas_columnas[[#This Row],[ROAS]]</f>
        <v>31.664663156559254</v>
      </c>
      <c r="T1204" t="str">
        <f>_xlfn.CONCAT(C1204,"-",D1204)</f>
        <v>Organic Social-España</v>
      </c>
      <c r="U1204">
        <f>YEAR(A1204)</f>
        <v>2025</v>
      </c>
      <c r="V1204">
        <f>MONTH(A1204)</f>
        <v>4</v>
      </c>
      <c r="W1204" t="str">
        <f>PROPER(TEXT(A1204,"mmmm"))</f>
        <v>Abril</v>
      </c>
      <c r="X1204" t="str">
        <f>PROPER(TEXT(A1204,"dddd"))</f>
        <v>Jueves</v>
      </c>
      <c r="Y1204" t="str" cm="1">
        <f t="array" ref="Y1204">_xlfn.IFS(R1204&gt;10,"Excelente",R1204&gt;=5,"Bueno",R1204&gt;=2,"Débil",R1204&lt;2,"Deficiente")</f>
        <v>Excelente</v>
      </c>
      <c r="Z1204" t="str">
        <f>IF(AND(R1204&lt;2,Q1204&gt;=100),"Revisar","OK")</f>
        <v>OK</v>
      </c>
      <c r="AA1204" s="55">
        <f>_xlfn.XLOOKUP(C1204,'Preguntas de negocio'!$C$114:$C$119,'Preguntas de negocio'!$D$114:$D$119,0)</f>
        <v>4</v>
      </c>
      <c r="AB1204" s="55">
        <f>VLOOKUP(C1204,'Preguntas de negocio'!$C$121:$D$127,2,FALSE)</f>
        <v>0.95</v>
      </c>
    </row>
    <row r="1205" spans="1:28" x14ac:dyDescent="0.3">
      <c r="A1205" s="1">
        <v>45768</v>
      </c>
      <c r="B1205" s="2" t="s">
        <v>2626</v>
      </c>
      <c r="C1205" s="2" t="s">
        <v>2543</v>
      </c>
      <c r="D1205" s="2" t="s">
        <v>2531</v>
      </c>
      <c r="E1205" s="2" t="s">
        <v>2534</v>
      </c>
      <c r="F1205" s="3">
        <v>97948</v>
      </c>
      <c r="G1205" s="3">
        <v>1018</v>
      </c>
      <c r="H1205" s="3">
        <v>56</v>
      </c>
      <c r="I1205" s="4">
        <v>1845.37</v>
      </c>
      <c r="J1205" s="4">
        <v>2897.75</v>
      </c>
      <c r="K1205" s="3">
        <v>45</v>
      </c>
      <c r="L1205" s="2" t="s">
        <v>2518</v>
      </c>
      <c r="M1205" s="2" t="s">
        <v>2537</v>
      </c>
      <c r="N1205" s="8">
        <f>IFERROR(G1205/F1205,0)</f>
        <v>1.0393269898313391E-2</v>
      </c>
      <c r="O1205" s="8">
        <f>IFERROR(H1205/G1205,0)</f>
        <v>5.50098231827112E-2</v>
      </c>
      <c r="P1205" s="4">
        <f>IFERROR(I1205/G1205,0)</f>
        <v>1.8127406679764242</v>
      </c>
      <c r="Q1205" s="4">
        <f>IFERROR(I1205/H1205,0)</f>
        <v>32.953035714285711</v>
      </c>
      <c r="R1205" s="12">
        <f>IFERROR(J1205/I1205,0)</f>
        <v>1.5702812986013646</v>
      </c>
      <c r="S1205" s="7">
        <f>Tabla_nuevas_columnas[[#This Row],[ROAS]]</f>
        <v>1.5702812986013646</v>
      </c>
      <c r="T1205" t="str">
        <f>_xlfn.CONCAT(C1205,"-",D1205)</f>
        <v>Organic Social-Portugal</v>
      </c>
      <c r="U1205">
        <f>YEAR(A1205)</f>
        <v>2025</v>
      </c>
      <c r="V1205">
        <f>MONTH(A1205)</f>
        <v>4</v>
      </c>
      <c r="W1205" t="str">
        <f>PROPER(TEXT(A1205,"mmmm"))</f>
        <v>Abril</v>
      </c>
      <c r="X1205" t="str">
        <f>PROPER(TEXT(A1205,"dddd"))</f>
        <v>Lunes</v>
      </c>
      <c r="Y1205" t="str" cm="1">
        <f t="array" ref="Y1205">_xlfn.IFS(R1205&gt;10,"Excelente",R1205&gt;=5,"Bueno",R1205&gt;=2,"Débil",R1205&lt;2,"Deficiente")</f>
        <v>Deficiente</v>
      </c>
      <c r="Z1205" t="str">
        <f>IF(AND(R1205&lt;2,Q1205&gt;=100),"Revisar","OK")</f>
        <v>OK</v>
      </c>
      <c r="AA1205" s="55">
        <f>_xlfn.XLOOKUP(C1205,'Preguntas de negocio'!$C$114:$C$119,'Preguntas de negocio'!$D$114:$D$119,0)</f>
        <v>4</v>
      </c>
      <c r="AB1205" s="55">
        <f>VLOOKUP(C1205,'Preguntas de negocio'!$C$121:$D$127,2,FALSE)</f>
        <v>0.95</v>
      </c>
    </row>
    <row r="1206" spans="1:28" x14ac:dyDescent="0.3">
      <c r="A1206" s="1">
        <v>45718</v>
      </c>
      <c r="B1206" s="2" t="s">
        <v>2619</v>
      </c>
      <c r="C1206" s="2" t="s">
        <v>2527</v>
      </c>
      <c r="D1206" s="2" t="s">
        <v>2516</v>
      </c>
      <c r="E1206" s="2" t="s">
        <v>2529</v>
      </c>
      <c r="F1206" s="3">
        <v>148984</v>
      </c>
      <c r="G1206" s="3">
        <v>1135</v>
      </c>
      <c r="H1206" s="3">
        <v>105</v>
      </c>
      <c r="I1206" s="4">
        <v>1515.94</v>
      </c>
      <c r="J1206" s="4">
        <v>8810.09</v>
      </c>
      <c r="K1206" s="3">
        <v>74</v>
      </c>
      <c r="L1206" s="2" t="s">
        <v>2536</v>
      </c>
      <c r="M1206" s="2" t="s">
        <v>2519</v>
      </c>
      <c r="N1206" s="8">
        <f>IFERROR(G1206/F1206,0)</f>
        <v>7.6182677334478872E-3</v>
      </c>
      <c r="O1206" s="8">
        <f>IFERROR(H1206/G1206,0)</f>
        <v>9.2511013215859028E-2</v>
      </c>
      <c r="P1206" s="4">
        <f>IFERROR(I1206/G1206,0)</f>
        <v>1.3356299559471365</v>
      </c>
      <c r="Q1206" s="4">
        <f>IFERROR(I1206/H1206,0)</f>
        <v>14.43752380952381</v>
      </c>
      <c r="R1206" s="12">
        <f>IFERROR(J1206/I1206,0)</f>
        <v>5.8116350251329205</v>
      </c>
      <c r="S1206" s="7">
        <f>Tabla_nuevas_columnas[[#This Row],[ROAS]]</f>
        <v>5.8116350251329205</v>
      </c>
      <c r="T1206" t="str">
        <f>_xlfn.CONCAT(C1206,"-",D1206)</f>
        <v>Affiliate-México</v>
      </c>
      <c r="U1206">
        <f>YEAR(A1206)</f>
        <v>2025</v>
      </c>
      <c r="V1206">
        <f>MONTH(A1206)</f>
        <v>3</v>
      </c>
      <c r="W1206" t="str">
        <f>PROPER(TEXT(A1206,"mmmm"))</f>
        <v>Marzo</v>
      </c>
      <c r="X1206" t="str">
        <f>PROPER(TEXT(A1206,"dddd"))</f>
        <v>Domingo</v>
      </c>
      <c r="Y1206" t="str" cm="1">
        <f t="array" ref="Y1206">_xlfn.IFS(R1206&gt;10,"Excelente",R1206&gt;=5,"Bueno",R1206&gt;=2,"Débil",R1206&lt;2,"Deficiente")</f>
        <v>Bueno</v>
      </c>
      <c r="Z1206" t="str">
        <f>IF(AND(R1206&lt;2,Q1206&gt;=100),"Revisar","OK")</f>
        <v>OK</v>
      </c>
      <c r="AA1206" s="55">
        <f>_xlfn.XLOOKUP(C1206,'Preguntas de negocio'!$C$114:$C$119,'Preguntas de negocio'!$D$114:$D$119,0)</f>
        <v>4.5</v>
      </c>
      <c r="AB1206" s="55">
        <f>VLOOKUP(C1206,'Preguntas de negocio'!$C$121:$D$127,2,FALSE)</f>
        <v>0.35</v>
      </c>
    </row>
    <row r="1207" spans="1:28" x14ac:dyDescent="0.3">
      <c r="A1207" s="1">
        <v>45917</v>
      </c>
      <c r="B1207" s="2" t="s">
        <v>2639</v>
      </c>
      <c r="C1207" s="2" t="s">
        <v>2521</v>
      </c>
      <c r="D1207" s="2" t="s">
        <v>2528</v>
      </c>
      <c r="E1207" s="2" t="s">
        <v>2529</v>
      </c>
      <c r="F1207" s="3">
        <v>46190</v>
      </c>
      <c r="G1207" s="3">
        <v>401</v>
      </c>
      <c r="H1207" s="3">
        <v>6</v>
      </c>
      <c r="I1207" s="4">
        <v>582.38</v>
      </c>
      <c r="J1207" s="4">
        <v>1292.69</v>
      </c>
      <c r="K1207" s="3">
        <v>3</v>
      </c>
      <c r="L1207" s="2" t="s">
        <v>2518</v>
      </c>
      <c r="M1207" s="2" t="s">
        <v>2546</v>
      </c>
      <c r="N1207" s="8">
        <f>IFERROR(G1207/F1207,0)</f>
        <v>8.6815327993072094E-3</v>
      </c>
      <c r="O1207" s="8">
        <f>IFERROR(H1207/G1207,0)</f>
        <v>1.4962593516209476E-2</v>
      </c>
      <c r="P1207" s="4">
        <f>IFERROR(I1207/G1207,0)</f>
        <v>1.4523192019950124</v>
      </c>
      <c r="Q1207" s="4">
        <f>IFERROR(I1207/H1207,0)</f>
        <v>97.063333333333333</v>
      </c>
      <c r="R1207" s="12">
        <f>IFERROR(J1207/I1207,0)</f>
        <v>2.2196675710017515</v>
      </c>
      <c r="S1207" s="7">
        <f>Tabla_nuevas_columnas[[#This Row],[ROAS]]</f>
        <v>2.2196675710017515</v>
      </c>
      <c r="T1207" t="str">
        <f>_xlfn.CONCAT(C1207,"-",D1207)</f>
        <v>Paid Search-España</v>
      </c>
      <c r="U1207">
        <f>YEAR(A1207)</f>
        <v>2025</v>
      </c>
      <c r="V1207">
        <f>MONTH(A1207)</f>
        <v>9</v>
      </c>
      <c r="W1207" t="str">
        <f>PROPER(TEXT(A1207,"mmmm"))</f>
        <v>Septiembre</v>
      </c>
      <c r="X1207" t="str">
        <f>PROPER(TEXT(A1207,"dddd"))</f>
        <v>Miércoles</v>
      </c>
      <c r="Y1207" t="str" cm="1">
        <f t="array" ref="Y1207">_xlfn.IFS(R1207&gt;10,"Excelente",R1207&gt;=5,"Bueno",R1207&gt;=2,"Débil",R1207&lt;2,"Deficiente")</f>
        <v>Débil</v>
      </c>
      <c r="Z1207" t="str">
        <f>IF(AND(R1207&lt;2,Q1207&gt;=100),"Revisar","OK")</f>
        <v>OK</v>
      </c>
      <c r="AA1207" s="55">
        <f>_xlfn.XLOOKUP(C1207,'Preguntas de negocio'!$C$114:$C$119,'Preguntas de negocio'!$D$114:$D$119,0)</f>
        <v>5</v>
      </c>
      <c r="AB1207" s="55">
        <f>VLOOKUP(C1207,'Preguntas de negocio'!$C$121:$D$127,2,FALSE)</f>
        <v>1.1000000000000001</v>
      </c>
    </row>
    <row r="1208" spans="1:28" x14ac:dyDescent="0.3">
      <c r="A1208" s="1">
        <v>45851</v>
      </c>
      <c r="B1208" s="2" t="s">
        <v>2626</v>
      </c>
      <c r="C1208" s="2" t="s">
        <v>2521</v>
      </c>
      <c r="D1208" s="2" t="s">
        <v>2531</v>
      </c>
      <c r="E1208" s="2" t="s">
        <v>2529</v>
      </c>
      <c r="F1208" s="3">
        <v>170777</v>
      </c>
      <c r="G1208" s="3">
        <v>4518</v>
      </c>
      <c r="H1208" s="3">
        <v>341</v>
      </c>
      <c r="I1208" s="4">
        <v>9094.4599999999991</v>
      </c>
      <c r="J1208" s="4">
        <v>38128.980000000003</v>
      </c>
      <c r="K1208" s="3">
        <v>214</v>
      </c>
      <c r="L1208" s="2" t="s">
        <v>2539</v>
      </c>
      <c r="M1208" s="2" t="s">
        <v>2524</v>
      </c>
      <c r="N1208" s="8">
        <f>IFERROR(G1208/F1208,0)</f>
        <v>2.645555314825767E-2</v>
      </c>
      <c r="O1208" s="8">
        <f>IFERROR(H1208/G1208,0)</f>
        <v>7.547587428065515E-2</v>
      </c>
      <c r="P1208" s="4">
        <f>IFERROR(I1208/G1208,0)</f>
        <v>2.0129393536963258</v>
      </c>
      <c r="Q1208" s="4">
        <f>IFERROR(I1208/H1208,0)</f>
        <v>26.669970674486802</v>
      </c>
      <c r="R1208" s="12">
        <f>IFERROR(J1208/I1208,0)</f>
        <v>4.1925501898958277</v>
      </c>
      <c r="S1208" s="7">
        <f>Tabla_nuevas_columnas[[#This Row],[ROAS]]</f>
        <v>4.1925501898958277</v>
      </c>
      <c r="T1208" t="str">
        <f>_xlfn.CONCAT(C1208,"-",D1208)</f>
        <v>Paid Search-Portugal</v>
      </c>
      <c r="U1208">
        <f>YEAR(A1208)</f>
        <v>2025</v>
      </c>
      <c r="V1208">
        <f>MONTH(A1208)</f>
        <v>7</v>
      </c>
      <c r="W1208" t="str">
        <f>PROPER(TEXT(A1208,"mmmm"))</f>
        <v>Julio</v>
      </c>
      <c r="X1208" t="str">
        <f>PROPER(TEXT(A1208,"dddd"))</f>
        <v>Domingo</v>
      </c>
      <c r="Y1208" t="str" cm="1">
        <f t="array" ref="Y1208">_xlfn.IFS(R1208&gt;10,"Excelente",R1208&gt;=5,"Bueno",R1208&gt;=2,"Débil",R1208&lt;2,"Deficiente")</f>
        <v>Débil</v>
      </c>
      <c r="Z1208" t="str">
        <f>IF(AND(R1208&lt;2,Q1208&gt;=100),"Revisar","OK")</f>
        <v>OK</v>
      </c>
      <c r="AA1208" s="55">
        <f>_xlfn.XLOOKUP(C1208,'Preguntas de negocio'!$C$114:$C$119,'Preguntas de negocio'!$D$114:$D$119,0)</f>
        <v>5</v>
      </c>
      <c r="AB1208" s="55">
        <f>VLOOKUP(C1208,'Preguntas de negocio'!$C$121:$D$127,2,FALSE)</f>
        <v>1.1000000000000001</v>
      </c>
    </row>
    <row r="1209" spans="1:28" x14ac:dyDescent="0.3">
      <c r="A1209" s="1">
        <v>45971</v>
      </c>
      <c r="B1209" s="2" t="s">
        <v>2631</v>
      </c>
      <c r="C1209" s="2" t="s">
        <v>2533</v>
      </c>
      <c r="D1209" s="2" t="s">
        <v>2522</v>
      </c>
      <c r="E1209" s="2" t="s">
        <v>2529</v>
      </c>
      <c r="F1209" s="3">
        <v>6232</v>
      </c>
      <c r="G1209" s="3">
        <v>422</v>
      </c>
      <c r="H1209" s="3">
        <v>12</v>
      </c>
      <c r="I1209" s="4">
        <v>408.58</v>
      </c>
      <c r="J1209" s="4">
        <v>1356.25</v>
      </c>
      <c r="K1209" s="3">
        <v>9</v>
      </c>
      <c r="L1209" s="2" t="s">
        <v>2518</v>
      </c>
      <c r="M1209" s="2" t="s">
        <v>2546</v>
      </c>
      <c r="N1209" s="8">
        <f>IFERROR(G1209/F1209,0)</f>
        <v>6.7715019255455713E-2</v>
      </c>
      <c r="O1209" s="8">
        <f>IFERROR(H1209/G1209,0)</f>
        <v>2.843601895734597E-2</v>
      </c>
      <c r="P1209" s="4">
        <f>IFERROR(I1209/G1209,0)</f>
        <v>0.96819905213270141</v>
      </c>
      <c r="Q1209" s="4">
        <f>IFERROR(I1209/H1209,0)</f>
        <v>34.048333333333332</v>
      </c>
      <c r="R1209" s="12">
        <f>IFERROR(J1209/I1209,0)</f>
        <v>3.3194233687405159</v>
      </c>
      <c r="S1209" s="7">
        <f>Tabla_nuevas_columnas[[#This Row],[ROAS]]</f>
        <v>3.3194233687405159</v>
      </c>
      <c r="T1209" t="str">
        <f>_xlfn.CONCAT(C1209,"-",D1209)</f>
        <v>Paid Social-Italia</v>
      </c>
      <c r="U1209">
        <f>YEAR(A1209)</f>
        <v>2025</v>
      </c>
      <c r="V1209">
        <f>MONTH(A1209)</f>
        <v>11</v>
      </c>
      <c r="W1209" t="str">
        <f>PROPER(TEXT(A1209,"mmmm"))</f>
        <v>Noviembre</v>
      </c>
      <c r="X1209" t="str">
        <f>PROPER(TEXT(A1209,"dddd"))</f>
        <v>Lunes</v>
      </c>
      <c r="Y1209" t="str" cm="1">
        <f t="array" ref="Y1209">_xlfn.IFS(R1209&gt;10,"Excelente",R1209&gt;=5,"Bueno",R1209&gt;=2,"Débil",R1209&lt;2,"Deficiente")</f>
        <v>Débil</v>
      </c>
      <c r="Z1209" t="str">
        <f>IF(AND(R1209&lt;2,Q1209&gt;=100),"Revisar","OK")</f>
        <v>OK</v>
      </c>
      <c r="AA1209" s="55">
        <f>_xlfn.XLOOKUP(C1209,'Preguntas de negocio'!$C$114:$C$119,'Preguntas de negocio'!$D$114:$D$119,0)</f>
        <v>6</v>
      </c>
      <c r="AB1209" s="55">
        <f>VLOOKUP(C1209,'Preguntas de negocio'!$C$121:$D$127,2,FALSE)</f>
        <v>0.8</v>
      </c>
    </row>
    <row r="1210" spans="1:28" x14ac:dyDescent="0.3">
      <c r="A1210" s="1">
        <v>45732</v>
      </c>
      <c r="B1210" s="2" t="s">
        <v>2633</v>
      </c>
      <c r="C1210" s="2" t="s">
        <v>2541</v>
      </c>
      <c r="D1210" s="2" t="s">
        <v>2528</v>
      </c>
      <c r="E1210" s="2" t="s">
        <v>2517</v>
      </c>
      <c r="F1210" s="3">
        <v>160233</v>
      </c>
      <c r="G1210" s="3">
        <v>9433</v>
      </c>
      <c r="H1210" s="3">
        <v>323</v>
      </c>
      <c r="I1210" s="4">
        <v>7076.21</v>
      </c>
      <c r="J1210" s="4">
        <v>66985.679999999993</v>
      </c>
      <c r="K1210" s="3">
        <v>273</v>
      </c>
      <c r="L1210" s="2" t="s">
        <v>2539</v>
      </c>
      <c r="M1210" s="2" t="s">
        <v>2519</v>
      </c>
      <c r="N1210" s="8">
        <f>IFERROR(G1210/F1210,0)</f>
        <v>5.8870519805533192E-2</v>
      </c>
      <c r="O1210" s="8">
        <f>IFERROR(H1210/G1210,0)</f>
        <v>3.4241492632248488E-2</v>
      </c>
      <c r="P1210" s="4">
        <f>IFERROR(I1210/G1210,0)</f>
        <v>0.7501547757871303</v>
      </c>
      <c r="Q1210" s="4">
        <f>IFERROR(I1210/H1210,0)</f>
        <v>21.907770897832819</v>
      </c>
      <c r="R1210" s="12">
        <f>IFERROR(J1210/I1210,0)</f>
        <v>9.4663216608890899</v>
      </c>
      <c r="S1210" s="7">
        <f>Tabla_nuevas_columnas[[#This Row],[ROAS]]</f>
        <v>9.4663216608890899</v>
      </c>
      <c r="T1210" t="str">
        <f>_xlfn.CONCAT(C1210,"-",D1210)</f>
        <v>Display-España</v>
      </c>
      <c r="U1210">
        <f>YEAR(A1210)</f>
        <v>2025</v>
      </c>
      <c r="V1210">
        <f>MONTH(A1210)</f>
        <v>3</v>
      </c>
      <c r="W1210" t="str">
        <f>PROPER(TEXT(A1210,"mmmm"))</f>
        <v>Marzo</v>
      </c>
      <c r="X1210" t="str">
        <f>PROPER(TEXT(A1210,"dddd"))</f>
        <v>Domingo</v>
      </c>
      <c r="Y1210" t="str" cm="1">
        <f t="array" ref="Y1210">_xlfn.IFS(R1210&gt;10,"Excelente",R1210&gt;=5,"Bueno",R1210&gt;=2,"Débil",R1210&lt;2,"Deficiente")</f>
        <v>Bueno</v>
      </c>
      <c r="Z1210" t="str">
        <f>IF(AND(R1210&lt;2,Q1210&gt;=100),"Revisar","OK")</f>
        <v>OK</v>
      </c>
      <c r="AA1210" s="55">
        <f>_xlfn.XLOOKUP(C1210,'Preguntas de negocio'!$C$114:$C$119,'Preguntas de negocio'!$D$114:$D$119,0)</f>
        <v>5</v>
      </c>
      <c r="AB1210" s="55">
        <f>VLOOKUP(C1210,'Preguntas de negocio'!$C$121:$D$127,2,FALSE)</f>
        <v>0.5</v>
      </c>
    </row>
    <row r="1211" spans="1:28" x14ac:dyDescent="0.3">
      <c r="A1211" s="1">
        <v>45816</v>
      </c>
      <c r="B1211" s="2" t="s">
        <v>2641</v>
      </c>
      <c r="C1211" s="2" t="s">
        <v>2521</v>
      </c>
      <c r="D1211" s="2" t="s">
        <v>2516</v>
      </c>
      <c r="E1211" s="2" t="s">
        <v>2517</v>
      </c>
      <c r="F1211" s="3">
        <v>12946</v>
      </c>
      <c r="G1211" s="3">
        <v>268</v>
      </c>
      <c r="H1211" s="3">
        <v>27</v>
      </c>
      <c r="I1211" s="4">
        <v>180.24</v>
      </c>
      <c r="J1211" s="4">
        <v>3075.64</v>
      </c>
      <c r="K1211" s="3">
        <v>22</v>
      </c>
      <c r="L1211" s="2" t="s">
        <v>2536</v>
      </c>
      <c r="M1211" s="2" t="s">
        <v>2519</v>
      </c>
      <c r="N1211" s="8">
        <f>IFERROR(G1211/F1211,0)</f>
        <v>2.0701374942067047E-2</v>
      </c>
      <c r="O1211" s="8">
        <f>IFERROR(H1211/G1211,0)</f>
        <v>0.10074626865671642</v>
      </c>
      <c r="P1211" s="4">
        <f>IFERROR(I1211/G1211,0)</f>
        <v>0.67253731343283585</v>
      </c>
      <c r="Q1211" s="4">
        <f>IFERROR(I1211/H1211,0)</f>
        <v>6.6755555555555555</v>
      </c>
      <c r="R1211" s="12">
        <f>IFERROR(J1211/I1211,0)</f>
        <v>17.064136706613404</v>
      </c>
      <c r="S1211" s="7">
        <f>Tabla_nuevas_columnas[[#This Row],[ROAS]]</f>
        <v>17.064136706613404</v>
      </c>
      <c r="T1211" t="str">
        <f>_xlfn.CONCAT(C1211,"-",D1211)</f>
        <v>Paid Search-México</v>
      </c>
      <c r="U1211">
        <f>YEAR(A1211)</f>
        <v>2025</v>
      </c>
      <c r="V1211">
        <f>MONTH(A1211)</f>
        <v>6</v>
      </c>
      <c r="W1211" t="str">
        <f>PROPER(TEXT(A1211,"mmmm"))</f>
        <v>Junio</v>
      </c>
      <c r="X1211" t="str">
        <f>PROPER(TEXT(A1211,"dddd"))</f>
        <v>Domingo</v>
      </c>
      <c r="Y1211" t="str" cm="1">
        <f t="array" ref="Y1211">_xlfn.IFS(R1211&gt;10,"Excelente",R1211&gt;=5,"Bueno",R1211&gt;=2,"Débil",R1211&lt;2,"Deficiente")</f>
        <v>Excelente</v>
      </c>
      <c r="Z1211" t="str">
        <f>IF(AND(R1211&lt;2,Q1211&gt;=100),"Revisar","OK")</f>
        <v>OK</v>
      </c>
      <c r="AA1211" s="55">
        <f>_xlfn.XLOOKUP(C1211,'Preguntas de negocio'!$C$114:$C$119,'Preguntas de negocio'!$D$114:$D$119,0)</f>
        <v>5</v>
      </c>
      <c r="AB1211" s="55">
        <f>VLOOKUP(C1211,'Preguntas de negocio'!$C$121:$D$127,2,FALSE)</f>
        <v>1.1000000000000001</v>
      </c>
    </row>
    <row r="1212" spans="1:28" x14ac:dyDescent="0.3">
      <c r="A1212" s="1">
        <v>45841</v>
      </c>
      <c r="B1212" s="2" t="s">
        <v>2638</v>
      </c>
      <c r="C1212" s="2" t="s">
        <v>2515</v>
      </c>
      <c r="D1212" s="2" t="s">
        <v>2528</v>
      </c>
      <c r="E1212" s="2" t="s">
        <v>2517</v>
      </c>
      <c r="F1212" s="3">
        <v>153327</v>
      </c>
      <c r="G1212" s="3">
        <v>8364</v>
      </c>
      <c r="H1212" s="3">
        <v>1020</v>
      </c>
      <c r="I1212" s="4">
        <v>5428.53</v>
      </c>
      <c r="J1212" s="4">
        <v>121328.6</v>
      </c>
      <c r="K1212" s="3">
        <v>693</v>
      </c>
      <c r="L1212" s="2" t="s">
        <v>2523</v>
      </c>
      <c r="M1212" s="2" t="s">
        <v>2537</v>
      </c>
      <c r="N1212" s="8">
        <f>IFERROR(G1212/F1212,0)</f>
        <v>5.4550079242403487E-2</v>
      </c>
      <c r="O1212" s="8">
        <f>IFERROR(H1212/G1212,0)</f>
        <v>0.12195121951219512</v>
      </c>
      <c r="P1212" s="4">
        <f>IFERROR(I1212/G1212,0)</f>
        <v>0.64903515064562411</v>
      </c>
      <c r="Q1212" s="4">
        <f>IFERROR(I1212/H1212,0)</f>
        <v>5.3220882352941175</v>
      </c>
      <c r="R1212" s="12">
        <f>IFERROR(J1212/I1212,0)</f>
        <v>22.350175830289235</v>
      </c>
      <c r="S1212" s="7">
        <f>Tabla_nuevas_columnas[[#This Row],[ROAS]]</f>
        <v>22.350175830289235</v>
      </c>
      <c r="T1212" t="str">
        <f>_xlfn.CONCAT(C1212,"-",D1212)</f>
        <v>Email-España</v>
      </c>
      <c r="U1212">
        <f>YEAR(A1212)</f>
        <v>2025</v>
      </c>
      <c r="V1212">
        <f>MONTH(A1212)</f>
        <v>7</v>
      </c>
      <c r="W1212" t="str">
        <f>PROPER(TEXT(A1212,"mmmm"))</f>
        <v>Julio</v>
      </c>
      <c r="X1212" t="str">
        <f>PROPER(TEXT(A1212,"dddd"))</f>
        <v>Jueves</v>
      </c>
      <c r="Y1212" t="str" cm="1">
        <f t="array" ref="Y1212">_xlfn.IFS(R1212&gt;10,"Excelente",R1212&gt;=5,"Bueno",R1212&gt;=2,"Débil",R1212&lt;2,"Deficiente")</f>
        <v>Excelente</v>
      </c>
      <c r="Z1212" t="str">
        <f>IF(AND(R1212&lt;2,Q1212&gt;=100),"Revisar","OK")</f>
        <v>OK</v>
      </c>
      <c r="AA1212" s="55">
        <f>_xlfn.XLOOKUP(C1212,'Preguntas de negocio'!$C$114:$C$119,'Preguntas de negocio'!$D$114:$D$119,0)</f>
        <v>5.5</v>
      </c>
      <c r="AB1212" s="55">
        <f>VLOOKUP(C1212,'Preguntas de negocio'!$C$121:$D$127,2,FALSE)</f>
        <v>0.65</v>
      </c>
    </row>
    <row r="1213" spans="1:28" x14ac:dyDescent="0.3">
      <c r="A1213" s="1">
        <v>45886</v>
      </c>
      <c r="B1213" s="2" t="s">
        <v>2624</v>
      </c>
      <c r="C1213" s="2" t="s">
        <v>2515</v>
      </c>
      <c r="D1213" s="2" t="s">
        <v>2528</v>
      </c>
      <c r="E1213" s="2" t="s">
        <v>2534</v>
      </c>
      <c r="F1213" s="3">
        <v>90293</v>
      </c>
      <c r="G1213" s="3">
        <v>4786</v>
      </c>
      <c r="H1213" s="3">
        <v>135</v>
      </c>
      <c r="I1213" s="4">
        <v>9306.6200000000008</v>
      </c>
      <c r="J1213" s="4">
        <v>22431.64</v>
      </c>
      <c r="K1213" s="3">
        <v>115</v>
      </c>
      <c r="L1213" s="2" t="s">
        <v>2523</v>
      </c>
      <c r="M1213" s="2" t="s">
        <v>2537</v>
      </c>
      <c r="N1213" s="8">
        <f>IFERROR(G1213/F1213,0)</f>
        <v>5.3005216351212164E-2</v>
      </c>
      <c r="O1213" s="8">
        <f>IFERROR(H1213/G1213,0)</f>
        <v>2.8207271207689094E-2</v>
      </c>
      <c r="P1213" s="4">
        <f>IFERROR(I1213/G1213,0)</f>
        <v>1.9445507730881739</v>
      </c>
      <c r="Q1213" s="4">
        <f>IFERROR(I1213/H1213,0)</f>
        <v>68.937925925925938</v>
      </c>
      <c r="R1213" s="12">
        <f>IFERROR(J1213/I1213,0)</f>
        <v>2.4102885902723004</v>
      </c>
      <c r="S1213" s="7">
        <f>Tabla_nuevas_columnas[[#This Row],[ROAS]]</f>
        <v>2.4102885902723004</v>
      </c>
      <c r="T1213" t="str">
        <f>_xlfn.CONCAT(C1213,"-",D1213)</f>
        <v>Email-España</v>
      </c>
      <c r="U1213">
        <f>YEAR(A1213)</f>
        <v>2025</v>
      </c>
      <c r="V1213">
        <f>MONTH(A1213)</f>
        <v>8</v>
      </c>
      <c r="W1213" t="str">
        <f>PROPER(TEXT(A1213,"mmmm"))</f>
        <v>Agosto</v>
      </c>
      <c r="X1213" t="str">
        <f>PROPER(TEXT(A1213,"dddd"))</f>
        <v>Domingo</v>
      </c>
      <c r="Y1213" t="str" cm="1">
        <f t="array" ref="Y1213">_xlfn.IFS(R1213&gt;10,"Excelente",R1213&gt;=5,"Bueno",R1213&gt;=2,"Débil",R1213&lt;2,"Deficiente")</f>
        <v>Débil</v>
      </c>
      <c r="Z1213" t="str">
        <f>IF(AND(R1213&lt;2,Q1213&gt;=100),"Revisar","OK")</f>
        <v>OK</v>
      </c>
      <c r="AA1213" s="55">
        <f>_xlfn.XLOOKUP(C1213,'Preguntas de negocio'!$C$114:$C$119,'Preguntas de negocio'!$D$114:$D$119,0)</f>
        <v>5.5</v>
      </c>
      <c r="AB1213" s="55">
        <f>VLOOKUP(C1213,'Preguntas de negocio'!$C$121:$D$127,2,FALSE)</f>
        <v>0.65</v>
      </c>
    </row>
    <row r="1214" spans="1:28" x14ac:dyDescent="0.3">
      <c r="A1214" s="1">
        <v>45794</v>
      </c>
      <c r="B1214" s="2" t="s">
        <v>2636</v>
      </c>
      <c r="C1214" s="2" t="s">
        <v>2541</v>
      </c>
      <c r="D1214" s="2" t="s">
        <v>2528</v>
      </c>
      <c r="E1214" s="2" t="s">
        <v>2529</v>
      </c>
      <c r="F1214" s="3">
        <v>39108</v>
      </c>
      <c r="G1214" s="3">
        <v>390</v>
      </c>
      <c r="H1214" s="3">
        <v>50</v>
      </c>
      <c r="I1214" s="4">
        <v>237.92</v>
      </c>
      <c r="J1214" s="4">
        <v>4798.3</v>
      </c>
      <c r="K1214" s="3">
        <v>30</v>
      </c>
      <c r="L1214" s="2" t="s">
        <v>2518</v>
      </c>
      <c r="M1214" s="2" t="s">
        <v>2524</v>
      </c>
      <c r="N1214" s="8">
        <f>IFERROR(G1214/F1214,0)</f>
        <v>9.9723841669223691E-3</v>
      </c>
      <c r="O1214" s="8">
        <f>IFERROR(H1214/G1214,0)</f>
        <v>0.12820512820512819</v>
      </c>
      <c r="P1214" s="4">
        <f>IFERROR(I1214/G1214,0)</f>
        <v>0.61005128205128201</v>
      </c>
      <c r="Q1214" s="4">
        <f>IFERROR(I1214/H1214,0)</f>
        <v>4.7584</v>
      </c>
      <c r="R1214" s="12">
        <f>IFERROR(J1214/I1214,0)</f>
        <v>20.167703429724281</v>
      </c>
      <c r="S1214" s="7">
        <f>Tabla_nuevas_columnas[[#This Row],[ROAS]]</f>
        <v>20.167703429724281</v>
      </c>
      <c r="T1214" t="str">
        <f>_xlfn.CONCAT(C1214,"-",D1214)</f>
        <v>Display-España</v>
      </c>
      <c r="U1214">
        <f>YEAR(A1214)</f>
        <v>2025</v>
      </c>
      <c r="V1214">
        <f>MONTH(A1214)</f>
        <v>5</v>
      </c>
      <c r="W1214" t="str">
        <f>PROPER(TEXT(A1214,"mmmm"))</f>
        <v>Mayo</v>
      </c>
      <c r="X1214" t="str">
        <f>PROPER(TEXT(A1214,"dddd"))</f>
        <v>Sábado</v>
      </c>
      <c r="Y1214" t="str" cm="1">
        <f t="array" ref="Y1214">_xlfn.IFS(R1214&gt;10,"Excelente",R1214&gt;=5,"Bueno",R1214&gt;=2,"Débil",R1214&lt;2,"Deficiente")</f>
        <v>Excelente</v>
      </c>
      <c r="Z1214" t="str">
        <f>IF(AND(R1214&lt;2,Q1214&gt;=100),"Revisar","OK")</f>
        <v>OK</v>
      </c>
      <c r="AA1214" s="55">
        <f>_xlfn.XLOOKUP(C1214,'Preguntas de negocio'!$C$114:$C$119,'Preguntas de negocio'!$D$114:$D$119,0)</f>
        <v>5</v>
      </c>
      <c r="AB1214" s="55">
        <f>VLOOKUP(C1214,'Preguntas de negocio'!$C$121:$D$127,2,FALSE)</f>
        <v>0.5</v>
      </c>
    </row>
    <row r="1215" spans="1:28" x14ac:dyDescent="0.3">
      <c r="A1215" s="1">
        <v>45883</v>
      </c>
      <c r="B1215" s="2" t="s">
        <v>2620</v>
      </c>
      <c r="C1215" s="2" t="s">
        <v>2543</v>
      </c>
      <c r="D1215" s="2" t="s">
        <v>2516</v>
      </c>
      <c r="E1215" s="2" t="s">
        <v>2529</v>
      </c>
      <c r="F1215" s="3">
        <v>51148</v>
      </c>
      <c r="G1215" s="3">
        <v>3224</v>
      </c>
      <c r="H1215" s="3">
        <v>263</v>
      </c>
      <c r="I1215" s="4">
        <v>6414.06</v>
      </c>
      <c r="J1215" s="4">
        <v>24716.03</v>
      </c>
      <c r="K1215" s="3">
        <v>191</v>
      </c>
      <c r="L1215" s="2" t="s">
        <v>2536</v>
      </c>
      <c r="M1215" s="2" t="s">
        <v>2526</v>
      </c>
      <c r="N1215" s="8">
        <f>IFERROR(G1215/F1215,0)</f>
        <v>6.3032767654649255E-2</v>
      </c>
      <c r="O1215" s="8">
        <f>IFERROR(H1215/G1215,0)</f>
        <v>8.1575682382134002E-2</v>
      </c>
      <c r="P1215" s="4">
        <f>IFERROR(I1215/G1215,0)</f>
        <v>1.9894727047146403</v>
      </c>
      <c r="Q1215" s="4">
        <f>IFERROR(I1215/H1215,0)</f>
        <v>24.388060836501904</v>
      </c>
      <c r="R1215" s="12">
        <f>IFERROR(J1215/I1215,0)</f>
        <v>3.8534142181395241</v>
      </c>
      <c r="S1215" s="7">
        <f>Tabla_nuevas_columnas[[#This Row],[ROAS]]</f>
        <v>3.8534142181395241</v>
      </c>
      <c r="T1215" t="str">
        <f>_xlfn.CONCAT(C1215,"-",D1215)</f>
        <v>Organic Social-México</v>
      </c>
      <c r="U1215">
        <f>YEAR(A1215)</f>
        <v>2025</v>
      </c>
      <c r="V1215">
        <f>MONTH(A1215)</f>
        <v>8</v>
      </c>
      <c r="W1215" t="str">
        <f>PROPER(TEXT(A1215,"mmmm"))</f>
        <v>Agosto</v>
      </c>
      <c r="X1215" t="str">
        <f>PROPER(TEXT(A1215,"dddd"))</f>
        <v>Jueves</v>
      </c>
      <c r="Y1215" t="str" cm="1">
        <f t="array" ref="Y1215">_xlfn.IFS(R1215&gt;10,"Excelente",R1215&gt;=5,"Bueno",R1215&gt;=2,"Débil",R1215&lt;2,"Deficiente")</f>
        <v>Débil</v>
      </c>
      <c r="Z1215" t="str">
        <f>IF(AND(R1215&lt;2,Q1215&gt;=100),"Revisar","OK")</f>
        <v>OK</v>
      </c>
      <c r="AA1215" s="55">
        <f>_xlfn.XLOOKUP(C1215,'Preguntas de negocio'!$C$114:$C$119,'Preguntas de negocio'!$D$114:$D$119,0)</f>
        <v>4</v>
      </c>
      <c r="AB1215" s="55">
        <f>VLOOKUP(C1215,'Preguntas de negocio'!$C$121:$D$127,2,FALSE)</f>
        <v>0.95</v>
      </c>
    </row>
    <row r="1216" spans="1:28" x14ac:dyDescent="0.3">
      <c r="A1216" s="1">
        <v>45835</v>
      </c>
      <c r="B1216" s="2" t="s">
        <v>2621</v>
      </c>
      <c r="C1216" s="2" t="s">
        <v>2533</v>
      </c>
      <c r="D1216" s="2" t="s">
        <v>2528</v>
      </c>
      <c r="E1216" s="2" t="s">
        <v>2529</v>
      </c>
      <c r="F1216" s="3">
        <v>19058</v>
      </c>
      <c r="G1216" s="3">
        <v>613</v>
      </c>
      <c r="H1216" s="3">
        <v>4</v>
      </c>
      <c r="I1216" s="4">
        <v>291.97000000000003</v>
      </c>
      <c r="J1216" s="4">
        <v>705.19</v>
      </c>
      <c r="K1216" s="3">
        <v>2</v>
      </c>
      <c r="L1216" s="2" t="s">
        <v>2539</v>
      </c>
      <c r="M1216" s="2" t="s">
        <v>2546</v>
      </c>
      <c r="N1216" s="8">
        <f>IFERROR(G1216/F1216,0)</f>
        <v>3.2164970091300239E-2</v>
      </c>
      <c r="O1216" s="8">
        <f>IFERROR(H1216/G1216,0)</f>
        <v>6.5252854812398045E-3</v>
      </c>
      <c r="P1216" s="4">
        <f>IFERROR(I1216/G1216,0)</f>
        <v>0.47629690048939644</v>
      </c>
      <c r="Q1216" s="4">
        <f>IFERROR(I1216/H1216,0)</f>
        <v>72.992500000000007</v>
      </c>
      <c r="R1216" s="12">
        <f>IFERROR(J1216/I1216,0)</f>
        <v>2.4152823920265782</v>
      </c>
      <c r="S1216" s="7">
        <f>Tabla_nuevas_columnas[[#This Row],[ROAS]]</f>
        <v>2.4152823920265782</v>
      </c>
      <c r="T1216" t="str">
        <f>_xlfn.CONCAT(C1216,"-",D1216)</f>
        <v>Paid Social-España</v>
      </c>
      <c r="U1216">
        <f>YEAR(A1216)</f>
        <v>2025</v>
      </c>
      <c r="V1216">
        <f>MONTH(A1216)</f>
        <v>6</v>
      </c>
      <c r="W1216" t="str">
        <f>PROPER(TEXT(A1216,"mmmm"))</f>
        <v>Junio</v>
      </c>
      <c r="X1216" t="str">
        <f>PROPER(TEXT(A1216,"dddd"))</f>
        <v>Viernes</v>
      </c>
      <c r="Y1216" t="str" cm="1">
        <f t="array" ref="Y1216">_xlfn.IFS(R1216&gt;10,"Excelente",R1216&gt;=5,"Bueno",R1216&gt;=2,"Débil",R1216&lt;2,"Deficiente")</f>
        <v>Débil</v>
      </c>
      <c r="Z1216" t="str">
        <f>IF(AND(R1216&lt;2,Q1216&gt;=100),"Revisar","OK")</f>
        <v>OK</v>
      </c>
      <c r="AA1216" s="55">
        <f>_xlfn.XLOOKUP(C1216,'Preguntas de negocio'!$C$114:$C$119,'Preguntas de negocio'!$D$114:$D$119,0)</f>
        <v>6</v>
      </c>
      <c r="AB1216" s="55">
        <f>VLOOKUP(C1216,'Preguntas de negocio'!$C$121:$D$127,2,FALSE)</f>
        <v>0.8</v>
      </c>
    </row>
    <row r="1217" spans="1:28" x14ac:dyDescent="0.3">
      <c r="A1217" s="1">
        <v>45927</v>
      </c>
      <c r="B1217" s="2" t="s">
        <v>2622</v>
      </c>
      <c r="C1217" s="2" t="s">
        <v>2527</v>
      </c>
      <c r="D1217" s="2" t="s">
        <v>2525</v>
      </c>
      <c r="E1217" s="2" t="s">
        <v>2534</v>
      </c>
      <c r="F1217" s="3">
        <v>12708</v>
      </c>
      <c r="G1217" s="3">
        <v>757</v>
      </c>
      <c r="H1217" s="3">
        <v>12</v>
      </c>
      <c r="I1217" s="4">
        <v>329.14</v>
      </c>
      <c r="J1217" s="4">
        <v>1913.44</v>
      </c>
      <c r="K1217" s="3">
        <v>9</v>
      </c>
      <c r="L1217" s="2" t="s">
        <v>2536</v>
      </c>
      <c r="M1217" s="2" t="s">
        <v>2537</v>
      </c>
      <c r="N1217" s="8">
        <f>IFERROR(G1217/F1217,0)</f>
        <v>5.9568775574441298E-2</v>
      </c>
      <c r="O1217" s="8">
        <f>IFERROR(H1217/G1217,0)</f>
        <v>1.5852047556142668E-2</v>
      </c>
      <c r="P1217" s="4">
        <f>IFERROR(I1217/G1217,0)</f>
        <v>0.43479524438573314</v>
      </c>
      <c r="Q1217" s="4">
        <f>IFERROR(I1217/H1217,0)</f>
        <v>27.428333333333331</v>
      </c>
      <c r="R1217" s="12">
        <f>IFERROR(J1217/I1217,0)</f>
        <v>5.8134532417816134</v>
      </c>
      <c r="S1217" s="7">
        <f>Tabla_nuevas_columnas[[#This Row],[ROAS]]</f>
        <v>5.8134532417816134</v>
      </c>
      <c r="T1217" t="str">
        <f>_xlfn.CONCAT(C1217,"-",D1217)</f>
        <v>Affiliate-Francia</v>
      </c>
      <c r="U1217">
        <f>YEAR(A1217)</f>
        <v>2025</v>
      </c>
      <c r="V1217">
        <f>MONTH(A1217)</f>
        <v>9</v>
      </c>
      <c r="W1217" t="str">
        <f>PROPER(TEXT(A1217,"mmmm"))</f>
        <v>Septiembre</v>
      </c>
      <c r="X1217" t="str">
        <f>PROPER(TEXT(A1217,"dddd"))</f>
        <v>Sábado</v>
      </c>
      <c r="Y1217" t="str" cm="1">
        <f t="array" ref="Y1217">_xlfn.IFS(R1217&gt;10,"Excelente",R1217&gt;=5,"Bueno",R1217&gt;=2,"Débil",R1217&lt;2,"Deficiente")</f>
        <v>Bueno</v>
      </c>
      <c r="Z1217" t="str">
        <f>IF(AND(R1217&lt;2,Q1217&gt;=100),"Revisar","OK")</f>
        <v>OK</v>
      </c>
      <c r="AA1217" s="55">
        <f>_xlfn.XLOOKUP(C1217,'Preguntas de negocio'!$C$114:$C$119,'Preguntas de negocio'!$D$114:$D$119,0)</f>
        <v>4.5</v>
      </c>
      <c r="AB1217" s="55">
        <f>VLOOKUP(C1217,'Preguntas de negocio'!$C$121:$D$127,2,FALSE)</f>
        <v>0.35</v>
      </c>
    </row>
    <row r="1218" spans="1:28" x14ac:dyDescent="0.3">
      <c r="A1218" s="1">
        <v>45958</v>
      </c>
      <c r="B1218" s="2" t="s">
        <v>2632</v>
      </c>
      <c r="C1218" s="2" t="s">
        <v>2515</v>
      </c>
      <c r="D1218" s="2" t="s">
        <v>2516</v>
      </c>
      <c r="E1218" s="2" t="s">
        <v>2517</v>
      </c>
      <c r="F1218" s="3">
        <v>155927</v>
      </c>
      <c r="G1218" s="3">
        <v>13267</v>
      </c>
      <c r="H1218" s="3">
        <v>789</v>
      </c>
      <c r="I1218" s="4">
        <v>11858.97</v>
      </c>
      <c r="J1218" s="4">
        <v>18689.599999999999</v>
      </c>
      <c r="K1218" s="3">
        <v>551</v>
      </c>
      <c r="L1218" s="2" t="s">
        <v>2518</v>
      </c>
      <c r="M1218" s="2" t="s">
        <v>2537</v>
      </c>
      <c r="N1218" s="8">
        <f>IFERROR(G1218/F1218,0)</f>
        <v>8.5084687065100972E-2</v>
      </c>
      <c r="O1218" s="8">
        <f>IFERROR(H1218/G1218,0)</f>
        <v>5.9470867566141554E-2</v>
      </c>
      <c r="P1218" s="4">
        <f>IFERROR(I1218/G1218,0)</f>
        <v>0.89386975201628094</v>
      </c>
      <c r="Q1218" s="4">
        <f>IFERROR(I1218/H1218,0)</f>
        <v>15.030380228136881</v>
      </c>
      <c r="R1218" s="12">
        <f>IFERROR(J1218/I1218,0)</f>
        <v>1.5759884711741408</v>
      </c>
      <c r="S1218" s="7">
        <f>Tabla_nuevas_columnas[[#This Row],[ROAS]]</f>
        <v>1.5759884711741408</v>
      </c>
      <c r="T1218" t="str">
        <f>_xlfn.CONCAT(C1218,"-",D1218)</f>
        <v>Email-México</v>
      </c>
      <c r="U1218">
        <f>YEAR(A1218)</f>
        <v>2025</v>
      </c>
      <c r="V1218">
        <f>MONTH(A1218)</f>
        <v>10</v>
      </c>
      <c r="W1218" t="str">
        <f>PROPER(TEXT(A1218,"mmmm"))</f>
        <v>Octubre</v>
      </c>
      <c r="X1218" t="str">
        <f>PROPER(TEXT(A1218,"dddd"))</f>
        <v>Martes</v>
      </c>
      <c r="Y1218" t="str" cm="1">
        <f t="array" ref="Y1218">_xlfn.IFS(R1218&gt;10,"Excelente",R1218&gt;=5,"Bueno",R1218&gt;=2,"Débil",R1218&lt;2,"Deficiente")</f>
        <v>Deficiente</v>
      </c>
      <c r="Z1218" t="str">
        <f>IF(AND(R1218&lt;2,Q1218&gt;=100),"Revisar","OK")</f>
        <v>OK</v>
      </c>
      <c r="AA1218" s="55">
        <f>_xlfn.XLOOKUP(C1218,'Preguntas de negocio'!$C$114:$C$119,'Preguntas de negocio'!$D$114:$D$119,0)</f>
        <v>5.5</v>
      </c>
      <c r="AB1218" s="55">
        <f>VLOOKUP(C1218,'Preguntas de negocio'!$C$121:$D$127,2,FALSE)</f>
        <v>0.65</v>
      </c>
    </row>
    <row r="1219" spans="1:28" x14ac:dyDescent="0.3">
      <c r="A1219" s="1">
        <v>45661</v>
      </c>
      <c r="B1219" s="2" t="s">
        <v>2636</v>
      </c>
      <c r="C1219" s="2" t="s">
        <v>2527</v>
      </c>
      <c r="D1219" s="2" t="s">
        <v>2516</v>
      </c>
      <c r="E1219" s="2" t="s">
        <v>2529</v>
      </c>
      <c r="F1219" s="3">
        <v>37910</v>
      </c>
      <c r="G1219" s="3">
        <v>1003</v>
      </c>
      <c r="H1219" s="3">
        <v>138</v>
      </c>
      <c r="I1219" s="4">
        <v>1350.23</v>
      </c>
      <c r="J1219" s="4">
        <v>11158.68</v>
      </c>
      <c r="K1219" s="3">
        <v>86</v>
      </c>
      <c r="L1219" s="2" t="s">
        <v>2523</v>
      </c>
      <c r="M1219" s="2" t="s">
        <v>2526</v>
      </c>
      <c r="N1219" s="8">
        <f>IFERROR(G1219/F1219,0)</f>
        <v>2.6457399103139014E-2</v>
      </c>
      <c r="O1219" s="8">
        <f>IFERROR(H1219/G1219,0)</f>
        <v>0.13758723828514458</v>
      </c>
      <c r="P1219" s="4">
        <f>IFERROR(I1219/G1219,0)</f>
        <v>1.3461914257228316</v>
      </c>
      <c r="Q1219" s="4">
        <f>IFERROR(I1219/H1219,0)</f>
        <v>9.7842753623188408</v>
      </c>
      <c r="R1219" s="12">
        <f>IFERROR(J1219/I1219,0)</f>
        <v>8.2642809002910624</v>
      </c>
      <c r="S1219" s="7">
        <f>Tabla_nuevas_columnas[[#This Row],[ROAS]]</f>
        <v>8.2642809002910624</v>
      </c>
      <c r="T1219" t="str">
        <f>_xlfn.CONCAT(C1219,"-",D1219)</f>
        <v>Affiliate-México</v>
      </c>
      <c r="U1219">
        <f>YEAR(A1219)</f>
        <v>2025</v>
      </c>
      <c r="V1219">
        <f>MONTH(A1219)</f>
        <v>1</v>
      </c>
      <c r="W1219" t="str">
        <f>PROPER(TEXT(A1219,"mmmm"))</f>
        <v>Enero</v>
      </c>
      <c r="X1219" t="str">
        <f>PROPER(TEXT(A1219,"dddd"))</f>
        <v>Sábado</v>
      </c>
      <c r="Y1219" t="str" cm="1">
        <f t="array" ref="Y1219">_xlfn.IFS(R1219&gt;10,"Excelente",R1219&gt;=5,"Bueno",R1219&gt;=2,"Débil",R1219&lt;2,"Deficiente")</f>
        <v>Bueno</v>
      </c>
      <c r="Z1219" t="str">
        <f>IF(AND(R1219&lt;2,Q1219&gt;=100),"Revisar","OK")</f>
        <v>OK</v>
      </c>
      <c r="AA1219" s="55">
        <f>_xlfn.XLOOKUP(C1219,'Preguntas de negocio'!$C$114:$C$119,'Preguntas de negocio'!$D$114:$D$119,0)</f>
        <v>4.5</v>
      </c>
      <c r="AB1219" s="55">
        <f>VLOOKUP(C1219,'Preguntas de negocio'!$C$121:$D$127,2,FALSE)</f>
        <v>0.35</v>
      </c>
    </row>
    <row r="1220" spans="1:28" x14ac:dyDescent="0.3">
      <c r="A1220" s="1">
        <v>45815</v>
      </c>
      <c r="B1220" s="2" t="s">
        <v>2633</v>
      </c>
      <c r="C1220" s="2" t="s">
        <v>2533</v>
      </c>
      <c r="D1220" s="2" t="s">
        <v>2516</v>
      </c>
      <c r="E1220" s="2" t="s">
        <v>2517</v>
      </c>
      <c r="F1220" s="3">
        <v>179825</v>
      </c>
      <c r="G1220" s="3">
        <v>14838</v>
      </c>
      <c r="H1220" s="3">
        <v>600</v>
      </c>
      <c r="I1220" s="4">
        <v>17852.560000000001</v>
      </c>
      <c r="J1220" s="4">
        <v>17469.78</v>
      </c>
      <c r="K1220" s="3">
        <v>426</v>
      </c>
      <c r="L1220" s="2" t="s">
        <v>2536</v>
      </c>
      <c r="M1220" s="2" t="s">
        <v>2537</v>
      </c>
      <c r="N1220" s="8">
        <f>IFERROR(G1220/F1220,0)</f>
        <v>8.2513554844988179E-2</v>
      </c>
      <c r="O1220" s="8">
        <f>IFERROR(H1220/G1220,0)</f>
        <v>4.0436716538617065E-2</v>
      </c>
      <c r="P1220" s="4">
        <f>IFERROR(I1220/G1220,0)</f>
        <v>1.2031648470144225</v>
      </c>
      <c r="Q1220" s="4">
        <f>IFERROR(I1220/H1220,0)</f>
        <v>29.75426666666667</v>
      </c>
      <c r="R1220" s="12">
        <f>IFERROR(J1220/I1220,0)</f>
        <v>0.9785588173348807</v>
      </c>
      <c r="S1220" s="7">
        <f>Tabla_nuevas_columnas[[#This Row],[ROAS]]</f>
        <v>0.9785588173348807</v>
      </c>
      <c r="T1220" t="str">
        <f>_xlfn.CONCAT(C1220,"-",D1220)</f>
        <v>Paid Social-México</v>
      </c>
      <c r="U1220">
        <f>YEAR(A1220)</f>
        <v>2025</v>
      </c>
      <c r="V1220">
        <f>MONTH(A1220)</f>
        <v>6</v>
      </c>
      <c r="W1220" t="str">
        <f>PROPER(TEXT(A1220,"mmmm"))</f>
        <v>Junio</v>
      </c>
      <c r="X1220" t="str">
        <f>PROPER(TEXT(A1220,"dddd"))</f>
        <v>Sábado</v>
      </c>
      <c r="Y1220" t="str" cm="1">
        <f t="array" ref="Y1220">_xlfn.IFS(R1220&gt;10,"Excelente",R1220&gt;=5,"Bueno",R1220&gt;=2,"Débil",R1220&lt;2,"Deficiente")</f>
        <v>Deficiente</v>
      </c>
      <c r="Z1220" t="str">
        <f>IF(AND(R1220&lt;2,Q1220&gt;=100),"Revisar","OK")</f>
        <v>OK</v>
      </c>
      <c r="AA1220" s="55">
        <f>_xlfn.XLOOKUP(C1220,'Preguntas de negocio'!$C$114:$C$119,'Preguntas de negocio'!$D$114:$D$119,0)</f>
        <v>6</v>
      </c>
      <c r="AB1220" s="55">
        <f>VLOOKUP(C1220,'Preguntas de negocio'!$C$121:$D$127,2,FALSE)</f>
        <v>0.8</v>
      </c>
    </row>
    <row r="1221" spans="1:28" x14ac:dyDescent="0.3">
      <c r="A1221" s="1">
        <v>45943</v>
      </c>
      <c r="B1221" s="2" t="s">
        <v>2640</v>
      </c>
      <c r="C1221" s="2" t="s">
        <v>2541</v>
      </c>
      <c r="D1221" s="2" t="s">
        <v>2528</v>
      </c>
      <c r="E1221" s="2" t="s">
        <v>2534</v>
      </c>
      <c r="F1221" s="3">
        <v>45683</v>
      </c>
      <c r="G1221" s="3">
        <v>2194</v>
      </c>
      <c r="H1221" s="3">
        <v>111</v>
      </c>
      <c r="I1221" s="4">
        <v>1579.47</v>
      </c>
      <c r="J1221" s="4">
        <v>13768.47</v>
      </c>
      <c r="K1221" s="3">
        <v>84</v>
      </c>
      <c r="L1221" s="2" t="s">
        <v>2523</v>
      </c>
      <c r="M1221" s="2" t="s">
        <v>2546</v>
      </c>
      <c r="N1221" s="8">
        <f>IFERROR(G1221/F1221,0)</f>
        <v>4.8026618216842148E-2</v>
      </c>
      <c r="O1221" s="8">
        <f>IFERROR(H1221/G1221,0)</f>
        <v>5.0592525068368276E-2</v>
      </c>
      <c r="P1221" s="4">
        <f>IFERROR(I1221/G1221,0)</f>
        <v>0.7199042844120328</v>
      </c>
      <c r="Q1221" s="4">
        <f>IFERROR(I1221/H1221,0)</f>
        <v>14.229459459459459</v>
      </c>
      <c r="R1221" s="12">
        <f>IFERROR(J1221/I1221,0)</f>
        <v>8.7171456247981904</v>
      </c>
      <c r="S1221" s="7">
        <f>Tabla_nuevas_columnas[[#This Row],[ROAS]]</f>
        <v>8.7171456247981904</v>
      </c>
      <c r="T1221" t="str">
        <f>_xlfn.CONCAT(C1221,"-",D1221)</f>
        <v>Display-España</v>
      </c>
      <c r="U1221">
        <f>YEAR(A1221)</f>
        <v>2025</v>
      </c>
      <c r="V1221">
        <f>MONTH(A1221)</f>
        <v>10</v>
      </c>
      <c r="W1221" t="str">
        <f>PROPER(TEXT(A1221,"mmmm"))</f>
        <v>Octubre</v>
      </c>
      <c r="X1221" t="str">
        <f>PROPER(TEXT(A1221,"dddd"))</f>
        <v>Lunes</v>
      </c>
      <c r="Y1221" t="str" cm="1">
        <f t="array" ref="Y1221">_xlfn.IFS(R1221&gt;10,"Excelente",R1221&gt;=5,"Bueno",R1221&gt;=2,"Débil",R1221&lt;2,"Deficiente")</f>
        <v>Bueno</v>
      </c>
      <c r="Z1221" t="str">
        <f>IF(AND(R1221&lt;2,Q1221&gt;=100),"Revisar","OK")</f>
        <v>OK</v>
      </c>
      <c r="AA1221" s="55">
        <f>_xlfn.XLOOKUP(C1221,'Preguntas de negocio'!$C$114:$C$119,'Preguntas de negocio'!$D$114:$D$119,0)</f>
        <v>5</v>
      </c>
      <c r="AB1221" s="55">
        <f>VLOOKUP(C1221,'Preguntas de negocio'!$C$121:$D$127,2,FALSE)</f>
        <v>0.5</v>
      </c>
    </row>
    <row r="1222" spans="1:28" x14ac:dyDescent="0.3">
      <c r="A1222" s="1">
        <v>46021</v>
      </c>
      <c r="B1222" s="2" t="s">
        <v>2618</v>
      </c>
      <c r="C1222" s="2" t="s">
        <v>2521</v>
      </c>
      <c r="D1222" s="2" t="s">
        <v>2528</v>
      </c>
      <c r="E1222" s="2" t="s">
        <v>2529</v>
      </c>
      <c r="F1222" s="3">
        <v>140397</v>
      </c>
      <c r="G1222" s="3">
        <v>12118</v>
      </c>
      <c r="H1222" s="3">
        <v>1530</v>
      </c>
      <c r="I1222" s="4">
        <v>14131.17</v>
      </c>
      <c r="J1222" s="4">
        <v>209873.6</v>
      </c>
      <c r="K1222" s="3">
        <v>1275</v>
      </c>
      <c r="L1222" s="2" t="s">
        <v>2536</v>
      </c>
      <c r="M1222" s="2" t="s">
        <v>2524</v>
      </c>
      <c r="N1222" s="8">
        <f>IFERROR(G1222/F1222,0)</f>
        <v>8.631238559228474E-2</v>
      </c>
      <c r="O1222" s="8">
        <f>IFERROR(H1222/G1222,0)</f>
        <v>0.12625845849150025</v>
      </c>
      <c r="P1222" s="4">
        <f>IFERROR(I1222/G1222,0)</f>
        <v>1.1661305495956429</v>
      </c>
      <c r="Q1222" s="4">
        <f>IFERROR(I1222/H1222,0)</f>
        <v>9.2360588235294117</v>
      </c>
      <c r="R1222" s="12">
        <f>IFERROR(J1222/I1222,0)</f>
        <v>14.851820479125225</v>
      </c>
      <c r="S1222" s="7">
        <f>Tabla_nuevas_columnas[[#This Row],[ROAS]]</f>
        <v>14.851820479125225</v>
      </c>
      <c r="T1222" t="str">
        <f>_xlfn.CONCAT(C1222,"-",D1222)</f>
        <v>Paid Search-España</v>
      </c>
      <c r="U1222">
        <f>YEAR(A1222)</f>
        <v>2025</v>
      </c>
      <c r="V1222">
        <f>MONTH(A1222)</f>
        <v>12</v>
      </c>
      <c r="W1222" t="str">
        <f>PROPER(TEXT(A1222,"mmmm"))</f>
        <v>Diciembre</v>
      </c>
      <c r="X1222" t="str">
        <f>PROPER(TEXT(A1222,"dddd"))</f>
        <v>Martes</v>
      </c>
      <c r="Y1222" t="str" cm="1">
        <f t="array" ref="Y1222">_xlfn.IFS(R1222&gt;10,"Excelente",R1222&gt;=5,"Bueno",R1222&gt;=2,"Débil",R1222&lt;2,"Deficiente")</f>
        <v>Excelente</v>
      </c>
      <c r="Z1222" t="str">
        <f>IF(AND(R1222&lt;2,Q1222&gt;=100),"Revisar","OK")</f>
        <v>OK</v>
      </c>
      <c r="AA1222" s="55">
        <f>_xlfn.XLOOKUP(C1222,'Preguntas de negocio'!$C$114:$C$119,'Preguntas de negocio'!$D$114:$D$119,0)</f>
        <v>5</v>
      </c>
      <c r="AB1222" s="55">
        <f>VLOOKUP(C1222,'Preguntas de negocio'!$C$121:$D$127,2,FALSE)</f>
        <v>1.1000000000000001</v>
      </c>
    </row>
    <row r="1223" spans="1:28" x14ac:dyDescent="0.3">
      <c r="A1223" s="1">
        <v>45658</v>
      </c>
      <c r="B1223" s="2" t="s">
        <v>2639</v>
      </c>
      <c r="C1223" s="2" t="s">
        <v>2541</v>
      </c>
      <c r="D1223" s="2" t="s">
        <v>2528</v>
      </c>
      <c r="E1223" s="2" t="s">
        <v>2529</v>
      </c>
      <c r="F1223" s="3">
        <v>86210</v>
      </c>
      <c r="G1223" s="3">
        <v>6305</v>
      </c>
      <c r="H1223" s="3">
        <v>382</v>
      </c>
      <c r="I1223" s="4">
        <v>5967.11</v>
      </c>
      <c r="J1223" s="4">
        <v>38115.39</v>
      </c>
      <c r="K1223" s="3">
        <v>307</v>
      </c>
      <c r="L1223" s="2" t="s">
        <v>2536</v>
      </c>
      <c r="M1223" s="2" t="s">
        <v>2519</v>
      </c>
      <c r="N1223" s="8">
        <f>IFERROR(G1223/F1223,0)</f>
        <v>7.3135367126783438E-2</v>
      </c>
      <c r="O1223" s="8">
        <f>IFERROR(H1223/G1223,0)</f>
        <v>6.0586835844567803E-2</v>
      </c>
      <c r="P1223" s="4">
        <f>IFERROR(I1223/G1223,0)</f>
        <v>0.94640919904837428</v>
      </c>
      <c r="Q1223" s="4">
        <f>IFERROR(I1223/H1223,0)</f>
        <v>15.620706806282721</v>
      </c>
      <c r="R1223" s="12">
        <f>IFERROR(J1223/I1223,0)</f>
        <v>6.3875795820757455</v>
      </c>
      <c r="S1223" s="7">
        <f>Tabla_nuevas_columnas[[#This Row],[ROAS]]</f>
        <v>6.3875795820757455</v>
      </c>
      <c r="T1223" t="str">
        <f>_xlfn.CONCAT(C1223,"-",D1223)</f>
        <v>Display-España</v>
      </c>
      <c r="U1223">
        <f>YEAR(A1223)</f>
        <v>2025</v>
      </c>
      <c r="V1223">
        <f>MONTH(A1223)</f>
        <v>1</v>
      </c>
      <c r="W1223" t="str">
        <f>PROPER(TEXT(A1223,"mmmm"))</f>
        <v>Enero</v>
      </c>
      <c r="X1223" t="str">
        <f>PROPER(TEXT(A1223,"dddd"))</f>
        <v>Miércoles</v>
      </c>
      <c r="Y1223" t="str" cm="1">
        <f t="array" ref="Y1223">_xlfn.IFS(R1223&gt;10,"Excelente",R1223&gt;=5,"Bueno",R1223&gt;=2,"Débil",R1223&lt;2,"Deficiente")</f>
        <v>Bueno</v>
      </c>
      <c r="Z1223" t="str">
        <f>IF(AND(R1223&lt;2,Q1223&gt;=100),"Revisar","OK")</f>
        <v>OK</v>
      </c>
      <c r="AA1223" s="55">
        <f>_xlfn.XLOOKUP(C1223,'Preguntas de negocio'!$C$114:$C$119,'Preguntas de negocio'!$D$114:$D$119,0)</f>
        <v>5</v>
      </c>
      <c r="AB1223" s="55">
        <f>VLOOKUP(C1223,'Preguntas de negocio'!$C$121:$D$127,2,FALSE)</f>
        <v>0.5</v>
      </c>
    </row>
    <row r="1224" spans="1:28" x14ac:dyDescent="0.3">
      <c r="A1224" s="1">
        <v>45940</v>
      </c>
      <c r="B1224" s="2" t="s">
        <v>2623</v>
      </c>
      <c r="C1224" s="2" t="s">
        <v>2541</v>
      </c>
      <c r="D1224" s="2" t="s">
        <v>2525</v>
      </c>
      <c r="E1224" s="2" t="s">
        <v>2529</v>
      </c>
      <c r="F1224" s="3">
        <v>73312</v>
      </c>
      <c r="G1224" s="3">
        <v>5571</v>
      </c>
      <c r="H1224" s="3">
        <v>333</v>
      </c>
      <c r="I1224" s="4">
        <v>3964.5</v>
      </c>
      <c r="J1224" s="4">
        <v>57216.34</v>
      </c>
      <c r="K1224" s="3">
        <v>217</v>
      </c>
      <c r="L1224" s="2" t="s">
        <v>2539</v>
      </c>
      <c r="M1224" s="2" t="s">
        <v>2537</v>
      </c>
      <c r="N1224" s="8">
        <f>IFERROR(G1224/F1224,0)</f>
        <v>7.5990288083806201E-2</v>
      </c>
      <c r="O1224" s="8">
        <f>IFERROR(H1224/G1224,0)</f>
        <v>5.9773828756058162E-2</v>
      </c>
      <c r="P1224" s="4">
        <f>IFERROR(I1224/G1224,0)</f>
        <v>0.7116316639741519</v>
      </c>
      <c r="Q1224" s="4">
        <f>IFERROR(I1224/H1224,0)</f>
        <v>11.905405405405405</v>
      </c>
      <c r="R1224" s="12">
        <f>IFERROR(J1224/I1224,0)</f>
        <v>14.432170513305586</v>
      </c>
      <c r="S1224" s="7">
        <f>Tabla_nuevas_columnas[[#This Row],[ROAS]]</f>
        <v>14.432170513305586</v>
      </c>
      <c r="T1224" t="str">
        <f>_xlfn.CONCAT(C1224,"-",D1224)</f>
        <v>Display-Francia</v>
      </c>
      <c r="U1224">
        <f>YEAR(A1224)</f>
        <v>2025</v>
      </c>
      <c r="V1224">
        <f>MONTH(A1224)</f>
        <v>10</v>
      </c>
      <c r="W1224" t="str">
        <f>PROPER(TEXT(A1224,"mmmm"))</f>
        <v>Octubre</v>
      </c>
      <c r="X1224" t="str">
        <f>PROPER(TEXT(A1224,"dddd"))</f>
        <v>Viernes</v>
      </c>
      <c r="Y1224" t="str" cm="1">
        <f t="array" ref="Y1224">_xlfn.IFS(R1224&gt;10,"Excelente",R1224&gt;=5,"Bueno",R1224&gt;=2,"Débil",R1224&lt;2,"Deficiente")</f>
        <v>Excelente</v>
      </c>
      <c r="Z1224" t="str">
        <f>IF(AND(R1224&lt;2,Q1224&gt;=100),"Revisar","OK")</f>
        <v>OK</v>
      </c>
      <c r="AA1224" s="55">
        <f>_xlfn.XLOOKUP(C1224,'Preguntas de negocio'!$C$114:$C$119,'Preguntas de negocio'!$D$114:$D$119,0)</f>
        <v>5</v>
      </c>
      <c r="AB1224" s="55">
        <f>VLOOKUP(C1224,'Preguntas de negocio'!$C$121:$D$127,2,FALSE)</f>
        <v>0.5</v>
      </c>
    </row>
    <row r="1225" spans="1:28" x14ac:dyDescent="0.3">
      <c r="A1225" s="1">
        <v>45926</v>
      </c>
      <c r="B1225" s="2" t="s">
        <v>2632</v>
      </c>
      <c r="C1225" s="2" t="s">
        <v>2543</v>
      </c>
      <c r="D1225" s="2" t="s">
        <v>2516</v>
      </c>
      <c r="E1225" s="2" t="s">
        <v>2517</v>
      </c>
      <c r="F1225" s="3">
        <v>59498</v>
      </c>
      <c r="G1225" s="3">
        <v>2660</v>
      </c>
      <c r="H1225" s="3">
        <v>320</v>
      </c>
      <c r="I1225" s="4">
        <v>4543.1400000000003</v>
      </c>
      <c r="J1225" s="4">
        <v>30915.71</v>
      </c>
      <c r="K1225" s="3">
        <v>248</v>
      </c>
      <c r="L1225" s="2" t="s">
        <v>2536</v>
      </c>
      <c r="M1225" s="2" t="s">
        <v>2524</v>
      </c>
      <c r="N1225" s="8">
        <f>IFERROR(G1225/F1225,0)</f>
        <v>4.4707385122188983E-2</v>
      </c>
      <c r="O1225" s="8">
        <f>IFERROR(H1225/G1225,0)</f>
        <v>0.12030075187969924</v>
      </c>
      <c r="P1225" s="4">
        <f>IFERROR(I1225/G1225,0)</f>
        <v>1.7079473684210527</v>
      </c>
      <c r="Q1225" s="4">
        <f>IFERROR(I1225/H1225,0)</f>
        <v>14.197312500000001</v>
      </c>
      <c r="R1225" s="12">
        <f>IFERROR(J1225/I1225,0)</f>
        <v>6.8049212659086002</v>
      </c>
      <c r="S1225" s="7">
        <f>Tabla_nuevas_columnas[[#This Row],[ROAS]]</f>
        <v>6.8049212659086002</v>
      </c>
      <c r="T1225" t="str">
        <f>_xlfn.CONCAT(C1225,"-",D1225)</f>
        <v>Organic Social-México</v>
      </c>
      <c r="U1225">
        <f>YEAR(A1225)</f>
        <v>2025</v>
      </c>
      <c r="V1225">
        <f>MONTH(A1225)</f>
        <v>9</v>
      </c>
      <c r="W1225" t="str">
        <f>PROPER(TEXT(A1225,"mmmm"))</f>
        <v>Septiembre</v>
      </c>
      <c r="X1225" t="str">
        <f>PROPER(TEXT(A1225,"dddd"))</f>
        <v>Viernes</v>
      </c>
      <c r="Y1225" t="str" cm="1">
        <f t="array" ref="Y1225">_xlfn.IFS(R1225&gt;10,"Excelente",R1225&gt;=5,"Bueno",R1225&gt;=2,"Débil",R1225&lt;2,"Deficiente")</f>
        <v>Bueno</v>
      </c>
      <c r="Z1225" t="str">
        <f>IF(AND(R1225&lt;2,Q1225&gt;=100),"Revisar","OK")</f>
        <v>OK</v>
      </c>
      <c r="AA1225" s="55">
        <f>_xlfn.XLOOKUP(C1225,'Preguntas de negocio'!$C$114:$C$119,'Preguntas de negocio'!$D$114:$D$119,0)</f>
        <v>4</v>
      </c>
      <c r="AB1225" s="55">
        <f>VLOOKUP(C1225,'Preguntas de negocio'!$C$121:$D$127,2,FALSE)</f>
        <v>0.95</v>
      </c>
    </row>
    <row r="1226" spans="1:28" x14ac:dyDescent="0.3">
      <c r="A1226" s="1">
        <v>45801</v>
      </c>
      <c r="B1226" s="2" t="s">
        <v>2641</v>
      </c>
      <c r="C1226" s="2" t="s">
        <v>2521</v>
      </c>
      <c r="D1226" s="2" t="s">
        <v>2525</v>
      </c>
      <c r="E1226" s="2" t="s">
        <v>2517</v>
      </c>
      <c r="F1226" s="3">
        <v>164120</v>
      </c>
      <c r="G1226" s="3">
        <v>6823</v>
      </c>
      <c r="H1226" s="3">
        <v>814</v>
      </c>
      <c r="I1226" s="4">
        <v>2517.8000000000002</v>
      </c>
      <c r="J1226" s="4">
        <v>108637.63</v>
      </c>
      <c r="K1226" s="3">
        <v>405</v>
      </c>
      <c r="L1226" s="2" t="s">
        <v>2523</v>
      </c>
      <c r="M1226" s="2" t="s">
        <v>2524</v>
      </c>
      <c r="N1226" s="8">
        <f>IFERROR(G1226/F1226,0)</f>
        <v>4.1573239093346329E-2</v>
      </c>
      <c r="O1226" s="8">
        <f>IFERROR(H1226/G1226,0)</f>
        <v>0.11930235966583615</v>
      </c>
      <c r="P1226" s="4">
        <f>IFERROR(I1226/G1226,0)</f>
        <v>0.36901656162978164</v>
      </c>
      <c r="Q1226" s="4">
        <f>IFERROR(I1226/H1226,0)</f>
        <v>3.0931203931203934</v>
      </c>
      <c r="R1226" s="12">
        <f>IFERROR(J1226/I1226,0)</f>
        <v>43.147839383588845</v>
      </c>
      <c r="S1226" s="7">
        <f>Tabla_nuevas_columnas[[#This Row],[ROAS]]</f>
        <v>43.147839383588845</v>
      </c>
      <c r="T1226" t="str">
        <f>_xlfn.CONCAT(C1226,"-",D1226)</f>
        <v>Paid Search-Francia</v>
      </c>
      <c r="U1226">
        <f>YEAR(A1226)</f>
        <v>2025</v>
      </c>
      <c r="V1226">
        <f>MONTH(A1226)</f>
        <v>5</v>
      </c>
      <c r="W1226" t="str">
        <f>PROPER(TEXT(A1226,"mmmm"))</f>
        <v>Mayo</v>
      </c>
      <c r="X1226" t="str">
        <f>PROPER(TEXT(A1226,"dddd"))</f>
        <v>Sábado</v>
      </c>
      <c r="Y1226" t="str" cm="1">
        <f t="array" ref="Y1226">_xlfn.IFS(R1226&gt;10,"Excelente",R1226&gt;=5,"Bueno",R1226&gt;=2,"Débil",R1226&lt;2,"Deficiente")</f>
        <v>Excelente</v>
      </c>
      <c r="Z1226" t="str">
        <f>IF(AND(R1226&lt;2,Q1226&gt;=100),"Revisar","OK")</f>
        <v>OK</v>
      </c>
      <c r="AA1226" s="55">
        <f>_xlfn.XLOOKUP(C1226,'Preguntas de negocio'!$C$114:$C$119,'Preguntas de negocio'!$D$114:$D$119,0)</f>
        <v>5</v>
      </c>
      <c r="AB1226" s="55">
        <f>VLOOKUP(C1226,'Preguntas de negocio'!$C$121:$D$127,2,FALSE)</f>
        <v>1.1000000000000001</v>
      </c>
    </row>
    <row r="1227" spans="1:28" x14ac:dyDescent="0.3">
      <c r="A1227" s="1">
        <v>45679</v>
      </c>
      <c r="B1227" s="2" t="s">
        <v>2624</v>
      </c>
      <c r="C1227" s="2" t="s">
        <v>2515</v>
      </c>
      <c r="D1227" s="2" t="s">
        <v>2516</v>
      </c>
      <c r="E1227" s="2" t="s">
        <v>2517</v>
      </c>
      <c r="F1227" s="3">
        <v>142128</v>
      </c>
      <c r="G1227" s="3">
        <v>10568</v>
      </c>
      <c r="H1227" s="3">
        <v>1021</v>
      </c>
      <c r="I1227" s="4">
        <v>18019.88</v>
      </c>
      <c r="J1227" s="4">
        <v>38713.51</v>
      </c>
      <c r="K1227" s="3">
        <v>724</v>
      </c>
      <c r="L1227" s="2" t="s">
        <v>2523</v>
      </c>
      <c r="M1227" s="2" t="s">
        <v>2519</v>
      </c>
      <c r="N1227" s="8">
        <f>IFERROR(G1227/F1227,0)</f>
        <v>7.4355510525723298E-2</v>
      </c>
      <c r="O1227" s="8">
        <f>IFERROR(H1227/G1227,0)</f>
        <v>9.6612414837244517E-2</v>
      </c>
      <c r="P1227" s="4">
        <f>IFERROR(I1227/G1227,0)</f>
        <v>1.7051362604087814</v>
      </c>
      <c r="Q1227" s="4">
        <f>IFERROR(I1227/H1227,0)</f>
        <v>17.649245837414302</v>
      </c>
      <c r="R1227" s="12">
        <f>IFERROR(J1227/I1227,0)</f>
        <v>2.1483777916390121</v>
      </c>
      <c r="S1227" s="7">
        <f>Tabla_nuevas_columnas[[#This Row],[ROAS]]</f>
        <v>2.1483777916390121</v>
      </c>
      <c r="T1227" t="str">
        <f>_xlfn.CONCAT(C1227,"-",D1227)</f>
        <v>Email-México</v>
      </c>
      <c r="U1227">
        <f>YEAR(A1227)</f>
        <v>2025</v>
      </c>
      <c r="V1227">
        <f>MONTH(A1227)</f>
        <v>1</v>
      </c>
      <c r="W1227" t="str">
        <f>PROPER(TEXT(A1227,"mmmm"))</f>
        <v>Enero</v>
      </c>
      <c r="X1227" t="str">
        <f>PROPER(TEXT(A1227,"dddd"))</f>
        <v>Miércoles</v>
      </c>
      <c r="Y1227" t="str" cm="1">
        <f t="array" ref="Y1227">_xlfn.IFS(R1227&gt;10,"Excelente",R1227&gt;=5,"Bueno",R1227&gt;=2,"Débil",R1227&lt;2,"Deficiente")</f>
        <v>Débil</v>
      </c>
      <c r="Z1227" t="str">
        <f>IF(AND(R1227&lt;2,Q1227&gt;=100),"Revisar","OK")</f>
        <v>OK</v>
      </c>
      <c r="AA1227" s="55">
        <f>_xlfn.XLOOKUP(C1227,'Preguntas de negocio'!$C$114:$C$119,'Preguntas de negocio'!$D$114:$D$119,0)</f>
        <v>5.5</v>
      </c>
      <c r="AB1227" s="55">
        <f>VLOOKUP(C1227,'Preguntas de negocio'!$C$121:$D$127,2,FALSE)</f>
        <v>0.65</v>
      </c>
    </row>
    <row r="1228" spans="1:28" x14ac:dyDescent="0.3">
      <c r="A1228" s="1">
        <v>46007</v>
      </c>
      <c r="B1228" s="2" t="s">
        <v>2631</v>
      </c>
      <c r="C1228" s="2" t="s">
        <v>2543</v>
      </c>
      <c r="D1228" s="2" t="s">
        <v>2531</v>
      </c>
      <c r="E1228" s="2" t="s">
        <v>2517</v>
      </c>
      <c r="F1228" s="3">
        <v>109966</v>
      </c>
      <c r="G1228" s="3">
        <v>3138</v>
      </c>
      <c r="H1228" s="3">
        <v>27</v>
      </c>
      <c r="I1228" s="4">
        <v>479.66</v>
      </c>
      <c r="J1228" s="4">
        <v>2545.06</v>
      </c>
      <c r="K1228" s="3">
        <v>13</v>
      </c>
      <c r="L1228" s="2" t="s">
        <v>2536</v>
      </c>
      <c r="M1228" s="2" t="s">
        <v>2537</v>
      </c>
      <c r="N1228" s="8">
        <f>IFERROR(G1228/F1228,0)</f>
        <v>2.8536092974192025E-2</v>
      </c>
      <c r="O1228" s="8">
        <f>IFERROR(H1228/G1228,0)</f>
        <v>8.6042065009560229E-3</v>
      </c>
      <c r="P1228" s="4">
        <f>IFERROR(I1228/G1228,0)</f>
        <v>0.15285532186105802</v>
      </c>
      <c r="Q1228" s="4">
        <f>IFERROR(I1228/H1228,0)</f>
        <v>17.765185185185185</v>
      </c>
      <c r="R1228" s="12">
        <f>IFERROR(J1228/I1228,0)</f>
        <v>5.3059667264312216</v>
      </c>
      <c r="S1228" s="7">
        <f>Tabla_nuevas_columnas[[#This Row],[ROAS]]</f>
        <v>5.3059667264312216</v>
      </c>
      <c r="T1228" t="str">
        <f>_xlfn.CONCAT(C1228,"-",D1228)</f>
        <v>Organic Social-Portugal</v>
      </c>
      <c r="U1228">
        <f>YEAR(A1228)</f>
        <v>2025</v>
      </c>
      <c r="V1228">
        <f>MONTH(A1228)</f>
        <v>12</v>
      </c>
      <c r="W1228" t="str">
        <f>PROPER(TEXT(A1228,"mmmm"))</f>
        <v>Diciembre</v>
      </c>
      <c r="X1228" t="str">
        <f>PROPER(TEXT(A1228,"dddd"))</f>
        <v>Martes</v>
      </c>
      <c r="Y1228" t="str" cm="1">
        <f t="array" ref="Y1228">_xlfn.IFS(R1228&gt;10,"Excelente",R1228&gt;=5,"Bueno",R1228&gt;=2,"Débil",R1228&lt;2,"Deficiente")</f>
        <v>Bueno</v>
      </c>
      <c r="Z1228" t="str">
        <f>IF(AND(R1228&lt;2,Q1228&gt;=100),"Revisar","OK")</f>
        <v>OK</v>
      </c>
      <c r="AA1228" s="55">
        <f>_xlfn.XLOOKUP(C1228,'Preguntas de negocio'!$C$114:$C$119,'Preguntas de negocio'!$D$114:$D$119,0)</f>
        <v>4</v>
      </c>
      <c r="AB1228" s="55">
        <f>VLOOKUP(C1228,'Preguntas de negocio'!$C$121:$D$127,2,FALSE)</f>
        <v>0.95</v>
      </c>
    </row>
    <row r="1229" spans="1:28" x14ac:dyDescent="0.3">
      <c r="A1229" s="1">
        <v>45984</v>
      </c>
      <c r="B1229" s="2" t="s">
        <v>2618</v>
      </c>
      <c r="C1229" s="2" t="s">
        <v>2541</v>
      </c>
      <c r="D1229" s="2" t="s">
        <v>2528</v>
      </c>
      <c r="E1229" s="2" t="s">
        <v>2529</v>
      </c>
      <c r="F1229" s="3">
        <v>76750</v>
      </c>
      <c r="G1229" s="3">
        <v>1281</v>
      </c>
      <c r="H1229" s="3">
        <v>74</v>
      </c>
      <c r="I1229" s="4">
        <v>686.19</v>
      </c>
      <c r="J1229" s="4">
        <v>15437.98</v>
      </c>
      <c r="K1229" s="3">
        <v>47</v>
      </c>
      <c r="L1229" s="2" t="s">
        <v>2523</v>
      </c>
      <c r="M1229" s="2" t="s">
        <v>2526</v>
      </c>
      <c r="N1229" s="8">
        <f>IFERROR(G1229/F1229,0)</f>
        <v>1.669055374592834E-2</v>
      </c>
      <c r="O1229" s="8">
        <f>IFERROR(H1229/G1229,0)</f>
        <v>5.7767369242779081E-2</v>
      </c>
      <c r="P1229" s="4">
        <f>IFERROR(I1229/G1229,0)</f>
        <v>0.53566744730679161</v>
      </c>
      <c r="Q1229" s="4">
        <f>IFERROR(I1229/H1229,0)</f>
        <v>9.2728378378378391</v>
      </c>
      <c r="R1229" s="12">
        <f>IFERROR(J1229/I1229,0)</f>
        <v>22.498112767600809</v>
      </c>
      <c r="S1229" s="7">
        <f>Tabla_nuevas_columnas[[#This Row],[ROAS]]</f>
        <v>22.498112767600809</v>
      </c>
      <c r="T1229" t="str">
        <f>_xlfn.CONCAT(C1229,"-",D1229)</f>
        <v>Display-España</v>
      </c>
      <c r="U1229">
        <f>YEAR(A1229)</f>
        <v>2025</v>
      </c>
      <c r="V1229">
        <f>MONTH(A1229)</f>
        <v>11</v>
      </c>
      <c r="W1229" t="str">
        <f>PROPER(TEXT(A1229,"mmmm"))</f>
        <v>Noviembre</v>
      </c>
      <c r="X1229" t="str">
        <f>PROPER(TEXT(A1229,"dddd"))</f>
        <v>Domingo</v>
      </c>
      <c r="Y1229" t="str" cm="1">
        <f t="array" ref="Y1229">_xlfn.IFS(R1229&gt;10,"Excelente",R1229&gt;=5,"Bueno",R1229&gt;=2,"Débil",R1229&lt;2,"Deficiente")</f>
        <v>Excelente</v>
      </c>
      <c r="Z1229" t="str">
        <f>IF(AND(R1229&lt;2,Q1229&gt;=100),"Revisar","OK")</f>
        <v>OK</v>
      </c>
      <c r="AA1229" s="55">
        <f>_xlfn.XLOOKUP(C1229,'Preguntas de negocio'!$C$114:$C$119,'Preguntas de negocio'!$D$114:$D$119,0)</f>
        <v>5</v>
      </c>
      <c r="AB1229" s="55">
        <f>VLOOKUP(C1229,'Preguntas de negocio'!$C$121:$D$127,2,FALSE)</f>
        <v>0.5</v>
      </c>
    </row>
    <row r="1230" spans="1:28" x14ac:dyDescent="0.3">
      <c r="A1230" s="1">
        <v>46020</v>
      </c>
      <c r="B1230" s="2" t="s">
        <v>2619</v>
      </c>
      <c r="C1230" s="2" t="s">
        <v>2533</v>
      </c>
      <c r="D1230" s="2" t="s">
        <v>2528</v>
      </c>
      <c r="E1230" s="2" t="s">
        <v>2517</v>
      </c>
      <c r="F1230" s="3">
        <v>70389</v>
      </c>
      <c r="G1230" s="3">
        <v>5733</v>
      </c>
      <c r="H1230" s="3">
        <v>93</v>
      </c>
      <c r="I1230" s="4">
        <v>6849.53</v>
      </c>
      <c r="J1230" s="4">
        <v>7654.1</v>
      </c>
      <c r="K1230" s="3">
        <v>54</v>
      </c>
      <c r="L1230" s="2" t="s">
        <v>2536</v>
      </c>
      <c r="M1230" s="2" t="s">
        <v>2524</v>
      </c>
      <c r="N1230" s="8">
        <f>IFERROR(G1230/F1230,0)</f>
        <v>8.1447385244853593E-2</v>
      </c>
      <c r="O1230" s="8">
        <f>IFERROR(H1230/G1230,0)</f>
        <v>1.6221873364730507E-2</v>
      </c>
      <c r="P1230" s="4">
        <f>IFERROR(I1230/G1230,0)</f>
        <v>1.1947549276120704</v>
      </c>
      <c r="Q1230" s="4">
        <f>IFERROR(I1230/H1230,0)</f>
        <v>73.650860215053754</v>
      </c>
      <c r="R1230" s="12">
        <f>IFERROR(J1230/I1230,0)</f>
        <v>1.1174635339943033</v>
      </c>
      <c r="S1230" s="7">
        <f>Tabla_nuevas_columnas[[#This Row],[ROAS]]</f>
        <v>1.1174635339943033</v>
      </c>
      <c r="T1230" t="str">
        <f>_xlfn.CONCAT(C1230,"-",D1230)</f>
        <v>Paid Social-España</v>
      </c>
      <c r="U1230">
        <f>YEAR(A1230)</f>
        <v>2025</v>
      </c>
      <c r="V1230">
        <f>MONTH(A1230)</f>
        <v>12</v>
      </c>
      <c r="W1230" t="str">
        <f>PROPER(TEXT(A1230,"mmmm"))</f>
        <v>Diciembre</v>
      </c>
      <c r="X1230" t="str">
        <f>PROPER(TEXT(A1230,"dddd"))</f>
        <v>Lunes</v>
      </c>
      <c r="Y1230" t="str" cm="1">
        <f t="array" ref="Y1230">_xlfn.IFS(R1230&gt;10,"Excelente",R1230&gt;=5,"Bueno",R1230&gt;=2,"Débil",R1230&lt;2,"Deficiente")</f>
        <v>Deficiente</v>
      </c>
      <c r="Z1230" t="str">
        <f>IF(AND(R1230&lt;2,Q1230&gt;=100),"Revisar","OK")</f>
        <v>OK</v>
      </c>
      <c r="AA1230" s="55">
        <f>_xlfn.XLOOKUP(C1230,'Preguntas de negocio'!$C$114:$C$119,'Preguntas de negocio'!$D$114:$D$119,0)</f>
        <v>6</v>
      </c>
      <c r="AB1230" s="55">
        <f>VLOOKUP(C1230,'Preguntas de negocio'!$C$121:$D$127,2,FALSE)</f>
        <v>0.8</v>
      </c>
    </row>
    <row r="1231" spans="1:28" x14ac:dyDescent="0.3">
      <c r="A1231" s="1">
        <v>45671</v>
      </c>
      <c r="B1231" s="2" t="s">
        <v>2619</v>
      </c>
      <c r="C1231" s="2" t="s">
        <v>2543</v>
      </c>
      <c r="D1231" s="2" t="s">
        <v>2525</v>
      </c>
      <c r="E1231" s="2" t="s">
        <v>2517</v>
      </c>
      <c r="F1231" s="3">
        <v>109765</v>
      </c>
      <c r="G1231" s="3">
        <v>7029</v>
      </c>
      <c r="H1231" s="3">
        <v>813</v>
      </c>
      <c r="I1231" s="4">
        <v>13419.36</v>
      </c>
      <c r="J1231" s="4">
        <v>148226.91</v>
      </c>
      <c r="K1231" s="3">
        <v>513</v>
      </c>
      <c r="L1231" s="2" t="s">
        <v>2523</v>
      </c>
      <c r="M1231" s="2" t="s">
        <v>2546</v>
      </c>
      <c r="N1231" s="8">
        <f>IFERROR(G1231/F1231,0)</f>
        <v>6.4036805903521163E-2</v>
      </c>
      <c r="O1231" s="8">
        <f>IFERROR(H1231/G1231,0)</f>
        <v>0.11566367904396073</v>
      </c>
      <c r="P1231" s="4">
        <f>IFERROR(I1231/G1231,0)</f>
        <v>1.9091421254801537</v>
      </c>
      <c r="Q1231" s="4">
        <f>IFERROR(I1231/H1231,0)</f>
        <v>16.5059778597786</v>
      </c>
      <c r="R1231" s="12">
        <f>IFERROR(J1231/I1231,0)</f>
        <v>11.045751064134206</v>
      </c>
      <c r="S1231" s="7">
        <f>Tabla_nuevas_columnas[[#This Row],[ROAS]]</f>
        <v>11.045751064134206</v>
      </c>
      <c r="T1231" t="str">
        <f>_xlfn.CONCAT(C1231,"-",D1231)</f>
        <v>Organic Social-Francia</v>
      </c>
      <c r="U1231">
        <f>YEAR(A1231)</f>
        <v>2025</v>
      </c>
      <c r="V1231">
        <f>MONTH(A1231)</f>
        <v>1</v>
      </c>
      <c r="W1231" t="str">
        <f>PROPER(TEXT(A1231,"mmmm"))</f>
        <v>Enero</v>
      </c>
      <c r="X1231" t="str">
        <f>PROPER(TEXT(A1231,"dddd"))</f>
        <v>Martes</v>
      </c>
      <c r="Y1231" t="str" cm="1">
        <f t="array" ref="Y1231">_xlfn.IFS(R1231&gt;10,"Excelente",R1231&gt;=5,"Bueno",R1231&gt;=2,"Débil",R1231&lt;2,"Deficiente")</f>
        <v>Excelente</v>
      </c>
      <c r="Z1231" t="str">
        <f>IF(AND(R1231&lt;2,Q1231&gt;=100),"Revisar","OK")</f>
        <v>OK</v>
      </c>
      <c r="AA1231" s="55">
        <f>_xlfn.XLOOKUP(C1231,'Preguntas de negocio'!$C$114:$C$119,'Preguntas de negocio'!$D$114:$D$119,0)</f>
        <v>4</v>
      </c>
      <c r="AB1231" s="55">
        <f>VLOOKUP(C1231,'Preguntas de negocio'!$C$121:$D$127,2,FALSE)</f>
        <v>0.95</v>
      </c>
    </row>
    <row r="1232" spans="1:28" x14ac:dyDescent="0.3">
      <c r="A1232" s="1">
        <v>45771</v>
      </c>
      <c r="B1232" s="2" t="s">
        <v>2641</v>
      </c>
      <c r="C1232" s="2" t="s">
        <v>2521</v>
      </c>
      <c r="D1232" s="2" t="s">
        <v>2531</v>
      </c>
      <c r="E1232" s="2" t="s">
        <v>2517</v>
      </c>
      <c r="F1232" s="3">
        <v>37477</v>
      </c>
      <c r="G1232" s="3">
        <v>405</v>
      </c>
      <c r="H1232" s="3">
        <v>6</v>
      </c>
      <c r="I1232" s="4">
        <v>624.71</v>
      </c>
      <c r="J1232" s="4">
        <v>885.51</v>
      </c>
      <c r="K1232" s="3">
        <v>3</v>
      </c>
      <c r="L1232" s="2" t="s">
        <v>2523</v>
      </c>
      <c r="M1232" s="2" t="s">
        <v>2546</v>
      </c>
      <c r="N1232" s="8">
        <f>IFERROR(G1232/F1232,0)</f>
        <v>1.0806628065213332E-2</v>
      </c>
      <c r="O1232" s="8">
        <f>IFERROR(H1232/G1232,0)</f>
        <v>1.4814814814814815E-2</v>
      </c>
      <c r="P1232" s="4">
        <f>IFERROR(I1232/G1232,0)</f>
        <v>1.542493827160494</v>
      </c>
      <c r="Q1232" s="4">
        <f>IFERROR(I1232/H1232,0)</f>
        <v>104.11833333333334</v>
      </c>
      <c r="R1232" s="12">
        <f>IFERROR(J1232/I1232,0)</f>
        <v>1.4174737078004194</v>
      </c>
      <c r="S1232" s="7">
        <f>Tabla_nuevas_columnas[[#This Row],[ROAS]]</f>
        <v>1.4174737078004194</v>
      </c>
      <c r="T1232" t="str">
        <f>_xlfn.CONCAT(C1232,"-",D1232)</f>
        <v>Paid Search-Portugal</v>
      </c>
      <c r="U1232">
        <f>YEAR(A1232)</f>
        <v>2025</v>
      </c>
      <c r="V1232">
        <f>MONTH(A1232)</f>
        <v>4</v>
      </c>
      <c r="W1232" t="str">
        <f>PROPER(TEXT(A1232,"mmmm"))</f>
        <v>Abril</v>
      </c>
      <c r="X1232" t="str">
        <f>PROPER(TEXT(A1232,"dddd"))</f>
        <v>Jueves</v>
      </c>
      <c r="Y1232" t="str" cm="1">
        <f t="array" ref="Y1232">_xlfn.IFS(R1232&gt;10,"Excelente",R1232&gt;=5,"Bueno",R1232&gt;=2,"Débil",R1232&lt;2,"Deficiente")</f>
        <v>Deficiente</v>
      </c>
      <c r="Z1232" t="str">
        <f>IF(AND(R1232&lt;2,Q1232&gt;=100),"Revisar","OK")</f>
        <v>Revisar</v>
      </c>
      <c r="AA1232" s="55">
        <f>_xlfn.XLOOKUP(C1232,'Preguntas de negocio'!$C$114:$C$119,'Preguntas de negocio'!$D$114:$D$119,0)</f>
        <v>5</v>
      </c>
      <c r="AB1232" s="55">
        <f>VLOOKUP(C1232,'Preguntas de negocio'!$C$121:$D$127,2,FALSE)</f>
        <v>1.1000000000000001</v>
      </c>
    </row>
    <row r="1233" spans="1:28" x14ac:dyDescent="0.3">
      <c r="A1233" s="1">
        <v>45998</v>
      </c>
      <c r="B1233" s="2" t="s">
        <v>2619</v>
      </c>
      <c r="C1233" s="2" t="s">
        <v>2515</v>
      </c>
      <c r="D1233" s="2" t="s">
        <v>2528</v>
      </c>
      <c r="E1233" s="2" t="s">
        <v>2517</v>
      </c>
      <c r="F1233" s="3">
        <v>116562</v>
      </c>
      <c r="G1233" s="3">
        <v>621</v>
      </c>
      <c r="H1233" s="3">
        <v>45</v>
      </c>
      <c r="I1233" s="4">
        <v>69.91</v>
      </c>
      <c r="J1233" s="4">
        <v>7351.7</v>
      </c>
      <c r="K1233" s="3">
        <v>20</v>
      </c>
      <c r="L1233" s="2" t="s">
        <v>2539</v>
      </c>
      <c r="M1233" s="2" t="s">
        <v>2546</v>
      </c>
      <c r="N1233" s="8">
        <f>IFERROR(G1233/F1233,0)</f>
        <v>5.3276367941524679E-3</v>
      </c>
      <c r="O1233" s="8">
        <f>IFERROR(H1233/G1233,0)</f>
        <v>7.2463768115942032E-2</v>
      </c>
      <c r="P1233" s="4">
        <f>IFERROR(I1233/G1233,0)</f>
        <v>0.11257648953301126</v>
      </c>
      <c r="Q1233" s="4">
        <f>IFERROR(I1233/H1233,0)</f>
        <v>1.5535555555555556</v>
      </c>
      <c r="R1233" s="12">
        <f>IFERROR(J1233/I1233,0)</f>
        <v>105.1594907738521</v>
      </c>
      <c r="S1233" s="7">
        <f>Tabla_nuevas_columnas[[#This Row],[ROAS]]</f>
        <v>105.1594907738521</v>
      </c>
      <c r="T1233" t="str">
        <f>_xlfn.CONCAT(C1233,"-",D1233)</f>
        <v>Email-España</v>
      </c>
      <c r="U1233">
        <f>YEAR(A1233)</f>
        <v>2025</v>
      </c>
      <c r="V1233">
        <f>MONTH(A1233)</f>
        <v>12</v>
      </c>
      <c r="W1233" t="str">
        <f>PROPER(TEXT(A1233,"mmmm"))</f>
        <v>Diciembre</v>
      </c>
      <c r="X1233" t="str">
        <f>PROPER(TEXT(A1233,"dddd"))</f>
        <v>Domingo</v>
      </c>
      <c r="Y1233" t="str" cm="1">
        <f t="array" ref="Y1233">_xlfn.IFS(R1233&gt;10,"Excelente",R1233&gt;=5,"Bueno",R1233&gt;=2,"Débil",R1233&lt;2,"Deficiente")</f>
        <v>Excelente</v>
      </c>
      <c r="Z1233" t="str">
        <f>IF(AND(R1233&lt;2,Q1233&gt;=100),"Revisar","OK")</f>
        <v>OK</v>
      </c>
      <c r="AA1233" s="55">
        <f>_xlfn.XLOOKUP(C1233,'Preguntas de negocio'!$C$114:$C$119,'Preguntas de negocio'!$D$114:$D$119,0)</f>
        <v>5.5</v>
      </c>
      <c r="AB1233" s="55">
        <f>VLOOKUP(C1233,'Preguntas de negocio'!$C$121:$D$127,2,FALSE)</f>
        <v>0.65</v>
      </c>
    </row>
    <row r="1234" spans="1:28" x14ac:dyDescent="0.3">
      <c r="A1234" s="1">
        <v>45935</v>
      </c>
      <c r="B1234" s="2" t="s">
        <v>2625</v>
      </c>
      <c r="C1234" s="2" t="s">
        <v>2515</v>
      </c>
      <c r="D1234" s="2" t="s">
        <v>2522</v>
      </c>
      <c r="E1234" s="2" t="s">
        <v>2517</v>
      </c>
      <c r="F1234" s="3">
        <v>138666</v>
      </c>
      <c r="G1234" s="3">
        <v>1973</v>
      </c>
      <c r="H1234" s="3">
        <v>248</v>
      </c>
      <c r="I1234" s="4">
        <v>4095.1</v>
      </c>
      <c r="J1234" s="4">
        <v>34064.93</v>
      </c>
      <c r="K1234" s="3">
        <v>155</v>
      </c>
      <c r="L1234" s="2" t="s">
        <v>2539</v>
      </c>
      <c r="M1234" s="2" t="s">
        <v>2524</v>
      </c>
      <c r="N1234" s="8">
        <f>IFERROR(G1234/F1234,0)</f>
        <v>1.4228433790547069E-2</v>
      </c>
      <c r="O1234" s="8">
        <f>IFERROR(H1234/G1234,0)</f>
        <v>0.12569690826153065</v>
      </c>
      <c r="P1234" s="4">
        <f>IFERROR(I1234/G1234,0)</f>
        <v>2.075570197668525</v>
      </c>
      <c r="Q1234" s="4">
        <f>IFERROR(I1234/H1234,0)</f>
        <v>16.512499999999999</v>
      </c>
      <c r="R1234" s="12">
        <f>IFERROR(J1234/I1234,0)</f>
        <v>8.3184610876413281</v>
      </c>
      <c r="S1234" s="7">
        <f>Tabla_nuevas_columnas[[#This Row],[ROAS]]</f>
        <v>8.3184610876413281</v>
      </c>
      <c r="T1234" t="str">
        <f>_xlfn.CONCAT(C1234,"-",D1234)</f>
        <v>Email-Italia</v>
      </c>
      <c r="U1234">
        <f>YEAR(A1234)</f>
        <v>2025</v>
      </c>
      <c r="V1234">
        <f>MONTH(A1234)</f>
        <v>10</v>
      </c>
      <c r="W1234" t="str">
        <f>PROPER(TEXT(A1234,"mmmm"))</f>
        <v>Octubre</v>
      </c>
      <c r="X1234" t="str">
        <f>PROPER(TEXT(A1234,"dddd"))</f>
        <v>Domingo</v>
      </c>
      <c r="Y1234" t="str" cm="1">
        <f t="array" ref="Y1234">_xlfn.IFS(R1234&gt;10,"Excelente",R1234&gt;=5,"Bueno",R1234&gt;=2,"Débil",R1234&lt;2,"Deficiente")</f>
        <v>Bueno</v>
      </c>
      <c r="Z1234" t="str">
        <f>IF(AND(R1234&lt;2,Q1234&gt;=100),"Revisar","OK")</f>
        <v>OK</v>
      </c>
      <c r="AA1234" s="55">
        <f>_xlfn.XLOOKUP(C1234,'Preguntas de negocio'!$C$114:$C$119,'Preguntas de negocio'!$D$114:$D$119,0)</f>
        <v>5.5</v>
      </c>
      <c r="AB1234" s="55">
        <f>VLOOKUP(C1234,'Preguntas de negocio'!$C$121:$D$127,2,FALSE)</f>
        <v>0.65</v>
      </c>
    </row>
    <row r="1235" spans="1:28" x14ac:dyDescent="0.3">
      <c r="A1235" s="1">
        <v>45869</v>
      </c>
      <c r="B1235" s="2" t="s">
        <v>2642</v>
      </c>
      <c r="C1235" s="2" t="s">
        <v>2515</v>
      </c>
      <c r="D1235" s="2" t="s">
        <v>2516</v>
      </c>
      <c r="E1235" s="2" t="s">
        <v>2529</v>
      </c>
      <c r="F1235" s="3">
        <v>62801</v>
      </c>
      <c r="G1235" s="3">
        <v>349</v>
      </c>
      <c r="H1235" s="3">
        <v>44</v>
      </c>
      <c r="I1235" s="4">
        <v>162.9</v>
      </c>
      <c r="J1235" s="4">
        <v>8526.7800000000007</v>
      </c>
      <c r="K1235" s="3">
        <v>31</v>
      </c>
      <c r="L1235" s="2" t="s">
        <v>2536</v>
      </c>
      <c r="M1235" s="2" t="s">
        <v>2524</v>
      </c>
      <c r="N1235" s="8">
        <f>IFERROR(G1235/F1235,0)</f>
        <v>5.557236349739654E-3</v>
      </c>
      <c r="O1235" s="8">
        <f>IFERROR(H1235/G1235,0)</f>
        <v>0.12607449856733524</v>
      </c>
      <c r="P1235" s="4">
        <f>IFERROR(I1235/G1235,0)</f>
        <v>0.46676217765042982</v>
      </c>
      <c r="Q1235" s="4">
        <f>IFERROR(I1235/H1235,0)</f>
        <v>3.7022727272727276</v>
      </c>
      <c r="R1235" s="12">
        <f>IFERROR(J1235/I1235,0)</f>
        <v>52.343646408839781</v>
      </c>
      <c r="S1235" s="7">
        <f>Tabla_nuevas_columnas[[#This Row],[ROAS]]</f>
        <v>52.343646408839781</v>
      </c>
      <c r="T1235" t="str">
        <f>_xlfn.CONCAT(C1235,"-",D1235)</f>
        <v>Email-México</v>
      </c>
      <c r="U1235">
        <f>YEAR(A1235)</f>
        <v>2025</v>
      </c>
      <c r="V1235">
        <f>MONTH(A1235)</f>
        <v>7</v>
      </c>
      <c r="W1235" t="str">
        <f>PROPER(TEXT(A1235,"mmmm"))</f>
        <v>Julio</v>
      </c>
      <c r="X1235" t="str">
        <f>PROPER(TEXT(A1235,"dddd"))</f>
        <v>Jueves</v>
      </c>
      <c r="Y1235" t="str" cm="1">
        <f t="array" ref="Y1235">_xlfn.IFS(R1235&gt;10,"Excelente",R1235&gt;=5,"Bueno",R1235&gt;=2,"Débil",R1235&lt;2,"Deficiente")</f>
        <v>Excelente</v>
      </c>
      <c r="Z1235" t="str">
        <f>IF(AND(R1235&lt;2,Q1235&gt;=100),"Revisar","OK")</f>
        <v>OK</v>
      </c>
      <c r="AA1235" s="55">
        <f>_xlfn.XLOOKUP(C1235,'Preguntas de negocio'!$C$114:$C$119,'Preguntas de negocio'!$D$114:$D$119,0)</f>
        <v>5.5</v>
      </c>
      <c r="AB1235" s="55">
        <f>VLOOKUP(C1235,'Preguntas de negocio'!$C$121:$D$127,2,FALSE)</f>
        <v>0.65</v>
      </c>
    </row>
    <row r="1236" spans="1:28" x14ac:dyDescent="0.3">
      <c r="A1236" s="1">
        <v>45774</v>
      </c>
      <c r="B1236" s="2" t="s">
        <v>2621</v>
      </c>
      <c r="C1236" s="2" t="s">
        <v>2645</v>
      </c>
      <c r="D1236" s="2" t="s">
        <v>2522</v>
      </c>
      <c r="E1236" s="2" t="s">
        <v>2517</v>
      </c>
      <c r="F1236" s="3">
        <v>47752</v>
      </c>
      <c r="G1236" s="3">
        <v>1936</v>
      </c>
      <c r="H1236" s="3">
        <v>264</v>
      </c>
      <c r="I1236" s="4">
        <v>1087.76</v>
      </c>
      <c r="J1236" s="4">
        <v>31600.35</v>
      </c>
      <c r="K1236" s="3">
        <v>237</v>
      </c>
      <c r="L1236" s="2" t="s">
        <v>2518</v>
      </c>
      <c r="M1236" s="2" t="s">
        <v>2519</v>
      </c>
      <c r="N1236" s="8">
        <f>IFERROR(G1236/F1236,0)</f>
        <v>4.0542804489864297E-2</v>
      </c>
      <c r="O1236" s="8">
        <f>IFERROR(H1236/G1236,0)</f>
        <v>0.13636363636363635</v>
      </c>
      <c r="P1236" s="4">
        <f>IFERROR(I1236/G1236,0)</f>
        <v>0.5618595041322314</v>
      </c>
      <c r="Q1236" s="4">
        <f>IFERROR(I1236/H1236,0)</f>
        <v>4.1203030303030301</v>
      </c>
      <c r="R1236" s="12">
        <f>IFERROR(J1236/I1236,0)</f>
        <v>29.050847613444141</v>
      </c>
      <c r="S1236" s="7">
        <f>Tabla_nuevas_columnas[[#This Row],[ROAS]]</f>
        <v>29.050847613444141</v>
      </c>
      <c r="T1236" t="str">
        <f>_xlfn.CONCAT(C1236,"-",D1236)</f>
        <v>Por identificar-Italia</v>
      </c>
      <c r="U1236">
        <f>YEAR(A1236)</f>
        <v>2025</v>
      </c>
      <c r="V1236">
        <f>MONTH(A1236)</f>
        <v>4</v>
      </c>
      <c r="W1236" t="str">
        <f>PROPER(TEXT(A1236,"mmmm"))</f>
        <v>Abril</v>
      </c>
      <c r="X1236" t="str">
        <f>PROPER(TEXT(A1236,"dddd"))</f>
        <v>Domingo</v>
      </c>
      <c r="Y1236" t="str" cm="1">
        <f t="array" ref="Y1236">_xlfn.IFS(R1236&gt;10,"Excelente",R1236&gt;=5,"Bueno",R1236&gt;=2,"Débil",R1236&lt;2,"Deficiente")</f>
        <v>Excelente</v>
      </c>
      <c r="Z1236" t="str">
        <f>IF(AND(R1236&lt;2,Q1236&gt;=100),"Revisar","OK")</f>
        <v>OK</v>
      </c>
      <c r="AA1236" s="55">
        <f>_xlfn.XLOOKUP(C1236,'Preguntas de negocio'!$C$114:$C$119,'Preguntas de negocio'!$D$114:$D$119,0)</f>
        <v>0</v>
      </c>
      <c r="AB1236" s="55">
        <f>VLOOKUP(C1236,'Preguntas de negocio'!$C$121:$D$127,2,FALSE)</f>
        <v>0</v>
      </c>
    </row>
    <row r="1237" spans="1:28" x14ac:dyDescent="0.3">
      <c r="A1237" s="1">
        <v>45675</v>
      </c>
      <c r="B1237" s="2" t="s">
        <v>2643</v>
      </c>
      <c r="C1237" s="2" t="s">
        <v>2543</v>
      </c>
      <c r="D1237" s="2" t="s">
        <v>2528</v>
      </c>
      <c r="E1237" s="2" t="s">
        <v>2529</v>
      </c>
      <c r="F1237" s="3">
        <v>57300</v>
      </c>
      <c r="G1237" s="3">
        <v>1466</v>
      </c>
      <c r="H1237" s="3">
        <v>71</v>
      </c>
      <c r="I1237" s="4">
        <v>1091.8</v>
      </c>
      <c r="J1237" s="4">
        <v>6749.69</v>
      </c>
      <c r="K1237" s="3">
        <v>55</v>
      </c>
      <c r="L1237" s="2" t="s">
        <v>2518</v>
      </c>
      <c r="M1237" s="2" t="s">
        <v>2526</v>
      </c>
      <c r="N1237" s="8">
        <f>IFERROR(G1237/F1237,0)</f>
        <v>2.5584642233856893E-2</v>
      </c>
      <c r="O1237" s="8">
        <f>IFERROR(H1237/G1237,0)</f>
        <v>4.8431105047748974E-2</v>
      </c>
      <c r="P1237" s="4">
        <f>IFERROR(I1237/G1237,0)</f>
        <v>0.74474761255115962</v>
      </c>
      <c r="Q1237" s="4">
        <f>IFERROR(I1237/H1237,0)</f>
        <v>15.377464788732393</v>
      </c>
      <c r="R1237" s="12">
        <f>IFERROR(J1237/I1237,0)</f>
        <v>6.182167063564755</v>
      </c>
      <c r="S1237" s="7">
        <f>Tabla_nuevas_columnas[[#This Row],[ROAS]]</f>
        <v>6.182167063564755</v>
      </c>
      <c r="T1237" t="str">
        <f>_xlfn.CONCAT(C1237,"-",D1237)</f>
        <v>Organic Social-España</v>
      </c>
      <c r="U1237">
        <f>YEAR(A1237)</f>
        <v>2025</v>
      </c>
      <c r="V1237">
        <f>MONTH(A1237)</f>
        <v>1</v>
      </c>
      <c r="W1237" t="str">
        <f>PROPER(TEXT(A1237,"mmmm"))</f>
        <v>Enero</v>
      </c>
      <c r="X1237" t="str">
        <f>PROPER(TEXT(A1237,"dddd"))</f>
        <v>Sábado</v>
      </c>
      <c r="Y1237" t="str" cm="1">
        <f t="array" ref="Y1237">_xlfn.IFS(R1237&gt;10,"Excelente",R1237&gt;=5,"Bueno",R1237&gt;=2,"Débil",R1237&lt;2,"Deficiente")</f>
        <v>Bueno</v>
      </c>
      <c r="Z1237" t="str">
        <f>IF(AND(R1237&lt;2,Q1237&gt;=100),"Revisar","OK")</f>
        <v>OK</v>
      </c>
      <c r="AA1237" s="55">
        <f>_xlfn.XLOOKUP(C1237,'Preguntas de negocio'!$C$114:$C$119,'Preguntas de negocio'!$D$114:$D$119,0)</f>
        <v>4</v>
      </c>
      <c r="AB1237" s="55">
        <f>VLOOKUP(C1237,'Preguntas de negocio'!$C$121:$D$127,2,FALSE)</f>
        <v>0.95</v>
      </c>
    </row>
    <row r="1238" spans="1:28" x14ac:dyDescent="0.3">
      <c r="A1238" s="1">
        <v>45839</v>
      </c>
      <c r="B1238" s="2" t="s">
        <v>2634</v>
      </c>
      <c r="C1238" s="2" t="s">
        <v>2515</v>
      </c>
      <c r="D1238" s="2" t="s">
        <v>2528</v>
      </c>
      <c r="E1238" s="2" t="s">
        <v>2529</v>
      </c>
      <c r="F1238" s="3">
        <v>143790</v>
      </c>
      <c r="G1238" s="3">
        <v>8223</v>
      </c>
      <c r="H1238" s="3">
        <v>819</v>
      </c>
      <c r="I1238" s="4">
        <v>11984.24</v>
      </c>
      <c r="J1238" s="4">
        <v>40187.07</v>
      </c>
      <c r="K1238" s="3">
        <v>646</v>
      </c>
      <c r="L1238" s="2" t="s">
        <v>2536</v>
      </c>
      <c r="M1238" s="2" t="s">
        <v>2537</v>
      </c>
      <c r="N1238" s="8">
        <f>IFERROR(G1238/F1238,0)</f>
        <v>5.7187565199248905E-2</v>
      </c>
      <c r="O1238" s="8">
        <f>IFERROR(H1238/G1238,0)</f>
        <v>9.9598686610726017E-2</v>
      </c>
      <c r="P1238" s="4">
        <f>IFERROR(I1238/G1238,0)</f>
        <v>1.4574048400826949</v>
      </c>
      <c r="Q1238" s="4">
        <f>IFERROR(I1238/H1238,0)</f>
        <v>14.632771672771673</v>
      </c>
      <c r="R1238" s="12">
        <f>IFERROR(J1238/I1238,0)</f>
        <v>3.3533265355166453</v>
      </c>
      <c r="S1238" s="7">
        <f>Tabla_nuevas_columnas[[#This Row],[ROAS]]</f>
        <v>3.3533265355166453</v>
      </c>
      <c r="T1238" t="str">
        <f>_xlfn.CONCAT(C1238,"-",D1238)</f>
        <v>Email-España</v>
      </c>
      <c r="U1238">
        <f>YEAR(A1238)</f>
        <v>2025</v>
      </c>
      <c r="V1238">
        <f>MONTH(A1238)</f>
        <v>7</v>
      </c>
      <c r="W1238" t="str">
        <f>PROPER(TEXT(A1238,"mmmm"))</f>
        <v>Julio</v>
      </c>
      <c r="X1238" t="str">
        <f>PROPER(TEXT(A1238,"dddd"))</f>
        <v>Martes</v>
      </c>
      <c r="Y1238" t="str" cm="1">
        <f t="array" ref="Y1238">_xlfn.IFS(R1238&gt;10,"Excelente",R1238&gt;=5,"Bueno",R1238&gt;=2,"Débil",R1238&lt;2,"Deficiente")</f>
        <v>Débil</v>
      </c>
      <c r="Z1238" t="str">
        <f>IF(AND(R1238&lt;2,Q1238&gt;=100),"Revisar","OK")</f>
        <v>OK</v>
      </c>
      <c r="AA1238" s="55">
        <f>_xlfn.XLOOKUP(C1238,'Preguntas de negocio'!$C$114:$C$119,'Preguntas de negocio'!$D$114:$D$119,0)</f>
        <v>5.5</v>
      </c>
      <c r="AB1238" s="55">
        <f>VLOOKUP(C1238,'Preguntas de negocio'!$C$121:$D$127,2,FALSE)</f>
        <v>0.65</v>
      </c>
    </row>
    <row r="1239" spans="1:28" x14ac:dyDescent="0.3">
      <c r="A1239" s="1">
        <v>45798</v>
      </c>
      <c r="B1239" s="2" t="s">
        <v>2622</v>
      </c>
      <c r="C1239" s="2" t="s">
        <v>2533</v>
      </c>
      <c r="D1239" s="2" t="s">
        <v>2531</v>
      </c>
      <c r="E1239" s="2" t="s">
        <v>2517</v>
      </c>
      <c r="F1239" s="3">
        <v>113661</v>
      </c>
      <c r="G1239" s="3">
        <v>6897</v>
      </c>
      <c r="H1239" s="3">
        <v>401</v>
      </c>
      <c r="I1239" s="4">
        <v>5828.71</v>
      </c>
      <c r="J1239" s="4">
        <v>30387.32</v>
      </c>
      <c r="K1239" s="3">
        <v>260</v>
      </c>
      <c r="L1239" s="2" t="s">
        <v>2536</v>
      </c>
      <c r="M1239" s="2" t="s">
        <v>2526</v>
      </c>
      <c r="N1239" s="8">
        <f>IFERROR(G1239/F1239,0)</f>
        <v>6.0680444479636816E-2</v>
      </c>
      <c r="O1239" s="8">
        <f>IFERROR(H1239/G1239,0)</f>
        <v>5.8141220820646655E-2</v>
      </c>
      <c r="P1239" s="4">
        <f>IFERROR(I1239/G1239,0)</f>
        <v>0.84510801797883139</v>
      </c>
      <c r="Q1239" s="4">
        <f>IFERROR(I1239/H1239,0)</f>
        <v>14.535436408977557</v>
      </c>
      <c r="R1239" s="12">
        <f>IFERROR(J1239/I1239,0)</f>
        <v>5.21338683859722</v>
      </c>
      <c r="S1239" s="7">
        <f>Tabla_nuevas_columnas[[#This Row],[ROAS]]</f>
        <v>5.21338683859722</v>
      </c>
      <c r="T1239" t="str">
        <f>_xlfn.CONCAT(C1239,"-",D1239)</f>
        <v>Paid Social-Portugal</v>
      </c>
      <c r="U1239">
        <f>YEAR(A1239)</f>
        <v>2025</v>
      </c>
      <c r="V1239">
        <f>MONTH(A1239)</f>
        <v>5</v>
      </c>
      <c r="W1239" t="str">
        <f>PROPER(TEXT(A1239,"mmmm"))</f>
        <v>Mayo</v>
      </c>
      <c r="X1239" t="str">
        <f>PROPER(TEXT(A1239,"dddd"))</f>
        <v>Miércoles</v>
      </c>
      <c r="Y1239" t="str" cm="1">
        <f t="array" ref="Y1239">_xlfn.IFS(R1239&gt;10,"Excelente",R1239&gt;=5,"Bueno",R1239&gt;=2,"Débil",R1239&lt;2,"Deficiente")</f>
        <v>Bueno</v>
      </c>
      <c r="Z1239" t="str">
        <f>IF(AND(R1239&lt;2,Q1239&gt;=100),"Revisar","OK")</f>
        <v>OK</v>
      </c>
      <c r="AA1239" s="55">
        <f>_xlfn.XLOOKUP(C1239,'Preguntas de negocio'!$C$114:$C$119,'Preguntas de negocio'!$D$114:$D$119,0)</f>
        <v>6</v>
      </c>
      <c r="AB1239" s="55">
        <f>VLOOKUP(C1239,'Preguntas de negocio'!$C$121:$D$127,2,FALSE)</f>
        <v>0.8</v>
      </c>
    </row>
    <row r="1240" spans="1:28" x14ac:dyDescent="0.3">
      <c r="A1240" s="1">
        <v>45724</v>
      </c>
      <c r="B1240" s="2" t="s">
        <v>2618</v>
      </c>
      <c r="C1240" s="2" t="s">
        <v>2541</v>
      </c>
      <c r="D1240" s="2" t="s">
        <v>2525</v>
      </c>
      <c r="E1240" s="2" t="s">
        <v>2529</v>
      </c>
      <c r="F1240" s="3">
        <v>135731</v>
      </c>
      <c r="G1240" s="3">
        <v>3895</v>
      </c>
      <c r="H1240" s="3">
        <v>344</v>
      </c>
      <c r="I1240" s="4">
        <v>4658.2299999999996</v>
      </c>
      <c r="J1240" s="4">
        <v>16750.2</v>
      </c>
      <c r="K1240" s="3">
        <v>175</v>
      </c>
      <c r="L1240" s="2" t="s">
        <v>2518</v>
      </c>
      <c r="M1240" s="2" t="s">
        <v>2546</v>
      </c>
      <c r="N1240" s="8">
        <f>IFERROR(G1240/F1240,0)</f>
        <v>2.869646580368523E-2</v>
      </c>
      <c r="O1240" s="8">
        <f>IFERROR(H1240/G1240,0)</f>
        <v>8.831835686777921E-2</v>
      </c>
      <c r="P1240" s="4">
        <f>IFERROR(I1240/G1240,0)</f>
        <v>1.1959512195121951</v>
      </c>
      <c r="Q1240" s="4">
        <f>IFERROR(I1240/H1240,0)</f>
        <v>13.541366279069766</v>
      </c>
      <c r="R1240" s="12">
        <f>IFERROR(J1240/I1240,0)</f>
        <v>3.5958293171440658</v>
      </c>
      <c r="S1240" s="7">
        <f>Tabla_nuevas_columnas[[#This Row],[ROAS]]</f>
        <v>3.5958293171440658</v>
      </c>
      <c r="T1240" t="str">
        <f>_xlfn.CONCAT(C1240,"-",D1240)</f>
        <v>Display-Francia</v>
      </c>
      <c r="U1240">
        <f>YEAR(A1240)</f>
        <v>2025</v>
      </c>
      <c r="V1240">
        <f>MONTH(A1240)</f>
        <v>3</v>
      </c>
      <c r="W1240" t="str">
        <f>PROPER(TEXT(A1240,"mmmm"))</f>
        <v>Marzo</v>
      </c>
      <c r="X1240" t="str">
        <f>PROPER(TEXT(A1240,"dddd"))</f>
        <v>Sábado</v>
      </c>
      <c r="Y1240" t="str" cm="1">
        <f t="array" ref="Y1240">_xlfn.IFS(R1240&gt;10,"Excelente",R1240&gt;=5,"Bueno",R1240&gt;=2,"Débil",R1240&lt;2,"Deficiente")</f>
        <v>Débil</v>
      </c>
      <c r="Z1240" t="str">
        <f>IF(AND(R1240&lt;2,Q1240&gt;=100),"Revisar","OK")</f>
        <v>OK</v>
      </c>
      <c r="AA1240" s="55">
        <f>_xlfn.XLOOKUP(C1240,'Preguntas de negocio'!$C$114:$C$119,'Preguntas de negocio'!$D$114:$D$119,0)</f>
        <v>5</v>
      </c>
      <c r="AB1240" s="55">
        <f>VLOOKUP(C1240,'Preguntas de negocio'!$C$121:$D$127,2,FALSE)</f>
        <v>0.5</v>
      </c>
    </row>
    <row r="1241" spans="1:28" x14ac:dyDescent="0.3">
      <c r="A1241" s="1">
        <v>45713</v>
      </c>
      <c r="B1241" s="2" t="s">
        <v>2640</v>
      </c>
      <c r="C1241" s="2" t="s">
        <v>2521</v>
      </c>
      <c r="D1241" s="2" t="s">
        <v>2516</v>
      </c>
      <c r="E1241" s="2" t="s">
        <v>2529</v>
      </c>
      <c r="F1241" s="3">
        <v>143003</v>
      </c>
      <c r="G1241" s="3">
        <v>2900</v>
      </c>
      <c r="H1241" s="3">
        <v>86</v>
      </c>
      <c r="I1241" s="4">
        <v>968.8</v>
      </c>
      <c r="J1241" s="4">
        <v>8100</v>
      </c>
      <c r="K1241" s="3">
        <v>60</v>
      </c>
      <c r="L1241" s="2" t="s">
        <v>2518</v>
      </c>
      <c r="M1241" s="2" t="s">
        <v>2537</v>
      </c>
      <c r="N1241" s="8">
        <f>IFERROR(G1241/F1241,0)</f>
        <v>2.0279294839968393E-2</v>
      </c>
      <c r="O1241" s="8">
        <f>IFERROR(H1241/G1241,0)</f>
        <v>2.9655172413793104E-2</v>
      </c>
      <c r="P1241" s="4">
        <f>IFERROR(I1241/G1241,0)</f>
        <v>0.33406896551724136</v>
      </c>
      <c r="Q1241" s="4">
        <f>IFERROR(I1241/H1241,0)</f>
        <v>11.265116279069767</v>
      </c>
      <c r="R1241" s="12">
        <f>IFERROR(J1241/I1241,0)</f>
        <v>8.3608587943848072</v>
      </c>
      <c r="S1241" s="7">
        <f>Tabla_nuevas_columnas[[#This Row],[ROAS]]</f>
        <v>8.3608587943848072</v>
      </c>
      <c r="T1241" t="str">
        <f>_xlfn.CONCAT(C1241,"-",D1241)</f>
        <v>Paid Search-México</v>
      </c>
      <c r="U1241">
        <f>YEAR(A1241)</f>
        <v>2025</v>
      </c>
      <c r="V1241">
        <f>MONTH(A1241)</f>
        <v>2</v>
      </c>
      <c r="W1241" t="str">
        <f>PROPER(TEXT(A1241,"mmmm"))</f>
        <v>Febrero</v>
      </c>
      <c r="X1241" t="str">
        <f>PROPER(TEXT(A1241,"dddd"))</f>
        <v>Martes</v>
      </c>
      <c r="Y1241" t="str" cm="1">
        <f t="array" ref="Y1241">_xlfn.IFS(R1241&gt;10,"Excelente",R1241&gt;=5,"Bueno",R1241&gt;=2,"Débil",R1241&lt;2,"Deficiente")</f>
        <v>Bueno</v>
      </c>
      <c r="Z1241" t="str">
        <f>IF(AND(R1241&lt;2,Q1241&gt;=100),"Revisar","OK")</f>
        <v>OK</v>
      </c>
      <c r="AA1241" s="55">
        <f>_xlfn.XLOOKUP(C1241,'Preguntas de negocio'!$C$114:$C$119,'Preguntas de negocio'!$D$114:$D$119,0)</f>
        <v>5</v>
      </c>
      <c r="AB1241" s="55">
        <f>VLOOKUP(C1241,'Preguntas de negocio'!$C$121:$D$127,2,FALSE)</f>
        <v>1.1000000000000001</v>
      </c>
    </row>
    <row r="1242" spans="1:28" x14ac:dyDescent="0.3">
      <c r="A1242" s="1">
        <v>45782</v>
      </c>
      <c r="B1242" s="2" t="s">
        <v>2620</v>
      </c>
      <c r="C1242" s="2" t="s">
        <v>2543</v>
      </c>
      <c r="D1242" s="2" t="s">
        <v>2525</v>
      </c>
      <c r="E1242" s="2" t="s">
        <v>2517</v>
      </c>
      <c r="F1242" s="3">
        <v>23984</v>
      </c>
      <c r="G1242" s="3">
        <v>217</v>
      </c>
      <c r="H1242" s="3">
        <v>21</v>
      </c>
      <c r="I1242" s="4">
        <v>449.75</v>
      </c>
      <c r="J1242" s="4">
        <v>3256.86</v>
      </c>
      <c r="K1242" s="3">
        <v>16</v>
      </c>
      <c r="L1242" s="2" t="s">
        <v>2536</v>
      </c>
      <c r="M1242" s="2" t="s">
        <v>2526</v>
      </c>
      <c r="N1242" s="8">
        <f>IFERROR(G1242/F1242,0)</f>
        <v>9.047698465643763E-3</v>
      </c>
      <c r="O1242" s="8">
        <f>IFERROR(H1242/G1242,0)</f>
        <v>9.6774193548387094E-2</v>
      </c>
      <c r="P1242" s="4">
        <f>IFERROR(I1242/G1242,0)</f>
        <v>2.0725806451612905</v>
      </c>
      <c r="Q1242" s="4">
        <f>IFERROR(I1242/H1242,0)</f>
        <v>21.416666666666668</v>
      </c>
      <c r="R1242" s="12">
        <f>IFERROR(J1242/I1242,0)</f>
        <v>7.2414897165091716</v>
      </c>
      <c r="S1242" s="7">
        <f>Tabla_nuevas_columnas[[#This Row],[ROAS]]</f>
        <v>7.2414897165091716</v>
      </c>
      <c r="T1242" t="str">
        <f>_xlfn.CONCAT(C1242,"-",D1242)</f>
        <v>Organic Social-Francia</v>
      </c>
      <c r="U1242">
        <f>YEAR(A1242)</f>
        <v>2025</v>
      </c>
      <c r="V1242">
        <f>MONTH(A1242)</f>
        <v>5</v>
      </c>
      <c r="W1242" t="str">
        <f>PROPER(TEXT(A1242,"mmmm"))</f>
        <v>Mayo</v>
      </c>
      <c r="X1242" t="str">
        <f>PROPER(TEXT(A1242,"dddd"))</f>
        <v>Lunes</v>
      </c>
      <c r="Y1242" t="str" cm="1">
        <f t="array" ref="Y1242">_xlfn.IFS(R1242&gt;10,"Excelente",R1242&gt;=5,"Bueno",R1242&gt;=2,"Débil",R1242&lt;2,"Deficiente")</f>
        <v>Bueno</v>
      </c>
      <c r="Z1242" t="str">
        <f>IF(AND(R1242&lt;2,Q1242&gt;=100),"Revisar","OK")</f>
        <v>OK</v>
      </c>
      <c r="AA1242" s="55">
        <f>_xlfn.XLOOKUP(C1242,'Preguntas de negocio'!$C$114:$C$119,'Preguntas de negocio'!$D$114:$D$119,0)</f>
        <v>4</v>
      </c>
      <c r="AB1242" s="55">
        <f>VLOOKUP(C1242,'Preguntas de negocio'!$C$121:$D$127,2,FALSE)</f>
        <v>0.95</v>
      </c>
    </row>
    <row r="1243" spans="1:28" x14ac:dyDescent="0.3">
      <c r="A1243" s="1">
        <v>45935</v>
      </c>
      <c r="B1243" s="2" t="s">
        <v>2616</v>
      </c>
      <c r="C1243" s="2" t="s">
        <v>2543</v>
      </c>
      <c r="D1243" s="2" t="s">
        <v>2528</v>
      </c>
      <c r="E1243" s="2" t="s">
        <v>2517</v>
      </c>
      <c r="F1243" s="3">
        <v>80289</v>
      </c>
      <c r="G1243" s="3">
        <v>5767</v>
      </c>
      <c r="H1243" s="3">
        <v>43</v>
      </c>
      <c r="I1243" s="4">
        <v>11205.21</v>
      </c>
      <c r="J1243" s="4">
        <v>4062.18</v>
      </c>
      <c r="K1243" s="3">
        <v>32</v>
      </c>
      <c r="L1243" s="2" t="s">
        <v>2536</v>
      </c>
      <c r="M1243" s="2" t="s">
        <v>2537</v>
      </c>
      <c r="N1243" s="8">
        <f>IFERROR(G1243/F1243,0)</f>
        <v>7.1828021273150744E-2</v>
      </c>
      <c r="O1243" s="8">
        <f>IFERROR(H1243/G1243,0)</f>
        <v>7.4562164036760881E-3</v>
      </c>
      <c r="P1243" s="4">
        <f>IFERROR(I1243/G1243,0)</f>
        <v>1.9429876885729147</v>
      </c>
      <c r="Q1243" s="4">
        <f>IFERROR(I1243/H1243,0)</f>
        <v>260.58627906976744</v>
      </c>
      <c r="R1243" s="12">
        <f>IFERROR(J1243/I1243,0)</f>
        <v>0.36252600352871567</v>
      </c>
      <c r="S1243" s="7">
        <f>Tabla_nuevas_columnas[[#This Row],[ROAS]]</f>
        <v>0.36252600352871567</v>
      </c>
      <c r="T1243" t="str">
        <f>_xlfn.CONCAT(C1243,"-",D1243)</f>
        <v>Organic Social-España</v>
      </c>
      <c r="U1243">
        <f>YEAR(A1243)</f>
        <v>2025</v>
      </c>
      <c r="V1243">
        <f>MONTH(A1243)</f>
        <v>10</v>
      </c>
      <c r="W1243" t="str">
        <f>PROPER(TEXT(A1243,"mmmm"))</f>
        <v>Octubre</v>
      </c>
      <c r="X1243" t="str">
        <f>PROPER(TEXT(A1243,"dddd"))</f>
        <v>Domingo</v>
      </c>
      <c r="Y1243" t="str" cm="1">
        <f t="array" ref="Y1243">_xlfn.IFS(R1243&gt;10,"Excelente",R1243&gt;=5,"Bueno",R1243&gt;=2,"Débil",R1243&lt;2,"Deficiente")</f>
        <v>Deficiente</v>
      </c>
      <c r="Z1243" t="str">
        <f>IF(AND(R1243&lt;2,Q1243&gt;=100),"Revisar","OK")</f>
        <v>Revisar</v>
      </c>
      <c r="AA1243" s="55">
        <f>_xlfn.XLOOKUP(C1243,'Preguntas de negocio'!$C$114:$C$119,'Preguntas de negocio'!$D$114:$D$119,0)</f>
        <v>4</v>
      </c>
      <c r="AB1243" s="55">
        <f>VLOOKUP(C1243,'Preguntas de negocio'!$C$121:$D$127,2,FALSE)</f>
        <v>0.95</v>
      </c>
    </row>
    <row r="1244" spans="1:28" x14ac:dyDescent="0.3">
      <c r="A1244" s="1">
        <v>45992</v>
      </c>
      <c r="B1244" s="2" t="s">
        <v>2644</v>
      </c>
      <c r="C1244" s="2" t="s">
        <v>2515</v>
      </c>
      <c r="D1244" s="2" t="s">
        <v>2525</v>
      </c>
      <c r="E1244" s="2" t="s">
        <v>2517</v>
      </c>
      <c r="F1244" s="3">
        <v>25525</v>
      </c>
      <c r="G1244" s="3">
        <v>1952</v>
      </c>
      <c r="H1244" s="3">
        <v>272</v>
      </c>
      <c r="I1244" s="4">
        <v>3800.76</v>
      </c>
      <c r="J1244" s="4">
        <v>42615.06</v>
      </c>
      <c r="K1244" s="3">
        <v>127</v>
      </c>
      <c r="L1244" s="2" t="s">
        <v>2523</v>
      </c>
      <c r="M1244" s="2" t="s">
        <v>2526</v>
      </c>
      <c r="N1244" s="8">
        <f>IFERROR(G1244/F1244,0)</f>
        <v>7.6474045053868761E-2</v>
      </c>
      <c r="O1244" s="8">
        <f>IFERROR(H1244/G1244,0)</f>
        <v>0.13934426229508196</v>
      </c>
      <c r="P1244" s="4">
        <f>IFERROR(I1244/G1244,0)</f>
        <v>1.9471106557377049</v>
      </c>
      <c r="Q1244" s="4">
        <f>IFERROR(I1244/H1244,0)</f>
        <v>13.973382352941178</v>
      </c>
      <c r="R1244" s="12">
        <f>IFERROR(J1244/I1244,0)</f>
        <v>11.212247024279353</v>
      </c>
      <c r="S1244" s="7">
        <f>Tabla_nuevas_columnas[[#This Row],[ROAS]]</f>
        <v>11.212247024279353</v>
      </c>
      <c r="T1244" t="str">
        <f>_xlfn.CONCAT(C1244,"-",D1244)</f>
        <v>Email-Francia</v>
      </c>
      <c r="U1244">
        <f>YEAR(A1244)</f>
        <v>2025</v>
      </c>
      <c r="V1244">
        <f>MONTH(A1244)</f>
        <v>12</v>
      </c>
      <c r="W1244" t="str">
        <f>PROPER(TEXT(A1244,"mmmm"))</f>
        <v>Diciembre</v>
      </c>
      <c r="X1244" t="str">
        <f>PROPER(TEXT(A1244,"dddd"))</f>
        <v>Lunes</v>
      </c>
      <c r="Y1244" t="str" cm="1">
        <f t="array" ref="Y1244">_xlfn.IFS(R1244&gt;10,"Excelente",R1244&gt;=5,"Bueno",R1244&gt;=2,"Débil",R1244&lt;2,"Deficiente")</f>
        <v>Excelente</v>
      </c>
      <c r="Z1244" t="str">
        <f>IF(AND(R1244&lt;2,Q1244&gt;=100),"Revisar","OK")</f>
        <v>OK</v>
      </c>
      <c r="AA1244" s="55">
        <f>_xlfn.XLOOKUP(C1244,'Preguntas de negocio'!$C$114:$C$119,'Preguntas de negocio'!$D$114:$D$119,0)</f>
        <v>5.5</v>
      </c>
      <c r="AB1244" s="55">
        <f>VLOOKUP(C1244,'Preguntas de negocio'!$C$121:$D$127,2,FALSE)</f>
        <v>0.65</v>
      </c>
    </row>
    <row r="1245" spans="1:28" x14ac:dyDescent="0.3">
      <c r="A1245" s="1">
        <v>46002</v>
      </c>
      <c r="B1245" s="2" t="s">
        <v>2639</v>
      </c>
      <c r="C1245" s="2" t="s">
        <v>2521</v>
      </c>
      <c r="D1245" s="2" t="s">
        <v>2525</v>
      </c>
      <c r="E1245" s="2" t="s">
        <v>2517</v>
      </c>
      <c r="F1245" s="3">
        <v>162914</v>
      </c>
      <c r="G1245" s="3">
        <v>11368</v>
      </c>
      <c r="H1245" s="3">
        <v>363</v>
      </c>
      <c r="I1245" s="4">
        <v>2530.7800000000002</v>
      </c>
      <c r="J1245" s="4">
        <v>23289.55</v>
      </c>
      <c r="K1245" s="3">
        <v>289</v>
      </c>
      <c r="L1245" s="2" t="s">
        <v>2523</v>
      </c>
      <c r="M1245" s="2" t="s">
        <v>2526</v>
      </c>
      <c r="N1245" s="8">
        <f>IFERROR(G1245/F1245,0)</f>
        <v>6.9779147280160089E-2</v>
      </c>
      <c r="O1245" s="8">
        <f>IFERROR(H1245/G1245,0)</f>
        <v>3.1931738212526387E-2</v>
      </c>
      <c r="P1245" s="4">
        <f>IFERROR(I1245/G1245,0)</f>
        <v>0.22262315270935962</v>
      </c>
      <c r="Q1245" s="4">
        <f>IFERROR(I1245/H1245,0)</f>
        <v>6.9718457300275487</v>
      </c>
      <c r="R1245" s="12">
        <f>IFERROR(J1245/I1245,0)</f>
        <v>9.2025185911062977</v>
      </c>
      <c r="S1245" s="7">
        <f>Tabla_nuevas_columnas[[#This Row],[ROAS]]</f>
        <v>9.2025185911062977</v>
      </c>
      <c r="T1245" t="str">
        <f>_xlfn.CONCAT(C1245,"-",D1245)</f>
        <v>Paid Search-Francia</v>
      </c>
      <c r="U1245">
        <f>YEAR(A1245)</f>
        <v>2025</v>
      </c>
      <c r="V1245">
        <f>MONTH(A1245)</f>
        <v>12</v>
      </c>
      <c r="W1245" t="str">
        <f>PROPER(TEXT(A1245,"mmmm"))</f>
        <v>Diciembre</v>
      </c>
      <c r="X1245" t="str">
        <f>PROPER(TEXT(A1245,"dddd"))</f>
        <v>Jueves</v>
      </c>
      <c r="Y1245" t="str" cm="1">
        <f t="array" ref="Y1245">_xlfn.IFS(R1245&gt;10,"Excelente",R1245&gt;=5,"Bueno",R1245&gt;=2,"Débil",R1245&lt;2,"Deficiente")</f>
        <v>Bueno</v>
      </c>
      <c r="Z1245" t="str">
        <f>IF(AND(R1245&lt;2,Q1245&gt;=100),"Revisar","OK")</f>
        <v>OK</v>
      </c>
      <c r="AA1245" s="55">
        <f>_xlfn.XLOOKUP(C1245,'Preguntas de negocio'!$C$114:$C$119,'Preguntas de negocio'!$D$114:$D$119,0)</f>
        <v>5</v>
      </c>
      <c r="AB1245" s="55">
        <f>VLOOKUP(C1245,'Preguntas de negocio'!$C$121:$D$127,2,FALSE)</f>
        <v>1.1000000000000001</v>
      </c>
    </row>
    <row r="1246" spans="1:28" x14ac:dyDescent="0.3">
      <c r="A1246" s="1">
        <v>45958</v>
      </c>
      <c r="B1246" s="2" t="s">
        <v>2630</v>
      </c>
      <c r="C1246" s="2" t="s">
        <v>2533</v>
      </c>
      <c r="D1246" s="2" t="s">
        <v>2528</v>
      </c>
      <c r="E1246" s="2" t="s">
        <v>2529</v>
      </c>
      <c r="F1246" s="3">
        <v>69332</v>
      </c>
      <c r="G1246" s="3">
        <v>4558</v>
      </c>
      <c r="H1246" s="3">
        <v>76</v>
      </c>
      <c r="I1246" s="4">
        <v>6345.7</v>
      </c>
      <c r="J1246" s="4">
        <v>9773.16</v>
      </c>
      <c r="K1246" s="3">
        <v>61</v>
      </c>
      <c r="L1246" s="2" t="s">
        <v>2518</v>
      </c>
      <c r="M1246" s="2" t="s">
        <v>2519</v>
      </c>
      <c r="N1246" s="8">
        <f>IFERROR(G1246/F1246,0)</f>
        <v>6.5741648877863032E-2</v>
      </c>
      <c r="O1246" s="8">
        <f>IFERROR(H1246/G1246,0)</f>
        <v>1.6673979815708645E-2</v>
      </c>
      <c r="P1246" s="4">
        <f>IFERROR(I1246/G1246,0)</f>
        <v>1.3922114962702941</v>
      </c>
      <c r="Q1246" s="4">
        <f>IFERROR(I1246/H1246,0)</f>
        <v>83.496052631578948</v>
      </c>
      <c r="R1246" s="12">
        <f>IFERROR(J1246/I1246,0)</f>
        <v>1.5401232330554548</v>
      </c>
      <c r="S1246" s="7">
        <f>Tabla_nuevas_columnas[[#This Row],[ROAS]]</f>
        <v>1.5401232330554548</v>
      </c>
      <c r="T1246" t="str">
        <f>_xlfn.CONCAT(C1246,"-",D1246)</f>
        <v>Paid Social-España</v>
      </c>
      <c r="U1246">
        <f>YEAR(A1246)</f>
        <v>2025</v>
      </c>
      <c r="V1246">
        <f>MONTH(A1246)</f>
        <v>10</v>
      </c>
      <c r="W1246" t="str">
        <f>PROPER(TEXT(A1246,"mmmm"))</f>
        <v>Octubre</v>
      </c>
      <c r="X1246" t="str">
        <f>PROPER(TEXT(A1246,"dddd"))</f>
        <v>Martes</v>
      </c>
      <c r="Y1246" t="str" cm="1">
        <f t="array" ref="Y1246">_xlfn.IFS(R1246&gt;10,"Excelente",R1246&gt;=5,"Bueno",R1246&gt;=2,"Débil",R1246&lt;2,"Deficiente")</f>
        <v>Deficiente</v>
      </c>
      <c r="Z1246" t="str">
        <f>IF(AND(R1246&lt;2,Q1246&gt;=100),"Revisar","OK")</f>
        <v>OK</v>
      </c>
      <c r="AA1246" s="55">
        <f>_xlfn.XLOOKUP(C1246,'Preguntas de negocio'!$C$114:$C$119,'Preguntas de negocio'!$D$114:$D$119,0)</f>
        <v>6</v>
      </c>
      <c r="AB1246" s="55">
        <f>VLOOKUP(C1246,'Preguntas de negocio'!$C$121:$D$127,2,FALSE)</f>
        <v>0.8</v>
      </c>
    </row>
    <row r="1247" spans="1:28" x14ac:dyDescent="0.3">
      <c r="A1247" s="1">
        <v>45859</v>
      </c>
      <c r="B1247" s="2" t="s">
        <v>2621</v>
      </c>
      <c r="C1247" s="2" t="s">
        <v>2533</v>
      </c>
      <c r="D1247" s="2" t="s">
        <v>2528</v>
      </c>
      <c r="E1247" s="2" t="s">
        <v>2529</v>
      </c>
      <c r="F1247" s="3">
        <v>57137</v>
      </c>
      <c r="G1247" s="3">
        <v>2229</v>
      </c>
      <c r="H1247" s="3">
        <v>284</v>
      </c>
      <c r="I1247" s="4">
        <v>1124.78</v>
      </c>
      <c r="J1247" s="4">
        <v>39241.07</v>
      </c>
      <c r="K1247" s="3">
        <v>168</v>
      </c>
      <c r="L1247" s="2" t="s">
        <v>2523</v>
      </c>
      <c r="M1247" s="2" t="s">
        <v>2524</v>
      </c>
      <c r="N1247" s="8">
        <f>IFERROR(G1247/F1247,0)</f>
        <v>3.9011498678614559E-2</v>
      </c>
      <c r="O1247" s="8">
        <f>IFERROR(H1247/G1247,0)</f>
        <v>0.12741139524450426</v>
      </c>
      <c r="P1247" s="4">
        <f>IFERROR(I1247/G1247,0)</f>
        <v>0.50461193360251233</v>
      </c>
      <c r="Q1247" s="4">
        <f>IFERROR(I1247/H1247,0)</f>
        <v>3.9604929577464789</v>
      </c>
      <c r="R1247" s="12">
        <f>IFERROR(J1247/I1247,0)</f>
        <v>34.887773609061327</v>
      </c>
      <c r="S1247" s="7">
        <f>Tabla_nuevas_columnas[[#This Row],[ROAS]]</f>
        <v>34.887773609061327</v>
      </c>
      <c r="T1247" t="str">
        <f>_xlfn.CONCAT(C1247,"-",D1247)</f>
        <v>Paid Social-España</v>
      </c>
      <c r="U1247">
        <f>YEAR(A1247)</f>
        <v>2025</v>
      </c>
      <c r="V1247">
        <f>MONTH(A1247)</f>
        <v>7</v>
      </c>
      <c r="W1247" t="str">
        <f>PROPER(TEXT(A1247,"mmmm"))</f>
        <v>Julio</v>
      </c>
      <c r="X1247" t="str">
        <f>PROPER(TEXT(A1247,"dddd"))</f>
        <v>Lunes</v>
      </c>
      <c r="Y1247" t="str" cm="1">
        <f t="array" ref="Y1247">_xlfn.IFS(R1247&gt;10,"Excelente",R1247&gt;=5,"Bueno",R1247&gt;=2,"Débil",R1247&lt;2,"Deficiente")</f>
        <v>Excelente</v>
      </c>
      <c r="Z1247" t="str">
        <f>IF(AND(R1247&lt;2,Q1247&gt;=100),"Revisar","OK")</f>
        <v>OK</v>
      </c>
      <c r="AA1247" s="55">
        <f>_xlfn.XLOOKUP(C1247,'Preguntas de negocio'!$C$114:$C$119,'Preguntas de negocio'!$D$114:$D$119,0)</f>
        <v>6</v>
      </c>
      <c r="AB1247" s="55">
        <f>VLOOKUP(C1247,'Preguntas de negocio'!$C$121:$D$127,2,FALSE)</f>
        <v>0.8</v>
      </c>
    </row>
    <row r="1248" spans="1:28" x14ac:dyDescent="0.3">
      <c r="A1248" s="1">
        <v>46007</v>
      </c>
      <c r="B1248" s="2" t="s">
        <v>2623</v>
      </c>
      <c r="C1248" s="2" t="s">
        <v>2527</v>
      </c>
      <c r="D1248" s="2" t="s">
        <v>2525</v>
      </c>
      <c r="E1248" s="2" t="s">
        <v>2517</v>
      </c>
      <c r="F1248" s="3">
        <v>178438</v>
      </c>
      <c r="G1248" s="3">
        <v>14567</v>
      </c>
      <c r="H1248" s="3">
        <v>1255</v>
      </c>
      <c r="I1248" s="4">
        <v>7878.24</v>
      </c>
      <c r="J1248" s="4">
        <v>124885.36</v>
      </c>
      <c r="K1248" s="3">
        <v>955</v>
      </c>
      <c r="L1248" s="2" t="s">
        <v>2536</v>
      </c>
      <c r="M1248" s="2" t="s">
        <v>2524</v>
      </c>
      <c r="N1248" s="8">
        <f>IFERROR(G1248/F1248,0)</f>
        <v>8.1636198567569693E-2</v>
      </c>
      <c r="O1248" s="8">
        <f>IFERROR(H1248/G1248,0)</f>
        <v>8.6153634928262515E-2</v>
      </c>
      <c r="P1248" s="4">
        <f>IFERROR(I1248/G1248,0)</f>
        <v>0.54082789867508752</v>
      </c>
      <c r="Q1248" s="4">
        <f>IFERROR(I1248/H1248,0)</f>
        <v>6.2774820717131474</v>
      </c>
      <c r="R1248" s="12">
        <f>IFERROR(J1248/I1248,0)</f>
        <v>15.851936473120901</v>
      </c>
      <c r="S1248" s="7">
        <f>Tabla_nuevas_columnas[[#This Row],[ROAS]]</f>
        <v>15.851936473120901</v>
      </c>
      <c r="T1248" t="str">
        <f>_xlfn.CONCAT(C1248,"-",D1248)</f>
        <v>Affiliate-Francia</v>
      </c>
      <c r="U1248">
        <f>YEAR(A1248)</f>
        <v>2025</v>
      </c>
      <c r="V1248">
        <f>MONTH(A1248)</f>
        <v>12</v>
      </c>
      <c r="W1248" t="str">
        <f>PROPER(TEXT(A1248,"mmmm"))</f>
        <v>Diciembre</v>
      </c>
      <c r="X1248" t="str">
        <f>PROPER(TEXT(A1248,"dddd"))</f>
        <v>Martes</v>
      </c>
      <c r="Y1248" t="str" cm="1">
        <f t="array" ref="Y1248">_xlfn.IFS(R1248&gt;10,"Excelente",R1248&gt;=5,"Bueno",R1248&gt;=2,"Débil",R1248&lt;2,"Deficiente")</f>
        <v>Excelente</v>
      </c>
      <c r="Z1248" t="str">
        <f>IF(AND(R1248&lt;2,Q1248&gt;=100),"Revisar","OK")</f>
        <v>OK</v>
      </c>
      <c r="AA1248" s="55">
        <f>_xlfn.XLOOKUP(C1248,'Preguntas de negocio'!$C$114:$C$119,'Preguntas de negocio'!$D$114:$D$119,0)</f>
        <v>4.5</v>
      </c>
      <c r="AB1248" s="55">
        <f>VLOOKUP(C1248,'Preguntas de negocio'!$C$121:$D$127,2,FALSE)</f>
        <v>0.35</v>
      </c>
    </row>
    <row r="1249" spans="1:28" x14ac:dyDescent="0.3">
      <c r="A1249" s="1">
        <v>45769</v>
      </c>
      <c r="B1249" s="2" t="s">
        <v>2641</v>
      </c>
      <c r="C1249" s="2" t="s">
        <v>2521</v>
      </c>
      <c r="D1249" s="2" t="s">
        <v>2522</v>
      </c>
      <c r="E1249" s="2" t="s">
        <v>2517</v>
      </c>
      <c r="F1249" s="3">
        <v>166207</v>
      </c>
      <c r="G1249" s="3">
        <v>2223</v>
      </c>
      <c r="H1249" s="3">
        <v>186</v>
      </c>
      <c r="I1249" s="4">
        <v>1244.1300000000001</v>
      </c>
      <c r="J1249" s="4">
        <v>10414.39</v>
      </c>
      <c r="K1249" s="3">
        <v>136</v>
      </c>
      <c r="L1249" s="2" t="s">
        <v>2523</v>
      </c>
      <c r="M1249" s="2" t="s">
        <v>2526</v>
      </c>
      <c r="N1249" s="8">
        <f>IFERROR(G1249/F1249,0)</f>
        <v>1.3374887940941115E-2</v>
      </c>
      <c r="O1249" s="8">
        <f>IFERROR(H1249/G1249,0)</f>
        <v>8.3670715249662617E-2</v>
      </c>
      <c r="P1249" s="4">
        <f>IFERROR(I1249/G1249,0)</f>
        <v>0.55966261808367079</v>
      </c>
      <c r="Q1249" s="4">
        <f>IFERROR(I1249/H1249,0)</f>
        <v>6.688870967741936</v>
      </c>
      <c r="R1249" s="12">
        <f>IFERROR(J1249/I1249,0)</f>
        <v>8.370821377187271</v>
      </c>
      <c r="S1249" s="7">
        <f>Tabla_nuevas_columnas[[#This Row],[ROAS]]</f>
        <v>8.370821377187271</v>
      </c>
      <c r="T1249" t="str">
        <f>_xlfn.CONCAT(C1249,"-",D1249)</f>
        <v>Paid Search-Italia</v>
      </c>
      <c r="U1249">
        <f>YEAR(A1249)</f>
        <v>2025</v>
      </c>
      <c r="V1249">
        <f>MONTH(A1249)</f>
        <v>4</v>
      </c>
      <c r="W1249" t="str">
        <f>PROPER(TEXT(A1249,"mmmm"))</f>
        <v>Abril</v>
      </c>
      <c r="X1249" t="str">
        <f>PROPER(TEXT(A1249,"dddd"))</f>
        <v>Martes</v>
      </c>
      <c r="Y1249" t="str" cm="1">
        <f t="array" ref="Y1249">_xlfn.IFS(R1249&gt;10,"Excelente",R1249&gt;=5,"Bueno",R1249&gt;=2,"Débil",R1249&lt;2,"Deficiente")</f>
        <v>Bueno</v>
      </c>
      <c r="Z1249" t="str">
        <f>IF(AND(R1249&lt;2,Q1249&gt;=100),"Revisar","OK")</f>
        <v>OK</v>
      </c>
      <c r="AA1249" s="55">
        <f>_xlfn.XLOOKUP(C1249,'Preguntas de negocio'!$C$114:$C$119,'Preguntas de negocio'!$D$114:$D$119,0)</f>
        <v>5</v>
      </c>
      <c r="AB1249" s="55">
        <f>VLOOKUP(C1249,'Preguntas de negocio'!$C$121:$D$127,2,FALSE)</f>
        <v>1.1000000000000001</v>
      </c>
    </row>
    <row r="1250" spans="1:28" x14ac:dyDescent="0.3">
      <c r="A1250" s="1">
        <v>45975</v>
      </c>
      <c r="B1250" s="2" t="s">
        <v>2630</v>
      </c>
      <c r="C1250" s="2" t="s">
        <v>2515</v>
      </c>
      <c r="D1250" s="2" t="s">
        <v>2531</v>
      </c>
      <c r="E1250" s="2" t="s">
        <v>2529</v>
      </c>
      <c r="F1250" s="3">
        <v>146762</v>
      </c>
      <c r="G1250" s="3">
        <v>1614</v>
      </c>
      <c r="H1250" s="3">
        <v>132</v>
      </c>
      <c r="I1250" s="4">
        <v>2670.53</v>
      </c>
      <c r="J1250" s="4">
        <v>24522.73</v>
      </c>
      <c r="K1250" s="3">
        <v>107</v>
      </c>
      <c r="L1250" s="2" t="s">
        <v>2518</v>
      </c>
      <c r="M1250" s="2" t="s">
        <v>2524</v>
      </c>
      <c r="N1250" s="8">
        <f>IFERROR(G1250/F1250,0)</f>
        <v>1.0997397146400294E-2</v>
      </c>
      <c r="O1250" s="8">
        <f>IFERROR(H1250/G1250,0)</f>
        <v>8.1784386617100371E-2</v>
      </c>
      <c r="P1250" s="4">
        <f>IFERROR(I1250/G1250,0)</f>
        <v>1.6546034696406444</v>
      </c>
      <c r="Q1250" s="4">
        <f>IFERROR(I1250/H1250,0)</f>
        <v>20.231287878787882</v>
      </c>
      <c r="R1250" s="12">
        <f>IFERROR(J1250/I1250,0)</f>
        <v>9.1827202839885711</v>
      </c>
      <c r="S1250" s="7">
        <f>Tabla_nuevas_columnas[[#This Row],[ROAS]]</f>
        <v>9.1827202839885711</v>
      </c>
      <c r="T1250" t="str">
        <f>_xlfn.CONCAT(C1250,"-",D1250)</f>
        <v>Email-Portugal</v>
      </c>
      <c r="U1250">
        <f>YEAR(A1250)</f>
        <v>2025</v>
      </c>
      <c r="V1250">
        <f>MONTH(A1250)</f>
        <v>11</v>
      </c>
      <c r="W1250" t="str">
        <f>PROPER(TEXT(A1250,"mmmm"))</f>
        <v>Noviembre</v>
      </c>
      <c r="X1250" t="str">
        <f>PROPER(TEXT(A1250,"dddd"))</f>
        <v>Viernes</v>
      </c>
      <c r="Y1250" t="str" cm="1">
        <f t="array" ref="Y1250">_xlfn.IFS(R1250&gt;10,"Excelente",R1250&gt;=5,"Bueno",R1250&gt;=2,"Débil",R1250&lt;2,"Deficiente")</f>
        <v>Bueno</v>
      </c>
      <c r="Z1250" t="str">
        <f>IF(AND(R1250&lt;2,Q1250&gt;=100),"Revisar","OK")</f>
        <v>OK</v>
      </c>
      <c r="AA1250" s="55">
        <f>_xlfn.XLOOKUP(C1250,'Preguntas de negocio'!$C$114:$C$119,'Preguntas de negocio'!$D$114:$D$119,0)</f>
        <v>5.5</v>
      </c>
      <c r="AB1250" s="55">
        <f>VLOOKUP(C1250,'Preguntas de negocio'!$C$121:$D$127,2,FALSE)</f>
        <v>0.65</v>
      </c>
    </row>
    <row r="1251" spans="1:28" x14ac:dyDescent="0.3">
      <c r="A1251" s="1">
        <v>45845</v>
      </c>
      <c r="B1251" s="2" t="s">
        <v>2632</v>
      </c>
      <c r="C1251" s="2" t="s">
        <v>2541</v>
      </c>
      <c r="D1251" s="2" t="s">
        <v>2528</v>
      </c>
      <c r="E1251" s="2" t="s">
        <v>2529</v>
      </c>
      <c r="F1251" s="3">
        <v>55933</v>
      </c>
      <c r="G1251" s="3">
        <v>2235</v>
      </c>
      <c r="H1251" s="3">
        <v>302</v>
      </c>
      <c r="I1251" s="4">
        <v>4579.2700000000004</v>
      </c>
      <c r="J1251" s="4">
        <v>46845.24</v>
      </c>
      <c r="K1251" s="3">
        <v>243</v>
      </c>
      <c r="L1251" s="2" t="s">
        <v>2536</v>
      </c>
      <c r="M1251" s="2" t="s">
        <v>2546</v>
      </c>
      <c r="N1251" s="8">
        <f>IFERROR(G1251/F1251,0)</f>
        <v>3.9958521802871294E-2</v>
      </c>
      <c r="O1251" s="8">
        <f>IFERROR(H1251/G1251,0)</f>
        <v>0.13512304250559284</v>
      </c>
      <c r="P1251" s="4">
        <f>IFERROR(I1251/G1251,0)</f>
        <v>2.0488903803131993</v>
      </c>
      <c r="Q1251" s="4">
        <f>IFERROR(I1251/H1251,0)</f>
        <v>15.163145695364239</v>
      </c>
      <c r="R1251" s="12">
        <f>IFERROR(J1251/I1251,0)</f>
        <v>10.22984886237326</v>
      </c>
      <c r="S1251" s="7">
        <f>Tabla_nuevas_columnas[[#This Row],[ROAS]]</f>
        <v>10.22984886237326</v>
      </c>
      <c r="T1251" t="str">
        <f>_xlfn.CONCAT(C1251,"-",D1251)</f>
        <v>Display-España</v>
      </c>
      <c r="U1251">
        <f>YEAR(A1251)</f>
        <v>2025</v>
      </c>
      <c r="V1251">
        <f>MONTH(A1251)</f>
        <v>7</v>
      </c>
      <c r="W1251" t="str">
        <f>PROPER(TEXT(A1251,"mmmm"))</f>
        <v>Julio</v>
      </c>
      <c r="X1251" t="str">
        <f>PROPER(TEXT(A1251,"dddd"))</f>
        <v>Lunes</v>
      </c>
      <c r="Y1251" t="str" cm="1">
        <f t="array" ref="Y1251">_xlfn.IFS(R1251&gt;10,"Excelente",R1251&gt;=5,"Bueno",R1251&gt;=2,"Débil",R1251&lt;2,"Deficiente")</f>
        <v>Excelente</v>
      </c>
      <c r="Z1251" t="str">
        <f>IF(AND(R1251&lt;2,Q1251&gt;=100),"Revisar","OK")</f>
        <v>OK</v>
      </c>
      <c r="AA1251" s="55">
        <f>_xlfn.XLOOKUP(C1251,'Preguntas de negocio'!$C$114:$C$119,'Preguntas de negocio'!$D$114:$D$119,0)</f>
        <v>5</v>
      </c>
      <c r="AB1251" s="55">
        <f>VLOOKUP(C1251,'Preguntas de negocio'!$C$121:$D$127,2,FALSE)</f>
        <v>0.5</v>
      </c>
    </row>
    <row r="1252" spans="1:28" x14ac:dyDescent="0.3">
      <c r="A1252" s="1">
        <v>45999</v>
      </c>
      <c r="B1252" s="2" t="s">
        <v>2629</v>
      </c>
      <c r="C1252" s="2" t="s">
        <v>2541</v>
      </c>
      <c r="D1252" s="2" t="s">
        <v>2525</v>
      </c>
      <c r="E1252" s="2" t="s">
        <v>2529</v>
      </c>
      <c r="F1252" s="3">
        <v>37212</v>
      </c>
      <c r="G1252" s="3">
        <v>1278</v>
      </c>
      <c r="H1252" s="3">
        <v>56</v>
      </c>
      <c r="I1252" s="4">
        <v>389.28</v>
      </c>
      <c r="J1252" s="4">
        <v>8833.59</v>
      </c>
      <c r="K1252" s="3">
        <v>37</v>
      </c>
      <c r="L1252" s="2" t="s">
        <v>2523</v>
      </c>
      <c r="M1252" s="2" t="s">
        <v>2519</v>
      </c>
      <c r="N1252" s="8">
        <f>IFERROR(G1252/F1252,0)</f>
        <v>3.434376007739439E-2</v>
      </c>
      <c r="O1252" s="8">
        <f>IFERROR(H1252/G1252,0)</f>
        <v>4.3818466353677622E-2</v>
      </c>
      <c r="P1252" s="4">
        <f>IFERROR(I1252/G1252,0)</f>
        <v>0.30460093896713614</v>
      </c>
      <c r="Q1252" s="4">
        <f>IFERROR(I1252/H1252,0)</f>
        <v>6.9514285714285711</v>
      </c>
      <c r="R1252" s="12">
        <f>IFERROR(J1252/I1252,0)</f>
        <v>22.692123921085081</v>
      </c>
      <c r="S1252" s="7">
        <f>Tabla_nuevas_columnas[[#This Row],[ROAS]]</f>
        <v>22.692123921085081</v>
      </c>
      <c r="T1252" t="str">
        <f>_xlfn.CONCAT(C1252,"-",D1252)</f>
        <v>Display-Francia</v>
      </c>
      <c r="U1252">
        <f>YEAR(A1252)</f>
        <v>2025</v>
      </c>
      <c r="V1252">
        <f>MONTH(A1252)</f>
        <v>12</v>
      </c>
      <c r="W1252" t="str">
        <f>PROPER(TEXT(A1252,"mmmm"))</f>
        <v>Diciembre</v>
      </c>
      <c r="X1252" t="str">
        <f>PROPER(TEXT(A1252,"dddd"))</f>
        <v>Lunes</v>
      </c>
      <c r="Y1252" t="str" cm="1">
        <f t="array" ref="Y1252">_xlfn.IFS(R1252&gt;10,"Excelente",R1252&gt;=5,"Bueno",R1252&gt;=2,"Débil",R1252&lt;2,"Deficiente")</f>
        <v>Excelente</v>
      </c>
      <c r="Z1252" t="str">
        <f>IF(AND(R1252&lt;2,Q1252&gt;=100),"Revisar","OK")</f>
        <v>OK</v>
      </c>
      <c r="AA1252" s="55">
        <f>_xlfn.XLOOKUP(C1252,'Preguntas de negocio'!$C$114:$C$119,'Preguntas de negocio'!$D$114:$D$119,0)</f>
        <v>5</v>
      </c>
      <c r="AB1252" s="55">
        <f>VLOOKUP(C1252,'Preguntas de negocio'!$C$121:$D$127,2,FALSE)</f>
        <v>0.5</v>
      </c>
    </row>
    <row r="1253" spans="1:28" x14ac:dyDescent="0.3">
      <c r="A1253" s="1">
        <v>45942</v>
      </c>
      <c r="B1253" s="2" t="s">
        <v>2621</v>
      </c>
      <c r="C1253" s="2" t="s">
        <v>2521</v>
      </c>
      <c r="D1253" s="2" t="s">
        <v>2531</v>
      </c>
      <c r="E1253" s="2" t="s">
        <v>2529</v>
      </c>
      <c r="F1253" s="3">
        <v>90185</v>
      </c>
      <c r="G1253" s="3">
        <v>6892</v>
      </c>
      <c r="H1253" s="3">
        <v>576</v>
      </c>
      <c r="I1253" s="4">
        <v>12331.64</v>
      </c>
      <c r="J1253" s="4">
        <v>51773.97</v>
      </c>
      <c r="K1253" s="3">
        <v>344</v>
      </c>
      <c r="L1253" s="2" t="s">
        <v>2523</v>
      </c>
      <c r="M1253" s="2" t="s">
        <v>2546</v>
      </c>
      <c r="N1253" s="8">
        <f>IFERROR(G1253/F1253,0)</f>
        <v>7.6420690802239843E-2</v>
      </c>
      <c r="O1253" s="8">
        <f>IFERROR(H1253/G1253,0)</f>
        <v>8.3575159605339525E-2</v>
      </c>
      <c r="P1253" s="4">
        <f>IFERROR(I1253/G1253,0)</f>
        <v>1.7892687173534532</v>
      </c>
      <c r="Q1253" s="4">
        <f>IFERROR(I1253/H1253,0)</f>
        <v>21.409097222222222</v>
      </c>
      <c r="R1253" s="12">
        <f>IFERROR(J1253/I1253,0)</f>
        <v>4.1984658974799789</v>
      </c>
      <c r="S1253" s="7">
        <f>Tabla_nuevas_columnas[[#This Row],[ROAS]]</f>
        <v>4.1984658974799789</v>
      </c>
      <c r="T1253" t="str">
        <f>_xlfn.CONCAT(C1253,"-",D1253)</f>
        <v>Paid Search-Portugal</v>
      </c>
      <c r="U1253">
        <f>YEAR(A1253)</f>
        <v>2025</v>
      </c>
      <c r="V1253">
        <f>MONTH(A1253)</f>
        <v>10</v>
      </c>
      <c r="W1253" t="str">
        <f>PROPER(TEXT(A1253,"mmmm"))</f>
        <v>Octubre</v>
      </c>
      <c r="X1253" t="str">
        <f>PROPER(TEXT(A1253,"dddd"))</f>
        <v>Domingo</v>
      </c>
      <c r="Y1253" t="str" cm="1">
        <f t="array" ref="Y1253">_xlfn.IFS(R1253&gt;10,"Excelente",R1253&gt;=5,"Bueno",R1253&gt;=2,"Débil",R1253&lt;2,"Deficiente")</f>
        <v>Débil</v>
      </c>
      <c r="Z1253" t="str">
        <f>IF(AND(R1253&lt;2,Q1253&gt;=100),"Revisar","OK")</f>
        <v>OK</v>
      </c>
      <c r="AA1253" s="55">
        <f>_xlfn.XLOOKUP(C1253,'Preguntas de negocio'!$C$114:$C$119,'Preguntas de negocio'!$D$114:$D$119,0)</f>
        <v>5</v>
      </c>
      <c r="AB1253" s="55">
        <f>VLOOKUP(C1253,'Preguntas de negocio'!$C$121:$D$127,2,FALSE)</f>
        <v>1.1000000000000001</v>
      </c>
    </row>
    <row r="1254" spans="1:28" x14ac:dyDescent="0.3">
      <c r="A1254" s="1">
        <v>45991</v>
      </c>
      <c r="B1254" s="2" t="s">
        <v>2634</v>
      </c>
      <c r="C1254" s="2" t="s">
        <v>2533</v>
      </c>
      <c r="D1254" s="2" t="s">
        <v>2522</v>
      </c>
      <c r="E1254" s="2" t="s">
        <v>2529</v>
      </c>
      <c r="F1254" s="3">
        <v>117714</v>
      </c>
      <c r="G1254" s="3">
        <v>1488</v>
      </c>
      <c r="H1254" s="3">
        <v>207</v>
      </c>
      <c r="I1254" s="4">
        <v>869.51</v>
      </c>
      <c r="J1254" s="4">
        <v>18199.39</v>
      </c>
      <c r="K1254" s="3">
        <v>179</v>
      </c>
      <c r="L1254" s="2" t="s">
        <v>2518</v>
      </c>
      <c r="M1254" s="2" t="s">
        <v>2546</v>
      </c>
      <c r="N1254" s="8">
        <f>IFERROR(G1254/F1254,0)</f>
        <v>1.2640807380600439E-2</v>
      </c>
      <c r="O1254" s="8">
        <f>IFERROR(H1254/G1254,0)</f>
        <v>0.13911290322580644</v>
      </c>
      <c r="P1254" s="4">
        <f>IFERROR(I1254/G1254,0)</f>
        <v>0.58434811827956989</v>
      </c>
      <c r="Q1254" s="4">
        <f>IFERROR(I1254/H1254,0)</f>
        <v>4.2005314009661836</v>
      </c>
      <c r="R1254" s="12">
        <f>IFERROR(J1254/I1254,0)</f>
        <v>20.930627594852272</v>
      </c>
      <c r="S1254" s="7">
        <f>Tabla_nuevas_columnas[[#This Row],[ROAS]]</f>
        <v>20.930627594852272</v>
      </c>
      <c r="T1254" t="str">
        <f>_xlfn.CONCAT(C1254,"-",D1254)</f>
        <v>Paid Social-Italia</v>
      </c>
      <c r="U1254">
        <f>YEAR(A1254)</f>
        <v>2025</v>
      </c>
      <c r="V1254">
        <f>MONTH(A1254)</f>
        <v>11</v>
      </c>
      <c r="W1254" t="str">
        <f>PROPER(TEXT(A1254,"mmmm"))</f>
        <v>Noviembre</v>
      </c>
      <c r="X1254" t="str">
        <f>PROPER(TEXT(A1254,"dddd"))</f>
        <v>Domingo</v>
      </c>
      <c r="Y1254" t="str" cm="1">
        <f t="array" ref="Y1254">_xlfn.IFS(R1254&gt;10,"Excelente",R1254&gt;=5,"Bueno",R1254&gt;=2,"Débil",R1254&lt;2,"Deficiente")</f>
        <v>Excelente</v>
      </c>
      <c r="Z1254" t="str">
        <f>IF(AND(R1254&lt;2,Q1254&gt;=100),"Revisar","OK")</f>
        <v>OK</v>
      </c>
      <c r="AA1254" s="55">
        <f>_xlfn.XLOOKUP(C1254,'Preguntas de negocio'!$C$114:$C$119,'Preguntas de negocio'!$D$114:$D$119,0)</f>
        <v>6</v>
      </c>
      <c r="AB1254" s="55">
        <f>VLOOKUP(C1254,'Preguntas de negocio'!$C$121:$D$127,2,FALSE)</f>
        <v>0.8</v>
      </c>
    </row>
    <row r="1255" spans="1:28" x14ac:dyDescent="0.3">
      <c r="A1255" s="1">
        <v>45862</v>
      </c>
      <c r="B1255" s="2" t="s">
        <v>2618</v>
      </c>
      <c r="C1255" s="2" t="s">
        <v>2527</v>
      </c>
      <c r="D1255" s="2" t="s">
        <v>2522</v>
      </c>
      <c r="E1255" s="2" t="s">
        <v>2529</v>
      </c>
      <c r="F1255" s="3">
        <v>143149</v>
      </c>
      <c r="G1255" s="3">
        <v>4780</v>
      </c>
      <c r="H1255" s="3">
        <v>227</v>
      </c>
      <c r="I1255" s="4">
        <v>5284.77</v>
      </c>
      <c r="J1255" s="4">
        <v>44097.48</v>
      </c>
      <c r="K1255" s="3">
        <v>118</v>
      </c>
      <c r="L1255" s="2" t="s">
        <v>2536</v>
      </c>
      <c r="M1255" s="2" t="s">
        <v>2537</v>
      </c>
      <c r="N1255" s="8">
        <f>IFERROR(G1255/F1255,0)</f>
        <v>3.3391780592250037E-2</v>
      </c>
      <c r="O1255" s="8">
        <f>IFERROR(H1255/G1255,0)</f>
        <v>4.7489539748953973E-2</v>
      </c>
      <c r="P1255" s="4">
        <f>IFERROR(I1255/G1255,0)</f>
        <v>1.1056004184100419</v>
      </c>
      <c r="Q1255" s="4">
        <f>IFERROR(I1255/H1255,0)</f>
        <v>23.280925110132159</v>
      </c>
      <c r="R1255" s="12">
        <f>IFERROR(J1255/I1255,0)</f>
        <v>8.3442571767550913</v>
      </c>
      <c r="S1255" s="7">
        <f>Tabla_nuevas_columnas[[#This Row],[ROAS]]</f>
        <v>8.3442571767550913</v>
      </c>
      <c r="T1255" t="str">
        <f>_xlfn.CONCAT(C1255,"-",D1255)</f>
        <v>Affiliate-Italia</v>
      </c>
      <c r="U1255">
        <f>YEAR(A1255)</f>
        <v>2025</v>
      </c>
      <c r="V1255">
        <f>MONTH(A1255)</f>
        <v>7</v>
      </c>
      <c r="W1255" t="str">
        <f>PROPER(TEXT(A1255,"mmmm"))</f>
        <v>Julio</v>
      </c>
      <c r="X1255" t="str">
        <f>PROPER(TEXT(A1255,"dddd"))</f>
        <v>Jueves</v>
      </c>
      <c r="Y1255" t="str" cm="1">
        <f t="array" ref="Y1255">_xlfn.IFS(R1255&gt;10,"Excelente",R1255&gt;=5,"Bueno",R1255&gt;=2,"Débil",R1255&lt;2,"Deficiente")</f>
        <v>Bueno</v>
      </c>
      <c r="Z1255" t="str">
        <f>IF(AND(R1255&lt;2,Q1255&gt;=100),"Revisar","OK")</f>
        <v>OK</v>
      </c>
      <c r="AA1255" s="55">
        <f>_xlfn.XLOOKUP(C1255,'Preguntas de negocio'!$C$114:$C$119,'Preguntas de negocio'!$D$114:$D$119,0)</f>
        <v>4.5</v>
      </c>
      <c r="AB1255" s="55">
        <f>VLOOKUP(C1255,'Preguntas de negocio'!$C$121:$D$127,2,FALSE)</f>
        <v>0.35</v>
      </c>
    </row>
    <row r="1256" spans="1:28" x14ac:dyDescent="0.3">
      <c r="A1256" s="1">
        <v>45991</v>
      </c>
      <c r="B1256" s="2" t="s">
        <v>2616</v>
      </c>
      <c r="C1256" s="2" t="s">
        <v>2515</v>
      </c>
      <c r="D1256" s="2" t="s">
        <v>2531</v>
      </c>
      <c r="E1256" s="2" t="s">
        <v>2534</v>
      </c>
      <c r="F1256" s="3">
        <v>89565</v>
      </c>
      <c r="G1256" s="3">
        <v>7513</v>
      </c>
      <c r="H1256" s="3">
        <v>43</v>
      </c>
      <c r="I1256" s="4">
        <v>3499.8</v>
      </c>
      <c r="J1256" s="4">
        <v>1033.31</v>
      </c>
      <c r="K1256" s="3">
        <v>37</v>
      </c>
      <c r="L1256" s="2" t="s">
        <v>2536</v>
      </c>
      <c r="M1256" s="2" t="s">
        <v>2537</v>
      </c>
      <c r="N1256" s="8">
        <f>IFERROR(G1256/F1256,0)</f>
        <v>8.388321330877016E-2</v>
      </c>
      <c r="O1256" s="8">
        <f>IFERROR(H1256/G1256,0)</f>
        <v>5.7234127512311994E-3</v>
      </c>
      <c r="P1256" s="4">
        <f>IFERROR(I1256/G1256,0)</f>
        <v>0.46583255690137099</v>
      </c>
      <c r="Q1256" s="4">
        <f>IFERROR(I1256/H1256,0)</f>
        <v>81.390697674418604</v>
      </c>
      <c r="R1256" s="12">
        <f>IFERROR(J1256/I1256,0)</f>
        <v>0.29524829990285156</v>
      </c>
      <c r="S1256" s="7">
        <f>Tabla_nuevas_columnas[[#This Row],[ROAS]]</f>
        <v>0.29524829990285156</v>
      </c>
      <c r="T1256" t="str">
        <f>_xlfn.CONCAT(C1256,"-",D1256)</f>
        <v>Email-Portugal</v>
      </c>
      <c r="U1256">
        <f>YEAR(A1256)</f>
        <v>2025</v>
      </c>
      <c r="V1256">
        <f>MONTH(A1256)</f>
        <v>11</v>
      </c>
      <c r="W1256" t="str">
        <f>PROPER(TEXT(A1256,"mmmm"))</f>
        <v>Noviembre</v>
      </c>
      <c r="X1256" t="str">
        <f>PROPER(TEXT(A1256,"dddd"))</f>
        <v>Domingo</v>
      </c>
      <c r="Y1256" t="str" cm="1">
        <f t="array" ref="Y1256">_xlfn.IFS(R1256&gt;10,"Excelente",R1256&gt;=5,"Bueno",R1256&gt;=2,"Débil",R1256&lt;2,"Deficiente")</f>
        <v>Deficiente</v>
      </c>
      <c r="Z1256" t="str">
        <f>IF(AND(R1256&lt;2,Q1256&gt;=100),"Revisar","OK")</f>
        <v>OK</v>
      </c>
      <c r="AA1256" s="55">
        <f>_xlfn.XLOOKUP(C1256,'Preguntas de negocio'!$C$114:$C$119,'Preguntas de negocio'!$D$114:$D$119,0)</f>
        <v>5.5</v>
      </c>
      <c r="AB1256" s="55">
        <f>VLOOKUP(C1256,'Preguntas de negocio'!$C$121:$D$127,2,FALSE)</f>
        <v>0.65</v>
      </c>
    </row>
    <row r="1257" spans="1:28" x14ac:dyDescent="0.3">
      <c r="A1257" s="1">
        <v>45672</v>
      </c>
      <c r="B1257" s="2" t="s">
        <v>2619</v>
      </c>
      <c r="C1257" s="2" t="s">
        <v>2541</v>
      </c>
      <c r="D1257" s="2" t="s">
        <v>2516</v>
      </c>
      <c r="E1257" s="2" t="s">
        <v>2529</v>
      </c>
      <c r="F1257" s="3">
        <v>95412</v>
      </c>
      <c r="G1257" s="3">
        <v>6296</v>
      </c>
      <c r="H1257" s="3">
        <v>513</v>
      </c>
      <c r="I1257" s="4">
        <v>9302.81</v>
      </c>
      <c r="J1257" s="4">
        <v>73987.03</v>
      </c>
      <c r="K1257" s="3">
        <v>271</v>
      </c>
      <c r="L1257" s="2" t="s">
        <v>2536</v>
      </c>
      <c r="M1257" s="2" t="s">
        <v>2537</v>
      </c>
      <c r="N1257" s="8">
        <f>IFERROR(G1257/F1257,0)</f>
        <v>6.598750681256027E-2</v>
      </c>
      <c r="O1257" s="8">
        <f>IFERROR(H1257/G1257,0)</f>
        <v>8.1480304955527313E-2</v>
      </c>
      <c r="P1257" s="4">
        <f>IFERROR(I1257/G1257,0)</f>
        <v>1.4775746505717915</v>
      </c>
      <c r="Q1257" s="4">
        <f>IFERROR(I1257/H1257,0)</f>
        <v>18.134132553606236</v>
      </c>
      <c r="R1257" s="12">
        <f>IFERROR(J1257/I1257,0)</f>
        <v>7.9531915625493808</v>
      </c>
      <c r="S1257" s="7">
        <f>Tabla_nuevas_columnas[[#This Row],[ROAS]]</f>
        <v>7.9531915625493808</v>
      </c>
      <c r="T1257" t="str">
        <f>_xlfn.CONCAT(C1257,"-",D1257)</f>
        <v>Display-México</v>
      </c>
      <c r="U1257">
        <f>YEAR(A1257)</f>
        <v>2025</v>
      </c>
      <c r="V1257">
        <f>MONTH(A1257)</f>
        <v>1</v>
      </c>
      <c r="W1257" t="str">
        <f>PROPER(TEXT(A1257,"mmmm"))</f>
        <v>Enero</v>
      </c>
      <c r="X1257" t="str">
        <f>PROPER(TEXT(A1257,"dddd"))</f>
        <v>Miércoles</v>
      </c>
      <c r="Y1257" t="str" cm="1">
        <f t="array" ref="Y1257">_xlfn.IFS(R1257&gt;10,"Excelente",R1257&gt;=5,"Bueno",R1257&gt;=2,"Débil",R1257&lt;2,"Deficiente")</f>
        <v>Bueno</v>
      </c>
      <c r="Z1257" t="str">
        <f>IF(AND(R1257&lt;2,Q1257&gt;=100),"Revisar","OK")</f>
        <v>OK</v>
      </c>
      <c r="AA1257" s="55">
        <f>_xlfn.XLOOKUP(C1257,'Preguntas de negocio'!$C$114:$C$119,'Preguntas de negocio'!$D$114:$D$119,0)</f>
        <v>5</v>
      </c>
      <c r="AB1257" s="55">
        <f>VLOOKUP(C1257,'Preguntas de negocio'!$C$121:$D$127,2,FALSE)</f>
        <v>0.5</v>
      </c>
    </row>
    <row r="1258" spans="1:28" x14ac:dyDescent="0.3">
      <c r="A1258" s="1">
        <v>45805</v>
      </c>
      <c r="B1258" s="2" t="s">
        <v>2622</v>
      </c>
      <c r="C1258" s="2" t="s">
        <v>2515</v>
      </c>
      <c r="D1258" s="2" t="s">
        <v>2645</v>
      </c>
      <c r="E1258" s="2" t="s">
        <v>2517</v>
      </c>
      <c r="F1258" s="3">
        <v>43342</v>
      </c>
      <c r="G1258" s="3">
        <v>2365</v>
      </c>
      <c r="H1258" s="3">
        <v>270</v>
      </c>
      <c r="I1258" s="4">
        <v>3269.21</v>
      </c>
      <c r="J1258" s="4">
        <v>37673.25</v>
      </c>
      <c r="K1258" s="3">
        <v>205</v>
      </c>
      <c r="L1258" s="2" t="s">
        <v>2539</v>
      </c>
      <c r="M1258" s="2" t="s">
        <v>2524</v>
      </c>
      <c r="N1258" s="8">
        <f>IFERROR(G1258/F1258,0)</f>
        <v>5.4566009874948085E-2</v>
      </c>
      <c r="O1258" s="8">
        <f>IFERROR(H1258/G1258,0)</f>
        <v>0.11416490486257928</v>
      </c>
      <c r="P1258" s="4">
        <f>IFERROR(I1258/G1258,0)</f>
        <v>1.3823298097251586</v>
      </c>
      <c r="Q1258" s="4">
        <f>IFERROR(I1258/H1258,0)</f>
        <v>12.108185185185185</v>
      </c>
      <c r="R1258" s="12">
        <f>IFERROR(J1258/I1258,0)</f>
        <v>11.5236555620471</v>
      </c>
      <c r="S1258" s="7">
        <f>Tabla_nuevas_columnas[[#This Row],[ROAS]]</f>
        <v>11.5236555620471</v>
      </c>
      <c r="T1258" t="str">
        <f>_xlfn.CONCAT(C1258,"-",D1258)</f>
        <v>Email-Por identificar</v>
      </c>
      <c r="U1258">
        <f>YEAR(A1258)</f>
        <v>2025</v>
      </c>
      <c r="V1258">
        <f>MONTH(A1258)</f>
        <v>5</v>
      </c>
      <c r="W1258" t="str">
        <f>PROPER(TEXT(A1258,"mmmm"))</f>
        <v>Mayo</v>
      </c>
      <c r="X1258" t="str">
        <f>PROPER(TEXT(A1258,"dddd"))</f>
        <v>Miércoles</v>
      </c>
      <c r="Y1258" t="str" cm="1">
        <f t="array" ref="Y1258">_xlfn.IFS(R1258&gt;10,"Excelente",R1258&gt;=5,"Bueno",R1258&gt;=2,"Débil",R1258&lt;2,"Deficiente")</f>
        <v>Excelente</v>
      </c>
      <c r="Z1258" t="str">
        <f>IF(AND(R1258&lt;2,Q1258&gt;=100),"Revisar","OK")</f>
        <v>OK</v>
      </c>
      <c r="AA1258" s="55">
        <f>_xlfn.XLOOKUP(C1258,'Preguntas de negocio'!$C$114:$C$119,'Preguntas de negocio'!$D$114:$D$119,0)</f>
        <v>5.5</v>
      </c>
      <c r="AB1258" s="55">
        <f>VLOOKUP(C1258,'Preguntas de negocio'!$C$121:$D$127,2,FALSE)</f>
        <v>0.65</v>
      </c>
    </row>
    <row r="1259" spans="1:28" x14ac:dyDescent="0.3">
      <c r="A1259" s="1">
        <v>45783</v>
      </c>
      <c r="B1259" s="2" t="s">
        <v>2626</v>
      </c>
      <c r="C1259" s="2" t="s">
        <v>2515</v>
      </c>
      <c r="D1259" s="2" t="s">
        <v>2528</v>
      </c>
      <c r="E1259" s="2" t="s">
        <v>2529</v>
      </c>
      <c r="F1259" s="3">
        <v>26679</v>
      </c>
      <c r="G1259" s="3">
        <v>178</v>
      </c>
      <c r="H1259" s="3">
        <v>9</v>
      </c>
      <c r="I1259" s="4">
        <v>311.75</v>
      </c>
      <c r="J1259" s="4">
        <v>426.39</v>
      </c>
      <c r="K1259" s="3">
        <v>5</v>
      </c>
      <c r="L1259" s="2" t="s">
        <v>2539</v>
      </c>
      <c r="M1259" s="2" t="s">
        <v>2526</v>
      </c>
      <c r="N1259" s="8">
        <f>IFERROR(G1259/F1259,0)</f>
        <v>6.671914239664155E-3</v>
      </c>
      <c r="O1259" s="8">
        <f>IFERROR(H1259/G1259,0)</f>
        <v>5.0561797752808987E-2</v>
      </c>
      <c r="P1259" s="4">
        <f>IFERROR(I1259/G1259,0)</f>
        <v>1.7514044943820224</v>
      </c>
      <c r="Q1259" s="4">
        <f>IFERROR(I1259/H1259,0)</f>
        <v>34.638888888888886</v>
      </c>
      <c r="R1259" s="12">
        <f>IFERROR(J1259/I1259,0)</f>
        <v>1.3677305533279871</v>
      </c>
      <c r="S1259" s="7">
        <f>Tabla_nuevas_columnas[[#This Row],[ROAS]]</f>
        <v>1.3677305533279871</v>
      </c>
      <c r="T1259" t="str">
        <f>_xlfn.CONCAT(C1259,"-",D1259)</f>
        <v>Email-España</v>
      </c>
      <c r="U1259">
        <f>YEAR(A1259)</f>
        <v>2025</v>
      </c>
      <c r="V1259">
        <f>MONTH(A1259)</f>
        <v>5</v>
      </c>
      <c r="W1259" t="str">
        <f>PROPER(TEXT(A1259,"mmmm"))</f>
        <v>Mayo</v>
      </c>
      <c r="X1259" t="str">
        <f>PROPER(TEXT(A1259,"dddd"))</f>
        <v>Martes</v>
      </c>
      <c r="Y1259" t="str" cm="1">
        <f t="array" ref="Y1259">_xlfn.IFS(R1259&gt;10,"Excelente",R1259&gt;=5,"Bueno",R1259&gt;=2,"Débil",R1259&lt;2,"Deficiente")</f>
        <v>Deficiente</v>
      </c>
      <c r="Z1259" t="str">
        <f>IF(AND(R1259&lt;2,Q1259&gt;=100),"Revisar","OK")</f>
        <v>OK</v>
      </c>
      <c r="AA1259" s="55">
        <f>_xlfn.XLOOKUP(C1259,'Preguntas de negocio'!$C$114:$C$119,'Preguntas de negocio'!$D$114:$D$119,0)</f>
        <v>5.5</v>
      </c>
      <c r="AB1259" s="55">
        <f>VLOOKUP(C1259,'Preguntas de negocio'!$C$121:$D$127,2,FALSE)</f>
        <v>0.65</v>
      </c>
    </row>
    <row r="1260" spans="1:28" x14ac:dyDescent="0.3">
      <c r="A1260" s="1">
        <v>45833</v>
      </c>
      <c r="B1260" s="2" t="s">
        <v>2626</v>
      </c>
      <c r="C1260" s="2" t="s">
        <v>2521</v>
      </c>
      <c r="D1260" s="2" t="s">
        <v>2528</v>
      </c>
      <c r="E1260" s="2" t="s">
        <v>2517</v>
      </c>
      <c r="F1260" s="3">
        <v>116177</v>
      </c>
      <c r="G1260" s="3">
        <v>2522</v>
      </c>
      <c r="H1260" s="3">
        <v>295</v>
      </c>
      <c r="I1260" s="4">
        <v>4670.24</v>
      </c>
      <c r="J1260" s="4">
        <v>41820.199999999997</v>
      </c>
      <c r="K1260" s="3">
        <v>162</v>
      </c>
      <c r="L1260" s="2" t="s">
        <v>2518</v>
      </c>
      <c r="M1260" s="2" t="s">
        <v>2546</v>
      </c>
      <c r="N1260" s="8">
        <f>IFERROR(G1260/F1260,0)</f>
        <v>2.1708255506683767E-2</v>
      </c>
      <c r="O1260" s="8">
        <f>IFERROR(H1260/G1260,0)</f>
        <v>0.11697065820777161</v>
      </c>
      <c r="P1260" s="4">
        <f>IFERROR(I1260/G1260,0)</f>
        <v>1.8518001586042823</v>
      </c>
      <c r="Q1260" s="4">
        <f>IFERROR(I1260/H1260,0)</f>
        <v>15.831322033898305</v>
      </c>
      <c r="R1260" s="12">
        <f>IFERROR(J1260/I1260,0)</f>
        <v>8.9546147521326525</v>
      </c>
      <c r="S1260" s="7">
        <f>Tabla_nuevas_columnas[[#This Row],[ROAS]]</f>
        <v>8.9546147521326525</v>
      </c>
      <c r="T1260" t="str">
        <f>_xlfn.CONCAT(C1260,"-",D1260)</f>
        <v>Paid Search-España</v>
      </c>
      <c r="U1260">
        <f>YEAR(A1260)</f>
        <v>2025</v>
      </c>
      <c r="V1260">
        <f>MONTH(A1260)</f>
        <v>6</v>
      </c>
      <c r="W1260" t="str">
        <f>PROPER(TEXT(A1260,"mmmm"))</f>
        <v>Junio</v>
      </c>
      <c r="X1260" t="str">
        <f>PROPER(TEXT(A1260,"dddd"))</f>
        <v>Miércoles</v>
      </c>
      <c r="Y1260" t="str" cm="1">
        <f t="array" ref="Y1260">_xlfn.IFS(R1260&gt;10,"Excelente",R1260&gt;=5,"Bueno",R1260&gt;=2,"Débil",R1260&lt;2,"Deficiente")</f>
        <v>Bueno</v>
      </c>
      <c r="Z1260" t="str">
        <f>IF(AND(R1260&lt;2,Q1260&gt;=100),"Revisar","OK")</f>
        <v>OK</v>
      </c>
      <c r="AA1260" s="55">
        <f>_xlfn.XLOOKUP(C1260,'Preguntas de negocio'!$C$114:$C$119,'Preguntas de negocio'!$D$114:$D$119,0)</f>
        <v>5</v>
      </c>
      <c r="AB1260" s="55">
        <f>VLOOKUP(C1260,'Preguntas de negocio'!$C$121:$D$127,2,FALSE)</f>
        <v>1.1000000000000001</v>
      </c>
    </row>
    <row r="1261" spans="1:28" x14ac:dyDescent="0.3">
      <c r="A1261" s="1">
        <v>45809</v>
      </c>
      <c r="B1261" s="2" t="s">
        <v>2616</v>
      </c>
      <c r="C1261" s="2" t="s">
        <v>2527</v>
      </c>
      <c r="D1261" s="2" t="s">
        <v>2516</v>
      </c>
      <c r="E1261" s="2" t="s">
        <v>2517</v>
      </c>
      <c r="F1261" s="3">
        <v>168668</v>
      </c>
      <c r="G1261" s="3">
        <v>11018</v>
      </c>
      <c r="H1261" s="3">
        <v>1144</v>
      </c>
      <c r="I1261" s="4">
        <v>6803.68</v>
      </c>
      <c r="J1261" s="4">
        <v>146828.16</v>
      </c>
      <c r="K1261" s="3">
        <v>605</v>
      </c>
      <c r="L1261" s="2" t="s">
        <v>2536</v>
      </c>
      <c r="M1261" s="2" t="s">
        <v>2524</v>
      </c>
      <c r="N1261" s="8">
        <f>IFERROR(G1261/F1261,0)</f>
        <v>6.5323594279887112E-2</v>
      </c>
      <c r="O1261" s="8">
        <f>IFERROR(H1261/G1261,0)</f>
        <v>0.10383009620620802</v>
      </c>
      <c r="P1261" s="4">
        <f>IFERROR(I1261/G1261,0)</f>
        <v>0.61750589943728451</v>
      </c>
      <c r="Q1261" s="4">
        <f>IFERROR(I1261/H1261,0)</f>
        <v>5.9472727272727273</v>
      </c>
      <c r="R1261" s="12">
        <f>IFERROR(J1261/I1261,0)</f>
        <v>21.580697504879712</v>
      </c>
      <c r="S1261" s="7">
        <f>Tabla_nuevas_columnas[[#This Row],[ROAS]]</f>
        <v>21.580697504879712</v>
      </c>
      <c r="T1261" t="str">
        <f>_xlfn.CONCAT(C1261,"-",D1261)</f>
        <v>Affiliate-México</v>
      </c>
      <c r="U1261">
        <f>YEAR(A1261)</f>
        <v>2025</v>
      </c>
      <c r="V1261">
        <f>MONTH(A1261)</f>
        <v>6</v>
      </c>
      <c r="W1261" t="str">
        <f>PROPER(TEXT(A1261,"mmmm"))</f>
        <v>Junio</v>
      </c>
      <c r="X1261" t="str">
        <f>PROPER(TEXT(A1261,"dddd"))</f>
        <v>Domingo</v>
      </c>
      <c r="Y1261" t="str" cm="1">
        <f t="array" ref="Y1261">_xlfn.IFS(R1261&gt;10,"Excelente",R1261&gt;=5,"Bueno",R1261&gt;=2,"Débil",R1261&lt;2,"Deficiente")</f>
        <v>Excelente</v>
      </c>
      <c r="Z1261" t="str">
        <f>IF(AND(R1261&lt;2,Q1261&gt;=100),"Revisar","OK")</f>
        <v>OK</v>
      </c>
      <c r="AA1261" s="55">
        <f>_xlfn.XLOOKUP(C1261,'Preguntas de negocio'!$C$114:$C$119,'Preguntas de negocio'!$D$114:$D$119,0)</f>
        <v>4.5</v>
      </c>
      <c r="AB1261" s="55">
        <f>VLOOKUP(C1261,'Preguntas de negocio'!$C$121:$D$127,2,FALSE)</f>
        <v>0.35</v>
      </c>
    </row>
    <row r="1262" spans="1:28" x14ac:dyDescent="0.3">
      <c r="A1262" s="1">
        <v>45954</v>
      </c>
      <c r="B1262" s="2" t="s">
        <v>2623</v>
      </c>
      <c r="C1262" s="2" t="s">
        <v>2543</v>
      </c>
      <c r="D1262" s="2" t="s">
        <v>2522</v>
      </c>
      <c r="E1262" s="2" t="s">
        <v>2529</v>
      </c>
      <c r="F1262" s="3">
        <v>162159</v>
      </c>
      <c r="G1262" s="3">
        <v>5588</v>
      </c>
      <c r="H1262" s="3">
        <v>139</v>
      </c>
      <c r="I1262" s="4">
        <v>8148.76</v>
      </c>
      <c r="J1262" s="4">
        <v>17106.45</v>
      </c>
      <c r="K1262" s="3">
        <v>83</v>
      </c>
      <c r="L1262" s="2" t="s">
        <v>2523</v>
      </c>
      <c r="M1262" s="2" t="s">
        <v>2546</v>
      </c>
      <c r="N1262" s="8">
        <f>IFERROR(G1262/F1262,0)</f>
        <v>3.446000530343675E-2</v>
      </c>
      <c r="O1262" s="8">
        <f>IFERROR(H1262/G1262,0)</f>
        <v>2.4874731567644952E-2</v>
      </c>
      <c r="P1262" s="4">
        <f>IFERROR(I1262/G1262,0)</f>
        <v>1.4582605583392985</v>
      </c>
      <c r="Q1262" s="4">
        <f>IFERROR(I1262/H1262,0)</f>
        <v>58.624172661870503</v>
      </c>
      <c r="R1262" s="12">
        <f>IFERROR(J1262/I1262,0)</f>
        <v>2.0992703184288164</v>
      </c>
      <c r="S1262" s="7">
        <f>Tabla_nuevas_columnas[[#This Row],[ROAS]]</f>
        <v>2.0992703184288164</v>
      </c>
      <c r="T1262" t="str">
        <f>_xlfn.CONCAT(C1262,"-",D1262)</f>
        <v>Organic Social-Italia</v>
      </c>
      <c r="U1262">
        <f>YEAR(A1262)</f>
        <v>2025</v>
      </c>
      <c r="V1262">
        <f>MONTH(A1262)</f>
        <v>10</v>
      </c>
      <c r="W1262" t="str">
        <f>PROPER(TEXT(A1262,"mmmm"))</f>
        <v>Octubre</v>
      </c>
      <c r="X1262" t="str">
        <f>PROPER(TEXT(A1262,"dddd"))</f>
        <v>Viernes</v>
      </c>
      <c r="Y1262" t="str" cm="1">
        <f t="array" ref="Y1262">_xlfn.IFS(R1262&gt;10,"Excelente",R1262&gt;=5,"Bueno",R1262&gt;=2,"Débil",R1262&lt;2,"Deficiente")</f>
        <v>Débil</v>
      </c>
      <c r="Z1262" t="str">
        <f>IF(AND(R1262&lt;2,Q1262&gt;=100),"Revisar","OK")</f>
        <v>OK</v>
      </c>
      <c r="AA1262" s="55">
        <f>_xlfn.XLOOKUP(C1262,'Preguntas de negocio'!$C$114:$C$119,'Preguntas de negocio'!$D$114:$D$119,0)</f>
        <v>4</v>
      </c>
      <c r="AB1262" s="55">
        <f>VLOOKUP(C1262,'Preguntas de negocio'!$C$121:$D$127,2,FALSE)</f>
        <v>0.95</v>
      </c>
    </row>
    <row r="1263" spans="1:28" x14ac:dyDescent="0.3">
      <c r="A1263" s="1">
        <v>45886</v>
      </c>
      <c r="B1263" s="2" t="s">
        <v>2639</v>
      </c>
      <c r="C1263" s="2" t="s">
        <v>2533</v>
      </c>
      <c r="D1263" s="2" t="s">
        <v>2522</v>
      </c>
      <c r="E1263" s="2" t="s">
        <v>2517</v>
      </c>
      <c r="F1263" s="3">
        <v>89788</v>
      </c>
      <c r="G1263" s="3">
        <v>2757</v>
      </c>
      <c r="H1263" s="3">
        <v>229</v>
      </c>
      <c r="I1263" s="4">
        <v>1157.5999999999999</v>
      </c>
      <c r="J1263" s="4">
        <v>22914.2</v>
      </c>
      <c r="K1263" s="3">
        <v>202</v>
      </c>
      <c r="L1263" s="2" t="s">
        <v>2523</v>
      </c>
      <c r="M1263" s="2" t="s">
        <v>2519</v>
      </c>
      <c r="N1263" s="8">
        <f>IFERROR(G1263/F1263,0)</f>
        <v>3.0705662226578161E-2</v>
      </c>
      <c r="O1263" s="8">
        <f>IFERROR(H1263/G1263,0)</f>
        <v>8.3061298512876316E-2</v>
      </c>
      <c r="P1263" s="4">
        <f>IFERROR(I1263/G1263,0)</f>
        <v>0.41987667754805946</v>
      </c>
      <c r="Q1263" s="4">
        <f>IFERROR(I1263/H1263,0)</f>
        <v>5.0550218340611348</v>
      </c>
      <c r="R1263" s="12">
        <f>IFERROR(J1263/I1263,0)</f>
        <v>19.794574982722878</v>
      </c>
      <c r="S1263" s="7">
        <f>Tabla_nuevas_columnas[[#This Row],[ROAS]]</f>
        <v>19.794574982722878</v>
      </c>
      <c r="T1263" t="str">
        <f>_xlfn.CONCAT(C1263,"-",D1263)</f>
        <v>Paid Social-Italia</v>
      </c>
      <c r="U1263">
        <f>YEAR(A1263)</f>
        <v>2025</v>
      </c>
      <c r="V1263">
        <f>MONTH(A1263)</f>
        <v>8</v>
      </c>
      <c r="W1263" t="str">
        <f>PROPER(TEXT(A1263,"mmmm"))</f>
        <v>Agosto</v>
      </c>
      <c r="X1263" t="str">
        <f>PROPER(TEXT(A1263,"dddd"))</f>
        <v>Domingo</v>
      </c>
      <c r="Y1263" t="str" cm="1">
        <f t="array" ref="Y1263">_xlfn.IFS(R1263&gt;10,"Excelente",R1263&gt;=5,"Bueno",R1263&gt;=2,"Débil",R1263&lt;2,"Deficiente")</f>
        <v>Excelente</v>
      </c>
      <c r="Z1263" t="str">
        <f>IF(AND(R1263&lt;2,Q1263&gt;=100),"Revisar","OK")</f>
        <v>OK</v>
      </c>
      <c r="AA1263" s="55">
        <f>_xlfn.XLOOKUP(C1263,'Preguntas de negocio'!$C$114:$C$119,'Preguntas de negocio'!$D$114:$D$119,0)</f>
        <v>6</v>
      </c>
      <c r="AB1263" s="55">
        <f>VLOOKUP(C1263,'Preguntas de negocio'!$C$121:$D$127,2,FALSE)</f>
        <v>0.8</v>
      </c>
    </row>
    <row r="1264" spans="1:28" x14ac:dyDescent="0.3">
      <c r="A1264" s="1">
        <v>45732</v>
      </c>
      <c r="B1264" s="2" t="s">
        <v>2632</v>
      </c>
      <c r="C1264" s="2" t="s">
        <v>2533</v>
      </c>
      <c r="D1264" s="2" t="s">
        <v>2516</v>
      </c>
      <c r="E1264" s="2" t="s">
        <v>2517</v>
      </c>
      <c r="F1264" s="3">
        <v>95984</v>
      </c>
      <c r="G1264" s="3">
        <v>1137</v>
      </c>
      <c r="H1264" s="3">
        <v>113</v>
      </c>
      <c r="I1264" s="4">
        <v>761.41</v>
      </c>
      <c r="J1264" s="4">
        <v>5484.78</v>
      </c>
      <c r="K1264" s="3">
        <v>95</v>
      </c>
      <c r="L1264" s="2" t="s">
        <v>2539</v>
      </c>
      <c r="M1264" s="2" t="s">
        <v>2537</v>
      </c>
      <c r="N1264" s="8">
        <f>IFERROR(G1264/F1264,0)</f>
        <v>1.184572428738123E-2</v>
      </c>
      <c r="O1264" s="8">
        <f>IFERROR(H1264/G1264,0)</f>
        <v>9.9384344766930519E-2</v>
      </c>
      <c r="P1264" s="4">
        <f>IFERROR(I1264/G1264,0)</f>
        <v>0.66966578715919078</v>
      </c>
      <c r="Q1264" s="4">
        <f>IFERROR(I1264/H1264,0)</f>
        <v>6.7381415929203534</v>
      </c>
      <c r="R1264" s="12">
        <f>IFERROR(J1264/I1264,0)</f>
        <v>7.2034514913121708</v>
      </c>
      <c r="S1264" s="7">
        <f>Tabla_nuevas_columnas[[#This Row],[ROAS]]</f>
        <v>7.2034514913121708</v>
      </c>
      <c r="T1264" t="str">
        <f>_xlfn.CONCAT(C1264,"-",D1264)</f>
        <v>Paid Social-México</v>
      </c>
      <c r="U1264">
        <f>YEAR(A1264)</f>
        <v>2025</v>
      </c>
      <c r="V1264">
        <f>MONTH(A1264)</f>
        <v>3</v>
      </c>
      <c r="W1264" t="str">
        <f>PROPER(TEXT(A1264,"mmmm"))</f>
        <v>Marzo</v>
      </c>
      <c r="X1264" t="str">
        <f>PROPER(TEXT(A1264,"dddd"))</f>
        <v>Domingo</v>
      </c>
      <c r="Y1264" t="str" cm="1">
        <f t="array" ref="Y1264">_xlfn.IFS(R1264&gt;10,"Excelente",R1264&gt;=5,"Bueno",R1264&gt;=2,"Débil",R1264&lt;2,"Deficiente")</f>
        <v>Bueno</v>
      </c>
      <c r="Z1264" t="str">
        <f>IF(AND(R1264&lt;2,Q1264&gt;=100),"Revisar","OK")</f>
        <v>OK</v>
      </c>
      <c r="AA1264" s="55">
        <f>_xlfn.XLOOKUP(C1264,'Preguntas de negocio'!$C$114:$C$119,'Preguntas de negocio'!$D$114:$D$119,0)</f>
        <v>6</v>
      </c>
      <c r="AB1264" s="55">
        <f>VLOOKUP(C1264,'Preguntas de negocio'!$C$121:$D$127,2,FALSE)</f>
        <v>0.8</v>
      </c>
    </row>
    <row r="1265" spans="1:28" x14ac:dyDescent="0.3">
      <c r="A1265" s="1">
        <v>45726</v>
      </c>
      <c r="B1265" s="2" t="s">
        <v>2621</v>
      </c>
      <c r="C1265" s="2" t="s">
        <v>2541</v>
      </c>
      <c r="D1265" s="2" t="s">
        <v>2516</v>
      </c>
      <c r="E1265" s="2" t="s">
        <v>2517</v>
      </c>
      <c r="F1265" s="3">
        <v>86571</v>
      </c>
      <c r="G1265" s="3">
        <v>2063</v>
      </c>
      <c r="H1265" s="3">
        <v>247</v>
      </c>
      <c r="I1265" s="4">
        <v>1379.35</v>
      </c>
      <c r="J1265" s="4">
        <v>31659.45</v>
      </c>
      <c r="K1265" s="3">
        <v>215</v>
      </c>
      <c r="L1265" s="2" t="s">
        <v>2518</v>
      </c>
      <c r="M1265" s="2" t="s">
        <v>2537</v>
      </c>
      <c r="N1265" s="8">
        <f>IFERROR(G1265/F1265,0)</f>
        <v>2.3830150974344759E-2</v>
      </c>
      <c r="O1265" s="8">
        <f>IFERROR(H1265/G1265,0)</f>
        <v>0.11972855065438681</v>
      </c>
      <c r="P1265" s="4">
        <f>IFERROR(I1265/G1265,0)</f>
        <v>0.66861366941347544</v>
      </c>
      <c r="Q1265" s="4">
        <f>IFERROR(I1265/H1265,0)</f>
        <v>5.584412955465587</v>
      </c>
      <c r="R1265" s="12">
        <f>IFERROR(J1265/I1265,0)</f>
        <v>22.952441367310691</v>
      </c>
      <c r="S1265" s="7">
        <f>Tabla_nuevas_columnas[[#This Row],[ROAS]]</f>
        <v>22.952441367310691</v>
      </c>
      <c r="T1265" t="str">
        <f>_xlfn.CONCAT(C1265,"-",D1265)</f>
        <v>Display-México</v>
      </c>
      <c r="U1265">
        <f>YEAR(A1265)</f>
        <v>2025</v>
      </c>
      <c r="V1265">
        <f>MONTH(A1265)</f>
        <v>3</v>
      </c>
      <c r="W1265" t="str">
        <f>PROPER(TEXT(A1265,"mmmm"))</f>
        <v>Marzo</v>
      </c>
      <c r="X1265" t="str">
        <f>PROPER(TEXT(A1265,"dddd"))</f>
        <v>Lunes</v>
      </c>
      <c r="Y1265" t="str" cm="1">
        <f t="array" ref="Y1265">_xlfn.IFS(R1265&gt;10,"Excelente",R1265&gt;=5,"Bueno",R1265&gt;=2,"Débil",R1265&lt;2,"Deficiente")</f>
        <v>Excelente</v>
      </c>
      <c r="Z1265" t="str">
        <f>IF(AND(R1265&lt;2,Q1265&gt;=100),"Revisar","OK")</f>
        <v>OK</v>
      </c>
      <c r="AA1265" s="55">
        <f>_xlfn.XLOOKUP(C1265,'Preguntas de negocio'!$C$114:$C$119,'Preguntas de negocio'!$D$114:$D$119,0)</f>
        <v>5</v>
      </c>
      <c r="AB1265" s="55">
        <f>VLOOKUP(C1265,'Preguntas de negocio'!$C$121:$D$127,2,FALSE)</f>
        <v>0.5</v>
      </c>
    </row>
    <row r="1266" spans="1:28" x14ac:dyDescent="0.3">
      <c r="A1266" s="1">
        <v>45687</v>
      </c>
      <c r="B1266" s="2" t="s">
        <v>2638</v>
      </c>
      <c r="C1266" s="2" t="s">
        <v>2541</v>
      </c>
      <c r="D1266" s="2" t="s">
        <v>2528</v>
      </c>
      <c r="E1266" s="2" t="s">
        <v>2534</v>
      </c>
      <c r="F1266" s="3">
        <v>49187</v>
      </c>
      <c r="G1266" s="3">
        <v>3064</v>
      </c>
      <c r="H1266" s="3">
        <v>138</v>
      </c>
      <c r="I1266" s="4">
        <v>1515.08</v>
      </c>
      <c r="J1266" s="4">
        <v>15808.3</v>
      </c>
      <c r="K1266" s="3">
        <v>74</v>
      </c>
      <c r="L1266" s="2" t="s">
        <v>2523</v>
      </c>
      <c r="M1266" s="2" t="s">
        <v>2546</v>
      </c>
      <c r="N1266" s="8">
        <f>IFERROR(G1266/F1266,0)</f>
        <v>6.2292882265639296E-2</v>
      </c>
      <c r="O1266" s="8">
        <f>IFERROR(H1266/G1266,0)</f>
        <v>4.5039164490861622E-2</v>
      </c>
      <c r="P1266" s="4">
        <f>IFERROR(I1266/G1266,0)</f>
        <v>0.49447780678851172</v>
      </c>
      <c r="Q1266" s="4">
        <f>IFERROR(I1266/H1266,0)</f>
        <v>10.978840579710145</v>
      </c>
      <c r="R1266" s="12">
        <f>IFERROR(J1266/I1266,0)</f>
        <v>10.433970483406817</v>
      </c>
      <c r="S1266" s="7">
        <f>Tabla_nuevas_columnas[[#This Row],[ROAS]]</f>
        <v>10.433970483406817</v>
      </c>
      <c r="T1266" t="str">
        <f>_xlfn.CONCAT(C1266,"-",D1266)</f>
        <v>Display-España</v>
      </c>
      <c r="U1266">
        <f>YEAR(A1266)</f>
        <v>2025</v>
      </c>
      <c r="V1266">
        <f>MONTH(A1266)</f>
        <v>1</v>
      </c>
      <c r="W1266" t="str">
        <f>PROPER(TEXT(A1266,"mmmm"))</f>
        <v>Enero</v>
      </c>
      <c r="X1266" t="str">
        <f>PROPER(TEXT(A1266,"dddd"))</f>
        <v>Jueves</v>
      </c>
      <c r="Y1266" t="str" cm="1">
        <f t="array" ref="Y1266">_xlfn.IFS(R1266&gt;10,"Excelente",R1266&gt;=5,"Bueno",R1266&gt;=2,"Débil",R1266&lt;2,"Deficiente")</f>
        <v>Excelente</v>
      </c>
      <c r="Z1266" t="str">
        <f>IF(AND(R1266&lt;2,Q1266&gt;=100),"Revisar","OK")</f>
        <v>OK</v>
      </c>
      <c r="AA1266" s="55">
        <f>_xlfn.XLOOKUP(C1266,'Preguntas de negocio'!$C$114:$C$119,'Preguntas de negocio'!$D$114:$D$119,0)</f>
        <v>5</v>
      </c>
      <c r="AB1266" s="55">
        <f>VLOOKUP(C1266,'Preguntas de negocio'!$C$121:$D$127,2,FALSE)</f>
        <v>0.5</v>
      </c>
    </row>
    <row r="1267" spans="1:28" x14ac:dyDescent="0.3">
      <c r="A1267" s="1">
        <v>45697</v>
      </c>
      <c r="B1267" s="2" t="s">
        <v>2629</v>
      </c>
      <c r="C1267" s="2" t="s">
        <v>2521</v>
      </c>
      <c r="D1267" s="2" t="s">
        <v>2528</v>
      </c>
      <c r="E1267" s="2" t="s">
        <v>2517</v>
      </c>
      <c r="F1267" s="3">
        <v>127219</v>
      </c>
      <c r="G1267" s="3">
        <v>3424</v>
      </c>
      <c r="H1267" s="3">
        <v>129</v>
      </c>
      <c r="I1267" s="4">
        <v>5226.33</v>
      </c>
      <c r="J1267" s="4">
        <v>26534.76</v>
      </c>
      <c r="K1267" s="3">
        <v>101</v>
      </c>
      <c r="L1267" s="2" t="s">
        <v>2518</v>
      </c>
      <c r="M1267" s="2" t="s">
        <v>2524</v>
      </c>
      <c r="N1267" s="8">
        <f>IFERROR(G1267/F1267,0)</f>
        <v>2.691421878807411E-2</v>
      </c>
      <c r="O1267" s="8">
        <f>IFERROR(H1267/G1267,0)</f>
        <v>3.7675233644859814E-2</v>
      </c>
      <c r="P1267" s="4">
        <f>IFERROR(I1267/G1267,0)</f>
        <v>1.5263814252336447</v>
      </c>
      <c r="Q1267" s="4">
        <f>IFERROR(I1267/H1267,0)</f>
        <v>40.514186046511625</v>
      </c>
      <c r="R1267" s="12">
        <f>IFERROR(J1267/I1267,0)</f>
        <v>5.0771306059892884</v>
      </c>
      <c r="S1267" s="7">
        <f>Tabla_nuevas_columnas[[#This Row],[ROAS]]</f>
        <v>5.0771306059892884</v>
      </c>
      <c r="T1267" t="str">
        <f>_xlfn.CONCAT(C1267,"-",D1267)</f>
        <v>Paid Search-España</v>
      </c>
      <c r="U1267">
        <f>YEAR(A1267)</f>
        <v>2025</v>
      </c>
      <c r="V1267">
        <f>MONTH(A1267)</f>
        <v>2</v>
      </c>
      <c r="W1267" t="str">
        <f>PROPER(TEXT(A1267,"mmmm"))</f>
        <v>Febrero</v>
      </c>
      <c r="X1267" t="str">
        <f>PROPER(TEXT(A1267,"dddd"))</f>
        <v>Domingo</v>
      </c>
      <c r="Y1267" t="str" cm="1">
        <f t="array" ref="Y1267">_xlfn.IFS(R1267&gt;10,"Excelente",R1267&gt;=5,"Bueno",R1267&gt;=2,"Débil",R1267&lt;2,"Deficiente")</f>
        <v>Bueno</v>
      </c>
      <c r="Z1267" t="str">
        <f>IF(AND(R1267&lt;2,Q1267&gt;=100),"Revisar","OK")</f>
        <v>OK</v>
      </c>
      <c r="AA1267" s="55">
        <f>_xlfn.XLOOKUP(C1267,'Preguntas de negocio'!$C$114:$C$119,'Preguntas de negocio'!$D$114:$D$119,0)</f>
        <v>5</v>
      </c>
      <c r="AB1267" s="55">
        <f>VLOOKUP(C1267,'Preguntas de negocio'!$C$121:$D$127,2,FALSE)</f>
        <v>1.1000000000000001</v>
      </c>
    </row>
    <row r="1268" spans="1:28" x14ac:dyDescent="0.3">
      <c r="A1268" s="1">
        <v>45720</v>
      </c>
      <c r="B1268" s="2" t="s">
        <v>2637</v>
      </c>
      <c r="C1268" s="2" t="s">
        <v>2521</v>
      </c>
      <c r="D1268" s="2" t="s">
        <v>2531</v>
      </c>
      <c r="E1268" s="2" t="s">
        <v>2529</v>
      </c>
      <c r="F1268" s="3">
        <v>120016</v>
      </c>
      <c r="G1268" s="3">
        <v>708</v>
      </c>
      <c r="H1268" s="3">
        <v>12</v>
      </c>
      <c r="I1268" s="4">
        <v>556.61</v>
      </c>
      <c r="J1268" s="4">
        <v>2274.87</v>
      </c>
      <c r="K1268" s="3">
        <v>8</v>
      </c>
      <c r="L1268" s="2" t="s">
        <v>2518</v>
      </c>
      <c r="M1268" s="2" t="s">
        <v>2546</v>
      </c>
      <c r="N1268" s="8">
        <f>IFERROR(G1268/F1268,0)</f>
        <v>5.8992134382082392E-3</v>
      </c>
      <c r="O1268" s="8">
        <f>IFERROR(H1268/G1268,0)</f>
        <v>1.6949152542372881E-2</v>
      </c>
      <c r="P1268" s="4">
        <f>IFERROR(I1268/G1268,0)</f>
        <v>0.78617231638418084</v>
      </c>
      <c r="Q1268" s="4">
        <f>IFERROR(I1268/H1268,0)</f>
        <v>46.384166666666665</v>
      </c>
      <c r="R1268" s="12">
        <f>IFERROR(J1268/I1268,0)</f>
        <v>4.0870088571890548</v>
      </c>
      <c r="S1268" s="7">
        <f>Tabla_nuevas_columnas[[#This Row],[ROAS]]</f>
        <v>4.0870088571890548</v>
      </c>
      <c r="T1268" t="str">
        <f>_xlfn.CONCAT(C1268,"-",D1268)</f>
        <v>Paid Search-Portugal</v>
      </c>
      <c r="U1268">
        <f>YEAR(A1268)</f>
        <v>2025</v>
      </c>
      <c r="V1268">
        <f>MONTH(A1268)</f>
        <v>3</v>
      </c>
      <c r="W1268" t="str">
        <f>PROPER(TEXT(A1268,"mmmm"))</f>
        <v>Marzo</v>
      </c>
      <c r="X1268" t="str">
        <f>PROPER(TEXT(A1268,"dddd"))</f>
        <v>Martes</v>
      </c>
      <c r="Y1268" t="str" cm="1">
        <f t="array" ref="Y1268">_xlfn.IFS(R1268&gt;10,"Excelente",R1268&gt;=5,"Bueno",R1268&gt;=2,"Débil",R1268&lt;2,"Deficiente")</f>
        <v>Débil</v>
      </c>
      <c r="Z1268" t="str">
        <f>IF(AND(R1268&lt;2,Q1268&gt;=100),"Revisar","OK")</f>
        <v>OK</v>
      </c>
      <c r="AA1268" s="55">
        <f>_xlfn.XLOOKUP(C1268,'Preguntas de negocio'!$C$114:$C$119,'Preguntas de negocio'!$D$114:$D$119,0)</f>
        <v>5</v>
      </c>
      <c r="AB1268" s="55">
        <f>VLOOKUP(C1268,'Preguntas de negocio'!$C$121:$D$127,2,FALSE)</f>
        <v>1.1000000000000001</v>
      </c>
    </row>
    <row r="1269" spans="1:28" x14ac:dyDescent="0.3">
      <c r="A1269" s="1">
        <v>45938</v>
      </c>
      <c r="B1269" s="2" t="s">
        <v>2621</v>
      </c>
      <c r="C1269" s="2" t="s">
        <v>2533</v>
      </c>
      <c r="D1269" s="2" t="s">
        <v>2525</v>
      </c>
      <c r="E1269" s="2" t="s">
        <v>2529</v>
      </c>
      <c r="F1269" s="3">
        <v>155418</v>
      </c>
      <c r="G1269" s="3">
        <v>2491</v>
      </c>
      <c r="H1269" s="3">
        <v>218</v>
      </c>
      <c r="I1269" s="4">
        <v>2322.06</v>
      </c>
      <c r="J1269" s="4">
        <v>12510.67</v>
      </c>
      <c r="K1269" s="3">
        <v>154</v>
      </c>
      <c r="L1269" s="2" t="s">
        <v>2536</v>
      </c>
      <c r="M1269" s="2" t="s">
        <v>2537</v>
      </c>
      <c r="N1269" s="8">
        <f>IFERROR(G1269/F1269,0)</f>
        <v>1.602774453409515E-2</v>
      </c>
      <c r="O1269" s="8">
        <f>IFERROR(H1269/G1269,0)</f>
        <v>8.7515054195102374E-2</v>
      </c>
      <c r="P1269" s="4">
        <f>IFERROR(I1269/G1269,0)</f>
        <v>0.93217984745082294</v>
      </c>
      <c r="Q1269" s="4">
        <f>IFERROR(I1269/H1269,0)</f>
        <v>10.651651376146789</v>
      </c>
      <c r="R1269" s="12">
        <f>IFERROR(J1269/I1269,0)</f>
        <v>5.3877462253344017</v>
      </c>
      <c r="S1269" s="7">
        <f>Tabla_nuevas_columnas[[#This Row],[ROAS]]</f>
        <v>5.3877462253344017</v>
      </c>
      <c r="T1269" t="str">
        <f>_xlfn.CONCAT(C1269,"-",D1269)</f>
        <v>Paid Social-Francia</v>
      </c>
      <c r="U1269">
        <f>YEAR(A1269)</f>
        <v>2025</v>
      </c>
      <c r="V1269">
        <f>MONTH(A1269)</f>
        <v>10</v>
      </c>
      <c r="W1269" t="str">
        <f>PROPER(TEXT(A1269,"mmmm"))</f>
        <v>Octubre</v>
      </c>
      <c r="X1269" t="str">
        <f>PROPER(TEXT(A1269,"dddd"))</f>
        <v>Miércoles</v>
      </c>
      <c r="Y1269" t="str" cm="1">
        <f t="array" ref="Y1269">_xlfn.IFS(R1269&gt;10,"Excelente",R1269&gt;=5,"Bueno",R1269&gt;=2,"Débil",R1269&lt;2,"Deficiente")</f>
        <v>Bueno</v>
      </c>
      <c r="Z1269" t="str">
        <f>IF(AND(R1269&lt;2,Q1269&gt;=100),"Revisar","OK")</f>
        <v>OK</v>
      </c>
      <c r="AA1269" s="55">
        <f>_xlfn.XLOOKUP(C1269,'Preguntas de negocio'!$C$114:$C$119,'Preguntas de negocio'!$D$114:$D$119,0)</f>
        <v>6</v>
      </c>
      <c r="AB1269" s="55">
        <f>VLOOKUP(C1269,'Preguntas de negocio'!$C$121:$D$127,2,FALSE)</f>
        <v>0.8</v>
      </c>
    </row>
    <row r="1270" spans="1:28" x14ac:dyDescent="0.3">
      <c r="A1270" s="1">
        <v>45680</v>
      </c>
      <c r="B1270" s="2" t="s">
        <v>2626</v>
      </c>
      <c r="C1270" s="2" t="s">
        <v>2533</v>
      </c>
      <c r="D1270" s="2" t="s">
        <v>2528</v>
      </c>
      <c r="E1270" s="2" t="s">
        <v>2529</v>
      </c>
      <c r="F1270" s="3">
        <v>62741</v>
      </c>
      <c r="G1270" s="3">
        <v>354</v>
      </c>
      <c r="H1270" s="3">
        <v>27</v>
      </c>
      <c r="I1270" s="4">
        <v>382.83</v>
      </c>
      <c r="J1270" s="4">
        <v>5473.73</v>
      </c>
      <c r="K1270" s="3">
        <v>21</v>
      </c>
      <c r="L1270" s="2" t="s">
        <v>2539</v>
      </c>
      <c r="M1270" s="2" t="s">
        <v>2526</v>
      </c>
      <c r="N1270" s="8">
        <f>IFERROR(G1270/F1270,0)</f>
        <v>5.6422435090291833E-3</v>
      </c>
      <c r="O1270" s="8">
        <f>IFERROR(H1270/G1270,0)</f>
        <v>7.6271186440677971E-2</v>
      </c>
      <c r="P1270" s="4">
        <f>IFERROR(I1270/G1270,0)</f>
        <v>1.0814406779661017</v>
      </c>
      <c r="Q1270" s="4">
        <f>IFERROR(I1270/H1270,0)</f>
        <v>14.178888888888888</v>
      </c>
      <c r="R1270" s="12">
        <f>IFERROR(J1270/I1270,0)</f>
        <v>14.298069639265469</v>
      </c>
      <c r="S1270" s="7">
        <f>Tabla_nuevas_columnas[[#This Row],[ROAS]]</f>
        <v>14.298069639265469</v>
      </c>
      <c r="T1270" t="str">
        <f>_xlfn.CONCAT(C1270,"-",D1270)</f>
        <v>Paid Social-España</v>
      </c>
      <c r="U1270">
        <f>YEAR(A1270)</f>
        <v>2025</v>
      </c>
      <c r="V1270">
        <f>MONTH(A1270)</f>
        <v>1</v>
      </c>
      <c r="W1270" t="str">
        <f>PROPER(TEXT(A1270,"mmmm"))</f>
        <v>Enero</v>
      </c>
      <c r="X1270" t="str">
        <f>PROPER(TEXT(A1270,"dddd"))</f>
        <v>Jueves</v>
      </c>
      <c r="Y1270" t="str" cm="1">
        <f t="array" ref="Y1270">_xlfn.IFS(R1270&gt;10,"Excelente",R1270&gt;=5,"Bueno",R1270&gt;=2,"Débil",R1270&lt;2,"Deficiente")</f>
        <v>Excelente</v>
      </c>
      <c r="Z1270" t="str">
        <f>IF(AND(R1270&lt;2,Q1270&gt;=100),"Revisar","OK")</f>
        <v>OK</v>
      </c>
      <c r="AA1270" s="55">
        <f>_xlfn.XLOOKUP(C1270,'Preguntas de negocio'!$C$114:$C$119,'Preguntas de negocio'!$D$114:$D$119,0)</f>
        <v>6</v>
      </c>
      <c r="AB1270" s="55">
        <f>VLOOKUP(C1270,'Preguntas de negocio'!$C$121:$D$127,2,FALSE)</f>
        <v>0.8</v>
      </c>
    </row>
    <row r="1271" spans="1:28" x14ac:dyDescent="0.3">
      <c r="A1271" s="1">
        <v>45698</v>
      </c>
      <c r="B1271" s="2" t="s">
        <v>2615</v>
      </c>
      <c r="C1271" s="2" t="s">
        <v>2515</v>
      </c>
      <c r="D1271" s="2" t="s">
        <v>2525</v>
      </c>
      <c r="E1271" s="2" t="s">
        <v>2529</v>
      </c>
      <c r="F1271" s="3">
        <v>114767</v>
      </c>
      <c r="G1271" s="3">
        <v>4059</v>
      </c>
      <c r="H1271" s="3">
        <v>36</v>
      </c>
      <c r="I1271" s="4">
        <v>5186.1000000000004</v>
      </c>
      <c r="J1271" s="4">
        <v>6674.22</v>
      </c>
      <c r="K1271" s="3">
        <v>16</v>
      </c>
      <c r="L1271" s="2" t="s">
        <v>2536</v>
      </c>
      <c r="M1271" s="2" t="s">
        <v>2537</v>
      </c>
      <c r="N1271" s="8">
        <f>IFERROR(G1271/F1271,0)</f>
        <v>3.5367309418212554E-2</v>
      </c>
      <c r="O1271" s="8">
        <f>IFERROR(H1271/G1271,0)</f>
        <v>8.869179600886918E-3</v>
      </c>
      <c r="P1271" s="4">
        <f>IFERROR(I1271/G1271,0)</f>
        <v>1.2776792313377681</v>
      </c>
      <c r="Q1271" s="4">
        <f>IFERROR(I1271/H1271,0)</f>
        <v>144.05833333333334</v>
      </c>
      <c r="R1271" s="12">
        <f>IFERROR(J1271/I1271,0)</f>
        <v>1.2869439463180423</v>
      </c>
      <c r="S1271" s="7">
        <f>Tabla_nuevas_columnas[[#This Row],[ROAS]]</f>
        <v>1.2869439463180423</v>
      </c>
      <c r="T1271" t="str">
        <f>_xlfn.CONCAT(C1271,"-",D1271)</f>
        <v>Email-Francia</v>
      </c>
      <c r="U1271">
        <f>YEAR(A1271)</f>
        <v>2025</v>
      </c>
      <c r="V1271">
        <f>MONTH(A1271)</f>
        <v>2</v>
      </c>
      <c r="W1271" t="str">
        <f>PROPER(TEXT(A1271,"mmmm"))</f>
        <v>Febrero</v>
      </c>
      <c r="X1271" t="str">
        <f>PROPER(TEXT(A1271,"dddd"))</f>
        <v>Lunes</v>
      </c>
      <c r="Y1271" t="str" cm="1">
        <f t="array" ref="Y1271">_xlfn.IFS(R1271&gt;10,"Excelente",R1271&gt;=5,"Bueno",R1271&gt;=2,"Débil",R1271&lt;2,"Deficiente")</f>
        <v>Deficiente</v>
      </c>
      <c r="Z1271" t="str">
        <f>IF(AND(R1271&lt;2,Q1271&gt;=100),"Revisar","OK")</f>
        <v>Revisar</v>
      </c>
      <c r="AA1271" s="55">
        <f>_xlfn.XLOOKUP(C1271,'Preguntas de negocio'!$C$114:$C$119,'Preguntas de negocio'!$D$114:$D$119,0)</f>
        <v>5.5</v>
      </c>
      <c r="AB1271" s="55">
        <f>VLOOKUP(C1271,'Preguntas de negocio'!$C$121:$D$127,2,FALSE)</f>
        <v>0.65</v>
      </c>
    </row>
    <row r="1272" spans="1:28" x14ac:dyDescent="0.3">
      <c r="A1272" s="1">
        <v>45943</v>
      </c>
      <c r="B1272" s="2" t="s">
        <v>2637</v>
      </c>
      <c r="C1272" s="2" t="s">
        <v>2515</v>
      </c>
      <c r="D1272" s="2" t="s">
        <v>2525</v>
      </c>
      <c r="E1272" s="2" t="s">
        <v>2529</v>
      </c>
      <c r="F1272" s="3">
        <v>46522</v>
      </c>
      <c r="G1272" s="3">
        <v>3268</v>
      </c>
      <c r="H1272" s="3">
        <v>152</v>
      </c>
      <c r="I1272" s="4">
        <v>2733.63</v>
      </c>
      <c r="J1272" s="4">
        <v>20584.240000000002</v>
      </c>
      <c r="K1272" s="3">
        <v>123</v>
      </c>
      <c r="L1272" s="2" t="s">
        <v>2539</v>
      </c>
      <c r="M1272" s="2" t="s">
        <v>2526</v>
      </c>
      <c r="N1272" s="8">
        <f>IFERROR(G1272/F1272,0)</f>
        <v>7.0246335067279994E-2</v>
      </c>
      <c r="O1272" s="8">
        <f>IFERROR(H1272/G1272,0)</f>
        <v>4.6511627906976744E-2</v>
      </c>
      <c r="P1272" s="4">
        <f>IFERROR(I1272/G1272,0)</f>
        <v>0.83648408812729502</v>
      </c>
      <c r="Q1272" s="4">
        <f>IFERROR(I1272/H1272,0)</f>
        <v>17.984407894736844</v>
      </c>
      <c r="R1272" s="12">
        <f>IFERROR(J1272/I1272,0)</f>
        <v>7.5300022314651214</v>
      </c>
      <c r="S1272" s="7">
        <f>Tabla_nuevas_columnas[[#This Row],[ROAS]]</f>
        <v>7.5300022314651214</v>
      </c>
      <c r="T1272" t="str">
        <f>_xlfn.CONCAT(C1272,"-",D1272)</f>
        <v>Email-Francia</v>
      </c>
      <c r="U1272">
        <f>YEAR(A1272)</f>
        <v>2025</v>
      </c>
      <c r="V1272">
        <f>MONTH(A1272)</f>
        <v>10</v>
      </c>
      <c r="W1272" t="str">
        <f>PROPER(TEXT(A1272,"mmmm"))</f>
        <v>Octubre</v>
      </c>
      <c r="X1272" t="str">
        <f>PROPER(TEXT(A1272,"dddd"))</f>
        <v>Lunes</v>
      </c>
      <c r="Y1272" t="str" cm="1">
        <f t="array" ref="Y1272">_xlfn.IFS(R1272&gt;10,"Excelente",R1272&gt;=5,"Bueno",R1272&gt;=2,"Débil",R1272&lt;2,"Deficiente")</f>
        <v>Bueno</v>
      </c>
      <c r="Z1272" t="str">
        <f>IF(AND(R1272&lt;2,Q1272&gt;=100),"Revisar","OK")</f>
        <v>OK</v>
      </c>
      <c r="AA1272" s="55">
        <f>_xlfn.XLOOKUP(C1272,'Preguntas de negocio'!$C$114:$C$119,'Preguntas de negocio'!$D$114:$D$119,0)</f>
        <v>5.5</v>
      </c>
      <c r="AB1272" s="55">
        <f>VLOOKUP(C1272,'Preguntas de negocio'!$C$121:$D$127,2,FALSE)</f>
        <v>0.65</v>
      </c>
    </row>
    <row r="1273" spans="1:28" x14ac:dyDescent="0.3">
      <c r="A1273" s="1">
        <v>45698</v>
      </c>
      <c r="B1273" s="2" t="s">
        <v>2629</v>
      </c>
      <c r="C1273" s="2" t="s">
        <v>2533</v>
      </c>
      <c r="D1273" s="2" t="s">
        <v>2645</v>
      </c>
      <c r="E1273" s="2" t="s">
        <v>2517</v>
      </c>
      <c r="F1273" s="3">
        <v>90182</v>
      </c>
      <c r="G1273" s="3">
        <v>6723</v>
      </c>
      <c r="H1273" s="3">
        <v>525</v>
      </c>
      <c r="I1273" s="4">
        <v>12012.57</v>
      </c>
      <c r="J1273" s="4">
        <v>104939.41</v>
      </c>
      <c r="K1273" s="3">
        <v>357</v>
      </c>
      <c r="L1273" s="2" t="s">
        <v>2539</v>
      </c>
      <c r="M1273" s="2" t="s">
        <v>2524</v>
      </c>
      <c r="N1273" s="8">
        <f>IFERROR(G1273/F1273,0)</f>
        <v>7.4549244860393424E-2</v>
      </c>
      <c r="O1273" s="8">
        <f>IFERROR(H1273/G1273,0)</f>
        <v>7.8090138331102191E-2</v>
      </c>
      <c r="P1273" s="4">
        <f>IFERROR(I1273/G1273,0)</f>
        <v>1.7867871485943774</v>
      </c>
      <c r="Q1273" s="4">
        <f>IFERROR(I1273/H1273,0)</f>
        <v>22.881085714285714</v>
      </c>
      <c r="R1273" s="12">
        <f>IFERROR(J1273/I1273,0)</f>
        <v>8.7358000827466569</v>
      </c>
      <c r="S1273" s="7">
        <f>Tabla_nuevas_columnas[[#This Row],[ROAS]]</f>
        <v>8.7358000827466569</v>
      </c>
      <c r="T1273" t="str">
        <f>_xlfn.CONCAT(C1273,"-",D1273)</f>
        <v>Paid Social-Por identificar</v>
      </c>
      <c r="U1273">
        <f>YEAR(A1273)</f>
        <v>2025</v>
      </c>
      <c r="V1273">
        <f>MONTH(A1273)</f>
        <v>2</v>
      </c>
      <c r="W1273" t="str">
        <f>PROPER(TEXT(A1273,"mmmm"))</f>
        <v>Febrero</v>
      </c>
      <c r="X1273" t="str">
        <f>PROPER(TEXT(A1273,"dddd"))</f>
        <v>Lunes</v>
      </c>
      <c r="Y1273" t="str" cm="1">
        <f t="array" ref="Y1273">_xlfn.IFS(R1273&gt;10,"Excelente",R1273&gt;=5,"Bueno",R1273&gt;=2,"Débil",R1273&lt;2,"Deficiente")</f>
        <v>Bueno</v>
      </c>
      <c r="Z1273" t="str">
        <f>IF(AND(R1273&lt;2,Q1273&gt;=100),"Revisar","OK")</f>
        <v>OK</v>
      </c>
      <c r="AA1273" s="55">
        <f>_xlfn.XLOOKUP(C1273,'Preguntas de negocio'!$C$114:$C$119,'Preguntas de negocio'!$D$114:$D$119,0)</f>
        <v>6</v>
      </c>
      <c r="AB1273" s="55">
        <f>VLOOKUP(C1273,'Preguntas de negocio'!$C$121:$D$127,2,FALSE)</f>
        <v>0.8</v>
      </c>
    </row>
    <row r="1274" spans="1:28" x14ac:dyDescent="0.3">
      <c r="A1274" s="1">
        <v>45789</v>
      </c>
      <c r="B1274" s="2" t="s">
        <v>2634</v>
      </c>
      <c r="C1274" s="2" t="s">
        <v>2515</v>
      </c>
      <c r="D1274" s="2" t="s">
        <v>2528</v>
      </c>
      <c r="E1274" s="2" t="s">
        <v>2517</v>
      </c>
      <c r="F1274" s="3">
        <v>78724</v>
      </c>
      <c r="G1274" s="3">
        <v>6219</v>
      </c>
      <c r="H1274" s="3">
        <v>847</v>
      </c>
      <c r="I1274" s="4">
        <v>1816.4</v>
      </c>
      <c r="J1274" s="4">
        <v>173348.56</v>
      </c>
      <c r="K1274" s="3">
        <v>670</v>
      </c>
      <c r="L1274" s="2" t="s">
        <v>2518</v>
      </c>
      <c r="M1274" s="2" t="s">
        <v>2519</v>
      </c>
      <c r="N1274" s="8">
        <f>IFERROR(G1274/F1274,0)</f>
        <v>7.8997510289111325E-2</v>
      </c>
      <c r="O1274" s="8">
        <f>IFERROR(H1274/G1274,0)</f>
        <v>0.13619552982794661</v>
      </c>
      <c r="P1274" s="4">
        <f>IFERROR(I1274/G1274,0)</f>
        <v>0.29207268049525648</v>
      </c>
      <c r="Q1274" s="4">
        <f>IFERROR(I1274/H1274,0)</f>
        <v>2.1445100354191262</v>
      </c>
      <c r="R1274" s="12">
        <f>IFERROR(J1274/I1274,0)</f>
        <v>95.435234529839235</v>
      </c>
      <c r="S1274" s="7">
        <f>Tabla_nuevas_columnas[[#This Row],[ROAS]]</f>
        <v>95.435234529839235</v>
      </c>
      <c r="T1274" t="str">
        <f>_xlfn.CONCAT(C1274,"-",D1274)</f>
        <v>Email-España</v>
      </c>
      <c r="U1274">
        <f>YEAR(A1274)</f>
        <v>2025</v>
      </c>
      <c r="V1274">
        <f>MONTH(A1274)</f>
        <v>5</v>
      </c>
      <c r="W1274" t="str">
        <f>PROPER(TEXT(A1274,"mmmm"))</f>
        <v>Mayo</v>
      </c>
      <c r="X1274" t="str">
        <f>PROPER(TEXT(A1274,"dddd"))</f>
        <v>Lunes</v>
      </c>
      <c r="Y1274" t="str" cm="1">
        <f t="array" ref="Y1274">_xlfn.IFS(R1274&gt;10,"Excelente",R1274&gt;=5,"Bueno",R1274&gt;=2,"Débil",R1274&lt;2,"Deficiente")</f>
        <v>Excelente</v>
      </c>
      <c r="Z1274" t="str">
        <f>IF(AND(R1274&lt;2,Q1274&gt;=100),"Revisar","OK")</f>
        <v>OK</v>
      </c>
      <c r="AA1274" s="55">
        <f>_xlfn.XLOOKUP(C1274,'Preguntas de negocio'!$C$114:$C$119,'Preguntas de negocio'!$D$114:$D$119,0)</f>
        <v>5.5</v>
      </c>
      <c r="AB1274" s="55">
        <f>VLOOKUP(C1274,'Preguntas de negocio'!$C$121:$D$127,2,FALSE)</f>
        <v>0.65</v>
      </c>
    </row>
    <row r="1275" spans="1:28" x14ac:dyDescent="0.3">
      <c r="A1275" s="1">
        <v>45668</v>
      </c>
      <c r="B1275" s="2" t="s">
        <v>2642</v>
      </c>
      <c r="C1275" s="2" t="s">
        <v>2521</v>
      </c>
      <c r="D1275" s="2" t="s">
        <v>2528</v>
      </c>
      <c r="E1275" s="2" t="s">
        <v>2529</v>
      </c>
      <c r="F1275" s="3">
        <v>84247</v>
      </c>
      <c r="G1275" s="3">
        <v>5908</v>
      </c>
      <c r="H1275" s="3">
        <v>351</v>
      </c>
      <c r="I1275" s="4">
        <v>7686.04</v>
      </c>
      <c r="J1275" s="4">
        <v>12703.92</v>
      </c>
      <c r="K1275" s="3">
        <v>292</v>
      </c>
      <c r="L1275" s="2" t="s">
        <v>2539</v>
      </c>
      <c r="M1275" s="2" t="s">
        <v>2519</v>
      </c>
      <c r="N1275" s="8">
        <f>IFERROR(G1275/F1275,0)</f>
        <v>7.0127126188469613E-2</v>
      </c>
      <c r="O1275" s="8">
        <f>IFERROR(H1275/G1275,0)</f>
        <v>5.941096817874069E-2</v>
      </c>
      <c r="P1275" s="4">
        <f>IFERROR(I1275/G1275,0)</f>
        <v>1.3009546377792822</v>
      </c>
      <c r="Q1275" s="4">
        <f>IFERROR(I1275/H1275,0)</f>
        <v>21.897549857549858</v>
      </c>
      <c r="R1275" s="12">
        <f>IFERROR(J1275/I1275,0)</f>
        <v>1.6528563473518223</v>
      </c>
      <c r="S1275" s="7">
        <f>Tabla_nuevas_columnas[[#This Row],[ROAS]]</f>
        <v>1.6528563473518223</v>
      </c>
      <c r="T1275" t="str">
        <f>_xlfn.CONCAT(C1275,"-",D1275)</f>
        <v>Paid Search-España</v>
      </c>
      <c r="U1275">
        <f>YEAR(A1275)</f>
        <v>2025</v>
      </c>
      <c r="V1275">
        <f>MONTH(A1275)</f>
        <v>1</v>
      </c>
      <c r="W1275" t="str">
        <f>PROPER(TEXT(A1275,"mmmm"))</f>
        <v>Enero</v>
      </c>
      <c r="X1275" t="str">
        <f>PROPER(TEXT(A1275,"dddd"))</f>
        <v>Sábado</v>
      </c>
      <c r="Y1275" t="str" cm="1">
        <f t="array" ref="Y1275">_xlfn.IFS(R1275&gt;10,"Excelente",R1275&gt;=5,"Bueno",R1275&gt;=2,"Débil",R1275&lt;2,"Deficiente")</f>
        <v>Deficiente</v>
      </c>
      <c r="Z1275" t="str">
        <f>IF(AND(R1275&lt;2,Q1275&gt;=100),"Revisar","OK")</f>
        <v>OK</v>
      </c>
      <c r="AA1275" s="55">
        <f>_xlfn.XLOOKUP(C1275,'Preguntas de negocio'!$C$114:$C$119,'Preguntas de negocio'!$D$114:$D$119,0)</f>
        <v>5</v>
      </c>
      <c r="AB1275" s="55">
        <f>VLOOKUP(C1275,'Preguntas de negocio'!$C$121:$D$127,2,FALSE)</f>
        <v>1.1000000000000001</v>
      </c>
    </row>
    <row r="1276" spans="1:28" x14ac:dyDescent="0.3">
      <c r="A1276" s="1">
        <v>45948</v>
      </c>
      <c r="B1276" s="2" t="s">
        <v>2622</v>
      </c>
      <c r="C1276" s="2" t="s">
        <v>2527</v>
      </c>
      <c r="D1276" s="2" t="s">
        <v>2531</v>
      </c>
      <c r="E1276" s="2" t="s">
        <v>2529</v>
      </c>
      <c r="F1276" s="3">
        <v>103510</v>
      </c>
      <c r="G1276" s="3">
        <v>7103</v>
      </c>
      <c r="H1276" s="3">
        <v>628</v>
      </c>
      <c r="I1276" s="4">
        <v>12062.88</v>
      </c>
      <c r="J1276" s="4">
        <v>118018.57</v>
      </c>
      <c r="K1276" s="3">
        <v>307</v>
      </c>
      <c r="L1276" s="2" t="s">
        <v>2518</v>
      </c>
      <c r="M1276" s="2" t="s">
        <v>2524</v>
      </c>
      <c r="N1276" s="8">
        <f>IFERROR(G1276/F1276,0)</f>
        <v>6.8621389237754807E-2</v>
      </c>
      <c r="O1276" s="8">
        <f>IFERROR(H1276/G1276,0)</f>
        <v>8.8413346473321136E-2</v>
      </c>
      <c r="P1276" s="4">
        <f>IFERROR(I1276/G1276,0)</f>
        <v>1.6982796001689426</v>
      </c>
      <c r="Q1276" s="4">
        <f>IFERROR(I1276/H1276,0)</f>
        <v>19.2084076433121</v>
      </c>
      <c r="R1276" s="12">
        <f>IFERROR(J1276/I1276,0)</f>
        <v>9.783614692345445</v>
      </c>
      <c r="S1276" s="7">
        <f>Tabla_nuevas_columnas[[#This Row],[ROAS]]</f>
        <v>9.783614692345445</v>
      </c>
      <c r="T1276" t="str">
        <f>_xlfn.CONCAT(C1276,"-",D1276)</f>
        <v>Affiliate-Portugal</v>
      </c>
      <c r="U1276">
        <f>YEAR(A1276)</f>
        <v>2025</v>
      </c>
      <c r="V1276">
        <f>MONTH(A1276)</f>
        <v>10</v>
      </c>
      <c r="W1276" t="str">
        <f>PROPER(TEXT(A1276,"mmmm"))</f>
        <v>Octubre</v>
      </c>
      <c r="X1276" t="str">
        <f>PROPER(TEXT(A1276,"dddd"))</f>
        <v>Sábado</v>
      </c>
      <c r="Y1276" t="str" cm="1">
        <f t="array" ref="Y1276">_xlfn.IFS(R1276&gt;10,"Excelente",R1276&gt;=5,"Bueno",R1276&gt;=2,"Débil",R1276&lt;2,"Deficiente")</f>
        <v>Bueno</v>
      </c>
      <c r="Z1276" t="str">
        <f>IF(AND(R1276&lt;2,Q1276&gt;=100),"Revisar","OK")</f>
        <v>OK</v>
      </c>
      <c r="AA1276" s="55">
        <f>_xlfn.XLOOKUP(C1276,'Preguntas de negocio'!$C$114:$C$119,'Preguntas de negocio'!$D$114:$D$119,0)</f>
        <v>4.5</v>
      </c>
      <c r="AB1276" s="55">
        <f>VLOOKUP(C1276,'Preguntas de negocio'!$C$121:$D$127,2,FALSE)</f>
        <v>0.35</v>
      </c>
    </row>
    <row r="1277" spans="1:28" x14ac:dyDescent="0.3">
      <c r="A1277" s="1">
        <v>45992</v>
      </c>
      <c r="B1277" s="2" t="s">
        <v>2616</v>
      </c>
      <c r="C1277" s="2" t="s">
        <v>2515</v>
      </c>
      <c r="D1277" s="2" t="s">
        <v>2528</v>
      </c>
      <c r="E1277" s="2" t="s">
        <v>2529</v>
      </c>
      <c r="F1277" s="3">
        <v>170230</v>
      </c>
      <c r="G1277" s="3">
        <v>10698</v>
      </c>
      <c r="H1277" s="3">
        <v>95</v>
      </c>
      <c r="I1277" s="4">
        <v>2647.86</v>
      </c>
      <c r="J1277" s="4">
        <v>18471.66</v>
      </c>
      <c r="K1277" s="3">
        <v>64</v>
      </c>
      <c r="L1277" s="2" t="s">
        <v>2536</v>
      </c>
      <c r="M1277" s="2" t="s">
        <v>2519</v>
      </c>
      <c r="N1277" s="8">
        <f>IFERROR(G1277/F1277,0)</f>
        <v>6.2844387005815655E-2</v>
      </c>
      <c r="O1277" s="8">
        <f>IFERROR(H1277/G1277,0)</f>
        <v>8.8801645167320992E-3</v>
      </c>
      <c r="P1277" s="4">
        <f>IFERROR(I1277/G1277,0)</f>
        <v>0.24750981491867641</v>
      </c>
      <c r="Q1277" s="4">
        <f>IFERROR(I1277/H1277,0)</f>
        <v>27.87221052631579</v>
      </c>
      <c r="R1277" s="12">
        <f>IFERROR(J1277/I1277,0)</f>
        <v>6.9760712424372882</v>
      </c>
      <c r="S1277" s="7">
        <f>Tabla_nuevas_columnas[[#This Row],[ROAS]]</f>
        <v>6.9760712424372882</v>
      </c>
      <c r="T1277" t="str">
        <f>_xlfn.CONCAT(C1277,"-",D1277)</f>
        <v>Email-España</v>
      </c>
      <c r="U1277">
        <f>YEAR(A1277)</f>
        <v>2025</v>
      </c>
      <c r="V1277">
        <f>MONTH(A1277)</f>
        <v>12</v>
      </c>
      <c r="W1277" t="str">
        <f>PROPER(TEXT(A1277,"mmmm"))</f>
        <v>Diciembre</v>
      </c>
      <c r="X1277" t="str">
        <f>PROPER(TEXT(A1277,"dddd"))</f>
        <v>Lunes</v>
      </c>
      <c r="Y1277" t="str" cm="1">
        <f t="array" ref="Y1277">_xlfn.IFS(R1277&gt;10,"Excelente",R1277&gt;=5,"Bueno",R1277&gt;=2,"Débil",R1277&lt;2,"Deficiente")</f>
        <v>Bueno</v>
      </c>
      <c r="Z1277" t="str">
        <f>IF(AND(R1277&lt;2,Q1277&gt;=100),"Revisar","OK")</f>
        <v>OK</v>
      </c>
      <c r="AA1277" s="55">
        <f>_xlfn.XLOOKUP(C1277,'Preguntas de negocio'!$C$114:$C$119,'Preguntas de negocio'!$D$114:$D$119,0)</f>
        <v>5.5</v>
      </c>
      <c r="AB1277" s="55">
        <f>VLOOKUP(C1277,'Preguntas de negocio'!$C$121:$D$127,2,FALSE)</f>
        <v>0.65</v>
      </c>
    </row>
    <row r="1278" spans="1:28" x14ac:dyDescent="0.3">
      <c r="A1278" s="1">
        <v>45805</v>
      </c>
      <c r="B1278" s="2" t="s">
        <v>2624</v>
      </c>
      <c r="C1278" s="2" t="s">
        <v>2527</v>
      </c>
      <c r="D1278" s="2" t="s">
        <v>2522</v>
      </c>
      <c r="E1278" s="2" t="s">
        <v>2517</v>
      </c>
      <c r="F1278" s="3">
        <v>134095</v>
      </c>
      <c r="G1278" s="3">
        <v>10672</v>
      </c>
      <c r="H1278" s="3">
        <v>1120</v>
      </c>
      <c r="I1278" s="4">
        <v>16559.05</v>
      </c>
      <c r="J1278" s="4">
        <v>151623.4</v>
      </c>
      <c r="K1278" s="3">
        <v>916</v>
      </c>
      <c r="L1278" s="2" t="s">
        <v>2518</v>
      </c>
      <c r="M1278" s="2" t="s">
        <v>2519</v>
      </c>
      <c r="N1278" s="8">
        <f>IFERROR(G1278/F1278,0)</f>
        <v>7.9585368581975471E-2</v>
      </c>
      <c r="O1278" s="8">
        <f>IFERROR(H1278/G1278,0)</f>
        <v>0.10494752623688156</v>
      </c>
      <c r="P1278" s="4">
        <f>IFERROR(I1278/G1278,0)</f>
        <v>1.55163511994003</v>
      </c>
      <c r="Q1278" s="4">
        <f>IFERROR(I1278/H1278,0)</f>
        <v>14.784866071428571</v>
      </c>
      <c r="R1278" s="12">
        <f>IFERROR(J1278/I1278,0)</f>
        <v>9.1565276993547329</v>
      </c>
      <c r="S1278" s="7">
        <f>Tabla_nuevas_columnas[[#This Row],[ROAS]]</f>
        <v>9.1565276993547329</v>
      </c>
      <c r="T1278" t="str">
        <f>_xlfn.CONCAT(C1278,"-",D1278)</f>
        <v>Affiliate-Italia</v>
      </c>
      <c r="U1278">
        <f>YEAR(A1278)</f>
        <v>2025</v>
      </c>
      <c r="V1278">
        <f>MONTH(A1278)</f>
        <v>5</v>
      </c>
      <c r="W1278" t="str">
        <f>PROPER(TEXT(A1278,"mmmm"))</f>
        <v>Mayo</v>
      </c>
      <c r="X1278" t="str">
        <f>PROPER(TEXT(A1278,"dddd"))</f>
        <v>Miércoles</v>
      </c>
      <c r="Y1278" t="str" cm="1">
        <f t="array" ref="Y1278">_xlfn.IFS(R1278&gt;10,"Excelente",R1278&gt;=5,"Bueno",R1278&gt;=2,"Débil",R1278&lt;2,"Deficiente")</f>
        <v>Bueno</v>
      </c>
      <c r="Z1278" t="str">
        <f>IF(AND(R1278&lt;2,Q1278&gt;=100),"Revisar","OK")</f>
        <v>OK</v>
      </c>
      <c r="AA1278" s="55">
        <f>_xlfn.XLOOKUP(C1278,'Preguntas de negocio'!$C$114:$C$119,'Preguntas de negocio'!$D$114:$D$119,0)</f>
        <v>4.5</v>
      </c>
      <c r="AB1278" s="55">
        <f>VLOOKUP(C1278,'Preguntas de negocio'!$C$121:$D$127,2,FALSE)</f>
        <v>0.35</v>
      </c>
    </row>
    <row r="1279" spans="1:28" x14ac:dyDescent="0.3">
      <c r="A1279" s="1">
        <v>45929</v>
      </c>
      <c r="B1279" s="2" t="s">
        <v>2625</v>
      </c>
      <c r="C1279" s="2" t="s">
        <v>2533</v>
      </c>
      <c r="D1279" s="2" t="s">
        <v>2645</v>
      </c>
      <c r="E1279" s="2" t="s">
        <v>2529</v>
      </c>
      <c r="F1279" s="3">
        <v>138122</v>
      </c>
      <c r="G1279" s="3">
        <v>9846</v>
      </c>
      <c r="H1279" s="3">
        <v>657</v>
      </c>
      <c r="I1279" s="4">
        <v>20352.79</v>
      </c>
      <c r="J1279" s="4">
        <v>73294.759999999995</v>
      </c>
      <c r="K1279" s="3">
        <v>301</v>
      </c>
      <c r="L1279" s="2" t="s">
        <v>2523</v>
      </c>
      <c r="M1279" s="2" t="s">
        <v>2519</v>
      </c>
      <c r="N1279" s="8">
        <f>IFERROR(G1279/F1279,0)</f>
        <v>7.1284806185835714E-2</v>
      </c>
      <c r="O1279" s="8">
        <f>IFERROR(H1279/G1279,0)</f>
        <v>6.6727605118829983E-2</v>
      </c>
      <c r="P1279" s="4">
        <f>IFERROR(I1279/G1279,0)</f>
        <v>2.0671125330083284</v>
      </c>
      <c r="Q1279" s="4">
        <f>IFERROR(I1279/H1279,0)</f>
        <v>30.978371385083715</v>
      </c>
      <c r="R1279" s="12">
        <f>IFERROR(J1279/I1279,0)</f>
        <v>3.6012143789622941</v>
      </c>
      <c r="S1279" s="7">
        <f>Tabla_nuevas_columnas[[#This Row],[ROAS]]</f>
        <v>3.6012143789622941</v>
      </c>
      <c r="T1279" t="str">
        <f>_xlfn.CONCAT(C1279,"-",D1279)</f>
        <v>Paid Social-Por identificar</v>
      </c>
      <c r="U1279">
        <f>YEAR(A1279)</f>
        <v>2025</v>
      </c>
      <c r="V1279">
        <f>MONTH(A1279)</f>
        <v>9</v>
      </c>
      <c r="W1279" t="str">
        <f>PROPER(TEXT(A1279,"mmmm"))</f>
        <v>Septiembre</v>
      </c>
      <c r="X1279" t="str">
        <f>PROPER(TEXT(A1279,"dddd"))</f>
        <v>Lunes</v>
      </c>
      <c r="Y1279" t="str" cm="1">
        <f t="array" ref="Y1279">_xlfn.IFS(R1279&gt;10,"Excelente",R1279&gt;=5,"Bueno",R1279&gt;=2,"Débil",R1279&lt;2,"Deficiente")</f>
        <v>Débil</v>
      </c>
      <c r="Z1279" t="str">
        <f>IF(AND(R1279&lt;2,Q1279&gt;=100),"Revisar","OK")</f>
        <v>OK</v>
      </c>
      <c r="AA1279" s="55">
        <f>_xlfn.XLOOKUP(C1279,'Preguntas de negocio'!$C$114:$C$119,'Preguntas de negocio'!$D$114:$D$119,0)</f>
        <v>6</v>
      </c>
      <c r="AB1279" s="55">
        <f>VLOOKUP(C1279,'Preguntas de negocio'!$C$121:$D$127,2,FALSE)</f>
        <v>0.8</v>
      </c>
    </row>
    <row r="1280" spans="1:28" x14ac:dyDescent="0.3">
      <c r="A1280" s="1">
        <v>45790</v>
      </c>
      <c r="B1280" s="2" t="s">
        <v>2621</v>
      </c>
      <c r="C1280" s="2" t="s">
        <v>2515</v>
      </c>
      <c r="D1280" s="2" t="s">
        <v>2528</v>
      </c>
      <c r="E1280" s="2" t="s">
        <v>2529</v>
      </c>
      <c r="F1280" s="3">
        <v>23293</v>
      </c>
      <c r="G1280" s="3">
        <v>262</v>
      </c>
      <c r="H1280" s="3">
        <v>23</v>
      </c>
      <c r="I1280" s="4">
        <v>195.1</v>
      </c>
      <c r="J1280" s="4">
        <v>4500.66</v>
      </c>
      <c r="K1280" s="3">
        <v>14</v>
      </c>
      <c r="L1280" s="2" t="s">
        <v>2536</v>
      </c>
      <c r="M1280" s="2" t="s">
        <v>2526</v>
      </c>
      <c r="N1280" s="8">
        <f>IFERROR(G1280/F1280,0)</f>
        <v>1.1248014424934529E-2</v>
      </c>
      <c r="O1280" s="8">
        <f>IFERROR(H1280/G1280,0)</f>
        <v>8.7786259541984726E-2</v>
      </c>
      <c r="P1280" s="4">
        <f>IFERROR(I1280/G1280,0)</f>
        <v>0.7446564885496183</v>
      </c>
      <c r="Q1280" s="4">
        <f>IFERROR(I1280/H1280,0)</f>
        <v>8.4826086956521731</v>
      </c>
      <c r="R1280" s="12">
        <f>IFERROR(J1280/I1280,0)</f>
        <v>23.068477703741671</v>
      </c>
      <c r="S1280" s="7">
        <f>Tabla_nuevas_columnas[[#This Row],[ROAS]]</f>
        <v>23.068477703741671</v>
      </c>
      <c r="T1280" t="str">
        <f>_xlfn.CONCAT(C1280,"-",D1280)</f>
        <v>Email-España</v>
      </c>
      <c r="U1280">
        <f>YEAR(A1280)</f>
        <v>2025</v>
      </c>
      <c r="V1280">
        <f>MONTH(A1280)</f>
        <v>5</v>
      </c>
      <c r="W1280" t="str">
        <f>PROPER(TEXT(A1280,"mmmm"))</f>
        <v>Mayo</v>
      </c>
      <c r="X1280" t="str">
        <f>PROPER(TEXT(A1280,"dddd"))</f>
        <v>Martes</v>
      </c>
      <c r="Y1280" t="str" cm="1">
        <f t="array" ref="Y1280">_xlfn.IFS(R1280&gt;10,"Excelente",R1280&gt;=5,"Bueno",R1280&gt;=2,"Débil",R1280&lt;2,"Deficiente")</f>
        <v>Excelente</v>
      </c>
      <c r="Z1280" t="str">
        <f>IF(AND(R1280&lt;2,Q1280&gt;=100),"Revisar","OK")</f>
        <v>OK</v>
      </c>
      <c r="AA1280" s="55">
        <f>_xlfn.XLOOKUP(C1280,'Preguntas de negocio'!$C$114:$C$119,'Preguntas de negocio'!$D$114:$D$119,0)</f>
        <v>5.5</v>
      </c>
      <c r="AB1280" s="55">
        <f>VLOOKUP(C1280,'Preguntas de negocio'!$C$121:$D$127,2,FALSE)</f>
        <v>0.65</v>
      </c>
    </row>
    <row r="1281" spans="1:28" x14ac:dyDescent="0.3">
      <c r="A1281" s="1">
        <v>45856</v>
      </c>
      <c r="B1281" s="2" t="s">
        <v>2632</v>
      </c>
      <c r="C1281" s="2" t="s">
        <v>2521</v>
      </c>
      <c r="D1281" s="2" t="s">
        <v>2528</v>
      </c>
      <c r="E1281" s="2" t="s">
        <v>2517</v>
      </c>
      <c r="F1281" s="3">
        <v>38237</v>
      </c>
      <c r="G1281" s="3">
        <v>1052</v>
      </c>
      <c r="H1281" s="3">
        <v>140</v>
      </c>
      <c r="I1281" s="4">
        <v>1992.89</v>
      </c>
      <c r="J1281" s="4">
        <v>4146.05</v>
      </c>
      <c r="K1281" s="3">
        <v>113</v>
      </c>
      <c r="L1281" s="2" t="s">
        <v>2536</v>
      </c>
      <c r="M1281" s="2" t="s">
        <v>2526</v>
      </c>
      <c r="N1281" s="8">
        <f>IFERROR(G1281/F1281,0)</f>
        <v>2.7512618667782516E-2</v>
      </c>
      <c r="O1281" s="8">
        <f>IFERROR(H1281/G1281,0)</f>
        <v>0.13307984790874525</v>
      </c>
      <c r="P1281" s="4">
        <f>IFERROR(I1281/G1281,0)</f>
        <v>1.8943821292775667</v>
      </c>
      <c r="Q1281" s="4">
        <f>IFERROR(I1281/H1281,0)</f>
        <v>14.234928571428572</v>
      </c>
      <c r="R1281" s="12">
        <f>IFERROR(J1281/I1281,0)</f>
        <v>2.0804208962862978</v>
      </c>
      <c r="S1281" s="7">
        <f>Tabla_nuevas_columnas[[#This Row],[ROAS]]</f>
        <v>2.0804208962862978</v>
      </c>
      <c r="T1281" t="str">
        <f>_xlfn.CONCAT(C1281,"-",D1281)</f>
        <v>Paid Search-España</v>
      </c>
      <c r="U1281">
        <f>YEAR(A1281)</f>
        <v>2025</v>
      </c>
      <c r="V1281">
        <f>MONTH(A1281)</f>
        <v>7</v>
      </c>
      <c r="W1281" t="str">
        <f>PROPER(TEXT(A1281,"mmmm"))</f>
        <v>Julio</v>
      </c>
      <c r="X1281" t="str">
        <f>PROPER(TEXT(A1281,"dddd"))</f>
        <v>Viernes</v>
      </c>
      <c r="Y1281" t="str" cm="1">
        <f t="array" ref="Y1281">_xlfn.IFS(R1281&gt;10,"Excelente",R1281&gt;=5,"Bueno",R1281&gt;=2,"Débil",R1281&lt;2,"Deficiente")</f>
        <v>Débil</v>
      </c>
      <c r="Z1281" t="str">
        <f>IF(AND(R1281&lt;2,Q1281&gt;=100),"Revisar","OK")</f>
        <v>OK</v>
      </c>
      <c r="AA1281" s="55">
        <f>_xlfn.XLOOKUP(C1281,'Preguntas de negocio'!$C$114:$C$119,'Preguntas de negocio'!$D$114:$D$119,0)</f>
        <v>5</v>
      </c>
      <c r="AB1281" s="55">
        <f>VLOOKUP(C1281,'Preguntas de negocio'!$C$121:$D$127,2,FALSE)</f>
        <v>1.1000000000000001</v>
      </c>
    </row>
    <row r="1282" spans="1:28" x14ac:dyDescent="0.3">
      <c r="A1282" s="1">
        <v>45973</v>
      </c>
      <c r="B1282" s="2" t="s">
        <v>2632</v>
      </c>
      <c r="C1282" s="2" t="s">
        <v>2541</v>
      </c>
      <c r="D1282" s="2" t="s">
        <v>2528</v>
      </c>
      <c r="E1282" s="2" t="s">
        <v>2517</v>
      </c>
      <c r="F1282" s="3">
        <v>128158</v>
      </c>
      <c r="G1282" s="3">
        <v>7202</v>
      </c>
      <c r="H1282" s="3">
        <v>271</v>
      </c>
      <c r="I1282" s="4">
        <v>4596.46</v>
      </c>
      <c r="J1282" s="4">
        <v>48387.87</v>
      </c>
      <c r="K1282" s="3">
        <v>154</v>
      </c>
      <c r="L1282" s="2" t="s">
        <v>2539</v>
      </c>
      <c r="M1282" s="2" t="s">
        <v>2546</v>
      </c>
      <c r="N1282" s="8">
        <f>IFERROR(G1282/F1282,0)</f>
        <v>5.619625774434682E-2</v>
      </c>
      <c r="O1282" s="8">
        <f>IFERROR(H1282/G1282,0)</f>
        <v>3.7628436545404056E-2</v>
      </c>
      <c r="P1282" s="4">
        <f>IFERROR(I1282/G1282,0)</f>
        <v>0.63821993890585949</v>
      </c>
      <c r="Q1282" s="4">
        <f>IFERROR(I1282/H1282,0)</f>
        <v>16.961107011070112</v>
      </c>
      <c r="R1282" s="12">
        <f>IFERROR(J1282/I1282,0)</f>
        <v>10.527203543596594</v>
      </c>
      <c r="S1282" s="7">
        <f>Tabla_nuevas_columnas[[#This Row],[ROAS]]</f>
        <v>10.527203543596594</v>
      </c>
      <c r="T1282" t="str">
        <f>_xlfn.CONCAT(C1282,"-",D1282)</f>
        <v>Display-España</v>
      </c>
      <c r="U1282">
        <f>YEAR(A1282)</f>
        <v>2025</v>
      </c>
      <c r="V1282">
        <f>MONTH(A1282)</f>
        <v>11</v>
      </c>
      <c r="W1282" t="str">
        <f>PROPER(TEXT(A1282,"mmmm"))</f>
        <v>Noviembre</v>
      </c>
      <c r="X1282" t="str">
        <f>PROPER(TEXT(A1282,"dddd"))</f>
        <v>Miércoles</v>
      </c>
      <c r="Y1282" t="str" cm="1">
        <f t="array" ref="Y1282">_xlfn.IFS(R1282&gt;10,"Excelente",R1282&gt;=5,"Bueno",R1282&gt;=2,"Débil",R1282&lt;2,"Deficiente")</f>
        <v>Excelente</v>
      </c>
      <c r="Z1282" t="str">
        <f>IF(AND(R1282&lt;2,Q1282&gt;=100),"Revisar","OK")</f>
        <v>OK</v>
      </c>
      <c r="AA1282" s="55">
        <f>_xlfn.XLOOKUP(C1282,'Preguntas de negocio'!$C$114:$C$119,'Preguntas de negocio'!$D$114:$D$119,0)</f>
        <v>5</v>
      </c>
      <c r="AB1282" s="55">
        <f>VLOOKUP(C1282,'Preguntas de negocio'!$C$121:$D$127,2,FALSE)</f>
        <v>0.5</v>
      </c>
    </row>
    <row r="1283" spans="1:28" x14ac:dyDescent="0.3">
      <c r="A1283" s="1">
        <v>46004</v>
      </c>
      <c r="B1283" s="2" t="s">
        <v>2638</v>
      </c>
      <c r="C1283" s="2" t="s">
        <v>2533</v>
      </c>
      <c r="D1283" s="2" t="s">
        <v>2528</v>
      </c>
      <c r="E1283" s="2" t="s">
        <v>2534</v>
      </c>
      <c r="F1283" s="3">
        <v>16855</v>
      </c>
      <c r="G1283" s="3">
        <v>170</v>
      </c>
      <c r="H1283" s="3">
        <v>9</v>
      </c>
      <c r="I1283" s="4">
        <v>176.75</v>
      </c>
      <c r="J1283" s="4">
        <v>1676.99</v>
      </c>
      <c r="K1283" s="3">
        <v>7</v>
      </c>
      <c r="L1283" s="2" t="s">
        <v>2523</v>
      </c>
      <c r="M1283" s="2" t="s">
        <v>2526</v>
      </c>
      <c r="N1283" s="8">
        <f>IFERROR(G1283/F1283,0)</f>
        <v>1.0086027884900622E-2</v>
      </c>
      <c r="O1283" s="8">
        <f>IFERROR(H1283/G1283,0)</f>
        <v>5.2941176470588235E-2</v>
      </c>
      <c r="P1283" s="4">
        <f>IFERROR(I1283/G1283,0)</f>
        <v>1.0397058823529413</v>
      </c>
      <c r="Q1283" s="4">
        <f>IFERROR(I1283/H1283,0)</f>
        <v>19.638888888888889</v>
      </c>
      <c r="R1283" s="12">
        <f>IFERROR(J1283/I1283,0)</f>
        <v>9.4879207920792084</v>
      </c>
      <c r="S1283" s="7">
        <f>Tabla_nuevas_columnas[[#This Row],[ROAS]]</f>
        <v>9.4879207920792084</v>
      </c>
      <c r="T1283" t="str">
        <f>_xlfn.CONCAT(C1283,"-",D1283)</f>
        <v>Paid Social-España</v>
      </c>
      <c r="U1283">
        <f>YEAR(A1283)</f>
        <v>2025</v>
      </c>
      <c r="V1283">
        <f>MONTH(A1283)</f>
        <v>12</v>
      </c>
      <c r="W1283" t="str">
        <f>PROPER(TEXT(A1283,"mmmm"))</f>
        <v>Diciembre</v>
      </c>
      <c r="X1283" t="str">
        <f>PROPER(TEXT(A1283,"dddd"))</f>
        <v>Sábado</v>
      </c>
      <c r="Y1283" t="str" cm="1">
        <f t="array" ref="Y1283">_xlfn.IFS(R1283&gt;10,"Excelente",R1283&gt;=5,"Bueno",R1283&gt;=2,"Débil",R1283&lt;2,"Deficiente")</f>
        <v>Bueno</v>
      </c>
      <c r="Z1283" t="str">
        <f>IF(AND(R1283&lt;2,Q1283&gt;=100),"Revisar","OK")</f>
        <v>OK</v>
      </c>
      <c r="AA1283" s="55">
        <f>_xlfn.XLOOKUP(C1283,'Preguntas de negocio'!$C$114:$C$119,'Preguntas de negocio'!$D$114:$D$119,0)</f>
        <v>6</v>
      </c>
      <c r="AB1283" s="55">
        <f>VLOOKUP(C1283,'Preguntas de negocio'!$C$121:$D$127,2,FALSE)</f>
        <v>0.8</v>
      </c>
    </row>
    <row r="1284" spans="1:28" x14ac:dyDescent="0.3">
      <c r="A1284" s="1">
        <v>45746</v>
      </c>
      <c r="B1284" s="2" t="s">
        <v>2616</v>
      </c>
      <c r="C1284" s="2" t="s">
        <v>2515</v>
      </c>
      <c r="D1284" s="2" t="s">
        <v>2522</v>
      </c>
      <c r="E1284" s="2" t="s">
        <v>2529</v>
      </c>
      <c r="F1284" s="3">
        <v>90343</v>
      </c>
      <c r="G1284" s="3">
        <v>3206</v>
      </c>
      <c r="H1284" s="3">
        <v>425</v>
      </c>
      <c r="I1284" s="4">
        <v>2181.39</v>
      </c>
      <c r="J1284" s="4">
        <v>38125.99</v>
      </c>
      <c r="K1284" s="3">
        <v>285</v>
      </c>
      <c r="L1284" s="2" t="s">
        <v>2518</v>
      </c>
      <c r="M1284" s="2" t="s">
        <v>2546</v>
      </c>
      <c r="N1284" s="8">
        <f>IFERROR(G1284/F1284,0)</f>
        <v>3.5486977408321616E-2</v>
      </c>
      <c r="O1284" s="8">
        <f>IFERROR(H1284/G1284,0)</f>
        <v>0.13256394260761073</v>
      </c>
      <c r="P1284" s="4">
        <f>IFERROR(I1284/G1284,0)</f>
        <v>0.6804086088583905</v>
      </c>
      <c r="Q1284" s="4">
        <f>IFERROR(I1284/H1284,0)</f>
        <v>5.1326823529411758</v>
      </c>
      <c r="R1284" s="12">
        <f>IFERROR(J1284/I1284,0)</f>
        <v>17.477842109847391</v>
      </c>
      <c r="S1284" s="7">
        <f>Tabla_nuevas_columnas[[#This Row],[ROAS]]</f>
        <v>17.477842109847391</v>
      </c>
      <c r="T1284" t="str">
        <f>_xlfn.CONCAT(C1284,"-",D1284)</f>
        <v>Email-Italia</v>
      </c>
      <c r="U1284">
        <f>YEAR(A1284)</f>
        <v>2025</v>
      </c>
      <c r="V1284">
        <f>MONTH(A1284)</f>
        <v>3</v>
      </c>
      <c r="W1284" t="str">
        <f>PROPER(TEXT(A1284,"mmmm"))</f>
        <v>Marzo</v>
      </c>
      <c r="X1284" t="str">
        <f>PROPER(TEXT(A1284,"dddd"))</f>
        <v>Domingo</v>
      </c>
      <c r="Y1284" t="str" cm="1">
        <f t="array" ref="Y1284">_xlfn.IFS(R1284&gt;10,"Excelente",R1284&gt;=5,"Bueno",R1284&gt;=2,"Débil",R1284&lt;2,"Deficiente")</f>
        <v>Excelente</v>
      </c>
      <c r="Z1284" t="str">
        <f>IF(AND(R1284&lt;2,Q1284&gt;=100),"Revisar","OK")</f>
        <v>OK</v>
      </c>
      <c r="AA1284" s="55">
        <f>_xlfn.XLOOKUP(C1284,'Preguntas de negocio'!$C$114:$C$119,'Preguntas de negocio'!$D$114:$D$119,0)</f>
        <v>5.5</v>
      </c>
      <c r="AB1284" s="55">
        <f>VLOOKUP(C1284,'Preguntas de negocio'!$C$121:$D$127,2,FALSE)</f>
        <v>0.65</v>
      </c>
    </row>
    <row r="1285" spans="1:28" x14ac:dyDescent="0.3">
      <c r="A1285" s="1">
        <v>45753</v>
      </c>
      <c r="B1285" s="2" t="s">
        <v>2616</v>
      </c>
      <c r="C1285" s="2" t="s">
        <v>2541</v>
      </c>
      <c r="D1285" s="2" t="s">
        <v>2531</v>
      </c>
      <c r="E1285" s="2" t="s">
        <v>2517</v>
      </c>
      <c r="F1285" s="3">
        <v>34909</v>
      </c>
      <c r="G1285" s="3">
        <v>268</v>
      </c>
      <c r="H1285" s="3">
        <v>9</v>
      </c>
      <c r="I1285" s="4">
        <v>315.08999999999997</v>
      </c>
      <c r="J1285" s="4">
        <v>1952.15</v>
      </c>
      <c r="K1285" s="3">
        <v>5</v>
      </c>
      <c r="L1285" s="2" t="s">
        <v>2518</v>
      </c>
      <c r="M1285" s="2" t="s">
        <v>2546</v>
      </c>
      <c r="N1285" s="8">
        <f>IFERROR(G1285/F1285,0)</f>
        <v>7.6771033257899109E-3</v>
      </c>
      <c r="O1285" s="8">
        <f>IFERROR(H1285/G1285,0)</f>
        <v>3.3582089552238806E-2</v>
      </c>
      <c r="P1285" s="4">
        <f>IFERROR(I1285/G1285,0)</f>
        <v>1.1757089552238804</v>
      </c>
      <c r="Q1285" s="4">
        <f>IFERROR(I1285/H1285,0)</f>
        <v>35.01</v>
      </c>
      <c r="R1285" s="12">
        <f>IFERROR(J1285/I1285,0)</f>
        <v>6.1955314354628843</v>
      </c>
      <c r="S1285" s="7">
        <f>Tabla_nuevas_columnas[[#This Row],[ROAS]]</f>
        <v>6.1955314354628843</v>
      </c>
      <c r="T1285" t="str">
        <f>_xlfn.CONCAT(C1285,"-",D1285)</f>
        <v>Display-Portugal</v>
      </c>
      <c r="U1285">
        <f>YEAR(A1285)</f>
        <v>2025</v>
      </c>
      <c r="V1285">
        <f>MONTH(A1285)</f>
        <v>4</v>
      </c>
      <c r="W1285" t="str">
        <f>PROPER(TEXT(A1285,"mmmm"))</f>
        <v>Abril</v>
      </c>
      <c r="X1285" t="str">
        <f>PROPER(TEXT(A1285,"dddd"))</f>
        <v>Domingo</v>
      </c>
      <c r="Y1285" t="str" cm="1">
        <f t="array" ref="Y1285">_xlfn.IFS(R1285&gt;10,"Excelente",R1285&gt;=5,"Bueno",R1285&gt;=2,"Débil",R1285&lt;2,"Deficiente")</f>
        <v>Bueno</v>
      </c>
      <c r="Z1285" t="str">
        <f>IF(AND(R1285&lt;2,Q1285&gt;=100),"Revisar","OK")</f>
        <v>OK</v>
      </c>
      <c r="AA1285" s="55">
        <f>_xlfn.XLOOKUP(C1285,'Preguntas de negocio'!$C$114:$C$119,'Preguntas de negocio'!$D$114:$D$119,0)</f>
        <v>5</v>
      </c>
      <c r="AB1285" s="55">
        <f>VLOOKUP(C1285,'Preguntas de negocio'!$C$121:$D$127,2,FALSE)</f>
        <v>0.5</v>
      </c>
    </row>
    <row r="1286" spans="1:28" x14ac:dyDescent="0.3">
      <c r="A1286" s="1">
        <v>45739</v>
      </c>
      <c r="B1286" s="2" t="s">
        <v>2633</v>
      </c>
      <c r="C1286" s="2" t="s">
        <v>2515</v>
      </c>
      <c r="D1286" s="2" t="s">
        <v>2528</v>
      </c>
      <c r="E1286" s="2" t="s">
        <v>2529</v>
      </c>
      <c r="F1286" s="3">
        <v>103546</v>
      </c>
      <c r="G1286" s="3">
        <v>977</v>
      </c>
      <c r="H1286" s="3">
        <v>99</v>
      </c>
      <c r="I1286" s="4">
        <v>1972.26</v>
      </c>
      <c r="J1286" s="4">
        <v>6546.39</v>
      </c>
      <c r="K1286" s="3">
        <v>86</v>
      </c>
      <c r="L1286" s="2" t="s">
        <v>2523</v>
      </c>
      <c r="M1286" s="2" t="s">
        <v>2519</v>
      </c>
      <c r="N1286" s="8">
        <f>IFERROR(G1286/F1286,0)</f>
        <v>9.4354200065671304E-3</v>
      </c>
      <c r="O1286" s="8">
        <f>IFERROR(H1286/G1286,0)</f>
        <v>0.10133060388945753</v>
      </c>
      <c r="P1286" s="4">
        <f>IFERROR(I1286/G1286,0)</f>
        <v>2.0186898669396109</v>
      </c>
      <c r="Q1286" s="4">
        <f>IFERROR(I1286/H1286,0)</f>
        <v>19.921818181818182</v>
      </c>
      <c r="R1286" s="12">
        <f>IFERROR(J1286/I1286,0)</f>
        <v>3.3192327583584316</v>
      </c>
      <c r="S1286" s="7">
        <f>Tabla_nuevas_columnas[[#This Row],[ROAS]]</f>
        <v>3.3192327583584316</v>
      </c>
      <c r="T1286" t="str">
        <f>_xlfn.CONCAT(C1286,"-",D1286)</f>
        <v>Email-España</v>
      </c>
      <c r="U1286">
        <f>YEAR(A1286)</f>
        <v>2025</v>
      </c>
      <c r="V1286">
        <f>MONTH(A1286)</f>
        <v>3</v>
      </c>
      <c r="W1286" t="str">
        <f>PROPER(TEXT(A1286,"mmmm"))</f>
        <v>Marzo</v>
      </c>
      <c r="X1286" t="str">
        <f>PROPER(TEXT(A1286,"dddd"))</f>
        <v>Domingo</v>
      </c>
      <c r="Y1286" t="str" cm="1">
        <f t="array" ref="Y1286">_xlfn.IFS(R1286&gt;10,"Excelente",R1286&gt;=5,"Bueno",R1286&gt;=2,"Débil",R1286&lt;2,"Deficiente")</f>
        <v>Débil</v>
      </c>
      <c r="Z1286" t="str">
        <f>IF(AND(R1286&lt;2,Q1286&gt;=100),"Revisar","OK")</f>
        <v>OK</v>
      </c>
      <c r="AA1286" s="55">
        <f>_xlfn.XLOOKUP(C1286,'Preguntas de negocio'!$C$114:$C$119,'Preguntas de negocio'!$D$114:$D$119,0)</f>
        <v>5.5</v>
      </c>
      <c r="AB1286" s="55">
        <f>VLOOKUP(C1286,'Preguntas de negocio'!$C$121:$D$127,2,FALSE)</f>
        <v>0.65</v>
      </c>
    </row>
    <row r="1287" spans="1:28" x14ac:dyDescent="0.3">
      <c r="A1287" s="1">
        <v>45674</v>
      </c>
      <c r="B1287" s="2" t="s">
        <v>2634</v>
      </c>
      <c r="C1287" s="2" t="s">
        <v>2515</v>
      </c>
      <c r="D1287" s="2" t="s">
        <v>2525</v>
      </c>
      <c r="E1287" s="2" t="s">
        <v>2529</v>
      </c>
      <c r="F1287" s="3">
        <v>68617</v>
      </c>
      <c r="G1287" s="3">
        <v>1122</v>
      </c>
      <c r="H1287" s="3">
        <v>97</v>
      </c>
      <c r="I1287" s="4">
        <v>889.33</v>
      </c>
      <c r="J1287" s="4">
        <v>4954.7700000000004</v>
      </c>
      <c r="K1287" s="3">
        <v>54</v>
      </c>
      <c r="L1287" s="2" t="s">
        <v>2539</v>
      </c>
      <c r="M1287" s="2" t="s">
        <v>2519</v>
      </c>
      <c r="N1287" s="8">
        <f>IFERROR(G1287/F1287,0)</f>
        <v>1.6351632977250535E-2</v>
      </c>
      <c r="O1287" s="8">
        <f>IFERROR(H1287/G1287,0)</f>
        <v>8.6452762923351162E-2</v>
      </c>
      <c r="P1287" s="4">
        <f>IFERROR(I1287/G1287,0)</f>
        <v>0.79262923351158654</v>
      </c>
      <c r="Q1287" s="4">
        <f>IFERROR(I1287/H1287,0)</f>
        <v>9.1683505154639171</v>
      </c>
      <c r="R1287" s="12">
        <f>IFERROR(J1287/I1287,0)</f>
        <v>5.5713514668345834</v>
      </c>
      <c r="S1287" s="7">
        <f>Tabla_nuevas_columnas[[#This Row],[ROAS]]</f>
        <v>5.5713514668345834</v>
      </c>
      <c r="T1287" t="str">
        <f>_xlfn.CONCAT(C1287,"-",D1287)</f>
        <v>Email-Francia</v>
      </c>
      <c r="U1287">
        <f>YEAR(A1287)</f>
        <v>2025</v>
      </c>
      <c r="V1287">
        <f>MONTH(A1287)</f>
        <v>1</v>
      </c>
      <c r="W1287" t="str">
        <f>PROPER(TEXT(A1287,"mmmm"))</f>
        <v>Enero</v>
      </c>
      <c r="X1287" t="str">
        <f>PROPER(TEXT(A1287,"dddd"))</f>
        <v>Viernes</v>
      </c>
      <c r="Y1287" t="str" cm="1">
        <f t="array" ref="Y1287">_xlfn.IFS(R1287&gt;10,"Excelente",R1287&gt;=5,"Bueno",R1287&gt;=2,"Débil",R1287&lt;2,"Deficiente")</f>
        <v>Bueno</v>
      </c>
      <c r="Z1287" t="str">
        <f>IF(AND(R1287&lt;2,Q1287&gt;=100),"Revisar","OK")</f>
        <v>OK</v>
      </c>
      <c r="AA1287" s="55">
        <f>_xlfn.XLOOKUP(C1287,'Preguntas de negocio'!$C$114:$C$119,'Preguntas de negocio'!$D$114:$D$119,0)</f>
        <v>5.5</v>
      </c>
      <c r="AB1287" s="55">
        <f>VLOOKUP(C1287,'Preguntas de negocio'!$C$121:$D$127,2,FALSE)</f>
        <v>0.65</v>
      </c>
    </row>
    <row r="1288" spans="1:28" x14ac:dyDescent="0.3">
      <c r="A1288" s="1">
        <v>45762</v>
      </c>
      <c r="B1288" s="2" t="s">
        <v>2621</v>
      </c>
      <c r="C1288" s="2" t="s">
        <v>2515</v>
      </c>
      <c r="D1288" s="2" t="s">
        <v>2528</v>
      </c>
      <c r="E1288" s="2" t="s">
        <v>2529</v>
      </c>
      <c r="F1288" s="3">
        <v>147868</v>
      </c>
      <c r="G1288" s="3">
        <v>9431</v>
      </c>
      <c r="H1288" s="3">
        <v>1298</v>
      </c>
      <c r="I1288" s="4">
        <v>17000.349999999999</v>
      </c>
      <c r="J1288" s="4">
        <v>45052.76</v>
      </c>
      <c r="K1288" s="3">
        <v>792</v>
      </c>
      <c r="L1288" s="2" t="s">
        <v>2539</v>
      </c>
      <c r="M1288" s="2" t="s">
        <v>2537</v>
      </c>
      <c r="N1288" s="8">
        <f>IFERROR(G1288/F1288,0)</f>
        <v>6.3779857710931365E-2</v>
      </c>
      <c r="O1288" s="8">
        <f>IFERROR(H1288/G1288,0)</f>
        <v>0.1376312162018874</v>
      </c>
      <c r="P1288" s="4">
        <f>IFERROR(I1288/G1288,0)</f>
        <v>1.8026031173788568</v>
      </c>
      <c r="Q1288" s="4">
        <f>IFERROR(I1288/H1288,0)</f>
        <v>13.097342064714946</v>
      </c>
      <c r="R1288" s="12">
        <f>IFERROR(J1288/I1288,0)</f>
        <v>2.6501077918984026</v>
      </c>
      <c r="S1288" s="7">
        <f>Tabla_nuevas_columnas[[#This Row],[ROAS]]</f>
        <v>2.6501077918984026</v>
      </c>
      <c r="T1288" t="str">
        <f>_xlfn.CONCAT(C1288,"-",D1288)</f>
        <v>Email-España</v>
      </c>
      <c r="U1288">
        <f>YEAR(A1288)</f>
        <v>2025</v>
      </c>
      <c r="V1288">
        <f>MONTH(A1288)</f>
        <v>4</v>
      </c>
      <c r="W1288" t="str">
        <f>PROPER(TEXT(A1288,"mmmm"))</f>
        <v>Abril</v>
      </c>
      <c r="X1288" t="str">
        <f>PROPER(TEXT(A1288,"dddd"))</f>
        <v>Martes</v>
      </c>
      <c r="Y1288" t="str" cm="1">
        <f t="array" ref="Y1288">_xlfn.IFS(R1288&gt;10,"Excelente",R1288&gt;=5,"Bueno",R1288&gt;=2,"Débil",R1288&lt;2,"Deficiente")</f>
        <v>Débil</v>
      </c>
      <c r="Z1288" t="str">
        <f>IF(AND(R1288&lt;2,Q1288&gt;=100),"Revisar","OK")</f>
        <v>OK</v>
      </c>
      <c r="AA1288" s="55">
        <f>_xlfn.XLOOKUP(C1288,'Preguntas de negocio'!$C$114:$C$119,'Preguntas de negocio'!$D$114:$D$119,0)</f>
        <v>5.5</v>
      </c>
      <c r="AB1288" s="55">
        <f>VLOOKUP(C1288,'Preguntas de negocio'!$C$121:$D$127,2,FALSE)</f>
        <v>0.65</v>
      </c>
    </row>
    <row r="1289" spans="1:28" x14ac:dyDescent="0.3">
      <c r="A1289" s="1">
        <v>45666</v>
      </c>
      <c r="B1289" s="2" t="s">
        <v>2628</v>
      </c>
      <c r="C1289" s="2" t="s">
        <v>2533</v>
      </c>
      <c r="D1289" s="2" t="s">
        <v>2522</v>
      </c>
      <c r="E1289" s="2" t="s">
        <v>2517</v>
      </c>
      <c r="F1289" s="3">
        <v>103983</v>
      </c>
      <c r="G1289" s="3">
        <v>8707</v>
      </c>
      <c r="H1289" s="3">
        <v>713</v>
      </c>
      <c r="I1289" s="4">
        <v>8536.56</v>
      </c>
      <c r="J1289" s="4">
        <v>150770.19</v>
      </c>
      <c r="K1289" s="3">
        <v>532</v>
      </c>
      <c r="L1289" s="2" t="s">
        <v>2523</v>
      </c>
      <c r="M1289" s="2" t="s">
        <v>2519</v>
      </c>
      <c r="N1289" s="8">
        <f>IFERROR(G1289/F1289,0)</f>
        <v>8.3734841272131016E-2</v>
      </c>
      <c r="O1289" s="8">
        <f>IFERROR(H1289/G1289,0)</f>
        <v>8.1888135982542784E-2</v>
      </c>
      <c r="P1289" s="4">
        <f>IFERROR(I1289/G1289,0)</f>
        <v>0.98042494544619263</v>
      </c>
      <c r="Q1289" s="4">
        <f>IFERROR(I1289/H1289,0)</f>
        <v>11.97273492286115</v>
      </c>
      <c r="R1289" s="12">
        <f>IFERROR(J1289/I1289,0)</f>
        <v>17.661703309061263</v>
      </c>
      <c r="S1289" s="7">
        <f>Tabla_nuevas_columnas[[#This Row],[ROAS]]</f>
        <v>17.661703309061263</v>
      </c>
      <c r="T1289" t="str">
        <f>_xlfn.CONCAT(C1289,"-",D1289)</f>
        <v>Paid Social-Italia</v>
      </c>
      <c r="U1289">
        <f>YEAR(A1289)</f>
        <v>2025</v>
      </c>
      <c r="V1289">
        <f>MONTH(A1289)</f>
        <v>1</v>
      </c>
      <c r="W1289" t="str">
        <f>PROPER(TEXT(A1289,"mmmm"))</f>
        <v>Enero</v>
      </c>
      <c r="X1289" t="str">
        <f>PROPER(TEXT(A1289,"dddd"))</f>
        <v>Jueves</v>
      </c>
      <c r="Y1289" t="str" cm="1">
        <f t="array" ref="Y1289">_xlfn.IFS(R1289&gt;10,"Excelente",R1289&gt;=5,"Bueno",R1289&gt;=2,"Débil",R1289&lt;2,"Deficiente")</f>
        <v>Excelente</v>
      </c>
      <c r="Z1289" t="str">
        <f>IF(AND(R1289&lt;2,Q1289&gt;=100),"Revisar","OK")</f>
        <v>OK</v>
      </c>
      <c r="AA1289" s="55">
        <f>_xlfn.XLOOKUP(C1289,'Preguntas de negocio'!$C$114:$C$119,'Preguntas de negocio'!$D$114:$D$119,0)</f>
        <v>6</v>
      </c>
      <c r="AB1289" s="55">
        <f>VLOOKUP(C1289,'Preguntas de negocio'!$C$121:$D$127,2,FALSE)</f>
        <v>0.8</v>
      </c>
    </row>
    <row r="1290" spans="1:28" x14ac:dyDescent="0.3">
      <c r="A1290" s="1">
        <v>45971</v>
      </c>
      <c r="B1290" s="2" t="s">
        <v>2622</v>
      </c>
      <c r="C1290" s="2" t="s">
        <v>2533</v>
      </c>
      <c r="D1290" s="2" t="s">
        <v>2528</v>
      </c>
      <c r="E1290" s="2" t="s">
        <v>2529</v>
      </c>
      <c r="F1290" s="3">
        <v>138489</v>
      </c>
      <c r="G1290" s="3">
        <v>9738</v>
      </c>
      <c r="H1290" s="3">
        <v>720</v>
      </c>
      <c r="I1290" s="4">
        <v>9876.2999999999993</v>
      </c>
      <c r="J1290" s="4">
        <v>121819.86</v>
      </c>
      <c r="K1290" s="3">
        <v>507</v>
      </c>
      <c r="L1290" s="2" t="s">
        <v>2518</v>
      </c>
      <c r="M1290" s="2" t="s">
        <v>2546</v>
      </c>
      <c r="N1290" s="8">
        <f>IFERROR(G1290/F1290,0)</f>
        <v>7.0316053982626775E-2</v>
      </c>
      <c r="O1290" s="8">
        <f>IFERROR(H1290/G1290,0)</f>
        <v>7.3937153419593352E-2</v>
      </c>
      <c r="P1290" s="4">
        <f>IFERROR(I1290/G1290,0)</f>
        <v>1.0142020948860135</v>
      </c>
      <c r="Q1290" s="4">
        <f>IFERROR(I1290/H1290,0)</f>
        <v>13.717083333333333</v>
      </c>
      <c r="R1290" s="12">
        <f>IFERROR(J1290/I1290,0)</f>
        <v>12.33456456365238</v>
      </c>
      <c r="S1290" s="7">
        <f>Tabla_nuevas_columnas[[#This Row],[ROAS]]</f>
        <v>12.33456456365238</v>
      </c>
      <c r="T1290" t="str">
        <f>_xlfn.CONCAT(C1290,"-",D1290)</f>
        <v>Paid Social-España</v>
      </c>
      <c r="U1290">
        <f>YEAR(A1290)</f>
        <v>2025</v>
      </c>
      <c r="V1290">
        <f>MONTH(A1290)</f>
        <v>11</v>
      </c>
      <c r="W1290" t="str">
        <f>PROPER(TEXT(A1290,"mmmm"))</f>
        <v>Noviembre</v>
      </c>
      <c r="X1290" t="str">
        <f>PROPER(TEXT(A1290,"dddd"))</f>
        <v>Lunes</v>
      </c>
      <c r="Y1290" t="str" cm="1">
        <f t="array" ref="Y1290">_xlfn.IFS(R1290&gt;10,"Excelente",R1290&gt;=5,"Bueno",R1290&gt;=2,"Débil",R1290&lt;2,"Deficiente")</f>
        <v>Excelente</v>
      </c>
      <c r="Z1290" t="str">
        <f>IF(AND(R1290&lt;2,Q1290&gt;=100),"Revisar","OK")</f>
        <v>OK</v>
      </c>
      <c r="AA1290" s="55">
        <f>_xlfn.XLOOKUP(C1290,'Preguntas de negocio'!$C$114:$C$119,'Preguntas de negocio'!$D$114:$D$119,0)</f>
        <v>6</v>
      </c>
      <c r="AB1290" s="55">
        <f>VLOOKUP(C1290,'Preguntas de negocio'!$C$121:$D$127,2,FALSE)</f>
        <v>0.8</v>
      </c>
    </row>
    <row r="1291" spans="1:28" x14ac:dyDescent="0.3">
      <c r="A1291" s="1">
        <v>45757</v>
      </c>
      <c r="B1291" s="2" t="s">
        <v>2634</v>
      </c>
      <c r="C1291" s="2" t="s">
        <v>2543</v>
      </c>
      <c r="D1291" s="2" t="s">
        <v>2528</v>
      </c>
      <c r="E1291" s="2" t="s">
        <v>2517</v>
      </c>
      <c r="F1291" s="3">
        <v>137951</v>
      </c>
      <c r="G1291" s="3">
        <v>6093</v>
      </c>
      <c r="H1291" s="3">
        <v>823</v>
      </c>
      <c r="I1291" s="4">
        <v>11964.11</v>
      </c>
      <c r="J1291" s="4">
        <v>56842.239999999998</v>
      </c>
      <c r="K1291" s="3">
        <v>423</v>
      </c>
      <c r="L1291" s="2" t="s">
        <v>2518</v>
      </c>
      <c r="M1291" s="2" t="s">
        <v>2546</v>
      </c>
      <c r="N1291" s="8">
        <f>IFERROR(G1291/F1291,0)</f>
        <v>4.4167856702742279E-2</v>
      </c>
      <c r="O1291" s="8">
        <f>IFERROR(H1291/G1291,0)</f>
        <v>0.13507303462990317</v>
      </c>
      <c r="P1291" s="4">
        <f>IFERROR(I1291/G1291,0)</f>
        <v>1.9635827999343509</v>
      </c>
      <c r="Q1291" s="4">
        <f>IFERROR(I1291/H1291,0)</f>
        <v>14.537193195625759</v>
      </c>
      <c r="R1291" s="12">
        <f>IFERROR(J1291/I1291,0)</f>
        <v>4.7510629708352727</v>
      </c>
      <c r="S1291" s="7">
        <f>Tabla_nuevas_columnas[[#This Row],[ROAS]]</f>
        <v>4.7510629708352727</v>
      </c>
      <c r="T1291" t="str">
        <f>_xlfn.CONCAT(C1291,"-",D1291)</f>
        <v>Organic Social-España</v>
      </c>
      <c r="U1291">
        <f>YEAR(A1291)</f>
        <v>2025</v>
      </c>
      <c r="V1291">
        <f>MONTH(A1291)</f>
        <v>4</v>
      </c>
      <c r="W1291" t="str">
        <f>PROPER(TEXT(A1291,"mmmm"))</f>
        <v>Abril</v>
      </c>
      <c r="X1291" t="str">
        <f>PROPER(TEXT(A1291,"dddd"))</f>
        <v>Jueves</v>
      </c>
      <c r="Y1291" t="str" cm="1">
        <f t="array" ref="Y1291">_xlfn.IFS(R1291&gt;10,"Excelente",R1291&gt;=5,"Bueno",R1291&gt;=2,"Débil",R1291&lt;2,"Deficiente")</f>
        <v>Débil</v>
      </c>
      <c r="Z1291" t="str">
        <f>IF(AND(R1291&lt;2,Q1291&gt;=100),"Revisar","OK")</f>
        <v>OK</v>
      </c>
      <c r="AA1291" s="55">
        <f>_xlfn.XLOOKUP(C1291,'Preguntas de negocio'!$C$114:$C$119,'Preguntas de negocio'!$D$114:$D$119,0)</f>
        <v>4</v>
      </c>
      <c r="AB1291" s="55">
        <f>VLOOKUP(C1291,'Preguntas de negocio'!$C$121:$D$127,2,FALSE)</f>
        <v>0.95</v>
      </c>
    </row>
    <row r="1292" spans="1:28" x14ac:dyDescent="0.3">
      <c r="A1292" s="1">
        <v>45778</v>
      </c>
      <c r="B1292" s="2" t="s">
        <v>2641</v>
      </c>
      <c r="C1292" s="2" t="s">
        <v>2515</v>
      </c>
      <c r="D1292" s="2" t="s">
        <v>2525</v>
      </c>
      <c r="E1292" s="2" t="s">
        <v>2517</v>
      </c>
      <c r="F1292" s="3">
        <v>159462</v>
      </c>
      <c r="G1292" s="3">
        <v>3564</v>
      </c>
      <c r="H1292" s="3">
        <v>29</v>
      </c>
      <c r="I1292" s="4">
        <v>1257.1099999999999</v>
      </c>
      <c r="J1292" s="4">
        <v>945.72</v>
      </c>
      <c r="K1292" s="3">
        <v>22</v>
      </c>
      <c r="L1292" s="2" t="s">
        <v>2539</v>
      </c>
      <c r="M1292" s="2" t="s">
        <v>2537</v>
      </c>
      <c r="N1292" s="8">
        <f>IFERROR(G1292/F1292,0)</f>
        <v>2.2350152387402643E-2</v>
      </c>
      <c r="O1292" s="8">
        <f>IFERROR(H1292/G1292,0)</f>
        <v>8.1369248035914696E-3</v>
      </c>
      <c r="P1292" s="4">
        <f>IFERROR(I1292/G1292,0)</f>
        <v>0.35272446689113351</v>
      </c>
      <c r="Q1292" s="4">
        <f>IFERROR(I1292/H1292,0)</f>
        <v>43.348620689655171</v>
      </c>
      <c r="R1292" s="12">
        <f>IFERROR(J1292/I1292,0)</f>
        <v>0.75229693503352935</v>
      </c>
      <c r="S1292" s="7">
        <f>Tabla_nuevas_columnas[[#This Row],[ROAS]]</f>
        <v>0.75229693503352935</v>
      </c>
      <c r="T1292" t="str">
        <f>_xlfn.CONCAT(C1292,"-",D1292)</f>
        <v>Email-Francia</v>
      </c>
      <c r="U1292">
        <f>YEAR(A1292)</f>
        <v>2025</v>
      </c>
      <c r="V1292">
        <f>MONTH(A1292)</f>
        <v>5</v>
      </c>
      <c r="W1292" t="str">
        <f>PROPER(TEXT(A1292,"mmmm"))</f>
        <v>Mayo</v>
      </c>
      <c r="X1292" t="str">
        <f>PROPER(TEXT(A1292,"dddd"))</f>
        <v>Jueves</v>
      </c>
      <c r="Y1292" t="str" cm="1">
        <f t="array" ref="Y1292">_xlfn.IFS(R1292&gt;10,"Excelente",R1292&gt;=5,"Bueno",R1292&gt;=2,"Débil",R1292&lt;2,"Deficiente")</f>
        <v>Deficiente</v>
      </c>
      <c r="Z1292" t="str">
        <f>IF(AND(R1292&lt;2,Q1292&gt;=100),"Revisar","OK")</f>
        <v>OK</v>
      </c>
      <c r="AA1292" s="55">
        <f>_xlfn.XLOOKUP(C1292,'Preguntas de negocio'!$C$114:$C$119,'Preguntas de negocio'!$D$114:$D$119,0)</f>
        <v>5.5</v>
      </c>
      <c r="AB1292" s="55">
        <f>VLOOKUP(C1292,'Preguntas de negocio'!$C$121:$D$127,2,FALSE)</f>
        <v>0.65</v>
      </c>
    </row>
    <row r="1293" spans="1:28" x14ac:dyDescent="0.3">
      <c r="A1293" s="1">
        <v>46022</v>
      </c>
      <c r="B1293" s="2" t="s">
        <v>2639</v>
      </c>
      <c r="C1293" s="2" t="s">
        <v>2541</v>
      </c>
      <c r="D1293" s="2" t="s">
        <v>2528</v>
      </c>
      <c r="E1293" s="2" t="s">
        <v>2529</v>
      </c>
      <c r="F1293" s="3">
        <v>158017</v>
      </c>
      <c r="G1293" s="3">
        <v>9352</v>
      </c>
      <c r="H1293" s="3">
        <v>73</v>
      </c>
      <c r="I1293" s="4">
        <v>17338.740000000002</v>
      </c>
      <c r="J1293" s="4">
        <v>15116.08</v>
      </c>
      <c r="K1293" s="3">
        <v>34</v>
      </c>
      <c r="L1293" s="2" t="s">
        <v>2536</v>
      </c>
      <c r="M1293" s="2" t="s">
        <v>2524</v>
      </c>
      <c r="N1293" s="8">
        <f>IFERROR(G1293/F1293,0)</f>
        <v>5.9183505572185269E-2</v>
      </c>
      <c r="O1293" s="8">
        <f>IFERROR(H1293/G1293,0)</f>
        <v>7.8058169375534647E-3</v>
      </c>
      <c r="P1293" s="4">
        <f>IFERROR(I1293/G1293,0)</f>
        <v>1.8540141146278872</v>
      </c>
      <c r="Q1293" s="4">
        <f>IFERROR(I1293/H1293,0)</f>
        <v>237.51698630136988</v>
      </c>
      <c r="R1293" s="12">
        <f>IFERROR(J1293/I1293,0)</f>
        <v>0.87180960092832571</v>
      </c>
      <c r="S1293" s="7">
        <f>Tabla_nuevas_columnas[[#This Row],[ROAS]]</f>
        <v>0.87180960092832571</v>
      </c>
      <c r="T1293" t="str">
        <f>_xlfn.CONCAT(C1293,"-",D1293)</f>
        <v>Display-España</v>
      </c>
      <c r="U1293">
        <f>YEAR(A1293)</f>
        <v>2025</v>
      </c>
      <c r="V1293">
        <f>MONTH(A1293)</f>
        <v>12</v>
      </c>
      <c r="W1293" t="str">
        <f>PROPER(TEXT(A1293,"mmmm"))</f>
        <v>Diciembre</v>
      </c>
      <c r="X1293" t="str">
        <f>PROPER(TEXT(A1293,"dddd"))</f>
        <v>Miércoles</v>
      </c>
      <c r="Y1293" t="str" cm="1">
        <f t="array" ref="Y1293">_xlfn.IFS(R1293&gt;10,"Excelente",R1293&gt;=5,"Bueno",R1293&gt;=2,"Débil",R1293&lt;2,"Deficiente")</f>
        <v>Deficiente</v>
      </c>
      <c r="Z1293" t="str">
        <f>IF(AND(R1293&lt;2,Q1293&gt;=100),"Revisar","OK")</f>
        <v>Revisar</v>
      </c>
      <c r="AA1293" s="55">
        <f>_xlfn.XLOOKUP(C1293,'Preguntas de negocio'!$C$114:$C$119,'Preguntas de negocio'!$D$114:$D$119,0)</f>
        <v>5</v>
      </c>
      <c r="AB1293" s="55">
        <f>VLOOKUP(C1293,'Preguntas de negocio'!$C$121:$D$127,2,FALSE)</f>
        <v>0.5</v>
      </c>
    </row>
    <row r="1294" spans="1:28" x14ac:dyDescent="0.3">
      <c r="A1294" s="1">
        <v>45991</v>
      </c>
      <c r="B1294" s="2" t="s">
        <v>2615</v>
      </c>
      <c r="C1294" s="2" t="s">
        <v>2543</v>
      </c>
      <c r="D1294" s="2" t="s">
        <v>2528</v>
      </c>
      <c r="E1294" s="2" t="s">
        <v>2534</v>
      </c>
      <c r="F1294" s="3">
        <v>31969</v>
      </c>
      <c r="G1294" s="3">
        <v>606</v>
      </c>
      <c r="H1294" s="3">
        <v>35</v>
      </c>
      <c r="I1294" s="4">
        <v>745.62</v>
      </c>
      <c r="J1294" s="4">
        <v>3954.22</v>
      </c>
      <c r="K1294" s="3">
        <v>19</v>
      </c>
      <c r="L1294" s="2" t="s">
        <v>2523</v>
      </c>
      <c r="M1294" s="2" t="s">
        <v>2519</v>
      </c>
      <c r="N1294" s="8">
        <f>IFERROR(G1294/F1294,0)</f>
        <v>1.8955863492758612E-2</v>
      </c>
      <c r="O1294" s="8">
        <f>IFERROR(H1294/G1294,0)</f>
        <v>5.7755775577557754E-2</v>
      </c>
      <c r="P1294" s="4">
        <f>IFERROR(I1294/G1294,0)</f>
        <v>1.2303960396039604</v>
      </c>
      <c r="Q1294" s="4">
        <f>IFERROR(I1294/H1294,0)</f>
        <v>21.303428571428572</v>
      </c>
      <c r="R1294" s="12">
        <f>IFERROR(J1294/I1294,0)</f>
        <v>5.3032643974142317</v>
      </c>
      <c r="S1294" s="7">
        <f>Tabla_nuevas_columnas[[#This Row],[ROAS]]</f>
        <v>5.3032643974142317</v>
      </c>
      <c r="T1294" t="str">
        <f>_xlfn.CONCAT(C1294,"-",D1294)</f>
        <v>Organic Social-España</v>
      </c>
      <c r="U1294">
        <f>YEAR(A1294)</f>
        <v>2025</v>
      </c>
      <c r="V1294">
        <f>MONTH(A1294)</f>
        <v>11</v>
      </c>
      <c r="W1294" t="str">
        <f>PROPER(TEXT(A1294,"mmmm"))</f>
        <v>Noviembre</v>
      </c>
      <c r="X1294" t="str">
        <f>PROPER(TEXT(A1294,"dddd"))</f>
        <v>Domingo</v>
      </c>
      <c r="Y1294" t="str" cm="1">
        <f t="array" ref="Y1294">_xlfn.IFS(R1294&gt;10,"Excelente",R1294&gt;=5,"Bueno",R1294&gt;=2,"Débil",R1294&lt;2,"Deficiente")</f>
        <v>Bueno</v>
      </c>
      <c r="Z1294" t="str">
        <f>IF(AND(R1294&lt;2,Q1294&gt;=100),"Revisar","OK")</f>
        <v>OK</v>
      </c>
      <c r="AA1294" s="55">
        <f>_xlfn.XLOOKUP(C1294,'Preguntas de negocio'!$C$114:$C$119,'Preguntas de negocio'!$D$114:$D$119,0)</f>
        <v>4</v>
      </c>
      <c r="AB1294" s="55">
        <f>VLOOKUP(C1294,'Preguntas de negocio'!$C$121:$D$127,2,FALSE)</f>
        <v>0.95</v>
      </c>
    </row>
    <row r="1295" spans="1:28" x14ac:dyDescent="0.3">
      <c r="A1295" s="1">
        <v>45983</v>
      </c>
      <c r="B1295" s="2" t="s">
        <v>2637</v>
      </c>
      <c r="C1295" s="2" t="s">
        <v>2521</v>
      </c>
      <c r="D1295" s="2" t="s">
        <v>2516</v>
      </c>
      <c r="E1295" s="2" t="s">
        <v>2534</v>
      </c>
      <c r="F1295" s="3">
        <v>108811</v>
      </c>
      <c r="G1295" s="3">
        <v>3297</v>
      </c>
      <c r="H1295" s="3">
        <v>133</v>
      </c>
      <c r="I1295" s="4">
        <v>5385.86</v>
      </c>
      <c r="J1295" s="4">
        <v>3993.13</v>
      </c>
      <c r="K1295" s="3">
        <v>109</v>
      </c>
      <c r="L1295" s="2" t="s">
        <v>2536</v>
      </c>
      <c r="M1295" s="2" t="s">
        <v>2519</v>
      </c>
      <c r="N1295" s="8">
        <f>IFERROR(G1295/F1295,0)</f>
        <v>3.0300245379603165E-2</v>
      </c>
      <c r="O1295" s="8">
        <f>IFERROR(H1295/G1295,0)</f>
        <v>4.0339702760084924E-2</v>
      </c>
      <c r="P1295" s="4">
        <f>IFERROR(I1295/G1295,0)</f>
        <v>1.6335638459205337</v>
      </c>
      <c r="Q1295" s="4">
        <f>IFERROR(I1295/H1295,0)</f>
        <v>40.495187969924807</v>
      </c>
      <c r="R1295" s="12">
        <f>IFERROR(J1295/I1295,0)</f>
        <v>0.74140991410842472</v>
      </c>
      <c r="S1295" s="7">
        <f>Tabla_nuevas_columnas[[#This Row],[ROAS]]</f>
        <v>0.74140991410842472</v>
      </c>
      <c r="T1295" t="str">
        <f>_xlfn.CONCAT(C1295,"-",D1295)</f>
        <v>Paid Search-México</v>
      </c>
      <c r="U1295">
        <f>YEAR(A1295)</f>
        <v>2025</v>
      </c>
      <c r="V1295">
        <f>MONTH(A1295)</f>
        <v>11</v>
      </c>
      <c r="W1295" t="str">
        <f>PROPER(TEXT(A1295,"mmmm"))</f>
        <v>Noviembre</v>
      </c>
      <c r="X1295" t="str">
        <f>PROPER(TEXT(A1295,"dddd"))</f>
        <v>Sábado</v>
      </c>
      <c r="Y1295" t="str" cm="1">
        <f t="array" ref="Y1295">_xlfn.IFS(R1295&gt;10,"Excelente",R1295&gt;=5,"Bueno",R1295&gt;=2,"Débil",R1295&lt;2,"Deficiente")</f>
        <v>Deficiente</v>
      </c>
      <c r="Z1295" t="str">
        <f>IF(AND(R1295&lt;2,Q1295&gt;=100),"Revisar","OK")</f>
        <v>OK</v>
      </c>
      <c r="AA1295" s="55">
        <f>_xlfn.XLOOKUP(C1295,'Preguntas de negocio'!$C$114:$C$119,'Preguntas de negocio'!$D$114:$D$119,0)</f>
        <v>5</v>
      </c>
      <c r="AB1295" s="55">
        <f>VLOOKUP(C1295,'Preguntas de negocio'!$C$121:$D$127,2,FALSE)</f>
        <v>1.1000000000000001</v>
      </c>
    </row>
    <row r="1296" spans="1:28" x14ac:dyDescent="0.3">
      <c r="A1296" s="1">
        <v>45863</v>
      </c>
      <c r="B1296" s="2" t="s">
        <v>2629</v>
      </c>
      <c r="C1296" s="2" t="s">
        <v>2541</v>
      </c>
      <c r="D1296" s="2" t="s">
        <v>2525</v>
      </c>
      <c r="E1296" s="2" t="s">
        <v>2517</v>
      </c>
      <c r="F1296" s="3">
        <v>174982</v>
      </c>
      <c r="G1296" s="3">
        <v>5102</v>
      </c>
      <c r="H1296" s="3">
        <v>27</v>
      </c>
      <c r="I1296" s="4">
        <v>7234.6</v>
      </c>
      <c r="J1296" s="4">
        <v>2276.87</v>
      </c>
      <c r="K1296" s="3">
        <v>14</v>
      </c>
      <c r="L1296" s="2" t="s">
        <v>2523</v>
      </c>
      <c r="M1296" s="2" t="s">
        <v>2546</v>
      </c>
      <c r="N1296" s="8">
        <f>IFERROR(G1296/F1296,0)</f>
        <v>2.9157284749288498E-2</v>
      </c>
      <c r="O1296" s="8">
        <f>IFERROR(H1296/G1296,0)</f>
        <v>5.2920423363386907E-3</v>
      </c>
      <c r="P1296" s="4">
        <f>IFERROR(I1296/G1296,0)</f>
        <v>1.4179929439435517</v>
      </c>
      <c r="Q1296" s="4">
        <f>IFERROR(I1296/H1296,0)</f>
        <v>267.94814814814816</v>
      </c>
      <c r="R1296" s="12">
        <f>IFERROR(J1296/I1296,0)</f>
        <v>0.31471954219998338</v>
      </c>
      <c r="S1296" s="7">
        <f>Tabla_nuevas_columnas[[#This Row],[ROAS]]</f>
        <v>0.31471954219998338</v>
      </c>
      <c r="T1296" t="str">
        <f>_xlfn.CONCAT(C1296,"-",D1296)</f>
        <v>Display-Francia</v>
      </c>
      <c r="U1296">
        <f>YEAR(A1296)</f>
        <v>2025</v>
      </c>
      <c r="V1296">
        <f>MONTH(A1296)</f>
        <v>7</v>
      </c>
      <c r="W1296" t="str">
        <f>PROPER(TEXT(A1296,"mmmm"))</f>
        <v>Julio</v>
      </c>
      <c r="X1296" t="str">
        <f>PROPER(TEXT(A1296,"dddd"))</f>
        <v>Viernes</v>
      </c>
      <c r="Y1296" t="str" cm="1">
        <f t="array" ref="Y1296">_xlfn.IFS(R1296&gt;10,"Excelente",R1296&gt;=5,"Bueno",R1296&gt;=2,"Débil",R1296&lt;2,"Deficiente")</f>
        <v>Deficiente</v>
      </c>
      <c r="Z1296" t="str">
        <f>IF(AND(R1296&lt;2,Q1296&gt;=100),"Revisar","OK")</f>
        <v>Revisar</v>
      </c>
      <c r="AA1296" s="55">
        <f>_xlfn.XLOOKUP(C1296,'Preguntas de negocio'!$C$114:$C$119,'Preguntas de negocio'!$D$114:$D$119,0)</f>
        <v>5</v>
      </c>
      <c r="AB1296" s="55">
        <f>VLOOKUP(C1296,'Preguntas de negocio'!$C$121:$D$127,2,FALSE)</f>
        <v>0.5</v>
      </c>
    </row>
    <row r="1297" spans="1:28" x14ac:dyDescent="0.3">
      <c r="A1297" s="1">
        <v>45936</v>
      </c>
      <c r="B1297" s="2" t="s">
        <v>2631</v>
      </c>
      <c r="C1297" s="2" t="s">
        <v>2533</v>
      </c>
      <c r="D1297" s="2" t="s">
        <v>2525</v>
      </c>
      <c r="E1297" s="2" t="s">
        <v>2517</v>
      </c>
      <c r="F1297" s="3">
        <v>85980</v>
      </c>
      <c r="G1297" s="3">
        <v>6196</v>
      </c>
      <c r="H1297" s="3">
        <v>529</v>
      </c>
      <c r="I1297" s="4">
        <v>6870.76</v>
      </c>
      <c r="J1297" s="4">
        <v>21937.59</v>
      </c>
      <c r="K1297" s="3">
        <v>394</v>
      </c>
      <c r="L1297" s="2" t="s">
        <v>2523</v>
      </c>
      <c r="M1297" s="2" t="s">
        <v>2526</v>
      </c>
      <c r="N1297" s="8">
        <f>IFERROR(G1297/F1297,0)</f>
        <v>7.2063270528029771E-2</v>
      </c>
      <c r="O1297" s="8">
        <f>IFERROR(H1297/G1297,0)</f>
        <v>8.5377663008392515E-2</v>
      </c>
      <c r="P1297" s="4">
        <f>IFERROR(I1297/G1297,0)</f>
        <v>1.1089025177533893</v>
      </c>
      <c r="Q1297" s="4">
        <f>IFERROR(I1297/H1297,0)</f>
        <v>12.98820415879017</v>
      </c>
      <c r="R1297" s="12">
        <f>IFERROR(J1297/I1297,0)</f>
        <v>3.1928913249771496</v>
      </c>
      <c r="S1297" s="7">
        <f>Tabla_nuevas_columnas[[#This Row],[ROAS]]</f>
        <v>3.1928913249771496</v>
      </c>
      <c r="T1297" t="str">
        <f>_xlfn.CONCAT(C1297,"-",D1297)</f>
        <v>Paid Social-Francia</v>
      </c>
      <c r="U1297">
        <f>YEAR(A1297)</f>
        <v>2025</v>
      </c>
      <c r="V1297">
        <f>MONTH(A1297)</f>
        <v>10</v>
      </c>
      <c r="W1297" t="str">
        <f>PROPER(TEXT(A1297,"mmmm"))</f>
        <v>Octubre</v>
      </c>
      <c r="X1297" t="str">
        <f>PROPER(TEXT(A1297,"dddd"))</f>
        <v>Lunes</v>
      </c>
      <c r="Y1297" t="str" cm="1">
        <f t="array" ref="Y1297">_xlfn.IFS(R1297&gt;10,"Excelente",R1297&gt;=5,"Bueno",R1297&gt;=2,"Débil",R1297&lt;2,"Deficiente")</f>
        <v>Débil</v>
      </c>
      <c r="Z1297" t="str">
        <f>IF(AND(R1297&lt;2,Q1297&gt;=100),"Revisar","OK")</f>
        <v>OK</v>
      </c>
      <c r="AA1297" s="55">
        <f>_xlfn.XLOOKUP(C1297,'Preguntas de negocio'!$C$114:$C$119,'Preguntas de negocio'!$D$114:$D$119,0)</f>
        <v>6</v>
      </c>
      <c r="AB1297" s="55">
        <f>VLOOKUP(C1297,'Preguntas de negocio'!$C$121:$D$127,2,FALSE)</f>
        <v>0.8</v>
      </c>
    </row>
    <row r="1298" spans="1:28" x14ac:dyDescent="0.3">
      <c r="A1298" s="1">
        <v>45666</v>
      </c>
      <c r="B1298" s="2" t="s">
        <v>2623</v>
      </c>
      <c r="C1298" s="2" t="s">
        <v>2543</v>
      </c>
      <c r="D1298" s="2" t="s">
        <v>2528</v>
      </c>
      <c r="E1298" s="2" t="s">
        <v>2529</v>
      </c>
      <c r="F1298" s="3">
        <v>131260</v>
      </c>
      <c r="G1298" s="3">
        <v>7604</v>
      </c>
      <c r="H1298" s="3">
        <v>247</v>
      </c>
      <c r="I1298" s="4">
        <v>15793.87</v>
      </c>
      <c r="J1298" s="4">
        <v>39228.879999999997</v>
      </c>
      <c r="K1298" s="3">
        <v>141</v>
      </c>
      <c r="L1298" s="2" t="s">
        <v>2523</v>
      </c>
      <c r="M1298" s="2" t="s">
        <v>2546</v>
      </c>
      <c r="N1298" s="8">
        <f>IFERROR(G1298/F1298,0)</f>
        <v>5.7930824318147188E-2</v>
      </c>
      <c r="O1298" s="8">
        <f>IFERROR(H1298/G1298,0)</f>
        <v>3.2482903734876382E-2</v>
      </c>
      <c r="P1298" s="4">
        <f>IFERROR(I1298/G1298,0)</f>
        <v>2.0770476065228829</v>
      </c>
      <c r="Q1298" s="4">
        <f>IFERROR(I1298/H1298,0)</f>
        <v>63.942793522267209</v>
      </c>
      <c r="R1298" s="12">
        <f>IFERROR(J1298/I1298,0)</f>
        <v>2.4838041594618669</v>
      </c>
      <c r="S1298" s="7">
        <f>Tabla_nuevas_columnas[[#This Row],[ROAS]]</f>
        <v>2.4838041594618669</v>
      </c>
      <c r="T1298" t="str">
        <f>_xlfn.CONCAT(C1298,"-",D1298)</f>
        <v>Organic Social-España</v>
      </c>
      <c r="U1298">
        <f>YEAR(A1298)</f>
        <v>2025</v>
      </c>
      <c r="V1298">
        <f>MONTH(A1298)</f>
        <v>1</v>
      </c>
      <c r="W1298" t="str">
        <f>PROPER(TEXT(A1298,"mmmm"))</f>
        <v>Enero</v>
      </c>
      <c r="X1298" t="str">
        <f>PROPER(TEXT(A1298,"dddd"))</f>
        <v>Jueves</v>
      </c>
      <c r="Y1298" t="str" cm="1">
        <f t="array" ref="Y1298">_xlfn.IFS(R1298&gt;10,"Excelente",R1298&gt;=5,"Bueno",R1298&gt;=2,"Débil",R1298&lt;2,"Deficiente")</f>
        <v>Débil</v>
      </c>
      <c r="Z1298" t="str">
        <f>IF(AND(R1298&lt;2,Q1298&gt;=100),"Revisar","OK")</f>
        <v>OK</v>
      </c>
      <c r="AA1298" s="55">
        <f>_xlfn.XLOOKUP(C1298,'Preguntas de negocio'!$C$114:$C$119,'Preguntas de negocio'!$D$114:$D$119,0)</f>
        <v>4</v>
      </c>
      <c r="AB1298" s="55">
        <f>VLOOKUP(C1298,'Preguntas de negocio'!$C$121:$D$127,2,FALSE)</f>
        <v>0.95</v>
      </c>
    </row>
    <row r="1299" spans="1:28" x14ac:dyDescent="0.3">
      <c r="A1299" s="1">
        <v>45665</v>
      </c>
      <c r="B1299" s="2" t="s">
        <v>2626</v>
      </c>
      <c r="C1299" s="2" t="s">
        <v>2541</v>
      </c>
      <c r="D1299" s="2" t="s">
        <v>2516</v>
      </c>
      <c r="E1299" s="2" t="s">
        <v>2529</v>
      </c>
      <c r="F1299" s="3">
        <v>146805</v>
      </c>
      <c r="G1299" s="3">
        <v>3775</v>
      </c>
      <c r="H1299" s="3">
        <v>356</v>
      </c>
      <c r="I1299" s="4">
        <v>1379.74</v>
      </c>
      <c r="J1299" s="4">
        <v>57735.37</v>
      </c>
      <c r="K1299" s="3">
        <v>184</v>
      </c>
      <c r="L1299" s="2" t="s">
        <v>2539</v>
      </c>
      <c r="M1299" s="2" t="s">
        <v>2519</v>
      </c>
      <c r="N1299" s="8">
        <f>IFERROR(G1299/F1299,0)</f>
        <v>2.5714383025101324E-2</v>
      </c>
      <c r="O1299" s="8">
        <f>IFERROR(H1299/G1299,0)</f>
        <v>9.43046357615894E-2</v>
      </c>
      <c r="P1299" s="4">
        <f>IFERROR(I1299/G1299,0)</f>
        <v>0.36549403973509936</v>
      </c>
      <c r="Q1299" s="4">
        <f>IFERROR(I1299/H1299,0)</f>
        <v>3.8756741573033708</v>
      </c>
      <c r="R1299" s="12">
        <f>IFERROR(J1299/I1299,0)</f>
        <v>41.845108498702658</v>
      </c>
      <c r="S1299" s="7">
        <f>Tabla_nuevas_columnas[[#This Row],[ROAS]]</f>
        <v>41.845108498702658</v>
      </c>
      <c r="T1299" t="str">
        <f>_xlfn.CONCAT(C1299,"-",D1299)</f>
        <v>Display-México</v>
      </c>
      <c r="U1299">
        <f>YEAR(A1299)</f>
        <v>2025</v>
      </c>
      <c r="V1299">
        <f>MONTH(A1299)</f>
        <v>1</v>
      </c>
      <c r="W1299" t="str">
        <f>PROPER(TEXT(A1299,"mmmm"))</f>
        <v>Enero</v>
      </c>
      <c r="X1299" t="str">
        <f>PROPER(TEXT(A1299,"dddd"))</f>
        <v>Miércoles</v>
      </c>
      <c r="Y1299" t="str" cm="1">
        <f t="array" ref="Y1299">_xlfn.IFS(R1299&gt;10,"Excelente",R1299&gt;=5,"Bueno",R1299&gt;=2,"Débil",R1299&lt;2,"Deficiente")</f>
        <v>Excelente</v>
      </c>
      <c r="Z1299" t="str">
        <f>IF(AND(R1299&lt;2,Q1299&gt;=100),"Revisar","OK")</f>
        <v>OK</v>
      </c>
      <c r="AA1299" s="55">
        <f>_xlfn.XLOOKUP(C1299,'Preguntas de negocio'!$C$114:$C$119,'Preguntas de negocio'!$D$114:$D$119,0)</f>
        <v>5</v>
      </c>
      <c r="AB1299" s="55">
        <f>VLOOKUP(C1299,'Preguntas de negocio'!$C$121:$D$127,2,FALSE)</f>
        <v>0.5</v>
      </c>
    </row>
    <row r="1300" spans="1:28" x14ac:dyDescent="0.3">
      <c r="A1300" s="1">
        <v>45998</v>
      </c>
      <c r="B1300" s="2" t="s">
        <v>2625</v>
      </c>
      <c r="C1300" s="2" t="s">
        <v>2543</v>
      </c>
      <c r="D1300" s="2" t="s">
        <v>2531</v>
      </c>
      <c r="E1300" s="2" t="s">
        <v>2529</v>
      </c>
      <c r="F1300" s="3">
        <v>26291</v>
      </c>
      <c r="G1300" s="3">
        <v>1134</v>
      </c>
      <c r="H1300" s="3">
        <v>110</v>
      </c>
      <c r="I1300" s="4">
        <v>351.97</v>
      </c>
      <c r="J1300" s="4">
        <v>20155.89</v>
      </c>
      <c r="K1300" s="3">
        <v>56</v>
      </c>
      <c r="L1300" s="2" t="s">
        <v>2539</v>
      </c>
      <c r="M1300" s="2" t="s">
        <v>2524</v>
      </c>
      <c r="N1300" s="8">
        <f>IFERROR(G1300/F1300,0)</f>
        <v>4.3132630938343922E-2</v>
      </c>
      <c r="O1300" s="8">
        <f>IFERROR(H1300/G1300,0)</f>
        <v>9.700176366843033E-2</v>
      </c>
      <c r="P1300" s="4">
        <f>IFERROR(I1300/G1300,0)</f>
        <v>0.31037918871252207</v>
      </c>
      <c r="Q1300" s="4">
        <f>IFERROR(I1300/H1300,0)</f>
        <v>3.199727272727273</v>
      </c>
      <c r="R1300" s="12">
        <f>IFERROR(J1300/I1300,0)</f>
        <v>57.265931755547342</v>
      </c>
      <c r="S1300" s="7">
        <f>Tabla_nuevas_columnas[[#This Row],[ROAS]]</f>
        <v>57.265931755547342</v>
      </c>
      <c r="T1300" t="str">
        <f>_xlfn.CONCAT(C1300,"-",D1300)</f>
        <v>Organic Social-Portugal</v>
      </c>
      <c r="U1300">
        <f>YEAR(A1300)</f>
        <v>2025</v>
      </c>
      <c r="V1300">
        <f>MONTH(A1300)</f>
        <v>12</v>
      </c>
      <c r="W1300" t="str">
        <f>PROPER(TEXT(A1300,"mmmm"))</f>
        <v>Diciembre</v>
      </c>
      <c r="X1300" t="str">
        <f>PROPER(TEXT(A1300,"dddd"))</f>
        <v>Domingo</v>
      </c>
      <c r="Y1300" t="str" cm="1">
        <f t="array" ref="Y1300">_xlfn.IFS(R1300&gt;10,"Excelente",R1300&gt;=5,"Bueno",R1300&gt;=2,"Débil",R1300&lt;2,"Deficiente")</f>
        <v>Excelente</v>
      </c>
      <c r="Z1300" t="str">
        <f>IF(AND(R1300&lt;2,Q1300&gt;=100),"Revisar","OK")</f>
        <v>OK</v>
      </c>
      <c r="AA1300" s="55">
        <f>_xlfn.XLOOKUP(C1300,'Preguntas de negocio'!$C$114:$C$119,'Preguntas de negocio'!$D$114:$D$119,0)</f>
        <v>4</v>
      </c>
      <c r="AB1300" s="55">
        <f>VLOOKUP(C1300,'Preguntas de negocio'!$C$121:$D$127,2,FALSE)</f>
        <v>0.95</v>
      </c>
    </row>
    <row r="1301" spans="1:28" x14ac:dyDescent="0.3">
      <c r="A1301" s="1">
        <v>45953</v>
      </c>
      <c r="B1301" s="2" t="s">
        <v>2632</v>
      </c>
      <c r="C1301" s="2" t="s">
        <v>2541</v>
      </c>
      <c r="D1301" s="2" t="s">
        <v>2528</v>
      </c>
      <c r="E1301" s="2" t="s">
        <v>2517</v>
      </c>
      <c r="F1301" s="3">
        <v>35678</v>
      </c>
      <c r="G1301" s="3">
        <v>1657</v>
      </c>
      <c r="H1301" s="3">
        <v>220</v>
      </c>
      <c r="I1301" s="4">
        <v>2495.14</v>
      </c>
      <c r="J1301" s="4">
        <v>24232.99</v>
      </c>
      <c r="K1301" s="3">
        <v>126</v>
      </c>
      <c r="L1301" s="2" t="s">
        <v>2536</v>
      </c>
      <c r="M1301" s="2" t="s">
        <v>2546</v>
      </c>
      <c r="N1301" s="8">
        <f>IFERROR(G1301/F1301,0)</f>
        <v>4.6443186277257693E-2</v>
      </c>
      <c r="O1301" s="8">
        <f>IFERROR(H1301/G1301,0)</f>
        <v>0.13277006638503319</v>
      </c>
      <c r="P1301" s="4">
        <f>IFERROR(I1301/G1301,0)</f>
        <v>1.5058177429088713</v>
      </c>
      <c r="Q1301" s="4">
        <f>IFERROR(I1301/H1301,0)</f>
        <v>11.341545454545454</v>
      </c>
      <c r="R1301" s="12">
        <f>IFERROR(J1301/I1301,0)</f>
        <v>9.7120762762810919</v>
      </c>
      <c r="S1301" s="7">
        <f>Tabla_nuevas_columnas[[#This Row],[ROAS]]</f>
        <v>9.7120762762810919</v>
      </c>
      <c r="T1301" t="str">
        <f>_xlfn.CONCAT(C1301,"-",D1301)</f>
        <v>Display-España</v>
      </c>
      <c r="U1301">
        <f>YEAR(A1301)</f>
        <v>2025</v>
      </c>
      <c r="V1301">
        <f>MONTH(A1301)</f>
        <v>10</v>
      </c>
      <c r="W1301" t="str">
        <f>PROPER(TEXT(A1301,"mmmm"))</f>
        <v>Octubre</v>
      </c>
      <c r="X1301" t="str">
        <f>PROPER(TEXT(A1301,"dddd"))</f>
        <v>Jueves</v>
      </c>
      <c r="Y1301" t="str" cm="1">
        <f t="array" ref="Y1301">_xlfn.IFS(R1301&gt;10,"Excelente",R1301&gt;=5,"Bueno",R1301&gt;=2,"Débil",R1301&lt;2,"Deficiente")</f>
        <v>Bueno</v>
      </c>
      <c r="Z1301" t="str">
        <f>IF(AND(R1301&lt;2,Q1301&gt;=100),"Revisar","OK")</f>
        <v>OK</v>
      </c>
      <c r="AA1301" s="55">
        <f>_xlfn.XLOOKUP(C1301,'Preguntas de negocio'!$C$114:$C$119,'Preguntas de negocio'!$D$114:$D$119,0)</f>
        <v>5</v>
      </c>
      <c r="AB1301" s="55">
        <f>VLOOKUP(C1301,'Preguntas de negocio'!$C$121:$D$127,2,FALSE)</f>
        <v>0.5</v>
      </c>
    </row>
    <row r="1302" spans="1:28" x14ac:dyDescent="0.3">
      <c r="A1302" s="1">
        <v>45964</v>
      </c>
      <c r="B1302" s="2" t="s">
        <v>2628</v>
      </c>
      <c r="C1302" s="2" t="s">
        <v>2533</v>
      </c>
      <c r="D1302" s="2" t="s">
        <v>2528</v>
      </c>
      <c r="E1302" s="2" t="s">
        <v>2529</v>
      </c>
      <c r="F1302" s="3">
        <v>135977</v>
      </c>
      <c r="G1302" s="3">
        <v>6918</v>
      </c>
      <c r="H1302" s="3">
        <v>483</v>
      </c>
      <c r="I1302" s="4">
        <v>8393.9699999999993</v>
      </c>
      <c r="J1302" s="4">
        <v>33461.629999999997</v>
      </c>
      <c r="K1302" s="3">
        <v>360</v>
      </c>
      <c r="L1302" s="2" t="s">
        <v>2518</v>
      </c>
      <c r="M1302" s="2" t="s">
        <v>2524</v>
      </c>
      <c r="N1302" s="8">
        <f>IFERROR(G1302/F1302,0)</f>
        <v>5.087625113070593E-2</v>
      </c>
      <c r="O1302" s="8">
        <f>IFERROR(H1302/G1302,0)</f>
        <v>6.9817866435385956E-2</v>
      </c>
      <c r="P1302" s="4">
        <f>IFERROR(I1302/G1302,0)</f>
        <v>1.2133521248915871</v>
      </c>
      <c r="Q1302" s="4">
        <f>IFERROR(I1302/H1302,0)</f>
        <v>17.378819875776397</v>
      </c>
      <c r="R1302" s="12">
        <f>IFERROR(J1302/I1302,0)</f>
        <v>3.9863890387980896</v>
      </c>
      <c r="S1302" s="7">
        <f>Tabla_nuevas_columnas[[#This Row],[ROAS]]</f>
        <v>3.9863890387980896</v>
      </c>
      <c r="T1302" t="str">
        <f>_xlfn.CONCAT(C1302,"-",D1302)</f>
        <v>Paid Social-España</v>
      </c>
      <c r="U1302">
        <f>YEAR(A1302)</f>
        <v>2025</v>
      </c>
      <c r="V1302">
        <f>MONTH(A1302)</f>
        <v>11</v>
      </c>
      <c r="W1302" t="str">
        <f>PROPER(TEXT(A1302,"mmmm"))</f>
        <v>Noviembre</v>
      </c>
      <c r="X1302" t="str">
        <f>PROPER(TEXT(A1302,"dddd"))</f>
        <v>Lunes</v>
      </c>
      <c r="Y1302" t="str" cm="1">
        <f t="array" ref="Y1302">_xlfn.IFS(R1302&gt;10,"Excelente",R1302&gt;=5,"Bueno",R1302&gt;=2,"Débil",R1302&lt;2,"Deficiente")</f>
        <v>Débil</v>
      </c>
      <c r="Z1302" t="str">
        <f>IF(AND(R1302&lt;2,Q1302&gt;=100),"Revisar","OK")</f>
        <v>OK</v>
      </c>
      <c r="AA1302" s="55">
        <f>_xlfn.XLOOKUP(C1302,'Preguntas de negocio'!$C$114:$C$119,'Preguntas de negocio'!$D$114:$D$119,0)</f>
        <v>6</v>
      </c>
      <c r="AB1302" s="55">
        <f>VLOOKUP(C1302,'Preguntas de negocio'!$C$121:$D$127,2,FALSE)</f>
        <v>0.8</v>
      </c>
    </row>
    <row r="1303" spans="1:28" x14ac:dyDescent="0.3">
      <c r="A1303" s="1">
        <v>45690</v>
      </c>
      <c r="B1303" s="2" t="s">
        <v>2616</v>
      </c>
      <c r="C1303" s="2" t="s">
        <v>2541</v>
      </c>
      <c r="D1303" s="2" t="s">
        <v>2528</v>
      </c>
      <c r="E1303" s="2" t="s">
        <v>2517</v>
      </c>
      <c r="F1303" s="3">
        <v>26955</v>
      </c>
      <c r="G1303" s="3">
        <v>945</v>
      </c>
      <c r="H1303" s="3">
        <v>122</v>
      </c>
      <c r="I1303" s="4">
        <v>1383.05</v>
      </c>
      <c r="J1303" s="4">
        <v>18597.46</v>
      </c>
      <c r="K1303" s="3">
        <v>105</v>
      </c>
      <c r="L1303" s="2" t="s">
        <v>2523</v>
      </c>
      <c r="M1303" s="2" t="s">
        <v>2524</v>
      </c>
      <c r="N1303" s="8">
        <f>IFERROR(G1303/F1303,0)</f>
        <v>3.5058430717863104E-2</v>
      </c>
      <c r="O1303" s="8">
        <f>IFERROR(H1303/G1303,0)</f>
        <v>0.1291005291005291</v>
      </c>
      <c r="P1303" s="4">
        <f>IFERROR(I1303/G1303,0)</f>
        <v>1.4635449735449735</v>
      </c>
      <c r="Q1303" s="4">
        <f>IFERROR(I1303/H1303,0)</f>
        <v>11.336475409836066</v>
      </c>
      <c r="R1303" s="12">
        <f>IFERROR(J1303/I1303,0)</f>
        <v>13.446701131557067</v>
      </c>
      <c r="S1303" s="7">
        <f>Tabla_nuevas_columnas[[#This Row],[ROAS]]</f>
        <v>13.446701131557067</v>
      </c>
      <c r="T1303" t="str">
        <f>_xlfn.CONCAT(C1303,"-",D1303)</f>
        <v>Display-España</v>
      </c>
      <c r="U1303">
        <f>YEAR(A1303)</f>
        <v>2025</v>
      </c>
      <c r="V1303">
        <f>MONTH(A1303)</f>
        <v>2</v>
      </c>
      <c r="W1303" t="str">
        <f>PROPER(TEXT(A1303,"mmmm"))</f>
        <v>Febrero</v>
      </c>
      <c r="X1303" t="str">
        <f>PROPER(TEXT(A1303,"dddd"))</f>
        <v>Domingo</v>
      </c>
      <c r="Y1303" t="str" cm="1">
        <f t="array" ref="Y1303">_xlfn.IFS(R1303&gt;10,"Excelente",R1303&gt;=5,"Bueno",R1303&gt;=2,"Débil",R1303&lt;2,"Deficiente")</f>
        <v>Excelente</v>
      </c>
      <c r="Z1303" t="str">
        <f>IF(AND(R1303&lt;2,Q1303&gt;=100),"Revisar","OK")</f>
        <v>OK</v>
      </c>
      <c r="AA1303" s="55">
        <f>_xlfn.XLOOKUP(C1303,'Preguntas de negocio'!$C$114:$C$119,'Preguntas de negocio'!$D$114:$D$119,0)</f>
        <v>5</v>
      </c>
      <c r="AB1303" s="55">
        <f>VLOOKUP(C1303,'Preguntas de negocio'!$C$121:$D$127,2,FALSE)</f>
        <v>0.5</v>
      </c>
    </row>
    <row r="1304" spans="1:28" x14ac:dyDescent="0.3">
      <c r="A1304" s="1">
        <v>45812</v>
      </c>
      <c r="B1304" s="2" t="s">
        <v>2637</v>
      </c>
      <c r="C1304" s="2" t="s">
        <v>2543</v>
      </c>
      <c r="D1304" s="2" t="s">
        <v>2528</v>
      </c>
      <c r="E1304" s="2" t="s">
        <v>2517</v>
      </c>
      <c r="F1304" s="3">
        <v>165607</v>
      </c>
      <c r="G1304" s="3">
        <v>2819</v>
      </c>
      <c r="H1304" s="3">
        <v>113</v>
      </c>
      <c r="I1304" s="4">
        <v>2051.6999999999998</v>
      </c>
      <c r="J1304" s="4">
        <v>6591.24</v>
      </c>
      <c r="K1304" s="3">
        <v>87</v>
      </c>
      <c r="L1304" s="2" t="s">
        <v>2536</v>
      </c>
      <c r="M1304" s="2" t="s">
        <v>2524</v>
      </c>
      <c r="N1304" s="8">
        <f>IFERROR(G1304/F1304,0)</f>
        <v>1.7022227321308883E-2</v>
      </c>
      <c r="O1304" s="8">
        <f>IFERROR(H1304/G1304,0)</f>
        <v>4.0085136573252925E-2</v>
      </c>
      <c r="P1304" s="4">
        <f>IFERROR(I1304/G1304,0)</f>
        <v>0.7278112805959559</v>
      </c>
      <c r="Q1304" s="4">
        <f>IFERROR(I1304/H1304,0)</f>
        <v>18.156637168141593</v>
      </c>
      <c r="R1304" s="12">
        <f>IFERROR(J1304/I1304,0)</f>
        <v>3.2125749378564121</v>
      </c>
      <c r="S1304" s="7">
        <f>Tabla_nuevas_columnas[[#This Row],[ROAS]]</f>
        <v>3.2125749378564121</v>
      </c>
      <c r="T1304" t="str">
        <f>_xlfn.CONCAT(C1304,"-",D1304)</f>
        <v>Organic Social-España</v>
      </c>
      <c r="U1304">
        <f>YEAR(A1304)</f>
        <v>2025</v>
      </c>
      <c r="V1304">
        <f>MONTH(A1304)</f>
        <v>6</v>
      </c>
      <c r="W1304" t="str">
        <f>PROPER(TEXT(A1304,"mmmm"))</f>
        <v>Junio</v>
      </c>
      <c r="X1304" t="str">
        <f>PROPER(TEXT(A1304,"dddd"))</f>
        <v>Miércoles</v>
      </c>
      <c r="Y1304" t="str" cm="1">
        <f t="array" ref="Y1304">_xlfn.IFS(R1304&gt;10,"Excelente",R1304&gt;=5,"Bueno",R1304&gt;=2,"Débil",R1304&lt;2,"Deficiente")</f>
        <v>Débil</v>
      </c>
      <c r="Z1304" t="str">
        <f>IF(AND(R1304&lt;2,Q1304&gt;=100),"Revisar","OK")</f>
        <v>OK</v>
      </c>
      <c r="AA1304" s="55">
        <f>_xlfn.XLOOKUP(C1304,'Preguntas de negocio'!$C$114:$C$119,'Preguntas de negocio'!$D$114:$D$119,0)</f>
        <v>4</v>
      </c>
      <c r="AB1304" s="55">
        <f>VLOOKUP(C1304,'Preguntas de negocio'!$C$121:$D$127,2,FALSE)</f>
        <v>0.95</v>
      </c>
    </row>
    <row r="1305" spans="1:28" x14ac:dyDescent="0.3">
      <c r="A1305" s="1">
        <v>45794</v>
      </c>
      <c r="B1305" s="2" t="s">
        <v>2624</v>
      </c>
      <c r="C1305" s="2" t="s">
        <v>2515</v>
      </c>
      <c r="D1305" s="2" t="s">
        <v>2528</v>
      </c>
      <c r="E1305" s="2" t="s">
        <v>2534</v>
      </c>
      <c r="F1305" s="3">
        <v>37170</v>
      </c>
      <c r="G1305" s="3">
        <v>1498</v>
      </c>
      <c r="H1305" s="3">
        <v>105</v>
      </c>
      <c r="I1305" s="4">
        <v>1865.23</v>
      </c>
      <c r="J1305" s="4">
        <v>17967.7</v>
      </c>
      <c r="K1305" s="3">
        <v>58</v>
      </c>
      <c r="L1305" s="2" t="s">
        <v>2518</v>
      </c>
      <c r="M1305" s="2" t="s">
        <v>2537</v>
      </c>
      <c r="N1305" s="8">
        <f>IFERROR(G1305/F1305,0)</f>
        <v>4.0301318267419964E-2</v>
      </c>
      <c r="O1305" s="8">
        <f>IFERROR(H1305/G1305,0)</f>
        <v>7.0093457943925228E-2</v>
      </c>
      <c r="P1305" s="4">
        <f>IFERROR(I1305/G1305,0)</f>
        <v>1.2451468624833111</v>
      </c>
      <c r="Q1305" s="4">
        <f>IFERROR(I1305/H1305,0)</f>
        <v>17.764095238095237</v>
      </c>
      <c r="R1305" s="12">
        <f>IFERROR(J1305/I1305,0)</f>
        <v>9.6329675160704049</v>
      </c>
      <c r="S1305" s="7">
        <f>Tabla_nuevas_columnas[[#This Row],[ROAS]]</f>
        <v>9.6329675160704049</v>
      </c>
      <c r="T1305" t="str">
        <f>_xlfn.CONCAT(C1305,"-",D1305)</f>
        <v>Email-España</v>
      </c>
      <c r="U1305">
        <f>YEAR(A1305)</f>
        <v>2025</v>
      </c>
      <c r="V1305">
        <f>MONTH(A1305)</f>
        <v>5</v>
      </c>
      <c r="W1305" t="str">
        <f>PROPER(TEXT(A1305,"mmmm"))</f>
        <v>Mayo</v>
      </c>
      <c r="X1305" t="str">
        <f>PROPER(TEXT(A1305,"dddd"))</f>
        <v>Sábado</v>
      </c>
      <c r="Y1305" t="str" cm="1">
        <f t="array" ref="Y1305">_xlfn.IFS(R1305&gt;10,"Excelente",R1305&gt;=5,"Bueno",R1305&gt;=2,"Débil",R1305&lt;2,"Deficiente")</f>
        <v>Bueno</v>
      </c>
      <c r="Z1305" t="str">
        <f>IF(AND(R1305&lt;2,Q1305&gt;=100),"Revisar","OK")</f>
        <v>OK</v>
      </c>
      <c r="AA1305" s="55">
        <f>_xlfn.XLOOKUP(C1305,'Preguntas de negocio'!$C$114:$C$119,'Preguntas de negocio'!$D$114:$D$119,0)</f>
        <v>5.5</v>
      </c>
      <c r="AB1305" s="55">
        <f>VLOOKUP(C1305,'Preguntas de negocio'!$C$121:$D$127,2,FALSE)</f>
        <v>0.65</v>
      </c>
    </row>
    <row r="1306" spans="1:28" x14ac:dyDescent="0.3">
      <c r="A1306" s="1">
        <v>45954</v>
      </c>
      <c r="B1306" s="2" t="s">
        <v>2626</v>
      </c>
      <c r="C1306" s="2" t="s">
        <v>2533</v>
      </c>
      <c r="D1306" s="2" t="s">
        <v>2528</v>
      </c>
      <c r="E1306" s="2" t="s">
        <v>2517</v>
      </c>
      <c r="F1306" s="3">
        <v>69035</v>
      </c>
      <c r="G1306" s="3">
        <v>5031</v>
      </c>
      <c r="H1306" s="3">
        <v>181</v>
      </c>
      <c r="I1306" s="4">
        <v>6326.89</v>
      </c>
      <c r="J1306" s="4">
        <v>32771.72</v>
      </c>
      <c r="K1306" s="3">
        <v>161</v>
      </c>
      <c r="L1306" s="2" t="s">
        <v>2523</v>
      </c>
      <c r="M1306" s="2" t="s">
        <v>2519</v>
      </c>
      <c r="N1306" s="8">
        <f>IFERROR(G1306/F1306,0)</f>
        <v>7.2876077352067789E-2</v>
      </c>
      <c r="O1306" s="8">
        <f>IFERROR(H1306/G1306,0)</f>
        <v>3.5976942953687141E-2</v>
      </c>
      <c r="P1306" s="4">
        <f>IFERROR(I1306/G1306,0)</f>
        <v>1.2575809978135559</v>
      </c>
      <c r="Q1306" s="4">
        <f>IFERROR(I1306/H1306,0)</f>
        <v>34.955193370165745</v>
      </c>
      <c r="R1306" s="12">
        <f>IFERROR(J1306/I1306,0)</f>
        <v>5.1797518211949312</v>
      </c>
      <c r="S1306" s="7">
        <f>Tabla_nuevas_columnas[[#This Row],[ROAS]]</f>
        <v>5.1797518211949312</v>
      </c>
      <c r="T1306" t="str">
        <f>_xlfn.CONCAT(C1306,"-",D1306)</f>
        <v>Paid Social-España</v>
      </c>
      <c r="U1306">
        <f>YEAR(A1306)</f>
        <v>2025</v>
      </c>
      <c r="V1306">
        <f>MONTH(A1306)</f>
        <v>10</v>
      </c>
      <c r="W1306" t="str">
        <f>PROPER(TEXT(A1306,"mmmm"))</f>
        <v>Octubre</v>
      </c>
      <c r="X1306" t="str">
        <f>PROPER(TEXT(A1306,"dddd"))</f>
        <v>Viernes</v>
      </c>
      <c r="Y1306" t="str" cm="1">
        <f t="array" ref="Y1306">_xlfn.IFS(R1306&gt;10,"Excelente",R1306&gt;=5,"Bueno",R1306&gt;=2,"Débil",R1306&lt;2,"Deficiente")</f>
        <v>Bueno</v>
      </c>
      <c r="Z1306" t="str">
        <f>IF(AND(R1306&lt;2,Q1306&gt;=100),"Revisar","OK")</f>
        <v>OK</v>
      </c>
      <c r="AA1306" s="55">
        <f>_xlfn.XLOOKUP(C1306,'Preguntas de negocio'!$C$114:$C$119,'Preguntas de negocio'!$D$114:$D$119,0)</f>
        <v>6</v>
      </c>
      <c r="AB1306" s="55">
        <f>VLOOKUP(C1306,'Preguntas de negocio'!$C$121:$D$127,2,FALSE)</f>
        <v>0.8</v>
      </c>
    </row>
    <row r="1307" spans="1:28" x14ac:dyDescent="0.3">
      <c r="A1307" s="1">
        <v>45872</v>
      </c>
      <c r="B1307" s="2" t="s">
        <v>2616</v>
      </c>
      <c r="C1307" s="2" t="s">
        <v>2527</v>
      </c>
      <c r="D1307" s="2" t="s">
        <v>2528</v>
      </c>
      <c r="E1307" s="2" t="s">
        <v>2529</v>
      </c>
      <c r="F1307" s="3">
        <v>168325</v>
      </c>
      <c r="G1307" s="3">
        <v>11484</v>
      </c>
      <c r="H1307" s="3">
        <v>603</v>
      </c>
      <c r="I1307" s="4">
        <v>12467.22</v>
      </c>
      <c r="J1307" s="4">
        <v>13973.87</v>
      </c>
      <c r="K1307" s="3">
        <v>434</v>
      </c>
      <c r="L1307" s="2" t="s">
        <v>2523</v>
      </c>
      <c r="M1307" s="2" t="s">
        <v>2519</v>
      </c>
      <c r="N1307" s="8">
        <f>IFERROR(G1307/F1307,0)</f>
        <v>6.8225159661369369E-2</v>
      </c>
      <c r="O1307" s="8">
        <f>IFERROR(H1307/G1307,0)</f>
        <v>5.2507836990595615E-2</v>
      </c>
      <c r="P1307" s="4">
        <f>IFERROR(I1307/G1307,0)</f>
        <v>1.0856165099268547</v>
      </c>
      <c r="Q1307" s="4">
        <f>IFERROR(I1307/H1307,0)</f>
        <v>20.675323383084574</v>
      </c>
      <c r="R1307" s="12">
        <f>IFERROR(J1307/I1307,0)</f>
        <v>1.1208489141925788</v>
      </c>
      <c r="S1307" s="7">
        <f>Tabla_nuevas_columnas[[#This Row],[ROAS]]</f>
        <v>1.1208489141925788</v>
      </c>
      <c r="T1307" t="str">
        <f>_xlfn.CONCAT(C1307,"-",D1307)</f>
        <v>Affiliate-España</v>
      </c>
      <c r="U1307">
        <f>YEAR(A1307)</f>
        <v>2025</v>
      </c>
      <c r="V1307">
        <f>MONTH(A1307)</f>
        <v>8</v>
      </c>
      <c r="W1307" t="str">
        <f>PROPER(TEXT(A1307,"mmmm"))</f>
        <v>Agosto</v>
      </c>
      <c r="X1307" t="str">
        <f>PROPER(TEXT(A1307,"dddd"))</f>
        <v>Domingo</v>
      </c>
      <c r="Y1307" t="str" cm="1">
        <f t="array" ref="Y1307">_xlfn.IFS(R1307&gt;10,"Excelente",R1307&gt;=5,"Bueno",R1307&gt;=2,"Débil",R1307&lt;2,"Deficiente")</f>
        <v>Deficiente</v>
      </c>
      <c r="Z1307" t="str">
        <f>IF(AND(R1307&lt;2,Q1307&gt;=100),"Revisar","OK")</f>
        <v>OK</v>
      </c>
      <c r="AA1307" s="55">
        <f>_xlfn.XLOOKUP(C1307,'Preguntas de negocio'!$C$114:$C$119,'Preguntas de negocio'!$D$114:$D$119,0)</f>
        <v>4.5</v>
      </c>
      <c r="AB1307" s="55">
        <f>VLOOKUP(C1307,'Preguntas de negocio'!$C$121:$D$127,2,FALSE)</f>
        <v>0.35</v>
      </c>
    </row>
    <row r="1308" spans="1:28" x14ac:dyDescent="0.3">
      <c r="A1308" s="1">
        <v>45989</v>
      </c>
      <c r="B1308" s="2" t="s">
        <v>2644</v>
      </c>
      <c r="C1308" s="2" t="s">
        <v>2543</v>
      </c>
      <c r="D1308" s="2" t="s">
        <v>2528</v>
      </c>
      <c r="E1308" s="2" t="s">
        <v>2529</v>
      </c>
      <c r="F1308" s="3">
        <v>10883</v>
      </c>
      <c r="G1308" s="3">
        <v>222</v>
      </c>
      <c r="H1308" s="3">
        <v>20</v>
      </c>
      <c r="I1308" s="4">
        <v>261.37</v>
      </c>
      <c r="J1308" s="4">
        <v>2042.82</v>
      </c>
      <c r="K1308" s="3">
        <v>14</v>
      </c>
      <c r="L1308" s="2" t="s">
        <v>2523</v>
      </c>
      <c r="M1308" s="2" t="s">
        <v>2537</v>
      </c>
      <c r="N1308" s="8">
        <f>IFERROR(G1308/F1308,0)</f>
        <v>2.0398787099145457E-2</v>
      </c>
      <c r="O1308" s="8">
        <f>IFERROR(H1308/G1308,0)</f>
        <v>9.0090090090090086E-2</v>
      </c>
      <c r="P1308" s="4">
        <f>IFERROR(I1308/G1308,0)</f>
        <v>1.1773423423423424</v>
      </c>
      <c r="Q1308" s="4">
        <f>IFERROR(I1308/H1308,0)</f>
        <v>13.0685</v>
      </c>
      <c r="R1308" s="12">
        <f>IFERROR(J1308/I1308,0)</f>
        <v>7.8158166583770132</v>
      </c>
      <c r="S1308" s="7">
        <f>Tabla_nuevas_columnas[[#This Row],[ROAS]]</f>
        <v>7.8158166583770132</v>
      </c>
      <c r="T1308" t="str">
        <f>_xlfn.CONCAT(C1308,"-",D1308)</f>
        <v>Organic Social-España</v>
      </c>
      <c r="U1308">
        <f>YEAR(A1308)</f>
        <v>2025</v>
      </c>
      <c r="V1308">
        <f>MONTH(A1308)</f>
        <v>11</v>
      </c>
      <c r="W1308" t="str">
        <f>PROPER(TEXT(A1308,"mmmm"))</f>
        <v>Noviembre</v>
      </c>
      <c r="X1308" t="str">
        <f>PROPER(TEXT(A1308,"dddd"))</f>
        <v>Viernes</v>
      </c>
      <c r="Y1308" t="str" cm="1">
        <f t="array" ref="Y1308">_xlfn.IFS(R1308&gt;10,"Excelente",R1308&gt;=5,"Bueno",R1308&gt;=2,"Débil",R1308&lt;2,"Deficiente")</f>
        <v>Bueno</v>
      </c>
      <c r="Z1308" t="str">
        <f>IF(AND(R1308&lt;2,Q1308&gt;=100),"Revisar","OK")</f>
        <v>OK</v>
      </c>
      <c r="AA1308" s="55">
        <f>_xlfn.XLOOKUP(C1308,'Preguntas de negocio'!$C$114:$C$119,'Preguntas de negocio'!$D$114:$D$119,0)</f>
        <v>4</v>
      </c>
      <c r="AB1308" s="55">
        <f>VLOOKUP(C1308,'Preguntas de negocio'!$C$121:$D$127,2,FALSE)</f>
        <v>0.95</v>
      </c>
    </row>
    <row r="1309" spans="1:28" x14ac:dyDescent="0.3">
      <c r="A1309" s="1">
        <v>46013</v>
      </c>
      <c r="B1309" s="2" t="s">
        <v>2624</v>
      </c>
      <c r="C1309" s="2" t="s">
        <v>2521</v>
      </c>
      <c r="D1309" s="2" t="s">
        <v>2528</v>
      </c>
      <c r="E1309" s="2" t="s">
        <v>2517</v>
      </c>
      <c r="F1309" s="3">
        <v>87923</v>
      </c>
      <c r="G1309" s="3">
        <v>7811</v>
      </c>
      <c r="H1309" s="3">
        <v>465</v>
      </c>
      <c r="I1309" s="4">
        <v>4694.37</v>
      </c>
      <c r="J1309" s="4">
        <v>32975.769999999997</v>
      </c>
      <c r="K1309" s="3">
        <v>291</v>
      </c>
      <c r="L1309" s="2" t="s">
        <v>2523</v>
      </c>
      <c r="M1309" s="2" t="s">
        <v>2524</v>
      </c>
      <c r="N1309" s="8">
        <f>IFERROR(G1309/F1309,0)</f>
        <v>8.8839097846979742E-2</v>
      </c>
      <c r="O1309" s="8">
        <f>IFERROR(H1309/G1309,0)</f>
        <v>5.9531430034566638E-2</v>
      </c>
      <c r="P1309" s="4">
        <f>IFERROR(I1309/G1309,0)</f>
        <v>0.60099475099219046</v>
      </c>
      <c r="Q1309" s="4">
        <f>IFERROR(I1309/H1309,0)</f>
        <v>10.095419354838709</v>
      </c>
      <c r="R1309" s="12">
        <f>IFERROR(J1309/I1309,0)</f>
        <v>7.0245357737033931</v>
      </c>
      <c r="S1309" s="7">
        <f>Tabla_nuevas_columnas[[#This Row],[ROAS]]</f>
        <v>7.0245357737033931</v>
      </c>
      <c r="T1309" t="str">
        <f>_xlfn.CONCAT(C1309,"-",D1309)</f>
        <v>Paid Search-España</v>
      </c>
      <c r="U1309">
        <f>YEAR(A1309)</f>
        <v>2025</v>
      </c>
      <c r="V1309">
        <f>MONTH(A1309)</f>
        <v>12</v>
      </c>
      <c r="W1309" t="str">
        <f>PROPER(TEXT(A1309,"mmmm"))</f>
        <v>Diciembre</v>
      </c>
      <c r="X1309" t="str">
        <f>PROPER(TEXT(A1309,"dddd"))</f>
        <v>Lunes</v>
      </c>
      <c r="Y1309" t="str" cm="1">
        <f t="array" ref="Y1309">_xlfn.IFS(R1309&gt;10,"Excelente",R1309&gt;=5,"Bueno",R1309&gt;=2,"Débil",R1309&lt;2,"Deficiente")</f>
        <v>Bueno</v>
      </c>
      <c r="Z1309" t="str">
        <f>IF(AND(R1309&lt;2,Q1309&gt;=100),"Revisar","OK")</f>
        <v>OK</v>
      </c>
      <c r="AA1309" s="55">
        <f>_xlfn.XLOOKUP(C1309,'Preguntas de negocio'!$C$114:$C$119,'Preguntas de negocio'!$D$114:$D$119,0)</f>
        <v>5</v>
      </c>
      <c r="AB1309" s="55">
        <f>VLOOKUP(C1309,'Preguntas de negocio'!$C$121:$D$127,2,FALSE)</f>
        <v>1.1000000000000001</v>
      </c>
    </row>
    <row r="1310" spans="1:28" x14ac:dyDescent="0.3">
      <c r="A1310" s="1">
        <v>45675</v>
      </c>
      <c r="B1310" s="2" t="s">
        <v>2620</v>
      </c>
      <c r="C1310" s="2" t="s">
        <v>2543</v>
      </c>
      <c r="D1310" s="2" t="s">
        <v>2525</v>
      </c>
      <c r="E1310" s="2" t="s">
        <v>2517</v>
      </c>
      <c r="F1310" s="3">
        <v>1730</v>
      </c>
      <c r="G1310" s="3">
        <v>133</v>
      </c>
      <c r="H1310" s="3">
        <v>7</v>
      </c>
      <c r="I1310" s="4">
        <v>198.12</v>
      </c>
      <c r="J1310" s="4">
        <v>118.68</v>
      </c>
      <c r="K1310" s="3">
        <v>5</v>
      </c>
      <c r="L1310" s="2" t="s">
        <v>2523</v>
      </c>
      <c r="M1310" s="2" t="s">
        <v>2546</v>
      </c>
      <c r="N1310" s="8">
        <f>IFERROR(G1310/F1310,0)</f>
        <v>7.6878612716763009E-2</v>
      </c>
      <c r="O1310" s="8">
        <f>IFERROR(H1310/G1310,0)</f>
        <v>5.2631578947368418E-2</v>
      </c>
      <c r="P1310" s="4">
        <f>IFERROR(I1310/G1310,0)</f>
        <v>1.4896240601503761</v>
      </c>
      <c r="Q1310" s="4">
        <f>IFERROR(I1310/H1310,0)</f>
        <v>28.302857142857142</v>
      </c>
      <c r="R1310" s="12">
        <f>IFERROR(J1310/I1310,0)</f>
        <v>0.5990308903694731</v>
      </c>
      <c r="S1310" s="7">
        <f>Tabla_nuevas_columnas[[#This Row],[ROAS]]</f>
        <v>0.5990308903694731</v>
      </c>
      <c r="T1310" t="str">
        <f>_xlfn.CONCAT(C1310,"-",D1310)</f>
        <v>Organic Social-Francia</v>
      </c>
      <c r="U1310">
        <f>YEAR(A1310)</f>
        <v>2025</v>
      </c>
      <c r="V1310">
        <f>MONTH(A1310)</f>
        <v>1</v>
      </c>
      <c r="W1310" t="str">
        <f>PROPER(TEXT(A1310,"mmmm"))</f>
        <v>Enero</v>
      </c>
      <c r="X1310" t="str">
        <f>PROPER(TEXT(A1310,"dddd"))</f>
        <v>Sábado</v>
      </c>
      <c r="Y1310" t="str" cm="1">
        <f t="array" ref="Y1310">_xlfn.IFS(R1310&gt;10,"Excelente",R1310&gt;=5,"Bueno",R1310&gt;=2,"Débil",R1310&lt;2,"Deficiente")</f>
        <v>Deficiente</v>
      </c>
      <c r="Z1310" t="str">
        <f>IF(AND(R1310&lt;2,Q1310&gt;=100),"Revisar","OK")</f>
        <v>OK</v>
      </c>
      <c r="AA1310" s="55">
        <f>_xlfn.XLOOKUP(C1310,'Preguntas de negocio'!$C$114:$C$119,'Preguntas de negocio'!$D$114:$D$119,0)</f>
        <v>4</v>
      </c>
      <c r="AB1310" s="55">
        <f>VLOOKUP(C1310,'Preguntas de negocio'!$C$121:$D$127,2,FALSE)</f>
        <v>0.95</v>
      </c>
    </row>
    <row r="1311" spans="1:28" x14ac:dyDescent="0.3">
      <c r="A1311" s="1">
        <v>45765</v>
      </c>
      <c r="B1311" s="2" t="s">
        <v>2628</v>
      </c>
      <c r="C1311" s="2" t="s">
        <v>2543</v>
      </c>
      <c r="D1311" s="2" t="s">
        <v>2516</v>
      </c>
      <c r="E1311" s="2" t="s">
        <v>2529</v>
      </c>
      <c r="F1311" s="3">
        <v>105584</v>
      </c>
      <c r="G1311" s="3">
        <v>2035</v>
      </c>
      <c r="H1311" s="3">
        <v>37</v>
      </c>
      <c r="I1311" s="4">
        <v>3720.36</v>
      </c>
      <c r="J1311" s="4">
        <v>5032.7299999999996</v>
      </c>
      <c r="K1311" s="3">
        <v>19</v>
      </c>
      <c r="L1311" s="2" t="s">
        <v>2523</v>
      </c>
      <c r="M1311" s="2" t="s">
        <v>2537</v>
      </c>
      <c r="N1311" s="8">
        <f>IFERROR(G1311/F1311,0)</f>
        <v>1.9273753599030156E-2</v>
      </c>
      <c r="O1311" s="8">
        <f>IFERROR(H1311/G1311,0)</f>
        <v>1.8181818181818181E-2</v>
      </c>
      <c r="P1311" s="4">
        <f>IFERROR(I1311/G1311,0)</f>
        <v>1.8281867321867322</v>
      </c>
      <c r="Q1311" s="4">
        <f>IFERROR(I1311/H1311,0)</f>
        <v>100.55027027027027</v>
      </c>
      <c r="R1311" s="12">
        <f>IFERROR(J1311/I1311,0)</f>
        <v>1.352753496973411</v>
      </c>
      <c r="S1311" s="7">
        <f>Tabla_nuevas_columnas[[#This Row],[ROAS]]</f>
        <v>1.352753496973411</v>
      </c>
      <c r="T1311" t="str">
        <f>_xlfn.CONCAT(C1311,"-",D1311)</f>
        <v>Organic Social-México</v>
      </c>
      <c r="U1311">
        <f>YEAR(A1311)</f>
        <v>2025</v>
      </c>
      <c r="V1311">
        <f>MONTH(A1311)</f>
        <v>4</v>
      </c>
      <c r="W1311" t="str">
        <f>PROPER(TEXT(A1311,"mmmm"))</f>
        <v>Abril</v>
      </c>
      <c r="X1311" t="str">
        <f>PROPER(TEXT(A1311,"dddd"))</f>
        <v>Viernes</v>
      </c>
      <c r="Y1311" t="str" cm="1">
        <f t="array" ref="Y1311">_xlfn.IFS(R1311&gt;10,"Excelente",R1311&gt;=5,"Bueno",R1311&gt;=2,"Débil",R1311&lt;2,"Deficiente")</f>
        <v>Deficiente</v>
      </c>
      <c r="Z1311" t="str">
        <f>IF(AND(R1311&lt;2,Q1311&gt;=100),"Revisar","OK")</f>
        <v>Revisar</v>
      </c>
      <c r="AA1311" s="55">
        <f>_xlfn.XLOOKUP(C1311,'Preguntas de negocio'!$C$114:$C$119,'Preguntas de negocio'!$D$114:$D$119,0)</f>
        <v>4</v>
      </c>
      <c r="AB1311" s="55">
        <f>VLOOKUP(C1311,'Preguntas de negocio'!$C$121:$D$127,2,FALSE)</f>
        <v>0.95</v>
      </c>
    </row>
    <row r="1312" spans="1:28" x14ac:dyDescent="0.3">
      <c r="A1312" s="1">
        <v>45933</v>
      </c>
      <c r="B1312" s="2" t="s">
        <v>2637</v>
      </c>
      <c r="C1312" s="2" t="s">
        <v>2521</v>
      </c>
      <c r="D1312" s="2" t="s">
        <v>2525</v>
      </c>
      <c r="E1312" s="2" t="s">
        <v>2517</v>
      </c>
      <c r="F1312" s="3">
        <v>60690</v>
      </c>
      <c r="G1312" s="3">
        <v>2237</v>
      </c>
      <c r="H1312" s="3">
        <v>256</v>
      </c>
      <c r="I1312" s="4">
        <v>2978.87</v>
      </c>
      <c r="J1312" s="4">
        <v>9714.4</v>
      </c>
      <c r="K1312" s="3">
        <v>129</v>
      </c>
      <c r="L1312" s="2" t="s">
        <v>2523</v>
      </c>
      <c r="M1312" s="2" t="s">
        <v>2519</v>
      </c>
      <c r="N1312" s="8">
        <f>IFERROR(G1312/F1312,0)</f>
        <v>3.6859449662217832E-2</v>
      </c>
      <c r="O1312" s="8">
        <f>IFERROR(H1312/G1312,0)</f>
        <v>0.11443898077782745</v>
      </c>
      <c r="P1312" s="4">
        <f>IFERROR(I1312/G1312,0)</f>
        <v>1.331636119803308</v>
      </c>
      <c r="Q1312" s="4">
        <f>IFERROR(I1312/H1312,0)</f>
        <v>11.6362109375</v>
      </c>
      <c r="R1312" s="12">
        <f>IFERROR(J1312/I1312,0)</f>
        <v>3.2611023643193562</v>
      </c>
      <c r="S1312" s="7">
        <f>Tabla_nuevas_columnas[[#This Row],[ROAS]]</f>
        <v>3.2611023643193562</v>
      </c>
      <c r="T1312" t="str">
        <f>_xlfn.CONCAT(C1312,"-",D1312)</f>
        <v>Paid Search-Francia</v>
      </c>
      <c r="U1312">
        <f>YEAR(A1312)</f>
        <v>2025</v>
      </c>
      <c r="V1312">
        <f>MONTH(A1312)</f>
        <v>10</v>
      </c>
      <c r="W1312" t="str">
        <f>PROPER(TEXT(A1312,"mmmm"))</f>
        <v>Octubre</v>
      </c>
      <c r="X1312" t="str">
        <f>PROPER(TEXT(A1312,"dddd"))</f>
        <v>Viernes</v>
      </c>
      <c r="Y1312" t="str" cm="1">
        <f t="array" ref="Y1312">_xlfn.IFS(R1312&gt;10,"Excelente",R1312&gt;=5,"Bueno",R1312&gt;=2,"Débil",R1312&lt;2,"Deficiente")</f>
        <v>Débil</v>
      </c>
      <c r="Z1312" t="str">
        <f>IF(AND(R1312&lt;2,Q1312&gt;=100),"Revisar","OK")</f>
        <v>OK</v>
      </c>
      <c r="AA1312" s="55">
        <f>_xlfn.XLOOKUP(C1312,'Preguntas de negocio'!$C$114:$C$119,'Preguntas de negocio'!$D$114:$D$119,0)</f>
        <v>5</v>
      </c>
      <c r="AB1312" s="55">
        <f>VLOOKUP(C1312,'Preguntas de negocio'!$C$121:$D$127,2,FALSE)</f>
        <v>1.1000000000000001</v>
      </c>
    </row>
    <row r="1313" spans="1:28" x14ac:dyDescent="0.3">
      <c r="A1313" s="1">
        <v>45754</v>
      </c>
      <c r="B1313" s="2" t="s">
        <v>2632</v>
      </c>
      <c r="C1313" s="2" t="s">
        <v>2541</v>
      </c>
      <c r="D1313" s="2" t="s">
        <v>2528</v>
      </c>
      <c r="E1313" s="2" t="s">
        <v>2529</v>
      </c>
      <c r="F1313" s="3">
        <v>175136</v>
      </c>
      <c r="G1313" s="3">
        <v>4361</v>
      </c>
      <c r="H1313" s="3">
        <v>402</v>
      </c>
      <c r="I1313" s="4">
        <v>7310.75</v>
      </c>
      <c r="J1313" s="4">
        <v>18613.18</v>
      </c>
      <c r="K1313" s="3">
        <v>199</v>
      </c>
      <c r="L1313" s="2" t="s">
        <v>2518</v>
      </c>
      <c r="M1313" s="2" t="s">
        <v>2537</v>
      </c>
      <c r="N1313" s="8">
        <f>IFERROR(G1313/F1313,0)</f>
        <v>2.4900648638772154E-2</v>
      </c>
      <c r="O1313" s="8">
        <f>IFERROR(H1313/G1313,0)</f>
        <v>9.2180692501719785E-2</v>
      </c>
      <c r="P1313" s="4">
        <f>IFERROR(I1313/G1313,0)</f>
        <v>1.676393029121761</v>
      </c>
      <c r="Q1313" s="4">
        <f>IFERROR(I1313/H1313,0)</f>
        <v>18.185945273631841</v>
      </c>
      <c r="R1313" s="12">
        <f>IFERROR(J1313/I1313,0)</f>
        <v>2.5460014362411516</v>
      </c>
      <c r="S1313" s="7">
        <f>Tabla_nuevas_columnas[[#This Row],[ROAS]]</f>
        <v>2.5460014362411516</v>
      </c>
      <c r="T1313" t="str">
        <f>_xlfn.CONCAT(C1313,"-",D1313)</f>
        <v>Display-España</v>
      </c>
      <c r="U1313">
        <f>YEAR(A1313)</f>
        <v>2025</v>
      </c>
      <c r="V1313">
        <f>MONTH(A1313)</f>
        <v>4</v>
      </c>
      <c r="W1313" t="str">
        <f>PROPER(TEXT(A1313,"mmmm"))</f>
        <v>Abril</v>
      </c>
      <c r="X1313" t="str">
        <f>PROPER(TEXT(A1313,"dddd"))</f>
        <v>Lunes</v>
      </c>
      <c r="Y1313" t="str" cm="1">
        <f t="array" ref="Y1313">_xlfn.IFS(R1313&gt;10,"Excelente",R1313&gt;=5,"Bueno",R1313&gt;=2,"Débil",R1313&lt;2,"Deficiente")</f>
        <v>Débil</v>
      </c>
      <c r="Z1313" t="str">
        <f>IF(AND(R1313&lt;2,Q1313&gt;=100),"Revisar","OK")</f>
        <v>OK</v>
      </c>
      <c r="AA1313" s="55">
        <f>_xlfn.XLOOKUP(C1313,'Preguntas de negocio'!$C$114:$C$119,'Preguntas de negocio'!$D$114:$D$119,0)</f>
        <v>5</v>
      </c>
      <c r="AB1313" s="55">
        <f>VLOOKUP(C1313,'Preguntas de negocio'!$C$121:$D$127,2,FALSE)</f>
        <v>0.5</v>
      </c>
    </row>
    <row r="1314" spans="1:28" x14ac:dyDescent="0.3">
      <c r="A1314" s="1">
        <v>45709</v>
      </c>
      <c r="B1314" s="2" t="s">
        <v>2617</v>
      </c>
      <c r="C1314" s="2" t="s">
        <v>2533</v>
      </c>
      <c r="D1314" s="2" t="s">
        <v>2516</v>
      </c>
      <c r="E1314" s="2" t="s">
        <v>2534</v>
      </c>
      <c r="F1314" s="3">
        <v>72634</v>
      </c>
      <c r="G1314" s="3">
        <v>2875</v>
      </c>
      <c r="H1314" s="3">
        <v>400</v>
      </c>
      <c r="I1314" s="4">
        <v>3867.32</v>
      </c>
      <c r="J1314" s="4">
        <v>61763.35</v>
      </c>
      <c r="K1314" s="3">
        <v>359</v>
      </c>
      <c r="L1314" s="2" t="s">
        <v>2523</v>
      </c>
      <c r="M1314" s="2" t="s">
        <v>2526</v>
      </c>
      <c r="N1314" s="8">
        <f>IFERROR(G1314/F1314,0)</f>
        <v>3.9582013932868906E-2</v>
      </c>
      <c r="O1314" s="8">
        <f>IFERROR(H1314/G1314,0)</f>
        <v>0.1391304347826087</v>
      </c>
      <c r="P1314" s="4">
        <f>IFERROR(I1314/G1314,0)</f>
        <v>1.3451547826086958</v>
      </c>
      <c r="Q1314" s="4">
        <f>IFERROR(I1314/H1314,0)</f>
        <v>9.6683000000000003</v>
      </c>
      <c r="R1314" s="12">
        <f>IFERROR(J1314/I1314,0)</f>
        <v>15.970581694817081</v>
      </c>
      <c r="S1314" s="7">
        <f>Tabla_nuevas_columnas[[#This Row],[ROAS]]</f>
        <v>15.970581694817081</v>
      </c>
      <c r="T1314" t="str">
        <f>_xlfn.CONCAT(C1314,"-",D1314)</f>
        <v>Paid Social-México</v>
      </c>
      <c r="U1314">
        <f>YEAR(A1314)</f>
        <v>2025</v>
      </c>
      <c r="V1314">
        <f>MONTH(A1314)</f>
        <v>2</v>
      </c>
      <c r="W1314" t="str">
        <f>PROPER(TEXT(A1314,"mmmm"))</f>
        <v>Febrero</v>
      </c>
      <c r="X1314" t="str">
        <f>PROPER(TEXT(A1314,"dddd"))</f>
        <v>Viernes</v>
      </c>
      <c r="Y1314" t="str" cm="1">
        <f t="array" ref="Y1314">_xlfn.IFS(R1314&gt;10,"Excelente",R1314&gt;=5,"Bueno",R1314&gt;=2,"Débil",R1314&lt;2,"Deficiente")</f>
        <v>Excelente</v>
      </c>
      <c r="Z1314" t="str">
        <f>IF(AND(R1314&lt;2,Q1314&gt;=100),"Revisar","OK")</f>
        <v>OK</v>
      </c>
      <c r="AA1314" s="55">
        <f>_xlfn.XLOOKUP(C1314,'Preguntas de negocio'!$C$114:$C$119,'Preguntas de negocio'!$D$114:$D$119,0)</f>
        <v>6</v>
      </c>
      <c r="AB1314" s="55">
        <f>VLOOKUP(C1314,'Preguntas de negocio'!$C$121:$D$127,2,FALSE)</f>
        <v>0.8</v>
      </c>
    </row>
    <row r="1315" spans="1:28" x14ac:dyDescent="0.3">
      <c r="A1315" s="1">
        <v>45817</v>
      </c>
      <c r="B1315" s="2" t="s">
        <v>2633</v>
      </c>
      <c r="C1315" s="2" t="s">
        <v>2541</v>
      </c>
      <c r="D1315" s="2" t="s">
        <v>2528</v>
      </c>
      <c r="E1315" s="2" t="s">
        <v>2517</v>
      </c>
      <c r="F1315" s="3">
        <v>173765</v>
      </c>
      <c r="G1315" s="3">
        <v>3097</v>
      </c>
      <c r="H1315" s="3">
        <v>75</v>
      </c>
      <c r="I1315" s="4">
        <v>1191.79</v>
      </c>
      <c r="J1315" s="4">
        <v>9241.5400000000009</v>
      </c>
      <c r="K1315" s="3">
        <v>37</v>
      </c>
      <c r="L1315" s="2" t="s">
        <v>2523</v>
      </c>
      <c r="M1315" s="2" t="s">
        <v>2546</v>
      </c>
      <c r="N1315" s="8">
        <f>IFERROR(G1315/F1315,0)</f>
        <v>1.7822921762150029E-2</v>
      </c>
      <c r="O1315" s="8">
        <f>IFERROR(H1315/G1315,0)</f>
        <v>2.4216984178237002E-2</v>
      </c>
      <c r="P1315" s="4">
        <f>IFERROR(I1315/G1315,0)</f>
        <v>0.38482079431708105</v>
      </c>
      <c r="Q1315" s="4">
        <f>IFERROR(I1315/H1315,0)</f>
        <v>15.890533333333332</v>
      </c>
      <c r="R1315" s="12">
        <f>IFERROR(J1315/I1315,0)</f>
        <v>7.7543359148843347</v>
      </c>
      <c r="S1315" s="7">
        <f>Tabla_nuevas_columnas[[#This Row],[ROAS]]</f>
        <v>7.7543359148843347</v>
      </c>
      <c r="T1315" t="str">
        <f>_xlfn.CONCAT(C1315,"-",D1315)</f>
        <v>Display-España</v>
      </c>
      <c r="U1315">
        <f>YEAR(A1315)</f>
        <v>2025</v>
      </c>
      <c r="V1315">
        <f>MONTH(A1315)</f>
        <v>6</v>
      </c>
      <c r="W1315" t="str">
        <f>PROPER(TEXT(A1315,"mmmm"))</f>
        <v>Junio</v>
      </c>
      <c r="X1315" t="str">
        <f>PROPER(TEXT(A1315,"dddd"))</f>
        <v>Lunes</v>
      </c>
      <c r="Y1315" t="str" cm="1">
        <f t="array" ref="Y1315">_xlfn.IFS(R1315&gt;10,"Excelente",R1315&gt;=5,"Bueno",R1315&gt;=2,"Débil",R1315&lt;2,"Deficiente")</f>
        <v>Bueno</v>
      </c>
      <c r="Z1315" t="str">
        <f>IF(AND(R1315&lt;2,Q1315&gt;=100),"Revisar","OK")</f>
        <v>OK</v>
      </c>
      <c r="AA1315" s="55">
        <f>_xlfn.XLOOKUP(C1315,'Preguntas de negocio'!$C$114:$C$119,'Preguntas de negocio'!$D$114:$D$119,0)</f>
        <v>5</v>
      </c>
      <c r="AB1315" s="55">
        <f>VLOOKUP(C1315,'Preguntas de negocio'!$C$121:$D$127,2,FALSE)</f>
        <v>0.5</v>
      </c>
    </row>
    <row r="1316" spans="1:28" x14ac:dyDescent="0.3">
      <c r="A1316" s="1">
        <v>45995</v>
      </c>
      <c r="B1316" s="2" t="s">
        <v>2640</v>
      </c>
      <c r="C1316" s="2" t="s">
        <v>2515</v>
      </c>
      <c r="D1316" s="2" t="s">
        <v>2528</v>
      </c>
      <c r="E1316" s="2" t="s">
        <v>2517</v>
      </c>
      <c r="F1316" s="3">
        <v>88725</v>
      </c>
      <c r="G1316" s="3">
        <v>3231</v>
      </c>
      <c r="H1316" s="3">
        <v>389</v>
      </c>
      <c r="I1316" s="4">
        <v>4450.29</v>
      </c>
      <c r="J1316" s="4">
        <v>11851.28</v>
      </c>
      <c r="K1316" s="3">
        <v>325</v>
      </c>
      <c r="L1316" s="2" t="s">
        <v>2518</v>
      </c>
      <c r="M1316" s="2" t="s">
        <v>2546</v>
      </c>
      <c r="N1316" s="8">
        <f>IFERROR(G1316/F1316,0)</f>
        <v>3.6415891800507187E-2</v>
      </c>
      <c r="O1316" s="8">
        <f>IFERROR(H1316/G1316,0)</f>
        <v>0.12039616217889199</v>
      </c>
      <c r="P1316" s="4">
        <f>IFERROR(I1316/G1316,0)</f>
        <v>1.377372330547818</v>
      </c>
      <c r="Q1316" s="4">
        <f>IFERROR(I1316/H1316,0)</f>
        <v>11.440334190231363</v>
      </c>
      <c r="R1316" s="12">
        <f>IFERROR(J1316/I1316,0)</f>
        <v>2.6630354426340759</v>
      </c>
      <c r="S1316" s="7">
        <f>Tabla_nuevas_columnas[[#This Row],[ROAS]]</f>
        <v>2.6630354426340759</v>
      </c>
      <c r="T1316" t="str">
        <f>_xlfn.CONCAT(C1316,"-",D1316)</f>
        <v>Email-España</v>
      </c>
      <c r="U1316">
        <f>YEAR(A1316)</f>
        <v>2025</v>
      </c>
      <c r="V1316">
        <f>MONTH(A1316)</f>
        <v>12</v>
      </c>
      <c r="W1316" t="str">
        <f>PROPER(TEXT(A1316,"mmmm"))</f>
        <v>Diciembre</v>
      </c>
      <c r="X1316" t="str">
        <f>PROPER(TEXT(A1316,"dddd"))</f>
        <v>Jueves</v>
      </c>
      <c r="Y1316" t="str" cm="1">
        <f t="array" ref="Y1316">_xlfn.IFS(R1316&gt;10,"Excelente",R1316&gt;=5,"Bueno",R1316&gt;=2,"Débil",R1316&lt;2,"Deficiente")</f>
        <v>Débil</v>
      </c>
      <c r="Z1316" t="str">
        <f>IF(AND(R1316&lt;2,Q1316&gt;=100),"Revisar","OK")</f>
        <v>OK</v>
      </c>
      <c r="AA1316" s="55">
        <f>_xlfn.XLOOKUP(C1316,'Preguntas de negocio'!$C$114:$C$119,'Preguntas de negocio'!$D$114:$D$119,0)</f>
        <v>5.5</v>
      </c>
      <c r="AB1316" s="55">
        <f>VLOOKUP(C1316,'Preguntas de negocio'!$C$121:$D$127,2,FALSE)</f>
        <v>0.65</v>
      </c>
    </row>
    <row r="1317" spans="1:28" x14ac:dyDescent="0.3">
      <c r="A1317" s="1">
        <v>45803</v>
      </c>
      <c r="B1317" s="2" t="s">
        <v>2643</v>
      </c>
      <c r="C1317" s="2" t="s">
        <v>2541</v>
      </c>
      <c r="D1317" s="2" t="s">
        <v>2528</v>
      </c>
      <c r="E1317" s="2" t="s">
        <v>2534</v>
      </c>
      <c r="F1317" s="3">
        <v>79966</v>
      </c>
      <c r="G1317" s="3">
        <v>4883</v>
      </c>
      <c r="H1317" s="3">
        <v>306</v>
      </c>
      <c r="I1317" s="4">
        <v>3623.82</v>
      </c>
      <c r="J1317" s="4">
        <v>18074.73</v>
      </c>
      <c r="K1317" s="3">
        <v>170</v>
      </c>
      <c r="L1317" s="2" t="s">
        <v>2539</v>
      </c>
      <c r="M1317" s="2" t="s">
        <v>2526</v>
      </c>
      <c r="N1317" s="8">
        <f>IFERROR(G1317/F1317,0)</f>
        <v>6.1063451967086013E-2</v>
      </c>
      <c r="O1317" s="8">
        <f>IFERROR(H1317/G1317,0)</f>
        <v>6.2666393610485358E-2</v>
      </c>
      <c r="P1317" s="4">
        <f>IFERROR(I1317/G1317,0)</f>
        <v>0.74212983821421263</v>
      </c>
      <c r="Q1317" s="4">
        <f>IFERROR(I1317/H1317,0)</f>
        <v>11.842549019607844</v>
      </c>
      <c r="R1317" s="12">
        <f>IFERROR(J1317/I1317,0)</f>
        <v>4.9877560143715742</v>
      </c>
      <c r="S1317" s="7">
        <f>Tabla_nuevas_columnas[[#This Row],[ROAS]]</f>
        <v>4.9877560143715742</v>
      </c>
      <c r="T1317" t="str">
        <f>_xlfn.CONCAT(C1317,"-",D1317)</f>
        <v>Display-España</v>
      </c>
      <c r="U1317">
        <f>YEAR(A1317)</f>
        <v>2025</v>
      </c>
      <c r="V1317">
        <f>MONTH(A1317)</f>
        <v>5</v>
      </c>
      <c r="W1317" t="str">
        <f>PROPER(TEXT(A1317,"mmmm"))</f>
        <v>Mayo</v>
      </c>
      <c r="X1317" t="str">
        <f>PROPER(TEXT(A1317,"dddd"))</f>
        <v>Lunes</v>
      </c>
      <c r="Y1317" t="str" cm="1">
        <f t="array" ref="Y1317">_xlfn.IFS(R1317&gt;10,"Excelente",R1317&gt;=5,"Bueno",R1317&gt;=2,"Débil",R1317&lt;2,"Deficiente")</f>
        <v>Débil</v>
      </c>
      <c r="Z1317" t="str">
        <f>IF(AND(R1317&lt;2,Q1317&gt;=100),"Revisar","OK")</f>
        <v>OK</v>
      </c>
      <c r="AA1317" s="55">
        <f>_xlfn.XLOOKUP(C1317,'Preguntas de negocio'!$C$114:$C$119,'Preguntas de negocio'!$D$114:$D$119,0)</f>
        <v>5</v>
      </c>
      <c r="AB1317" s="55">
        <f>VLOOKUP(C1317,'Preguntas de negocio'!$C$121:$D$127,2,FALSE)</f>
        <v>0.5</v>
      </c>
    </row>
    <row r="1318" spans="1:28" x14ac:dyDescent="0.3">
      <c r="A1318" s="1">
        <v>45780</v>
      </c>
      <c r="B1318" s="2" t="s">
        <v>2618</v>
      </c>
      <c r="C1318" s="2" t="s">
        <v>2541</v>
      </c>
      <c r="D1318" s="2" t="s">
        <v>2528</v>
      </c>
      <c r="E1318" s="2" t="s">
        <v>2517</v>
      </c>
      <c r="F1318" s="3">
        <v>174554</v>
      </c>
      <c r="G1318" s="3">
        <v>4349</v>
      </c>
      <c r="H1318" s="3">
        <v>4398</v>
      </c>
      <c r="I1318" s="4">
        <v>4329.24</v>
      </c>
      <c r="J1318" s="4">
        <v>22886.9</v>
      </c>
      <c r="K1318" s="3">
        <v>525</v>
      </c>
      <c r="L1318" s="2" t="s">
        <v>2523</v>
      </c>
      <c r="M1318" s="2" t="s">
        <v>2519</v>
      </c>
      <c r="N1318" s="8">
        <f>IFERROR(G1318/F1318,0)</f>
        <v>2.4914926040079288E-2</v>
      </c>
      <c r="O1318" s="8">
        <f>IFERROR(H1318/G1318,0)</f>
        <v>1.0112669579213613</v>
      </c>
      <c r="P1318" s="4">
        <f>IFERROR(I1318/G1318,0)</f>
        <v>0.99545642676477342</v>
      </c>
      <c r="Q1318" s="4">
        <f>IFERROR(I1318/H1318,0)</f>
        <v>0.98436562073669842</v>
      </c>
      <c r="R1318" s="12">
        <f>IFERROR(J1318/I1318,0)</f>
        <v>5.2865860982528119</v>
      </c>
      <c r="S1318" s="7">
        <f>Tabla_nuevas_columnas[[#This Row],[ROAS]]</f>
        <v>5.2865860982528119</v>
      </c>
      <c r="T1318" t="str">
        <f>_xlfn.CONCAT(C1318,"-",D1318)</f>
        <v>Display-España</v>
      </c>
      <c r="U1318">
        <f>YEAR(A1318)</f>
        <v>2025</v>
      </c>
      <c r="V1318">
        <f>MONTH(A1318)</f>
        <v>5</v>
      </c>
      <c r="W1318" t="str">
        <f>PROPER(TEXT(A1318,"mmmm"))</f>
        <v>Mayo</v>
      </c>
      <c r="X1318" t="str">
        <f>PROPER(TEXT(A1318,"dddd"))</f>
        <v>Sábado</v>
      </c>
      <c r="Y1318" t="str" cm="1">
        <f t="array" ref="Y1318">_xlfn.IFS(R1318&gt;10,"Excelente",R1318&gt;=5,"Bueno",R1318&gt;=2,"Débil",R1318&lt;2,"Deficiente")</f>
        <v>Bueno</v>
      </c>
      <c r="Z1318" t="str">
        <f>IF(AND(R1318&lt;2,Q1318&gt;=100),"Revisar","OK")</f>
        <v>OK</v>
      </c>
      <c r="AA1318" s="55">
        <f>_xlfn.XLOOKUP(C1318,'Preguntas de negocio'!$C$114:$C$119,'Preguntas de negocio'!$D$114:$D$119,0)</f>
        <v>5</v>
      </c>
      <c r="AB1318" s="55">
        <f>VLOOKUP(C1318,'Preguntas de negocio'!$C$121:$D$127,2,FALSE)</f>
        <v>0.5</v>
      </c>
    </row>
    <row r="1319" spans="1:28" x14ac:dyDescent="0.3">
      <c r="A1319" s="1">
        <v>45660</v>
      </c>
      <c r="B1319" s="2" t="s">
        <v>2631</v>
      </c>
      <c r="C1319" s="2" t="s">
        <v>2533</v>
      </c>
      <c r="D1319" s="2" t="s">
        <v>2522</v>
      </c>
      <c r="E1319" s="2" t="s">
        <v>2534</v>
      </c>
      <c r="F1319" s="3">
        <v>161812</v>
      </c>
      <c r="G1319" s="3">
        <v>6760</v>
      </c>
      <c r="H1319" s="3">
        <v>625</v>
      </c>
      <c r="I1319" s="4">
        <v>4639.9799999999996</v>
      </c>
      <c r="J1319" s="4">
        <v>134146.43</v>
      </c>
      <c r="K1319" s="3">
        <v>459</v>
      </c>
      <c r="L1319" s="2" t="s">
        <v>2536</v>
      </c>
      <c r="M1319" s="2" t="s">
        <v>2519</v>
      </c>
      <c r="N1319" s="8">
        <f>IFERROR(G1319/F1319,0)</f>
        <v>4.1776876869453437E-2</v>
      </c>
      <c r="O1319" s="8">
        <f>IFERROR(H1319/G1319,0)</f>
        <v>9.2455621301775148E-2</v>
      </c>
      <c r="P1319" s="4">
        <f>IFERROR(I1319/G1319,0)</f>
        <v>0.68638757396449701</v>
      </c>
      <c r="Q1319" s="4">
        <f>IFERROR(I1319/H1319,0)</f>
        <v>7.4239679999999995</v>
      </c>
      <c r="R1319" s="12">
        <f>IFERROR(J1319/I1319,0)</f>
        <v>28.91099315083255</v>
      </c>
      <c r="S1319" s="7">
        <f>Tabla_nuevas_columnas[[#This Row],[ROAS]]</f>
        <v>28.91099315083255</v>
      </c>
      <c r="T1319" t="str">
        <f>_xlfn.CONCAT(C1319,"-",D1319)</f>
        <v>Paid Social-Italia</v>
      </c>
      <c r="U1319">
        <f>YEAR(A1319)</f>
        <v>2025</v>
      </c>
      <c r="V1319">
        <f>MONTH(A1319)</f>
        <v>1</v>
      </c>
      <c r="W1319" t="str">
        <f>PROPER(TEXT(A1319,"mmmm"))</f>
        <v>Enero</v>
      </c>
      <c r="X1319" t="str">
        <f>PROPER(TEXT(A1319,"dddd"))</f>
        <v>Viernes</v>
      </c>
      <c r="Y1319" t="str" cm="1">
        <f t="array" ref="Y1319">_xlfn.IFS(R1319&gt;10,"Excelente",R1319&gt;=5,"Bueno",R1319&gt;=2,"Débil",R1319&lt;2,"Deficiente")</f>
        <v>Excelente</v>
      </c>
      <c r="Z1319" t="str">
        <f>IF(AND(R1319&lt;2,Q1319&gt;=100),"Revisar","OK")</f>
        <v>OK</v>
      </c>
      <c r="AA1319" s="55">
        <f>_xlfn.XLOOKUP(C1319,'Preguntas de negocio'!$C$114:$C$119,'Preguntas de negocio'!$D$114:$D$119,0)</f>
        <v>6</v>
      </c>
      <c r="AB1319" s="55">
        <f>VLOOKUP(C1319,'Preguntas de negocio'!$C$121:$D$127,2,FALSE)</f>
        <v>0.8</v>
      </c>
    </row>
    <row r="1320" spans="1:28" x14ac:dyDescent="0.3">
      <c r="A1320" s="1">
        <v>45972</v>
      </c>
      <c r="B1320" s="2" t="s">
        <v>2635</v>
      </c>
      <c r="C1320" s="2" t="s">
        <v>2541</v>
      </c>
      <c r="D1320" s="2" t="s">
        <v>2516</v>
      </c>
      <c r="E1320" s="2" t="s">
        <v>2529</v>
      </c>
      <c r="F1320" s="3">
        <v>8295</v>
      </c>
      <c r="G1320" s="3">
        <v>50</v>
      </c>
      <c r="H1320" s="3">
        <v>3</v>
      </c>
      <c r="I1320" s="4">
        <v>60.92</v>
      </c>
      <c r="J1320" s="4">
        <v>653.85</v>
      </c>
      <c r="K1320" s="3">
        <v>2</v>
      </c>
      <c r="L1320" s="2" t="s">
        <v>2536</v>
      </c>
      <c r="M1320" s="2" t="s">
        <v>2519</v>
      </c>
      <c r="N1320" s="8">
        <f>IFERROR(G1320/F1320,0)</f>
        <v>6.0277275467148887E-3</v>
      </c>
      <c r="O1320" s="8">
        <f>IFERROR(H1320/G1320,0)</f>
        <v>0.06</v>
      </c>
      <c r="P1320" s="4">
        <f>IFERROR(I1320/G1320,0)</f>
        <v>1.2183999999999999</v>
      </c>
      <c r="Q1320" s="4">
        <f>IFERROR(I1320/H1320,0)</f>
        <v>20.306666666666668</v>
      </c>
      <c r="R1320" s="12">
        <f>IFERROR(J1320/I1320,0)</f>
        <v>10.732928430728824</v>
      </c>
      <c r="S1320" s="7">
        <f>Tabla_nuevas_columnas[[#This Row],[ROAS]]</f>
        <v>10.732928430728824</v>
      </c>
      <c r="T1320" t="str">
        <f>_xlfn.CONCAT(C1320,"-",D1320)</f>
        <v>Display-México</v>
      </c>
      <c r="U1320">
        <f>YEAR(A1320)</f>
        <v>2025</v>
      </c>
      <c r="V1320">
        <f>MONTH(A1320)</f>
        <v>11</v>
      </c>
      <c r="W1320" t="str">
        <f>PROPER(TEXT(A1320,"mmmm"))</f>
        <v>Noviembre</v>
      </c>
      <c r="X1320" t="str">
        <f>PROPER(TEXT(A1320,"dddd"))</f>
        <v>Martes</v>
      </c>
      <c r="Y1320" t="str" cm="1">
        <f t="array" ref="Y1320">_xlfn.IFS(R1320&gt;10,"Excelente",R1320&gt;=5,"Bueno",R1320&gt;=2,"Débil",R1320&lt;2,"Deficiente")</f>
        <v>Excelente</v>
      </c>
      <c r="Z1320" t="str">
        <f>IF(AND(R1320&lt;2,Q1320&gt;=100),"Revisar","OK")</f>
        <v>OK</v>
      </c>
      <c r="AA1320" s="55">
        <f>_xlfn.XLOOKUP(C1320,'Preguntas de negocio'!$C$114:$C$119,'Preguntas de negocio'!$D$114:$D$119,0)</f>
        <v>5</v>
      </c>
      <c r="AB1320" s="55">
        <f>VLOOKUP(C1320,'Preguntas de negocio'!$C$121:$D$127,2,FALSE)</f>
        <v>0.5</v>
      </c>
    </row>
    <row r="1321" spans="1:28" x14ac:dyDescent="0.3">
      <c r="A1321" s="1">
        <v>45942</v>
      </c>
      <c r="B1321" s="2" t="s">
        <v>2644</v>
      </c>
      <c r="C1321" s="2" t="s">
        <v>2527</v>
      </c>
      <c r="D1321" s="2" t="s">
        <v>2528</v>
      </c>
      <c r="E1321" s="2" t="s">
        <v>2517</v>
      </c>
      <c r="F1321" s="3">
        <v>101954</v>
      </c>
      <c r="G1321" s="3">
        <v>4634</v>
      </c>
      <c r="H1321" s="3">
        <v>201</v>
      </c>
      <c r="I1321" s="4">
        <v>7108.91</v>
      </c>
      <c r="J1321" s="4">
        <v>34025.82</v>
      </c>
      <c r="K1321" s="3">
        <v>99</v>
      </c>
      <c r="L1321" s="2" t="s">
        <v>2539</v>
      </c>
      <c r="M1321" s="2" t="s">
        <v>2524</v>
      </c>
      <c r="N1321" s="8">
        <f>IFERROR(G1321/F1321,0)</f>
        <v>4.5451870451380036E-2</v>
      </c>
      <c r="O1321" s="8">
        <f>IFERROR(H1321/G1321,0)</f>
        <v>4.3375053949072075E-2</v>
      </c>
      <c r="P1321" s="4">
        <f>IFERROR(I1321/G1321,0)</f>
        <v>1.5340763918860596</v>
      </c>
      <c r="Q1321" s="4">
        <f>IFERROR(I1321/H1321,0)</f>
        <v>35.367711442786067</v>
      </c>
      <c r="R1321" s="12">
        <f>IFERROR(J1321/I1321,0)</f>
        <v>4.7863624662571338</v>
      </c>
      <c r="S1321" s="7">
        <f>Tabla_nuevas_columnas[[#This Row],[ROAS]]</f>
        <v>4.7863624662571338</v>
      </c>
      <c r="T1321" t="str">
        <f>_xlfn.CONCAT(C1321,"-",D1321)</f>
        <v>Affiliate-España</v>
      </c>
      <c r="U1321">
        <f>YEAR(A1321)</f>
        <v>2025</v>
      </c>
      <c r="V1321">
        <f>MONTH(A1321)</f>
        <v>10</v>
      </c>
      <c r="W1321" t="str">
        <f>PROPER(TEXT(A1321,"mmmm"))</f>
        <v>Octubre</v>
      </c>
      <c r="X1321" t="str">
        <f>PROPER(TEXT(A1321,"dddd"))</f>
        <v>Domingo</v>
      </c>
      <c r="Y1321" t="str" cm="1">
        <f t="array" ref="Y1321">_xlfn.IFS(R1321&gt;10,"Excelente",R1321&gt;=5,"Bueno",R1321&gt;=2,"Débil",R1321&lt;2,"Deficiente")</f>
        <v>Débil</v>
      </c>
      <c r="Z1321" t="str">
        <f>IF(AND(R1321&lt;2,Q1321&gt;=100),"Revisar","OK")</f>
        <v>OK</v>
      </c>
      <c r="AA1321" s="55">
        <f>_xlfn.XLOOKUP(C1321,'Preguntas de negocio'!$C$114:$C$119,'Preguntas de negocio'!$D$114:$D$119,0)</f>
        <v>4.5</v>
      </c>
      <c r="AB1321" s="55">
        <f>VLOOKUP(C1321,'Preguntas de negocio'!$C$121:$D$127,2,FALSE)</f>
        <v>0.35</v>
      </c>
    </row>
    <row r="1322" spans="1:28" x14ac:dyDescent="0.3">
      <c r="A1322" s="1">
        <v>45817</v>
      </c>
      <c r="B1322" s="2" t="s">
        <v>2621</v>
      </c>
      <c r="C1322" s="2" t="s">
        <v>2515</v>
      </c>
      <c r="D1322" s="2" t="s">
        <v>2531</v>
      </c>
      <c r="E1322" s="2" t="s">
        <v>2529</v>
      </c>
      <c r="F1322" s="3">
        <v>103784</v>
      </c>
      <c r="G1322" s="3">
        <v>810</v>
      </c>
      <c r="H1322" s="3">
        <v>110</v>
      </c>
      <c r="I1322" s="4">
        <v>1618.36</v>
      </c>
      <c r="J1322" s="4">
        <v>7423.06</v>
      </c>
      <c r="K1322" s="3">
        <v>77</v>
      </c>
      <c r="L1322" s="2" t="s">
        <v>2523</v>
      </c>
      <c r="M1322" s="2" t="s">
        <v>2546</v>
      </c>
      <c r="N1322" s="8">
        <f>IFERROR(G1322/F1322,0)</f>
        <v>7.8046712402682497E-3</v>
      </c>
      <c r="O1322" s="8">
        <f>IFERROR(H1322/G1322,0)</f>
        <v>0.13580246913580246</v>
      </c>
      <c r="P1322" s="4">
        <f>IFERROR(I1322/G1322,0)</f>
        <v>1.9979753086419751</v>
      </c>
      <c r="Q1322" s="4">
        <f>IFERROR(I1322/H1322,0)</f>
        <v>14.712363636363635</v>
      </c>
      <c r="R1322" s="12">
        <f>IFERROR(J1322/I1322,0)</f>
        <v>4.5867792085815271</v>
      </c>
      <c r="S1322" s="7">
        <f>Tabla_nuevas_columnas[[#This Row],[ROAS]]</f>
        <v>4.5867792085815271</v>
      </c>
      <c r="T1322" t="str">
        <f>_xlfn.CONCAT(C1322,"-",D1322)</f>
        <v>Email-Portugal</v>
      </c>
      <c r="U1322">
        <f>YEAR(A1322)</f>
        <v>2025</v>
      </c>
      <c r="V1322">
        <f>MONTH(A1322)</f>
        <v>6</v>
      </c>
      <c r="W1322" t="str">
        <f>PROPER(TEXT(A1322,"mmmm"))</f>
        <v>Junio</v>
      </c>
      <c r="X1322" t="str">
        <f>PROPER(TEXT(A1322,"dddd"))</f>
        <v>Lunes</v>
      </c>
      <c r="Y1322" t="str" cm="1">
        <f t="array" ref="Y1322">_xlfn.IFS(R1322&gt;10,"Excelente",R1322&gt;=5,"Bueno",R1322&gt;=2,"Débil",R1322&lt;2,"Deficiente")</f>
        <v>Débil</v>
      </c>
      <c r="Z1322" t="str">
        <f>IF(AND(R1322&lt;2,Q1322&gt;=100),"Revisar","OK")</f>
        <v>OK</v>
      </c>
      <c r="AA1322" s="55">
        <f>_xlfn.XLOOKUP(C1322,'Preguntas de negocio'!$C$114:$C$119,'Preguntas de negocio'!$D$114:$D$119,0)</f>
        <v>5.5</v>
      </c>
      <c r="AB1322" s="55">
        <f>VLOOKUP(C1322,'Preguntas de negocio'!$C$121:$D$127,2,FALSE)</f>
        <v>0.65</v>
      </c>
    </row>
    <row r="1323" spans="1:28" x14ac:dyDescent="0.3">
      <c r="A1323" s="1">
        <v>45780</v>
      </c>
      <c r="B1323" s="2" t="s">
        <v>2632</v>
      </c>
      <c r="C1323" s="2" t="s">
        <v>2533</v>
      </c>
      <c r="D1323" s="2" t="s">
        <v>2531</v>
      </c>
      <c r="E1323" s="2" t="s">
        <v>2529</v>
      </c>
      <c r="F1323" s="3">
        <v>17455</v>
      </c>
      <c r="G1323" s="3">
        <v>760</v>
      </c>
      <c r="H1323" s="3">
        <v>19</v>
      </c>
      <c r="I1323" s="4">
        <v>978.22</v>
      </c>
      <c r="J1323" s="4">
        <v>2444.3000000000002</v>
      </c>
      <c r="K1323" s="3">
        <v>15</v>
      </c>
      <c r="L1323" s="2" t="s">
        <v>2523</v>
      </c>
      <c r="M1323" s="2" t="s">
        <v>2537</v>
      </c>
      <c r="N1323" s="8">
        <f>IFERROR(G1323/F1323,0)</f>
        <v>4.3540532798625034E-2</v>
      </c>
      <c r="O1323" s="8">
        <f>IFERROR(H1323/G1323,0)</f>
        <v>2.5000000000000001E-2</v>
      </c>
      <c r="P1323" s="4">
        <f>IFERROR(I1323/G1323,0)</f>
        <v>1.2871315789473685</v>
      </c>
      <c r="Q1323" s="4">
        <f>IFERROR(I1323/H1323,0)</f>
        <v>51.485263157894735</v>
      </c>
      <c r="R1323" s="12">
        <f>IFERROR(J1323/I1323,0)</f>
        <v>2.498722168837276</v>
      </c>
      <c r="S1323" s="7">
        <f>Tabla_nuevas_columnas[[#This Row],[ROAS]]</f>
        <v>2.498722168837276</v>
      </c>
      <c r="T1323" t="str">
        <f>_xlfn.CONCAT(C1323,"-",D1323)</f>
        <v>Paid Social-Portugal</v>
      </c>
      <c r="U1323">
        <f>YEAR(A1323)</f>
        <v>2025</v>
      </c>
      <c r="V1323">
        <f>MONTH(A1323)</f>
        <v>5</v>
      </c>
      <c r="W1323" t="str">
        <f>PROPER(TEXT(A1323,"mmmm"))</f>
        <v>Mayo</v>
      </c>
      <c r="X1323" t="str">
        <f>PROPER(TEXT(A1323,"dddd"))</f>
        <v>Sábado</v>
      </c>
      <c r="Y1323" t="str" cm="1">
        <f t="array" ref="Y1323">_xlfn.IFS(R1323&gt;10,"Excelente",R1323&gt;=5,"Bueno",R1323&gt;=2,"Débil",R1323&lt;2,"Deficiente")</f>
        <v>Débil</v>
      </c>
      <c r="Z1323" t="str">
        <f>IF(AND(R1323&lt;2,Q1323&gt;=100),"Revisar","OK")</f>
        <v>OK</v>
      </c>
      <c r="AA1323" s="55">
        <f>_xlfn.XLOOKUP(C1323,'Preguntas de negocio'!$C$114:$C$119,'Preguntas de negocio'!$D$114:$D$119,0)</f>
        <v>6</v>
      </c>
      <c r="AB1323" s="55">
        <f>VLOOKUP(C1323,'Preguntas de negocio'!$C$121:$D$127,2,FALSE)</f>
        <v>0.8</v>
      </c>
    </row>
    <row r="1324" spans="1:28" x14ac:dyDescent="0.3">
      <c r="A1324" s="1">
        <v>45826</v>
      </c>
      <c r="B1324" s="2" t="s">
        <v>2620</v>
      </c>
      <c r="C1324" s="2" t="s">
        <v>2543</v>
      </c>
      <c r="D1324" s="2" t="s">
        <v>2531</v>
      </c>
      <c r="E1324" s="2" t="s">
        <v>2529</v>
      </c>
      <c r="F1324" s="3">
        <v>160474</v>
      </c>
      <c r="G1324" s="3">
        <v>13911</v>
      </c>
      <c r="H1324" s="3">
        <v>580</v>
      </c>
      <c r="I1324" s="4">
        <v>7292.51</v>
      </c>
      <c r="J1324" s="4">
        <v>122110.79</v>
      </c>
      <c r="K1324" s="3">
        <v>289</v>
      </c>
      <c r="L1324" s="2" t="s">
        <v>2536</v>
      </c>
      <c r="M1324" s="2" t="s">
        <v>2537</v>
      </c>
      <c r="N1324" s="8">
        <f>IFERROR(G1324/F1324,0)</f>
        <v>8.6686939940426491E-2</v>
      </c>
      <c r="O1324" s="8">
        <f>IFERROR(H1324/G1324,0)</f>
        <v>4.1693623750988423E-2</v>
      </c>
      <c r="P1324" s="4">
        <f>IFERROR(I1324/G1324,0)</f>
        <v>0.52422615196607003</v>
      </c>
      <c r="Q1324" s="4">
        <f>IFERROR(I1324/H1324,0)</f>
        <v>12.573293103448277</v>
      </c>
      <c r="R1324" s="12">
        <f>IFERROR(J1324/I1324,0)</f>
        <v>16.744685986032241</v>
      </c>
      <c r="S1324" s="7">
        <f>Tabla_nuevas_columnas[[#This Row],[ROAS]]</f>
        <v>16.744685986032241</v>
      </c>
      <c r="T1324" t="str">
        <f>_xlfn.CONCAT(C1324,"-",D1324)</f>
        <v>Organic Social-Portugal</v>
      </c>
      <c r="U1324">
        <f>YEAR(A1324)</f>
        <v>2025</v>
      </c>
      <c r="V1324">
        <f>MONTH(A1324)</f>
        <v>6</v>
      </c>
      <c r="W1324" t="str">
        <f>PROPER(TEXT(A1324,"mmmm"))</f>
        <v>Junio</v>
      </c>
      <c r="X1324" t="str">
        <f>PROPER(TEXT(A1324,"dddd"))</f>
        <v>Miércoles</v>
      </c>
      <c r="Y1324" t="str" cm="1">
        <f t="array" ref="Y1324">_xlfn.IFS(R1324&gt;10,"Excelente",R1324&gt;=5,"Bueno",R1324&gt;=2,"Débil",R1324&lt;2,"Deficiente")</f>
        <v>Excelente</v>
      </c>
      <c r="Z1324" t="str">
        <f>IF(AND(R1324&lt;2,Q1324&gt;=100),"Revisar","OK")</f>
        <v>OK</v>
      </c>
      <c r="AA1324" s="55">
        <f>_xlfn.XLOOKUP(C1324,'Preguntas de negocio'!$C$114:$C$119,'Preguntas de negocio'!$D$114:$D$119,0)</f>
        <v>4</v>
      </c>
      <c r="AB1324" s="55">
        <f>VLOOKUP(C1324,'Preguntas de negocio'!$C$121:$D$127,2,FALSE)</f>
        <v>0.95</v>
      </c>
    </row>
    <row r="1325" spans="1:28" x14ac:dyDescent="0.3">
      <c r="A1325" s="1">
        <v>45767</v>
      </c>
      <c r="B1325" s="2" t="s">
        <v>2619</v>
      </c>
      <c r="C1325" s="2" t="s">
        <v>2521</v>
      </c>
      <c r="D1325" s="2" t="s">
        <v>2528</v>
      </c>
      <c r="E1325" s="2" t="s">
        <v>2529</v>
      </c>
      <c r="F1325" s="3">
        <v>44965</v>
      </c>
      <c r="G1325" s="3">
        <v>3162</v>
      </c>
      <c r="H1325" s="3">
        <v>116</v>
      </c>
      <c r="I1325" s="4">
        <v>3476.19</v>
      </c>
      <c r="J1325" s="4">
        <v>3519.3</v>
      </c>
      <c r="K1325" s="3">
        <v>95</v>
      </c>
      <c r="L1325" s="2" t="s">
        <v>2523</v>
      </c>
      <c r="M1325" s="2" t="s">
        <v>2526</v>
      </c>
      <c r="N1325" s="8">
        <f>IFERROR(G1325/F1325,0)</f>
        <v>7.0321361058601137E-2</v>
      </c>
      <c r="O1325" s="8">
        <f>IFERROR(H1325/G1325,0)</f>
        <v>3.6685641998734975E-2</v>
      </c>
      <c r="P1325" s="4">
        <f>IFERROR(I1325/G1325,0)</f>
        <v>1.0993643263757116</v>
      </c>
      <c r="Q1325" s="4">
        <f>IFERROR(I1325/H1325,0)</f>
        <v>29.967155172413793</v>
      </c>
      <c r="R1325" s="12">
        <f>IFERROR(J1325/I1325,0)</f>
        <v>1.0124015085481519</v>
      </c>
      <c r="S1325" s="7">
        <f>Tabla_nuevas_columnas[[#This Row],[ROAS]]</f>
        <v>1.0124015085481519</v>
      </c>
      <c r="T1325" t="str">
        <f>_xlfn.CONCAT(C1325,"-",D1325)</f>
        <v>Paid Search-España</v>
      </c>
      <c r="U1325">
        <f>YEAR(A1325)</f>
        <v>2025</v>
      </c>
      <c r="V1325">
        <f>MONTH(A1325)</f>
        <v>4</v>
      </c>
      <c r="W1325" t="str">
        <f>PROPER(TEXT(A1325,"mmmm"))</f>
        <v>Abril</v>
      </c>
      <c r="X1325" t="str">
        <f>PROPER(TEXT(A1325,"dddd"))</f>
        <v>Domingo</v>
      </c>
      <c r="Y1325" t="str" cm="1">
        <f t="array" ref="Y1325">_xlfn.IFS(R1325&gt;10,"Excelente",R1325&gt;=5,"Bueno",R1325&gt;=2,"Débil",R1325&lt;2,"Deficiente")</f>
        <v>Deficiente</v>
      </c>
      <c r="Z1325" t="str">
        <f>IF(AND(R1325&lt;2,Q1325&gt;=100),"Revisar","OK")</f>
        <v>OK</v>
      </c>
      <c r="AA1325" s="55">
        <f>_xlfn.XLOOKUP(C1325,'Preguntas de negocio'!$C$114:$C$119,'Preguntas de negocio'!$D$114:$D$119,0)</f>
        <v>5</v>
      </c>
      <c r="AB1325" s="55">
        <f>VLOOKUP(C1325,'Preguntas de negocio'!$C$121:$D$127,2,FALSE)</f>
        <v>1.1000000000000001</v>
      </c>
    </row>
    <row r="1326" spans="1:28" x14ac:dyDescent="0.3">
      <c r="A1326" s="1">
        <v>45740</v>
      </c>
      <c r="B1326" s="2" t="s">
        <v>2644</v>
      </c>
      <c r="C1326" s="2" t="s">
        <v>2521</v>
      </c>
      <c r="D1326" s="2" t="s">
        <v>2522</v>
      </c>
      <c r="E1326" s="2" t="s">
        <v>2517</v>
      </c>
      <c r="F1326" s="3">
        <v>62735</v>
      </c>
      <c r="G1326" s="3">
        <v>5457</v>
      </c>
      <c r="H1326" s="3">
        <v>580</v>
      </c>
      <c r="I1326" s="4">
        <v>5012.1099999999997</v>
      </c>
      <c r="J1326" s="4">
        <v>41920.5</v>
      </c>
      <c r="K1326" s="3">
        <v>507</v>
      </c>
      <c r="L1326" s="2" t="s">
        <v>2518</v>
      </c>
      <c r="M1326" s="2" t="s">
        <v>2524</v>
      </c>
      <c r="N1326" s="8">
        <f>IFERROR(G1326/F1326,0)</f>
        <v>8.6984936638240223E-2</v>
      </c>
      <c r="O1326" s="8">
        <f>IFERROR(H1326/G1326,0)</f>
        <v>0.10628550485614807</v>
      </c>
      <c r="P1326" s="4">
        <f>IFERROR(I1326/G1326,0)</f>
        <v>0.91847352024922113</v>
      </c>
      <c r="Q1326" s="4">
        <f>IFERROR(I1326/H1326,0)</f>
        <v>8.6415689655172407</v>
      </c>
      <c r="R1326" s="12">
        <f>IFERROR(J1326/I1326,0)</f>
        <v>8.3638427728042686</v>
      </c>
      <c r="S1326" s="7">
        <f>Tabla_nuevas_columnas[[#This Row],[ROAS]]</f>
        <v>8.3638427728042686</v>
      </c>
      <c r="T1326" t="str">
        <f>_xlfn.CONCAT(C1326,"-",D1326)</f>
        <v>Paid Search-Italia</v>
      </c>
      <c r="U1326">
        <f>YEAR(A1326)</f>
        <v>2025</v>
      </c>
      <c r="V1326">
        <f>MONTH(A1326)</f>
        <v>3</v>
      </c>
      <c r="W1326" t="str">
        <f>PROPER(TEXT(A1326,"mmmm"))</f>
        <v>Marzo</v>
      </c>
      <c r="X1326" t="str">
        <f>PROPER(TEXT(A1326,"dddd"))</f>
        <v>Lunes</v>
      </c>
      <c r="Y1326" t="str" cm="1">
        <f t="array" ref="Y1326">_xlfn.IFS(R1326&gt;10,"Excelente",R1326&gt;=5,"Bueno",R1326&gt;=2,"Débil",R1326&lt;2,"Deficiente")</f>
        <v>Bueno</v>
      </c>
      <c r="Z1326" t="str">
        <f>IF(AND(R1326&lt;2,Q1326&gt;=100),"Revisar","OK")</f>
        <v>OK</v>
      </c>
      <c r="AA1326" s="55">
        <f>_xlfn.XLOOKUP(C1326,'Preguntas de negocio'!$C$114:$C$119,'Preguntas de negocio'!$D$114:$D$119,0)</f>
        <v>5</v>
      </c>
      <c r="AB1326" s="55">
        <f>VLOOKUP(C1326,'Preguntas de negocio'!$C$121:$D$127,2,FALSE)</f>
        <v>1.1000000000000001</v>
      </c>
    </row>
    <row r="1327" spans="1:28" x14ac:dyDescent="0.3">
      <c r="A1327" s="1">
        <v>45722</v>
      </c>
      <c r="B1327" s="2" t="s">
        <v>2618</v>
      </c>
      <c r="C1327" s="2" t="s">
        <v>2521</v>
      </c>
      <c r="D1327" s="2" t="s">
        <v>2528</v>
      </c>
      <c r="E1327" s="2" t="s">
        <v>2517</v>
      </c>
      <c r="F1327" s="3">
        <v>144295</v>
      </c>
      <c r="G1327" s="3">
        <v>10429</v>
      </c>
      <c r="H1327" s="3">
        <v>689</v>
      </c>
      <c r="I1327" s="4">
        <v>19990.29</v>
      </c>
      <c r="J1327" s="4">
        <v>147345.35999999999</v>
      </c>
      <c r="K1327" s="3">
        <v>547</v>
      </c>
      <c r="L1327" s="2" t="s">
        <v>2523</v>
      </c>
      <c r="M1327" s="2" t="s">
        <v>2519</v>
      </c>
      <c r="N1327" s="8">
        <f>IFERROR(G1327/F1327,0)</f>
        <v>7.2275546623237125E-2</v>
      </c>
      <c r="O1327" s="8">
        <f>IFERROR(H1327/G1327,0)</f>
        <v>6.6065778118707452E-2</v>
      </c>
      <c r="P1327" s="4">
        <f>IFERROR(I1327/G1327,0)</f>
        <v>1.9167983507527089</v>
      </c>
      <c r="Q1327" s="4">
        <f>IFERROR(I1327/H1327,0)</f>
        <v>29.013483309143687</v>
      </c>
      <c r="R1327" s="12">
        <f>IFERROR(J1327/I1327,0)</f>
        <v>7.3708465459980808</v>
      </c>
      <c r="S1327" s="7">
        <f>Tabla_nuevas_columnas[[#This Row],[ROAS]]</f>
        <v>7.3708465459980808</v>
      </c>
      <c r="T1327" t="str">
        <f>_xlfn.CONCAT(C1327,"-",D1327)</f>
        <v>Paid Search-España</v>
      </c>
      <c r="U1327">
        <f>YEAR(A1327)</f>
        <v>2025</v>
      </c>
      <c r="V1327">
        <f>MONTH(A1327)</f>
        <v>3</v>
      </c>
      <c r="W1327" t="str">
        <f>PROPER(TEXT(A1327,"mmmm"))</f>
        <v>Marzo</v>
      </c>
      <c r="X1327" t="str">
        <f>PROPER(TEXT(A1327,"dddd"))</f>
        <v>Jueves</v>
      </c>
      <c r="Y1327" t="str" cm="1">
        <f t="array" ref="Y1327">_xlfn.IFS(R1327&gt;10,"Excelente",R1327&gt;=5,"Bueno",R1327&gt;=2,"Débil",R1327&lt;2,"Deficiente")</f>
        <v>Bueno</v>
      </c>
      <c r="Z1327" t="str">
        <f>IF(AND(R1327&lt;2,Q1327&gt;=100),"Revisar","OK")</f>
        <v>OK</v>
      </c>
      <c r="AA1327" s="55">
        <f>_xlfn.XLOOKUP(C1327,'Preguntas de negocio'!$C$114:$C$119,'Preguntas de negocio'!$D$114:$D$119,0)</f>
        <v>5</v>
      </c>
      <c r="AB1327" s="55">
        <f>VLOOKUP(C1327,'Preguntas de negocio'!$C$121:$D$127,2,FALSE)</f>
        <v>1.1000000000000001</v>
      </c>
    </row>
    <row r="1328" spans="1:28" x14ac:dyDescent="0.3">
      <c r="A1328" s="1">
        <v>45902</v>
      </c>
      <c r="B1328" s="2" t="s">
        <v>2630</v>
      </c>
      <c r="C1328" s="2" t="s">
        <v>2521</v>
      </c>
      <c r="D1328" s="2" t="s">
        <v>2528</v>
      </c>
      <c r="E1328" s="2" t="s">
        <v>2529</v>
      </c>
      <c r="F1328" s="3">
        <v>104663</v>
      </c>
      <c r="G1328" s="3">
        <v>3852</v>
      </c>
      <c r="H1328" s="3">
        <v>482</v>
      </c>
      <c r="I1328" s="4">
        <v>7692.25</v>
      </c>
      <c r="J1328" s="4">
        <v>74343.850000000006</v>
      </c>
      <c r="K1328" s="3">
        <v>302</v>
      </c>
      <c r="L1328" s="2" t="s">
        <v>2539</v>
      </c>
      <c r="M1328" s="2" t="s">
        <v>2524</v>
      </c>
      <c r="N1328" s="8">
        <f>IFERROR(G1328/F1328,0)</f>
        <v>3.6803837077095058E-2</v>
      </c>
      <c r="O1328" s="8">
        <f>IFERROR(H1328/G1328,0)</f>
        <v>0.12512980269989615</v>
      </c>
      <c r="P1328" s="4">
        <f>IFERROR(I1328/G1328,0)</f>
        <v>1.9969496365524404</v>
      </c>
      <c r="Q1328" s="4">
        <f>IFERROR(I1328/H1328,0)</f>
        <v>15.959024896265561</v>
      </c>
      <c r="R1328" s="12">
        <f>IFERROR(J1328/I1328,0)</f>
        <v>9.664772985797395</v>
      </c>
      <c r="S1328" s="7">
        <f>Tabla_nuevas_columnas[[#This Row],[ROAS]]</f>
        <v>9.664772985797395</v>
      </c>
      <c r="T1328" t="str">
        <f>_xlfn.CONCAT(C1328,"-",D1328)</f>
        <v>Paid Search-España</v>
      </c>
      <c r="U1328">
        <f>YEAR(A1328)</f>
        <v>2025</v>
      </c>
      <c r="V1328">
        <f>MONTH(A1328)</f>
        <v>9</v>
      </c>
      <c r="W1328" t="str">
        <f>PROPER(TEXT(A1328,"mmmm"))</f>
        <v>Septiembre</v>
      </c>
      <c r="X1328" t="str">
        <f>PROPER(TEXT(A1328,"dddd"))</f>
        <v>Martes</v>
      </c>
      <c r="Y1328" t="str" cm="1">
        <f t="array" ref="Y1328">_xlfn.IFS(R1328&gt;10,"Excelente",R1328&gt;=5,"Bueno",R1328&gt;=2,"Débil",R1328&lt;2,"Deficiente")</f>
        <v>Bueno</v>
      </c>
      <c r="Z1328" t="str">
        <f>IF(AND(R1328&lt;2,Q1328&gt;=100),"Revisar","OK")</f>
        <v>OK</v>
      </c>
      <c r="AA1328" s="55">
        <f>_xlfn.XLOOKUP(C1328,'Preguntas de negocio'!$C$114:$C$119,'Preguntas de negocio'!$D$114:$D$119,0)</f>
        <v>5</v>
      </c>
      <c r="AB1328" s="55">
        <f>VLOOKUP(C1328,'Preguntas de negocio'!$C$121:$D$127,2,FALSE)</f>
        <v>1.1000000000000001</v>
      </c>
    </row>
    <row r="1329" spans="1:28" x14ac:dyDescent="0.3">
      <c r="A1329" s="1">
        <v>46020</v>
      </c>
      <c r="B1329" s="2" t="s">
        <v>2644</v>
      </c>
      <c r="C1329" s="2" t="s">
        <v>2533</v>
      </c>
      <c r="D1329" s="2" t="s">
        <v>2528</v>
      </c>
      <c r="E1329" s="2" t="s">
        <v>2534</v>
      </c>
      <c r="F1329" s="3">
        <v>123604</v>
      </c>
      <c r="G1329" s="3">
        <v>4616</v>
      </c>
      <c r="H1329" s="3">
        <v>86</v>
      </c>
      <c r="I1329" s="4">
        <v>7976.94</v>
      </c>
      <c r="J1329" s="4">
        <v>15889.32</v>
      </c>
      <c r="K1329" s="3">
        <v>54</v>
      </c>
      <c r="L1329" s="2" t="s">
        <v>2539</v>
      </c>
      <c r="M1329" s="2" t="s">
        <v>2526</v>
      </c>
      <c r="N1329" s="8">
        <f>IFERROR(G1329/F1329,0)</f>
        <v>3.7345069738843405E-2</v>
      </c>
      <c r="O1329" s="8">
        <f>IFERROR(H1329/G1329,0)</f>
        <v>1.8630849220103985E-2</v>
      </c>
      <c r="P1329" s="4">
        <f>IFERROR(I1329/G1329,0)</f>
        <v>1.7281065857885614</v>
      </c>
      <c r="Q1329" s="4">
        <f>IFERROR(I1329/H1329,0)</f>
        <v>92.755116279069767</v>
      </c>
      <c r="R1329" s="12">
        <f>IFERROR(J1329/I1329,0)</f>
        <v>1.9919066709790973</v>
      </c>
      <c r="S1329" s="7">
        <f>Tabla_nuevas_columnas[[#This Row],[ROAS]]</f>
        <v>1.9919066709790973</v>
      </c>
      <c r="T1329" t="str">
        <f>_xlfn.CONCAT(C1329,"-",D1329)</f>
        <v>Paid Social-España</v>
      </c>
      <c r="U1329">
        <f>YEAR(A1329)</f>
        <v>2025</v>
      </c>
      <c r="V1329">
        <f>MONTH(A1329)</f>
        <v>12</v>
      </c>
      <c r="W1329" t="str">
        <f>PROPER(TEXT(A1329,"mmmm"))</f>
        <v>Diciembre</v>
      </c>
      <c r="X1329" t="str">
        <f>PROPER(TEXT(A1329,"dddd"))</f>
        <v>Lunes</v>
      </c>
      <c r="Y1329" t="str" cm="1">
        <f t="array" ref="Y1329">_xlfn.IFS(R1329&gt;10,"Excelente",R1329&gt;=5,"Bueno",R1329&gt;=2,"Débil",R1329&lt;2,"Deficiente")</f>
        <v>Deficiente</v>
      </c>
      <c r="Z1329" t="str">
        <f>IF(AND(R1329&lt;2,Q1329&gt;=100),"Revisar","OK")</f>
        <v>OK</v>
      </c>
      <c r="AA1329" s="55">
        <f>_xlfn.XLOOKUP(C1329,'Preguntas de negocio'!$C$114:$C$119,'Preguntas de negocio'!$D$114:$D$119,0)</f>
        <v>6</v>
      </c>
      <c r="AB1329" s="55">
        <f>VLOOKUP(C1329,'Preguntas de negocio'!$C$121:$D$127,2,FALSE)</f>
        <v>0.8</v>
      </c>
    </row>
    <row r="1330" spans="1:28" x14ac:dyDescent="0.3">
      <c r="A1330" s="1">
        <v>45681</v>
      </c>
      <c r="B1330" s="2" t="s">
        <v>2642</v>
      </c>
      <c r="C1330" s="2" t="s">
        <v>2543</v>
      </c>
      <c r="D1330" s="2" t="s">
        <v>2525</v>
      </c>
      <c r="E1330" s="2" t="s">
        <v>2529</v>
      </c>
      <c r="F1330" s="3">
        <v>63216</v>
      </c>
      <c r="G1330" s="3">
        <v>5180</v>
      </c>
      <c r="H1330" s="3">
        <v>138</v>
      </c>
      <c r="I1330" s="4">
        <v>1605.14</v>
      </c>
      <c r="J1330" s="4">
        <v>24336.84</v>
      </c>
      <c r="K1330" s="3">
        <v>97</v>
      </c>
      <c r="L1330" s="2" t="s">
        <v>2518</v>
      </c>
      <c r="M1330" s="2" t="s">
        <v>2524</v>
      </c>
      <c r="N1330" s="8">
        <f>IFERROR(G1330/F1330,0)</f>
        <v>8.1941280688433302E-2</v>
      </c>
      <c r="O1330" s="8">
        <f>IFERROR(H1330/G1330,0)</f>
        <v>2.664092664092664E-2</v>
      </c>
      <c r="P1330" s="4">
        <f>IFERROR(I1330/G1330,0)</f>
        <v>0.3098725868725869</v>
      </c>
      <c r="Q1330" s="4">
        <f>IFERROR(I1330/H1330,0)</f>
        <v>11.63144927536232</v>
      </c>
      <c r="R1330" s="12">
        <f>IFERROR(J1330/I1330,0)</f>
        <v>15.161817660764791</v>
      </c>
      <c r="S1330" s="7">
        <f>Tabla_nuevas_columnas[[#This Row],[ROAS]]</f>
        <v>15.161817660764791</v>
      </c>
      <c r="T1330" t="str">
        <f>_xlfn.CONCAT(C1330,"-",D1330)</f>
        <v>Organic Social-Francia</v>
      </c>
      <c r="U1330">
        <f>YEAR(A1330)</f>
        <v>2025</v>
      </c>
      <c r="V1330">
        <f>MONTH(A1330)</f>
        <v>1</v>
      </c>
      <c r="W1330" t="str">
        <f>PROPER(TEXT(A1330,"mmmm"))</f>
        <v>Enero</v>
      </c>
      <c r="X1330" t="str">
        <f>PROPER(TEXT(A1330,"dddd"))</f>
        <v>Viernes</v>
      </c>
      <c r="Y1330" t="str" cm="1">
        <f t="array" ref="Y1330">_xlfn.IFS(R1330&gt;10,"Excelente",R1330&gt;=5,"Bueno",R1330&gt;=2,"Débil",R1330&lt;2,"Deficiente")</f>
        <v>Excelente</v>
      </c>
      <c r="Z1330" t="str">
        <f>IF(AND(R1330&lt;2,Q1330&gt;=100),"Revisar","OK")</f>
        <v>OK</v>
      </c>
      <c r="AA1330" s="55">
        <f>_xlfn.XLOOKUP(C1330,'Preguntas de negocio'!$C$114:$C$119,'Preguntas de negocio'!$D$114:$D$119,0)</f>
        <v>4</v>
      </c>
      <c r="AB1330" s="55">
        <f>VLOOKUP(C1330,'Preguntas de negocio'!$C$121:$D$127,2,FALSE)</f>
        <v>0.95</v>
      </c>
    </row>
    <row r="1331" spans="1:28" x14ac:dyDescent="0.3">
      <c r="A1331" s="1">
        <v>45906</v>
      </c>
      <c r="B1331" s="2" t="s">
        <v>2630</v>
      </c>
      <c r="C1331" s="2" t="s">
        <v>2515</v>
      </c>
      <c r="D1331" s="2" t="s">
        <v>2528</v>
      </c>
      <c r="E1331" s="2" t="s">
        <v>2529</v>
      </c>
      <c r="F1331" s="3">
        <v>132567</v>
      </c>
      <c r="G1331" s="3">
        <v>826</v>
      </c>
      <c r="H1331" s="3">
        <v>36</v>
      </c>
      <c r="I1331" s="4">
        <v>362.75</v>
      </c>
      <c r="J1331" s="4">
        <v>6631.67</v>
      </c>
      <c r="K1331" s="3">
        <v>25</v>
      </c>
      <c r="L1331" s="2" t="s">
        <v>2539</v>
      </c>
      <c r="M1331" s="2" t="s">
        <v>2519</v>
      </c>
      <c r="N1331" s="8">
        <f>IFERROR(G1331/F1331,0)</f>
        <v>6.2308115896112905E-3</v>
      </c>
      <c r="O1331" s="8">
        <f>IFERROR(H1331/G1331,0)</f>
        <v>4.3583535108958835E-2</v>
      </c>
      <c r="P1331" s="4">
        <f>IFERROR(I1331/G1331,0)</f>
        <v>0.43916464891041163</v>
      </c>
      <c r="Q1331" s="4">
        <f>IFERROR(I1331/H1331,0)</f>
        <v>10.076388888888889</v>
      </c>
      <c r="R1331" s="12">
        <f>IFERROR(J1331/I1331,0)</f>
        <v>18.281654031702274</v>
      </c>
      <c r="S1331" s="7">
        <f>Tabla_nuevas_columnas[[#This Row],[ROAS]]</f>
        <v>18.281654031702274</v>
      </c>
      <c r="T1331" t="str">
        <f>_xlfn.CONCAT(C1331,"-",D1331)</f>
        <v>Email-España</v>
      </c>
      <c r="U1331">
        <f>YEAR(A1331)</f>
        <v>2025</v>
      </c>
      <c r="V1331">
        <f>MONTH(A1331)</f>
        <v>9</v>
      </c>
      <c r="W1331" t="str">
        <f>PROPER(TEXT(A1331,"mmmm"))</f>
        <v>Septiembre</v>
      </c>
      <c r="X1331" t="str">
        <f>PROPER(TEXT(A1331,"dddd"))</f>
        <v>Sábado</v>
      </c>
      <c r="Y1331" t="str" cm="1">
        <f t="array" ref="Y1331">_xlfn.IFS(R1331&gt;10,"Excelente",R1331&gt;=5,"Bueno",R1331&gt;=2,"Débil",R1331&lt;2,"Deficiente")</f>
        <v>Excelente</v>
      </c>
      <c r="Z1331" t="str">
        <f>IF(AND(R1331&lt;2,Q1331&gt;=100),"Revisar","OK")</f>
        <v>OK</v>
      </c>
      <c r="AA1331" s="55">
        <f>_xlfn.XLOOKUP(C1331,'Preguntas de negocio'!$C$114:$C$119,'Preguntas de negocio'!$D$114:$D$119,0)</f>
        <v>5.5</v>
      </c>
      <c r="AB1331" s="55">
        <f>VLOOKUP(C1331,'Preguntas de negocio'!$C$121:$D$127,2,FALSE)</f>
        <v>0.65</v>
      </c>
    </row>
    <row r="1332" spans="1:28" x14ac:dyDescent="0.3">
      <c r="A1332" s="1">
        <v>45862</v>
      </c>
      <c r="B1332" s="2" t="s">
        <v>2616</v>
      </c>
      <c r="C1332" s="2" t="s">
        <v>2533</v>
      </c>
      <c r="D1332" s="2" t="s">
        <v>2531</v>
      </c>
      <c r="E1332" s="2" t="s">
        <v>2529</v>
      </c>
      <c r="F1332" s="3">
        <v>172048</v>
      </c>
      <c r="G1332" s="3">
        <v>12622</v>
      </c>
      <c r="H1332" s="3">
        <v>446</v>
      </c>
      <c r="I1332" s="4">
        <v>7670.17</v>
      </c>
      <c r="J1332" s="4">
        <v>82355.149999999994</v>
      </c>
      <c r="K1332" s="3">
        <v>224</v>
      </c>
      <c r="L1332" s="2" t="s">
        <v>2518</v>
      </c>
      <c r="M1332" s="2" t="s">
        <v>2546</v>
      </c>
      <c r="N1332" s="8">
        <f>IFERROR(G1332/F1332,0)</f>
        <v>7.3363247465823497E-2</v>
      </c>
      <c r="O1332" s="8">
        <f>IFERROR(H1332/G1332,0)</f>
        <v>3.5335129139597528E-2</v>
      </c>
      <c r="P1332" s="4">
        <f>IFERROR(I1332/G1332,0)</f>
        <v>0.60768261765171927</v>
      </c>
      <c r="Q1332" s="4">
        <f>IFERROR(I1332/H1332,0)</f>
        <v>17.197690582959641</v>
      </c>
      <c r="R1332" s="12">
        <f>IFERROR(J1332/I1332,0)</f>
        <v>10.73706971292683</v>
      </c>
      <c r="S1332" s="7">
        <f>Tabla_nuevas_columnas[[#This Row],[ROAS]]</f>
        <v>10.73706971292683</v>
      </c>
      <c r="T1332" t="str">
        <f>_xlfn.CONCAT(C1332,"-",D1332)</f>
        <v>Paid Social-Portugal</v>
      </c>
      <c r="U1332">
        <f>YEAR(A1332)</f>
        <v>2025</v>
      </c>
      <c r="V1332">
        <f>MONTH(A1332)</f>
        <v>7</v>
      </c>
      <c r="W1332" t="str">
        <f>PROPER(TEXT(A1332,"mmmm"))</f>
        <v>Julio</v>
      </c>
      <c r="X1332" t="str">
        <f>PROPER(TEXT(A1332,"dddd"))</f>
        <v>Jueves</v>
      </c>
      <c r="Y1332" t="str" cm="1">
        <f t="array" ref="Y1332">_xlfn.IFS(R1332&gt;10,"Excelente",R1332&gt;=5,"Bueno",R1332&gt;=2,"Débil",R1332&lt;2,"Deficiente")</f>
        <v>Excelente</v>
      </c>
      <c r="Z1332" t="str">
        <f>IF(AND(R1332&lt;2,Q1332&gt;=100),"Revisar","OK")</f>
        <v>OK</v>
      </c>
      <c r="AA1332" s="55">
        <f>_xlfn.XLOOKUP(C1332,'Preguntas de negocio'!$C$114:$C$119,'Preguntas de negocio'!$D$114:$D$119,0)</f>
        <v>6</v>
      </c>
      <c r="AB1332" s="55">
        <f>VLOOKUP(C1332,'Preguntas de negocio'!$C$121:$D$127,2,FALSE)</f>
        <v>0.8</v>
      </c>
    </row>
    <row r="1333" spans="1:28" x14ac:dyDescent="0.3">
      <c r="A1333" s="1">
        <v>45950</v>
      </c>
      <c r="B1333" s="2" t="s">
        <v>2632</v>
      </c>
      <c r="C1333" s="2" t="s">
        <v>2541</v>
      </c>
      <c r="D1333" s="2" t="s">
        <v>2528</v>
      </c>
      <c r="E1333" s="2" t="s">
        <v>2517</v>
      </c>
      <c r="F1333" s="3">
        <v>109858</v>
      </c>
      <c r="G1333" s="3">
        <v>4555</v>
      </c>
      <c r="H1333" s="3">
        <v>103</v>
      </c>
      <c r="I1333" s="4">
        <v>6968.21</v>
      </c>
      <c r="J1333" s="4">
        <v>11668.79</v>
      </c>
      <c r="K1333" s="3">
        <v>61</v>
      </c>
      <c r="L1333" s="2" t="s">
        <v>2539</v>
      </c>
      <c r="M1333" s="2" t="s">
        <v>2546</v>
      </c>
      <c r="N1333" s="8">
        <f>IFERROR(G1333/F1333,0)</f>
        <v>4.146261537621293E-2</v>
      </c>
      <c r="O1333" s="8">
        <f>IFERROR(H1333/G1333,0)</f>
        <v>2.2612513721185511E-2</v>
      </c>
      <c r="P1333" s="4">
        <f>IFERROR(I1333/G1333,0)</f>
        <v>1.5297936333699231</v>
      </c>
      <c r="Q1333" s="4">
        <f>IFERROR(I1333/H1333,0)</f>
        <v>67.652524271844655</v>
      </c>
      <c r="R1333" s="12">
        <f>IFERROR(J1333/I1333,0)</f>
        <v>1.6745749625800601</v>
      </c>
      <c r="S1333" s="7">
        <f>Tabla_nuevas_columnas[[#This Row],[ROAS]]</f>
        <v>1.6745749625800601</v>
      </c>
      <c r="T1333" t="str">
        <f>_xlfn.CONCAT(C1333,"-",D1333)</f>
        <v>Display-España</v>
      </c>
      <c r="U1333">
        <f>YEAR(A1333)</f>
        <v>2025</v>
      </c>
      <c r="V1333">
        <f>MONTH(A1333)</f>
        <v>10</v>
      </c>
      <c r="W1333" t="str">
        <f>PROPER(TEXT(A1333,"mmmm"))</f>
        <v>Octubre</v>
      </c>
      <c r="X1333" t="str">
        <f>PROPER(TEXT(A1333,"dddd"))</f>
        <v>Lunes</v>
      </c>
      <c r="Y1333" t="str" cm="1">
        <f t="array" ref="Y1333">_xlfn.IFS(R1333&gt;10,"Excelente",R1333&gt;=5,"Bueno",R1333&gt;=2,"Débil",R1333&lt;2,"Deficiente")</f>
        <v>Deficiente</v>
      </c>
      <c r="Z1333" t="str">
        <f>IF(AND(R1333&lt;2,Q1333&gt;=100),"Revisar","OK")</f>
        <v>OK</v>
      </c>
      <c r="AA1333" s="55">
        <f>_xlfn.XLOOKUP(C1333,'Preguntas de negocio'!$C$114:$C$119,'Preguntas de negocio'!$D$114:$D$119,0)</f>
        <v>5</v>
      </c>
      <c r="AB1333" s="55">
        <f>VLOOKUP(C1333,'Preguntas de negocio'!$C$121:$D$127,2,FALSE)</f>
        <v>0.5</v>
      </c>
    </row>
    <row r="1334" spans="1:28" x14ac:dyDescent="0.3">
      <c r="A1334" s="1">
        <v>45732</v>
      </c>
      <c r="B1334" s="2" t="s">
        <v>2622</v>
      </c>
      <c r="C1334" s="2" t="s">
        <v>2527</v>
      </c>
      <c r="D1334" s="2" t="s">
        <v>2516</v>
      </c>
      <c r="E1334" s="2" t="s">
        <v>2529</v>
      </c>
      <c r="F1334" s="3">
        <v>141071</v>
      </c>
      <c r="G1334" s="3">
        <v>685</v>
      </c>
      <c r="H1334" s="3">
        <v>47</v>
      </c>
      <c r="I1334" s="4">
        <v>542.76</v>
      </c>
      <c r="J1334" s="4">
        <v>3499.37</v>
      </c>
      <c r="K1334" s="3">
        <v>31</v>
      </c>
      <c r="L1334" s="2" t="s">
        <v>2518</v>
      </c>
      <c r="M1334" s="2" t="s">
        <v>2546</v>
      </c>
      <c r="N1334" s="8">
        <f>IFERROR(G1334/F1334,0)</f>
        <v>4.8557109540585943E-3</v>
      </c>
      <c r="O1334" s="8">
        <f>IFERROR(H1334/G1334,0)</f>
        <v>6.8613138686131392E-2</v>
      </c>
      <c r="P1334" s="4">
        <f>IFERROR(I1334/G1334,0)</f>
        <v>0.79235036496350364</v>
      </c>
      <c r="Q1334" s="4">
        <f>IFERROR(I1334/H1334,0)</f>
        <v>11.548085106382979</v>
      </c>
      <c r="R1334" s="12">
        <f>IFERROR(J1334/I1334,0)</f>
        <v>6.4473616331343502</v>
      </c>
      <c r="S1334" s="7">
        <f>Tabla_nuevas_columnas[[#This Row],[ROAS]]</f>
        <v>6.4473616331343502</v>
      </c>
      <c r="T1334" t="str">
        <f>_xlfn.CONCAT(C1334,"-",D1334)</f>
        <v>Affiliate-México</v>
      </c>
      <c r="U1334">
        <f>YEAR(A1334)</f>
        <v>2025</v>
      </c>
      <c r="V1334">
        <f>MONTH(A1334)</f>
        <v>3</v>
      </c>
      <c r="W1334" t="str">
        <f>PROPER(TEXT(A1334,"mmmm"))</f>
        <v>Marzo</v>
      </c>
      <c r="X1334" t="str">
        <f>PROPER(TEXT(A1334,"dddd"))</f>
        <v>Domingo</v>
      </c>
      <c r="Y1334" t="str" cm="1">
        <f t="array" ref="Y1334">_xlfn.IFS(R1334&gt;10,"Excelente",R1334&gt;=5,"Bueno",R1334&gt;=2,"Débil",R1334&lt;2,"Deficiente")</f>
        <v>Bueno</v>
      </c>
      <c r="Z1334" t="str">
        <f>IF(AND(R1334&lt;2,Q1334&gt;=100),"Revisar","OK")</f>
        <v>OK</v>
      </c>
      <c r="AA1334" s="55">
        <f>_xlfn.XLOOKUP(C1334,'Preguntas de negocio'!$C$114:$C$119,'Preguntas de negocio'!$D$114:$D$119,0)</f>
        <v>4.5</v>
      </c>
      <c r="AB1334" s="55">
        <f>VLOOKUP(C1334,'Preguntas de negocio'!$C$121:$D$127,2,FALSE)</f>
        <v>0.35</v>
      </c>
    </row>
    <row r="1335" spans="1:28" x14ac:dyDescent="0.3">
      <c r="A1335" s="1">
        <v>46017</v>
      </c>
      <c r="B1335" s="2" t="s">
        <v>2637</v>
      </c>
      <c r="C1335" s="2" t="s">
        <v>2515</v>
      </c>
      <c r="D1335" s="2" t="s">
        <v>2516</v>
      </c>
      <c r="E1335" s="2" t="s">
        <v>2517</v>
      </c>
      <c r="F1335" s="3">
        <v>164565</v>
      </c>
      <c r="G1335" s="3">
        <v>7866</v>
      </c>
      <c r="H1335" s="3">
        <v>358</v>
      </c>
      <c r="I1335" s="4">
        <v>10028.65</v>
      </c>
      <c r="J1335" s="4">
        <v>69429.11</v>
      </c>
      <c r="K1335" s="3">
        <v>214</v>
      </c>
      <c r="L1335" s="2" t="s">
        <v>2536</v>
      </c>
      <c r="M1335" s="2" t="s">
        <v>2524</v>
      </c>
      <c r="N1335" s="8">
        <f>IFERROR(G1335/F1335,0)</f>
        <v>4.7798742138364783E-2</v>
      </c>
      <c r="O1335" s="8">
        <f>IFERROR(H1335/G1335,0)</f>
        <v>4.5512331553521482E-2</v>
      </c>
      <c r="P1335" s="4">
        <f>IFERROR(I1335/G1335,0)</f>
        <v>1.2749364352911263</v>
      </c>
      <c r="Q1335" s="4">
        <f>IFERROR(I1335/H1335,0)</f>
        <v>28.01298882681564</v>
      </c>
      <c r="R1335" s="12">
        <f>IFERROR(J1335/I1335,0)</f>
        <v>6.9230763861536699</v>
      </c>
      <c r="S1335" s="7">
        <f>Tabla_nuevas_columnas[[#This Row],[ROAS]]</f>
        <v>6.9230763861536699</v>
      </c>
      <c r="T1335" t="str">
        <f>_xlfn.CONCAT(C1335,"-",D1335)</f>
        <v>Email-México</v>
      </c>
      <c r="U1335">
        <f>YEAR(A1335)</f>
        <v>2025</v>
      </c>
      <c r="V1335">
        <f>MONTH(A1335)</f>
        <v>12</v>
      </c>
      <c r="W1335" t="str">
        <f>PROPER(TEXT(A1335,"mmmm"))</f>
        <v>Diciembre</v>
      </c>
      <c r="X1335" t="str">
        <f>PROPER(TEXT(A1335,"dddd"))</f>
        <v>Viernes</v>
      </c>
      <c r="Y1335" t="str" cm="1">
        <f t="array" ref="Y1335">_xlfn.IFS(R1335&gt;10,"Excelente",R1335&gt;=5,"Bueno",R1335&gt;=2,"Débil",R1335&lt;2,"Deficiente")</f>
        <v>Bueno</v>
      </c>
      <c r="Z1335" t="str">
        <f>IF(AND(R1335&lt;2,Q1335&gt;=100),"Revisar","OK")</f>
        <v>OK</v>
      </c>
      <c r="AA1335" s="55">
        <f>_xlfn.XLOOKUP(C1335,'Preguntas de negocio'!$C$114:$C$119,'Preguntas de negocio'!$D$114:$D$119,0)</f>
        <v>5.5</v>
      </c>
      <c r="AB1335" s="55">
        <f>VLOOKUP(C1335,'Preguntas de negocio'!$C$121:$D$127,2,FALSE)</f>
        <v>0.65</v>
      </c>
    </row>
    <row r="1336" spans="1:28" x14ac:dyDescent="0.3">
      <c r="A1336" s="1">
        <v>45914</v>
      </c>
      <c r="B1336" s="2" t="s">
        <v>2618</v>
      </c>
      <c r="C1336" s="2" t="s">
        <v>2521</v>
      </c>
      <c r="D1336" s="2" t="s">
        <v>2525</v>
      </c>
      <c r="E1336" s="2" t="s">
        <v>2517</v>
      </c>
      <c r="F1336" s="3">
        <v>87155</v>
      </c>
      <c r="G1336" s="3">
        <v>4244</v>
      </c>
      <c r="H1336" s="3">
        <v>297</v>
      </c>
      <c r="I1336" s="4">
        <v>3582.3</v>
      </c>
      <c r="J1336" s="4">
        <v>33208.43</v>
      </c>
      <c r="K1336" s="3">
        <v>218</v>
      </c>
      <c r="L1336" s="2" t="s">
        <v>2536</v>
      </c>
      <c r="M1336" s="2" t="s">
        <v>2537</v>
      </c>
      <c r="N1336" s="8">
        <f>IFERROR(G1336/F1336,0)</f>
        <v>4.869485399575469E-2</v>
      </c>
      <c r="O1336" s="8">
        <f>IFERROR(H1336/G1336,0)</f>
        <v>6.9981149858623942E-2</v>
      </c>
      <c r="P1336" s="4">
        <f>IFERROR(I1336/G1336,0)</f>
        <v>0.84408576814326108</v>
      </c>
      <c r="Q1336" s="4">
        <f>IFERROR(I1336/H1336,0)</f>
        <v>12.061616161616163</v>
      </c>
      <c r="R1336" s="12">
        <f>IFERROR(J1336/I1336,0)</f>
        <v>9.2701420874856932</v>
      </c>
      <c r="S1336" s="7">
        <f>Tabla_nuevas_columnas[[#This Row],[ROAS]]</f>
        <v>9.2701420874856932</v>
      </c>
      <c r="T1336" t="str">
        <f>_xlfn.CONCAT(C1336,"-",D1336)</f>
        <v>Paid Search-Francia</v>
      </c>
      <c r="U1336">
        <f>YEAR(A1336)</f>
        <v>2025</v>
      </c>
      <c r="V1336">
        <f>MONTH(A1336)</f>
        <v>9</v>
      </c>
      <c r="W1336" t="str">
        <f>PROPER(TEXT(A1336,"mmmm"))</f>
        <v>Septiembre</v>
      </c>
      <c r="X1336" t="str">
        <f>PROPER(TEXT(A1336,"dddd"))</f>
        <v>Domingo</v>
      </c>
      <c r="Y1336" t="str" cm="1">
        <f t="array" ref="Y1336">_xlfn.IFS(R1336&gt;10,"Excelente",R1336&gt;=5,"Bueno",R1336&gt;=2,"Débil",R1336&lt;2,"Deficiente")</f>
        <v>Bueno</v>
      </c>
      <c r="Z1336" t="str">
        <f>IF(AND(R1336&lt;2,Q1336&gt;=100),"Revisar","OK")</f>
        <v>OK</v>
      </c>
      <c r="AA1336" s="55">
        <f>_xlfn.XLOOKUP(C1336,'Preguntas de negocio'!$C$114:$C$119,'Preguntas de negocio'!$D$114:$D$119,0)</f>
        <v>5</v>
      </c>
      <c r="AB1336" s="55">
        <f>VLOOKUP(C1336,'Preguntas de negocio'!$C$121:$D$127,2,FALSE)</f>
        <v>1.1000000000000001</v>
      </c>
    </row>
    <row r="1337" spans="1:28" x14ac:dyDescent="0.3">
      <c r="A1337" s="1">
        <v>45845</v>
      </c>
      <c r="B1337" s="2" t="s">
        <v>2615</v>
      </c>
      <c r="C1337" s="2" t="s">
        <v>2543</v>
      </c>
      <c r="D1337" s="2" t="s">
        <v>2525</v>
      </c>
      <c r="E1337" s="2" t="s">
        <v>2529</v>
      </c>
      <c r="F1337" s="3">
        <v>57341</v>
      </c>
      <c r="G1337" s="3">
        <v>3351</v>
      </c>
      <c r="H1337" s="3">
        <v>19</v>
      </c>
      <c r="I1337" s="4">
        <v>4106.53</v>
      </c>
      <c r="J1337" s="4">
        <v>3053.74</v>
      </c>
      <c r="K1337" s="3">
        <v>15</v>
      </c>
      <c r="L1337" s="2" t="s">
        <v>2523</v>
      </c>
      <c r="M1337" s="2" t="s">
        <v>2546</v>
      </c>
      <c r="N1337" s="8">
        <f>IFERROR(G1337/F1337,0)</f>
        <v>5.843985978619138E-2</v>
      </c>
      <c r="O1337" s="8">
        <f>IFERROR(H1337/G1337,0)</f>
        <v>5.6699492688749627E-3</v>
      </c>
      <c r="P1337" s="4">
        <f>IFERROR(I1337/G1337,0)</f>
        <v>1.2254640405849</v>
      </c>
      <c r="Q1337" s="4">
        <f>IFERROR(I1337/H1337,0)</f>
        <v>216.13315789473683</v>
      </c>
      <c r="R1337" s="12">
        <f>IFERROR(J1337/I1337,0)</f>
        <v>0.74363026691635026</v>
      </c>
      <c r="S1337" s="7">
        <f>Tabla_nuevas_columnas[[#This Row],[ROAS]]</f>
        <v>0.74363026691635026</v>
      </c>
      <c r="T1337" t="str">
        <f>_xlfn.CONCAT(C1337,"-",D1337)</f>
        <v>Organic Social-Francia</v>
      </c>
      <c r="U1337">
        <f>YEAR(A1337)</f>
        <v>2025</v>
      </c>
      <c r="V1337">
        <f>MONTH(A1337)</f>
        <v>7</v>
      </c>
      <c r="W1337" t="str">
        <f>PROPER(TEXT(A1337,"mmmm"))</f>
        <v>Julio</v>
      </c>
      <c r="X1337" t="str">
        <f>PROPER(TEXT(A1337,"dddd"))</f>
        <v>Lunes</v>
      </c>
      <c r="Y1337" t="str" cm="1">
        <f t="array" ref="Y1337">_xlfn.IFS(R1337&gt;10,"Excelente",R1337&gt;=5,"Bueno",R1337&gt;=2,"Débil",R1337&lt;2,"Deficiente")</f>
        <v>Deficiente</v>
      </c>
      <c r="Z1337" t="str">
        <f>IF(AND(R1337&lt;2,Q1337&gt;=100),"Revisar","OK")</f>
        <v>Revisar</v>
      </c>
      <c r="AA1337" s="55">
        <f>_xlfn.XLOOKUP(C1337,'Preguntas de negocio'!$C$114:$C$119,'Preguntas de negocio'!$D$114:$D$119,0)</f>
        <v>4</v>
      </c>
      <c r="AB1337" s="55">
        <f>VLOOKUP(C1337,'Preguntas de negocio'!$C$121:$D$127,2,FALSE)</f>
        <v>0.95</v>
      </c>
    </row>
    <row r="1338" spans="1:28" x14ac:dyDescent="0.3">
      <c r="A1338" s="1">
        <v>45809</v>
      </c>
      <c r="B1338" s="2" t="s">
        <v>2643</v>
      </c>
      <c r="C1338" s="2" t="s">
        <v>2533</v>
      </c>
      <c r="D1338" s="2" t="s">
        <v>2525</v>
      </c>
      <c r="E1338" s="2" t="s">
        <v>2517</v>
      </c>
      <c r="F1338" s="3">
        <v>105464</v>
      </c>
      <c r="G1338" s="3">
        <v>105822</v>
      </c>
      <c r="H1338" s="3">
        <v>378</v>
      </c>
      <c r="I1338" s="4">
        <v>1877.42</v>
      </c>
      <c r="J1338" s="4">
        <v>74821.45</v>
      </c>
      <c r="K1338" s="3">
        <v>299</v>
      </c>
      <c r="L1338" s="2" t="s">
        <v>2539</v>
      </c>
      <c r="M1338" s="2" t="s">
        <v>2537</v>
      </c>
      <c r="N1338" s="8">
        <f>IFERROR(G1338/F1338,0)</f>
        <v>1.0033945232496397</v>
      </c>
      <c r="O1338" s="8">
        <f>IFERROR(H1338/G1338,0)</f>
        <v>3.5720360605545161E-3</v>
      </c>
      <c r="P1338" s="4">
        <f>IFERROR(I1338/G1338,0)</f>
        <v>1.774130143070439E-2</v>
      </c>
      <c r="Q1338" s="4">
        <f>IFERROR(I1338/H1338,0)</f>
        <v>4.9667195767195773</v>
      </c>
      <c r="R1338" s="12">
        <f>IFERROR(J1338/I1338,0)</f>
        <v>39.853335961052935</v>
      </c>
      <c r="S1338" s="7">
        <f>Tabla_nuevas_columnas[[#This Row],[ROAS]]</f>
        <v>39.853335961052935</v>
      </c>
      <c r="T1338" t="str">
        <f>_xlfn.CONCAT(C1338,"-",D1338)</f>
        <v>Paid Social-Francia</v>
      </c>
      <c r="U1338">
        <f>YEAR(A1338)</f>
        <v>2025</v>
      </c>
      <c r="V1338">
        <f>MONTH(A1338)</f>
        <v>6</v>
      </c>
      <c r="W1338" t="str">
        <f>PROPER(TEXT(A1338,"mmmm"))</f>
        <v>Junio</v>
      </c>
      <c r="X1338" t="str">
        <f>PROPER(TEXT(A1338,"dddd"))</f>
        <v>Domingo</v>
      </c>
      <c r="Y1338" t="str" cm="1">
        <f t="array" ref="Y1338">_xlfn.IFS(R1338&gt;10,"Excelente",R1338&gt;=5,"Bueno",R1338&gt;=2,"Débil",R1338&lt;2,"Deficiente")</f>
        <v>Excelente</v>
      </c>
      <c r="Z1338" t="str">
        <f>IF(AND(R1338&lt;2,Q1338&gt;=100),"Revisar","OK")</f>
        <v>OK</v>
      </c>
      <c r="AA1338" s="55">
        <f>_xlfn.XLOOKUP(C1338,'Preguntas de negocio'!$C$114:$C$119,'Preguntas de negocio'!$D$114:$D$119,0)</f>
        <v>6</v>
      </c>
      <c r="AB1338" s="55">
        <f>VLOOKUP(C1338,'Preguntas de negocio'!$C$121:$D$127,2,FALSE)</f>
        <v>0.8</v>
      </c>
    </row>
    <row r="1339" spans="1:28" x14ac:dyDescent="0.3">
      <c r="A1339" s="1">
        <v>45857</v>
      </c>
      <c r="B1339" s="2" t="s">
        <v>2638</v>
      </c>
      <c r="C1339" s="2" t="s">
        <v>2541</v>
      </c>
      <c r="D1339" s="2" t="s">
        <v>2531</v>
      </c>
      <c r="E1339" s="2" t="s">
        <v>2517</v>
      </c>
      <c r="F1339" s="3">
        <v>57451</v>
      </c>
      <c r="G1339" s="3">
        <v>2814</v>
      </c>
      <c r="H1339" s="3">
        <v>167</v>
      </c>
      <c r="I1339" s="4">
        <v>4567.8</v>
      </c>
      <c r="J1339" s="4">
        <v>9772.56</v>
      </c>
      <c r="K1339" s="3">
        <v>132</v>
      </c>
      <c r="L1339" s="2" t="s">
        <v>2536</v>
      </c>
      <c r="M1339" s="2" t="s">
        <v>2519</v>
      </c>
      <c r="N1339" s="8">
        <f>IFERROR(G1339/F1339,0)</f>
        <v>4.8980870654992952E-2</v>
      </c>
      <c r="O1339" s="8">
        <f>IFERROR(H1339/G1339,0)</f>
        <v>5.9346126510305616E-2</v>
      </c>
      <c r="P1339" s="4">
        <f>IFERROR(I1339/G1339,0)</f>
        <v>1.6232409381663113</v>
      </c>
      <c r="Q1339" s="4">
        <f>IFERROR(I1339/H1339,0)</f>
        <v>27.352095808383236</v>
      </c>
      <c r="R1339" s="12">
        <f>IFERROR(J1339/I1339,0)</f>
        <v>2.1394456850124786</v>
      </c>
      <c r="S1339" s="7">
        <f>Tabla_nuevas_columnas[[#This Row],[ROAS]]</f>
        <v>2.1394456850124786</v>
      </c>
      <c r="T1339" t="str">
        <f>_xlfn.CONCAT(C1339,"-",D1339)</f>
        <v>Display-Portugal</v>
      </c>
      <c r="U1339">
        <f>YEAR(A1339)</f>
        <v>2025</v>
      </c>
      <c r="V1339">
        <f>MONTH(A1339)</f>
        <v>7</v>
      </c>
      <c r="W1339" t="str">
        <f>PROPER(TEXT(A1339,"mmmm"))</f>
        <v>Julio</v>
      </c>
      <c r="X1339" t="str">
        <f>PROPER(TEXT(A1339,"dddd"))</f>
        <v>Sábado</v>
      </c>
      <c r="Y1339" t="str" cm="1">
        <f t="array" ref="Y1339">_xlfn.IFS(R1339&gt;10,"Excelente",R1339&gt;=5,"Bueno",R1339&gt;=2,"Débil",R1339&lt;2,"Deficiente")</f>
        <v>Débil</v>
      </c>
      <c r="Z1339" t="str">
        <f>IF(AND(R1339&lt;2,Q1339&gt;=100),"Revisar","OK")</f>
        <v>OK</v>
      </c>
      <c r="AA1339" s="55">
        <f>_xlfn.XLOOKUP(C1339,'Preguntas de negocio'!$C$114:$C$119,'Preguntas de negocio'!$D$114:$D$119,0)</f>
        <v>5</v>
      </c>
      <c r="AB1339" s="55">
        <f>VLOOKUP(C1339,'Preguntas de negocio'!$C$121:$D$127,2,FALSE)</f>
        <v>0.5</v>
      </c>
    </row>
    <row r="1340" spans="1:28" x14ac:dyDescent="0.3">
      <c r="A1340" s="1">
        <v>45870</v>
      </c>
      <c r="B1340" s="2" t="s">
        <v>2623</v>
      </c>
      <c r="C1340" s="2" t="s">
        <v>2515</v>
      </c>
      <c r="D1340" s="2" t="s">
        <v>2516</v>
      </c>
      <c r="E1340" s="2" t="s">
        <v>2529</v>
      </c>
      <c r="F1340" s="3">
        <v>52333</v>
      </c>
      <c r="G1340" s="3">
        <v>4355</v>
      </c>
      <c r="H1340" s="3">
        <v>322</v>
      </c>
      <c r="I1340" s="4">
        <v>1058.74</v>
      </c>
      <c r="J1340" s="4">
        <v>40387.75</v>
      </c>
      <c r="K1340" s="3">
        <v>273</v>
      </c>
      <c r="L1340" s="2" t="s">
        <v>2518</v>
      </c>
      <c r="M1340" s="2" t="s">
        <v>2537</v>
      </c>
      <c r="N1340" s="8">
        <f>IFERROR(G1340/F1340,0)</f>
        <v>8.3217090554716905E-2</v>
      </c>
      <c r="O1340" s="8">
        <f>IFERROR(H1340/G1340,0)</f>
        <v>7.3938002296211253E-2</v>
      </c>
      <c r="P1340" s="4">
        <f>IFERROR(I1340/G1340,0)</f>
        <v>0.24310907003444318</v>
      </c>
      <c r="Q1340" s="4">
        <f>IFERROR(I1340/H1340,0)</f>
        <v>3.2880124223602483</v>
      </c>
      <c r="R1340" s="12">
        <f>IFERROR(J1340/I1340,0)</f>
        <v>38.14699548519939</v>
      </c>
      <c r="S1340" s="7">
        <f>Tabla_nuevas_columnas[[#This Row],[ROAS]]</f>
        <v>38.14699548519939</v>
      </c>
      <c r="T1340" t="str">
        <f>_xlfn.CONCAT(C1340,"-",D1340)</f>
        <v>Email-México</v>
      </c>
      <c r="U1340">
        <f>YEAR(A1340)</f>
        <v>2025</v>
      </c>
      <c r="V1340">
        <f>MONTH(A1340)</f>
        <v>8</v>
      </c>
      <c r="W1340" t="str">
        <f>PROPER(TEXT(A1340,"mmmm"))</f>
        <v>Agosto</v>
      </c>
      <c r="X1340" t="str">
        <f>PROPER(TEXT(A1340,"dddd"))</f>
        <v>Viernes</v>
      </c>
      <c r="Y1340" t="str" cm="1">
        <f t="array" ref="Y1340">_xlfn.IFS(R1340&gt;10,"Excelente",R1340&gt;=5,"Bueno",R1340&gt;=2,"Débil",R1340&lt;2,"Deficiente")</f>
        <v>Excelente</v>
      </c>
      <c r="Z1340" t="str">
        <f>IF(AND(R1340&lt;2,Q1340&gt;=100),"Revisar","OK")</f>
        <v>OK</v>
      </c>
      <c r="AA1340" s="55">
        <f>_xlfn.XLOOKUP(C1340,'Preguntas de negocio'!$C$114:$C$119,'Preguntas de negocio'!$D$114:$D$119,0)</f>
        <v>5.5</v>
      </c>
      <c r="AB1340" s="55">
        <f>VLOOKUP(C1340,'Preguntas de negocio'!$C$121:$D$127,2,FALSE)</f>
        <v>0.65</v>
      </c>
    </row>
    <row r="1341" spans="1:28" x14ac:dyDescent="0.3">
      <c r="A1341" s="1">
        <v>45997</v>
      </c>
      <c r="B1341" s="2" t="s">
        <v>2615</v>
      </c>
      <c r="C1341" s="2" t="s">
        <v>2515</v>
      </c>
      <c r="D1341" s="2" t="s">
        <v>2528</v>
      </c>
      <c r="E1341" s="2" t="s">
        <v>2517</v>
      </c>
      <c r="F1341" s="3">
        <v>33376</v>
      </c>
      <c r="G1341" s="3">
        <v>2244</v>
      </c>
      <c r="H1341" s="3">
        <v>239</v>
      </c>
      <c r="I1341" s="4">
        <v>2193.23</v>
      </c>
      <c r="J1341" s="4">
        <v>20193.93</v>
      </c>
      <c r="K1341" s="3">
        <v>194</v>
      </c>
      <c r="L1341" s="2" t="s">
        <v>2539</v>
      </c>
      <c r="M1341" s="2" t="s">
        <v>2546</v>
      </c>
      <c r="N1341" s="8">
        <f>IFERROR(G1341/F1341,0)</f>
        <v>6.7233940556088209E-2</v>
      </c>
      <c r="O1341" s="8">
        <f>IFERROR(H1341/G1341,0)</f>
        <v>0.10650623885918004</v>
      </c>
      <c r="P1341" s="4">
        <f>IFERROR(I1341/G1341,0)</f>
        <v>0.97737522281639932</v>
      </c>
      <c r="Q1341" s="4">
        <f>IFERROR(I1341/H1341,0)</f>
        <v>9.176694560669457</v>
      </c>
      <c r="R1341" s="12">
        <f>IFERROR(J1341/I1341,0)</f>
        <v>9.207392749506436</v>
      </c>
      <c r="S1341" s="7">
        <f>Tabla_nuevas_columnas[[#This Row],[ROAS]]</f>
        <v>9.207392749506436</v>
      </c>
      <c r="T1341" t="str">
        <f>_xlfn.CONCAT(C1341,"-",D1341)</f>
        <v>Email-España</v>
      </c>
      <c r="U1341">
        <f>YEAR(A1341)</f>
        <v>2025</v>
      </c>
      <c r="V1341">
        <f>MONTH(A1341)</f>
        <v>12</v>
      </c>
      <c r="W1341" t="str">
        <f>PROPER(TEXT(A1341,"mmmm"))</f>
        <v>Diciembre</v>
      </c>
      <c r="X1341" t="str">
        <f>PROPER(TEXT(A1341,"dddd"))</f>
        <v>Sábado</v>
      </c>
      <c r="Y1341" t="str" cm="1">
        <f t="array" ref="Y1341">_xlfn.IFS(R1341&gt;10,"Excelente",R1341&gt;=5,"Bueno",R1341&gt;=2,"Débil",R1341&lt;2,"Deficiente")</f>
        <v>Bueno</v>
      </c>
      <c r="Z1341" t="str">
        <f>IF(AND(R1341&lt;2,Q1341&gt;=100),"Revisar","OK")</f>
        <v>OK</v>
      </c>
      <c r="AA1341" s="55">
        <f>_xlfn.XLOOKUP(C1341,'Preguntas de negocio'!$C$114:$C$119,'Preguntas de negocio'!$D$114:$D$119,0)</f>
        <v>5.5</v>
      </c>
      <c r="AB1341" s="55">
        <f>VLOOKUP(C1341,'Preguntas de negocio'!$C$121:$D$127,2,FALSE)</f>
        <v>0.65</v>
      </c>
    </row>
    <row r="1342" spans="1:28" x14ac:dyDescent="0.3">
      <c r="A1342" s="1">
        <v>45855</v>
      </c>
      <c r="B1342" s="2" t="s">
        <v>2630</v>
      </c>
      <c r="C1342" s="2" t="s">
        <v>2527</v>
      </c>
      <c r="D1342" s="2" t="s">
        <v>2516</v>
      </c>
      <c r="E1342" s="2" t="s">
        <v>2517</v>
      </c>
      <c r="F1342" s="3">
        <v>150401</v>
      </c>
      <c r="G1342" s="3">
        <v>1049</v>
      </c>
      <c r="H1342" s="3">
        <v>58</v>
      </c>
      <c r="I1342" s="4">
        <v>223.74</v>
      </c>
      <c r="J1342" s="4">
        <v>11625.8</v>
      </c>
      <c r="K1342" s="3">
        <v>33</v>
      </c>
      <c r="L1342" s="2" t="s">
        <v>2518</v>
      </c>
      <c r="M1342" s="2" t="s">
        <v>2546</v>
      </c>
      <c r="N1342" s="8">
        <f>IFERROR(G1342/F1342,0)</f>
        <v>6.9746876683000779E-3</v>
      </c>
      <c r="O1342" s="8">
        <f>IFERROR(H1342/G1342,0)</f>
        <v>5.5290753098188754E-2</v>
      </c>
      <c r="P1342" s="4">
        <f>IFERROR(I1342/G1342,0)</f>
        <v>0.21328884652049571</v>
      </c>
      <c r="Q1342" s="4">
        <f>IFERROR(I1342/H1342,0)</f>
        <v>3.8575862068965519</v>
      </c>
      <c r="R1342" s="12">
        <f>IFERROR(J1342/I1342,0)</f>
        <v>51.961204970054524</v>
      </c>
      <c r="S1342" s="7">
        <f>Tabla_nuevas_columnas[[#This Row],[ROAS]]</f>
        <v>51.961204970054524</v>
      </c>
      <c r="T1342" t="str">
        <f>_xlfn.CONCAT(C1342,"-",D1342)</f>
        <v>Affiliate-México</v>
      </c>
      <c r="U1342">
        <f>YEAR(A1342)</f>
        <v>2025</v>
      </c>
      <c r="V1342">
        <f>MONTH(A1342)</f>
        <v>7</v>
      </c>
      <c r="W1342" t="str">
        <f>PROPER(TEXT(A1342,"mmmm"))</f>
        <v>Julio</v>
      </c>
      <c r="X1342" t="str">
        <f>PROPER(TEXT(A1342,"dddd"))</f>
        <v>Jueves</v>
      </c>
      <c r="Y1342" t="str" cm="1">
        <f t="array" ref="Y1342">_xlfn.IFS(R1342&gt;10,"Excelente",R1342&gt;=5,"Bueno",R1342&gt;=2,"Débil",R1342&lt;2,"Deficiente")</f>
        <v>Excelente</v>
      </c>
      <c r="Z1342" t="str">
        <f>IF(AND(R1342&lt;2,Q1342&gt;=100),"Revisar","OK")</f>
        <v>OK</v>
      </c>
      <c r="AA1342" s="55">
        <f>_xlfn.XLOOKUP(C1342,'Preguntas de negocio'!$C$114:$C$119,'Preguntas de negocio'!$D$114:$D$119,0)</f>
        <v>4.5</v>
      </c>
      <c r="AB1342" s="55">
        <f>VLOOKUP(C1342,'Preguntas de negocio'!$C$121:$D$127,2,FALSE)</f>
        <v>0.35</v>
      </c>
    </row>
    <row r="1343" spans="1:28" x14ac:dyDescent="0.3">
      <c r="A1343" s="1">
        <v>45686</v>
      </c>
      <c r="B1343" s="2" t="s">
        <v>2628</v>
      </c>
      <c r="C1343" s="2" t="s">
        <v>2527</v>
      </c>
      <c r="D1343" s="2" t="s">
        <v>2525</v>
      </c>
      <c r="E1343" s="2" t="s">
        <v>2517</v>
      </c>
      <c r="F1343" s="3">
        <v>167137</v>
      </c>
      <c r="G1343" s="3">
        <v>13537</v>
      </c>
      <c r="H1343" s="3">
        <v>1281</v>
      </c>
      <c r="I1343" s="4">
        <v>15796.99</v>
      </c>
      <c r="J1343" s="4">
        <v>57997.36</v>
      </c>
      <c r="K1343" s="3">
        <v>896</v>
      </c>
      <c r="L1343" s="2" t="s">
        <v>2536</v>
      </c>
      <c r="M1343" s="2" t="s">
        <v>2519</v>
      </c>
      <c r="N1343" s="8">
        <f>IFERROR(G1343/F1343,0)</f>
        <v>8.0993436522134532E-2</v>
      </c>
      <c r="O1343" s="8">
        <f>IFERROR(H1343/G1343,0)</f>
        <v>9.4629533870133703E-2</v>
      </c>
      <c r="P1343" s="4">
        <f>IFERROR(I1343/G1343,0)</f>
        <v>1.1669491024599246</v>
      </c>
      <c r="Q1343" s="4">
        <f>IFERROR(I1343/H1343,0)</f>
        <v>12.33176424668228</v>
      </c>
      <c r="R1343" s="12">
        <f>IFERROR(J1343/I1343,0)</f>
        <v>3.6714184157868051</v>
      </c>
      <c r="S1343" s="7">
        <f>Tabla_nuevas_columnas[[#This Row],[ROAS]]</f>
        <v>3.6714184157868051</v>
      </c>
      <c r="T1343" t="str">
        <f>_xlfn.CONCAT(C1343,"-",D1343)</f>
        <v>Affiliate-Francia</v>
      </c>
      <c r="U1343">
        <f>YEAR(A1343)</f>
        <v>2025</v>
      </c>
      <c r="V1343">
        <f>MONTH(A1343)</f>
        <v>1</v>
      </c>
      <c r="W1343" t="str">
        <f>PROPER(TEXT(A1343,"mmmm"))</f>
        <v>Enero</v>
      </c>
      <c r="X1343" t="str">
        <f>PROPER(TEXT(A1343,"dddd"))</f>
        <v>Miércoles</v>
      </c>
      <c r="Y1343" t="str" cm="1">
        <f t="array" ref="Y1343">_xlfn.IFS(R1343&gt;10,"Excelente",R1343&gt;=5,"Bueno",R1343&gt;=2,"Débil",R1343&lt;2,"Deficiente")</f>
        <v>Débil</v>
      </c>
      <c r="Z1343" t="str">
        <f>IF(AND(R1343&lt;2,Q1343&gt;=100),"Revisar","OK")</f>
        <v>OK</v>
      </c>
      <c r="AA1343" s="55">
        <f>_xlfn.XLOOKUP(C1343,'Preguntas de negocio'!$C$114:$C$119,'Preguntas de negocio'!$D$114:$D$119,0)</f>
        <v>4.5</v>
      </c>
      <c r="AB1343" s="55">
        <f>VLOOKUP(C1343,'Preguntas de negocio'!$C$121:$D$127,2,FALSE)</f>
        <v>0.35</v>
      </c>
    </row>
    <row r="1344" spans="1:28" x14ac:dyDescent="0.3">
      <c r="A1344" s="1">
        <v>45908</v>
      </c>
      <c r="B1344" s="2" t="s">
        <v>2636</v>
      </c>
      <c r="C1344" s="2" t="s">
        <v>2543</v>
      </c>
      <c r="D1344" s="2" t="s">
        <v>2525</v>
      </c>
      <c r="E1344" s="2" t="s">
        <v>2517</v>
      </c>
      <c r="F1344" s="3">
        <v>168137</v>
      </c>
      <c r="G1344" s="3">
        <v>13438</v>
      </c>
      <c r="H1344" s="3">
        <v>682</v>
      </c>
      <c r="I1344" s="4">
        <v>15331.58</v>
      </c>
      <c r="J1344" s="4">
        <v>77399.08</v>
      </c>
      <c r="K1344" s="3">
        <v>596</v>
      </c>
      <c r="L1344" s="2" t="s">
        <v>2536</v>
      </c>
      <c r="M1344" s="2" t="s">
        <v>2519</v>
      </c>
      <c r="N1344" s="8">
        <f>IFERROR(G1344/F1344,0)</f>
        <v>7.9922919999762101E-2</v>
      </c>
      <c r="O1344" s="8">
        <f>IFERROR(H1344/G1344,0)</f>
        <v>5.075159994046733E-2</v>
      </c>
      <c r="P1344" s="4">
        <f>IFERROR(I1344/G1344,0)</f>
        <v>1.1409123381455573</v>
      </c>
      <c r="Q1344" s="4">
        <f>IFERROR(I1344/H1344,0)</f>
        <v>22.480322580645161</v>
      </c>
      <c r="R1344" s="12">
        <f>IFERROR(J1344/I1344,0)</f>
        <v>5.0483433540443974</v>
      </c>
      <c r="S1344" s="7">
        <f>Tabla_nuevas_columnas[[#This Row],[ROAS]]</f>
        <v>5.0483433540443974</v>
      </c>
      <c r="T1344" t="str">
        <f>_xlfn.CONCAT(C1344,"-",D1344)</f>
        <v>Organic Social-Francia</v>
      </c>
      <c r="U1344">
        <f>YEAR(A1344)</f>
        <v>2025</v>
      </c>
      <c r="V1344">
        <f>MONTH(A1344)</f>
        <v>9</v>
      </c>
      <c r="W1344" t="str">
        <f>PROPER(TEXT(A1344,"mmmm"))</f>
        <v>Septiembre</v>
      </c>
      <c r="X1344" t="str">
        <f>PROPER(TEXT(A1344,"dddd"))</f>
        <v>Lunes</v>
      </c>
      <c r="Y1344" t="str" cm="1">
        <f t="array" ref="Y1344">_xlfn.IFS(R1344&gt;10,"Excelente",R1344&gt;=5,"Bueno",R1344&gt;=2,"Débil",R1344&lt;2,"Deficiente")</f>
        <v>Bueno</v>
      </c>
      <c r="Z1344" t="str">
        <f>IF(AND(R1344&lt;2,Q1344&gt;=100),"Revisar","OK")</f>
        <v>OK</v>
      </c>
      <c r="AA1344" s="55">
        <f>_xlfn.XLOOKUP(C1344,'Preguntas de negocio'!$C$114:$C$119,'Preguntas de negocio'!$D$114:$D$119,0)</f>
        <v>4</v>
      </c>
      <c r="AB1344" s="55">
        <f>VLOOKUP(C1344,'Preguntas de negocio'!$C$121:$D$127,2,FALSE)</f>
        <v>0.95</v>
      </c>
    </row>
    <row r="1345" spans="1:28" x14ac:dyDescent="0.3">
      <c r="A1345" s="1">
        <v>45874</v>
      </c>
      <c r="B1345" s="2" t="s">
        <v>2635</v>
      </c>
      <c r="C1345" s="2" t="s">
        <v>2533</v>
      </c>
      <c r="D1345" s="2" t="s">
        <v>2522</v>
      </c>
      <c r="E1345" s="2" t="s">
        <v>2534</v>
      </c>
      <c r="F1345" s="3">
        <v>32703</v>
      </c>
      <c r="G1345" s="3">
        <v>1953</v>
      </c>
      <c r="H1345" s="3">
        <v>160</v>
      </c>
      <c r="I1345" s="4">
        <v>3285.02</v>
      </c>
      <c r="J1345" s="4">
        <v>3579.6</v>
      </c>
      <c r="K1345" s="3">
        <v>102</v>
      </c>
      <c r="L1345" s="2" t="s">
        <v>2539</v>
      </c>
      <c r="M1345" s="2" t="s">
        <v>2526</v>
      </c>
      <c r="N1345" s="8">
        <f>IFERROR(G1345/F1345,0)</f>
        <v>5.9719291808090998E-2</v>
      </c>
      <c r="O1345" s="8">
        <f>IFERROR(H1345/G1345,0)</f>
        <v>8.1925243215565796E-2</v>
      </c>
      <c r="P1345" s="4">
        <f>IFERROR(I1345/G1345,0)</f>
        <v>1.6820378904249871</v>
      </c>
      <c r="Q1345" s="4">
        <f>IFERROR(I1345/H1345,0)</f>
        <v>20.531375000000001</v>
      </c>
      <c r="R1345" s="12">
        <f>IFERROR(J1345/I1345,0)</f>
        <v>1.0896737310579541</v>
      </c>
      <c r="S1345" s="7">
        <f>Tabla_nuevas_columnas[[#This Row],[ROAS]]</f>
        <v>1.0896737310579541</v>
      </c>
      <c r="T1345" t="str">
        <f>_xlfn.CONCAT(C1345,"-",D1345)</f>
        <v>Paid Social-Italia</v>
      </c>
      <c r="U1345">
        <f>YEAR(A1345)</f>
        <v>2025</v>
      </c>
      <c r="V1345">
        <f>MONTH(A1345)</f>
        <v>8</v>
      </c>
      <c r="W1345" t="str">
        <f>PROPER(TEXT(A1345,"mmmm"))</f>
        <v>Agosto</v>
      </c>
      <c r="X1345" t="str">
        <f>PROPER(TEXT(A1345,"dddd"))</f>
        <v>Martes</v>
      </c>
      <c r="Y1345" t="str" cm="1">
        <f t="array" ref="Y1345">_xlfn.IFS(R1345&gt;10,"Excelente",R1345&gt;=5,"Bueno",R1345&gt;=2,"Débil",R1345&lt;2,"Deficiente")</f>
        <v>Deficiente</v>
      </c>
      <c r="Z1345" t="str">
        <f>IF(AND(R1345&lt;2,Q1345&gt;=100),"Revisar","OK")</f>
        <v>OK</v>
      </c>
      <c r="AA1345" s="55">
        <f>_xlfn.XLOOKUP(C1345,'Preguntas de negocio'!$C$114:$C$119,'Preguntas de negocio'!$D$114:$D$119,0)</f>
        <v>6</v>
      </c>
      <c r="AB1345" s="55">
        <f>VLOOKUP(C1345,'Preguntas de negocio'!$C$121:$D$127,2,FALSE)</f>
        <v>0.8</v>
      </c>
    </row>
    <row r="1346" spans="1:28" x14ac:dyDescent="0.3">
      <c r="A1346" s="1">
        <v>46017</v>
      </c>
      <c r="B1346" s="2" t="s">
        <v>2636</v>
      </c>
      <c r="C1346" s="2" t="s">
        <v>2541</v>
      </c>
      <c r="D1346" s="2" t="s">
        <v>2531</v>
      </c>
      <c r="E1346" s="2" t="s">
        <v>2517</v>
      </c>
      <c r="F1346" s="3">
        <v>49015</v>
      </c>
      <c r="G1346" s="3">
        <v>4409</v>
      </c>
      <c r="H1346" s="3">
        <v>392</v>
      </c>
      <c r="I1346" s="4">
        <v>1202.1600000000001</v>
      </c>
      <c r="J1346" s="4">
        <v>15116.88</v>
      </c>
      <c r="K1346" s="3">
        <v>178</v>
      </c>
      <c r="L1346" s="2" t="s">
        <v>2539</v>
      </c>
      <c r="M1346" s="2" t="s">
        <v>2546</v>
      </c>
      <c r="N1346" s="8">
        <f>IFERROR(G1346/F1346,0)</f>
        <v>8.995205549321636E-2</v>
      </c>
      <c r="O1346" s="8">
        <f>IFERROR(H1346/G1346,0)</f>
        <v>8.8909049671127241E-2</v>
      </c>
      <c r="P1346" s="4">
        <f>IFERROR(I1346/G1346,0)</f>
        <v>0.27266046722612841</v>
      </c>
      <c r="Q1346" s="4">
        <f>IFERROR(I1346/H1346,0)</f>
        <v>3.0667346938775513</v>
      </c>
      <c r="R1346" s="12">
        <f>IFERROR(J1346/I1346,0)</f>
        <v>12.574765422239967</v>
      </c>
      <c r="S1346" s="7">
        <f>Tabla_nuevas_columnas[[#This Row],[ROAS]]</f>
        <v>12.574765422239967</v>
      </c>
      <c r="T1346" t="str">
        <f>_xlfn.CONCAT(C1346,"-",D1346)</f>
        <v>Display-Portugal</v>
      </c>
      <c r="U1346">
        <f>YEAR(A1346)</f>
        <v>2025</v>
      </c>
      <c r="V1346">
        <f>MONTH(A1346)</f>
        <v>12</v>
      </c>
      <c r="W1346" t="str">
        <f>PROPER(TEXT(A1346,"mmmm"))</f>
        <v>Diciembre</v>
      </c>
      <c r="X1346" t="str">
        <f>PROPER(TEXT(A1346,"dddd"))</f>
        <v>Viernes</v>
      </c>
      <c r="Y1346" t="str" cm="1">
        <f t="array" ref="Y1346">_xlfn.IFS(R1346&gt;10,"Excelente",R1346&gt;=5,"Bueno",R1346&gt;=2,"Débil",R1346&lt;2,"Deficiente")</f>
        <v>Excelente</v>
      </c>
      <c r="Z1346" t="str">
        <f>IF(AND(R1346&lt;2,Q1346&gt;=100),"Revisar","OK")</f>
        <v>OK</v>
      </c>
      <c r="AA1346" s="55">
        <f>_xlfn.XLOOKUP(C1346,'Preguntas de negocio'!$C$114:$C$119,'Preguntas de negocio'!$D$114:$D$119,0)</f>
        <v>5</v>
      </c>
      <c r="AB1346" s="55">
        <f>VLOOKUP(C1346,'Preguntas de negocio'!$C$121:$D$127,2,FALSE)</f>
        <v>0.5</v>
      </c>
    </row>
    <row r="1347" spans="1:28" x14ac:dyDescent="0.3">
      <c r="A1347" s="1">
        <v>45716</v>
      </c>
      <c r="B1347" s="2" t="s">
        <v>2634</v>
      </c>
      <c r="C1347" s="2" t="s">
        <v>2543</v>
      </c>
      <c r="D1347" s="2" t="s">
        <v>2528</v>
      </c>
      <c r="E1347" s="2" t="s">
        <v>2517</v>
      </c>
      <c r="F1347" s="3">
        <v>21520</v>
      </c>
      <c r="G1347" s="3">
        <v>1699</v>
      </c>
      <c r="H1347" s="3">
        <v>187</v>
      </c>
      <c r="I1347" s="4">
        <v>2157.48</v>
      </c>
      <c r="J1347" s="4">
        <v>32714.11</v>
      </c>
      <c r="K1347" s="3">
        <v>148</v>
      </c>
      <c r="L1347" s="2" t="s">
        <v>2539</v>
      </c>
      <c r="M1347" s="2" t="s">
        <v>2524</v>
      </c>
      <c r="N1347" s="8">
        <f>IFERROR(G1347/F1347,0)</f>
        <v>7.8949814126394055E-2</v>
      </c>
      <c r="O1347" s="8">
        <f>IFERROR(H1347/G1347,0)</f>
        <v>0.11006474396703944</v>
      </c>
      <c r="P1347" s="4">
        <f>IFERROR(I1347/G1347,0)</f>
        <v>1.2698528546203649</v>
      </c>
      <c r="Q1347" s="4">
        <f>IFERROR(I1347/H1347,0)</f>
        <v>11.537326203208556</v>
      </c>
      <c r="R1347" s="12">
        <f>IFERROR(J1347/I1347,0)</f>
        <v>15.163111593154976</v>
      </c>
      <c r="S1347" s="7">
        <f>Tabla_nuevas_columnas[[#This Row],[ROAS]]</f>
        <v>15.163111593154976</v>
      </c>
      <c r="T1347" t="str">
        <f>_xlfn.CONCAT(C1347,"-",D1347)</f>
        <v>Organic Social-España</v>
      </c>
      <c r="U1347">
        <f>YEAR(A1347)</f>
        <v>2025</v>
      </c>
      <c r="V1347">
        <f>MONTH(A1347)</f>
        <v>2</v>
      </c>
      <c r="W1347" t="str">
        <f>PROPER(TEXT(A1347,"mmmm"))</f>
        <v>Febrero</v>
      </c>
      <c r="X1347" t="str">
        <f>PROPER(TEXT(A1347,"dddd"))</f>
        <v>Viernes</v>
      </c>
      <c r="Y1347" t="str" cm="1">
        <f t="array" ref="Y1347">_xlfn.IFS(R1347&gt;10,"Excelente",R1347&gt;=5,"Bueno",R1347&gt;=2,"Débil",R1347&lt;2,"Deficiente")</f>
        <v>Excelente</v>
      </c>
      <c r="Z1347" t="str">
        <f>IF(AND(R1347&lt;2,Q1347&gt;=100),"Revisar","OK")</f>
        <v>OK</v>
      </c>
      <c r="AA1347" s="55">
        <f>_xlfn.XLOOKUP(C1347,'Preguntas de negocio'!$C$114:$C$119,'Preguntas de negocio'!$D$114:$D$119,0)</f>
        <v>4</v>
      </c>
      <c r="AB1347" s="55">
        <f>VLOOKUP(C1347,'Preguntas de negocio'!$C$121:$D$127,2,FALSE)</f>
        <v>0.95</v>
      </c>
    </row>
    <row r="1348" spans="1:28" x14ac:dyDescent="0.3">
      <c r="A1348" s="1">
        <v>45717</v>
      </c>
      <c r="B1348" s="2" t="s">
        <v>2641</v>
      </c>
      <c r="C1348" s="2" t="s">
        <v>2543</v>
      </c>
      <c r="D1348" s="2" t="s">
        <v>2516</v>
      </c>
      <c r="E1348" s="2" t="s">
        <v>2517</v>
      </c>
      <c r="F1348" s="3">
        <v>67163</v>
      </c>
      <c r="G1348" s="3">
        <v>5572</v>
      </c>
      <c r="H1348" s="3">
        <v>658</v>
      </c>
      <c r="I1348" s="4">
        <v>6390.58</v>
      </c>
      <c r="J1348" s="4">
        <v>72534.09</v>
      </c>
      <c r="K1348" s="3">
        <v>529</v>
      </c>
      <c r="L1348" s="2" t="s">
        <v>2536</v>
      </c>
      <c r="M1348" s="2" t="s">
        <v>2537</v>
      </c>
      <c r="N1348" s="8">
        <f>IFERROR(G1348/F1348,0)</f>
        <v>8.2962345338951513E-2</v>
      </c>
      <c r="O1348" s="8">
        <f>IFERROR(H1348/G1348,0)</f>
        <v>0.11809045226130653</v>
      </c>
      <c r="P1348" s="4">
        <f>IFERROR(I1348/G1348,0)</f>
        <v>1.1469095477386935</v>
      </c>
      <c r="Q1348" s="4">
        <f>IFERROR(I1348/H1348,0)</f>
        <v>9.7121276595744686</v>
      </c>
      <c r="R1348" s="12">
        <f>IFERROR(J1348/I1348,0)</f>
        <v>11.350157575681706</v>
      </c>
      <c r="S1348" s="7">
        <f>Tabla_nuevas_columnas[[#This Row],[ROAS]]</f>
        <v>11.350157575681706</v>
      </c>
      <c r="T1348" t="str">
        <f>_xlfn.CONCAT(C1348,"-",D1348)</f>
        <v>Organic Social-México</v>
      </c>
      <c r="U1348">
        <f>YEAR(A1348)</f>
        <v>2025</v>
      </c>
      <c r="V1348">
        <f>MONTH(A1348)</f>
        <v>3</v>
      </c>
      <c r="W1348" t="str">
        <f>PROPER(TEXT(A1348,"mmmm"))</f>
        <v>Marzo</v>
      </c>
      <c r="X1348" t="str">
        <f>PROPER(TEXT(A1348,"dddd"))</f>
        <v>Sábado</v>
      </c>
      <c r="Y1348" t="str" cm="1">
        <f t="array" ref="Y1348">_xlfn.IFS(R1348&gt;10,"Excelente",R1348&gt;=5,"Bueno",R1348&gt;=2,"Débil",R1348&lt;2,"Deficiente")</f>
        <v>Excelente</v>
      </c>
      <c r="Z1348" t="str">
        <f>IF(AND(R1348&lt;2,Q1348&gt;=100),"Revisar","OK")</f>
        <v>OK</v>
      </c>
      <c r="AA1348" s="55">
        <f>_xlfn.XLOOKUP(C1348,'Preguntas de negocio'!$C$114:$C$119,'Preguntas de negocio'!$D$114:$D$119,0)</f>
        <v>4</v>
      </c>
      <c r="AB1348" s="55">
        <f>VLOOKUP(C1348,'Preguntas de negocio'!$C$121:$D$127,2,FALSE)</f>
        <v>0.95</v>
      </c>
    </row>
    <row r="1349" spans="1:28" x14ac:dyDescent="0.3">
      <c r="A1349" s="1">
        <v>45811</v>
      </c>
      <c r="B1349" s="2" t="s">
        <v>2639</v>
      </c>
      <c r="C1349" s="2" t="s">
        <v>2515</v>
      </c>
      <c r="D1349" s="2" t="s">
        <v>2525</v>
      </c>
      <c r="E1349" s="2" t="s">
        <v>2529</v>
      </c>
      <c r="F1349" s="3">
        <v>175538</v>
      </c>
      <c r="G1349" s="3">
        <v>6234</v>
      </c>
      <c r="H1349" s="3">
        <v>374</v>
      </c>
      <c r="I1349" s="4">
        <v>12125.44</v>
      </c>
      <c r="J1349" s="4">
        <v>15140.83</v>
      </c>
      <c r="K1349" s="3">
        <v>269</v>
      </c>
      <c r="L1349" s="2" t="s">
        <v>2539</v>
      </c>
      <c r="M1349" s="2" t="s">
        <v>2526</v>
      </c>
      <c r="N1349" s="8">
        <f>IFERROR(G1349/F1349,0)</f>
        <v>3.5513677950073486E-2</v>
      </c>
      <c r="O1349" s="8">
        <f>IFERROR(H1349/G1349,0)</f>
        <v>5.9993583573949308E-2</v>
      </c>
      <c r="P1349" s="4">
        <f>IFERROR(I1349/G1349,0)</f>
        <v>1.945049727301893</v>
      </c>
      <c r="Q1349" s="4">
        <f>IFERROR(I1349/H1349,0)</f>
        <v>32.420962566844921</v>
      </c>
      <c r="R1349" s="12">
        <f>IFERROR(J1349/I1349,0)</f>
        <v>1.2486829343924839</v>
      </c>
      <c r="S1349" s="7">
        <f>Tabla_nuevas_columnas[[#This Row],[ROAS]]</f>
        <v>1.2486829343924839</v>
      </c>
      <c r="T1349" t="str">
        <f>_xlfn.CONCAT(C1349,"-",D1349)</f>
        <v>Email-Francia</v>
      </c>
      <c r="U1349">
        <f>YEAR(A1349)</f>
        <v>2025</v>
      </c>
      <c r="V1349">
        <f>MONTH(A1349)</f>
        <v>6</v>
      </c>
      <c r="W1349" t="str">
        <f>PROPER(TEXT(A1349,"mmmm"))</f>
        <v>Junio</v>
      </c>
      <c r="X1349" t="str">
        <f>PROPER(TEXT(A1349,"dddd"))</f>
        <v>Martes</v>
      </c>
      <c r="Y1349" t="str" cm="1">
        <f t="array" ref="Y1349">_xlfn.IFS(R1349&gt;10,"Excelente",R1349&gt;=5,"Bueno",R1349&gt;=2,"Débil",R1349&lt;2,"Deficiente")</f>
        <v>Deficiente</v>
      </c>
      <c r="Z1349" t="str">
        <f>IF(AND(R1349&lt;2,Q1349&gt;=100),"Revisar","OK")</f>
        <v>OK</v>
      </c>
      <c r="AA1349" s="55">
        <f>_xlfn.XLOOKUP(C1349,'Preguntas de negocio'!$C$114:$C$119,'Preguntas de negocio'!$D$114:$D$119,0)</f>
        <v>5.5</v>
      </c>
      <c r="AB1349" s="55">
        <f>VLOOKUP(C1349,'Preguntas de negocio'!$C$121:$D$127,2,FALSE)</f>
        <v>0.65</v>
      </c>
    </row>
    <row r="1350" spans="1:28" x14ac:dyDescent="0.3">
      <c r="A1350" s="1">
        <v>45877</v>
      </c>
      <c r="B1350" s="2" t="s">
        <v>2643</v>
      </c>
      <c r="C1350" s="2" t="s">
        <v>2515</v>
      </c>
      <c r="D1350" s="2" t="s">
        <v>2525</v>
      </c>
      <c r="E1350" s="2" t="s">
        <v>2529</v>
      </c>
      <c r="F1350" s="3">
        <v>12581</v>
      </c>
      <c r="G1350" s="3">
        <v>248</v>
      </c>
      <c r="H1350" s="3">
        <v>3</v>
      </c>
      <c r="I1350" s="4">
        <v>344.53</v>
      </c>
      <c r="J1350" s="4">
        <v>512.78</v>
      </c>
      <c r="K1350" s="3">
        <v>2</v>
      </c>
      <c r="L1350" s="2" t="s">
        <v>2523</v>
      </c>
      <c r="M1350" s="2" t="s">
        <v>2524</v>
      </c>
      <c r="N1350" s="8">
        <f>IFERROR(G1350/F1350,0)</f>
        <v>1.9712264525872346E-2</v>
      </c>
      <c r="O1350" s="8">
        <f>IFERROR(H1350/G1350,0)</f>
        <v>1.2096774193548387E-2</v>
      </c>
      <c r="P1350" s="4">
        <f>IFERROR(I1350/G1350,0)</f>
        <v>1.3892338709677419</v>
      </c>
      <c r="Q1350" s="4">
        <f>IFERROR(I1350/H1350,0)</f>
        <v>114.84333333333332</v>
      </c>
      <c r="R1350" s="12">
        <f>IFERROR(J1350/I1350,0)</f>
        <v>1.488346442980292</v>
      </c>
      <c r="S1350" s="7">
        <f>Tabla_nuevas_columnas[[#This Row],[ROAS]]</f>
        <v>1.488346442980292</v>
      </c>
      <c r="T1350" t="str">
        <f>_xlfn.CONCAT(C1350,"-",D1350)</f>
        <v>Email-Francia</v>
      </c>
      <c r="U1350">
        <f>YEAR(A1350)</f>
        <v>2025</v>
      </c>
      <c r="V1350">
        <f>MONTH(A1350)</f>
        <v>8</v>
      </c>
      <c r="W1350" t="str">
        <f>PROPER(TEXT(A1350,"mmmm"))</f>
        <v>Agosto</v>
      </c>
      <c r="X1350" t="str">
        <f>PROPER(TEXT(A1350,"dddd"))</f>
        <v>Viernes</v>
      </c>
      <c r="Y1350" t="str" cm="1">
        <f t="array" ref="Y1350">_xlfn.IFS(R1350&gt;10,"Excelente",R1350&gt;=5,"Bueno",R1350&gt;=2,"Débil",R1350&lt;2,"Deficiente")</f>
        <v>Deficiente</v>
      </c>
      <c r="Z1350" t="str">
        <f>IF(AND(R1350&lt;2,Q1350&gt;=100),"Revisar","OK")</f>
        <v>Revisar</v>
      </c>
      <c r="AA1350" s="55">
        <f>_xlfn.XLOOKUP(C1350,'Preguntas de negocio'!$C$114:$C$119,'Preguntas de negocio'!$D$114:$D$119,0)</f>
        <v>5.5</v>
      </c>
      <c r="AB1350" s="55">
        <f>VLOOKUP(C1350,'Preguntas de negocio'!$C$121:$D$127,2,FALSE)</f>
        <v>0.65</v>
      </c>
    </row>
    <row r="1351" spans="1:28" x14ac:dyDescent="0.3">
      <c r="A1351" s="1">
        <v>45986</v>
      </c>
      <c r="B1351" s="2" t="s">
        <v>2619</v>
      </c>
      <c r="C1351" s="2" t="s">
        <v>2541</v>
      </c>
      <c r="D1351" s="2" t="s">
        <v>2528</v>
      </c>
      <c r="E1351" s="2" t="s">
        <v>2517</v>
      </c>
      <c r="F1351" s="3">
        <v>127330</v>
      </c>
      <c r="G1351" s="3">
        <v>9608</v>
      </c>
      <c r="H1351" s="3">
        <v>1307</v>
      </c>
      <c r="I1351" s="4">
        <v>3866.57</v>
      </c>
      <c r="J1351" s="4">
        <v>117468.13</v>
      </c>
      <c r="K1351" s="3">
        <v>672</v>
      </c>
      <c r="L1351" s="2" t="s">
        <v>2518</v>
      </c>
      <c r="M1351" s="2" t="s">
        <v>2546</v>
      </c>
      <c r="N1351" s="8">
        <f>IFERROR(G1351/F1351,0)</f>
        <v>7.5457472708709658E-2</v>
      </c>
      <c r="O1351" s="8">
        <f>IFERROR(H1351/G1351,0)</f>
        <v>0.13603247293921733</v>
      </c>
      <c r="P1351" s="4">
        <f>IFERROR(I1351/G1351,0)</f>
        <v>0.40243234804329725</v>
      </c>
      <c r="Q1351" s="4">
        <f>IFERROR(I1351/H1351,0)</f>
        <v>2.9583550114766641</v>
      </c>
      <c r="R1351" s="12">
        <f>IFERROR(J1351/I1351,0)</f>
        <v>30.380448304311056</v>
      </c>
      <c r="S1351" s="7">
        <f>Tabla_nuevas_columnas[[#This Row],[ROAS]]</f>
        <v>30.380448304311056</v>
      </c>
      <c r="T1351" t="str">
        <f>_xlfn.CONCAT(C1351,"-",D1351)</f>
        <v>Display-España</v>
      </c>
      <c r="U1351">
        <f>YEAR(A1351)</f>
        <v>2025</v>
      </c>
      <c r="V1351">
        <f>MONTH(A1351)</f>
        <v>11</v>
      </c>
      <c r="W1351" t="str">
        <f>PROPER(TEXT(A1351,"mmmm"))</f>
        <v>Noviembre</v>
      </c>
      <c r="X1351" t="str">
        <f>PROPER(TEXT(A1351,"dddd"))</f>
        <v>Martes</v>
      </c>
      <c r="Y1351" t="str" cm="1">
        <f t="array" ref="Y1351">_xlfn.IFS(R1351&gt;10,"Excelente",R1351&gt;=5,"Bueno",R1351&gt;=2,"Débil",R1351&lt;2,"Deficiente")</f>
        <v>Excelente</v>
      </c>
      <c r="Z1351" t="str">
        <f>IF(AND(R1351&lt;2,Q1351&gt;=100),"Revisar","OK")</f>
        <v>OK</v>
      </c>
      <c r="AA1351" s="55">
        <f>_xlfn.XLOOKUP(C1351,'Preguntas de negocio'!$C$114:$C$119,'Preguntas de negocio'!$D$114:$D$119,0)</f>
        <v>5</v>
      </c>
      <c r="AB1351" s="55">
        <f>VLOOKUP(C1351,'Preguntas de negocio'!$C$121:$D$127,2,FALSE)</f>
        <v>0.5</v>
      </c>
    </row>
    <row r="1352" spans="1:28" x14ac:dyDescent="0.3">
      <c r="A1352" s="1">
        <v>45694</v>
      </c>
      <c r="B1352" s="2" t="s">
        <v>2641</v>
      </c>
      <c r="C1352" s="2" t="s">
        <v>2515</v>
      </c>
      <c r="D1352" s="2" t="s">
        <v>2528</v>
      </c>
      <c r="E1352" s="2" t="s">
        <v>2529</v>
      </c>
      <c r="F1352" s="3">
        <v>50484</v>
      </c>
      <c r="G1352" s="3">
        <v>2739</v>
      </c>
      <c r="H1352" s="3">
        <v>168</v>
      </c>
      <c r="I1352" s="4">
        <v>893.63</v>
      </c>
      <c r="J1352" s="4">
        <v>15349.97</v>
      </c>
      <c r="K1352" s="3">
        <v>85</v>
      </c>
      <c r="L1352" s="2" t="s">
        <v>2518</v>
      </c>
      <c r="M1352" s="2" t="s">
        <v>2524</v>
      </c>
      <c r="N1352" s="8">
        <f>IFERROR(G1352/F1352,0)</f>
        <v>5.4254813406227717E-2</v>
      </c>
      <c r="O1352" s="8">
        <f>IFERROR(H1352/G1352,0)</f>
        <v>6.1336254107338443E-2</v>
      </c>
      <c r="P1352" s="4">
        <f>IFERROR(I1352/G1352,0)</f>
        <v>0.32626140927345748</v>
      </c>
      <c r="Q1352" s="4">
        <f>IFERROR(I1352/H1352,0)</f>
        <v>5.3192261904761908</v>
      </c>
      <c r="R1352" s="12">
        <f>IFERROR(J1352/I1352,0)</f>
        <v>17.17709790405425</v>
      </c>
      <c r="S1352" s="7">
        <f>Tabla_nuevas_columnas[[#This Row],[ROAS]]</f>
        <v>17.17709790405425</v>
      </c>
      <c r="T1352" t="str">
        <f>_xlfn.CONCAT(C1352,"-",D1352)</f>
        <v>Email-España</v>
      </c>
      <c r="U1352">
        <f>YEAR(A1352)</f>
        <v>2025</v>
      </c>
      <c r="V1352">
        <f>MONTH(A1352)</f>
        <v>2</v>
      </c>
      <c r="W1352" t="str">
        <f>PROPER(TEXT(A1352,"mmmm"))</f>
        <v>Febrero</v>
      </c>
      <c r="X1352" t="str">
        <f>PROPER(TEXT(A1352,"dddd"))</f>
        <v>Jueves</v>
      </c>
      <c r="Y1352" t="str" cm="1">
        <f t="array" ref="Y1352">_xlfn.IFS(R1352&gt;10,"Excelente",R1352&gt;=5,"Bueno",R1352&gt;=2,"Débil",R1352&lt;2,"Deficiente")</f>
        <v>Excelente</v>
      </c>
      <c r="Z1352" t="str">
        <f>IF(AND(R1352&lt;2,Q1352&gt;=100),"Revisar","OK")</f>
        <v>OK</v>
      </c>
      <c r="AA1352" s="55">
        <f>_xlfn.XLOOKUP(C1352,'Preguntas de negocio'!$C$114:$C$119,'Preguntas de negocio'!$D$114:$D$119,0)</f>
        <v>5.5</v>
      </c>
      <c r="AB1352" s="55">
        <f>VLOOKUP(C1352,'Preguntas de negocio'!$C$121:$D$127,2,FALSE)</f>
        <v>0.65</v>
      </c>
    </row>
    <row r="1353" spans="1:28" x14ac:dyDescent="0.3">
      <c r="A1353" s="1">
        <v>45938</v>
      </c>
      <c r="B1353" s="2" t="s">
        <v>2627</v>
      </c>
      <c r="C1353" s="2" t="s">
        <v>2533</v>
      </c>
      <c r="D1353" s="2" t="s">
        <v>2525</v>
      </c>
      <c r="E1353" s="2" t="s">
        <v>2517</v>
      </c>
      <c r="F1353" s="3">
        <v>122042</v>
      </c>
      <c r="G1353" s="3">
        <v>1700</v>
      </c>
      <c r="H1353" s="3">
        <v>55</v>
      </c>
      <c r="I1353" s="4">
        <v>953.51</v>
      </c>
      <c r="J1353" s="4">
        <v>2839.69</v>
      </c>
      <c r="K1353" s="3">
        <v>43</v>
      </c>
      <c r="L1353" s="2" t="s">
        <v>2523</v>
      </c>
      <c r="M1353" s="2" t="s">
        <v>2546</v>
      </c>
      <c r="N1353" s="8">
        <f>IFERROR(G1353/F1353,0)</f>
        <v>1.3929630782845251E-2</v>
      </c>
      <c r="O1353" s="8">
        <f>IFERROR(H1353/G1353,0)</f>
        <v>3.2352941176470591E-2</v>
      </c>
      <c r="P1353" s="4">
        <f>IFERROR(I1353/G1353,0)</f>
        <v>0.56088823529411769</v>
      </c>
      <c r="Q1353" s="4">
        <f>IFERROR(I1353/H1353,0)</f>
        <v>17.336545454545455</v>
      </c>
      <c r="R1353" s="12">
        <f>IFERROR(J1353/I1353,0)</f>
        <v>2.9781439103942278</v>
      </c>
      <c r="S1353" s="7">
        <f>Tabla_nuevas_columnas[[#This Row],[ROAS]]</f>
        <v>2.9781439103942278</v>
      </c>
      <c r="T1353" t="str">
        <f>_xlfn.CONCAT(C1353,"-",D1353)</f>
        <v>Paid Social-Francia</v>
      </c>
      <c r="U1353">
        <f>YEAR(A1353)</f>
        <v>2025</v>
      </c>
      <c r="V1353">
        <f>MONTH(A1353)</f>
        <v>10</v>
      </c>
      <c r="W1353" t="str">
        <f>PROPER(TEXT(A1353,"mmmm"))</f>
        <v>Octubre</v>
      </c>
      <c r="X1353" t="str">
        <f>PROPER(TEXT(A1353,"dddd"))</f>
        <v>Miércoles</v>
      </c>
      <c r="Y1353" t="str" cm="1">
        <f t="array" ref="Y1353">_xlfn.IFS(R1353&gt;10,"Excelente",R1353&gt;=5,"Bueno",R1353&gt;=2,"Débil",R1353&lt;2,"Deficiente")</f>
        <v>Débil</v>
      </c>
      <c r="Z1353" t="str">
        <f>IF(AND(R1353&lt;2,Q1353&gt;=100),"Revisar","OK")</f>
        <v>OK</v>
      </c>
      <c r="AA1353" s="55">
        <f>_xlfn.XLOOKUP(C1353,'Preguntas de negocio'!$C$114:$C$119,'Preguntas de negocio'!$D$114:$D$119,0)</f>
        <v>6</v>
      </c>
      <c r="AB1353" s="55">
        <f>VLOOKUP(C1353,'Preguntas de negocio'!$C$121:$D$127,2,FALSE)</f>
        <v>0.8</v>
      </c>
    </row>
    <row r="1354" spans="1:28" x14ac:dyDescent="0.3">
      <c r="A1354" s="1">
        <v>45879</v>
      </c>
      <c r="B1354" s="2" t="s">
        <v>2621</v>
      </c>
      <c r="C1354" s="2" t="s">
        <v>2543</v>
      </c>
      <c r="D1354" s="2" t="s">
        <v>2516</v>
      </c>
      <c r="E1354" s="2" t="s">
        <v>2517</v>
      </c>
      <c r="F1354" s="3">
        <v>41714</v>
      </c>
      <c r="G1354" s="3">
        <v>2447</v>
      </c>
      <c r="H1354" s="3">
        <v>192</v>
      </c>
      <c r="I1354" s="4">
        <v>2109.44</v>
      </c>
      <c r="J1354" s="4">
        <v>34702.43</v>
      </c>
      <c r="K1354" s="3">
        <v>127</v>
      </c>
      <c r="L1354" s="2" t="s">
        <v>2536</v>
      </c>
      <c r="M1354" s="2" t="s">
        <v>2526</v>
      </c>
      <c r="N1354" s="8">
        <f>IFERROR(G1354/F1354,0)</f>
        <v>5.8661360694251333E-2</v>
      </c>
      <c r="O1354" s="8">
        <f>IFERROR(H1354/G1354,0)</f>
        <v>7.8463424601552922E-2</v>
      </c>
      <c r="P1354" s="4">
        <f>IFERROR(I1354/G1354,0)</f>
        <v>0.86205149162239481</v>
      </c>
      <c r="Q1354" s="4">
        <f>IFERROR(I1354/H1354,0)</f>
        <v>10.986666666666666</v>
      </c>
      <c r="R1354" s="12">
        <f>IFERROR(J1354/I1354,0)</f>
        <v>16.451015435376213</v>
      </c>
      <c r="S1354" s="7">
        <f>Tabla_nuevas_columnas[[#This Row],[ROAS]]</f>
        <v>16.451015435376213</v>
      </c>
      <c r="T1354" t="str">
        <f>_xlfn.CONCAT(C1354,"-",D1354)</f>
        <v>Organic Social-México</v>
      </c>
      <c r="U1354">
        <f>YEAR(A1354)</f>
        <v>2025</v>
      </c>
      <c r="V1354">
        <f>MONTH(A1354)</f>
        <v>8</v>
      </c>
      <c r="W1354" t="str">
        <f>PROPER(TEXT(A1354,"mmmm"))</f>
        <v>Agosto</v>
      </c>
      <c r="X1354" t="str">
        <f>PROPER(TEXT(A1354,"dddd"))</f>
        <v>Domingo</v>
      </c>
      <c r="Y1354" t="str" cm="1">
        <f t="array" ref="Y1354">_xlfn.IFS(R1354&gt;10,"Excelente",R1354&gt;=5,"Bueno",R1354&gt;=2,"Débil",R1354&lt;2,"Deficiente")</f>
        <v>Excelente</v>
      </c>
      <c r="Z1354" t="str">
        <f>IF(AND(R1354&lt;2,Q1354&gt;=100),"Revisar","OK")</f>
        <v>OK</v>
      </c>
      <c r="AA1354" s="55">
        <f>_xlfn.XLOOKUP(C1354,'Preguntas de negocio'!$C$114:$C$119,'Preguntas de negocio'!$D$114:$D$119,0)</f>
        <v>4</v>
      </c>
      <c r="AB1354" s="55">
        <f>VLOOKUP(C1354,'Preguntas de negocio'!$C$121:$D$127,2,FALSE)</f>
        <v>0.95</v>
      </c>
    </row>
    <row r="1355" spans="1:28" x14ac:dyDescent="0.3">
      <c r="A1355" s="1">
        <v>45812</v>
      </c>
      <c r="B1355" s="2" t="s">
        <v>2628</v>
      </c>
      <c r="C1355" s="2" t="s">
        <v>2543</v>
      </c>
      <c r="D1355" s="2" t="s">
        <v>2522</v>
      </c>
      <c r="E1355" s="2" t="s">
        <v>2529</v>
      </c>
      <c r="F1355" s="3">
        <v>37969</v>
      </c>
      <c r="G1355" s="3">
        <v>499</v>
      </c>
      <c r="H1355" s="3">
        <v>44</v>
      </c>
      <c r="I1355" s="4">
        <v>311.64999999999998</v>
      </c>
      <c r="J1355" s="4">
        <v>5166.9399999999996</v>
      </c>
      <c r="K1355" s="3">
        <v>32</v>
      </c>
      <c r="L1355" s="2" t="s">
        <v>2536</v>
      </c>
      <c r="M1355" s="2" t="s">
        <v>2546</v>
      </c>
      <c r="N1355" s="8">
        <f>IFERROR(G1355/F1355,0)</f>
        <v>1.3142300297611209E-2</v>
      </c>
      <c r="O1355" s="8">
        <f>IFERROR(H1355/G1355,0)</f>
        <v>8.8176352705410826E-2</v>
      </c>
      <c r="P1355" s="4">
        <f>IFERROR(I1355/G1355,0)</f>
        <v>0.6245490981963927</v>
      </c>
      <c r="Q1355" s="4">
        <f>IFERROR(I1355/H1355,0)</f>
        <v>7.0829545454545446</v>
      </c>
      <c r="R1355" s="12">
        <f>IFERROR(J1355/I1355,0)</f>
        <v>16.579303706080537</v>
      </c>
      <c r="S1355" s="7">
        <f>Tabla_nuevas_columnas[[#This Row],[ROAS]]</f>
        <v>16.579303706080537</v>
      </c>
      <c r="T1355" t="str">
        <f>_xlfn.CONCAT(C1355,"-",D1355)</f>
        <v>Organic Social-Italia</v>
      </c>
      <c r="U1355">
        <f>YEAR(A1355)</f>
        <v>2025</v>
      </c>
      <c r="V1355">
        <f>MONTH(A1355)</f>
        <v>6</v>
      </c>
      <c r="W1355" t="str">
        <f>PROPER(TEXT(A1355,"mmmm"))</f>
        <v>Junio</v>
      </c>
      <c r="X1355" t="str">
        <f>PROPER(TEXT(A1355,"dddd"))</f>
        <v>Miércoles</v>
      </c>
      <c r="Y1355" t="str" cm="1">
        <f t="array" ref="Y1355">_xlfn.IFS(R1355&gt;10,"Excelente",R1355&gt;=5,"Bueno",R1355&gt;=2,"Débil",R1355&lt;2,"Deficiente")</f>
        <v>Excelente</v>
      </c>
      <c r="Z1355" t="str">
        <f>IF(AND(R1355&lt;2,Q1355&gt;=100),"Revisar","OK")</f>
        <v>OK</v>
      </c>
      <c r="AA1355" s="55">
        <f>_xlfn.XLOOKUP(C1355,'Preguntas de negocio'!$C$114:$C$119,'Preguntas de negocio'!$D$114:$D$119,0)</f>
        <v>4</v>
      </c>
      <c r="AB1355" s="55">
        <f>VLOOKUP(C1355,'Preguntas de negocio'!$C$121:$D$127,2,FALSE)</f>
        <v>0.95</v>
      </c>
    </row>
    <row r="1356" spans="1:28" x14ac:dyDescent="0.3">
      <c r="A1356" s="1">
        <v>45944</v>
      </c>
      <c r="B1356" s="2" t="s">
        <v>2623</v>
      </c>
      <c r="C1356" s="2" t="s">
        <v>2543</v>
      </c>
      <c r="D1356" s="2" t="s">
        <v>2525</v>
      </c>
      <c r="E1356" s="2" t="s">
        <v>2529</v>
      </c>
      <c r="F1356" s="3">
        <v>43647</v>
      </c>
      <c r="G1356" s="3">
        <v>1660</v>
      </c>
      <c r="H1356" s="3">
        <v>221</v>
      </c>
      <c r="I1356" s="4">
        <v>546.53</v>
      </c>
      <c r="J1356" s="4">
        <v>22738.5</v>
      </c>
      <c r="K1356" s="3">
        <v>172</v>
      </c>
      <c r="L1356" s="2" t="s">
        <v>2539</v>
      </c>
      <c r="M1356" s="2" t="s">
        <v>2519</v>
      </c>
      <c r="N1356" s="8">
        <f>IFERROR(G1356/F1356,0)</f>
        <v>3.8032396270075833E-2</v>
      </c>
      <c r="O1356" s="8">
        <f>IFERROR(H1356/G1356,0)</f>
        <v>0.13313253012048193</v>
      </c>
      <c r="P1356" s="4">
        <f>IFERROR(I1356/G1356,0)</f>
        <v>0.32923493975903612</v>
      </c>
      <c r="Q1356" s="4">
        <f>IFERROR(I1356/H1356,0)</f>
        <v>2.4729864253393665</v>
      </c>
      <c r="R1356" s="12">
        <f>IFERROR(J1356/I1356,0)</f>
        <v>41.605218377765176</v>
      </c>
      <c r="S1356" s="7">
        <f>Tabla_nuevas_columnas[[#This Row],[ROAS]]</f>
        <v>41.605218377765176</v>
      </c>
      <c r="T1356" t="str">
        <f>_xlfn.CONCAT(C1356,"-",D1356)</f>
        <v>Organic Social-Francia</v>
      </c>
      <c r="U1356">
        <f>YEAR(A1356)</f>
        <v>2025</v>
      </c>
      <c r="V1356">
        <f>MONTH(A1356)</f>
        <v>10</v>
      </c>
      <c r="W1356" t="str">
        <f>PROPER(TEXT(A1356,"mmmm"))</f>
        <v>Octubre</v>
      </c>
      <c r="X1356" t="str">
        <f>PROPER(TEXT(A1356,"dddd"))</f>
        <v>Martes</v>
      </c>
      <c r="Y1356" t="str" cm="1">
        <f t="array" ref="Y1356">_xlfn.IFS(R1356&gt;10,"Excelente",R1356&gt;=5,"Bueno",R1356&gt;=2,"Débil",R1356&lt;2,"Deficiente")</f>
        <v>Excelente</v>
      </c>
      <c r="Z1356" t="str">
        <f>IF(AND(R1356&lt;2,Q1356&gt;=100),"Revisar","OK")</f>
        <v>OK</v>
      </c>
      <c r="AA1356" s="55">
        <f>_xlfn.XLOOKUP(C1356,'Preguntas de negocio'!$C$114:$C$119,'Preguntas de negocio'!$D$114:$D$119,0)</f>
        <v>4</v>
      </c>
      <c r="AB1356" s="55">
        <f>VLOOKUP(C1356,'Preguntas de negocio'!$C$121:$D$127,2,FALSE)</f>
        <v>0.95</v>
      </c>
    </row>
    <row r="1357" spans="1:28" x14ac:dyDescent="0.3">
      <c r="A1357" s="1">
        <v>46007</v>
      </c>
      <c r="B1357" s="2" t="s">
        <v>2618</v>
      </c>
      <c r="C1357" s="2" t="s">
        <v>2527</v>
      </c>
      <c r="D1357" s="2" t="s">
        <v>2528</v>
      </c>
      <c r="E1357" s="2" t="s">
        <v>2517</v>
      </c>
      <c r="F1357" s="3">
        <v>60005</v>
      </c>
      <c r="G1357" s="3">
        <v>3694</v>
      </c>
      <c r="H1357" s="3">
        <v>27</v>
      </c>
      <c r="I1357" s="4">
        <v>937.12</v>
      </c>
      <c r="J1357" s="4">
        <v>5669.27</v>
      </c>
      <c r="K1357" s="3">
        <v>19</v>
      </c>
      <c r="L1357" s="2" t="s">
        <v>2536</v>
      </c>
      <c r="M1357" s="2" t="s">
        <v>2537</v>
      </c>
      <c r="N1357" s="8">
        <f>IFERROR(G1357/F1357,0)</f>
        <v>6.1561536538621779E-2</v>
      </c>
      <c r="O1357" s="8">
        <f>IFERROR(H1357/G1357,0)</f>
        <v>7.3091499729290741E-3</v>
      </c>
      <c r="P1357" s="4">
        <f>IFERROR(I1357/G1357,0)</f>
        <v>0.25368706009745534</v>
      </c>
      <c r="Q1357" s="4">
        <f>IFERROR(I1357/H1357,0)</f>
        <v>34.708148148148148</v>
      </c>
      <c r="R1357" s="12">
        <f>IFERROR(J1357/I1357,0)</f>
        <v>6.0496734676455528</v>
      </c>
      <c r="S1357" s="7">
        <f>Tabla_nuevas_columnas[[#This Row],[ROAS]]</f>
        <v>6.0496734676455528</v>
      </c>
      <c r="T1357" t="str">
        <f>_xlfn.CONCAT(C1357,"-",D1357)</f>
        <v>Affiliate-España</v>
      </c>
      <c r="U1357">
        <f>YEAR(A1357)</f>
        <v>2025</v>
      </c>
      <c r="V1357">
        <f>MONTH(A1357)</f>
        <v>12</v>
      </c>
      <c r="W1357" t="str">
        <f>PROPER(TEXT(A1357,"mmmm"))</f>
        <v>Diciembre</v>
      </c>
      <c r="X1357" t="str">
        <f>PROPER(TEXT(A1357,"dddd"))</f>
        <v>Martes</v>
      </c>
      <c r="Y1357" t="str" cm="1">
        <f t="array" ref="Y1357">_xlfn.IFS(R1357&gt;10,"Excelente",R1357&gt;=5,"Bueno",R1357&gt;=2,"Débil",R1357&lt;2,"Deficiente")</f>
        <v>Bueno</v>
      </c>
      <c r="Z1357" t="str">
        <f>IF(AND(R1357&lt;2,Q1357&gt;=100),"Revisar","OK")</f>
        <v>OK</v>
      </c>
      <c r="AA1357" s="55">
        <f>_xlfn.XLOOKUP(C1357,'Preguntas de negocio'!$C$114:$C$119,'Preguntas de negocio'!$D$114:$D$119,0)</f>
        <v>4.5</v>
      </c>
      <c r="AB1357" s="55">
        <f>VLOOKUP(C1357,'Preguntas de negocio'!$C$121:$D$127,2,FALSE)</f>
        <v>0.35</v>
      </c>
    </row>
    <row r="1358" spans="1:28" x14ac:dyDescent="0.3">
      <c r="A1358" s="1">
        <v>45771</v>
      </c>
      <c r="B1358" s="2" t="s">
        <v>2628</v>
      </c>
      <c r="C1358" s="2" t="s">
        <v>2543</v>
      </c>
      <c r="D1358" s="2" t="s">
        <v>2522</v>
      </c>
      <c r="E1358" s="2" t="s">
        <v>2517</v>
      </c>
      <c r="F1358" s="3">
        <v>25943</v>
      </c>
      <c r="G1358" s="3">
        <v>357</v>
      </c>
      <c r="H1358" s="3">
        <v>42</v>
      </c>
      <c r="I1358" s="4">
        <v>747.3</v>
      </c>
      <c r="J1358" s="4">
        <v>3798.21</v>
      </c>
      <c r="K1358" s="3">
        <v>30</v>
      </c>
      <c r="L1358" s="2" t="s">
        <v>2518</v>
      </c>
      <c r="M1358" s="2" t="s">
        <v>2524</v>
      </c>
      <c r="N1358" s="8">
        <f>IFERROR(G1358/F1358,0)</f>
        <v>1.3760937439771807E-2</v>
      </c>
      <c r="O1358" s="8">
        <f>IFERROR(H1358/G1358,0)</f>
        <v>0.11764705882352941</v>
      </c>
      <c r="P1358" s="4">
        <f>IFERROR(I1358/G1358,0)</f>
        <v>2.0932773109243694</v>
      </c>
      <c r="Q1358" s="4">
        <f>IFERROR(I1358/H1358,0)</f>
        <v>17.792857142857141</v>
      </c>
      <c r="R1358" s="12">
        <f>IFERROR(J1358/I1358,0)</f>
        <v>5.0825772782015255</v>
      </c>
      <c r="S1358" s="7">
        <f>Tabla_nuevas_columnas[[#This Row],[ROAS]]</f>
        <v>5.0825772782015255</v>
      </c>
      <c r="T1358" t="str">
        <f>_xlfn.CONCAT(C1358,"-",D1358)</f>
        <v>Organic Social-Italia</v>
      </c>
      <c r="U1358">
        <f>YEAR(A1358)</f>
        <v>2025</v>
      </c>
      <c r="V1358">
        <f>MONTH(A1358)</f>
        <v>4</v>
      </c>
      <c r="W1358" t="str">
        <f>PROPER(TEXT(A1358,"mmmm"))</f>
        <v>Abril</v>
      </c>
      <c r="X1358" t="str">
        <f>PROPER(TEXT(A1358,"dddd"))</f>
        <v>Jueves</v>
      </c>
      <c r="Y1358" t="str" cm="1">
        <f t="array" ref="Y1358">_xlfn.IFS(R1358&gt;10,"Excelente",R1358&gt;=5,"Bueno",R1358&gt;=2,"Débil",R1358&lt;2,"Deficiente")</f>
        <v>Bueno</v>
      </c>
      <c r="Z1358" t="str">
        <f>IF(AND(R1358&lt;2,Q1358&gt;=100),"Revisar","OK")</f>
        <v>OK</v>
      </c>
      <c r="AA1358" s="55">
        <f>_xlfn.XLOOKUP(C1358,'Preguntas de negocio'!$C$114:$C$119,'Preguntas de negocio'!$D$114:$D$119,0)</f>
        <v>4</v>
      </c>
      <c r="AB1358" s="55">
        <f>VLOOKUP(C1358,'Preguntas de negocio'!$C$121:$D$127,2,FALSE)</f>
        <v>0.95</v>
      </c>
    </row>
    <row r="1359" spans="1:28" x14ac:dyDescent="0.3">
      <c r="A1359" s="1">
        <v>45988</v>
      </c>
      <c r="B1359" s="2" t="s">
        <v>2619</v>
      </c>
      <c r="C1359" s="2" t="s">
        <v>2541</v>
      </c>
      <c r="D1359" s="2" t="s">
        <v>2516</v>
      </c>
      <c r="E1359" s="2" t="s">
        <v>2517</v>
      </c>
      <c r="F1359" s="3">
        <v>131623</v>
      </c>
      <c r="G1359" s="3">
        <v>1844</v>
      </c>
      <c r="H1359" s="3">
        <v>60</v>
      </c>
      <c r="I1359" s="4">
        <v>903.93</v>
      </c>
      <c r="J1359" s="4">
        <v>9082.85</v>
      </c>
      <c r="K1359" s="3">
        <v>28</v>
      </c>
      <c r="L1359" s="2" t="s">
        <v>2536</v>
      </c>
      <c r="M1359" s="2" t="s">
        <v>2526</v>
      </c>
      <c r="N1359" s="8">
        <f>IFERROR(G1359/F1359,0)</f>
        <v>1.4009709549242914E-2</v>
      </c>
      <c r="O1359" s="8">
        <f>IFERROR(H1359/G1359,0)</f>
        <v>3.2537960954446853E-2</v>
      </c>
      <c r="P1359" s="4">
        <f>IFERROR(I1359/G1359,0)</f>
        <v>0.49020065075921904</v>
      </c>
      <c r="Q1359" s="4">
        <f>IFERROR(I1359/H1359,0)</f>
        <v>15.065499999999998</v>
      </c>
      <c r="R1359" s="12">
        <f>IFERROR(J1359/I1359,0)</f>
        <v>10.048178509397852</v>
      </c>
      <c r="S1359" s="7">
        <f>Tabla_nuevas_columnas[[#This Row],[ROAS]]</f>
        <v>10.048178509397852</v>
      </c>
      <c r="T1359" t="str">
        <f>_xlfn.CONCAT(C1359,"-",D1359)</f>
        <v>Display-México</v>
      </c>
      <c r="U1359">
        <f>YEAR(A1359)</f>
        <v>2025</v>
      </c>
      <c r="V1359">
        <f>MONTH(A1359)</f>
        <v>11</v>
      </c>
      <c r="W1359" t="str">
        <f>PROPER(TEXT(A1359,"mmmm"))</f>
        <v>Noviembre</v>
      </c>
      <c r="X1359" t="str">
        <f>PROPER(TEXT(A1359,"dddd"))</f>
        <v>Jueves</v>
      </c>
      <c r="Y1359" t="str" cm="1">
        <f t="array" ref="Y1359">_xlfn.IFS(R1359&gt;10,"Excelente",R1359&gt;=5,"Bueno",R1359&gt;=2,"Débil",R1359&lt;2,"Deficiente")</f>
        <v>Excelente</v>
      </c>
      <c r="Z1359" t="str">
        <f>IF(AND(R1359&lt;2,Q1359&gt;=100),"Revisar","OK")</f>
        <v>OK</v>
      </c>
      <c r="AA1359" s="55">
        <f>_xlfn.XLOOKUP(C1359,'Preguntas de negocio'!$C$114:$C$119,'Preguntas de negocio'!$D$114:$D$119,0)</f>
        <v>5</v>
      </c>
      <c r="AB1359" s="55">
        <f>VLOOKUP(C1359,'Preguntas de negocio'!$C$121:$D$127,2,FALSE)</f>
        <v>0.5</v>
      </c>
    </row>
    <row r="1360" spans="1:28" x14ac:dyDescent="0.3">
      <c r="A1360" s="1">
        <v>45991</v>
      </c>
      <c r="B1360" s="2" t="s">
        <v>2624</v>
      </c>
      <c r="C1360" s="2" t="s">
        <v>2527</v>
      </c>
      <c r="D1360" s="2" t="s">
        <v>2531</v>
      </c>
      <c r="E1360" s="2" t="s">
        <v>2529</v>
      </c>
      <c r="F1360" s="3">
        <v>109040</v>
      </c>
      <c r="G1360" s="3">
        <v>4274</v>
      </c>
      <c r="H1360" s="3">
        <v>405</v>
      </c>
      <c r="I1360" s="4">
        <v>1544.42</v>
      </c>
      <c r="J1360" s="4">
        <v>55818.91</v>
      </c>
      <c r="K1360" s="3">
        <v>234</v>
      </c>
      <c r="L1360" s="2" t="s">
        <v>2536</v>
      </c>
      <c r="M1360" s="2" t="s">
        <v>2524</v>
      </c>
      <c r="N1360" s="8">
        <f>IFERROR(G1360/F1360,0)</f>
        <v>3.9196625091709465E-2</v>
      </c>
      <c r="O1360" s="8">
        <f>IFERROR(H1360/G1360,0)</f>
        <v>9.4759007955077218E-2</v>
      </c>
      <c r="P1360" s="4">
        <f>IFERROR(I1360/G1360,0)</f>
        <v>0.36135236312587743</v>
      </c>
      <c r="Q1360" s="4">
        <f>IFERROR(I1360/H1360,0)</f>
        <v>3.8133827160493827</v>
      </c>
      <c r="R1360" s="12">
        <f>IFERROR(J1360/I1360,0)</f>
        <v>36.142312324367722</v>
      </c>
      <c r="S1360" s="7">
        <f>Tabla_nuevas_columnas[[#This Row],[ROAS]]</f>
        <v>36.142312324367722</v>
      </c>
      <c r="T1360" t="str">
        <f>_xlfn.CONCAT(C1360,"-",D1360)</f>
        <v>Affiliate-Portugal</v>
      </c>
      <c r="U1360">
        <f>YEAR(A1360)</f>
        <v>2025</v>
      </c>
      <c r="V1360">
        <f>MONTH(A1360)</f>
        <v>11</v>
      </c>
      <c r="W1360" t="str">
        <f>PROPER(TEXT(A1360,"mmmm"))</f>
        <v>Noviembre</v>
      </c>
      <c r="X1360" t="str">
        <f>PROPER(TEXT(A1360,"dddd"))</f>
        <v>Domingo</v>
      </c>
      <c r="Y1360" t="str" cm="1">
        <f t="array" ref="Y1360">_xlfn.IFS(R1360&gt;10,"Excelente",R1360&gt;=5,"Bueno",R1360&gt;=2,"Débil",R1360&lt;2,"Deficiente")</f>
        <v>Excelente</v>
      </c>
      <c r="Z1360" t="str">
        <f>IF(AND(R1360&lt;2,Q1360&gt;=100),"Revisar","OK")</f>
        <v>OK</v>
      </c>
      <c r="AA1360" s="55">
        <f>_xlfn.XLOOKUP(C1360,'Preguntas de negocio'!$C$114:$C$119,'Preguntas de negocio'!$D$114:$D$119,0)</f>
        <v>4.5</v>
      </c>
      <c r="AB1360" s="55">
        <f>VLOOKUP(C1360,'Preguntas de negocio'!$C$121:$D$127,2,FALSE)</f>
        <v>0.35</v>
      </c>
    </row>
    <row r="1361" spans="1:28" x14ac:dyDescent="0.3">
      <c r="A1361" s="1">
        <v>45874</v>
      </c>
      <c r="B1361" s="2" t="s">
        <v>2629</v>
      </c>
      <c r="C1361" s="2" t="s">
        <v>2521</v>
      </c>
      <c r="D1361" s="2" t="s">
        <v>2522</v>
      </c>
      <c r="E1361" s="2" t="s">
        <v>2517</v>
      </c>
      <c r="F1361" s="3">
        <v>81695</v>
      </c>
      <c r="G1361" s="3">
        <v>5685</v>
      </c>
      <c r="H1361" s="3">
        <v>535</v>
      </c>
      <c r="I1361" s="4">
        <v>1128</v>
      </c>
      <c r="J1361" s="4">
        <v>91321.15</v>
      </c>
      <c r="K1361" s="3">
        <v>468</v>
      </c>
      <c r="L1361" s="2" t="s">
        <v>2518</v>
      </c>
      <c r="M1361" s="2" t="s">
        <v>2526</v>
      </c>
      <c r="N1361" s="8">
        <f>IFERROR(G1361/F1361,0)</f>
        <v>6.9588102087031034E-2</v>
      </c>
      <c r="O1361" s="8">
        <f>IFERROR(H1361/G1361,0)</f>
        <v>9.4107299912049247E-2</v>
      </c>
      <c r="P1361" s="4">
        <f>IFERROR(I1361/G1361,0)</f>
        <v>0.19841688654353562</v>
      </c>
      <c r="Q1361" s="4">
        <f>IFERROR(I1361/H1361,0)</f>
        <v>2.108411214953271</v>
      </c>
      <c r="R1361" s="12">
        <f>IFERROR(J1361/I1361,0)</f>
        <v>80.958466312056728</v>
      </c>
      <c r="S1361" s="7">
        <f>Tabla_nuevas_columnas[[#This Row],[ROAS]]</f>
        <v>80.958466312056728</v>
      </c>
      <c r="T1361" t="str">
        <f>_xlfn.CONCAT(C1361,"-",D1361)</f>
        <v>Paid Search-Italia</v>
      </c>
      <c r="U1361">
        <f>YEAR(A1361)</f>
        <v>2025</v>
      </c>
      <c r="V1361">
        <f>MONTH(A1361)</f>
        <v>8</v>
      </c>
      <c r="W1361" t="str">
        <f>PROPER(TEXT(A1361,"mmmm"))</f>
        <v>Agosto</v>
      </c>
      <c r="X1361" t="str">
        <f>PROPER(TEXT(A1361,"dddd"))</f>
        <v>Martes</v>
      </c>
      <c r="Y1361" t="str" cm="1">
        <f t="array" ref="Y1361">_xlfn.IFS(R1361&gt;10,"Excelente",R1361&gt;=5,"Bueno",R1361&gt;=2,"Débil",R1361&lt;2,"Deficiente")</f>
        <v>Excelente</v>
      </c>
      <c r="Z1361" t="str">
        <f>IF(AND(R1361&lt;2,Q1361&gt;=100),"Revisar","OK")</f>
        <v>OK</v>
      </c>
      <c r="AA1361" s="55">
        <f>_xlfn.XLOOKUP(C1361,'Preguntas de negocio'!$C$114:$C$119,'Preguntas de negocio'!$D$114:$D$119,0)</f>
        <v>5</v>
      </c>
      <c r="AB1361" s="55">
        <f>VLOOKUP(C1361,'Preguntas de negocio'!$C$121:$D$127,2,FALSE)</f>
        <v>1.1000000000000001</v>
      </c>
    </row>
    <row r="1362" spans="1:28" x14ac:dyDescent="0.3">
      <c r="A1362" s="1">
        <v>45939</v>
      </c>
      <c r="B1362" s="2" t="s">
        <v>2630</v>
      </c>
      <c r="C1362" s="2" t="s">
        <v>2527</v>
      </c>
      <c r="D1362" s="2" t="s">
        <v>2522</v>
      </c>
      <c r="E1362" s="2" t="s">
        <v>2517</v>
      </c>
      <c r="F1362" s="3">
        <v>22381</v>
      </c>
      <c r="G1362" s="3">
        <v>497</v>
      </c>
      <c r="H1362" s="3">
        <v>8</v>
      </c>
      <c r="I1362" s="4">
        <v>962.52</v>
      </c>
      <c r="J1362" s="4">
        <v>154.76</v>
      </c>
      <c r="K1362" s="3">
        <v>3</v>
      </c>
      <c r="L1362" s="2" t="s">
        <v>2523</v>
      </c>
      <c r="M1362" s="2" t="s">
        <v>2526</v>
      </c>
      <c r="N1362" s="8">
        <f>IFERROR(G1362/F1362,0)</f>
        <v>2.2206335731200573E-2</v>
      </c>
      <c r="O1362" s="8">
        <f>IFERROR(H1362/G1362,0)</f>
        <v>1.6096579476861168E-2</v>
      </c>
      <c r="P1362" s="4">
        <f>IFERROR(I1362/G1362,0)</f>
        <v>1.9366599597585512</v>
      </c>
      <c r="Q1362" s="4">
        <f>IFERROR(I1362/H1362,0)</f>
        <v>120.315</v>
      </c>
      <c r="R1362" s="12">
        <f>IFERROR(J1362/I1362,0)</f>
        <v>0.16078626937622076</v>
      </c>
      <c r="S1362" s="7">
        <f>Tabla_nuevas_columnas[[#This Row],[ROAS]]</f>
        <v>0.16078626937622076</v>
      </c>
      <c r="T1362" t="str">
        <f>_xlfn.CONCAT(C1362,"-",D1362)</f>
        <v>Affiliate-Italia</v>
      </c>
      <c r="U1362">
        <f>YEAR(A1362)</f>
        <v>2025</v>
      </c>
      <c r="V1362">
        <f>MONTH(A1362)</f>
        <v>10</v>
      </c>
      <c r="W1362" t="str">
        <f>PROPER(TEXT(A1362,"mmmm"))</f>
        <v>Octubre</v>
      </c>
      <c r="X1362" t="str">
        <f>PROPER(TEXT(A1362,"dddd"))</f>
        <v>Jueves</v>
      </c>
      <c r="Y1362" t="str" cm="1">
        <f t="array" ref="Y1362">_xlfn.IFS(R1362&gt;10,"Excelente",R1362&gt;=5,"Bueno",R1362&gt;=2,"Débil",R1362&lt;2,"Deficiente")</f>
        <v>Deficiente</v>
      </c>
      <c r="Z1362" t="str">
        <f>IF(AND(R1362&lt;2,Q1362&gt;=100),"Revisar","OK")</f>
        <v>Revisar</v>
      </c>
      <c r="AA1362" s="55">
        <f>_xlfn.XLOOKUP(C1362,'Preguntas de negocio'!$C$114:$C$119,'Preguntas de negocio'!$D$114:$D$119,0)</f>
        <v>4.5</v>
      </c>
      <c r="AB1362" s="55">
        <f>VLOOKUP(C1362,'Preguntas de negocio'!$C$121:$D$127,2,FALSE)</f>
        <v>0.35</v>
      </c>
    </row>
    <row r="1363" spans="1:28" x14ac:dyDescent="0.3">
      <c r="A1363" s="1">
        <v>45701</v>
      </c>
      <c r="B1363" s="2" t="s">
        <v>2622</v>
      </c>
      <c r="C1363" s="2" t="s">
        <v>2533</v>
      </c>
      <c r="D1363" s="2" t="s">
        <v>2522</v>
      </c>
      <c r="E1363" s="2" t="s">
        <v>2517</v>
      </c>
      <c r="F1363" s="3">
        <v>26073</v>
      </c>
      <c r="G1363" s="3">
        <v>2063</v>
      </c>
      <c r="H1363" s="3">
        <v>147</v>
      </c>
      <c r="I1363" s="4">
        <v>902.39</v>
      </c>
      <c r="J1363" s="4">
        <v>14102.13</v>
      </c>
      <c r="K1363" s="3">
        <v>112</v>
      </c>
      <c r="L1363" s="2" t="s">
        <v>2523</v>
      </c>
      <c r="M1363" s="2" t="s">
        <v>2537</v>
      </c>
      <c r="N1363" s="8">
        <f>IFERROR(G1363/F1363,0)</f>
        <v>7.9123998005599661E-2</v>
      </c>
      <c r="O1363" s="8">
        <f>IFERROR(H1363/G1363,0)</f>
        <v>7.1255453223460982E-2</v>
      </c>
      <c r="P1363" s="4">
        <f>IFERROR(I1363/G1363,0)</f>
        <v>0.43741638390693166</v>
      </c>
      <c r="Q1363" s="4">
        <f>IFERROR(I1363/H1363,0)</f>
        <v>6.1387074829931976</v>
      </c>
      <c r="R1363" s="12">
        <f>IFERROR(J1363/I1363,0)</f>
        <v>15.627533549795542</v>
      </c>
      <c r="S1363" s="7">
        <f>Tabla_nuevas_columnas[[#This Row],[ROAS]]</f>
        <v>15.627533549795542</v>
      </c>
      <c r="T1363" t="str">
        <f>_xlfn.CONCAT(C1363,"-",D1363)</f>
        <v>Paid Social-Italia</v>
      </c>
      <c r="U1363">
        <f>YEAR(A1363)</f>
        <v>2025</v>
      </c>
      <c r="V1363">
        <f>MONTH(A1363)</f>
        <v>2</v>
      </c>
      <c r="W1363" t="str">
        <f>PROPER(TEXT(A1363,"mmmm"))</f>
        <v>Febrero</v>
      </c>
      <c r="X1363" t="str">
        <f>PROPER(TEXT(A1363,"dddd"))</f>
        <v>Jueves</v>
      </c>
      <c r="Y1363" t="str" cm="1">
        <f t="array" ref="Y1363">_xlfn.IFS(R1363&gt;10,"Excelente",R1363&gt;=5,"Bueno",R1363&gt;=2,"Débil",R1363&lt;2,"Deficiente")</f>
        <v>Excelente</v>
      </c>
      <c r="Z1363" t="str">
        <f>IF(AND(R1363&lt;2,Q1363&gt;=100),"Revisar","OK")</f>
        <v>OK</v>
      </c>
      <c r="AA1363" s="55">
        <f>_xlfn.XLOOKUP(C1363,'Preguntas de negocio'!$C$114:$C$119,'Preguntas de negocio'!$D$114:$D$119,0)</f>
        <v>6</v>
      </c>
      <c r="AB1363" s="55">
        <f>VLOOKUP(C1363,'Preguntas de negocio'!$C$121:$D$127,2,FALSE)</f>
        <v>0.8</v>
      </c>
    </row>
    <row r="1364" spans="1:28" x14ac:dyDescent="0.3">
      <c r="A1364" s="1">
        <v>45803</v>
      </c>
      <c r="B1364" s="2" t="s">
        <v>2624</v>
      </c>
      <c r="C1364" s="2" t="s">
        <v>2515</v>
      </c>
      <c r="D1364" s="2" t="s">
        <v>2528</v>
      </c>
      <c r="E1364" s="2" t="s">
        <v>2529</v>
      </c>
      <c r="F1364" s="3">
        <v>117657</v>
      </c>
      <c r="G1364" s="3">
        <v>8142</v>
      </c>
      <c r="H1364" s="3">
        <v>795</v>
      </c>
      <c r="I1364" s="4">
        <v>15246.53</v>
      </c>
      <c r="J1364" s="4">
        <v>161847.74</v>
      </c>
      <c r="K1364" s="3">
        <v>569</v>
      </c>
      <c r="L1364" s="2" t="s">
        <v>2523</v>
      </c>
      <c r="M1364" s="2" t="s">
        <v>2546</v>
      </c>
      <c r="N1364" s="8">
        <f>IFERROR(G1364/F1364,0)</f>
        <v>6.9201152502613536E-2</v>
      </c>
      <c r="O1364" s="8">
        <f>IFERROR(H1364/G1364,0)</f>
        <v>9.7641857037582908E-2</v>
      </c>
      <c r="P1364" s="4">
        <f>IFERROR(I1364/G1364,0)</f>
        <v>1.8725779906656841</v>
      </c>
      <c r="Q1364" s="4">
        <f>IFERROR(I1364/H1364,0)</f>
        <v>19.178025157232707</v>
      </c>
      <c r="R1364" s="12">
        <f>IFERROR(J1364/I1364,0)</f>
        <v>10.615381991836831</v>
      </c>
      <c r="S1364" s="7">
        <f>Tabla_nuevas_columnas[[#This Row],[ROAS]]</f>
        <v>10.615381991836831</v>
      </c>
      <c r="T1364" t="str">
        <f>_xlfn.CONCAT(C1364,"-",D1364)</f>
        <v>Email-España</v>
      </c>
      <c r="U1364">
        <f>YEAR(A1364)</f>
        <v>2025</v>
      </c>
      <c r="V1364">
        <f>MONTH(A1364)</f>
        <v>5</v>
      </c>
      <c r="W1364" t="str">
        <f>PROPER(TEXT(A1364,"mmmm"))</f>
        <v>Mayo</v>
      </c>
      <c r="X1364" t="str">
        <f>PROPER(TEXT(A1364,"dddd"))</f>
        <v>Lunes</v>
      </c>
      <c r="Y1364" t="str" cm="1">
        <f t="array" ref="Y1364">_xlfn.IFS(R1364&gt;10,"Excelente",R1364&gt;=5,"Bueno",R1364&gt;=2,"Débil",R1364&lt;2,"Deficiente")</f>
        <v>Excelente</v>
      </c>
      <c r="Z1364" t="str">
        <f>IF(AND(R1364&lt;2,Q1364&gt;=100),"Revisar","OK")</f>
        <v>OK</v>
      </c>
      <c r="AA1364" s="55">
        <f>_xlfn.XLOOKUP(C1364,'Preguntas de negocio'!$C$114:$C$119,'Preguntas de negocio'!$D$114:$D$119,0)</f>
        <v>5.5</v>
      </c>
      <c r="AB1364" s="55">
        <f>VLOOKUP(C1364,'Preguntas de negocio'!$C$121:$D$127,2,FALSE)</f>
        <v>0.65</v>
      </c>
    </row>
    <row r="1365" spans="1:28" x14ac:dyDescent="0.3">
      <c r="A1365" s="1">
        <v>46011</v>
      </c>
      <c r="B1365" s="2" t="s">
        <v>2642</v>
      </c>
      <c r="C1365" s="2" t="s">
        <v>2543</v>
      </c>
      <c r="D1365" s="2" t="s">
        <v>2522</v>
      </c>
      <c r="E1365" s="2" t="s">
        <v>2517</v>
      </c>
      <c r="F1365" s="3">
        <v>19155</v>
      </c>
      <c r="G1365" s="3">
        <v>1553</v>
      </c>
      <c r="H1365" s="3">
        <v>42</v>
      </c>
      <c r="I1365" s="4">
        <v>2419.85</v>
      </c>
      <c r="J1365" s="4">
        <v>1988.98</v>
      </c>
      <c r="K1365" s="3">
        <v>31</v>
      </c>
      <c r="L1365" s="2" t="s">
        <v>2539</v>
      </c>
      <c r="M1365" s="2" t="s">
        <v>2524</v>
      </c>
      <c r="N1365" s="8">
        <f>IFERROR(G1365/F1365,0)</f>
        <v>8.1075437222657268E-2</v>
      </c>
      <c r="O1365" s="8">
        <f>IFERROR(H1365/G1365,0)</f>
        <v>2.7044430135222151E-2</v>
      </c>
      <c r="P1365" s="4">
        <f>IFERROR(I1365/G1365,0)</f>
        <v>1.5581777205408884</v>
      </c>
      <c r="Q1365" s="4">
        <f>IFERROR(I1365/H1365,0)</f>
        <v>57.615476190476187</v>
      </c>
      <c r="R1365" s="12">
        <f>IFERROR(J1365/I1365,0)</f>
        <v>0.82194350889517953</v>
      </c>
      <c r="S1365" s="7">
        <f>Tabla_nuevas_columnas[[#This Row],[ROAS]]</f>
        <v>0.82194350889517953</v>
      </c>
      <c r="T1365" t="str">
        <f>_xlfn.CONCAT(C1365,"-",D1365)</f>
        <v>Organic Social-Italia</v>
      </c>
      <c r="U1365">
        <f>YEAR(A1365)</f>
        <v>2025</v>
      </c>
      <c r="V1365">
        <f>MONTH(A1365)</f>
        <v>12</v>
      </c>
      <c r="W1365" t="str">
        <f>PROPER(TEXT(A1365,"mmmm"))</f>
        <v>Diciembre</v>
      </c>
      <c r="X1365" t="str">
        <f>PROPER(TEXT(A1365,"dddd"))</f>
        <v>Sábado</v>
      </c>
      <c r="Y1365" t="str" cm="1">
        <f t="array" ref="Y1365">_xlfn.IFS(R1365&gt;10,"Excelente",R1365&gt;=5,"Bueno",R1365&gt;=2,"Débil",R1365&lt;2,"Deficiente")</f>
        <v>Deficiente</v>
      </c>
      <c r="Z1365" t="str">
        <f>IF(AND(R1365&lt;2,Q1365&gt;=100),"Revisar","OK")</f>
        <v>OK</v>
      </c>
      <c r="AA1365" s="55">
        <f>_xlfn.XLOOKUP(C1365,'Preguntas de negocio'!$C$114:$C$119,'Preguntas de negocio'!$D$114:$D$119,0)</f>
        <v>4</v>
      </c>
      <c r="AB1365" s="55">
        <f>VLOOKUP(C1365,'Preguntas de negocio'!$C$121:$D$127,2,FALSE)</f>
        <v>0.95</v>
      </c>
    </row>
    <row r="1366" spans="1:28" x14ac:dyDescent="0.3">
      <c r="A1366" s="1">
        <v>45863</v>
      </c>
      <c r="B1366" s="2" t="s">
        <v>2635</v>
      </c>
      <c r="C1366" s="2" t="s">
        <v>2533</v>
      </c>
      <c r="D1366" s="2" t="s">
        <v>2522</v>
      </c>
      <c r="E1366" s="2" t="s">
        <v>2529</v>
      </c>
      <c r="F1366" s="3">
        <v>159728</v>
      </c>
      <c r="G1366" s="3">
        <v>13641</v>
      </c>
      <c r="H1366" s="3">
        <v>450</v>
      </c>
      <c r="I1366" s="4">
        <v>20262.900000000001</v>
      </c>
      <c r="J1366" s="4">
        <v>84589.48</v>
      </c>
      <c r="K1366" s="3">
        <v>258</v>
      </c>
      <c r="L1366" s="2" t="s">
        <v>2518</v>
      </c>
      <c r="M1366" s="2" t="s">
        <v>2519</v>
      </c>
      <c r="N1366" s="8">
        <f>IFERROR(G1366/F1366,0)</f>
        <v>8.5401432435139743E-2</v>
      </c>
      <c r="O1366" s="8">
        <f>IFERROR(H1366/G1366,0)</f>
        <v>3.2988783813503411E-2</v>
      </c>
      <c r="P1366" s="4">
        <f>IFERROR(I1366/G1366,0)</f>
        <v>1.4854409500769739</v>
      </c>
      <c r="Q1366" s="4">
        <f>IFERROR(I1366/H1366,0)</f>
        <v>45.028666666666673</v>
      </c>
      <c r="R1366" s="12">
        <f>IFERROR(J1366/I1366,0)</f>
        <v>4.1745988974924613</v>
      </c>
      <c r="S1366" s="7">
        <f>Tabla_nuevas_columnas[[#This Row],[ROAS]]</f>
        <v>4.1745988974924613</v>
      </c>
      <c r="T1366" t="str">
        <f>_xlfn.CONCAT(C1366,"-",D1366)</f>
        <v>Paid Social-Italia</v>
      </c>
      <c r="U1366">
        <f>YEAR(A1366)</f>
        <v>2025</v>
      </c>
      <c r="V1366">
        <f>MONTH(A1366)</f>
        <v>7</v>
      </c>
      <c r="W1366" t="str">
        <f>PROPER(TEXT(A1366,"mmmm"))</f>
        <v>Julio</v>
      </c>
      <c r="X1366" t="str">
        <f>PROPER(TEXT(A1366,"dddd"))</f>
        <v>Viernes</v>
      </c>
      <c r="Y1366" t="str" cm="1">
        <f t="array" ref="Y1366">_xlfn.IFS(R1366&gt;10,"Excelente",R1366&gt;=5,"Bueno",R1366&gt;=2,"Débil",R1366&lt;2,"Deficiente")</f>
        <v>Débil</v>
      </c>
      <c r="Z1366" t="str">
        <f>IF(AND(R1366&lt;2,Q1366&gt;=100),"Revisar","OK")</f>
        <v>OK</v>
      </c>
      <c r="AA1366" s="55">
        <f>_xlfn.XLOOKUP(C1366,'Preguntas de negocio'!$C$114:$C$119,'Preguntas de negocio'!$D$114:$D$119,0)</f>
        <v>6</v>
      </c>
      <c r="AB1366" s="55">
        <f>VLOOKUP(C1366,'Preguntas de negocio'!$C$121:$D$127,2,FALSE)</f>
        <v>0.8</v>
      </c>
    </row>
    <row r="1367" spans="1:28" x14ac:dyDescent="0.3">
      <c r="A1367" s="1">
        <v>46011</v>
      </c>
      <c r="B1367" s="2" t="s">
        <v>2633</v>
      </c>
      <c r="C1367" s="2" t="s">
        <v>2541</v>
      </c>
      <c r="D1367" s="2" t="s">
        <v>2528</v>
      </c>
      <c r="E1367" s="2" t="s">
        <v>2529</v>
      </c>
      <c r="F1367" s="3">
        <v>38721</v>
      </c>
      <c r="G1367" s="3">
        <v>202</v>
      </c>
      <c r="H1367" s="3">
        <v>7</v>
      </c>
      <c r="I1367" s="4">
        <v>180.96</v>
      </c>
      <c r="J1367" s="4">
        <v>937.59</v>
      </c>
      <c r="K1367" s="3">
        <v>6</v>
      </c>
      <c r="L1367" s="2" t="s">
        <v>2523</v>
      </c>
      <c r="M1367" s="2" t="s">
        <v>2537</v>
      </c>
      <c r="N1367" s="8">
        <f>IFERROR(G1367/F1367,0)</f>
        <v>5.2168074171638126E-3</v>
      </c>
      <c r="O1367" s="8">
        <f>IFERROR(H1367/G1367,0)</f>
        <v>3.4653465346534656E-2</v>
      </c>
      <c r="P1367" s="4">
        <f>IFERROR(I1367/G1367,0)</f>
        <v>0.89584158415841586</v>
      </c>
      <c r="Q1367" s="4">
        <f>IFERROR(I1367/H1367,0)</f>
        <v>25.851428571428574</v>
      </c>
      <c r="R1367" s="12">
        <f>IFERROR(J1367/I1367,0)</f>
        <v>5.1812002652519897</v>
      </c>
      <c r="S1367" s="7">
        <f>Tabla_nuevas_columnas[[#This Row],[ROAS]]</f>
        <v>5.1812002652519897</v>
      </c>
      <c r="T1367" t="str">
        <f>_xlfn.CONCAT(C1367,"-",D1367)</f>
        <v>Display-España</v>
      </c>
      <c r="U1367">
        <f>YEAR(A1367)</f>
        <v>2025</v>
      </c>
      <c r="V1367">
        <f>MONTH(A1367)</f>
        <v>12</v>
      </c>
      <c r="W1367" t="str">
        <f>PROPER(TEXT(A1367,"mmmm"))</f>
        <v>Diciembre</v>
      </c>
      <c r="X1367" t="str">
        <f>PROPER(TEXT(A1367,"dddd"))</f>
        <v>Sábado</v>
      </c>
      <c r="Y1367" t="str" cm="1">
        <f t="array" ref="Y1367">_xlfn.IFS(R1367&gt;10,"Excelente",R1367&gt;=5,"Bueno",R1367&gt;=2,"Débil",R1367&lt;2,"Deficiente")</f>
        <v>Bueno</v>
      </c>
      <c r="Z1367" t="str">
        <f>IF(AND(R1367&lt;2,Q1367&gt;=100),"Revisar","OK")</f>
        <v>OK</v>
      </c>
      <c r="AA1367" s="55">
        <f>_xlfn.XLOOKUP(C1367,'Preguntas de negocio'!$C$114:$C$119,'Preguntas de negocio'!$D$114:$D$119,0)</f>
        <v>5</v>
      </c>
      <c r="AB1367" s="55">
        <f>VLOOKUP(C1367,'Preguntas de negocio'!$C$121:$D$127,2,FALSE)</f>
        <v>0.5</v>
      </c>
    </row>
    <row r="1368" spans="1:28" x14ac:dyDescent="0.3">
      <c r="A1368" s="1">
        <v>45931</v>
      </c>
      <c r="B1368" s="2" t="s">
        <v>2629</v>
      </c>
      <c r="C1368" s="2" t="s">
        <v>2515</v>
      </c>
      <c r="D1368" s="2" t="s">
        <v>2516</v>
      </c>
      <c r="E1368" s="2" t="s">
        <v>2517</v>
      </c>
      <c r="F1368" s="3">
        <v>69623</v>
      </c>
      <c r="G1368" s="3">
        <v>3588</v>
      </c>
      <c r="H1368" s="3">
        <v>406</v>
      </c>
      <c r="I1368" s="4">
        <v>1979.26</v>
      </c>
      <c r="J1368" s="4">
        <v>10504.81</v>
      </c>
      <c r="K1368" s="3">
        <v>342</v>
      </c>
      <c r="L1368" s="2" t="s">
        <v>2539</v>
      </c>
      <c r="M1368" s="2" t="s">
        <v>2537</v>
      </c>
      <c r="N1368" s="8">
        <f>IFERROR(G1368/F1368,0)</f>
        <v>5.1534693994800568E-2</v>
      </c>
      <c r="O1368" s="8">
        <f>IFERROR(H1368/G1368,0)</f>
        <v>0.11315496098104794</v>
      </c>
      <c r="P1368" s="4">
        <f>IFERROR(I1368/G1368,0)</f>
        <v>0.55163322185061314</v>
      </c>
      <c r="Q1368" s="4">
        <f>IFERROR(I1368/H1368,0)</f>
        <v>4.8750246305418719</v>
      </c>
      <c r="R1368" s="12">
        <f>IFERROR(J1368/I1368,0)</f>
        <v>5.3074431858371307</v>
      </c>
      <c r="S1368" s="7">
        <f>Tabla_nuevas_columnas[[#This Row],[ROAS]]</f>
        <v>5.3074431858371307</v>
      </c>
      <c r="T1368" t="str">
        <f>_xlfn.CONCAT(C1368,"-",D1368)</f>
        <v>Email-México</v>
      </c>
      <c r="U1368">
        <f>YEAR(A1368)</f>
        <v>2025</v>
      </c>
      <c r="V1368">
        <f>MONTH(A1368)</f>
        <v>10</v>
      </c>
      <c r="W1368" t="str">
        <f>PROPER(TEXT(A1368,"mmmm"))</f>
        <v>Octubre</v>
      </c>
      <c r="X1368" t="str">
        <f>PROPER(TEXT(A1368,"dddd"))</f>
        <v>Miércoles</v>
      </c>
      <c r="Y1368" t="str" cm="1">
        <f t="array" ref="Y1368">_xlfn.IFS(R1368&gt;10,"Excelente",R1368&gt;=5,"Bueno",R1368&gt;=2,"Débil",R1368&lt;2,"Deficiente")</f>
        <v>Bueno</v>
      </c>
      <c r="Z1368" t="str">
        <f>IF(AND(R1368&lt;2,Q1368&gt;=100),"Revisar","OK")</f>
        <v>OK</v>
      </c>
      <c r="AA1368" s="55">
        <f>_xlfn.XLOOKUP(C1368,'Preguntas de negocio'!$C$114:$C$119,'Preguntas de negocio'!$D$114:$D$119,0)</f>
        <v>5.5</v>
      </c>
      <c r="AB1368" s="55">
        <f>VLOOKUP(C1368,'Preguntas de negocio'!$C$121:$D$127,2,FALSE)</f>
        <v>0.65</v>
      </c>
    </row>
    <row r="1369" spans="1:28" x14ac:dyDescent="0.3">
      <c r="A1369" s="1">
        <v>46004</v>
      </c>
      <c r="B1369" s="2" t="s">
        <v>2635</v>
      </c>
      <c r="C1369" s="2" t="s">
        <v>2527</v>
      </c>
      <c r="D1369" s="2" t="s">
        <v>2525</v>
      </c>
      <c r="E1369" s="2" t="s">
        <v>2529</v>
      </c>
      <c r="F1369" s="3">
        <v>108087</v>
      </c>
      <c r="G1369" s="3">
        <v>9588</v>
      </c>
      <c r="H1369" s="3">
        <v>553</v>
      </c>
      <c r="I1369" s="4">
        <v>18917.71</v>
      </c>
      <c r="J1369" s="4">
        <v>115610.31</v>
      </c>
      <c r="K1369" s="3">
        <v>321</v>
      </c>
      <c r="L1369" s="2" t="s">
        <v>2523</v>
      </c>
      <c r="M1369" s="2" t="s">
        <v>2526</v>
      </c>
      <c r="N1369" s="8">
        <f>IFERROR(G1369/F1369,0)</f>
        <v>8.8706319908962231E-2</v>
      </c>
      <c r="O1369" s="8">
        <f>IFERROR(H1369/G1369,0)</f>
        <v>5.7676261994159365E-2</v>
      </c>
      <c r="P1369" s="4">
        <f>IFERROR(I1369/G1369,0)</f>
        <v>1.9730611180642468</v>
      </c>
      <c r="Q1369" s="4">
        <f>IFERROR(I1369/H1369,0)</f>
        <v>34.20924050632911</v>
      </c>
      <c r="R1369" s="12">
        <f>IFERROR(J1369/I1369,0)</f>
        <v>6.1112211784618751</v>
      </c>
      <c r="S1369" s="7">
        <f>Tabla_nuevas_columnas[[#This Row],[ROAS]]</f>
        <v>6.1112211784618751</v>
      </c>
      <c r="T1369" t="str">
        <f>_xlfn.CONCAT(C1369,"-",D1369)</f>
        <v>Affiliate-Francia</v>
      </c>
      <c r="U1369">
        <f>YEAR(A1369)</f>
        <v>2025</v>
      </c>
      <c r="V1369">
        <f>MONTH(A1369)</f>
        <v>12</v>
      </c>
      <c r="W1369" t="str">
        <f>PROPER(TEXT(A1369,"mmmm"))</f>
        <v>Diciembre</v>
      </c>
      <c r="X1369" t="str">
        <f>PROPER(TEXT(A1369,"dddd"))</f>
        <v>Sábado</v>
      </c>
      <c r="Y1369" t="str" cm="1">
        <f t="array" ref="Y1369">_xlfn.IFS(R1369&gt;10,"Excelente",R1369&gt;=5,"Bueno",R1369&gt;=2,"Débil",R1369&lt;2,"Deficiente")</f>
        <v>Bueno</v>
      </c>
      <c r="Z1369" t="str">
        <f>IF(AND(R1369&lt;2,Q1369&gt;=100),"Revisar","OK")</f>
        <v>OK</v>
      </c>
      <c r="AA1369" s="55">
        <f>_xlfn.XLOOKUP(C1369,'Preguntas de negocio'!$C$114:$C$119,'Preguntas de negocio'!$D$114:$D$119,0)</f>
        <v>4.5</v>
      </c>
      <c r="AB1369" s="55">
        <f>VLOOKUP(C1369,'Preguntas de negocio'!$C$121:$D$127,2,FALSE)</f>
        <v>0.35</v>
      </c>
    </row>
    <row r="1370" spans="1:28" x14ac:dyDescent="0.3">
      <c r="A1370" s="1">
        <v>45940</v>
      </c>
      <c r="B1370" s="2" t="s">
        <v>2635</v>
      </c>
      <c r="C1370" s="2" t="s">
        <v>2541</v>
      </c>
      <c r="D1370" s="2" t="s">
        <v>2531</v>
      </c>
      <c r="E1370" s="2" t="s">
        <v>2529</v>
      </c>
      <c r="F1370" s="3">
        <v>101507</v>
      </c>
      <c r="G1370" s="3">
        <v>4375</v>
      </c>
      <c r="H1370" s="3">
        <v>467</v>
      </c>
      <c r="I1370" s="4">
        <v>2931.49</v>
      </c>
      <c r="J1370" s="4">
        <v>37273.49</v>
      </c>
      <c r="K1370" s="3">
        <v>416</v>
      </c>
      <c r="L1370" s="2" t="s">
        <v>2523</v>
      </c>
      <c r="M1370" s="2" t="s">
        <v>2524</v>
      </c>
      <c r="N1370" s="8">
        <f>IFERROR(G1370/F1370,0)</f>
        <v>4.3100475829253158E-2</v>
      </c>
      <c r="O1370" s="8">
        <f>IFERROR(H1370/G1370,0)</f>
        <v>0.10674285714285714</v>
      </c>
      <c r="P1370" s="4">
        <f>IFERROR(I1370/G1370,0)</f>
        <v>0.67005485714285706</v>
      </c>
      <c r="Q1370" s="4">
        <f>IFERROR(I1370/H1370,0)</f>
        <v>6.2772805139186287</v>
      </c>
      <c r="R1370" s="12">
        <f>IFERROR(J1370/I1370,0)</f>
        <v>12.714861725607115</v>
      </c>
      <c r="S1370" s="7">
        <f>Tabla_nuevas_columnas[[#This Row],[ROAS]]</f>
        <v>12.714861725607115</v>
      </c>
      <c r="T1370" t="str">
        <f>_xlfn.CONCAT(C1370,"-",D1370)</f>
        <v>Display-Portugal</v>
      </c>
      <c r="U1370">
        <f>YEAR(A1370)</f>
        <v>2025</v>
      </c>
      <c r="V1370">
        <f>MONTH(A1370)</f>
        <v>10</v>
      </c>
      <c r="W1370" t="str">
        <f>PROPER(TEXT(A1370,"mmmm"))</f>
        <v>Octubre</v>
      </c>
      <c r="X1370" t="str">
        <f>PROPER(TEXT(A1370,"dddd"))</f>
        <v>Viernes</v>
      </c>
      <c r="Y1370" t="str" cm="1">
        <f t="array" ref="Y1370">_xlfn.IFS(R1370&gt;10,"Excelente",R1370&gt;=5,"Bueno",R1370&gt;=2,"Débil",R1370&lt;2,"Deficiente")</f>
        <v>Excelente</v>
      </c>
      <c r="Z1370" t="str">
        <f>IF(AND(R1370&lt;2,Q1370&gt;=100),"Revisar","OK")</f>
        <v>OK</v>
      </c>
      <c r="AA1370" s="55">
        <f>_xlfn.XLOOKUP(C1370,'Preguntas de negocio'!$C$114:$C$119,'Preguntas de negocio'!$D$114:$D$119,0)</f>
        <v>5</v>
      </c>
      <c r="AB1370" s="55">
        <f>VLOOKUP(C1370,'Preguntas de negocio'!$C$121:$D$127,2,FALSE)</f>
        <v>0.5</v>
      </c>
    </row>
    <row r="1371" spans="1:28" x14ac:dyDescent="0.3">
      <c r="A1371" s="1">
        <v>45817</v>
      </c>
      <c r="B1371" s="2" t="s">
        <v>2634</v>
      </c>
      <c r="C1371" s="2" t="s">
        <v>2521</v>
      </c>
      <c r="D1371" s="2" t="s">
        <v>2528</v>
      </c>
      <c r="E1371" s="2" t="s">
        <v>2529</v>
      </c>
      <c r="F1371" s="3">
        <v>137784</v>
      </c>
      <c r="G1371" s="3">
        <v>1909</v>
      </c>
      <c r="H1371" s="3">
        <v>21</v>
      </c>
      <c r="I1371" s="4">
        <v>2987.78</v>
      </c>
      <c r="J1371" s="4">
        <v>4568.1400000000003</v>
      </c>
      <c r="K1371" s="3">
        <v>11</v>
      </c>
      <c r="L1371" s="2" t="s">
        <v>2523</v>
      </c>
      <c r="M1371" s="2" t="s">
        <v>2526</v>
      </c>
      <c r="N1371" s="8">
        <f>IFERROR(G1371/F1371,0)</f>
        <v>1.3855019450734482E-2</v>
      </c>
      <c r="O1371" s="8">
        <f>IFERROR(H1371/G1371,0)</f>
        <v>1.1000523834468309E-2</v>
      </c>
      <c r="P1371" s="4">
        <f>IFERROR(I1371/G1371,0)</f>
        <v>1.5651021477213201</v>
      </c>
      <c r="Q1371" s="4">
        <f>IFERROR(I1371/H1371,0)</f>
        <v>142.27523809523811</v>
      </c>
      <c r="R1371" s="12">
        <f>IFERROR(J1371/I1371,0)</f>
        <v>1.5289412205717958</v>
      </c>
      <c r="S1371" s="7">
        <f>Tabla_nuevas_columnas[[#This Row],[ROAS]]</f>
        <v>1.5289412205717958</v>
      </c>
      <c r="T1371" t="str">
        <f>_xlfn.CONCAT(C1371,"-",D1371)</f>
        <v>Paid Search-España</v>
      </c>
      <c r="U1371">
        <f>YEAR(A1371)</f>
        <v>2025</v>
      </c>
      <c r="V1371">
        <f>MONTH(A1371)</f>
        <v>6</v>
      </c>
      <c r="W1371" t="str">
        <f>PROPER(TEXT(A1371,"mmmm"))</f>
        <v>Junio</v>
      </c>
      <c r="X1371" t="str">
        <f>PROPER(TEXT(A1371,"dddd"))</f>
        <v>Lunes</v>
      </c>
      <c r="Y1371" t="str" cm="1">
        <f t="array" ref="Y1371">_xlfn.IFS(R1371&gt;10,"Excelente",R1371&gt;=5,"Bueno",R1371&gt;=2,"Débil",R1371&lt;2,"Deficiente")</f>
        <v>Deficiente</v>
      </c>
      <c r="Z1371" t="str">
        <f>IF(AND(R1371&lt;2,Q1371&gt;=100),"Revisar","OK")</f>
        <v>Revisar</v>
      </c>
      <c r="AA1371" s="55">
        <f>_xlfn.XLOOKUP(C1371,'Preguntas de negocio'!$C$114:$C$119,'Preguntas de negocio'!$D$114:$D$119,0)</f>
        <v>5</v>
      </c>
      <c r="AB1371" s="55">
        <f>VLOOKUP(C1371,'Preguntas de negocio'!$C$121:$D$127,2,FALSE)</f>
        <v>1.1000000000000001</v>
      </c>
    </row>
    <row r="1372" spans="1:28" x14ac:dyDescent="0.3">
      <c r="A1372" s="1">
        <v>45778</v>
      </c>
      <c r="B1372" s="2" t="s">
        <v>2618</v>
      </c>
      <c r="C1372" s="2" t="s">
        <v>2533</v>
      </c>
      <c r="D1372" s="2" t="s">
        <v>2528</v>
      </c>
      <c r="E1372" s="2" t="s">
        <v>2517</v>
      </c>
      <c r="F1372" s="3">
        <v>122753</v>
      </c>
      <c r="G1372" s="3">
        <v>9771</v>
      </c>
      <c r="H1372" s="3">
        <v>692</v>
      </c>
      <c r="I1372" s="4">
        <v>14537.3</v>
      </c>
      <c r="J1372" s="4">
        <v>131196.4</v>
      </c>
      <c r="K1372" s="3">
        <v>429</v>
      </c>
      <c r="L1372" s="2" t="s">
        <v>2523</v>
      </c>
      <c r="M1372" s="2" t="s">
        <v>2537</v>
      </c>
      <c r="N1372" s="8">
        <f>IFERROR(G1372/F1372,0)</f>
        <v>7.9598869274070699E-2</v>
      </c>
      <c r="O1372" s="8">
        <f>IFERROR(H1372/G1372,0)</f>
        <v>7.0821819670453381E-2</v>
      </c>
      <c r="P1372" s="4">
        <f>IFERROR(I1372/G1372,0)</f>
        <v>1.4878006345307542</v>
      </c>
      <c r="Q1372" s="4">
        <f>IFERROR(I1372/H1372,0)</f>
        <v>21.007658959537572</v>
      </c>
      <c r="R1372" s="12">
        <f>IFERROR(J1372/I1372,0)</f>
        <v>9.0248120352472601</v>
      </c>
      <c r="S1372" s="7">
        <f>Tabla_nuevas_columnas[[#This Row],[ROAS]]</f>
        <v>9.0248120352472601</v>
      </c>
      <c r="T1372" t="str">
        <f>_xlfn.CONCAT(C1372,"-",D1372)</f>
        <v>Paid Social-España</v>
      </c>
      <c r="U1372">
        <f>YEAR(A1372)</f>
        <v>2025</v>
      </c>
      <c r="V1372">
        <f>MONTH(A1372)</f>
        <v>5</v>
      </c>
      <c r="W1372" t="str">
        <f>PROPER(TEXT(A1372,"mmmm"))</f>
        <v>Mayo</v>
      </c>
      <c r="X1372" t="str">
        <f>PROPER(TEXT(A1372,"dddd"))</f>
        <v>Jueves</v>
      </c>
      <c r="Y1372" t="str" cm="1">
        <f t="array" ref="Y1372">_xlfn.IFS(R1372&gt;10,"Excelente",R1372&gt;=5,"Bueno",R1372&gt;=2,"Débil",R1372&lt;2,"Deficiente")</f>
        <v>Bueno</v>
      </c>
      <c r="Z1372" t="str">
        <f>IF(AND(R1372&lt;2,Q1372&gt;=100),"Revisar","OK")</f>
        <v>OK</v>
      </c>
      <c r="AA1372" s="55">
        <f>_xlfn.XLOOKUP(C1372,'Preguntas de negocio'!$C$114:$C$119,'Preguntas de negocio'!$D$114:$D$119,0)</f>
        <v>6</v>
      </c>
      <c r="AB1372" s="55">
        <f>VLOOKUP(C1372,'Preguntas de negocio'!$C$121:$D$127,2,FALSE)</f>
        <v>0.8</v>
      </c>
    </row>
    <row r="1373" spans="1:28" x14ac:dyDescent="0.3">
      <c r="A1373" s="1">
        <v>45818</v>
      </c>
      <c r="B1373" s="2" t="s">
        <v>2641</v>
      </c>
      <c r="C1373" s="2" t="s">
        <v>2541</v>
      </c>
      <c r="D1373" s="2" t="s">
        <v>2528</v>
      </c>
      <c r="E1373" s="2" t="s">
        <v>2534</v>
      </c>
      <c r="F1373" s="3">
        <v>137750</v>
      </c>
      <c r="G1373" s="3">
        <v>9704</v>
      </c>
      <c r="H1373" s="3">
        <v>167</v>
      </c>
      <c r="I1373" s="4">
        <v>12793.63</v>
      </c>
      <c r="J1373" s="4">
        <v>32224.46</v>
      </c>
      <c r="K1373" s="3">
        <v>94</v>
      </c>
      <c r="L1373" s="2" t="s">
        <v>2539</v>
      </c>
      <c r="M1373" s="2" t="s">
        <v>2526</v>
      </c>
      <c r="N1373" s="8">
        <f>IFERROR(G1373/F1373,0)</f>
        <v>7.0446460980036305E-2</v>
      </c>
      <c r="O1373" s="8">
        <f>IFERROR(H1373/G1373,0)</f>
        <v>1.7209398186314923E-2</v>
      </c>
      <c r="P1373" s="4">
        <f>IFERROR(I1373/G1373,0)</f>
        <v>1.3183872629843363</v>
      </c>
      <c r="Q1373" s="4">
        <f>IFERROR(I1373/H1373,0)</f>
        <v>76.60856287425149</v>
      </c>
      <c r="R1373" s="12">
        <f>IFERROR(J1373/I1373,0)</f>
        <v>2.5187894288016772</v>
      </c>
      <c r="S1373" s="7">
        <f>Tabla_nuevas_columnas[[#This Row],[ROAS]]</f>
        <v>2.5187894288016772</v>
      </c>
      <c r="T1373" t="str">
        <f>_xlfn.CONCAT(C1373,"-",D1373)</f>
        <v>Display-España</v>
      </c>
      <c r="U1373">
        <f>YEAR(A1373)</f>
        <v>2025</v>
      </c>
      <c r="V1373">
        <f>MONTH(A1373)</f>
        <v>6</v>
      </c>
      <c r="W1373" t="str">
        <f>PROPER(TEXT(A1373,"mmmm"))</f>
        <v>Junio</v>
      </c>
      <c r="X1373" t="str">
        <f>PROPER(TEXT(A1373,"dddd"))</f>
        <v>Martes</v>
      </c>
      <c r="Y1373" t="str" cm="1">
        <f t="array" ref="Y1373">_xlfn.IFS(R1373&gt;10,"Excelente",R1373&gt;=5,"Bueno",R1373&gt;=2,"Débil",R1373&lt;2,"Deficiente")</f>
        <v>Débil</v>
      </c>
      <c r="Z1373" t="str">
        <f>IF(AND(R1373&lt;2,Q1373&gt;=100),"Revisar","OK")</f>
        <v>OK</v>
      </c>
      <c r="AA1373" s="55">
        <f>_xlfn.XLOOKUP(C1373,'Preguntas de negocio'!$C$114:$C$119,'Preguntas de negocio'!$D$114:$D$119,0)</f>
        <v>5</v>
      </c>
      <c r="AB1373" s="55">
        <f>VLOOKUP(C1373,'Preguntas de negocio'!$C$121:$D$127,2,FALSE)</f>
        <v>0.5</v>
      </c>
    </row>
    <row r="1374" spans="1:28" x14ac:dyDescent="0.3">
      <c r="A1374" s="1">
        <v>45784</v>
      </c>
      <c r="B1374" s="2" t="s">
        <v>2643</v>
      </c>
      <c r="C1374" s="2" t="s">
        <v>2541</v>
      </c>
      <c r="D1374" s="2" t="s">
        <v>2531</v>
      </c>
      <c r="E1374" s="2" t="s">
        <v>2529</v>
      </c>
      <c r="F1374" s="3">
        <v>31845</v>
      </c>
      <c r="G1374" s="3">
        <v>2333</v>
      </c>
      <c r="H1374" s="3">
        <v>63</v>
      </c>
      <c r="I1374" s="4">
        <v>704.27</v>
      </c>
      <c r="J1374" s="4">
        <v>2239.48</v>
      </c>
      <c r="K1374" s="3">
        <v>43</v>
      </c>
      <c r="L1374" s="2" t="s">
        <v>2518</v>
      </c>
      <c r="M1374" s="2" t="s">
        <v>2524</v>
      </c>
      <c r="N1374" s="8">
        <f>IFERROR(G1374/F1374,0)</f>
        <v>7.3261108494269117E-2</v>
      </c>
      <c r="O1374" s="8">
        <f>IFERROR(H1374/G1374,0)</f>
        <v>2.700385769395628E-2</v>
      </c>
      <c r="P1374" s="4">
        <f>IFERROR(I1374/G1374,0)</f>
        <v>0.30187312473210459</v>
      </c>
      <c r="Q1374" s="4">
        <f>IFERROR(I1374/H1374,0)</f>
        <v>11.178888888888888</v>
      </c>
      <c r="R1374" s="12">
        <f>IFERROR(J1374/I1374,0)</f>
        <v>3.179859996876198</v>
      </c>
      <c r="S1374" s="7">
        <f>Tabla_nuevas_columnas[[#This Row],[ROAS]]</f>
        <v>3.179859996876198</v>
      </c>
      <c r="T1374" t="str">
        <f>_xlfn.CONCAT(C1374,"-",D1374)</f>
        <v>Display-Portugal</v>
      </c>
      <c r="U1374">
        <f>YEAR(A1374)</f>
        <v>2025</v>
      </c>
      <c r="V1374">
        <f>MONTH(A1374)</f>
        <v>5</v>
      </c>
      <c r="W1374" t="str">
        <f>PROPER(TEXT(A1374,"mmmm"))</f>
        <v>Mayo</v>
      </c>
      <c r="X1374" t="str">
        <f>PROPER(TEXT(A1374,"dddd"))</f>
        <v>Miércoles</v>
      </c>
      <c r="Y1374" t="str" cm="1">
        <f t="array" ref="Y1374">_xlfn.IFS(R1374&gt;10,"Excelente",R1374&gt;=5,"Bueno",R1374&gt;=2,"Débil",R1374&lt;2,"Deficiente")</f>
        <v>Débil</v>
      </c>
      <c r="Z1374" t="str">
        <f>IF(AND(R1374&lt;2,Q1374&gt;=100),"Revisar","OK")</f>
        <v>OK</v>
      </c>
      <c r="AA1374" s="55">
        <f>_xlfn.XLOOKUP(C1374,'Preguntas de negocio'!$C$114:$C$119,'Preguntas de negocio'!$D$114:$D$119,0)</f>
        <v>5</v>
      </c>
      <c r="AB1374" s="55">
        <f>VLOOKUP(C1374,'Preguntas de negocio'!$C$121:$D$127,2,FALSE)</f>
        <v>0.5</v>
      </c>
    </row>
    <row r="1375" spans="1:28" x14ac:dyDescent="0.3">
      <c r="A1375" s="1">
        <v>45865</v>
      </c>
      <c r="B1375" s="2" t="s">
        <v>2634</v>
      </c>
      <c r="C1375" s="2" t="s">
        <v>2533</v>
      </c>
      <c r="D1375" s="2" t="s">
        <v>2516</v>
      </c>
      <c r="E1375" s="2" t="s">
        <v>2517</v>
      </c>
      <c r="F1375" s="3">
        <v>90775</v>
      </c>
      <c r="G1375" s="3">
        <v>1355</v>
      </c>
      <c r="H1375" s="3">
        <v>40</v>
      </c>
      <c r="I1375" s="4">
        <v>2626.64</v>
      </c>
      <c r="J1375" s="4">
        <v>1207.93</v>
      </c>
      <c r="K1375" s="3">
        <v>21</v>
      </c>
      <c r="L1375" s="2" t="s">
        <v>2536</v>
      </c>
      <c r="M1375" s="2" t="s">
        <v>2526</v>
      </c>
      <c r="N1375" s="8">
        <f>IFERROR(G1375/F1375,0)</f>
        <v>1.4927017350592124E-2</v>
      </c>
      <c r="O1375" s="8">
        <f>IFERROR(H1375/G1375,0)</f>
        <v>2.9520295202952029E-2</v>
      </c>
      <c r="P1375" s="4">
        <f>IFERROR(I1375/G1375,0)</f>
        <v>1.9384797047970479</v>
      </c>
      <c r="Q1375" s="4">
        <f>IFERROR(I1375/H1375,0)</f>
        <v>65.665999999999997</v>
      </c>
      <c r="R1375" s="12">
        <f>IFERROR(J1375/I1375,0)</f>
        <v>0.45987649620808335</v>
      </c>
      <c r="S1375" s="7">
        <f>Tabla_nuevas_columnas[[#This Row],[ROAS]]</f>
        <v>0.45987649620808335</v>
      </c>
      <c r="T1375" t="str">
        <f>_xlfn.CONCAT(C1375,"-",D1375)</f>
        <v>Paid Social-México</v>
      </c>
      <c r="U1375">
        <f>YEAR(A1375)</f>
        <v>2025</v>
      </c>
      <c r="V1375">
        <f>MONTH(A1375)</f>
        <v>7</v>
      </c>
      <c r="W1375" t="str">
        <f>PROPER(TEXT(A1375,"mmmm"))</f>
        <v>Julio</v>
      </c>
      <c r="X1375" t="str">
        <f>PROPER(TEXT(A1375,"dddd"))</f>
        <v>Domingo</v>
      </c>
      <c r="Y1375" t="str" cm="1">
        <f t="array" ref="Y1375">_xlfn.IFS(R1375&gt;10,"Excelente",R1375&gt;=5,"Bueno",R1375&gt;=2,"Débil",R1375&lt;2,"Deficiente")</f>
        <v>Deficiente</v>
      </c>
      <c r="Z1375" t="str">
        <f>IF(AND(R1375&lt;2,Q1375&gt;=100),"Revisar","OK")</f>
        <v>OK</v>
      </c>
      <c r="AA1375" s="55">
        <f>_xlfn.XLOOKUP(C1375,'Preguntas de negocio'!$C$114:$C$119,'Preguntas de negocio'!$D$114:$D$119,0)</f>
        <v>6</v>
      </c>
      <c r="AB1375" s="55">
        <f>VLOOKUP(C1375,'Preguntas de negocio'!$C$121:$D$127,2,FALSE)</f>
        <v>0.8</v>
      </c>
    </row>
    <row r="1376" spans="1:28" x14ac:dyDescent="0.3">
      <c r="A1376" s="1">
        <v>45789</v>
      </c>
      <c r="B1376" s="2" t="s">
        <v>2628</v>
      </c>
      <c r="C1376" s="2" t="s">
        <v>2515</v>
      </c>
      <c r="D1376" s="2" t="s">
        <v>2528</v>
      </c>
      <c r="E1376" s="2" t="s">
        <v>2517</v>
      </c>
      <c r="F1376" s="3">
        <v>90241</v>
      </c>
      <c r="G1376" s="3">
        <v>5367</v>
      </c>
      <c r="H1376" s="3">
        <v>697</v>
      </c>
      <c r="I1376" s="4">
        <v>11216.52</v>
      </c>
      <c r="J1376" s="4">
        <v>53170.720000000001</v>
      </c>
      <c r="K1376" s="3">
        <v>616</v>
      </c>
      <c r="L1376" s="2" t="s">
        <v>2518</v>
      </c>
      <c r="M1376" s="2" t="s">
        <v>2526</v>
      </c>
      <c r="N1376" s="8">
        <f>IFERROR(G1376/F1376,0)</f>
        <v>5.947407497700602E-2</v>
      </c>
      <c r="O1376" s="8">
        <f>IFERROR(H1376/G1376,0)</f>
        <v>0.12986771008011924</v>
      </c>
      <c r="P1376" s="4">
        <f>IFERROR(I1376/G1376,0)</f>
        <v>2.089904974846283</v>
      </c>
      <c r="Q1376" s="4">
        <f>IFERROR(I1376/H1376,0)</f>
        <v>16.092568149210905</v>
      </c>
      <c r="R1376" s="12">
        <f>IFERROR(J1376/I1376,0)</f>
        <v>4.7403936336760424</v>
      </c>
      <c r="S1376" s="7">
        <f>Tabla_nuevas_columnas[[#This Row],[ROAS]]</f>
        <v>4.7403936336760424</v>
      </c>
      <c r="T1376" t="str">
        <f>_xlfn.CONCAT(C1376,"-",D1376)</f>
        <v>Email-España</v>
      </c>
      <c r="U1376">
        <f>YEAR(A1376)</f>
        <v>2025</v>
      </c>
      <c r="V1376">
        <f>MONTH(A1376)</f>
        <v>5</v>
      </c>
      <c r="W1376" t="str">
        <f>PROPER(TEXT(A1376,"mmmm"))</f>
        <v>Mayo</v>
      </c>
      <c r="X1376" t="str">
        <f>PROPER(TEXT(A1376,"dddd"))</f>
        <v>Lunes</v>
      </c>
      <c r="Y1376" t="str" cm="1">
        <f t="array" ref="Y1376">_xlfn.IFS(R1376&gt;10,"Excelente",R1376&gt;=5,"Bueno",R1376&gt;=2,"Débil",R1376&lt;2,"Deficiente")</f>
        <v>Débil</v>
      </c>
      <c r="Z1376" t="str">
        <f>IF(AND(R1376&lt;2,Q1376&gt;=100),"Revisar","OK")</f>
        <v>OK</v>
      </c>
      <c r="AA1376" s="55">
        <f>_xlfn.XLOOKUP(C1376,'Preguntas de negocio'!$C$114:$C$119,'Preguntas de negocio'!$D$114:$D$119,0)</f>
        <v>5.5</v>
      </c>
      <c r="AB1376" s="55">
        <f>VLOOKUP(C1376,'Preguntas de negocio'!$C$121:$D$127,2,FALSE)</f>
        <v>0.65</v>
      </c>
    </row>
    <row r="1377" spans="1:28" x14ac:dyDescent="0.3">
      <c r="A1377" s="1">
        <v>45697</v>
      </c>
      <c r="B1377" s="2" t="s">
        <v>2624</v>
      </c>
      <c r="C1377" s="2" t="s">
        <v>2515</v>
      </c>
      <c r="D1377" s="2" t="s">
        <v>2531</v>
      </c>
      <c r="E1377" s="2" t="s">
        <v>2517</v>
      </c>
      <c r="F1377" s="3">
        <v>20365</v>
      </c>
      <c r="G1377" s="3">
        <v>1124</v>
      </c>
      <c r="H1377" s="3">
        <v>96</v>
      </c>
      <c r="I1377" s="4">
        <v>256.45999999999998</v>
      </c>
      <c r="J1377" s="4">
        <v>9825.4699999999993</v>
      </c>
      <c r="K1377" s="3">
        <v>50</v>
      </c>
      <c r="L1377" s="2" t="s">
        <v>2539</v>
      </c>
      <c r="M1377" s="2" t="s">
        <v>2537</v>
      </c>
      <c r="N1377" s="8">
        <f>IFERROR(G1377/F1377,0)</f>
        <v>5.5192732629511417E-2</v>
      </c>
      <c r="O1377" s="8">
        <f>IFERROR(H1377/G1377,0)</f>
        <v>8.5409252669039148E-2</v>
      </c>
      <c r="P1377" s="4">
        <f>IFERROR(I1377/G1377,0)</f>
        <v>0.22816725978647684</v>
      </c>
      <c r="Q1377" s="4">
        <f>IFERROR(I1377/H1377,0)</f>
        <v>2.6714583333333333</v>
      </c>
      <c r="R1377" s="12">
        <f>IFERROR(J1377/I1377,0)</f>
        <v>38.311900491304691</v>
      </c>
      <c r="S1377" s="7">
        <f>Tabla_nuevas_columnas[[#This Row],[ROAS]]</f>
        <v>38.311900491304691</v>
      </c>
      <c r="T1377" t="str">
        <f>_xlfn.CONCAT(C1377,"-",D1377)</f>
        <v>Email-Portugal</v>
      </c>
      <c r="U1377">
        <f>YEAR(A1377)</f>
        <v>2025</v>
      </c>
      <c r="V1377">
        <f>MONTH(A1377)</f>
        <v>2</v>
      </c>
      <c r="W1377" t="str">
        <f>PROPER(TEXT(A1377,"mmmm"))</f>
        <v>Febrero</v>
      </c>
      <c r="X1377" t="str">
        <f>PROPER(TEXT(A1377,"dddd"))</f>
        <v>Domingo</v>
      </c>
      <c r="Y1377" t="str" cm="1">
        <f t="array" ref="Y1377">_xlfn.IFS(R1377&gt;10,"Excelente",R1377&gt;=5,"Bueno",R1377&gt;=2,"Débil",R1377&lt;2,"Deficiente")</f>
        <v>Excelente</v>
      </c>
      <c r="Z1377" t="str">
        <f>IF(AND(R1377&lt;2,Q1377&gt;=100),"Revisar","OK")</f>
        <v>OK</v>
      </c>
      <c r="AA1377" s="55">
        <f>_xlfn.XLOOKUP(C1377,'Preguntas de negocio'!$C$114:$C$119,'Preguntas de negocio'!$D$114:$D$119,0)</f>
        <v>5.5</v>
      </c>
      <c r="AB1377" s="55">
        <f>VLOOKUP(C1377,'Preguntas de negocio'!$C$121:$D$127,2,FALSE)</f>
        <v>0.65</v>
      </c>
    </row>
    <row r="1378" spans="1:28" x14ac:dyDescent="0.3">
      <c r="A1378" s="1">
        <v>45677</v>
      </c>
      <c r="B1378" s="2" t="s">
        <v>2630</v>
      </c>
      <c r="C1378" s="2" t="s">
        <v>2521</v>
      </c>
      <c r="D1378" s="2" t="s">
        <v>2516</v>
      </c>
      <c r="E1378" s="2" t="s">
        <v>2517</v>
      </c>
      <c r="F1378" s="3">
        <v>121456</v>
      </c>
      <c r="G1378" s="3">
        <v>2581</v>
      </c>
      <c r="H1378" s="3">
        <v>197</v>
      </c>
      <c r="I1378" s="4">
        <v>4160.5200000000004</v>
      </c>
      <c r="J1378" s="4">
        <v>43205.440000000002</v>
      </c>
      <c r="K1378" s="3">
        <v>166</v>
      </c>
      <c r="L1378" s="2" t="s">
        <v>2539</v>
      </c>
      <c r="M1378" s="2" t="s">
        <v>2519</v>
      </c>
      <c r="N1378" s="8">
        <f>IFERROR(G1378/F1378,0)</f>
        <v>2.1250494006059807E-2</v>
      </c>
      <c r="O1378" s="8">
        <f>IFERROR(H1378/G1378,0)</f>
        <v>7.6327005036807435E-2</v>
      </c>
      <c r="P1378" s="4">
        <f>IFERROR(I1378/G1378,0)</f>
        <v>1.6119798527702442</v>
      </c>
      <c r="Q1378" s="4">
        <f>IFERROR(I1378/H1378,0)</f>
        <v>21.119390862944165</v>
      </c>
      <c r="R1378" s="12">
        <f>IFERROR(J1378/I1378,0)</f>
        <v>10.384624998798227</v>
      </c>
      <c r="S1378" s="7">
        <f>Tabla_nuevas_columnas[[#This Row],[ROAS]]</f>
        <v>10.384624998798227</v>
      </c>
      <c r="T1378" t="str">
        <f>_xlfn.CONCAT(C1378,"-",D1378)</f>
        <v>Paid Search-México</v>
      </c>
      <c r="U1378">
        <f>YEAR(A1378)</f>
        <v>2025</v>
      </c>
      <c r="V1378">
        <f>MONTH(A1378)</f>
        <v>1</v>
      </c>
      <c r="W1378" t="str">
        <f>PROPER(TEXT(A1378,"mmmm"))</f>
        <v>Enero</v>
      </c>
      <c r="X1378" t="str">
        <f>PROPER(TEXT(A1378,"dddd"))</f>
        <v>Lunes</v>
      </c>
      <c r="Y1378" t="str" cm="1">
        <f t="array" ref="Y1378">_xlfn.IFS(R1378&gt;10,"Excelente",R1378&gt;=5,"Bueno",R1378&gt;=2,"Débil",R1378&lt;2,"Deficiente")</f>
        <v>Excelente</v>
      </c>
      <c r="Z1378" t="str">
        <f>IF(AND(R1378&lt;2,Q1378&gt;=100),"Revisar","OK")</f>
        <v>OK</v>
      </c>
      <c r="AA1378" s="55">
        <f>_xlfn.XLOOKUP(C1378,'Preguntas de negocio'!$C$114:$C$119,'Preguntas de negocio'!$D$114:$D$119,0)</f>
        <v>5</v>
      </c>
      <c r="AB1378" s="55">
        <f>VLOOKUP(C1378,'Preguntas de negocio'!$C$121:$D$127,2,FALSE)</f>
        <v>1.1000000000000001</v>
      </c>
    </row>
    <row r="1379" spans="1:28" x14ac:dyDescent="0.3">
      <c r="A1379" s="1">
        <v>45771</v>
      </c>
      <c r="B1379" s="2" t="s">
        <v>2637</v>
      </c>
      <c r="C1379" s="2" t="s">
        <v>2541</v>
      </c>
      <c r="D1379" s="2" t="s">
        <v>2528</v>
      </c>
      <c r="E1379" s="2" t="s">
        <v>2529</v>
      </c>
      <c r="F1379" s="3">
        <v>98915</v>
      </c>
      <c r="G1379" s="3">
        <v>3255</v>
      </c>
      <c r="H1379" s="3">
        <v>185</v>
      </c>
      <c r="I1379" s="4">
        <v>1878.5</v>
      </c>
      <c r="J1379" s="4">
        <v>38992.94</v>
      </c>
      <c r="K1379" s="3">
        <v>155</v>
      </c>
      <c r="L1379" s="2" t="s">
        <v>2536</v>
      </c>
      <c r="M1379" s="2" t="s">
        <v>2546</v>
      </c>
      <c r="N1379" s="8">
        <f>IFERROR(G1379/F1379,0)</f>
        <v>3.2907041399181117E-2</v>
      </c>
      <c r="O1379" s="8">
        <f>IFERROR(H1379/G1379,0)</f>
        <v>5.683563748079877E-2</v>
      </c>
      <c r="P1379" s="4">
        <f>IFERROR(I1379/G1379,0)</f>
        <v>0.57711213517665128</v>
      </c>
      <c r="Q1379" s="4">
        <f>IFERROR(I1379/H1379,0)</f>
        <v>10.154054054054054</v>
      </c>
      <c r="R1379" s="12">
        <f>IFERROR(J1379/I1379,0)</f>
        <v>20.757487356933726</v>
      </c>
      <c r="S1379" s="7">
        <f>Tabla_nuevas_columnas[[#This Row],[ROAS]]</f>
        <v>20.757487356933726</v>
      </c>
      <c r="T1379" t="str">
        <f>_xlfn.CONCAT(C1379,"-",D1379)</f>
        <v>Display-España</v>
      </c>
      <c r="U1379">
        <f>YEAR(A1379)</f>
        <v>2025</v>
      </c>
      <c r="V1379">
        <f>MONTH(A1379)</f>
        <v>4</v>
      </c>
      <c r="W1379" t="str">
        <f>PROPER(TEXT(A1379,"mmmm"))</f>
        <v>Abril</v>
      </c>
      <c r="X1379" t="str">
        <f>PROPER(TEXT(A1379,"dddd"))</f>
        <v>Jueves</v>
      </c>
      <c r="Y1379" t="str" cm="1">
        <f t="array" ref="Y1379">_xlfn.IFS(R1379&gt;10,"Excelente",R1379&gt;=5,"Bueno",R1379&gt;=2,"Débil",R1379&lt;2,"Deficiente")</f>
        <v>Excelente</v>
      </c>
      <c r="Z1379" t="str">
        <f>IF(AND(R1379&lt;2,Q1379&gt;=100),"Revisar","OK")</f>
        <v>OK</v>
      </c>
      <c r="AA1379" s="55">
        <f>_xlfn.XLOOKUP(C1379,'Preguntas de negocio'!$C$114:$C$119,'Preguntas de negocio'!$D$114:$D$119,0)</f>
        <v>5</v>
      </c>
      <c r="AB1379" s="55">
        <f>VLOOKUP(C1379,'Preguntas de negocio'!$C$121:$D$127,2,FALSE)</f>
        <v>0.5</v>
      </c>
    </row>
    <row r="1380" spans="1:28" x14ac:dyDescent="0.3">
      <c r="A1380" s="1">
        <v>45857</v>
      </c>
      <c r="B1380" s="2" t="s">
        <v>2617</v>
      </c>
      <c r="C1380" s="2" t="s">
        <v>2543</v>
      </c>
      <c r="D1380" s="2" t="s">
        <v>2516</v>
      </c>
      <c r="E1380" s="2" t="s">
        <v>2529</v>
      </c>
      <c r="F1380" s="3">
        <v>167922</v>
      </c>
      <c r="G1380" s="3">
        <v>10840</v>
      </c>
      <c r="H1380" s="3">
        <v>1053</v>
      </c>
      <c r="I1380" s="4">
        <v>10855.87</v>
      </c>
      <c r="J1380" s="4">
        <v>156224.57</v>
      </c>
      <c r="K1380" s="3">
        <v>528</v>
      </c>
      <c r="L1380" s="2" t="s">
        <v>2539</v>
      </c>
      <c r="M1380" s="2" t="s">
        <v>2546</v>
      </c>
      <c r="N1380" s="8">
        <f>IFERROR(G1380/F1380,0)</f>
        <v>6.4553780922094781E-2</v>
      </c>
      <c r="O1380" s="8">
        <f>IFERROR(H1380/G1380,0)</f>
        <v>9.7140221402214025E-2</v>
      </c>
      <c r="P1380" s="4">
        <f>IFERROR(I1380/G1380,0)</f>
        <v>1.0014640221402216</v>
      </c>
      <c r="Q1380" s="4">
        <f>IFERROR(I1380/H1380,0)</f>
        <v>10.309468186134854</v>
      </c>
      <c r="R1380" s="12">
        <f>IFERROR(J1380/I1380,0)</f>
        <v>14.390792262619209</v>
      </c>
      <c r="S1380" s="7">
        <f>Tabla_nuevas_columnas[[#This Row],[ROAS]]</f>
        <v>14.390792262619209</v>
      </c>
      <c r="T1380" t="str">
        <f>_xlfn.CONCAT(C1380,"-",D1380)</f>
        <v>Organic Social-México</v>
      </c>
      <c r="U1380">
        <f>YEAR(A1380)</f>
        <v>2025</v>
      </c>
      <c r="V1380">
        <f>MONTH(A1380)</f>
        <v>7</v>
      </c>
      <c r="W1380" t="str">
        <f>PROPER(TEXT(A1380,"mmmm"))</f>
        <v>Julio</v>
      </c>
      <c r="X1380" t="str">
        <f>PROPER(TEXT(A1380,"dddd"))</f>
        <v>Sábado</v>
      </c>
      <c r="Y1380" t="str" cm="1">
        <f t="array" ref="Y1380">_xlfn.IFS(R1380&gt;10,"Excelente",R1380&gt;=5,"Bueno",R1380&gt;=2,"Débil",R1380&lt;2,"Deficiente")</f>
        <v>Excelente</v>
      </c>
      <c r="Z1380" t="str">
        <f>IF(AND(R1380&lt;2,Q1380&gt;=100),"Revisar","OK")</f>
        <v>OK</v>
      </c>
      <c r="AA1380" s="55">
        <f>_xlfn.XLOOKUP(C1380,'Preguntas de negocio'!$C$114:$C$119,'Preguntas de negocio'!$D$114:$D$119,0)</f>
        <v>4</v>
      </c>
      <c r="AB1380" s="55">
        <f>VLOOKUP(C1380,'Preguntas de negocio'!$C$121:$D$127,2,FALSE)</f>
        <v>0.95</v>
      </c>
    </row>
    <row r="1381" spans="1:28" x14ac:dyDescent="0.3">
      <c r="A1381" s="1">
        <v>45714</v>
      </c>
      <c r="B1381" s="2" t="s">
        <v>2615</v>
      </c>
      <c r="C1381" s="2" t="s">
        <v>2541</v>
      </c>
      <c r="D1381" s="2" t="s">
        <v>2528</v>
      </c>
      <c r="E1381" s="2" t="s">
        <v>2529</v>
      </c>
      <c r="F1381" s="3">
        <v>147670</v>
      </c>
      <c r="G1381" s="3">
        <v>11109</v>
      </c>
      <c r="H1381" s="3">
        <v>293</v>
      </c>
      <c r="I1381" s="4">
        <v>12040.77</v>
      </c>
      <c r="J1381" s="4">
        <v>5299.35</v>
      </c>
      <c r="K1381" s="3">
        <v>151</v>
      </c>
      <c r="L1381" s="2" t="s">
        <v>2518</v>
      </c>
      <c r="M1381" s="2" t="s">
        <v>2524</v>
      </c>
      <c r="N1381" s="8">
        <f>IFERROR(G1381/F1381,0)</f>
        <v>7.5228550145594902E-2</v>
      </c>
      <c r="O1381" s="8">
        <f>IFERROR(H1381/G1381,0)</f>
        <v>2.6375011252137905E-2</v>
      </c>
      <c r="P1381" s="4">
        <f>IFERROR(I1381/G1381,0)</f>
        <v>1.083875236294896</v>
      </c>
      <c r="Q1381" s="4">
        <f>IFERROR(I1381/H1381,0)</f>
        <v>41.09477815699659</v>
      </c>
      <c r="R1381" s="12">
        <f>IFERROR(J1381/I1381,0)</f>
        <v>0.4401172018068612</v>
      </c>
      <c r="S1381" s="7">
        <f>Tabla_nuevas_columnas[[#This Row],[ROAS]]</f>
        <v>0.4401172018068612</v>
      </c>
      <c r="T1381" t="str">
        <f>_xlfn.CONCAT(C1381,"-",D1381)</f>
        <v>Display-España</v>
      </c>
      <c r="U1381">
        <f>YEAR(A1381)</f>
        <v>2025</v>
      </c>
      <c r="V1381">
        <f>MONTH(A1381)</f>
        <v>2</v>
      </c>
      <c r="W1381" t="str">
        <f>PROPER(TEXT(A1381,"mmmm"))</f>
        <v>Febrero</v>
      </c>
      <c r="X1381" t="str">
        <f>PROPER(TEXT(A1381,"dddd"))</f>
        <v>Miércoles</v>
      </c>
      <c r="Y1381" t="str" cm="1">
        <f t="array" ref="Y1381">_xlfn.IFS(R1381&gt;10,"Excelente",R1381&gt;=5,"Bueno",R1381&gt;=2,"Débil",R1381&lt;2,"Deficiente")</f>
        <v>Deficiente</v>
      </c>
      <c r="Z1381" t="str">
        <f>IF(AND(R1381&lt;2,Q1381&gt;=100),"Revisar","OK")</f>
        <v>OK</v>
      </c>
      <c r="AA1381" s="55">
        <f>_xlfn.XLOOKUP(C1381,'Preguntas de negocio'!$C$114:$C$119,'Preguntas de negocio'!$D$114:$D$119,0)</f>
        <v>5</v>
      </c>
      <c r="AB1381" s="55">
        <f>VLOOKUP(C1381,'Preguntas de negocio'!$C$121:$D$127,2,FALSE)</f>
        <v>0.5</v>
      </c>
    </row>
    <row r="1382" spans="1:28" x14ac:dyDescent="0.3">
      <c r="A1382" s="1">
        <v>45752</v>
      </c>
      <c r="B1382" s="2" t="s">
        <v>2642</v>
      </c>
      <c r="C1382" s="2" t="s">
        <v>2515</v>
      </c>
      <c r="D1382" s="2" t="s">
        <v>2528</v>
      </c>
      <c r="E1382" s="2" t="s">
        <v>2517</v>
      </c>
      <c r="F1382" s="3">
        <v>70321</v>
      </c>
      <c r="G1382" s="3">
        <v>4372</v>
      </c>
      <c r="H1382" s="3">
        <v>359</v>
      </c>
      <c r="I1382" s="4">
        <v>467.89</v>
      </c>
      <c r="J1382" s="4">
        <v>66108.600000000006</v>
      </c>
      <c r="K1382" s="3">
        <v>180</v>
      </c>
      <c r="L1382" s="2" t="s">
        <v>2539</v>
      </c>
      <c r="M1382" s="2" t="s">
        <v>2519</v>
      </c>
      <c r="N1382" s="8">
        <f>IFERROR(G1382/F1382,0)</f>
        <v>6.2172039646762704E-2</v>
      </c>
      <c r="O1382" s="8">
        <f>IFERROR(H1382/G1382,0)</f>
        <v>8.2113449222323873E-2</v>
      </c>
      <c r="P1382" s="4">
        <f>IFERROR(I1382/G1382,0)</f>
        <v>0.10701967063129002</v>
      </c>
      <c r="Q1382" s="4">
        <f>IFERROR(I1382/H1382,0)</f>
        <v>1.3033147632311977</v>
      </c>
      <c r="R1382" s="12">
        <f>IFERROR(J1382/I1382,0)</f>
        <v>141.29090170766634</v>
      </c>
      <c r="S1382" s="7">
        <f>Tabla_nuevas_columnas[[#This Row],[ROAS]]</f>
        <v>141.29090170766634</v>
      </c>
      <c r="T1382" t="str">
        <f>_xlfn.CONCAT(C1382,"-",D1382)</f>
        <v>Email-España</v>
      </c>
      <c r="U1382">
        <f>YEAR(A1382)</f>
        <v>2025</v>
      </c>
      <c r="V1382">
        <f>MONTH(A1382)</f>
        <v>4</v>
      </c>
      <c r="W1382" t="str">
        <f>PROPER(TEXT(A1382,"mmmm"))</f>
        <v>Abril</v>
      </c>
      <c r="X1382" t="str">
        <f>PROPER(TEXT(A1382,"dddd"))</f>
        <v>Sábado</v>
      </c>
      <c r="Y1382" t="str" cm="1">
        <f t="array" ref="Y1382">_xlfn.IFS(R1382&gt;10,"Excelente",R1382&gt;=5,"Bueno",R1382&gt;=2,"Débil",R1382&lt;2,"Deficiente")</f>
        <v>Excelente</v>
      </c>
      <c r="Z1382" t="str">
        <f>IF(AND(R1382&lt;2,Q1382&gt;=100),"Revisar","OK")</f>
        <v>OK</v>
      </c>
      <c r="AA1382" s="55">
        <f>_xlfn.XLOOKUP(C1382,'Preguntas de negocio'!$C$114:$C$119,'Preguntas de negocio'!$D$114:$D$119,0)</f>
        <v>5.5</v>
      </c>
      <c r="AB1382" s="55">
        <f>VLOOKUP(C1382,'Preguntas de negocio'!$C$121:$D$127,2,FALSE)</f>
        <v>0.65</v>
      </c>
    </row>
    <row r="1383" spans="1:28" x14ac:dyDescent="0.3">
      <c r="A1383" s="1">
        <v>45695</v>
      </c>
      <c r="B1383" s="2" t="s">
        <v>2634</v>
      </c>
      <c r="C1383" s="2" t="s">
        <v>2515</v>
      </c>
      <c r="D1383" s="2" t="s">
        <v>2525</v>
      </c>
      <c r="E1383" s="2" t="s">
        <v>2517</v>
      </c>
      <c r="F1383" s="3">
        <v>113620</v>
      </c>
      <c r="G1383" s="3">
        <v>4875</v>
      </c>
      <c r="H1383" s="3">
        <v>268</v>
      </c>
      <c r="I1383" s="4">
        <v>6289.02</v>
      </c>
      <c r="J1383" s="4">
        <v>12077.01</v>
      </c>
      <c r="K1383" s="3">
        <v>189</v>
      </c>
      <c r="L1383" s="2" t="s">
        <v>2536</v>
      </c>
      <c r="M1383" s="2" t="s">
        <v>2526</v>
      </c>
      <c r="N1383" s="8">
        <f>IFERROR(G1383/F1383,0)</f>
        <v>4.2906178489702518E-2</v>
      </c>
      <c r="O1383" s="8">
        <f>IFERROR(H1383/G1383,0)</f>
        <v>5.4974358974358976E-2</v>
      </c>
      <c r="P1383" s="4">
        <f>IFERROR(I1383/G1383,0)</f>
        <v>1.2900553846153846</v>
      </c>
      <c r="Q1383" s="4">
        <f>IFERROR(I1383/H1383,0)</f>
        <v>23.466492537313435</v>
      </c>
      <c r="R1383" s="12">
        <f>IFERROR(J1383/I1383,0)</f>
        <v>1.9203325796387989</v>
      </c>
      <c r="S1383" s="7">
        <f>Tabla_nuevas_columnas[[#This Row],[ROAS]]</f>
        <v>1.9203325796387989</v>
      </c>
      <c r="T1383" t="str">
        <f>_xlfn.CONCAT(C1383,"-",D1383)</f>
        <v>Email-Francia</v>
      </c>
      <c r="U1383">
        <f>YEAR(A1383)</f>
        <v>2025</v>
      </c>
      <c r="V1383">
        <f>MONTH(A1383)</f>
        <v>2</v>
      </c>
      <c r="W1383" t="str">
        <f>PROPER(TEXT(A1383,"mmmm"))</f>
        <v>Febrero</v>
      </c>
      <c r="X1383" t="str">
        <f>PROPER(TEXT(A1383,"dddd"))</f>
        <v>Viernes</v>
      </c>
      <c r="Y1383" t="str" cm="1">
        <f t="array" ref="Y1383">_xlfn.IFS(R1383&gt;10,"Excelente",R1383&gt;=5,"Bueno",R1383&gt;=2,"Débil",R1383&lt;2,"Deficiente")</f>
        <v>Deficiente</v>
      </c>
      <c r="Z1383" t="str">
        <f>IF(AND(R1383&lt;2,Q1383&gt;=100),"Revisar","OK")</f>
        <v>OK</v>
      </c>
      <c r="AA1383" s="55">
        <f>_xlfn.XLOOKUP(C1383,'Preguntas de negocio'!$C$114:$C$119,'Preguntas de negocio'!$D$114:$D$119,0)</f>
        <v>5.5</v>
      </c>
      <c r="AB1383" s="55">
        <f>VLOOKUP(C1383,'Preguntas de negocio'!$C$121:$D$127,2,FALSE)</f>
        <v>0.65</v>
      </c>
    </row>
    <row r="1384" spans="1:28" x14ac:dyDescent="0.3">
      <c r="A1384" s="1">
        <v>45875</v>
      </c>
      <c r="B1384" s="2" t="s">
        <v>2624</v>
      </c>
      <c r="C1384" s="2" t="s">
        <v>2533</v>
      </c>
      <c r="D1384" s="2" t="s">
        <v>2528</v>
      </c>
      <c r="E1384" s="2" t="s">
        <v>2529</v>
      </c>
      <c r="F1384" s="3">
        <v>29752</v>
      </c>
      <c r="G1384" s="3">
        <v>1450</v>
      </c>
      <c r="H1384" s="3">
        <v>45</v>
      </c>
      <c r="I1384" s="4">
        <v>384.26</v>
      </c>
      <c r="J1384" s="4">
        <v>9049.51</v>
      </c>
      <c r="K1384" s="3">
        <v>31</v>
      </c>
      <c r="L1384" s="2" t="s">
        <v>2523</v>
      </c>
      <c r="M1384" s="2" t="s">
        <v>2546</v>
      </c>
      <c r="N1384" s="8">
        <f>IFERROR(G1384/F1384,0)</f>
        <v>4.8736219413820919E-2</v>
      </c>
      <c r="O1384" s="8">
        <f>IFERROR(H1384/G1384,0)</f>
        <v>3.1034482758620689E-2</v>
      </c>
      <c r="P1384" s="4">
        <f>IFERROR(I1384/G1384,0)</f>
        <v>0.26500689655172416</v>
      </c>
      <c r="Q1384" s="4">
        <f>IFERROR(I1384/H1384,0)</f>
        <v>8.5391111111111115</v>
      </c>
      <c r="R1384" s="12">
        <f>IFERROR(J1384/I1384,0)</f>
        <v>23.55048664966429</v>
      </c>
      <c r="S1384" s="7">
        <f>Tabla_nuevas_columnas[[#This Row],[ROAS]]</f>
        <v>23.55048664966429</v>
      </c>
      <c r="T1384" t="str">
        <f>_xlfn.CONCAT(C1384,"-",D1384)</f>
        <v>Paid Social-España</v>
      </c>
      <c r="U1384">
        <f>YEAR(A1384)</f>
        <v>2025</v>
      </c>
      <c r="V1384">
        <f>MONTH(A1384)</f>
        <v>8</v>
      </c>
      <c r="W1384" t="str">
        <f>PROPER(TEXT(A1384,"mmmm"))</f>
        <v>Agosto</v>
      </c>
      <c r="X1384" t="str">
        <f>PROPER(TEXT(A1384,"dddd"))</f>
        <v>Miércoles</v>
      </c>
      <c r="Y1384" t="str" cm="1">
        <f t="array" ref="Y1384">_xlfn.IFS(R1384&gt;10,"Excelente",R1384&gt;=5,"Bueno",R1384&gt;=2,"Débil",R1384&lt;2,"Deficiente")</f>
        <v>Excelente</v>
      </c>
      <c r="Z1384" t="str">
        <f>IF(AND(R1384&lt;2,Q1384&gt;=100),"Revisar","OK")</f>
        <v>OK</v>
      </c>
      <c r="AA1384" s="55">
        <f>_xlfn.XLOOKUP(C1384,'Preguntas de negocio'!$C$114:$C$119,'Preguntas de negocio'!$D$114:$D$119,0)</f>
        <v>6</v>
      </c>
      <c r="AB1384" s="55">
        <f>VLOOKUP(C1384,'Preguntas de negocio'!$C$121:$D$127,2,FALSE)</f>
        <v>0.8</v>
      </c>
    </row>
    <row r="1385" spans="1:28" x14ac:dyDescent="0.3">
      <c r="A1385" s="1">
        <v>45904</v>
      </c>
      <c r="B1385" s="2" t="s">
        <v>2625</v>
      </c>
      <c r="C1385" s="2" t="s">
        <v>2543</v>
      </c>
      <c r="D1385" s="2" t="s">
        <v>2528</v>
      </c>
      <c r="E1385" s="2" t="s">
        <v>2517</v>
      </c>
      <c r="F1385" s="3">
        <v>8125</v>
      </c>
      <c r="G1385" s="3">
        <v>352</v>
      </c>
      <c r="H1385" s="3">
        <v>27</v>
      </c>
      <c r="I1385" s="4">
        <v>639.34</v>
      </c>
      <c r="J1385" s="4">
        <v>906.81</v>
      </c>
      <c r="K1385" s="3">
        <v>24</v>
      </c>
      <c r="L1385" s="2" t="s">
        <v>2523</v>
      </c>
      <c r="M1385" s="2" t="s">
        <v>2537</v>
      </c>
      <c r="N1385" s="8">
        <f>IFERROR(G1385/F1385,0)</f>
        <v>4.3323076923076922E-2</v>
      </c>
      <c r="O1385" s="8">
        <f>IFERROR(H1385/G1385,0)</f>
        <v>7.6704545454545456E-2</v>
      </c>
      <c r="P1385" s="4">
        <f>IFERROR(I1385/G1385,0)</f>
        <v>1.8163068181818183</v>
      </c>
      <c r="Q1385" s="4">
        <f>IFERROR(I1385/H1385,0)</f>
        <v>23.679259259259261</v>
      </c>
      <c r="R1385" s="12">
        <f>IFERROR(J1385/I1385,0)</f>
        <v>1.4183533018425249</v>
      </c>
      <c r="S1385" s="7">
        <f>Tabla_nuevas_columnas[[#This Row],[ROAS]]</f>
        <v>1.4183533018425249</v>
      </c>
      <c r="T1385" t="str">
        <f>_xlfn.CONCAT(C1385,"-",D1385)</f>
        <v>Organic Social-España</v>
      </c>
      <c r="U1385">
        <f>YEAR(A1385)</f>
        <v>2025</v>
      </c>
      <c r="V1385">
        <f>MONTH(A1385)</f>
        <v>9</v>
      </c>
      <c r="W1385" t="str">
        <f>PROPER(TEXT(A1385,"mmmm"))</f>
        <v>Septiembre</v>
      </c>
      <c r="X1385" t="str">
        <f>PROPER(TEXT(A1385,"dddd"))</f>
        <v>Jueves</v>
      </c>
      <c r="Y1385" t="str" cm="1">
        <f t="array" ref="Y1385">_xlfn.IFS(R1385&gt;10,"Excelente",R1385&gt;=5,"Bueno",R1385&gt;=2,"Débil",R1385&lt;2,"Deficiente")</f>
        <v>Deficiente</v>
      </c>
      <c r="Z1385" t="str">
        <f>IF(AND(R1385&lt;2,Q1385&gt;=100),"Revisar","OK")</f>
        <v>OK</v>
      </c>
      <c r="AA1385" s="55">
        <f>_xlfn.XLOOKUP(C1385,'Preguntas de negocio'!$C$114:$C$119,'Preguntas de negocio'!$D$114:$D$119,0)</f>
        <v>4</v>
      </c>
      <c r="AB1385" s="55">
        <f>VLOOKUP(C1385,'Preguntas de negocio'!$C$121:$D$127,2,FALSE)</f>
        <v>0.95</v>
      </c>
    </row>
    <row r="1386" spans="1:28" x14ac:dyDescent="0.3">
      <c r="A1386" s="1">
        <v>45812</v>
      </c>
      <c r="B1386" s="2" t="s">
        <v>2631</v>
      </c>
      <c r="C1386" s="2" t="s">
        <v>2521</v>
      </c>
      <c r="D1386" s="2" t="s">
        <v>2528</v>
      </c>
      <c r="E1386" s="2" t="s">
        <v>2529</v>
      </c>
      <c r="F1386" s="3">
        <v>88571</v>
      </c>
      <c r="G1386" s="3">
        <v>4924</v>
      </c>
      <c r="H1386" s="3">
        <v>543</v>
      </c>
      <c r="I1386" s="4">
        <v>1933.38</v>
      </c>
      <c r="J1386" s="4">
        <v>58873.8</v>
      </c>
      <c r="K1386" s="3">
        <v>440</v>
      </c>
      <c r="L1386" s="2" t="s">
        <v>2536</v>
      </c>
      <c r="M1386" s="2" t="s">
        <v>2537</v>
      </c>
      <c r="N1386" s="8">
        <f>IFERROR(G1386/F1386,0)</f>
        <v>5.5593817389438978E-2</v>
      </c>
      <c r="O1386" s="8">
        <f>IFERROR(H1386/G1386,0)</f>
        <v>0.11027619821283509</v>
      </c>
      <c r="P1386" s="4">
        <f>IFERROR(I1386/G1386,0)</f>
        <v>0.39264419171405363</v>
      </c>
      <c r="Q1386" s="4">
        <f>IFERROR(I1386/H1386,0)</f>
        <v>3.5605524861878455</v>
      </c>
      <c r="R1386" s="12">
        <f>IFERROR(J1386/I1386,0)</f>
        <v>30.451230487539956</v>
      </c>
      <c r="S1386" s="7">
        <f>Tabla_nuevas_columnas[[#This Row],[ROAS]]</f>
        <v>30.451230487539956</v>
      </c>
      <c r="T1386" t="str">
        <f>_xlfn.CONCAT(C1386,"-",D1386)</f>
        <v>Paid Search-España</v>
      </c>
      <c r="U1386">
        <f>YEAR(A1386)</f>
        <v>2025</v>
      </c>
      <c r="V1386">
        <f>MONTH(A1386)</f>
        <v>6</v>
      </c>
      <c r="W1386" t="str">
        <f>PROPER(TEXT(A1386,"mmmm"))</f>
        <v>Junio</v>
      </c>
      <c r="X1386" t="str">
        <f>PROPER(TEXT(A1386,"dddd"))</f>
        <v>Miércoles</v>
      </c>
      <c r="Y1386" t="str" cm="1">
        <f t="array" ref="Y1386">_xlfn.IFS(R1386&gt;10,"Excelente",R1386&gt;=5,"Bueno",R1386&gt;=2,"Débil",R1386&lt;2,"Deficiente")</f>
        <v>Excelente</v>
      </c>
      <c r="Z1386" t="str">
        <f>IF(AND(R1386&lt;2,Q1386&gt;=100),"Revisar","OK")</f>
        <v>OK</v>
      </c>
      <c r="AA1386" s="55">
        <f>_xlfn.XLOOKUP(C1386,'Preguntas de negocio'!$C$114:$C$119,'Preguntas de negocio'!$D$114:$D$119,0)</f>
        <v>5</v>
      </c>
      <c r="AB1386" s="55">
        <f>VLOOKUP(C1386,'Preguntas de negocio'!$C$121:$D$127,2,FALSE)</f>
        <v>1.1000000000000001</v>
      </c>
    </row>
    <row r="1387" spans="1:28" x14ac:dyDescent="0.3">
      <c r="A1387" s="1">
        <v>45740</v>
      </c>
      <c r="B1387" s="2" t="s">
        <v>2633</v>
      </c>
      <c r="C1387" s="2" t="s">
        <v>2543</v>
      </c>
      <c r="D1387" s="2" t="s">
        <v>2528</v>
      </c>
      <c r="E1387" s="2" t="s">
        <v>2534</v>
      </c>
      <c r="F1387" s="3">
        <v>8105</v>
      </c>
      <c r="G1387" s="3">
        <v>123</v>
      </c>
      <c r="H1387" s="3">
        <v>14</v>
      </c>
      <c r="I1387" s="4">
        <v>111.25</v>
      </c>
      <c r="J1387" s="4">
        <v>1557.09</v>
      </c>
      <c r="K1387" s="3">
        <v>11</v>
      </c>
      <c r="L1387" s="2" t="s">
        <v>2536</v>
      </c>
      <c r="M1387" s="2" t="s">
        <v>2519</v>
      </c>
      <c r="N1387" s="8">
        <f>IFERROR(G1387/F1387,0)</f>
        <v>1.5175817396668723E-2</v>
      </c>
      <c r="O1387" s="8">
        <f>IFERROR(H1387/G1387,0)</f>
        <v>0.11382113821138211</v>
      </c>
      <c r="P1387" s="4">
        <f>IFERROR(I1387/G1387,0)</f>
        <v>0.90447154471544711</v>
      </c>
      <c r="Q1387" s="4">
        <f>IFERROR(I1387/H1387,0)</f>
        <v>7.9464285714285712</v>
      </c>
      <c r="R1387" s="12">
        <f>IFERROR(J1387/I1387,0)</f>
        <v>13.996314606741572</v>
      </c>
      <c r="S1387" s="7">
        <f>Tabla_nuevas_columnas[[#This Row],[ROAS]]</f>
        <v>13.996314606741572</v>
      </c>
      <c r="T1387" t="str">
        <f>_xlfn.CONCAT(C1387,"-",D1387)</f>
        <v>Organic Social-España</v>
      </c>
      <c r="U1387">
        <f>YEAR(A1387)</f>
        <v>2025</v>
      </c>
      <c r="V1387">
        <f>MONTH(A1387)</f>
        <v>3</v>
      </c>
      <c r="W1387" t="str">
        <f>PROPER(TEXT(A1387,"mmmm"))</f>
        <v>Marzo</v>
      </c>
      <c r="X1387" t="str">
        <f>PROPER(TEXT(A1387,"dddd"))</f>
        <v>Lunes</v>
      </c>
      <c r="Y1387" t="str" cm="1">
        <f t="array" ref="Y1387">_xlfn.IFS(R1387&gt;10,"Excelente",R1387&gt;=5,"Bueno",R1387&gt;=2,"Débil",R1387&lt;2,"Deficiente")</f>
        <v>Excelente</v>
      </c>
      <c r="Z1387" t="str">
        <f>IF(AND(R1387&lt;2,Q1387&gt;=100),"Revisar","OK")</f>
        <v>OK</v>
      </c>
      <c r="AA1387" s="55">
        <f>_xlfn.XLOOKUP(C1387,'Preguntas de negocio'!$C$114:$C$119,'Preguntas de negocio'!$D$114:$D$119,0)</f>
        <v>4</v>
      </c>
      <c r="AB1387" s="55">
        <f>VLOOKUP(C1387,'Preguntas de negocio'!$C$121:$D$127,2,FALSE)</f>
        <v>0.95</v>
      </c>
    </row>
    <row r="1388" spans="1:28" x14ac:dyDescent="0.3">
      <c r="A1388" s="1">
        <v>45683</v>
      </c>
      <c r="B1388" s="2" t="s">
        <v>2624</v>
      </c>
      <c r="C1388" s="2" t="s">
        <v>2541</v>
      </c>
      <c r="D1388" s="2" t="s">
        <v>2531</v>
      </c>
      <c r="E1388" s="2" t="s">
        <v>2529</v>
      </c>
      <c r="F1388" s="3">
        <v>153799</v>
      </c>
      <c r="G1388" s="3">
        <v>13478</v>
      </c>
      <c r="H1388" s="3">
        <v>1011</v>
      </c>
      <c r="I1388" s="4">
        <v>7598.32</v>
      </c>
      <c r="J1388" s="4">
        <v>137373.91</v>
      </c>
      <c r="K1388" s="3">
        <v>808</v>
      </c>
      <c r="L1388" s="2" t="s">
        <v>2539</v>
      </c>
      <c r="M1388" s="2" t="s">
        <v>2537</v>
      </c>
      <c r="N1388" s="8">
        <f>IFERROR(G1388/F1388,0)</f>
        <v>8.7633859778021961E-2</v>
      </c>
      <c r="O1388" s="8">
        <f>IFERROR(H1388/G1388,0)</f>
        <v>7.5011129247662858E-2</v>
      </c>
      <c r="P1388" s="4">
        <f>IFERROR(I1388/G1388,0)</f>
        <v>0.56375723401098088</v>
      </c>
      <c r="Q1388" s="4">
        <f>IFERROR(I1388/H1388,0)</f>
        <v>7.5156478733926804</v>
      </c>
      <c r="R1388" s="12">
        <f>IFERROR(J1388/I1388,0)</f>
        <v>18.079510997167795</v>
      </c>
      <c r="S1388" s="7">
        <f>Tabla_nuevas_columnas[[#This Row],[ROAS]]</f>
        <v>18.079510997167795</v>
      </c>
      <c r="T1388" t="str">
        <f>_xlfn.CONCAT(C1388,"-",D1388)</f>
        <v>Display-Portugal</v>
      </c>
      <c r="U1388">
        <f>YEAR(A1388)</f>
        <v>2025</v>
      </c>
      <c r="V1388">
        <f>MONTH(A1388)</f>
        <v>1</v>
      </c>
      <c r="W1388" t="str">
        <f>PROPER(TEXT(A1388,"mmmm"))</f>
        <v>Enero</v>
      </c>
      <c r="X1388" t="str">
        <f>PROPER(TEXT(A1388,"dddd"))</f>
        <v>Domingo</v>
      </c>
      <c r="Y1388" t="str" cm="1">
        <f t="array" ref="Y1388">_xlfn.IFS(R1388&gt;10,"Excelente",R1388&gt;=5,"Bueno",R1388&gt;=2,"Débil",R1388&lt;2,"Deficiente")</f>
        <v>Excelente</v>
      </c>
      <c r="Z1388" t="str">
        <f>IF(AND(R1388&lt;2,Q1388&gt;=100),"Revisar","OK")</f>
        <v>OK</v>
      </c>
      <c r="AA1388" s="55">
        <f>_xlfn.XLOOKUP(C1388,'Preguntas de negocio'!$C$114:$C$119,'Preguntas de negocio'!$D$114:$D$119,0)</f>
        <v>5</v>
      </c>
      <c r="AB1388" s="55">
        <f>VLOOKUP(C1388,'Preguntas de negocio'!$C$121:$D$127,2,FALSE)</f>
        <v>0.5</v>
      </c>
    </row>
    <row r="1389" spans="1:28" x14ac:dyDescent="0.3">
      <c r="A1389" s="1">
        <v>45673</v>
      </c>
      <c r="B1389" s="2" t="s">
        <v>2630</v>
      </c>
      <c r="C1389" s="2" t="s">
        <v>2543</v>
      </c>
      <c r="D1389" s="2" t="s">
        <v>2528</v>
      </c>
      <c r="E1389" s="2" t="s">
        <v>2529</v>
      </c>
      <c r="F1389" s="3">
        <v>157079</v>
      </c>
      <c r="G1389" s="3">
        <v>5127</v>
      </c>
      <c r="H1389" s="3">
        <v>531</v>
      </c>
      <c r="I1389" s="4">
        <v>8414</v>
      </c>
      <c r="J1389" s="4">
        <v>34222.47</v>
      </c>
      <c r="K1389" s="3">
        <v>321</v>
      </c>
      <c r="L1389" s="2" t="s">
        <v>2518</v>
      </c>
      <c r="M1389" s="2" t="s">
        <v>2537</v>
      </c>
      <c r="N1389" s="8">
        <f>IFERROR(G1389/F1389,0)</f>
        <v>3.2639627193959728E-2</v>
      </c>
      <c r="O1389" s="8">
        <f>IFERROR(H1389/G1389,0)</f>
        <v>0.10356933879461673</v>
      </c>
      <c r="P1389" s="4">
        <f>IFERROR(I1389/G1389,0)</f>
        <v>1.6411156621806124</v>
      </c>
      <c r="Q1389" s="4">
        <f>IFERROR(I1389/H1389,0)</f>
        <v>15.84557438794727</v>
      </c>
      <c r="R1389" s="12">
        <f>IFERROR(J1389/I1389,0)</f>
        <v>4.0673246969336825</v>
      </c>
      <c r="S1389" s="7">
        <f>Tabla_nuevas_columnas[[#This Row],[ROAS]]</f>
        <v>4.0673246969336825</v>
      </c>
      <c r="T1389" t="str">
        <f>_xlfn.CONCAT(C1389,"-",D1389)</f>
        <v>Organic Social-España</v>
      </c>
      <c r="U1389">
        <f>YEAR(A1389)</f>
        <v>2025</v>
      </c>
      <c r="V1389">
        <f>MONTH(A1389)</f>
        <v>1</v>
      </c>
      <c r="W1389" t="str">
        <f>PROPER(TEXT(A1389,"mmmm"))</f>
        <v>Enero</v>
      </c>
      <c r="X1389" t="str">
        <f>PROPER(TEXT(A1389,"dddd"))</f>
        <v>Jueves</v>
      </c>
      <c r="Y1389" t="str" cm="1">
        <f t="array" ref="Y1389">_xlfn.IFS(R1389&gt;10,"Excelente",R1389&gt;=5,"Bueno",R1389&gt;=2,"Débil",R1389&lt;2,"Deficiente")</f>
        <v>Débil</v>
      </c>
      <c r="Z1389" t="str">
        <f>IF(AND(R1389&lt;2,Q1389&gt;=100),"Revisar","OK")</f>
        <v>OK</v>
      </c>
      <c r="AA1389" s="55">
        <f>_xlfn.XLOOKUP(C1389,'Preguntas de negocio'!$C$114:$C$119,'Preguntas de negocio'!$D$114:$D$119,0)</f>
        <v>4</v>
      </c>
      <c r="AB1389" s="55">
        <f>VLOOKUP(C1389,'Preguntas de negocio'!$C$121:$D$127,2,FALSE)</f>
        <v>0.95</v>
      </c>
    </row>
    <row r="1390" spans="1:28" x14ac:dyDescent="0.3">
      <c r="A1390" s="1">
        <v>45899</v>
      </c>
      <c r="B1390" s="2" t="s">
        <v>2631</v>
      </c>
      <c r="C1390" s="2" t="s">
        <v>2515</v>
      </c>
      <c r="D1390" s="2" t="s">
        <v>2516</v>
      </c>
      <c r="E1390" s="2" t="s">
        <v>2529</v>
      </c>
      <c r="F1390" s="3">
        <v>12603</v>
      </c>
      <c r="G1390" s="3">
        <v>316</v>
      </c>
      <c r="H1390" s="3">
        <v>10</v>
      </c>
      <c r="I1390" s="4">
        <v>589.63</v>
      </c>
      <c r="J1390" s="4">
        <v>2172.6999999999998</v>
      </c>
      <c r="K1390" s="3">
        <v>6</v>
      </c>
      <c r="L1390" s="2" t="s">
        <v>2523</v>
      </c>
      <c r="M1390" s="2" t="s">
        <v>2537</v>
      </c>
      <c r="N1390" s="8">
        <f>IFERROR(G1390/F1390,0)</f>
        <v>2.5073395223359517E-2</v>
      </c>
      <c r="O1390" s="8">
        <f>IFERROR(H1390/G1390,0)</f>
        <v>3.1645569620253167E-2</v>
      </c>
      <c r="P1390" s="4">
        <f>IFERROR(I1390/G1390,0)</f>
        <v>1.8659177215189873</v>
      </c>
      <c r="Q1390" s="4">
        <f>IFERROR(I1390/H1390,0)</f>
        <v>58.963000000000001</v>
      </c>
      <c r="R1390" s="12">
        <f>IFERROR(J1390/I1390,0)</f>
        <v>3.6848532130319009</v>
      </c>
      <c r="S1390" s="7">
        <f>Tabla_nuevas_columnas[[#This Row],[ROAS]]</f>
        <v>3.6848532130319009</v>
      </c>
      <c r="T1390" t="str">
        <f>_xlfn.CONCAT(C1390,"-",D1390)</f>
        <v>Email-México</v>
      </c>
      <c r="U1390">
        <f>YEAR(A1390)</f>
        <v>2025</v>
      </c>
      <c r="V1390">
        <f>MONTH(A1390)</f>
        <v>8</v>
      </c>
      <c r="W1390" t="str">
        <f>PROPER(TEXT(A1390,"mmmm"))</f>
        <v>Agosto</v>
      </c>
      <c r="X1390" t="str">
        <f>PROPER(TEXT(A1390,"dddd"))</f>
        <v>Sábado</v>
      </c>
      <c r="Y1390" t="str" cm="1">
        <f t="array" ref="Y1390">_xlfn.IFS(R1390&gt;10,"Excelente",R1390&gt;=5,"Bueno",R1390&gt;=2,"Débil",R1390&lt;2,"Deficiente")</f>
        <v>Débil</v>
      </c>
      <c r="Z1390" t="str">
        <f>IF(AND(R1390&lt;2,Q1390&gt;=100),"Revisar","OK")</f>
        <v>OK</v>
      </c>
      <c r="AA1390" s="55">
        <f>_xlfn.XLOOKUP(C1390,'Preguntas de negocio'!$C$114:$C$119,'Preguntas de negocio'!$D$114:$D$119,0)</f>
        <v>5.5</v>
      </c>
      <c r="AB1390" s="55">
        <f>VLOOKUP(C1390,'Preguntas de negocio'!$C$121:$D$127,2,FALSE)</f>
        <v>0.65</v>
      </c>
    </row>
    <row r="1391" spans="1:28" x14ac:dyDescent="0.3">
      <c r="A1391" s="1">
        <v>45990</v>
      </c>
      <c r="B1391" s="2" t="s">
        <v>2618</v>
      </c>
      <c r="C1391" s="2" t="s">
        <v>2533</v>
      </c>
      <c r="D1391" s="2" t="s">
        <v>2522</v>
      </c>
      <c r="E1391" s="2" t="s">
        <v>2517</v>
      </c>
      <c r="F1391" s="3">
        <v>30947</v>
      </c>
      <c r="G1391" s="3">
        <v>1116</v>
      </c>
      <c r="H1391" s="3">
        <v>47</v>
      </c>
      <c r="I1391" s="4">
        <v>2018.09</v>
      </c>
      <c r="J1391" s="4">
        <v>7571.93</v>
      </c>
      <c r="K1391" s="3">
        <v>40</v>
      </c>
      <c r="L1391" s="2" t="s">
        <v>2539</v>
      </c>
      <c r="M1391" s="2" t="s">
        <v>2526</v>
      </c>
      <c r="N1391" s="8">
        <f>IFERROR(G1391/F1391,0)</f>
        <v>3.606165379519824E-2</v>
      </c>
      <c r="O1391" s="8">
        <f>IFERROR(H1391/G1391,0)</f>
        <v>4.2114695340501794E-2</v>
      </c>
      <c r="P1391" s="4">
        <f>IFERROR(I1391/G1391,0)</f>
        <v>1.8083243727598566</v>
      </c>
      <c r="Q1391" s="4">
        <f>IFERROR(I1391/H1391,0)</f>
        <v>42.938085106382978</v>
      </c>
      <c r="R1391" s="12">
        <f>IFERROR(J1391/I1391,0)</f>
        <v>3.7520279075759757</v>
      </c>
      <c r="S1391" s="7">
        <f>Tabla_nuevas_columnas[[#This Row],[ROAS]]</f>
        <v>3.7520279075759757</v>
      </c>
      <c r="T1391" t="str">
        <f>_xlfn.CONCAT(C1391,"-",D1391)</f>
        <v>Paid Social-Italia</v>
      </c>
      <c r="U1391">
        <f>YEAR(A1391)</f>
        <v>2025</v>
      </c>
      <c r="V1391">
        <f>MONTH(A1391)</f>
        <v>11</v>
      </c>
      <c r="W1391" t="str">
        <f>PROPER(TEXT(A1391,"mmmm"))</f>
        <v>Noviembre</v>
      </c>
      <c r="X1391" t="str">
        <f>PROPER(TEXT(A1391,"dddd"))</f>
        <v>Sábado</v>
      </c>
      <c r="Y1391" t="str" cm="1">
        <f t="array" ref="Y1391">_xlfn.IFS(R1391&gt;10,"Excelente",R1391&gt;=5,"Bueno",R1391&gt;=2,"Débil",R1391&lt;2,"Deficiente")</f>
        <v>Débil</v>
      </c>
      <c r="Z1391" t="str">
        <f>IF(AND(R1391&lt;2,Q1391&gt;=100),"Revisar","OK")</f>
        <v>OK</v>
      </c>
      <c r="AA1391" s="55">
        <f>_xlfn.XLOOKUP(C1391,'Preguntas de negocio'!$C$114:$C$119,'Preguntas de negocio'!$D$114:$D$119,0)</f>
        <v>6</v>
      </c>
      <c r="AB1391" s="55">
        <f>VLOOKUP(C1391,'Preguntas de negocio'!$C$121:$D$127,2,FALSE)</f>
        <v>0.8</v>
      </c>
    </row>
    <row r="1392" spans="1:28" x14ac:dyDescent="0.3">
      <c r="A1392" s="1">
        <v>45765</v>
      </c>
      <c r="B1392" s="2" t="s">
        <v>2639</v>
      </c>
      <c r="C1392" s="2" t="s">
        <v>2541</v>
      </c>
      <c r="D1392" s="2" t="s">
        <v>2516</v>
      </c>
      <c r="E1392" s="2" t="s">
        <v>2517</v>
      </c>
      <c r="F1392" s="3">
        <v>131188</v>
      </c>
      <c r="G1392" s="3">
        <v>6918</v>
      </c>
      <c r="H1392" s="3">
        <v>750</v>
      </c>
      <c r="I1392" s="4">
        <v>13825.98</v>
      </c>
      <c r="J1392" s="4">
        <v>56164.53</v>
      </c>
      <c r="K1392" s="3">
        <v>345</v>
      </c>
      <c r="L1392" s="2" t="s">
        <v>2539</v>
      </c>
      <c r="M1392" s="2" t="s">
        <v>2519</v>
      </c>
      <c r="N1392" s="8">
        <f>IFERROR(G1392/F1392,0)</f>
        <v>5.2733481720889104E-2</v>
      </c>
      <c r="O1392" s="8">
        <f>IFERROR(H1392/G1392,0)</f>
        <v>0.10841283607979185</v>
      </c>
      <c r="P1392" s="4">
        <f>IFERROR(I1392/G1392,0)</f>
        <v>1.9985516045099738</v>
      </c>
      <c r="Q1392" s="4">
        <f>IFERROR(I1392/H1392,0)</f>
        <v>18.434639999999998</v>
      </c>
      <c r="R1392" s="12">
        <f>IFERROR(J1392/I1392,0)</f>
        <v>4.0622458588830597</v>
      </c>
      <c r="S1392" s="7">
        <f>Tabla_nuevas_columnas[[#This Row],[ROAS]]</f>
        <v>4.0622458588830597</v>
      </c>
      <c r="T1392" t="str">
        <f>_xlfn.CONCAT(C1392,"-",D1392)</f>
        <v>Display-México</v>
      </c>
      <c r="U1392">
        <f>YEAR(A1392)</f>
        <v>2025</v>
      </c>
      <c r="V1392">
        <f>MONTH(A1392)</f>
        <v>4</v>
      </c>
      <c r="W1392" t="str">
        <f>PROPER(TEXT(A1392,"mmmm"))</f>
        <v>Abril</v>
      </c>
      <c r="X1392" t="str">
        <f>PROPER(TEXT(A1392,"dddd"))</f>
        <v>Viernes</v>
      </c>
      <c r="Y1392" t="str" cm="1">
        <f t="array" ref="Y1392">_xlfn.IFS(R1392&gt;10,"Excelente",R1392&gt;=5,"Bueno",R1392&gt;=2,"Débil",R1392&lt;2,"Deficiente")</f>
        <v>Débil</v>
      </c>
      <c r="Z1392" t="str">
        <f>IF(AND(R1392&lt;2,Q1392&gt;=100),"Revisar","OK")</f>
        <v>OK</v>
      </c>
      <c r="AA1392" s="55">
        <f>_xlfn.XLOOKUP(C1392,'Preguntas de negocio'!$C$114:$C$119,'Preguntas de negocio'!$D$114:$D$119,0)</f>
        <v>5</v>
      </c>
      <c r="AB1392" s="55">
        <f>VLOOKUP(C1392,'Preguntas de negocio'!$C$121:$D$127,2,FALSE)</f>
        <v>0.5</v>
      </c>
    </row>
    <row r="1393" spans="1:28" x14ac:dyDescent="0.3">
      <c r="A1393" s="1">
        <v>45814</v>
      </c>
      <c r="B1393" s="2" t="s">
        <v>2633</v>
      </c>
      <c r="C1393" s="2" t="s">
        <v>2521</v>
      </c>
      <c r="D1393" s="2" t="s">
        <v>2528</v>
      </c>
      <c r="E1393" s="2" t="s">
        <v>2529</v>
      </c>
      <c r="F1393" s="3">
        <v>50273</v>
      </c>
      <c r="G1393" s="3">
        <v>655</v>
      </c>
      <c r="H1393" s="3">
        <v>79</v>
      </c>
      <c r="I1393" s="4">
        <v>1309.6099999999999</v>
      </c>
      <c r="J1393" s="4">
        <v>5382.81</v>
      </c>
      <c r="K1393" s="3">
        <v>68</v>
      </c>
      <c r="L1393" s="2" t="s">
        <v>2536</v>
      </c>
      <c r="M1393" s="2" t="s">
        <v>2524</v>
      </c>
      <c r="N1393" s="8">
        <f>IFERROR(G1393/F1393,0)</f>
        <v>1.302886241123466E-2</v>
      </c>
      <c r="O1393" s="8">
        <f>IFERROR(H1393/G1393,0)</f>
        <v>0.12061068702290076</v>
      </c>
      <c r="P1393" s="4">
        <f>IFERROR(I1393/G1393,0)</f>
        <v>1.9994045801526716</v>
      </c>
      <c r="Q1393" s="4">
        <f>IFERROR(I1393/H1393,0)</f>
        <v>16.577341772151897</v>
      </c>
      <c r="R1393" s="12">
        <f>IFERROR(J1393/I1393,0)</f>
        <v>4.1102389260925012</v>
      </c>
      <c r="S1393" s="7">
        <f>Tabla_nuevas_columnas[[#This Row],[ROAS]]</f>
        <v>4.1102389260925012</v>
      </c>
      <c r="T1393" t="str">
        <f>_xlfn.CONCAT(C1393,"-",D1393)</f>
        <v>Paid Search-España</v>
      </c>
      <c r="U1393">
        <f>YEAR(A1393)</f>
        <v>2025</v>
      </c>
      <c r="V1393">
        <f>MONTH(A1393)</f>
        <v>6</v>
      </c>
      <c r="W1393" t="str">
        <f>PROPER(TEXT(A1393,"mmmm"))</f>
        <v>Junio</v>
      </c>
      <c r="X1393" t="str">
        <f>PROPER(TEXT(A1393,"dddd"))</f>
        <v>Viernes</v>
      </c>
      <c r="Y1393" t="str" cm="1">
        <f t="array" ref="Y1393">_xlfn.IFS(R1393&gt;10,"Excelente",R1393&gt;=5,"Bueno",R1393&gt;=2,"Débil",R1393&lt;2,"Deficiente")</f>
        <v>Débil</v>
      </c>
      <c r="Z1393" t="str">
        <f>IF(AND(R1393&lt;2,Q1393&gt;=100),"Revisar","OK")</f>
        <v>OK</v>
      </c>
      <c r="AA1393" s="55">
        <f>_xlfn.XLOOKUP(C1393,'Preguntas de negocio'!$C$114:$C$119,'Preguntas de negocio'!$D$114:$D$119,0)</f>
        <v>5</v>
      </c>
      <c r="AB1393" s="55">
        <f>VLOOKUP(C1393,'Preguntas de negocio'!$C$121:$D$127,2,FALSE)</f>
        <v>1.1000000000000001</v>
      </c>
    </row>
    <row r="1394" spans="1:28" x14ac:dyDescent="0.3">
      <c r="A1394" s="1">
        <v>45788</v>
      </c>
      <c r="B1394" s="2" t="s">
        <v>2618</v>
      </c>
      <c r="C1394" s="2" t="s">
        <v>2533</v>
      </c>
      <c r="D1394" s="2" t="s">
        <v>2528</v>
      </c>
      <c r="E1394" s="2" t="s">
        <v>2517</v>
      </c>
      <c r="F1394" s="3">
        <v>154262</v>
      </c>
      <c r="G1394" s="3">
        <v>2825</v>
      </c>
      <c r="H1394" s="3">
        <v>390</v>
      </c>
      <c r="I1394" s="4">
        <v>2855.96</v>
      </c>
      <c r="J1394" s="4">
        <v>7112.68</v>
      </c>
      <c r="K1394" s="3">
        <v>188</v>
      </c>
      <c r="L1394" s="2" t="s">
        <v>2539</v>
      </c>
      <c r="M1394" s="2" t="s">
        <v>2526</v>
      </c>
      <c r="N1394" s="8">
        <f>IFERROR(G1394/F1394,0)</f>
        <v>1.8312999961105133E-2</v>
      </c>
      <c r="O1394" s="8">
        <f>IFERROR(H1394/G1394,0)</f>
        <v>0.13805309734513274</v>
      </c>
      <c r="P1394" s="4">
        <f>IFERROR(I1394/G1394,0)</f>
        <v>1.0109592920353982</v>
      </c>
      <c r="Q1394" s="4">
        <f>IFERROR(I1394/H1394,0)</f>
        <v>7.322974358974359</v>
      </c>
      <c r="R1394" s="12">
        <f>IFERROR(J1394/I1394,0)</f>
        <v>2.4904690541884342</v>
      </c>
      <c r="S1394" s="7">
        <f>Tabla_nuevas_columnas[[#This Row],[ROAS]]</f>
        <v>2.4904690541884342</v>
      </c>
      <c r="T1394" t="str">
        <f>_xlfn.CONCAT(C1394,"-",D1394)</f>
        <v>Paid Social-España</v>
      </c>
      <c r="U1394">
        <f>YEAR(A1394)</f>
        <v>2025</v>
      </c>
      <c r="V1394">
        <f>MONTH(A1394)</f>
        <v>5</v>
      </c>
      <c r="W1394" t="str">
        <f>PROPER(TEXT(A1394,"mmmm"))</f>
        <v>Mayo</v>
      </c>
      <c r="X1394" t="str">
        <f>PROPER(TEXT(A1394,"dddd"))</f>
        <v>Domingo</v>
      </c>
      <c r="Y1394" t="str" cm="1">
        <f t="array" ref="Y1394">_xlfn.IFS(R1394&gt;10,"Excelente",R1394&gt;=5,"Bueno",R1394&gt;=2,"Débil",R1394&lt;2,"Deficiente")</f>
        <v>Débil</v>
      </c>
      <c r="Z1394" t="str">
        <f>IF(AND(R1394&lt;2,Q1394&gt;=100),"Revisar","OK")</f>
        <v>OK</v>
      </c>
      <c r="AA1394" s="55">
        <f>_xlfn.XLOOKUP(C1394,'Preguntas de negocio'!$C$114:$C$119,'Preguntas de negocio'!$D$114:$D$119,0)</f>
        <v>6</v>
      </c>
      <c r="AB1394" s="55">
        <f>VLOOKUP(C1394,'Preguntas de negocio'!$C$121:$D$127,2,FALSE)</f>
        <v>0.8</v>
      </c>
    </row>
    <row r="1395" spans="1:28" x14ac:dyDescent="0.3">
      <c r="A1395" s="1">
        <v>45873</v>
      </c>
      <c r="B1395" s="2" t="s">
        <v>2643</v>
      </c>
      <c r="C1395" s="2" t="s">
        <v>2543</v>
      </c>
      <c r="D1395" s="2" t="s">
        <v>2531</v>
      </c>
      <c r="E1395" s="2" t="s">
        <v>2529</v>
      </c>
      <c r="F1395" s="3">
        <v>79781</v>
      </c>
      <c r="G1395" s="3">
        <v>4728</v>
      </c>
      <c r="H1395" s="3">
        <v>374</v>
      </c>
      <c r="I1395" s="4">
        <v>7506.15</v>
      </c>
      <c r="J1395" s="4">
        <v>81617.710000000006</v>
      </c>
      <c r="K1395" s="3">
        <v>268</v>
      </c>
      <c r="L1395" s="2" t="s">
        <v>2523</v>
      </c>
      <c r="M1395" s="2" t="s">
        <v>2524</v>
      </c>
      <c r="N1395" s="8">
        <f>IFERROR(G1395/F1395,0)</f>
        <v>5.9262230355598453E-2</v>
      </c>
      <c r="O1395" s="8">
        <f>IFERROR(H1395/G1395,0)</f>
        <v>7.9103214890016926E-2</v>
      </c>
      <c r="P1395" s="4">
        <f>IFERROR(I1395/G1395,0)</f>
        <v>1.5875951776649746</v>
      </c>
      <c r="Q1395" s="4">
        <f>IFERROR(I1395/H1395,0)</f>
        <v>20.069919786096257</v>
      </c>
      <c r="R1395" s="12">
        <f>IFERROR(J1395/I1395,0)</f>
        <v>10.873445108344493</v>
      </c>
      <c r="S1395" s="7">
        <f>Tabla_nuevas_columnas[[#This Row],[ROAS]]</f>
        <v>10.873445108344493</v>
      </c>
      <c r="T1395" t="str">
        <f>_xlfn.CONCAT(C1395,"-",D1395)</f>
        <v>Organic Social-Portugal</v>
      </c>
      <c r="U1395">
        <f>YEAR(A1395)</f>
        <v>2025</v>
      </c>
      <c r="V1395">
        <f>MONTH(A1395)</f>
        <v>8</v>
      </c>
      <c r="W1395" t="str">
        <f>PROPER(TEXT(A1395,"mmmm"))</f>
        <v>Agosto</v>
      </c>
      <c r="X1395" t="str">
        <f>PROPER(TEXT(A1395,"dddd"))</f>
        <v>Lunes</v>
      </c>
      <c r="Y1395" t="str" cm="1">
        <f t="array" ref="Y1395">_xlfn.IFS(R1395&gt;10,"Excelente",R1395&gt;=5,"Bueno",R1395&gt;=2,"Débil",R1395&lt;2,"Deficiente")</f>
        <v>Excelente</v>
      </c>
      <c r="Z1395" t="str">
        <f>IF(AND(R1395&lt;2,Q1395&gt;=100),"Revisar","OK")</f>
        <v>OK</v>
      </c>
      <c r="AA1395" s="55">
        <f>_xlfn.XLOOKUP(C1395,'Preguntas de negocio'!$C$114:$C$119,'Preguntas de negocio'!$D$114:$D$119,0)</f>
        <v>4</v>
      </c>
      <c r="AB1395" s="55">
        <f>VLOOKUP(C1395,'Preguntas de negocio'!$C$121:$D$127,2,FALSE)</f>
        <v>0.95</v>
      </c>
    </row>
    <row r="1396" spans="1:28" x14ac:dyDescent="0.3">
      <c r="A1396" s="1">
        <v>45874</v>
      </c>
      <c r="B1396" s="2" t="s">
        <v>2629</v>
      </c>
      <c r="C1396" s="2" t="s">
        <v>2533</v>
      </c>
      <c r="D1396" s="2" t="s">
        <v>2528</v>
      </c>
      <c r="E1396" s="2" t="s">
        <v>2529</v>
      </c>
      <c r="F1396" s="3">
        <v>32930</v>
      </c>
      <c r="G1396" s="3">
        <v>961</v>
      </c>
      <c r="H1396" s="3">
        <v>67</v>
      </c>
      <c r="I1396" s="4">
        <v>1202.95</v>
      </c>
      <c r="J1396" s="4">
        <v>5692.84</v>
      </c>
      <c r="K1396" s="3">
        <v>44</v>
      </c>
      <c r="L1396" s="2" t="s">
        <v>2518</v>
      </c>
      <c r="M1396" s="2" t="s">
        <v>2524</v>
      </c>
      <c r="N1396" s="8">
        <f>IFERROR(G1396/F1396,0)</f>
        <v>2.9183115699969633E-2</v>
      </c>
      <c r="O1396" s="8">
        <f>IFERROR(H1396/G1396,0)</f>
        <v>6.9719042663891784E-2</v>
      </c>
      <c r="P1396" s="4">
        <f>IFERROR(I1396/G1396,0)</f>
        <v>1.2517689906347556</v>
      </c>
      <c r="Q1396" s="4">
        <f>IFERROR(I1396/H1396,0)</f>
        <v>17.954477611940298</v>
      </c>
      <c r="R1396" s="12">
        <f>IFERROR(J1396/I1396,0)</f>
        <v>4.7323995178519471</v>
      </c>
      <c r="S1396" s="7">
        <f>Tabla_nuevas_columnas[[#This Row],[ROAS]]</f>
        <v>4.7323995178519471</v>
      </c>
      <c r="T1396" t="str">
        <f>_xlfn.CONCAT(C1396,"-",D1396)</f>
        <v>Paid Social-España</v>
      </c>
      <c r="U1396">
        <f>YEAR(A1396)</f>
        <v>2025</v>
      </c>
      <c r="V1396">
        <f>MONTH(A1396)</f>
        <v>8</v>
      </c>
      <c r="W1396" t="str">
        <f>PROPER(TEXT(A1396,"mmmm"))</f>
        <v>Agosto</v>
      </c>
      <c r="X1396" t="str">
        <f>PROPER(TEXT(A1396,"dddd"))</f>
        <v>Martes</v>
      </c>
      <c r="Y1396" t="str" cm="1">
        <f t="array" ref="Y1396">_xlfn.IFS(R1396&gt;10,"Excelente",R1396&gt;=5,"Bueno",R1396&gt;=2,"Débil",R1396&lt;2,"Deficiente")</f>
        <v>Débil</v>
      </c>
      <c r="Z1396" t="str">
        <f>IF(AND(R1396&lt;2,Q1396&gt;=100),"Revisar","OK")</f>
        <v>OK</v>
      </c>
      <c r="AA1396" s="55">
        <f>_xlfn.XLOOKUP(C1396,'Preguntas de negocio'!$C$114:$C$119,'Preguntas de negocio'!$D$114:$D$119,0)</f>
        <v>6</v>
      </c>
      <c r="AB1396" s="55">
        <f>VLOOKUP(C1396,'Preguntas de negocio'!$C$121:$D$127,2,FALSE)</f>
        <v>0.8</v>
      </c>
    </row>
    <row r="1397" spans="1:28" x14ac:dyDescent="0.3">
      <c r="A1397" s="1">
        <v>45790</v>
      </c>
      <c r="B1397" s="2" t="s">
        <v>2623</v>
      </c>
      <c r="C1397" s="2" t="s">
        <v>2521</v>
      </c>
      <c r="D1397" s="2" t="s">
        <v>2531</v>
      </c>
      <c r="E1397" s="2" t="s">
        <v>2517</v>
      </c>
      <c r="F1397" s="3">
        <v>15642</v>
      </c>
      <c r="G1397" s="3">
        <v>1146</v>
      </c>
      <c r="H1397" s="3">
        <v>108</v>
      </c>
      <c r="I1397" s="4">
        <v>521.38</v>
      </c>
      <c r="J1397" s="4">
        <v>12405.33</v>
      </c>
      <c r="K1397" s="3">
        <v>59</v>
      </c>
      <c r="L1397" s="2" t="s">
        <v>2536</v>
      </c>
      <c r="M1397" s="2" t="s">
        <v>2524</v>
      </c>
      <c r="N1397" s="8">
        <f>IFERROR(G1397/F1397,0)</f>
        <v>7.3264288454161872E-2</v>
      </c>
      <c r="O1397" s="8">
        <f>IFERROR(H1397/G1397,0)</f>
        <v>9.4240837696335081E-2</v>
      </c>
      <c r="P1397" s="4">
        <f>IFERROR(I1397/G1397,0)</f>
        <v>0.45495636998254801</v>
      </c>
      <c r="Q1397" s="4">
        <f>IFERROR(I1397/H1397,0)</f>
        <v>4.8275925925925929</v>
      </c>
      <c r="R1397" s="12">
        <f>IFERROR(J1397/I1397,0)</f>
        <v>23.793260194100274</v>
      </c>
      <c r="S1397" s="7">
        <f>Tabla_nuevas_columnas[[#This Row],[ROAS]]</f>
        <v>23.793260194100274</v>
      </c>
      <c r="T1397" t="str">
        <f>_xlfn.CONCAT(C1397,"-",D1397)</f>
        <v>Paid Search-Portugal</v>
      </c>
      <c r="U1397">
        <f>YEAR(A1397)</f>
        <v>2025</v>
      </c>
      <c r="V1397">
        <f>MONTH(A1397)</f>
        <v>5</v>
      </c>
      <c r="W1397" t="str">
        <f>PROPER(TEXT(A1397,"mmmm"))</f>
        <v>Mayo</v>
      </c>
      <c r="X1397" t="str">
        <f>PROPER(TEXT(A1397,"dddd"))</f>
        <v>Martes</v>
      </c>
      <c r="Y1397" t="str" cm="1">
        <f t="array" ref="Y1397">_xlfn.IFS(R1397&gt;10,"Excelente",R1397&gt;=5,"Bueno",R1397&gt;=2,"Débil",R1397&lt;2,"Deficiente")</f>
        <v>Excelente</v>
      </c>
      <c r="Z1397" t="str">
        <f>IF(AND(R1397&lt;2,Q1397&gt;=100),"Revisar","OK")</f>
        <v>OK</v>
      </c>
      <c r="AA1397" s="55">
        <f>_xlfn.XLOOKUP(C1397,'Preguntas de negocio'!$C$114:$C$119,'Preguntas de negocio'!$D$114:$D$119,0)</f>
        <v>5</v>
      </c>
      <c r="AB1397" s="55">
        <f>VLOOKUP(C1397,'Preguntas de negocio'!$C$121:$D$127,2,FALSE)</f>
        <v>1.1000000000000001</v>
      </c>
    </row>
    <row r="1398" spans="1:28" x14ac:dyDescent="0.3">
      <c r="A1398" s="1">
        <v>45676</v>
      </c>
      <c r="B1398" s="2" t="s">
        <v>2616</v>
      </c>
      <c r="C1398" s="2" t="s">
        <v>2541</v>
      </c>
      <c r="D1398" s="2" t="s">
        <v>2525</v>
      </c>
      <c r="E1398" s="2" t="s">
        <v>2529</v>
      </c>
      <c r="F1398" s="3">
        <v>164543</v>
      </c>
      <c r="G1398" s="3">
        <v>1783</v>
      </c>
      <c r="H1398" s="3">
        <v>48</v>
      </c>
      <c r="I1398" s="4">
        <v>335.24</v>
      </c>
      <c r="J1398" s="4">
        <v>4381.3599999999997</v>
      </c>
      <c r="K1398" s="3">
        <v>36</v>
      </c>
      <c r="L1398" s="2" t="s">
        <v>2539</v>
      </c>
      <c r="M1398" s="2" t="s">
        <v>2524</v>
      </c>
      <c r="N1398" s="8">
        <f>IFERROR(G1398/F1398,0)</f>
        <v>1.0836073245291504E-2</v>
      </c>
      <c r="O1398" s="8">
        <f>IFERROR(H1398/G1398,0)</f>
        <v>2.69209197980931E-2</v>
      </c>
      <c r="P1398" s="4">
        <f>IFERROR(I1398/G1398,0)</f>
        <v>0.18802019068984857</v>
      </c>
      <c r="Q1398" s="4">
        <f>IFERROR(I1398/H1398,0)</f>
        <v>6.9841666666666669</v>
      </c>
      <c r="R1398" s="12">
        <f>IFERROR(J1398/I1398,0)</f>
        <v>13.069323469753012</v>
      </c>
      <c r="S1398" s="7">
        <f>Tabla_nuevas_columnas[[#This Row],[ROAS]]</f>
        <v>13.069323469753012</v>
      </c>
      <c r="T1398" t="str">
        <f>_xlfn.CONCAT(C1398,"-",D1398)</f>
        <v>Display-Francia</v>
      </c>
      <c r="U1398">
        <f>YEAR(A1398)</f>
        <v>2025</v>
      </c>
      <c r="V1398">
        <f>MONTH(A1398)</f>
        <v>1</v>
      </c>
      <c r="W1398" t="str">
        <f>PROPER(TEXT(A1398,"mmmm"))</f>
        <v>Enero</v>
      </c>
      <c r="X1398" t="str">
        <f>PROPER(TEXT(A1398,"dddd"))</f>
        <v>Domingo</v>
      </c>
      <c r="Y1398" t="str" cm="1">
        <f t="array" ref="Y1398">_xlfn.IFS(R1398&gt;10,"Excelente",R1398&gt;=5,"Bueno",R1398&gt;=2,"Débil",R1398&lt;2,"Deficiente")</f>
        <v>Excelente</v>
      </c>
      <c r="Z1398" t="str">
        <f>IF(AND(R1398&lt;2,Q1398&gt;=100),"Revisar","OK")</f>
        <v>OK</v>
      </c>
      <c r="AA1398" s="55">
        <f>_xlfn.XLOOKUP(C1398,'Preguntas de negocio'!$C$114:$C$119,'Preguntas de negocio'!$D$114:$D$119,0)</f>
        <v>5</v>
      </c>
      <c r="AB1398" s="55">
        <f>VLOOKUP(C1398,'Preguntas de negocio'!$C$121:$D$127,2,FALSE)</f>
        <v>0.5</v>
      </c>
    </row>
    <row r="1399" spans="1:28" x14ac:dyDescent="0.3">
      <c r="A1399" s="1">
        <v>45882</v>
      </c>
      <c r="B1399" s="2" t="s">
        <v>2629</v>
      </c>
      <c r="C1399" s="2" t="s">
        <v>2521</v>
      </c>
      <c r="D1399" s="2" t="s">
        <v>2522</v>
      </c>
      <c r="E1399" s="2" t="s">
        <v>2529</v>
      </c>
      <c r="F1399" s="3">
        <v>150527</v>
      </c>
      <c r="G1399" s="3">
        <v>6648</v>
      </c>
      <c r="H1399" s="3">
        <v>882</v>
      </c>
      <c r="I1399" s="4">
        <v>1778.87</v>
      </c>
      <c r="J1399" s="4">
        <v>132901.84</v>
      </c>
      <c r="K1399" s="3">
        <v>660</v>
      </c>
      <c r="L1399" s="2" t="s">
        <v>2536</v>
      </c>
      <c r="M1399" s="2" t="s">
        <v>2546</v>
      </c>
      <c r="N1399" s="8">
        <f>IFERROR(G1399/F1399,0)</f>
        <v>4.4164834215788533E-2</v>
      </c>
      <c r="O1399" s="8">
        <f>IFERROR(H1399/G1399,0)</f>
        <v>0.13267148014440433</v>
      </c>
      <c r="P1399" s="4">
        <f>IFERROR(I1399/G1399,0)</f>
        <v>0.26757972322503004</v>
      </c>
      <c r="Q1399" s="4">
        <f>IFERROR(I1399/H1399,0)</f>
        <v>2.0168594104308388</v>
      </c>
      <c r="R1399" s="12">
        <f>IFERROR(J1399/I1399,0)</f>
        <v>74.711384193336215</v>
      </c>
      <c r="S1399" s="7">
        <f>Tabla_nuevas_columnas[[#This Row],[ROAS]]</f>
        <v>74.711384193336215</v>
      </c>
      <c r="T1399" t="str">
        <f>_xlfn.CONCAT(C1399,"-",D1399)</f>
        <v>Paid Search-Italia</v>
      </c>
      <c r="U1399">
        <f>YEAR(A1399)</f>
        <v>2025</v>
      </c>
      <c r="V1399">
        <f>MONTH(A1399)</f>
        <v>8</v>
      </c>
      <c r="W1399" t="str">
        <f>PROPER(TEXT(A1399,"mmmm"))</f>
        <v>Agosto</v>
      </c>
      <c r="X1399" t="str">
        <f>PROPER(TEXT(A1399,"dddd"))</f>
        <v>Miércoles</v>
      </c>
      <c r="Y1399" t="str" cm="1">
        <f t="array" ref="Y1399">_xlfn.IFS(R1399&gt;10,"Excelente",R1399&gt;=5,"Bueno",R1399&gt;=2,"Débil",R1399&lt;2,"Deficiente")</f>
        <v>Excelente</v>
      </c>
      <c r="Z1399" t="str">
        <f>IF(AND(R1399&lt;2,Q1399&gt;=100),"Revisar","OK")</f>
        <v>OK</v>
      </c>
      <c r="AA1399" s="55">
        <f>_xlfn.XLOOKUP(C1399,'Preguntas de negocio'!$C$114:$C$119,'Preguntas de negocio'!$D$114:$D$119,0)</f>
        <v>5</v>
      </c>
      <c r="AB1399" s="55">
        <f>VLOOKUP(C1399,'Preguntas de negocio'!$C$121:$D$127,2,FALSE)</f>
        <v>1.1000000000000001</v>
      </c>
    </row>
    <row r="1400" spans="1:28" x14ac:dyDescent="0.3">
      <c r="A1400" s="1">
        <v>46006</v>
      </c>
      <c r="B1400" s="2" t="s">
        <v>2620</v>
      </c>
      <c r="C1400" s="2" t="s">
        <v>2541</v>
      </c>
      <c r="D1400" s="2" t="s">
        <v>2528</v>
      </c>
      <c r="E1400" s="2" t="s">
        <v>2517</v>
      </c>
      <c r="F1400" s="3">
        <v>102652</v>
      </c>
      <c r="G1400" s="3">
        <v>6331</v>
      </c>
      <c r="H1400" s="3">
        <v>741</v>
      </c>
      <c r="I1400" s="4">
        <v>7654.88</v>
      </c>
      <c r="J1400" s="4">
        <v>12865.93</v>
      </c>
      <c r="K1400" s="3">
        <v>396</v>
      </c>
      <c r="L1400" s="2" t="s">
        <v>2536</v>
      </c>
      <c r="M1400" s="2" t="s">
        <v>2519</v>
      </c>
      <c r="N1400" s="8">
        <f>IFERROR(G1400/F1400,0)</f>
        <v>6.1674395043447766E-2</v>
      </c>
      <c r="O1400" s="8">
        <f>IFERROR(H1400/G1400,0)</f>
        <v>0.11704312114989733</v>
      </c>
      <c r="P1400" s="4">
        <f>IFERROR(I1400/G1400,0)</f>
        <v>1.2091107250039488</v>
      </c>
      <c r="Q1400" s="4">
        <f>IFERROR(I1400/H1400,0)</f>
        <v>10.330472334682861</v>
      </c>
      <c r="R1400" s="12">
        <f>IFERROR(J1400/I1400,0)</f>
        <v>1.6807487511234664</v>
      </c>
      <c r="S1400" s="7">
        <f>Tabla_nuevas_columnas[[#This Row],[ROAS]]</f>
        <v>1.6807487511234664</v>
      </c>
      <c r="T1400" t="str">
        <f>_xlfn.CONCAT(C1400,"-",D1400)</f>
        <v>Display-España</v>
      </c>
      <c r="U1400">
        <f>YEAR(A1400)</f>
        <v>2025</v>
      </c>
      <c r="V1400">
        <f>MONTH(A1400)</f>
        <v>12</v>
      </c>
      <c r="W1400" t="str">
        <f>PROPER(TEXT(A1400,"mmmm"))</f>
        <v>Diciembre</v>
      </c>
      <c r="X1400" t="str">
        <f>PROPER(TEXT(A1400,"dddd"))</f>
        <v>Lunes</v>
      </c>
      <c r="Y1400" t="str" cm="1">
        <f t="array" ref="Y1400">_xlfn.IFS(R1400&gt;10,"Excelente",R1400&gt;=5,"Bueno",R1400&gt;=2,"Débil",R1400&lt;2,"Deficiente")</f>
        <v>Deficiente</v>
      </c>
      <c r="Z1400" t="str">
        <f>IF(AND(R1400&lt;2,Q1400&gt;=100),"Revisar","OK")</f>
        <v>OK</v>
      </c>
      <c r="AA1400" s="55">
        <f>_xlfn.XLOOKUP(C1400,'Preguntas de negocio'!$C$114:$C$119,'Preguntas de negocio'!$D$114:$D$119,0)</f>
        <v>5</v>
      </c>
      <c r="AB1400" s="55">
        <f>VLOOKUP(C1400,'Preguntas de negocio'!$C$121:$D$127,2,FALSE)</f>
        <v>0.5</v>
      </c>
    </row>
    <row r="1401" spans="1:28" x14ac:dyDescent="0.3">
      <c r="A1401" s="1">
        <v>45909</v>
      </c>
      <c r="B1401" s="2" t="s">
        <v>2636</v>
      </c>
      <c r="C1401" s="2" t="s">
        <v>2533</v>
      </c>
      <c r="D1401" s="2" t="s">
        <v>2528</v>
      </c>
      <c r="E1401" s="2" t="s">
        <v>2529</v>
      </c>
      <c r="F1401" s="3">
        <v>142149</v>
      </c>
      <c r="G1401" s="3">
        <v>5151</v>
      </c>
      <c r="H1401" s="3">
        <v>209</v>
      </c>
      <c r="I1401" s="4">
        <v>10034.25</v>
      </c>
      <c r="J1401" s="4">
        <v>3188.46</v>
      </c>
      <c r="K1401" s="3">
        <v>120</v>
      </c>
      <c r="L1401" s="2" t="s">
        <v>2518</v>
      </c>
      <c r="M1401" s="2" t="s">
        <v>2524</v>
      </c>
      <c r="N1401" s="8">
        <f>IFERROR(G1401/F1401,0)</f>
        <v>3.6236624949876541E-2</v>
      </c>
      <c r="O1401" s="8">
        <f>IFERROR(H1401/G1401,0)</f>
        <v>4.0574645699864104E-2</v>
      </c>
      <c r="P1401" s="4">
        <f>IFERROR(I1401/G1401,0)</f>
        <v>1.948019801980198</v>
      </c>
      <c r="Q1401" s="4">
        <f>IFERROR(I1401/H1401,0)</f>
        <v>48.010765550239235</v>
      </c>
      <c r="R1401" s="12">
        <f>IFERROR(J1401/I1401,0)</f>
        <v>0.31775767994618431</v>
      </c>
      <c r="S1401" s="7">
        <f>Tabla_nuevas_columnas[[#This Row],[ROAS]]</f>
        <v>0.31775767994618431</v>
      </c>
      <c r="T1401" t="str">
        <f>_xlfn.CONCAT(C1401,"-",D1401)</f>
        <v>Paid Social-España</v>
      </c>
      <c r="U1401">
        <f>YEAR(A1401)</f>
        <v>2025</v>
      </c>
      <c r="V1401">
        <f>MONTH(A1401)</f>
        <v>9</v>
      </c>
      <c r="W1401" t="str">
        <f>PROPER(TEXT(A1401,"mmmm"))</f>
        <v>Septiembre</v>
      </c>
      <c r="X1401" t="str">
        <f>PROPER(TEXT(A1401,"dddd"))</f>
        <v>Martes</v>
      </c>
      <c r="Y1401" t="str" cm="1">
        <f t="array" ref="Y1401">_xlfn.IFS(R1401&gt;10,"Excelente",R1401&gt;=5,"Bueno",R1401&gt;=2,"Débil",R1401&lt;2,"Deficiente")</f>
        <v>Deficiente</v>
      </c>
      <c r="Z1401" t="str">
        <f>IF(AND(R1401&lt;2,Q1401&gt;=100),"Revisar","OK")</f>
        <v>OK</v>
      </c>
      <c r="AA1401" s="55">
        <f>_xlfn.XLOOKUP(C1401,'Preguntas de negocio'!$C$114:$C$119,'Preguntas de negocio'!$D$114:$D$119,0)</f>
        <v>6</v>
      </c>
      <c r="AB1401" s="55">
        <f>VLOOKUP(C1401,'Preguntas de negocio'!$C$121:$D$127,2,FALSE)</f>
        <v>0.8</v>
      </c>
    </row>
    <row r="1402" spans="1:28" x14ac:dyDescent="0.3">
      <c r="A1402" s="1">
        <v>46011</v>
      </c>
      <c r="B1402" s="2" t="s">
        <v>2625</v>
      </c>
      <c r="C1402" s="2" t="s">
        <v>2515</v>
      </c>
      <c r="D1402" s="2" t="s">
        <v>2528</v>
      </c>
      <c r="E1402" s="2" t="s">
        <v>2517</v>
      </c>
      <c r="F1402" s="3">
        <v>52292</v>
      </c>
      <c r="G1402" s="3">
        <v>3312</v>
      </c>
      <c r="H1402" s="3">
        <v>360</v>
      </c>
      <c r="I1402" s="4">
        <v>3057.14</v>
      </c>
      <c r="J1402" s="4">
        <v>69437.990000000005</v>
      </c>
      <c r="K1402" s="3">
        <v>238</v>
      </c>
      <c r="L1402" s="2" t="s">
        <v>2523</v>
      </c>
      <c r="M1402" s="2" t="s">
        <v>2519</v>
      </c>
      <c r="N1402" s="8">
        <f>IFERROR(G1402/F1402,0)</f>
        <v>6.3336648053239505E-2</v>
      </c>
      <c r="O1402" s="8">
        <f>IFERROR(H1402/G1402,0)</f>
        <v>0.10869565217391304</v>
      </c>
      <c r="P1402" s="4">
        <f>IFERROR(I1402/G1402,0)</f>
        <v>0.92304951690821258</v>
      </c>
      <c r="Q1402" s="4">
        <f>IFERROR(I1402/H1402,0)</f>
        <v>8.4920555555555559</v>
      </c>
      <c r="R1402" s="12">
        <f>IFERROR(J1402/I1402,0)</f>
        <v>22.713382442413501</v>
      </c>
      <c r="S1402" s="7">
        <f>Tabla_nuevas_columnas[[#This Row],[ROAS]]</f>
        <v>22.713382442413501</v>
      </c>
      <c r="T1402" t="str">
        <f>_xlfn.CONCAT(C1402,"-",D1402)</f>
        <v>Email-España</v>
      </c>
      <c r="U1402">
        <f>YEAR(A1402)</f>
        <v>2025</v>
      </c>
      <c r="V1402">
        <f>MONTH(A1402)</f>
        <v>12</v>
      </c>
      <c r="W1402" t="str">
        <f>PROPER(TEXT(A1402,"mmmm"))</f>
        <v>Diciembre</v>
      </c>
      <c r="X1402" t="str">
        <f>PROPER(TEXT(A1402,"dddd"))</f>
        <v>Sábado</v>
      </c>
      <c r="Y1402" t="str" cm="1">
        <f t="array" ref="Y1402">_xlfn.IFS(R1402&gt;10,"Excelente",R1402&gt;=5,"Bueno",R1402&gt;=2,"Débil",R1402&lt;2,"Deficiente")</f>
        <v>Excelente</v>
      </c>
      <c r="Z1402" t="str">
        <f>IF(AND(R1402&lt;2,Q1402&gt;=100),"Revisar","OK")</f>
        <v>OK</v>
      </c>
      <c r="AA1402" s="55">
        <f>_xlfn.XLOOKUP(C1402,'Preguntas de negocio'!$C$114:$C$119,'Preguntas de negocio'!$D$114:$D$119,0)</f>
        <v>5.5</v>
      </c>
      <c r="AB1402" s="55">
        <f>VLOOKUP(C1402,'Preguntas de negocio'!$C$121:$D$127,2,FALSE)</f>
        <v>0.65</v>
      </c>
    </row>
    <row r="1403" spans="1:28" x14ac:dyDescent="0.3">
      <c r="A1403" s="1">
        <v>46013</v>
      </c>
      <c r="B1403" s="2" t="s">
        <v>2642</v>
      </c>
      <c r="C1403" s="2" t="s">
        <v>2515</v>
      </c>
      <c r="D1403" s="2" t="s">
        <v>2528</v>
      </c>
      <c r="E1403" s="2" t="s">
        <v>2529</v>
      </c>
      <c r="F1403" s="3">
        <v>123525</v>
      </c>
      <c r="G1403" s="3">
        <v>4416</v>
      </c>
      <c r="H1403" s="3">
        <v>443</v>
      </c>
      <c r="I1403" s="4">
        <v>9002.16</v>
      </c>
      <c r="J1403" s="4">
        <v>7346.83</v>
      </c>
      <c r="K1403" s="3">
        <v>271</v>
      </c>
      <c r="L1403" s="2" t="s">
        <v>2536</v>
      </c>
      <c r="M1403" s="2" t="s">
        <v>2519</v>
      </c>
      <c r="N1403" s="8">
        <f>IFERROR(G1403/F1403,0)</f>
        <v>3.57498482088646E-2</v>
      </c>
      <c r="O1403" s="8">
        <f>IFERROR(H1403/G1403,0)</f>
        <v>0.10031702898550725</v>
      </c>
      <c r="P1403" s="4">
        <f>IFERROR(I1403/G1403,0)</f>
        <v>2.0385326086956521</v>
      </c>
      <c r="Q1403" s="4">
        <f>IFERROR(I1403/H1403,0)</f>
        <v>20.320902934537244</v>
      </c>
      <c r="R1403" s="12">
        <f>IFERROR(J1403/I1403,0)</f>
        <v>0.81611857598620774</v>
      </c>
      <c r="S1403" s="7">
        <f>Tabla_nuevas_columnas[[#This Row],[ROAS]]</f>
        <v>0.81611857598620774</v>
      </c>
      <c r="T1403" t="str">
        <f>_xlfn.CONCAT(C1403,"-",D1403)</f>
        <v>Email-España</v>
      </c>
      <c r="U1403">
        <f>YEAR(A1403)</f>
        <v>2025</v>
      </c>
      <c r="V1403">
        <f>MONTH(A1403)</f>
        <v>12</v>
      </c>
      <c r="W1403" t="str">
        <f>PROPER(TEXT(A1403,"mmmm"))</f>
        <v>Diciembre</v>
      </c>
      <c r="X1403" t="str">
        <f>PROPER(TEXT(A1403,"dddd"))</f>
        <v>Lunes</v>
      </c>
      <c r="Y1403" t="str" cm="1">
        <f t="array" ref="Y1403">_xlfn.IFS(R1403&gt;10,"Excelente",R1403&gt;=5,"Bueno",R1403&gt;=2,"Débil",R1403&lt;2,"Deficiente")</f>
        <v>Deficiente</v>
      </c>
      <c r="Z1403" t="str">
        <f>IF(AND(R1403&lt;2,Q1403&gt;=100),"Revisar","OK")</f>
        <v>OK</v>
      </c>
      <c r="AA1403" s="55">
        <f>_xlfn.XLOOKUP(C1403,'Preguntas de negocio'!$C$114:$C$119,'Preguntas de negocio'!$D$114:$D$119,0)</f>
        <v>5.5</v>
      </c>
      <c r="AB1403" s="55">
        <f>VLOOKUP(C1403,'Preguntas de negocio'!$C$121:$D$127,2,FALSE)</f>
        <v>0.65</v>
      </c>
    </row>
    <row r="1404" spans="1:28" x14ac:dyDescent="0.3">
      <c r="A1404" s="1">
        <v>45677</v>
      </c>
      <c r="B1404" s="2" t="s">
        <v>2638</v>
      </c>
      <c r="C1404" s="2" t="s">
        <v>2521</v>
      </c>
      <c r="D1404" s="2" t="s">
        <v>2531</v>
      </c>
      <c r="E1404" s="2" t="s">
        <v>2529</v>
      </c>
      <c r="F1404" s="3">
        <v>6385</v>
      </c>
      <c r="G1404" s="3">
        <v>378</v>
      </c>
      <c r="H1404" s="3">
        <v>51</v>
      </c>
      <c r="I1404" s="4">
        <v>554.84</v>
      </c>
      <c r="J1404" s="4">
        <v>2938.27</v>
      </c>
      <c r="K1404" s="3">
        <v>24</v>
      </c>
      <c r="L1404" s="2" t="s">
        <v>2539</v>
      </c>
      <c r="M1404" s="2" t="s">
        <v>2526</v>
      </c>
      <c r="N1404" s="8">
        <f>IFERROR(G1404/F1404,0)</f>
        <v>5.9201252936570088E-2</v>
      </c>
      <c r="O1404" s="8">
        <f>IFERROR(H1404/G1404,0)</f>
        <v>0.13492063492063491</v>
      </c>
      <c r="P1404" s="4">
        <f>IFERROR(I1404/G1404,0)</f>
        <v>1.4678306878306879</v>
      </c>
      <c r="Q1404" s="4">
        <f>IFERROR(I1404/H1404,0)</f>
        <v>10.879215686274511</v>
      </c>
      <c r="R1404" s="12">
        <f>IFERROR(J1404/I1404,0)</f>
        <v>5.2957068704491386</v>
      </c>
      <c r="S1404" s="7">
        <f>Tabla_nuevas_columnas[[#This Row],[ROAS]]</f>
        <v>5.2957068704491386</v>
      </c>
      <c r="T1404" t="str">
        <f>_xlfn.CONCAT(C1404,"-",D1404)</f>
        <v>Paid Search-Portugal</v>
      </c>
      <c r="U1404">
        <f>YEAR(A1404)</f>
        <v>2025</v>
      </c>
      <c r="V1404">
        <f>MONTH(A1404)</f>
        <v>1</v>
      </c>
      <c r="W1404" t="str">
        <f>PROPER(TEXT(A1404,"mmmm"))</f>
        <v>Enero</v>
      </c>
      <c r="X1404" t="str">
        <f>PROPER(TEXT(A1404,"dddd"))</f>
        <v>Lunes</v>
      </c>
      <c r="Y1404" t="str" cm="1">
        <f t="array" ref="Y1404">_xlfn.IFS(R1404&gt;10,"Excelente",R1404&gt;=5,"Bueno",R1404&gt;=2,"Débil",R1404&lt;2,"Deficiente")</f>
        <v>Bueno</v>
      </c>
      <c r="Z1404" t="str">
        <f>IF(AND(R1404&lt;2,Q1404&gt;=100),"Revisar","OK")</f>
        <v>OK</v>
      </c>
      <c r="AA1404" s="55">
        <f>_xlfn.XLOOKUP(C1404,'Preguntas de negocio'!$C$114:$C$119,'Preguntas de negocio'!$D$114:$D$119,0)</f>
        <v>5</v>
      </c>
      <c r="AB1404" s="55">
        <f>VLOOKUP(C1404,'Preguntas de negocio'!$C$121:$D$127,2,FALSE)</f>
        <v>1.1000000000000001</v>
      </c>
    </row>
    <row r="1405" spans="1:28" x14ac:dyDescent="0.3">
      <c r="A1405" s="1">
        <v>45742</v>
      </c>
      <c r="B1405" s="2" t="s">
        <v>2637</v>
      </c>
      <c r="C1405" s="2" t="s">
        <v>2527</v>
      </c>
      <c r="D1405" s="2" t="s">
        <v>2528</v>
      </c>
      <c r="E1405" s="2" t="s">
        <v>2529</v>
      </c>
      <c r="F1405" s="3">
        <v>130044</v>
      </c>
      <c r="G1405" s="3">
        <v>7319</v>
      </c>
      <c r="H1405" s="3">
        <v>386</v>
      </c>
      <c r="I1405" s="4">
        <v>13151.05</v>
      </c>
      <c r="J1405" s="4">
        <v>68396.33</v>
      </c>
      <c r="K1405" s="3">
        <v>304</v>
      </c>
      <c r="L1405" s="2" t="s">
        <v>2536</v>
      </c>
      <c r="M1405" s="2" t="s">
        <v>2546</v>
      </c>
      <c r="N1405" s="8">
        <f>IFERROR(G1405/F1405,0)</f>
        <v>5.6280951062717237E-2</v>
      </c>
      <c r="O1405" s="8">
        <f>IFERROR(H1405/G1405,0)</f>
        <v>5.2739445279409755E-2</v>
      </c>
      <c r="P1405" s="4">
        <f>IFERROR(I1405/G1405,0)</f>
        <v>1.7968369995901079</v>
      </c>
      <c r="Q1405" s="4">
        <f>IFERROR(I1405/H1405,0)</f>
        <v>34.070077720207252</v>
      </c>
      <c r="R1405" s="12">
        <f>IFERROR(J1405/I1405,0)</f>
        <v>5.2008265499712953</v>
      </c>
      <c r="S1405" s="7">
        <f>Tabla_nuevas_columnas[[#This Row],[ROAS]]</f>
        <v>5.2008265499712953</v>
      </c>
      <c r="T1405" t="str">
        <f>_xlfn.CONCAT(C1405,"-",D1405)</f>
        <v>Affiliate-España</v>
      </c>
      <c r="U1405">
        <f>YEAR(A1405)</f>
        <v>2025</v>
      </c>
      <c r="V1405">
        <f>MONTH(A1405)</f>
        <v>3</v>
      </c>
      <c r="W1405" t="str">
        <f>PROPER(TEXT(A1405,"mmmm"))</f>
        <v>Marzo</v>
      </c>
      <c r="X1405" t="str">
        <f>PROPER(TEXT(A1405,"dddd"))</f>
        <v>Miércoles</v>
      </c>
      <c r="Y1405" t="str" cm="1">
        <f t="array" ref="Y1405">_xlfn.IFS(R1405&gt;10,"Excelente",R1405&gt;=5,"Bueno",R1405&gt;=2,"Débil",R1405&lt;2,"Deficiente")</f>
        <v>Bueno</v>
      </c>
      <c r="Z1405" t="str">
        <f>IF(AND(R1405&lt;2,Q1405&gt;=100),"Revisar","OK")</f>
        <v>OK</v>
      </c>
      <c r="AA1405" s="55">
        <f>_xlfn.XLOOKUP(C1405,'Preguntas de negocio'!$C$114:$C$119,'Preguntas de negocio'!$D$114:$D$119,0)</f>
        <v>4.5</v>
      </c>
      <c r="AB1405" s="55">
        <f>VLOOKUP(C1405,'Preguntas de negocio'!$C$121:$D$127,2,FALSE)</f>
        <v>0.35</v>
      </c>
    </row>
    <row r="1406" spans="1:28" x14ac:dyDescent="0.3">
      <c r="A1406" s="1">
        <v>45733</v>
      </c>
      <c r="B1406" s="2" t="s">
        <v>2633</v>
      </c>
      <c r="C1406" s="2" t="s">
        <v>2515</v>
      </c>
      <c r="D1406" s="2" t="s">
        <v>2516</v>
      </c>
      <c r="E1406" s="2" t="s">
        <v>2534</v>
      </c>
      <c r="F1406" s="3">
        <v>88209</v>
      </c>
      <c r="G1406" s="3">
        <v>398</v>
      </c>
      <c r="H1406" s="3">
        <v>49</v>
      </c>
      <c r="I1406" s="4">
        <v>539.1</v>
      </c>
      <c r="J1406" s="4">
        <v>8477.5300000000007</v>
      </c>
      <c r="K1406" s="3">
        <v>29</v>
      </c>
      <c r="L1406" s="2" t="s">
        <v>2523</v>
      </c>
      <c r="M1406" s="2" t="s">
        <v>2524</v>
      </c>
      <c r="N1406" s="8">
        <f>IFERROR(G1406/F1406,0)</f>
        <v>4.5120112460179801E-3</v>
      </c>
      <c r="O1406" s="8">
        <f>IFERROR(H1406/G1406,0)</f>
        <v>0.12311557788944724</v>
      </c>
      <c r="P1406" s="4">
        <f>IFERROR(I1406/G1406,0)</f>
        <v>1.3545226130653267</v>
      </c>
      <c r="Q1406" s="4">
        <f>IFERROR(I1406/H1406,0)</f>
        <v>11.002040816326531</v>
      </c>
      <c r="R1406" s="12">
        <f>IFERROR(J1406/I1406,0)</f>
        <v>15.725338527174921</v>
      </c>
      <c r="S1406" s="7">
        <f>Tabla_nuevas_columnas[[#This Row],[ROAS]]</f>
        <v>15.725338527174921</v>
      </c>
      <c r="T1406" t="str">
        <f>_xlfn.CONCAT(C1406,"-",D1406)</f>
        <v>Email-México</v>
      </c>
      <c r="U1406">
        <f>YEAR(A1406)</f>
        <v>2025</v>
      </c>
      <c r="V1406">
        <f>MONTH(A1406)</f>
        <v>3</v>
      </c>
      <c r="W1406" t="str">
        <f>PROPER(TEXT(A1406,"mmmm"))</f>
        <v>Marzo</v>
      </c>
      <c r="X1406" t="str">
        <f>PROPER(TEXT(A1406,"dddd"))</f>
        <v>Lunes</v>
      </c>
      <c r="Y1406" t="str" cm="1">
        <f t="array" ref="Y1406">_xlfn.IFS(R1406&gt;10,"Excelente",R1406&gt;=5,"Bueno",R1406&gt;=2,"Débil",R1406&lt;2,"Deficiente")</f>
        <v>Excelente</v>
      </c>
      <c r="Z1406" t="str">
        <f>IF(AND(R1406&lt;2,Q1406&gt;=100),"Revisar","OK")</f>
        <v>OK</v>
      </c>
      <c r="AA1406" s="55">
        <f>_xlfn.XLOOKUP(C1406,'Preguntas de negocio'!$C$114:$C$119,'Preguntas de negocio'!$D$114:$D$119,0)</f>
        <v>5.5</v>
      </c>
      <c r="AB1406" s="55">
        <f>VLOOKUP(C1406,'Preguntas de negocio'!$C$121:$D$127,2,FALSE)</f>
        <v>0.65</v>
      </c>
    </row>
    <row r="1407" spans="1:28" x14ac:dyDescent="0.3">
      <c r="A1407" s="1">
        <v>45932</v>
      </c>
      <c r="B1407" s="2" t="s">
        <v>2626</v>
      </c>
      <c r="C1407" s="2" t="s">
        <v>2527</v>
      </c>
      <c r="D1407" s="2" t="s">
        <v>2528</v>
      </c>
      <c r="E1407" s="2" t="s">
        <v>2534</v>
      </c>
      <c r="F1407" s="3">
        <v>155618</v>
      </c>
      <c r="G1407" s="3">
        <v>11634</v>
      </c>
      <c r="H1407" s="3">
        <v>1171</v>
      </c>
      <c r="I1407" s="4">
        <v>16483.939999999999</v>
      </c>
      <c r="J1407" s="4">
        <v>142358.87</v>
      </c>
      <c r="K1407" s="3">
        <v>668</v>
      </c>
      <c r="L1407" s="2" t="s">
        <v>2536</v>
      </c>
      <c r="M1407" s="2" t="s">
        <v>2546</v>
      </c>
      <c r="N1407" s="8">
        <f>IFERROR(G1407/F1407,0)</f>
        <v>7.4759989204333688E-2</v>
      </c>
      <c r="O1407" s="8">
        <f>IFERROR(H1407/G1407,0)</f>
        <v>0.10065325769296889</v>
      </c>
      <c r="P1407" s="4">
        <f>IFERROR(I1407/G1407,0)</f>
        <v>1.4168763967680935</v>
      </c>
      <c r="Q1407" s="4">
        <f>IFERROR(I1407/H1407,0)</f>
        <v>14.076806148590947</v>
      </c>
      <c r="R1407" s="12">
        <f>IFERROR(J1407/I1407,0)</f>
        <v>8.6362162201512511</v>
      </c>
      <c r="S1407" s="7">
        <f>Tabla_nuevas_columnas[[#This Row],[ROAS]]</f>
        <v>8.6362162201512511</v>
      </c>
      <c r="T1407" t="str">
        <f>_xlfn.CONCAT(C1407,"-",D1407)</f>
        <v>Affiliate-España</v>
      </c>
      <c r="U1407">
        <f>YEAR(A1407)</f>
        <v>2025</v>
      </c>
      <c r="V1407">
        <f>MONTH(A1407)</f>
        <v>10</v>
      </c>
      <c r="W1407" t="str">
        <f>PROPER(TEXT(A1407,"mmmm"))</f>
        <v>Octubre</v>
      </c>
      <c r="X1407" t="str">
        <f>PROPER(TEXT(A1407,"dddd"))</f>
        <v>Jueves</v>
      </c>
      <c r="Y1407" t="str" cm="1">
        <f t="array" ref="Y1407">_xlfn.IFS(R1407&gt;10,"Excelente",R1407&gt;=5,"Bueno",R1407&gt;=2,"Débil",R1407&lt;2,"Deficiente")</f>
        <v>Bueno</v>
      </c>
      <c r="Z1407" t="str">
        <f>IF(AND(R1407&lt;2,Q1407&gt;=100),"Revisar","OK")</f>
        <v>OK</v>
      </c>
      <c r="AA1407" s="55">
        <f>_xlfn.XLOOKUP(C1407,'Preguntas de negocio'!$C$114:$C$119,'Preguntas de negocio'!$D$114:$D$119,0)</f>
        <v>4.5</v>
      </c>
      <c r="AB1407" s="55">
        <f>VLOOKUP(C1407,'Preguntas de negocio'!$C$121:$D$127,2,FALSE)</f>
        <v>0.35</v>
      </c>
    </row>
    <row r="1408" spans="1:28" x14ac:dyDescent="0.3">
      <c r="A1408" s="1">
        <v>45874</v>
      </c>
      <c r="B1408" s="2" t="s">
        <v>2630</v>
      </c>
      <c r="C1408" s="2" t="s">
        <v>2521</v>
      </c>
      <c r="D1408" s="2" t="s">
        <v>2525</v>
      </c>
      <c r="E1408" s="2" t="s">
        <v>2517</v>
      </c>
      <c r="F1408" s="3">
        <v>130763</v>
      </c>
      <c r="G1408" s="3">
        <v>890</v>
      </c>
      <c r="H1408" s="3">
        <v>25</v>
      </c>
      <c r="I1408" s="4">
        <v>694.99</v>
      </c>
      <c r="J1408" s="4">
        <v>745.93</v>
      </c>
      <c r="K1408" s="3">
        <v>14</v>
      </c>
      <c r="L1408" s="2" t="s">
        <v>2536</v>
      </c>
      <c r="M1408" s="2" t="s">
        <v>2524</v>
      </c>
      <c r="N1408" s="8">
        <f>IFERROR(G1408/F1408,0)</f>
        <v>6.8062066486697303E-3</v>
      </c>
      <c r="O1408" s="8">
        <f>IFERROR(H1408/G1408,0)</f>
        <v>2.8089887640449437E-2</v>
      </c>
      <c r="P1408" s="4">
        <f>IFERROR(I1408/G1408,0)</f>
        <v>0.78088764044943826</v>
      </c>
      <c r="Q1408" s="4">
        <f>IFERROR(I1408/H1408,0)</f>
        <v>27.799600000000002</v>
      </c>
      <c r="R1408" s="12">
        <f>IFERROR(J1408/I1408,0)</f>
        <v>1.0732960186477503</v>
      </c>
      <c r="S1408" s="7">
        <f>Tabla_nuevas_columnas[[#This Row],[ROAS]]</f>
        <v>1.0732960186477503</v>
      </c>
      <c r="T1408" t="str">
        <f>_xlfn.CONCAT(C1408,"-",D1408)</f>
        <v>Paid Search-Francia</v>
      </c>
      <c r="U1408">
        <f>YEAR(A1408)</f>
        <v>2025</v>
      </c>
      <c r="V1408">
        <f>MONTH(A1408)</f>
        <v>8</v>
      </c>
      <c r="W1408" t="str">
        <f>PROPER(TEXT(A1408,"mmmm"))</f>
        <v>Agosto</v>
      </c>
      <c r="X1408" t="str">
        <f>PROPER(TEXT(A1408,"dddd"))</f>
        <v>Martes</v>
      </c>
      <c r="Y1408" t="str" cm="1">
        <f t="array" ref="Y1408">_xlfn.IFS(R1408&gt;10,"Excelente",R1408&gt;=5,"Bueno",R1408&gt;=2,"Débil",R1408&lt;2,"Deficiente")</f>
        <v>Deficiente</v>
      </c>
      <c r="Z1408" t="str">
        <f>IF(AND(R1408&lt;2,Q1408&gt;=100),"Revisar","OK")</f>
        <v>OK</v>
      </c>
      <c r="AA1408" s="55">
        <f>_xlfn.XLOOKUP(C1408,'Preguntas de negocio'!$C$114:$C$119,'Preguntas de negocio'!$D$114:$D$119,0)</f>
        <v>5</v>
      </c>
      <c r="AB1408" s="55">
        <f>VLOOKUP(C1408,'Preguntas de negocio'!$C$121:$D$127,2,FALSE)</f>
        <v>1.1000000000000001</v>
      </c>
    </row>
    <row r="1409" spans="1:28" x14ac:dyDescent="0.3">
      <c r="A1409" s="1">
        <v>45714</v>
      </c>
      <c r="B1409" s="2" t="s">
        <v>2617</v>
      </c>
      <c r="C1409" s="2" t="s">
        <v>2533</v>
      </c>
      <c r="D1409" s="2" t="s">
        <v>2516</v>
      </c>
      <c r="E1409" s="2" t="s">
        <v>2529</v>
      </c>
      <c r="F1409" s="3">
        <v>77734</v>
      </c>
      <c r="G1409" s="3">
        <v>4952</v>
      </c>
      <c r="H1409" s="3">
        <v>31</v>
      </c>
      <c r="I1409" s="4">
        <v>6671.24</v>
      </c>
      <c r="J1409" s="4">
        <v>2890.66</v>
      </c>
      <c r="K1409" s="3">
        <v>19</v>
      </c>
      <c r="L1409" s="2" t="s">
        <v>2536</v>
      </c>
      <c r="M1409" s="2" t="s">
        <v>2524</v>
      </c>
      <c r="N1409" s="8">
        <f>IFERROR(G1409/F1409,0)</f>
        <v>6.3704427920858314E-2</v>
      </c>
      <c r="O1409" s="8">
        <f>IFERROR(H1409/G1409,0)</f>
        <v>6.2600969305331182E-3</v>
      </c>
      <c r="P1409" s="4">
        <f>IFERROR(I1409/G1409,0)</f>
        <v>1.3471809369951535</v>
      </c>
      <c r="Q1409" s="4">
        <f>IFERROR(I1409/H1409,0)</f>
        <v>215.20129032258063</v>
      </c>
      <c r="R1409" s="12">
        <f>IFERROR(J1409/I1409,0)</f>
        <v>0.43330175499607271</v>
      </c>
      <c r="S1409" s="7">
        <f>Tabla_nuevas_columnas[[#This Row],[ROAS]]</f>
        <v>0.43330175499607271</v>
      </c>
      <c r="T1409" t="str">
        <f>_xlfn.CONCAT(C1409,"-",D1409)</f>
        <v>Paid Social-México</v>
      </c>
      <c r="U1409">
        <f>YEAR(A1409)</f>
        <v>2025</v>
      </c>
      <c r="V1409">
        <f>MONTH(A1409)</f>
        <v>2</v>
      </c>
      <c r="W1409" t="str">
        <f>PROPER(TEXT(A1409,"mmmm"))</f>
        <v>Febrero</v>
      </c>
      <c r="X1409" t="str">
        <f>PROPER(TEXT(A1409,"dddd"))</f>
        <v>Miércoles</v>
      </c>
      <c r="Y1409" t="str" cm="1">
        <f t="array" ref="Y1409">_xlfn.IFS(R1409&gt;10,"Excelente",R1409&gt;=5,"Bueno",R1409&gt;=2,"Débil",R1409&lt;2,"Deficiente")</f>
        <v>Deficiente</v>
      </c>
      <c r="Z1409" t="str">
        <f>IF(AND(R1409&lt;2,Q1409&gt;=100),"Revisar","OK")</f>
        <v>Revisar</v>
      </c>
      <c r="AA1409" s="55">
        <f>_xlfn.XLOOKUP(C1409,'Preguntas de negocio'!$C$114:$C$119,'Preguntas de negocio'!$D$114:$D$119,0)</f>
        <v>6</v>
      </c>
      <c r="AB1409" s="55">
        <f>VLOOKUP(C1409,'Preguntas de negocio'!$C$121:$D$127,2,FALSE)</f>
        <v>0.8</v>
      </c>
    </row>
    <row r="1410" spans="1:28" x14ac:dyDescent="0.3">
      <c r="A1410" s="1">
        <v>45870</v>
      </c>
      <c r="B1410" s="2" t="s">
        <v>2616</v>
      </c>
      <c r="C1410" s="2" t="s">
        <v>2541</v>
      </c>
      <c r="D1410" s="2" t="s">
        <v>2525</v>
      </c>
      <c r="E1410" s="2" t="s">
        <v>2529</v>
      </c>
      <c r="F1410" s="3">
        <v>147578</v>
      </c>
      <c r="G1410" s="3">
        <v>10590</v>
      </c>
      <c r="H1410" s="3">
        <v>573</v>
      </c>
      <c r="I1410" s="4">
        <v>12512.4</v>
      </c>
      <c r="J1410" s="4">
        <v>83779.899999999994</v>
      </c>
      <c r="K1410" s="3">
        <v>411</v>
      </c>
      <c r="L1410" s="2" t="s">
        <v>2539</v>
      </c>
      <c r="M1410" s="2" t="s">
        <v>2519</v>
      </c>
      <c r="N1410" s="8">
        <f>IFERROR(G1410/F1410,0)</f>
        <v>7.1758663215384405E-2</v>
      </c>
      <c r="O1410" s="8">
        <f>IFERROR(H1410/G1410,0)</f>
        <v>5.4107648725212468E-2</v>
      </c>
      <c r="P1410" s="4">
        <f>IFERROR(I1410/G1410,0)</f>
        <v>1.1815297450424929</v>
      </c>
      <c r="Q1410" s="4">
        <f>IFERROR(I1410/H1410,0)</f>
        <v>21.836649214659687</v>
      </c>
      <c r="R1410" s="12">
        <f>IFERROR(J1410/I1410,0)</f>
        <v>6.6957498161823468</v>
      </c>
      <c r="S1410" s="7">
        <f>Tabla_nuevas_columnas[[#This Row],[ROAS]]</f>
        <v>6.6957498161823468</v>
      </c>
      <c r="T1410" t="str">
        <f>_xlfn.CONCAT(C1410,"-",D1410)</f>
        <v>Display-Francia</v>
      </c>
      <c r="U1410">
        <f>YEAR(A1410)</f>
        <v>2025</v>
      </c>
      <c r="V1410">
        <f>MONTH(A1410)</f>
        <v>8</v>
      </c>
      <c r="W1410" t="str">
        <f>PROPER(TEXT(A1410,"mmmm"))</f>
        <v>Agosto</v>
      </c>
      <c r="X1410" t="str">
        <f>PROPER(TEXT(A1410,"dddd"))</f>
        <v>Viernes</v>
      </c>
      <c r="Y1410" t="str" cm="1">
        <f t="array" ref="Y1410">_xlfn.IFS(R1410&gt;10,"Excelente",R1410&gt;=5,"Bueno",R1410&gt;=2,"Débil",R1410&lt;2,"Deficiente")</f>
        <v>Bueno</v>
      </c>
      <c r="Z1410" t="str">
        <f>IF(AND(R1410&lt;2,Q1410&gt;=100),"Revisar","OK")</f>
        <v>OK</v>
      </c>
      <c r="AA1410" s="55">
        <f>_xlfn.XLOOKUP(C1410,'Preguntas de negocio'!$C$114:$C$119,'Preguntas de negocio'!$D$114:$D$119,0)</f>
        <v>5</v>
      </c>
      <c r="AB1410" s="55">
        <f>VLOOKUP(C1410,'Preguntas de negocio'!$C$121:$D$127,2,FALSE)</f>
        <v>0.5</v>
      </c>
    </row>
    <row r="1411" spans="1:28" x14ac:dyDescent="0.3">
      <c r="A1411" s="1">
        <v>45668</v>
      </c>
      <c r="B1411" s="2" t="s">
        <v>2644</v>
      </c>
      <c r="C1411" s="2" t="s">
        <v>2533</v>
      </c>
      <c r="D1411" s="2" t="s">
        <v>2528</v>
      </c>
      <c r="E1411" s="2" t="s">
        <v>2517</v>
      </c>
      <c r="F1411" s="3">
        <v>156532</v>
      </c>
      <c r="G1411" s="3">
        <v>1322</v>
      </c>
      <c r="H1411" s="3">
        <v>161</v>
      </c>
      <c r="I1411" s="4">
        <v>2354.91</v>
      </c>
      <c r="J1411" s="4">
        <v>23218.41</v>
      </c>
      <c r="K1411" s="3">
        <v>122</v>
      </c>
      <c r="L1411" s="2" t="s">
        <v>2518</v>
      </c>
      <c r="M1411" s="2" t="s">
        <v>2537</v>
      </c>
      <c r="N1411" s="8">
        <f>IFERROR(G1411/F1411,0)</f>
        <v>8.4455574578999829E-3</v>
      </c>
      <c r="O1411" s="8">
        <f>IFERROR(H1411/G1411,0)</f>
        <v>0.12178517397881997</v>
      </c>
      <c r="P1411" s="4">
        <f>IFERROR(I1411/G1411,0)</f>
        <v>1.7813237518910741</v>
      </c>
      <c r="Q1411" s="4">
        <f>IFERROR(I1411/H1411,0)</f>
        <v>14.626770186335403</v>
      </c>
      <c r="R1411" s="12">
        <f>IFERROR(J1411/I1411,0)</f>
        <v>9.8595742512452702</v>
      </c>
      <c r="S1411" s="7">
        <f>Tabla_nuevas_columnas[[#This Row],[ROAS]]</f>
        <v>9.8595742512452702</v>
      </c>
      <c r="T1411" t="str">
        <f>_xlfn.CONCAT(C1411,"-",D1411)</f>
        <v>Paid Social-España</v>
      </c>
      <c r="U1411">
        <f>YEAR(A1411)</f>
        <v>2025</v>
      </c>
      <c r="V1411">
        <f>MONTH(A1411)</f>
        <v>1</v>
      </c>
      <c r="W1411" t="str">
        <f>PROPER(TEXT(A1411,"mmmm"))</f>
        <v>Enero</v>
      </c>
      <c r="X1411" t="str">
        <f>PROPER(TEXT(A1411,"dddd"))</f>
        <v>Sábado</v>
      </c>
      <c r="Y1411" t="str" cm="1">
        <f t="array" ref="Y1411">_xlfn.IFS(R1411&gt;10,"Excelente",R1411&gt;=5,"Bueno",R1411&gt;=2,"Débil",R1411&lt;2,"Deficiente")</f>
        <v>Bueno</v>
      </c>
      <c r="Z1411" t="str">
        <f>IF(AND(R1411&lt;2,Q1411&gt;=100),"Revisar","OK")</f>
        <v>OK</v>
      </c>
      <c r="AA1411" s="55">
        <f>_xlfn.XLOOKUP(C1411,'Preguntas de negocio'!$C$114:$C$119,'Preguntas de negocio'!$D$114:$D$119,0)</f>
        <v>6</v>
      </c>
      <c r="AB1411" s="55">
        <f>VLOOKUP(C1411,'Preguntas de negocio'!$C$121:$D$127,2,FALSE)</f>
        <v>0.8</v>
      </c>
    </row>
    <row r="1412" spans="1:28" x14ac:dyDescent="0.3">
      <c r="A1412" s="1">
        <v>45672</v>
      </c>
      <c r="B1412" s="2" t="s">
        <v>2642</v>
      </c>
      <c r="C1412" s="2" t="s">
        <v>2527</v>
      </c>
      <c r="D1412" s="2" t="s">
        <v>2528</v>
      </c>
      <c r="E1412" s="2" t="s">
        <v>2529</v>
      </c>
      <c r="F1412" s="3">
        <v>103037</v>
      </c>
      <c r="G1412" s="3">
        <v>5721</v>
      </c>
      <c r="H1412" s="3">
        <v>686</v>
      </c>
      <c r="I1412" s="4">
        <v>10224.799999999999</v>
      </c>
      <c r="J1412" s="4">
        <v>31502.94</v>
      </c>
      <c r="K1412" s="3">
        <v>428</v>
      </c>
      <c r="L1412" s="2" t="s">
        <v>2518</v>
      </c>
      <c r="M1412" s="2" t="s">
        <v>2526</v>
      </c>
      <c r="N1412" s="8">
        <f>IFERROR(G1412/F1412,0)</f>
        <v>5.5523743897823115E-2</v>
      </c>
      <c r="O1412" s="8">
        <f>IFERROR(H1412/G1412,0)</f>
        <v>0.11990910679951057</v>
      </c>
      <c r="P1412" s="4">
        <f>IFERROR(I1412/G1412,0)</f>
        <v>1.7872399930082152</v>
      </c>
      <c r="Q1412" s="4">
        <f>IFERROR(I1412/H1412,0)</f>
        <v>14.904956268221573</v>
      </c>
      <c r="R1412" s="12">
        <f>IFERROR(J1412/I1412,0)</f>
        <v>3.0810323918316254</v>
      </c>
      <c r="S1412" s="7">
        <f>Tabla_nuevas_columnas[[#This Row],[ROAS]]</f>
        <v>3.0810323918316254</v>
      </c>
      <c r="T1412" t="str">
        <f>_xlfn.CONCAT(C1412,"-",D1412)</f>
        <v>Affiliate-España</v>
      </c>
      <c r="U1412">
        <f>YEAR(A1412)</f>
        <v>2025</v>
      </c>
      <c r="V1412">
        <f>MONTH(A1412)</f>
        <v>1</v>
      </c>
      <c r="W1412" t="str">
        <f>PROPER(TEXT(A1412,"mmmm"))</f>
        <v>Enero</v>
      </c>
      <c r="X1412" t="str">
        <f>PROPER(TEXT(A1412,"dddd"))</f>
        <v>Miércoles</v>
      </c>
      <c r="Y1412" t="str" cm="1">
        <f t="array" ref="Y1412">_xlfn.IFS(R1412&gt;10,"Excelente",R1412&gt;=5,"Bueno",R1412&gt;=2,"Débil",R1412&lt;2,"Deficiente")</f>
        <v>Débil</v>
      </c>
      <c r="Z1412" t="str">
        <f>IF(AND(R1412&lt;2,Q1412&gt;=100),"Revisar","OK")</f>
        <v>OK</v>
      </c>
      <c r="AA1412" s="55">
        <f>_xlfn.XLOOKUP(C1412,'Preguntas de negocio'!$C$114:$C$119,'Preguntas de negocio'!$D$114:$D$119,0)</f>
        <v>4.5</v>
      </c>
      <c r="AB1412" s="55">
        <f>VLOOKUP(C1412,'Preguntas de negocio'!$C$121:$D$127,2,FALSE)</f>
        <v>0.35</v>
      </c>
    </row>
    <row r="1413" spans="1:28" x14ac:dyDescent="0.3">
      <c r="A1413" s="1">
        <v>45991</v>
      </c>
      <c r="B1413" s="2" t="s">
        <v>2640</v>
      </c>
      <c r="C1413" s="2" t="s">
        <v>2527</v>
      </c>
      <c r="D1413" s="2" t="s">
        <v>2531</v>
      </c>
      <c r="E1413" s="2" t="s">
        <v>2517</v>
      </c>
      <c r="F1413" s="3">
        <v>120105</v>
      </c>
      <c r="G1413" s="3">
        <v>10302</v>
      </c>
      <c r="H1413" s="3">
        <v>299</v>
      </c>
      <c r="I1413" s="4">
        <v>1537.67</v>
      </c>
      <c r="J1413" s="4">
        <v>23534.49</v>
      </c>
      <c r="K1413" s="3">
        <v>228</v>
      </c>
      <c r="L1413" s="2" t="s">
        <v>2539</v>
      </c>
      <c r="M1413" s="2" t="s">
        <v>2546</v>
      </c>
      <c r="N1413" s="8">
        <f>IFERROR(G1413/F1413,0)</f>
        <v>8.5774946921443732E-2</v>
      </c>
      <c r="O1413" s="8">
        <f>IFERROR(H1413/G1413,0)</f>
        <v>2.9023490584352551E-2</v>
      </c>
      <c r="P1413" s="4">
        <f>IFERROR(I1413/G1413,0)</f>
        <v>0.14925936711318191</v>
      </c>
      <c r="Q1413" s="4">
        <f>IFERROR(I1413/H1413,0)</f>
        <v>5.1427090301003346</v>
      </c>
      <c r="R1413" s="12">
        <f>IFERROR(J1413/I1413,0)</f>
        <v>15.305293073286206</v>
      </c>
      <c r="S1413" s="7">
        <f>Tabla_nuevas_columnas[[#This Row],[ROAS]]</f>
        <v>15.305293073286206</v>
      </c>
      <c r="T1413" t="str">
        <f>_xlfn.CONCAT(C1413,"-",D1413)</f>
        <v>Affiliate-Portugal</v>
      </c>
      <c r="U1413">
        <f>YEAR(A1413)</f>
        <v>2025</v>
      </c>
      <c r="V1413">
        <f>MONTH(A1413)</f>
        <v>11</v>
      </c>
      <c r="W1413" t="str">
        <f>PROPER(TEXT(A1413,"mmmm"))</f>
        <v>Noviembre</v>
      </c>
      <c r="X1413" t="str">
        <f>PROPER(TEXT(A1413,"dddd"))</f>
        <v>Domingo</v>
      </c>
      <c r="Y1413" t="str" cm="1">
        <f t="array" ref="Y1413">_xlfn.IFS(R1413&gt;10,"Excelente",R1413&gt;=5,"Bueno",R1413&gt;=2,"Débil",R1413&lt;2,"Deficiente")</f>
        <v>Excelente</v>
      </c>
      <c r="Z1413" t="str">
        <f>IF(AND(R1413&lt;2,Q1413&gt;=100),"Revisar","OK")</f>
        <v>OK</v>
      </c>
      <c r="AA1413" s="55">
        <f>_xlfn.XLOOKUP(C1413,'Preguntas de negocio'!$C$114:$C$119,'Preguntas de negocio'!$D$114:$D$119,0)</f>
        <v>4.5</v>
      </c>
      <c r="AB1413" s="55">
        <f>VLOOKUP(C1413,'Preguntas de negocio'!$C$121:$D$127,2,FALSE)</f>
        <v>0.35</v>
      </c>
    </row>
    <row r="1414" spans="1:28" x14ac:dyDescent="0.3">
      <c r="A1414" s="1">
        <v>45898</v>
      </c>
      <c r="B1414" s="2" t="s">
        <v>2637</v>
      </c>
      <c r="C1414" s="2" t="s">
        <v>2521</v>
      </c>
      <c r="D1414" s="2" t="s">
        <v>2528</v>
      </c>
      <c r="E1414" s="2" t="s">
        <v>2529</v>
      </c>
      <c r="F1414" s="3">
        <v>36498</v>
      </c>
      <c r="G1414" s="3">
        <v>2356</v>
      </c>
      <c r="H1414" s="3">
        <v>299</v>
      </c>
      <c r="I1414" s="4">
        <v>486.73</v>
      </c>
      <c r="J1414" s="4">
        <v>40535.910000000003</v>
      </c>
      <c r="K1414" s="3">
        <v>231</v>
      </c>
      <c r="L1414" s="2" t="s">
        <v>2523</v>
      </c>
      <c r="M1414" s="2" t="s">
        <v>2526</v>
      </c>
      <c r="N1414" s="8">
        <f>IFERROR(G1414/F1414,0)</f>
        <v>6.4551482273001254E-2</v>
      </c>
      <c r="O1414" s="8">
        <f>IFERROR(H1414/G1414,0)</f>
        <v>0.1269100169779287</v>
      </c>
      <c r="P1414" s="4">
        <f>IFERROR(I1414/G1414,0)</f>
        <v>0.20659168081494059</v>
      </c>
      <c r="Q1414" s="4">
        <f>IFERROR(I1414/H1414,0)</f>
        <v>1.6278595317725753</v>
      </c>
      <c r="R1414" s="12">
        <f>IFERROR(J1414/I1414,0)</f>
        <v>83.282127668317145</v>
      </c>
      <c r="S1414" s="7">
        <f>Tabla_nuevas_columnas[[#This Row],[ROAS]]</f>
        <v>83.282127668317145</v>
      </c>
      <c r="T1414" t="str">
        <f>_xlfn.CONCAT(C1414,"-",D1414)</f>
        <v>Paid Search-España</v>
      </c>
      <c r="U1414">
        <f>YEAR(A1414)</f>
        <v>2025</v>
      </c>
      <c r="V1414">
        <f>MONTH(A1414)</f>
        <v>8</v>
      </c>
      <c r="W1414" t="str">
        <f>PROPER(TEXT(A1414,"mmmm"))</f>
        <v>Agosto</v>
      </c>
      <c r="X1414" t="str">
        <f>PROPER(TEXT(A1414,"dddd"))</f>
        <v>Viernes</v>
      </c>
      <c r="Y1414" t="str" cm="1">
        <f t="array" ref="Y1414">_xlfn.IFS(R1414&gt;10,"Excelente",R1414&gt;=5,"Bueno",R1414&gt;=2,"Débil",R1414&lt;2,"Deficiente")</f>
        <v>Excelente</v>
      </c>
      <c r="Z1414" t="str">
        <f>IF(AND(R1414&lt;2,Q1414&gt;=100),"Revisar","OK")</f>
        <v>OK</v>
      </c>
      <c r="AA1414" s="55">
        <f>_xlfn.XLOOKUP(C1414,'Preguntas de negocio'!$C$114:$C$119,'Preguntas de negocio'!$D$114:$D$119,0)</f>
        <v>5</v>
      </c>
      <c r="AB1414" s="55">
        <f>VLOOKUP(C1414,'Preguntas de negocio'!$C$121:$D$127,2,FALSE)</f>
        <v>1.1000000000000001</v>
      </c>
    </row>
    <row r="1415" spans="1:28" x14ac:dyDescent="0.3">
      <c r="A1415" s="1">
        <v>45845</v>
      </c>
      <c r="B1415" s="2" t="s">
        <v>2641</v>
      </c>
      <c r="C1415" s="2" t="s">
        <v>2543</v>
      </c>
      <c r="D1415" s="2" t="s">
        <v>2645</v>
      </c>
      <c r="E1415" s="2" t="s">
        <v>2529</v>
      </c>
      <c r="F1415" s="3">
        <v>169826</v>
      </c>
      <c r="G1415" s="3">
        <v>12317</v>
      </c>
      <c r="H1415" s="3">
        <v>344</v>
      </c>
      <c r="I1415" s="4">
        <v>16000.14</v>
      </c>
      <c r="J1415" s="4">
        <v>22173.88</v>
      </c>
      <c r="K1415" s="3">
        <v>226</v>
      </c>
      <c r="L1415" s="2" t="s">
        <v>2518</v>
      </c>
      <c r="M1415" s="2" t="s">
        <v>2524</v>
      </c>
      <c r="N1415" s="8">
        <f>IFERROR(G1415/F1415,0)</f>
        <v>7.2527174873105407E-2</v>
      </c>
      <c r="O1415" s="8">
        <f>IFERROR(H1415/G1415,0)</f>
        <v>2.7928878785418526E-2</v>
      </c>
      <c r="P1415" s="4">
        <f>IFERROR(I1415/G1415,0)</f>
        <v>1.2990289843306</v>
      </c>
      <c r="Q1415" s="4">
        <f>IFERROR(I1415/H1415,0)</f>
        <v>46.512034883720929</v>
      </c>
      <c r="R1415" s="12">
        <f>IFERROR(J1415/I1415,0)</f>
        <v>1.3858553737654797</v>
      </c>
      <c r="S1415" s="7">
        <f>Tabla_nuevas_columnas[[#This Row],[ROAS]]</f>
        <v>1.3858553737654797</v>
      </c>
      <c r="T1415" t="str">
        <f>_xlfn.CONCAT(C1415,"-",D1415)</f>
        <v>Organic Social-Por identificar</v>
      </c>
      <c r="U1415">
        <f>YEAR(A1415)</f>
        <v>2025</v>
      </c>
      <c r="V1415">
        <f>MONTH(A1415)</f>
        <v>7</v>
      </c>
      <c r="W1415" t="str">
        <f>PROPER(TEXT(A1415,"mmmm"))</f>
        <v>Julio</v>
      </c>
      <c r="X1415" t="str">
        <f>PROPER(TEXT(A1415,"dddd"))</f>
        <v>Lunes</v>
      </c>
      <c r="Y1415" t="str" cm="1">
        <f t="array" ref="Y1415">_xlfn.IFS(R1415&gt;10,"Excelente",R1415&gt;=5,"Bueno",R1415&gt;=2,"Débil",R1415&lt;2,"Deficiente")</f>
        <v>Deficiente</v>
      </c>
      <c r="Z1415" t="str">
        <f>IF(AND(R1415&lt;2,Q1415&gt;=100),"Revisar","OK")</f>
        <v>OK</v>
      </c>
      <c r="AA1415" s="55">
        <f>_xlfn.XLOOKUP(C1415,'Preguntas de negocio'!$C$114:$C$119,'Preguntas de negocio'!$D$114:$D$119,0)</f>
        <v>4</v>
      </c>
      <c r="AB1415" s="55">
        <f>VLOOKUP(C1415,'Preguntas de negocio'!$C$121:$D$127,2,FALSE)</f>
        <v>0.95</v>
      </c>
    </row>
    <row r="1416" spans="1:28" x14ac:dyDescent="0.3">
      <c r="A1416" s="1">
        <v>45723</v>
      </c>
      <c r="B1416" s="2" t="s">
        <v>2640</v>
      </c>
      <c r="C1416" s="2" t="s">
        <v>2541</v>
      </c>
      <c r="D1416" s="2" t="s">
        <v>2531</v>
      </c>
      <c r="E1416" s="2" t="s">
        <v>2517</v>
      </c>
      <c r="F1416" s="3">
        <v>31003</v>
      </c>
      <c r="G1416" s="3">
        <v>553</v>
      </c>
      <c r="H1416" s="3">
        <v>35</v>
      </c>
      <c r="I1416" s="4">
        <v>680.31</v>
      </c>
      <c r="J1416" s="4">
        <v>2094.81</v>
      </c>
      <c r="K1416" s="3">
        <v>22</v>
      </c>
      <c r="L1416" s="2" t="s">
        <v>2539</v>
      </c>
      <c r="M1416" s="2" t="s">
        <v>2546</v>
      </c>
      <c r="N1416" s="8">
        <f>IFERROR(G1416/F1416,0)</f>
        <v>1.783698351772409E-2</v>
      </c>
      <c r="O1416" s="8">
        <f>IFERROR(H1416/G1416,0)</f>
        <v>6.3291139240506333E-2</v>
      </c>
      <c r="P1416" s="4">
        <f>IFERROR(I1416/G1416,0)</f>
        <v>1.2302169981916817</v>
      </c>
      <c r="Q1416" s="4">
        <f>IFERROR(I1416/H1416,0)</f>
        <v>19.437428571428569</v>
      </c>
      <c r="R1416" s="12">
        <f>IFERROR(J1416/I1416,0)</f>
        <v>3.079199188605195</v>
      </c>
      <c r="S1416" s="7">
        <f>Tabla_nuevas_columnas[[#This Row],[ROAS]]</f>
        <v>3.079199188605195</v>
      </c>
      <c r="T1416" t="str">
        <f>_xlfn.CONCAT(C1416,"-",D1416)</f>
        <v>Display-Portugal</v>
      </c>
      <c r="U1416">
        <f>YEAR(A1416)</f>
        <v>2025</v>
      </c>
      <c r="V1416">
        <f>MONTH(A1416)</f>
        <v>3</v>
      </c>
      <c r="W1416" t="str">
        <f>PROPER(TEXT(A1416,"mmmm"))</f>
        <v>Marzo</v>
      </c>
      <c r="X1416" t="str">
        <f>PROPER(TEXT(A1416,"dddd"))</f>
        <v>Viernes</v>
      </c>
      <c r="Y1416" t="str" cm="1">
        <f t="array" ref="Y1416">_xlfn.IFS(R1416&gt;10,"Excelente",R1416&gt;=5,"Bueno",R1416&gt;=2,"Débil",R1416&lt;2,"Deficiente")</f>
        <v>Débil</v>
      </c>
      <c r="Z1416" t="str">
        <f>IF(AND(R1416&lt;2,Q1416&gt;=100),"Revisar","OK")</f>
        <v>OK</v>
      </c>
      <c r="AA1416" s="55">
        <f>_xlfn.XLOOKUP(C1416,'Preguntas de negocio'!$C$114:$C$119,'Preguntas de negocio'!$D$114:$D$119,0)</f>
        <v>5</v>
      </c>
      <c r="AB1416" s="55">
        <f>VLOOKUP(C1416,'Preguntas de negocio'!$C$121:$D$127,2,FALSE)</f>
        <v>0.5</v>
      </c>
    </row>
    <row r="1417" spans="1:28" x14ac:dyDescent="0.3">
      <c r="A1417" s="1">
        <v>45901</v>
      </c>
      <c r="B1417" s="2" t="s">
        <v>2627</v>
      </c>
      <c r="C1417" s="2" t="s">
        <v>2527</v>
      </c>
      <c r="D1417" s="2" t="s">
        <v>2528</v>
      </c>
      <c r="E1417" s="2" t="s">
        <v>2529</v>
      </c>
      <c r="F1417" s="3">
        <v>14291</v>
      </c>
      <c r="G1417" s="3">
        <v>1198</v>
      </c>
      <c r="H1417" s="3">
        <v>152</v>
      </c>
      <c r="I1417" s="4">
        <v>2139.21</v>
      </c>
      <c r="J1417" s="4">
        <v>19147.919999999998</v>
      </c>
      <c r="K1417" s="3">
        <v>96</v>
      </c>
      <c r="L1417" s="2" t="s">
        <v>2518</v>
      </c>
      <c r="M1417" s="2" t="s">
        <v>2526</v>
      </c>
      <c r="N1417" s="8">
        <f>IFERROR(G1417/F1417,0)</f>
        <v>8.3828983276187805E-2</v>
      </c>
      <c r="O1417" s="8">
        <f>IFERROR(H1417/G1417,0)</f>
        <v>0.12687813021702837</v>
      </c>
      <c r="P1417" s="4">
        <f>IFERROR(I1417/G1417,0)</f>
        <v>1.7856510851419032</v>
      </c>
      <c r="Q1417" s="4">
        <f>IFERROR(I1417/H1417,0)</f>
        <v>14.07375</v>
      </c>
      <c r="R1417" s="12">
        <f>IFERROR(J1417/I1417,0)</f>
        <v>8.9509304836832282</v>
      </c>
      <c r="S1417" s="7">
        <f>Tabla_nuevas_columnas[[#This Row],[ROAS]]</f>
        <v>8.9509304836832282</v>
      </c>
      <c r="T1417" t="str">
        <f>_xlfn.CONCAT(C1417,"-",D1417)</f>
        <v>Affiliate-España</v>
      </c>
      <c r="U1417">
        <f>YEAR(A1417)</f>
        <v>2025</v>
      </c>
      <c r="V1417">
        <f>MONTH(A1417)</f>
        <v>9</v>
      </c>
      <c r="W1417" t="str">
        <f>PROPER(TEXT(A1417,"mmmm"))</f>
        <v>Septiembre</v>
      </c>
      <c r="X1417" t="str">
        <f>PROPER(TEXT(A1417,"dddd"))</f>
        <v>Lunes</v>
      </c>
      <c r="Y1417" t="str" cm="1">
        <f t="array" ref="Y1417">_xlfn.IFS(R1417&gt;10,"Excelente",R1417&gt;=5,"Bueno",R1417&gt;=2,"Débil",R1417&lt;2,"Deficiente")</f>
        <v>Bueno</v>
      </c>
      <c r="Z1417" t="str">
        <f>IF(AND(R1417&lt;2,Q1417&gt;=100),"Revisar","OK")</f>
        <v>OK</v>
      </c>
      <c r="AA1417" s="55">
        <f>_xlfn.XLOOKUP(C1417,'Preguntas de negocio'!$C$114:$C$119,'Preguntas de negocio'!$D$114:$D$119,0)</f>
        <v>4.5</v>
      </c>
      <c r="AB1417" s="55">
        <f>VLOOKUP(C1417,'Preguntas de negocio'!$C$121:$D$127,2,FALSE)</f>
        <v>0.35</v>
      </c>
    </row>
    <row r="1418" spans="1:28" x14ac:dyDescent="0.3">
      <c r="A1418" s="1">
        <v>45703</v>
      </c>
      <c r="B1418" s="2" t="s">
        <v>2637</v>
      </c>
      <c r="C1418" s="2" t="s">
        <v>2515</v>
      </c>
      <c r="D1418" s="2" t="s">
        <v>2531</v>
      </c>
      <c r="E1418" s="2" t="s">
        <v>2517</v>
      </c>
      <c r="F1418" s="3">
        <v>71668</v>
      </c>
      <c r="G1418" s="3">
        <v>5069</v>
      </c>
      <c r="H1418" s="3">
        <v>594</v>
      </c>
      <c r="I1418" s="4">
        <v>7828.79</v>
      </c>
      <c r="J1418" s="4">
        <v>54460.88</v>
      </c>
      <c r="K1418" s="3">
        <v>309</v>
      </c>
      <c r="L1418" s="2" t="s">
        <v>2518</v>
      </c>
      <c r="M1418" s="2" t="s">
        <v>2526</v>
      </c>
      <c r="N1418" s="8">
        <f>IFERROR(G1418/F1418,0)</f>
        <v>7.072891667131774E-2</v>
      </c>
      <c r="O1418" s="8">
        <f>IFERROR(H1418/G1418,0)</f>
        <v>0.1171828763069639</v>
      </c>
      <c r="P1418" s="4">
        <f>IFERROR(I1418/G1418,0)</f>
        <v>1.5444446636417439</v>
      </c>
      <c r="Q1418" s="4">
        <f>IFERROR(I1418/H1418,0)</f>
        <v>13.179781144781145</v>
      </c>
      <c r="R1418" s="12">
        <f>IFERROR(J1418/I1418,0)</f>
        <v>6.9564875287241064</v>
      </c>
      <c r="S1418" s="7">
        <f>Tabla_nuevas_columnas[[#This Row],[ROAS]]</f>
        <v>6.9564875287241064</v>
      </c>
      <c r="T1418" t="str">
        <f>_xlfn.CONCAT(C1418,"-",D1418)</f>
        <v>Email-Portugal</v>
      </c>
      <c r="U1418">
        <f>YEAR(A1418)</f>
        <v>2025</v>
      </c>
      <c r="V1418">
        <f>MONTH(A1418)</f>
        <v>2</v>
      </c>
      <c r="W1418" t="str">
        <f>PROPER(TEXT(A1418,"mmmm"))</f>
        <v>Febrero</v>
      </c>
      <c r="X1418" t="str">
        <f>PROPER(TEXT(A1418,"dddd"))</f>
        <v>Sábado</v>
      </c>
      <c r="Y1418" t="str" cm="1">
        <f t="array" ref="Y1418">_xlfn.IFS(R1418&gt;10,"Excelente",R1418&gt;=5,"Bueno",R1418&gt;=2,"Débil",R1418&lt;2,"Deficiente")</f>
        <v>Bueno</v>
      </c>
      <c r="Z1418" t="str">
        <f>IF(AND(R1418&lt;2,Q1418&gt;=100),"Revisar","OK")</f>
        <v>OK</v>
      </c>
      <c r="AA1418" s="55">
        <f>_xlfn.XLOOKUP(C1418,'Preguntas de negocio'!$C$114:$C$119,'Preguntas de negocio'!$D$114:$D$119,0)</f>
        <v>5.5</v>
      </c>
      <c r="AB1418" s="55">
        <f>VLOOKUP(C1418,'Preguntas de negocio'!$C$121:$D$127,2,FALSE)</f>
        <v>0.65</v>
      </c>
    </row>
    <row r="1419" spans="1:28" x14ac:dyDescent="0.3">
      <c r="A1419" s="1">
        <v>45853</v>
      </c>
      <c r="B1419" s="2" t="s">
        <v>2627</v>
      </c>
      <c r="C1419" s="2" t="s">
        <v>2521</v>
      </c>
      <c r="D1419" s="2" t="s">
        <v>2531</v>
      </c>
      <c r="E1419" s="2" t="s">
        <v>2529</v>
      </c>
      <c r="F1419" s="3">
        <v>47262</v>
      </c>
      <c r="G1419" s="3">
        <v>399</v>
      </c>
      <c r="H1419" s="3">
        <v>43</v>
      </c>
      <c r="I1419" s="4">
        <v>123.13</v>
      </c>
      <c r="J1419" s="4">
        <v>3262.63</v>
      </c>
      <c r="K1419" s="3">
        <v>30</v>
      </c>
      <c r="L1419" s="2" t="s">
        <v>2518</v>
      </c>
      <c r="M1419" s="2" t="s">
        <v>2546</v>
      </c>
      <c r="N1419" s="8">
        <f>IFERROR(G1419/F1419,0)</f>
        <v>8.4423003681604672E-3</v>
      </c>
      <c r="O1419" s="8">
        <f>IFERROR(H1419/G1419,0)</f>
        <v>0.10776942355889724</v>
      </c>
      <c r="P1419" s="4">
        <f>IFERROR(I1419/G1419,0)</f>
        <v>0.30859649122807015</v>
      </c>
      <c r="Q1419" s="4">
        <f>IFERROR(I1419/H1419,0)</f>
        <v>2.8634883720930233</v>
      </c>
      <c r="R1419" s="12">
        <f>IFERROR(J1419/I1419,0)</f>
        <v>26.497441728254692</v>
      </c>
      <c r="S1419" s="7">
        <f>Tabla_nuevas_columnas[[#This Row],[ROAS]]</f>
        <v>26.497441728254692</v>
      </c>
      <c r="T1419" t="str">
        <f>_xlfn.CONCAT(C1419,"-",D1419)</f>
        <v>Paid Search-Portugal</v>
      </c>
      <c r="U1419">
        <f>YEAR(A1419)</f>
        <v>2025</v>
      </c>
      <c r="V1419">
        <f>MONTH(A1419)</f>
        <v>7</v>
      </c>
      <c r="W1419" t="str">
        <f>PROPER(TEXT(A1419,"mmmm"))</f>
        <v>Julio</v>
      </c>
      <c r="X1419" t="str">
        <f>PROPER(TEXT(A1419,"dddd"))</f>
        <v>Martes</v>
      </c>
      <c r="Y1419" t="str" cm="1">
        <f t="array" ref="Y1419">_xlfn.IFS(R1419&gt;10,"Excelente",R1419&gt;=5,"Bueno",R1419&gt;=2,"Débil",R1419&lt;2,"Deficiente")</f>
        <v>Excelente</v>
      </c>
      <c r="Z1419" t="str">
        <f>IF(AND(R1419&lt;2,Q1419&gt;=100),"Revisar","OK")</f>
        <v>OK</v>
      </c>
      <c r="AA1419" s="55">
        <f>_xlfn.XLOOKUP(C1419,'Preguntas de negocio'!$C$114:$C$119,'Preguntas de negocio'!$D$114:$D$119,0)</f>
        <v>5</v>
      </c>
      <c r="AB1419" s="55">
        <f>VLOOKUP(C1419,'Preguntas de negocio'!$C$121:$D$127,2,FALSE)</f>
        <v>1.1000000000000001</v>
      </c>
    </row>
    <row r="1420" spans="1:28" x14ac:dyDescent="0.3">
      <c r="A1420" s="1">
        <v>45908</v>
      </c>
      <c r="B1420" s="2" t="s">
        <v>2641</v>
      </c>
      <c r="C1420" s="2" t="s">
        <v>2515</v>
      </c>
      <c r="D1420" s="2" t="s">
        <v>2531</v>
      </c>
      <c r="E1420" s="2" t="s">
        <v>2517</v>
      </c>
      <c r="F1420" s="3">
        <v>103575</v>
      </c>
      <c r="G1420" s="3">
        <v>1136</v>
      </c>
      <c r="H1420" s="3">
        <v>82</v>
      </c>
      <c r="I1420" s="4">
        <v>2365.1999999999998</v>
      </c>
      <c r="J1420" s="4">
        <v>4606.62</v>
      </c>
      <c r="K1420" s="3">
        <v>45</v>
      </c>
      <c r="L1420" s="2" t="s">
        <v>2539</v>
      </c>
      <c r="M1420" s="2" t="s">
        <v>2524</v>
      </c>
      <c r="N1420" s="8">
        <f>IFERROR(G1420/F1420,0)</f>
        <v>1.0967897658701424E-2</v>
      </c>
      <c r="O1420" s="8">
        <f>IFERROR(H1420/G1420,0)</f>
        <v>7.2183098591549297E-2</v>
      </c>
      <c r="P1420" s="4">
        <f>IFERROR(I1420/G1420,0)</f>
        <v>2.0820422535211267</v>
      </c>
      <c r="Q1420" s="4">
        <f>IFERROR(I1420/H1420,0)</f>
        <v>28.843902439024387</v>
      </c>
      <c r="R1420" s="12">
        <f>IFERROR(J1420/I1420,0)</f>
        <v>1.9476661593099951</v>
      </c>
      <c r="S1420" s="7">
        <f>Tabla_nuevas_columnas[[#This Row],[ROAS]]</f>
        <v>1.9476661593099951</v>
      </c>
      <c r="T1420" t="str">
        <f>_xlfn.CONCAT(C1420,"-",D1420)</f>
        <v>Email-Portugal</v>
      </c>
      <c r="U1420">
        <f>YEAR(A1420)</f>
        <v>2025</v>
      </c>
      <c r="V1420">
        <f>MONTH(A1420)</f>
        <v>9</v>
      </c>
      <c r="W1420" t="str">
        <f>PROPER(TEXT(A1420,"mmmm"))</f>
        <v>Septiembre</v>
      </c>
      <c r="X1420" t="str">
        <f>PROPER(TEXT(A1420,"dddd"))</f>
        <v>Lunes</v>
      </c>
      <c r="Y1420" t="str" cm="1">
        <f t="array" ref="Y1420">_xlfn.IFS(R1420&gt;10,"Excelente",R1420&gt;=5,"Bueno",R1420&gt;=2,"Débil",R1420&lt;2,"Deficiente")</f>
        <v>Deficiente</v>
      </c>
      <c r="Z1420" t="str">
        <f>IF(AND(R1420&lt;2,Q1420&gt;=100),"Revisar","OK")</f>
        <v>OK</v>
      </c>
      <c r="AA1420" s="55">
        <f>_xlfn.XLOOKUP(C1420,'Preguntas de negocio'!$C$114:$C$119,'Preguntas de negocio'!$D$114:$D$119,0)</f>
        <v>5.5</v>
      </c>
      <c r="AB1420" s="55">
        <f>VLOOKUP(C1420,'Preguntas de negocio'!$C$121:$D$127,2,FALSE)</f>
        <v>0.65</v>
      </c>
    </row>
    <row r="1421" spans="1:28" x14ac:dyDescent="0.3">
      <c r="A1421" s="1">
        <v>45871</v>
      </c>
      <c r="B1421" s="2" t="s">
        <v>2623</v>
      </c>
      <c r="C1421" s="2" t="s">
        <v>2521</v>
      </c>
      <c r="D1421" s="2" t="s">
        <v>2531</v>
      </c>
      <c r="E1421" s="2" t="s">
        <v>2529</v>
      </c>
      <c r="F1421" s="3">
        <v>141767</v>
      </c>
      <c r="G1421" s="3">
        <v>6496</v>
      </c>
      <c r="H1421" s="3">
        <v>657</v>
      </c>
      <c r="I1421" s="4">
        <v>1147.97</v>
      </c>
      <c r="J1421" s="4">
        <v>21812.31</v>
      </c>
      <c r="K1421" s="3">
        <v>573</v>
      </c>
      <c r="L1421" s="2" t="s">
        <v>2523</v>
      </c>
      <c r="M1421" s="2" t="s">
        <v>2537</v>
      </c>
      <c r="N1421" s="8">
        <f>IFERROR(G1421/F1421,0)</f>
        <v>4.5821665126580938E-2</v>
      </c>
      <c r="O1421" s="8">
        <f>IFERROR(H1421/G1421,0)</f>
        <v>0.10113916256157636</v>
      </c>
      <c r="P1421" s="4">
        <f>IFERROR(I1421/G1421,0)</f>
        <v>0.1767195197044335</v>
      </c>
      <c r="Q1421" s="4">
        <f>IFERROR(I1421/H1421,0)</f>
        <v>1.7472907153729071</v>
      </c>
      <c r="R1421" s="12">
        <f>IFERROR(J1421/I1421,0)</f>
        <v>19.00076657055498</v>
      </c>
      <c r="S1421" s="7">
        <f>Tabla_nuevas_columnas[[#This Row],[ROAS]]</f>
        <v>19.00076657055498</v>
      </c>
      <c r="T1421" t="str">
        <f>_xlfn.CONCAT(C1421,"-",D1421)</f>
        <v>Paid Search-Portugal</v>
      </c>
      <c r="U1421">
        <f>YEAR(A1421)</f>
        <v>2025</v>
      </c>
      <c r="V1421">
        <f>MONTH(A1421)</f>
        <v>8</v>
      </c>
      <c r="W1421" t="str">
        <f>PROPER(TEXT(A1421,"mmmm"))</f>
        <v>Agosto</v>
      </c>
      <c r="X1421" t="str">
        <f>PROPER(TEXT(A1421,"dddd"))</f>
        <v>Sábado</v>
      </c>
      <c r="Y1421" t="str" cm="1">
        <f t="array" ref="Y1421">_xlfn.IFS(R1421&gt;10,"Excelente",R1421&gt;=5,"Bueno",R1421&gt;=2,"Débil",R1421&lt;2,"Deficiente")</f>
        <v>Excelente</v>
      </c>
      <c r="Z1421" t="str">
        <f>IF(AND(R1421&lt;2,Q1421&gt;=100),"Revisar","OK")</f>
        <v>OK</v>
      </c>
      <c r="AA1421" s="55">
        <f>_xlfn.XLOOKUP(C1421,'Preguntas de negocio'!$C$114:$C$119,'Preguntas de negocio'!$D$114:$D$119,0)</f>
        <v>5</v>
      </c>
      <c r="AB1421" s="55">
        <f>VLOOKUP(C1421,'Preguntas de negocio'!$C$121:$D$127,2,FALSE)</f>
        <v>1.1000000000000001</v>
      </c>
    </row>
    <row r="1422" spans="1:28" x14ac:dyDescent="0.3">
      <c r="A1422" s="1">
        <v>45775</v>
      </c>
      <c r="B1422" s="2" t="s">
        <v>2636</v>
      </c>
      <c r="C1422" s="2" t="s">
        <v>2541</v>
      </c>
      <c r="D1422" s="2" t="s">
        <v>2522</v>
      </c>
      <c r="E1422" s="2" t="s">
        <v>2517</v>
      </c>
      <c r="F1422" s="3">
        <v>78313</v>
      </c>
      <c r="G1422" s="3">
        <v>1331</v>
      </c>
      <c r="H1422" s="3">
        <v>93</v>
      </c>
      <c r="I1422" s="4">
        <v>1476.85</v>
      </c>
      <c r="J1422" s="4">
        <v>11856.12</v>
      </c>
      <c r="K1422" s="3">
        <v>79</v>
      </c>
      <c r="L1422" s="2" t="s">
        <v>2518</v>
      </c>
      <c r="M1422" s="2" t="s">
        <v>2519</v>
      </c>
      <c r="N1422" s="8">
        <f>IFERROR(G1422/F1422,0)</f>
        <v>1.699590106368036E-2</v>
      </c>
      <c r="O1422" s="8">
        <f>IFERROR(H1422/G1422,0)</f>
        <v>6.9872276483846738E-2</v>
      </c>
      <c r="P1422" s="4">
        <f>IFERROR(I1422/G1422,0)</f>
        <v>1.109579263711495</v>
      </c>
      <c r="Q1422" s="4">
        <f>IFERROR(I1422/H1422,0)</f>
        <v>15.880107526881719</v>
      </c>
      <c r="R1422" s="12">
        <f>IFERROR(J1422/I1422,0)</f>
        <v>8.0279784676845996</v>
      </c>
      <c r="S1422" s="7">
        <f>Tabla_nuevas_columnas[[#This Row],[ROAS]]</f>
        <v>8.0279784676845996</v>
      </c>
      <c r="T1422" t="str">
        <f>_xlfn.CONCAT(C1422,"-",D1422)</f>
        <v>Display-Italia</v>
      </c>
      <c r="U1422">
        <f>YEAR(A1422)</f>
        <v>2025</v>
      </c>
      <c r="V1422">
        <f>MONTH(A1422)</f>
        <v>4</v>
      </c>
      <c r="W1422" t="str">
        <f>PROPER(TEXT(A1422,"mmmm"))</f>
        <v>Abril</v>
      </c>
      <c r="X1422" t="str">
        <f>PROPER(TEXT(A1422,"dddd"))</f>
        <v>Lunes</v>
      </c>
      <c r="Y1422" t="str" cm="1">
        <f t="array" ref="Y1422">_xlfn.IFS(R1422&gt;10,"Excelente",R1422&gt;=5,"Bueno",R1422&gt;=2,"Débil",R1422&lt;2,"Deficiente")</f>
        <v>Bueno</v>
      </c>
      <c r="Z1422" t="str">
        <f>IF(AND(R1422&lt;2,Q1422&gt;=100),"Revisar","OK")</f>
        <v>OK</v>
      </c>
      <c r="AA1422" s="55">
        <f>_xlfn.XLOOKUP(C1422,'Preguntas de negocio'!$C$114:$C$119,'Preguntas de negocio'!$D$114:$D$119,0)</f>
        <v>5</v>
      </c>
      <c r="AB1422" s="55">
        <f>VLOOKUP(C1422,'Preguntas de negocio'!$C$121:$D$127,2,FALSE)</f>
        <v>0.5</v>
      </c>
    </row>
    <row r="1423" spans="1:28" x14ac:dyDescent="0.3">
      <c r="A1423" s="1">
        <v>45695</v>
      </c>
      <c r="B1423" s="2" t="s">
        <v>2641</v>
      </c>
      <c r="C1423" s="2" t="s">
        <v>2521</v>
      </c>
      <c r="D1423" s="2" t="s">
        <v>2528</v>
      </c>
      <c r="E1423" s="2" t="s">
        <v>2529</v>
      </c>
      <c r="F1423" s="3">
        <v>97509</v>
      </c>
      <c r="G1423" s="3">
        <v>1056</v>
      </c>
      <c r="H1423" s="3">
        <v>109</v>
      </c>
      <c r="I1423" s="4">
        <v>197.82</v>
      </c>
      <c r="J1423" s="4">
        <v>6537.22</v>
      </c>
      <c r="K1423" s="3">
        <v>55</v>
      </c>
      <c r="L1423" s="2" t="s">
        <v>2518</v>
      </c>
      <c r="M1423" s="2" t="s">
        <v>2537</v>
      </c>
      <c r="N1423" s="8">
        <f>IFERROR(G1423/F1423,0)</f>
        <v>1.0829769559732947E-2</v>
      </c>
      <c r="O1423" s="8">
        <f>IFERROR(H1423/G1423,0)</f>
        <v>0.10321969696969698</v>
      </c>
      <c r="P1423" s="4">
        <f>IFERROR(I1423/G1423,0)</f>
        <v>0.18732954545454544</v>
      </c>
      <c r="Q1423" s="4">
        <f>IFERROR(I1423/H1423,0)</f>
        <v>1.8148623853211008</v>
      </c>
      <c r="R1423" s="12">
        <f>IFERROR(J1423/I1423,0)</f>
        <v>33.046304721463962</v>
      </c>
      <c r="S1423" s="7">
        <f>Tabla_nuevas_columnas[[#This Row],[ROAS]]</f>
        <v>33.046304721463962</v>
      </c>
      <c r="T1423" t="str">
        <f>_xlfn.CONCAT(C1423,"-",D1423)</f>
        <v>Paid Search-España</v>
      </c>
      <c r="U1423">
        <f>YEAR(A1423)</f>
        <v>2025</v>
      </c>
      <c r="V1423">
        <f>MONTH(A1423)</f>
        <v>2</v>
      </c>
      <c r="W1423" t="str">
        <f>PROPER(TEXT(A1423,"mmmm"))</f>
        <v>Febrero</v>
      </c>
      <c r="X1423" t="str">
        <f>PROPER(TEXT(A1423,"dddd"))</f>
        <v>Viernes</v>
      </c>
      <c r="Y1423" t="str" cm="1">
        <f t="array" ref="Y1423">_xlfn.IFS(R1423&gt;10,"Excelente",R1423&gt;=5,"Bueno",R1423&gt;=2,"Débil",R1423&lt;2,"Deficiente")</f>
        <v>Excelente</v>
      </c>
      <c r="Z1423" t="str">
        <f>IF(AND(R1423&lt;2,Q1423&gt;=100),"Revisar","OK")</f>
        <v>OK</v>
      </c>
      <c r="AA1423" s="55">
        <f>_xlfn.XLOOKUP(C1423,'Preguntas de negocio'!$C$114:$C$119,'Preguntas de negocio'!$D$114:$D$119,0)</f>
        <v>5</v>
      </c>
      <c r="AB1423" s="55">
        <f>VLOOKUP(C1423,'Preguntas de negocio'!$C$121:$D$127,2,FALSE)</f>
        <v>1.1000000000000001</v>
      </c>
    </row>
    <row r="1424" spans="1:28" x14ac:dyDescent="0.3">
      <c r="A1424" s="1">
        <v>45770</v>
      </c>
      <c r="B1424" s="2" t="s">
        <v>2618</v>
      </c>
      <c r="C1424" s="2" t="s">
        <v>2521</v>
      </c>
      <c r="D1424" s="2" t="s">
        <v>2522</v>
      </c>
      <c r="E1424" s="2" t="s">
        <v>2534</v>
      </c>
      <c r="F1424" s="3">
        <v>43260</v>
      </c>
      <c r="G1424" s="3">
        <v>1015</v>
      </c>
      <c r="H1424" s="3">
        <v>110</v>
      </c>
      <c r="I1424" s="4">
        <v>1803.86</v>
      </c>
      <c r="J1424" s="4">
        <v>7877.76</v>
      </c>
      <c r="K1424" s="3">
        <v>91</v>
      </c>
      <c r="L1424" s="2" t="s">
        <v>2539</v>
      </c>
      <c r="M1424" s="2" t="s">
        <v>2526</v>
      </c>
      <c r="N1424" s="8">
        <f>IFERROR(G1424/F1424,0)</f>
        <v>2.3462783171521034E-2</v>
      </c>
      <c r="O1424" s="8">
        <f>IFERROR(H1424/G1424,0)</f>
        <v>0.10837438423645321</v>
      </c>
      <c r="P1424" s="4">
        <f>IFERROR(I1424/G1424,0)</f>
        <v>1.7772019704433497</v>
      </c>
      <c r="Q1424" s="4">
        <f>IFERROR(I1424/H1424,0)</f>
        <v>16.398727272727271</v>
      </c>
      <c r="R1424" s="12">
        <f>IFERROR(J1424/I1424,0)</f>
        <v>4.3671681837836642</v>
      </c>
      <c r="S1424" s="7">
        <f>Tabla_nuevas_columnas[[#This Row],[ROAS]]</f>
        <v>4.3671681837836642</v>
      </c>
      <c r="T1424" t="str">
        <f>_xlfn.CONCAT(C1424,"-",D1424)</f>
        <v>Paid Search-Italia</v>
      </c>
      <c r="U1424">
        <f>YEAR(A1424)</f>
        <v>2025</v>
      </c>
      <c r="V1424">
        <f>MONTH(A1424)</f>
        <v>4</v>
      </c>
      <c r="W1424" t="str">
        <f>PROPER(TEXT(A1424,"mmmm"))</f>
        <v>Abril</v>
      </c>
      <c r="X1424" t="str">
        <f>PROPER(TEXT(A1424,"dddd"))</f>
        <v>Miércoles</v>
      </c>
      <c r="Y1424" t="str" cm="1">
        <f t="array" ref="Y1424">_xlfn.IFS(R1424&gt;10,"Excelente",R1424&gt;=5,"Bueno",R1424&gt;=2,"Débil",R1424&lt;2,"Deficiente")</f>
        <v>Débil</v>
      </c>
      <c r="Z1424" t="str">
        <f>IF(AND(R1424&lt;2,Q1424&gt;=100),"Revisar","OK")</f>
        <v>OK</v>
      </c>
      <c r="AA1424" s="55">
        <f>_xlfn.XLOOKUP(C1424,'Preguntas de negocio'!$C$114:$C$119,'Preguntas de negocio'!$D$114:$D$119,0)</f>
        <v>5</v>
      </c>
      <c r="AB1424" s="55">
        <f>VLOOKUP(C1424,'Preguntas de negocio'!$C$121:$D$127,2,FALSE)</f>
        <v>1.1000000000000001</v>
      </c>
    </row>
    <row r="1425" spans="1:28" x14ac:dyDescent="0.3">
      <c r="A1425" s="1">
        <v>45889</v>
      </c>
      <c r="B1425" s="2" t="s">
        <v>2617</v>
      </c>
      <c r="C1425" s="2" t="s">
        <v>2515</v>
      </c>
      <c r="D1425" s="2" t="s">
        <v>2528</v>
      </c>
      <c r="E1425" s="2" t="s">
        <v>2517</v>
      </c>
      <c r="F1425" s="3">
        <v>105343</v>
      </c>
      <c r="G1425" s="3">
        <v>3588</v>
      </c>
      <c r="H1425" s="3">
        <v>250</v>
      </c>
      <c r="I1425" s="4">
        <v>2248.35</v>
      </c>
      <c r="J1425" s="4">
        <v>10991.46</v>
      </c>
      <c r="K1425" s="3">
        <v>167</v>
      </c>
      <c r="L1425" s="2" t="s">
        <v>2523</v>
      </c>
      <c r="M1425" s="2" t="s">
        <v>2537</v>
      </c>
      <c r="N1425" s="8">
        <f>IFERROR(G1425/F1425,0)</f>
        <v>3.4060165364570974E-2</v>
      </c>
      <c r="O1425" s="8">
        <f>IFERROR(H1425/G1425,0)</f>
        <v>6.967670011148272E-2</v>
      </c>
      <c r="P1425" s="4">
        <f>IFERROR(I1425/G1425,0)</f>
        <v>0.62663043478260871</v>
      </c>
      <c r="Q1425" s="4">
        <f>IFERROR(I1425/H1425,0)</f>
        <v>8.9933999999999994</v>
      </c>
      <c r="R1425" s="12">
        <f>IFERROR(J1425/I1425,0)</f>
        <v>4.8886783641336979</v>
      </c>
      <c r="S1425" s="7">
        <f>Tabla_nuevas_columnas[[#This Row],[ROAS]]</f>
        <v>4.8886783641336979</v>
      </c>
      <c r="T1425" t="str">
        <f>_xlfn.CONCAT(C1425,"-",D1425)</f>
        <v>Email-España</v>
      </c>
      <c r="U1425">
        <f>YEAR(A1425)</f>
        <v>2025</v>
      </c>
      <c r="V1425">
        <f>MONTH(A1425)</f>
        <v>8</v>
      </c>
      <c r="W1425" t="str">
        <f>PROPER(TEXT(A1425,"mmmm"))</f>
        <v>Agosto</v>
      </c>
      <c r="X1425" t="str">
        <f>PROPER(TEXT(A1425,"dddd"))</f>
        <v>Miércoles</v>
      </c>
      <c r="Y1425" t="str" cm="1">
        <f t="array" ref="Y1425">_xlfn.IFS(R1425&gt;10,"Excelente",R1425&gt;=5,"Bueno",R1425&gt;=2,"Débil",R1425&lt;2,"Deficiente")</f>
        <v>Débil</v>
      </c>
      <c r="Z1425" t="str">
        <f>IF(AND(R1425&lt;2,Q1425&gt;=100),"Revisar","OK")</f>
        <v>OK</v>
      </c>
      <c r="AA1425" s="55">
        <f>_xlfn.XLOOKUP(C1425,'Preguntas de negocio'!$C$114:$C$119,'Preguntas de negocio'!$D$114:$D$119,0)</f>
        <v>5.5</v>
      </c>
      <c r="AB1425" s="55">
        <f>VLOOKUP(C1425,'Preguntas de negocio'!$C$121:$D$127,2,FALSE)</f>
        <v>0.65</v>
      </c>
    </row>
    <row r="1426" spans="1:28" x14ac:dyDescent="0.3">
      <c r="A1426" s="1">
        <v>46002</v>
      </c>
      <c r="B1426" s="2" t="s">
        <v>2630</v>
      </c>
      <c r="C1426" s="2" t="s">
        <v>2543</v>
      </c>
      <c r="D1426" s="2" t="s">
        <v>2528</v>
      </c>
      <c r="E1426" s="2" t="s">
        <v>2517</v>
      </c>
      <c r="F1426" s="3">
        <v>59936</v>
      </c>
      <c r="G1426" s="3">
        <v>878</v>
      </c>
      <c r="H1426" s="3">
        <v>5</v>
      </c>
      <c r="I1426" s="4">
        <v>871.58</v>
      </c>
      <c r="J1426" s="4">
        <v>346.49</v>
      </c>
      <c r="K1426" s="3">
        <v>3</v>
      </c>
      <c r="L1426" s="2" t="s">
        <v>2518</v>
      </c>
      <c r="M1426" s="2" t="s">
        <v>2526</v>
      </c>
      <c r="N1426" s="8">
        <f>IFERROR(G1426/F1426,0)</f>
        <v>1.4648958889482115E-2</v>
      </c>
      <c r="O1426" s="8">
        <f>IFERROR(H1426/G1426,0)</f>
        <v>5.6947608200455585E-3</v>
      </c>
      <c r="P1426" s="4">
        <f>IFERROR(I1426/G1426,0)</f>
        <v>0.99268792710706155</v>
      </c>
      <c r="Q1426" s="4">
        <f>IFERROR(I1426/H1426,0)</f>
        <v>174.316</v>
      </c>
      <c r="R1426" s="12">
        <f>IFERROR(J1426/I1426,0)</f>
        <v>0.39754239427247068</v>
      </c>
      <c r="S1426" s="7">
        <f>Tabla_nuevas_columnas[[#This Row],[ROAS]]</f>
        <v>0.39754239427247068</v>
      </c>
      <c r="T1426" t="str">
        <f>_xlfn.CONCAT(C1426,"-",D1426)</f>
        <v>Organic Social-España</v>
      </c>
      <c r="U1426">
        <f>YEAR(A1426)</f>
        <v>2025</v>
      </c>
      <c r="V1426">
        <f>MONTH(A1426)</f>
        <v>12</v>
      </c>
      <c r="W1426" t="str">
        <f>PROPER(TEXT(A1426,"mmmm"))</f>
        <v>Diciembre</v>
      </c>
      <c r="X1426" t="str">
        <f>PROPER(TEXT(A1426,"dddd"))</f>
        <v>Jueves</v>
      </c>
      <c r="Y1426" t="str" cm="1">
        <f t="array" ref="Y1426">_xlfn.IFS(R1426&gt;10,"Excelente",R1426&gt;=5,"Bueno",R1426&gt;=2,"Débil",R1426&lt;2,"Deficiente")</f>
        <v>Deficiente</v>
      </c>
      <c r="Z1426" t="str">
        <f>IF(AND(R1426&lt;2,Q1426&gt;=100),"Revisar","OK")</f>
        <v>Revisar</v>
      </c>
      <c r="AA1426" s="55">
        <f>_xlfn.XLOOKUP(C1426,'Preguntas de negocio'!$C$114:$C$119,'Preguntas de negocio'!$D$114:$D$119,0)</f>
        <v>4</v>
      </c>
      <c r="AB1426" s="55">
        <f>VLOOKUP(C1426,'Preguntas de negocio'!$C$121:$D$127,2,FALSE)</f>
        <v>0.95</v>
      </c>
    </row>
    <row r="1427" spans="1:28" x14ac:dyDescent="0.3">
      <c r="A1427" s="1">
        <v>45744</v>
      </c>
      <c r="B1427" s="2" t="s">
        <v>2643</v>
      </c>
      <c r="C1427" s="2" t="s">
        <v>2533</v>
      </c>
      <c r="D1427" s="2" t="s">
        <v>2528</v>
      </c>
      <c r="E1427" s="2" t="s">
        <v>2529</v>
      </c>
      <c r="F1427" s="3">
        <v>14341</v>
      </c>
      <c r="G1427" s="3">
        <v>242</v>
      </c>
      <c r="H1427" s="3">
        <v>32</v>
      </c>
      <c r="I1427" s="4">
        <v>224.46</v>
      </c>
      <c r="J1427" s="4">
        <v>3504.1</v>
      </c>
      <c r="K1427" s="3">
        <v>15</v>
      </c>
      <c r="L1427" s="2" t="s">
        <v>2518</v>
      </c>
      <c r="M1427" s="2" t="s">
        <v>2519</v>
      </c>
      <c r="N1427" s="8">
        <f>IFERROR(G1427/F1427,0)</f>
        <v>1.6874694930618505E-2</v>
      </c>
      <c r="O1427" s="8">
        <f>IFERROR(H1427/G1427,0)</f>
        <v>0.13223140495867769</v>
      </c>
      <c r="P1427" s="4">
        <f>IFERROR(I1427/G1427,0)</f>
        <v>0.92752066115702481</v>
      </c>
      <c r="Q1427" s="4">
        <f>IFERROR(I1427/H1427,0)</f>
        <v>7.0143750000000002</v>
      </c>
      <c r="R1427" s="12">
        <f>IFERROR(J1427/I1427,0)</f>
        <v>15.611244765214291</v>
      </c>
      <c r="S1427" s="7">
        <f>Tabla_nuevas_columnas[[#This Row],[ROAS]]</f>
        <v>15.611244765214291</v>
      </c>
      <c r="T1427" t="str">
        <f>_xlfn.CONCAT(C1427,"-",D1427)</f>
        <v>Paid Social-España</v>
      </c>
      <c r="U1427">
        <f>YEAR(A1427)</f>
        <v>2025</v>
      </c>
      <c r="V1427">
        <f>MONTH(A1427)</f>
        <v>3</v>
      </c>
      <c r="W1427" t="str">
        <f>PROPER(TEXT(A1427,"mmmm"))</f>
        <v>Marzo</v>
      </c>
      <c r="X1427" t="str">
        <f>PROPER(TEXT(A1427,"dddd"))</f>
        <v>Viernes</v>
      </c>
      <c r="Y1427" t="str" cm="1">
        <f t="array" ref="Y1427">_xlfn.IFS(R1427&gt;10,"Excelente",R1427&gt;=5,"Bueno",R1427&gt;=2,"Débil",R1427&lt;2,"Deficiente")</f>
        <v>Excelente</v>
      </c>
      <c r="Z1427" t="str">
        <f>IF(AND(R1427&lt;2,Q1427&gt;=100),"Revisar","OK")</f>
        <v>OK</v>
      </c>
      <c r="AA1427" s="55">
        <f>_xlfn.XLOOKUP(C1427,'Preguntas de negocio'!$C$114:$C$119,'Preguntas de negocio'!$D$114:$D$119,0)</f>
        <v>6</v>
      </c>
      <c r="AB1427" s="55">
        <f>VLOOKUP(C1427,'Preguntas de negocio'!$C$121:$D$127,2,FALSE)</f>
        <v>0.8</v>
      </c>
    </row>
    <row r="1428" spans="1:28" x14ac:dyDescent="0.3">
      <c r="A1428" s="1">
        <v>45868</v>
      </c>
      <c r="B1428" s="2" t="s">
        <v>2616</v>
      </c>
      <c r="C1428" s="2" t="s">
        <v>2541</v>
      </c>
      <c r="D1428" s="2" t="s">
        <v>2528</v>
      </c>
      <c r="E1428" s="2" t="s">
        <v>2517</v>
      </c>
      <c r="F1428" s="3">
        <v>95745</v>
      </c>
      <c r="G1428" s="3">
        <v>5589</v>
      </c>
      <c r="H1428" s="3">
        <v>779</v>
      </c>
      <c r="I1428" s="4">
        <v>10587.37</v>
      </c>
      <c r="J1428" s="4">
        <v>65434.22</v>
      </c>
      <c r="K1428" s="3">
        <v>623</v>
      </c>
      <c r="L1428" s="2" t="s">
        <v>2518</v>
      </c>
      <c r="M1428" s="2" t="s">
        <v>2524</v>
      </c>
      <c r="N1428" s="8">
        <f>IFERROR(G1428/F1428,0)</f>
        <v>5.83738054206486E-2</v>
      </c>
      <c r="O1428" s="8">
        <f>IFERROR(H1428/G1428,0)</f>
        <v>0.13938092682054035</v>
      </c>
      <c r="P1428" s="4">
        <f>IFERROR(I1428/G1428,0)</f>
        <v>1.8943227768831634</v>
      </c>
      <c r="Q1428" s="4">
        <f>IFERROR(I1428/H1428,0)</f>
        <v>13.590975609756098</v>
      </c>
      <c r="R1428" s="12">
        <f>IFERROR(J1428/I1428,0)</f>
        <v>6.1804036318745821</v>
      </c>
      <c r="S1428" s="7">
        <f>Tabla_nuevas_columnas[[#This Row],[ROAS]]</f>
        <v>6.1804036318745821</v>
      </c>
      <c r="T1428" t="str">
        <f>_xlfn.CONCAT(C1428,"-",D1428)</f>
        <v>Display-España</v>
      </c>
      <c r="U1428">
        <f>YEAR(A1428)</f>
        <v>2025</v>
      </c>
      <c r="V1428">
        <f>MONTH(A1428)</f>
        <v>7</v>
      </c>
      <c r="W1428" t="str">
        <f>PROPER(TEXT(A1428,"mmmm"))</f>
        <v>Julio</v>
      </c>
      <c r="X1428" t="str">
        <f>PROPER(TEXT(A1428,"dddd"))</f>
        <v>Miércoles</v>
      </c>
      <c r="Y1428" t="str" cm="1">
        <f t="array" ref="Y1428">_xlfn.IFS(R1428&gt;10,"Excelente",R1428&gt;=5,"Bueno",R1428&gt;=2,"Débil",R1428&lt;2,"Deficiente")</f>
        <v>Bueno</v>
      </c>
      <c r="Z1428" t="str">
        <f>IF(AND(R1428&lt;2,Q1428&gt;=100),"Revisar","OK")</f>
        <v>OK</v>
      </c>
      <c r="AA1428" s="55">
        <f>_xlfn.XLOOKUP(C1428,'Preguntas de negocio'!$C$114:$C$119,'Preguntas de negocio'!$D$114:$D$119,0)</f>
        <v>5</v>
      </c>
      <c r="AB1428" s="55">
        <f>VLOOKUP(C1428,'Preguntas de negocio'!$C$121:$D$127,2,FALSE)</f>
        <v>0.5</v>
      </c>
    </row>
    <row r="1429" spans="1:28" x14ac:dyDescent="0.3">
      <c r="A1429" s="1">
        <v>45834</v>
      </c>
      <c r="B1429" s="2" t="s">
        <v>2635</v>
      </c>
      <c r="C1429" s="2" t="s">
        <v>2543</v>
      </c>
      <c r="D1429" s="2" t="s">
        <v>2528</v>
      </c>
      <c r="E1429" s="2" t="s">
        <v>2517</v>
      </c>
      <c r="F1429" s="3">
        <v>100907</v>
      </c>
      <c r="G1429" s="3">
        <v>6795</v>
      </c>
      <c r="H1429" s="3">
        <v>406</v>
      </c>
      <c r="I1429" s="4">
        <v>7949.67</v>
      </c>
      <c r="J1429" s="4">
        <v>58762.21</v>
      </c>
      <c r="K1429" s="3">
        <v>201</v>
      </c>
      <c r="L1429" s="2" t="s">
        <v>2518</v>
      </c>
      <c r="M1429" s="2" t="s">
        <v>2524</v>
      </c>
      <c r="N1429" s="8">
        <f>IFERROR(G1429/F1429,0)</f>
        <v>6.7339233155281591E-2</v>
      </c>
      <c r="O1429" s="8">
        <f>IFERROR(H1429/G1429,0)</f>
        <v>5.9749816041206771E-2</v>
      </c>
      <c r="P1429" s="4">
        <f>IFERROR(I1429/G1429,0)</f>
        <v>1.1699293598233995</v>
      </c>
      <c r="Q1429" s="4">
        <f>IFERROR(I1429/H1429,0)</f>
        <v>19.580467980295566</v>
      </c>
      <c r="R1429" s="12">
        <f>IFERROR(J1429/I1429,0)</f>
        <v>7.3917797845696738</v>
      </c>
      <c r="S1429" s="7">
        <f>Tabla_nuevas_columnas[[#This Row],[ROAS]]</f>
        <v>7.3917797845696738</v>
      </c>
      <c r="T1429" t="str">
        <f>_xlfn.CONCAT(C1429,"-",D1429)</f>
        <v>Organic Social-España</v>
      </c>
      <c r="U1429">
        <f>YEAR(A1429)</f>
        <v>2025</v>
      </c>
      <c r="V1429">
        <f>MONTH(A1429)</f>
        <v>6</v>
      </c>
      <c r="W1429" t="str">
        <f>PROPER(TEXT(A1429,"mmmm"))</f>
        <v>Junio</v>
      </c>
      <c r="X1429" t="str">
        <f>PROPER(TEXT(A1429,"dddd"))</f>
        <v>Jueves</v>
      </c>
      <c r="Y1429" t="str" cm="1">
        <f t="array" ref="Y1429">_xlfn.IFS(R1429&gt;10,"Excelente",R1429&gt;=5,"Bueno",R1429&gt;=2,"Débil",R1429&lt;2,"Deficiente")</f>
        <v>Bueno</v>
      </c>
      <c r="Z1429" t="str">
        <f>IF(AND(R1429&lt;2,Q1429&gt;=100),"Revisar","OK")</f>
        <v>OK</v>
      </c>
      <c r="AA1429" s="55">
        <f>_xlfn.XLOOKUP(C1429,'Preguntas de negocio'!$C$114:$C$119,'Preguntas de negocio'!$D$114:$D$119,0)</f>
        <v>4</v>
      </c>
      <c r="AB1429" s="55">
        <f>VLOOKUP(C1429,'Preguntas de negocio'!$C$121:$D$127,2,FALSE)</f>
        <v>0.95</v>
      </c>
    </row>
    <row r="1430" spans="1:28" x14ac:dyDescent="0.3">
      <c r="A1430" s="1">
        <v>45754</v>
      </c>
      <c r="B1430" s="2" t="s">
        <v>2619</v>
      </c>
      <c r="C1430" s="2" t="s">
        <v>2527</v>
      </c>
      <c r="D1430" s="2" t="s">
        <v>2525</v>
      </c>
      <c r="E1430" s="2" t="s">
        <v>2517</v>
      </c>
      <c r="F1430" s="3">
        <v>61294</v>
      </c>
      <c r="G1430" s="3">
        <v>3468</v>
      </c>
      <c r="H1430" s="3">
        <v>317</v>
      </c>
      <c r="I1430" s="4">
        <v>1246.53</v>
      </c>
      <c r="J1430" s="4">
        <v>12563.6</v>
      </c>
      <c r="K1430" s="3">
        <v>234</v>
      </c>
      <c r="L1430" s="2" t="s">
        <v>2536</v>
      </c>
      <c r="M1430" s="2" t="s">
        <v>2524</v>
      </c>
      <c r="N1430" s="8">
        <f>IFERROR(G1430/F1430,0)</f>
        <v>5.6579763108950305E-2</v>
      </c>
      <c r="O1430" s="8">
        <f>IFERROR(H1430/G1430,0)</f>
        <v>9.1407151095732414E-2</v>
      </c>
      <c r="P1430" s="4">
        <f>IFERROR(I1430/G1430,0)</f>
        <v>0.35943771626297577</v>
      </c>
      <c r="Q1430" s="4">
        <f>IFERROR(I1430/H1430,0)</f>
        <v>3.9322712933753943</v>
      </c>
      <c r="R1430" s="12">
        <f>IFERROR(J1430/I1430,0)</f>
        <v>10.078858912340658</v>
      </c>
      <c r="S1430" s="7">
        <f>Tabla_nuevas_columnas[[#This Row],[ROAS]]</f>
        <v>10.078858912340658</v>
      </c>
      <c r="T1430" t="str">
        <f>_xlfn.CONCAT(C1430,"-",D1430)</f>
        <v>Affiliate-Francia</v>
      </c>
      <c r="U1430">
        <f>YEAR(A1430)</f>
        <v>2025</v>
      </c>
      <c r="V1430">
        <f>MONTH(A1430)</f>
        <v>4</v>
      </c>
      <c r="W1430" t="str">
        <f>PROPER(TEXT(A1430,"mmmm"))</f>
        <v>Abril</v>
      </c>
      <c r="X1430" t="str">
        <f>PROPER(TEXT(A1430,"dddd"))</f>
        <v>Lunes</v>
      </c>
      <c r="Y1430" t="str" cm="1">
        <f t="array" ref="Y1430">_xlfn.IFS(R1430&gt;10,"Excelente",R1430&gt;=5,"Bueno",R1430&gt;=2,"Débil",R1430&lt;2,"Deficiente")</f>
        <v>Excelente</v>
      </c>
      <c r="Z1430" t="str">
        <f>IF(AND(R1430&lt;2,Q1430&gt;=100),"Revisar","OK")</f>
        <v>OK</v>
      </c>
      <c r="AA1430" s="55">
        <f>_xlfn.XLOOKUP(C1430,'Preguntas de negocio'!$C$114:$C$119,'Preguntas de negocio'!$D$114:$D$119,0)</f>
        <v>4.5</v>
      </c>
      <c r="AB1430" s="55">
        <f>VLOOKUP(C1430,'Preguntas de negocio'!$C$121:$D$127,2,FALSE)</f>
        <v>0.35</v>
      </c>
    </row>
    <row r="1431" spans="1:28" x14ac:dyDescent="0.3">
      <c r="A1431" s="1">
        <v>45898</v>
      </c>
      <c r="B1431" s="2" t="s">
        <v>2617</v>
      </c>
      <c r="C1431" s="2" t="s">
        <v>2533</v>
      </c>
      <c r="D1431" s="2" t="s">
        <v>2528</v>
      </c>
      <c r="E1431" s="2" t="s">
        <v>2529</v>
      </c>
      <c r="F1431" s="3">
        <v>137519</v>
      </c>
      <c r="G1431" s="3">
        <v>2555</v>
      </c>
      <c r="H1431" s="3">
        <v>240</v>
      </c>
      <c r="I1431" s="4">
        <v>1327.45</v>
      </c>
      <c r="J1431" s="4">
        <v>33367.160000000003</v>
      </c>
      <c r="K1431" s="3">
        <v>115</v>
      </c>
      <c r="L1431" s="2" t="s">
        <v>2523</v>
      </c>
      <c r="M1431" s="2" t="s">
        <v>2526</v>
      </c>
      <c r="N1431" s="8">
        <f>IFERROR(G1431/F1431,0)</f>
        <v>1.8579250867152904E-2</v>
      </c>
      <c r="O1431" s="8">
        <f>IFERROR(H1431/G1431,0)</f>
        <v>9.393346379647749E-2</v>
      </c>
      <c r="P1431" s="4">
        <f>IFERROR(I1431/G1431,0)</f>
        <v>0.51954990215264185</v>
      </c>
      <c r="Q1431" s="4">
        <f>IFERROR(I1431/H1431,0)</f>
        <v>5.5310416666666669</v>
      </c>
      <c r="R1431" s="12">
        <f>IFERROR(J1431/I1431,0)</f>
        <v>25.136283852499155</v>
      </c>
      <c r="S1431" s="7">
        <f>Tabla_nuevas_columnas[[#This Row],[ROAS]]</f>
        <v>25.136283852499155</v>
      </c>
      <c r="T1431" t="str">
        <f>_xlfn.CONCAT(C1431,"-",D1431)</f>
        <v>Paid Social-España</v>
      </c>
      <c r="U1431">
        <f>YEAR(A1431)</f>
        <v>2025</v>
      </c>
      <c r="V1431">
        <f>MONTH(A1431)</f>
        <v>8</v>
      </c>
      <c r="W1431" t="str">
        <f>PROPER(TEXT(A1431,"mmmm"))</f>
        <v>Agosto</v>
      </c>
      <c r="X1431" t="str">
        <f>PROPER(TEXT(A1431,"dddd"))</f>
        <v>Viernes</v>
      </c>
      <c r="Y1431" t="str" cm="1">
        <f t="array" ref="Y1431">_xlfn.IFS(R1431&gt;10,"Excelente",R1431&gt;=5,"Bueno",R1431&gt;=2,"Débil",R1431&lt;2,"Deficiente")</f>
        <v>Excelente</v>
      </c>
      <c r="Z1431" t="str">
        <f>IF(AND(R1431&lt;2,Q1431&gt;=100),"Revisar","OK")</f>
        <v>OK</v>
      </c>
      <c r="AA1431" s="55">
        <f>_xlfn.XLOOKUP(C1431,'Preguntas de negocio'!$C$114:$C$119,'Preguntas de negocio'!$D$114:$D$119,0)</f>
        <v>6</v>
      </c>
      <c r="AB1431" s="55">
        <f>VLOOKUP(C1431,'Preguntas de negocio'!$C$121:$D$127,2,FALSE)</f>
        <v>0.8</v>
      </c>
    </row>
    <row r="1432" spans="1:28" x14ac:dyDescent="0.3">
      <c r="A1432" s="1">
        <v>45719</v>
      </c>
      <c r="B1432" s="2" t="s">
        <v>2626</v>
      </c>
      <c r="C1432" s="2" t="s">
        <v>2533</v>
      </c>
      <c r="D1432" s="2" t="s">
        <v>2525</v>
      </c>
      <c r="E1432" s="2" t="s">
        <v>2517</v>
      </c>
      <c r="F1432" s="3">
        <v>89898</v>
      </c>
      <c r="G1432" s="3">
        <v>4328</v>
      </c>
      <c r="H1432" s="3">
        <v>477</v>
      </c>
      <c r="I1432" s="4">
        <v>4689.42</v>
      </c>
      <c r="J1432" s="4">
        <v>25295.24</v>
      </c>
      <c r="K1432" s="3">
        <v>242</v>
      </c>
      <c r="L1432" s="2" t="s">
        <v>2523</v>
      </c>
      <c r="M1432" s="2" t="s">
        <v>2524</v>
      </c>
      <c r="N1432" s="8">
        <f>IFERROR(G1432/F1432,0)</f>
        <v>4.81434514672184E-2</v>
      </c>
      <c r="O1432" s="8">
        <f>IFERROR(H1432/G1432,0)</f>
        <v>0.11021256931608132</v>
      </c>
      <c r="P1432" s="4">
        <f>IFERROR(I1432/G1432,0)</f>
        <v>1.0835073937153419</v>
      </c>
      <c r="Q1432" s="4">
        <f>IFERROR(I1432/H1432,0)</f>
        <v>9.8310691823899372</v>
      </c>
      <c r="R1432" s="12">
        <f>IFERROR(J1432/I1432,0)</f>
        <v>5.3941084398497043</v>
      </c>
      <c r="S1432" s="7">
        <f>Tabla_nuevas_columnas[[#This Row],[ROAS]]</f>
        <v>5.3941084398497043</v>
      </c>
      <c r="T1432" t="str">
        <f>_xlfn.CONCAT(C1432,"-",D1432)</f>
        <v>Paid Social-Francia</v>
      </c>
      <c r="U1432">
        <f>YEAR(A1432)</f>
        <v>2025</v>
      </c>
      <c r="V1432">
        <f>MONTH(A1432)</f>
        <v>3</v>
      </c>
      <c r="W1432" t="str">
        <f>PROPER(TEXT(A1432,"mmmm"))</f>
        <v>Marzo</v>
      </c>
      <c r="X1432" t="str">
        <f>PROPER(TEXT(A1432,"dddd"))</f>
        <v>Lunes</v>
      </c>
      <c r="Y1432" t="str" cm="1">
        <f t="array" ref="Y1432">_xlfn.IFS(R1432&gt;10,"Excelente",R1432&gt;=5,"Bueno",R1432&gt;=2,"Débil",R1432&lt;2,"Deficiente")</f>
        <v>Bueno</v>
      </c>
      <c r="Z1432" t="str">
        <f>IF(AND(R1432&lt;2,Q1432&gt;=100),"Revisar","OK")</f>
        <v>OK</v>
      </c>
      <c r="AA1432" s="55">
        <f>_xlfn.XLOOKUP(C1432,'Preguntas de negocio'!$C$114:$C$119,'Preguntas de negocio'!$D$114:$D$119,0)</f>
        <v>6</v>
      </c>
      <c r="AB1432" s="55">
        <f>VLOOKUP(C1432,'Preguntas de negocio'!$C$121:$D$127,2,FALSE)</f>
        <v>0.8</v>
      </c>
    </row>
    <row r="1433" spans="1:28" x14ac:dyDescent="0.3">
      <c r="A1433" s="1">
        <v>45717</v>
      </c>
      <c r="B1433" s="2" t="s">
        <v>2626</v>
      </c>
      <c r="C1433" s="2" t="s">
        <v>2533</v>
      </c>
      <c r="D1433" s="2" t="s">
        <v>2525</v>
      </c>
      <c r="E1433" s="2" t="s">
        <v>2517</v>
      </c>
      <c r="F1433" s="3">
        <v>32732</v>
      </c>
      <c r="G1433" s="3">
        <v>2044</v>
      </c>
      <c r="H1433" s="3">
        <v>225</v>
      </c>
      <c r="I1433" s="4">
        <v>1603.67</v>
      </c>
      <c r="J1433" s="4">
        <v>33187.96</v>
      </c>
      <c r="K1433" s="3">
        <v>112</v>
      </c>
      <c r="L1433" s="2" t="s">
        <v>2536</v>
      </c>
      <c r="M1433" s="2" t="s">
        <v>2526</v>
      </c>
      <c r="N1433" s="8">
        <f>IFERROR(G1433/F1433,0)</f>
        <v>6.2446535500427718E-2</v>
      </c>
      <c r="O1433" s="8">
        <f>IFERROR(H1433/G1433,0)</f>
        <v>0.11007827788649706</v>
      </c>
      <c r="P1433" s="4">
        <f>IFERROR(I1433/G1433,0)</f>
        <v>0.78457436399217229</v>
      </c>
      <c r="Q1433" s="4">
        <f>IFERROR(I1433/H1433,0)</f>
        <v>7.1274222222222221</v>
      </c>
      <c r="R1433" s="12">
        <f>IFERROR(J1433/I1433,0)</f>
        <v>20.695005830376573</v>
      </c>
      <c r="S1433" s="7">
        <f>Tabla_nuevas_columnas[[#This Row],[ROAS]]</f>
        <v>20.695005830376573</v>
      </c>
      <c r="T1433" t="str">
        <f>_xlfn.CONCAT(C1433,"-",D1433)</f>
        <v>Paid Social-Francia</v>
      </c>
      <c r="U1433">
        <f>YEAR(A1433)</f>
        <v>2025</v>
      </c>
      <c r="V1433">
        <f>MONTH(A1433)</f>
        <v>3</v>
      </c>
      <c r="W1433" t="str">
        <f>PROPER(TEXT(A1433,"mmmm"))</f>
        <v>Marzo</v>
      </c>
      <c r="X1433" t="str">
        <f>PROPER(TEXT(A1433,"dddd"))</f>
        <v>Sábado</v>
      </c>
      <c r="Y1433" t="str" cm="1">
        <f t="array" ref="Y1433">_xlfn.IFS(R1433&gt;10,"Excelente",R1433&gt;=5,"Bueno",R1433&gt;=2,"Débil",R1433&lt;2,"Deficiente")</f>
        <v>Excelente</v>
      </c>
      <c r="Z1433" t="str">
        <f>IF(AND(R1433&lt;2,Q1433&gt;=100),"Revisar","OK")</f>
        <v>OK</v>
      </c>
      <c r="AA1433" s="55">
        <f>_xlfn.XLOOKUP(C1433,'Preguntas de negocio'!$C$114:$C$119,'Preguntas de negocio'!$D$114:$D$119,0)</f>
        <v>6</v>
      </c>
      <c r="AB1433" s="55">
        <f>VLOOKUP(C1433,'Preguntas de negocio'!$C$121:$D$127,2,FALSE)</f>
        <v>0.8</v>
      </c>
    </row>
    <row r="1434" spans="1:28" x14ac:dyDescent="0.3">
      <c r="A1434" s="1">
        <v>45799</v>
      </c>
      <c r="B1434" s="2" t="s">
        <v>2623</v>
      </c>
      <c r="C1434" s="2" t="s">
        <v>2543</v>
      </c>
      <c r="D1434" s="2" t="s">
        <v>2525</v>
      </c>
      <c r="E1434" s="2" t="s">
        <v>2534</v>
      </c>
      <c r="F1434" s="3">
        <v>115864</v>
      </c>
      <c r="G1434" s="3">
        <v>4552</v>
      </c>
      <c r="H1434" s="3">
        <v>279</v>
      </c>
      <c r="I1434" s="4">
        <v>4546.0600000000004</v>
      </c>
      <c r="J1434" s="4">
        <v>19995.349999999999</v>
      </c>
      <c r="K1434" s="3">
        <v>199</v>
      </c>
      <c r="L1434" s="2" t="s">
        <v>2518</v>
      </c>
      <c r="M1434" s="2" t="s">
        <v>2519</v>
      </c>
      <c r="N1434" s="8">
        <f>IFERROR(G1434/F1434,0)</f>
        <v>3.9287440447421114E-2</v>
      </c>
      <c r="O1434" s="8">
        <f>IFERROR(H1434/G1434,0)</f>
        <v>6.1291739894551847E-2</v>
      </c>
      <c r="P1434" s="4">
        <f>IFERROR(I1434/G1434,0)</f>
        <v>0.9986950790861161</v>
      </c>
      <c r="Q1434" s="4">
        <f>IFERROR(I1434/H1434,0)</f>
        <v>16.294121863799283</v>
      </c>
      <c r="R1434" s="12">
        <f>IFERROR(J1434/I1434,0)</f>
        <v>4.3983911343009101</v>
      </c>
      <c r="S1434" s="7">
        <f>Tabla_nuevas_columnas[[#This Row],[ROAS]]</f>
        <v>4.3983911343009101</v>
      </c>
      <c r="T1434" t="str">
        <f>_xlfn.CONCAT(C1434,"-",D1434)</f>
        <v>Organic Social-Francia</v>
      </c>
      <c r="U1434">
        <f>YEAR(A1434)</f>
        <v>2025</v>
      </c>
      <c r="V1434">
        <f>MONTH(A1434)</f>
        <v>5</v>
      </c>
      <c r="W1434" t="str">
        <f>PROPER(TEXT(A1434,"mmmm"))</f>
        <v>Mayo</v>
      </c>
      <c r="X1434" t="str">
        <f>PROPER(TEXT(A1434,"dddd"))</f>
        <v>Jueves</v>
      </c>
      <c r="Y1434" t="str" cm="1">
        <f t="array" ref="Y1434">_xlfn.IFS(R1434&gt;10,"Excelente",R1434&gt;=5,"Bueno",R1434&gt;=2,"Débil",R1434&lt;2,"Deficiente")</f>
        <v>Débil</v>
      </c>
      <c r="Z1434" t="str">
        <f>IF(AND(R1434&lt;2,Q1434&gt;=100),"Revisar","OK")</f>
        <v>OK</v>
      </c>
      <c r="AA1434" s="55">
        <f>_xlfn.XLOOKUP(C1434,'Preguntas de negocio'!$C$114:$C$119,'Preguntas de negocio'!$D$114:$D$119,0)</f>
        <v>4</v>
      </c>
      <c r="AB1434" s="55">
        <f>VLOOKUP(C1434,'Preguntas de negocio'!$C$121:$D$127,2,FALSE)</f>
        <v>0.95</v>
      </c>
    </row>
    <row r="1435" spans="1:28" x14ac:dyDescent="0.3">
      <c r="A1435" s="1">
        <v>45926</v>
      </c>
      <c r="B1435" s="2" t="s">
        <v>2615</v>
      </c>
      <c r="C1435" s="2" t="s">
        <v>2527</v>
      </c>
      <c r="D1435" s="2" t="s">
        <v>2531</v>
      </c>
      <c r="E1435" s="2" t="s">
        <v>2517</v>
      </c>
      <c r="F1435" s="3">
        <v>65814</v>
      </c>
      <c r="G1435" s="3">
        <v>3778</v>
      </c>
      <c r="H1435" s="3">
        <v>521</v>
      </c>
      <c r="I1435" s="4">
        <v>2008.57</v>
      </c>
      <c r="J1435" s="4">
        <v>21391.54</v>
      </c>
      <c r="K1435" s="3">
        <v>310</v>
      </c>
      <c r="L1435" s="2" t="s">
        <v>2523</v>
      </c>
      <c r="M1435" s="2" t="s">
        <v>2546</v>
      </c>
      <c r="N1435" s="8">
        <f>IFERROR(G1435/F1435,0)</f>
        <v>5.7404199714346495E-2</v>
      </c>
      <c r="O1435" s="8">
        <f>IFERROR(H1435/G1435,0)</f>
        <v>0.13790365272631022</v>
      </c>
      <c r="P1435" s="4">
        <f>IFERROR(I1435/G1435,0)</f>
        <v>0.53164902064584429</v>
      </c>
      <c r="Q1435" s="4">
        <f>IFERROR(I1435/H1435,0)</f>
        <v>3.8552207293666028</v>
      </c>
      <c r="R1435" s="12">
        <f>IFERROR(J1435/I1435,0)</f>
        <v>10.650134175059868</v>
      </c>
      <c r="S1435" s="7">
        <f>Tabla_nuevas_columnas[[#This Row],[ROAS]]</f>
        <v>10.650134175059868</v>
      </c>
      <c r="T1435" t="str">
        <f>_xlfn.CONCAT(C1435,"-",D1435)</f>
        <v>Affiliate-Portugal</v>
      </c>
      <c r="U1435">
        <f>YEAR(A1435)</f>
        <v>2025</v>
      </c>
      <c r="V1435">
        <f>MONTH(A1435)</f>
        <v>9</v>
      </c>
      <c r="W1435" t="str">
        <f>PROPER(TEXT(A1435,"mmmm"))</f>
        <v>Septiembre</v>
      </c>
      <c r="X1435" t="str">
        <f>PROPER(TEXT(A1435,"dddd"))</f>
        <v>Viernes</v>
      </c>
      <c r="Y1435" t="str" cm="1">
        <f t="array" ref="Y1435">_xlfn.IFS(R1435&gt;10,"Excelente",R1435&gt;=5,"Bueno",R1435&gt;=2,"Débil",R1435&lt;2,"Deficiente")</f>
        <v>Excelente</v>
      </c>
      <c r="Z1435" t="str">
        <f>IF(AND(R1435&lt;2,Q1435&gt;=100),"Revisar","OK")</f>
        <v>OK</v>
      </c>
      <c r="AA1435" s="55">
        <f>_xlfn.XLOOKUP(C1435,'Preguntas de negocio'!$C$114:$C$119,'Preguntas de negocio'!$D$114:$D$119,0)</f>
        <v>4.5</v>
      </c>
      <c r="AB1435" s="55">
        <f>VLOOKUP(C1435,'Preguntas de negocio'!$C$121:$D$127,2,FALSE)</f>
        <v>0.35</v>
      </c>
    </row>
    <row r="1436" spans="1:28" x14ac:dyDescent="0.3">
      <c r="A1436" s="1">
        <v>46008</v>
      </c>
      <c r="B1436" s="2" t="s">
        <v>2627</v>
      </c>
      <c r="C1436" s="2" t="s">
        <v>2527</v>
      </c>
      <c r="D1436" s="2" t="s">
        <v>2528</v>
      </c>
      <c r="E1436" s="2" t="s">
        <v>2529</v>
      </c>
      <c r="F1436" s="3">
        <v>177117</v>
      </c>
      <c r="G1436" s="3">
        <v>10686</v>
      </c>
      <c r="H1436" s="3">
        <v>912</v>
      </c>
      <c r="I1436" s="4">
        <v>18761.16</v>
      </c>
      <c r="J1436" s="4">
        <v>76201.42</v>
      </c>
      <c r="K1436" s="3">
        <v>531</v>
      </c>
      <c r="L1436" s="2" t="s">
        <v>2518</v>
      </c>
      <c r="M1436" s="2" t="s">
        <v>2537</v>
      </c>
      <c r="N1436" s="8">
        <f>IFERROR(G1436/F1436,0)</f>
        <v>6.0333000220193431E-2</v>
      </c>
      <c r="O1436" s="8">
        <f>IFERROR(H1436/G1436,0)</f>
        <v>8.5345311622683884E-2</v>
      </c>
      <c r="P1436" s="4">
        <f>IFERROR(I1436/G1436,0)</f>
        <v>1.755676586187535</v>
      </c>
      <c r="Q1436" s="4">
        <f>IFERROR(I1436/H1436,0)</f>
        <v>20.571447368421051</v>
      </c>
      <c r="R1436" s="12">
        <f>IFERROR(J1436/I1436,0)</f>
        <v>4.0616582343522465</v>
      </c>
      <c r="S1436" s="7">
        <f>Tabla_nuevas_columnas[[#This Row],[ROAS]]</f>
        <v>4.0616582343522465</v>
      </c>
      <c r="T1436" t="str">
        <f>_xlfn.CONCAT(C1436,"-",D1436)</f>
        <v>Affiliate-España</v>
      </c>
      <c r="U1436">
        <f>YEAR(A1436)</f>
        <v>2025</v>
      </c>
      <c r="V1436">
        <f>MONTH(A1436)</f>
        <v>12</v>
      </c>
      <c r="W1436" t="str">
        <f>PROPER(TEXT(A1436,"mmmm"))</f>
        <v>Diciembre</v>
      </c>
      <c r="X1436" t="str">
        <f>PROPER(TEXT(A1436,"dddd"))</f>
        <v>Miércoles</v>
      </c>
      <c r="Y1436" t="str" cm="1">
        <f t="array" ref="Y1436">_xlfn.IFS(R1436&gt;10,"Excelente",R1436&gt;=5,"Bueno",R1436&gt;=2,"Débil",R1436&lt;2,"Deficiente")</f>
        <v>Débil</v>
      </c>
      <c r="Z1436" t="str">
        <f>IF(AND(R1436&lt;2,Q1436&gt;=100),"Revisar","OK")</f>
        <v>OK</v>
      </c>
      <c r="AA1436" s="55">
        <f>_xlfn.XLOOKUP(C1436,'Preguntas de negocio'!$C$114:$C$119,'Preguntas de negocio'!$D$114:$D$119,0)</f>
        <v>4.5</v>
      </c>
      <c r="AB1436" s="55">
        <f>VLOOKUP(C1436,'Preguntas de negocio'!$C$121:$D$127,2,FALSE)</f>
        <v>0.35</v>
      </c>
    </row>
    <row r="1437" spans="1:28" x14ac:dyDescent="0.3">
      <c r="A1437" s="1">
        <v>45948</v>
      </c>
      <c r="B1437" s="2" t="s">
        <v>2639</v>
      </c>
      <c r="C1437" s="2" t="s">
        <v>2543</v>
      </c>
      <c r="D1437" s="2" t="s">
        <v>2528</v>
      </c>
      <c r="E1437" s="2" t="s">
        <v>2529</v>
      </c>
      <c r="F1437" s="3">
        <v>30956</v>
      </c>
      <c r="G1437" s="3">
        <v>1616</v>
      </c>
      <c r="H1437" s="3">
        <v>112</v>
      </c>
      <c r="I1437" s="4">
        <v>1529.88</v>
      </c>
      <c r="J1437" s="4">
        <v>18220.28</v>
      </c>
      <c r="K1437" s="3">
        <v>71</v>
      </c>
      <c r="L1437" s="2" t="s">
        <v>2523</v>
      </c>
      <c r="M1437" s="2" t="s">
        <v>2519</v>
      </c>
      <c r="N1437" s="8">
        <f>IFERROR(G1437/F1437,0)</f>
        <v>5.2203127018994704E-2</v>
      </c>
      <c r="O1437" s="8">
        <f>IFERROR(H1437/G1437,0)</f>
        <v>6.9306930693069313E-2</v>
      </c>
      <c r="P1437" s="4">
        <f>IFERROR(I1437/G1437,0)</f>
        <v>0.94670792079207933</v>
      </c>
      <c r="Q1437" s="4">
        <f>IFERROR(I1437/H1437,0)</f>
        <v>13.659642857142858</v>
      </c>
      <c r="R1437" s="12">
        <f>IFERROR(J1437/I1437,0)</f>
        <v>11.909613825920985</v>
      </c>
      <c r="S1437" s="7">
        <f>Tabla_nuevas_columnas[[#This Row],[ROAS]]</f>
        <v>11.909613825920985</v>
      </c>
      <c r="T1437" t="str">
        <f>_xlfn.CONCAT(C1437,"-",D1437)</f>
        <v>Organic Social-España</v>
      </c>
      <c r="U1437">
        <f>YEAR(A1437)</f>
        <v>2025</v>
      </c>
      <c r="V1437">
        <f>MONTH(A1437)</f>
        <v>10</v>
      </c>
      <c r="W1437" t="str">
        <f>PROPER(TEXT(A1437,"mmmm"))</f>
        <v>Octubre</v>
      </c>
      <c r="X1437" t="str">
        <f>PROPER(TEXT(A1437,"dddd"))</f>
        <v>Sábado</v>
      </c>
      <c r="Y1437" t="str" cm="1">
        <f t="array" ref="Y1437">_xlfn.IFS(R1437&gt;10,"Excelente",R1437&gt;=5,"Bueno",R1437&gt;=2,"Débil",R1437&lt;2,"Deficiente")</f>
        <v>Excelente</v>
      </c>
      <c r="Z1437" t="str">
        <f>IF(AND(R1437&lt;2,Q1437&gt;=100),"Revisar","OK")</f>
        <v>OK</v>
      </c>
      <c r="AA1437" s="55">
        <f>_xlfn.XLOOKUP(C1437,'Preguntas de negocio'!$C$114:$C$119,'Preguntas de negocio'!$D$114:$D$119,0)</f>
        <v>4</v>
      </c>
      <c r="AB1437" s="55">
        <f>VLOOKUP(C1437,'Preguntas de negocio'!$C$121:$D$127,2,FALSE)</f>
        <v>0.95</v>
      </c>
    </row>
    <row r="1438" spans="1:28" x14ac:dyDescent="0.3">
      <c r="A1438" s="1">
        <v>45719</v>
      </c>
      <c r="B1438" s="2" t="s">
        <v>2627</v>
      </c>
      <c r="C1438" s="2" t="s">
        <v>2533</v>
      </c>
      <c r="D1438" s="2" t="s">
        <v>2525</v>
      </c>
      <c r="E1438" s="2" t="s">
        <v>2517</v>
      </c>
      <c r="F1438" s="3">
        <v>46440</v>
      </c>
      <c r="G1438" s="3">
        <v>257</v>
      </c>
      <c r="H1438" s="3">
        <v>270</v>
      </c>
      <c r="I1438" s="4">
        <v>209.65</v>
      </c>
      <c r="J1438" s="4">
        <v>1610.07</v>
      </c>
      <c r="K1438" s="3">
        <v>14</v>
      </c>
      <c r="L1438" s="2" t="s">
        <v>2518</v>
      </c>
      <c r="M1438" s="2" t="s">
        <v>2546</v>
      </c>
      <c r="N1438" s="8">
        <f>IFERROR(G1438/F1438,0)</f>
        <v>5.5340223944875108E-3</v>
      </c>
      <c r="O1438" s="8">
        <f>IFERROR(H1438/G1438,0)</f>
        <v>1.0505836575875487</v>
      </c>
      <c r="P1438" s="4">
        <f>IFERROR(I1438/G1438,0)</f>
        <v>0.81575875486381322</v>
      </c>
      <c r="Q1438" s="4">
        <f>IFERROR(I1438/H1438,0)</f>
        <v>0.77648148148148155</v>
      </c>
      <c r="R1438" s="12">
        <f>IFERROR(J1438/I1438,0)</f>
        <v>7.6797996661101831</v>
      </c>
      <c r="S1438" s="7">
        <f>Tabla_nuevas_columnas[[#This Row],[ROAS]]</f>
        <v>7.6797996661101831</v>
      </c>
      <c r="T1438" t="str">
        <f>_xlfn.CONCAT(C1438,"-",D1438)</f>
        <v>Paid Social-Francia</v>
      </c>
      <c r="U1438">
        <f>YEAR(A1438)</f>
        <v>2025</v>
      </c>
      <c r="V1438">
        <f>MONTH(A1438)</f>
        <v>3</v>
      </c>
      <c r="W1438" t="str">
        <f>PROPER(TEXT(A1438,"mmmm"))</f>
        <v>Marzo</v>
      </c>
      <c r="X1438" t="str">
        <f>PROPER(TEXT(A1438,"dddd"))</f>
        <v>Lunes</v>
      </c>
      <c r="Y1438" t="str" cm="1">
        <f t="array" ref="Y1438">_xlfn.IFS(R1438&gt;10,"Excelente",R1438&gt;=5,"Bueno",R1438&gt;=2,"Débil",R1438&lt;2,"Deficiente")</f>
        <v>Bueno</v>
      </c>
      <c r="Z1438" t="str">
        <f>IF(AND(R1438&lt;2,Q1438&gt;=100),"Revisar","OK")</f>
        <v>OK</v>
      </c>
      <c r="AA1438" s="55">
        <f>_xlfn.XLOOKUP(C1438,'Preguntas de negocio'!$C$114:$C$119,'Preguntas de negocio'!$D$114:$D$119,0)</f>
        <v>6</v>
      </c>
      <c r="AB1438" s="55">
        <f>VLOOKUP(C1438,'Preguntas de negocio'!$C$121:$D$127,2,FALSE)</f>
        <v>0.8</v>
      </c>
    </row>
    <row r="1439" spans="1:28" x14ac:dyDescent="0.3">
      <c r="A1439" s="1">
        <v>46019</v>
      </c>
      <c r="B1439" s="2" t="s">
        <v>2622</v>
      </c>
      <c r="C1439" s="2" t="s">
        <v>2543</v>
      </c>
      <c r="D1439" s="2" t="s">
        <v>2525</v>
      </c>
      <c r="E1439" s="2" t="s">
        <v>2529</v>
      </c>
      <c r="F1439" s="3">
        <v>65148</v>
      </c>
      <c r="G1439" s="3">
        <v>5478</v>
      </c>
      <c r="H1439" s="3">
        <v>697</v>
      </c>
      <c r="I1439" s="4">
        <v>1304.8399999999999</v>
      </c>
      <c r="J1439" s="4">
        <v>59311</v>
      </c>
      <c r="K1439" s="3">
        <v>598</v>
      </c>
      <c r="L1439" s="2" t="s">
        <v>2518</v>
      </c>
      <c r="M1439" s="2" t="s">
        <v>2524</v>
      </c>
      <c r="N1439" s="8">
        <f>IFERROR(G1439/F1439,0)</f>
        <v>8.4085466936820771E-2</v>
      </c>
      <c r="O1439" s="8">
        <f>IFERROR(H1439/G1439,0)</f>
        <v>0.12723621759766338</v>
      </c>
      <c r="P1439" s="4">
        <f>IFERROR(I1439/G1439,0)</f>
        <v>0.23819642205184371</v>
      </c>
      <c r="Q1439" s="4">
        <f>IFERROR(I1439/H1439,0)</f>
        <v>1.8720803443328551</v>
      </c>
      <c r="R1439" s="12">
        <f>IFERROR(J1439/I1439,0)</f>
        <v>45.454615125226084</v>
      </c>
      <c r="S1439" s="7">
        <f>Tabla_nuevas_columnas[[#This Row],[ROAS]]</f>
        <v>45.454615125226084</v>
      </c>
      <c r="T1439" t="str">
        <f>_xlfn.CONCAT(C1439,"-",D1439)</f>
        <v>Organic Social-Francia</v>
      </c>
      <c r="U1439">
        <f>YEAR(A1439)</f>
        <v>2025</v>
      </c>
      <c r="V1439">
        <f>MONTH(A1439)</f>
        <v>12</v>
      </c>
      <c r="W1439" t="str">
        <f>PROPER(TEXT(A1439,"mmmm"))</f>
        <v>Diciembre</v>
      </c>
      <c r="X1439" t="str">
        <f>PROPER(TEXT(A1439,"dddd"))</f>
        <v>Domingo</v>
      </c>
      <c r="Y1439" t="str" cm="1">
        <f t="array" ref="Y1439">_xlfn.IFS(R1439&gt;10,"Excelente",R1439&gt;=5,"Bueno",R1439&gt;=2,"Débil",R1439&lt;2,"Deficiente")</f>
        <v>Excelente</v>
      </c>
      <c r="Z1439" t="str">
        <f>IF(AND(R1439&lt;2,Q1439&gt;=100),"Revisar","OK")</f>
        <v>OK</v>
      </c>
      <c r="AA1439" s="55">
        <f>_xlfn.XLOOKUP(C1439,'Preguntas de negocio'!$C$114:$C$119,'Preguntas de negocio'!$D$114:$D$119,0)</f>
        <v>4</v>
      </c>
      <c r="AB1439" s="55">
        <f>VLOOKUP(C1439,'Preguntas de negocio'!$C$121:$D$127,2,FALSE)</f>
        <v>0.95</v>
      </c>
    </row>
    <row r="1440" spans="1:28" x14ac:dyDescent="0.3">
      <c r="A1440" s="1">
        <v>45832</v>
      </c>
      <c r="B1440" s="2" t="s">
        <v>2627</v>
      </c>
      <c r="C1440" s="2" t="s">
        <v>2527</v>
      </c>
      <c r="D1440" s="2" t="s">
        <v>2516</v>
      </c>
      <c r="E1440" s="2" t="s">
        <v>2517</v>
      </c>
      <c r="F1440" s="3">
        <v>123366</v>
      </c>
      <c r="G1440" s="3">
        <v>3519</v>
      </c>
      <c r="H1440" s="3">
        <v>124</v>
      </c>
      <c r="I1440" s="4">
        <v>2945.05</v>
      </c>
      <c r="J1440" s="4">
        <v>23793.19</v>
      </c>
      <c r="K1440" s="3">
        <v>55</v>
      </c>
      <c r="L1440" s="2" t="s">
        <v>2536</v>
      </c>
      <c r="M1440" s="2" t="s">
        <v>2546</v>
      </c>
      <c r="N1440" s="8">
        <f>IFERROR(G1440/F1440,0)</f>
        <v>2.8524877194688974E-2</v>
      </c>
      <c r="O1440" s="8">
        <f>IFERROR(H1440/G1440,0)</f>
        <v>3.5237283319124749E-2</v>
      </c>
      <c r="P1440" s="4">
        <f>IFERROR(I1440/G1440,0)</f>
        <v>0.83689968741119647</v>
      </c>
      <c r="Q1440" s="4">
        <f>IFERROR(I1440/H1440,0)</f>
        <v>23.750403225806455</v>
      </c>
      <c r="R1440" s="12">
        <f>IFERROR(J1440/I1440,0)</f>
        <v>8.0790444983956125</v>
      </c>
      <c r="S1440" s="7">
        <f>Tabla_nuevas_columnas[[#This Row],[ROAS]]</f>
        <v>8.0790444983956125</v>
      </c>
      <c r="T1440" t="str">
        <f>_xlfn.CONCAT(C1440,"-",D1440)</f>
        <v>Affiliate-México</v>
      </c>
      <c r="U1440">
        <f>YEAR(A1440)</f>
        <v>2025</v>
      </c>
      <c r="V1440">
        <f>MONTH(A1440)</f>
        <v>6</v>
      </c>
      <c r="W1440" t="str">
        <f>PROPER(TEXT(A1440,"mmmm"))</f>
        <v>Junio</v>
      </c>
      <c r="X1440" t="str">
        <f>PROPER(TEXT(A1440,"dddd"))</f>
        <v>Martes</v>
      </c>
      <c r="Y1440" t="str" cm="1">
        <f t="array" ref="Y1440">_xlfn.IFS(R1440&gt;10,"Excelente",R1440&gt;=5,"Bueno",R1440&gt;=2,"Débil",R1440&lt;2,"Deficiente")</f>
        <v>Bueno</v>
      </c>
      <c r="Z1440" t="str">
        <f>IF(AND(R1440&lt;2,Q1440&gt;=100),"Revisar","OK")</f>
        <v>OK</v>
      </c>
      <c r="AA1440" s="55">
        <f>_xlfn.XLOOKUP(C1440,'Preguntas de negocio'!$C$114:$C$119,'Preguntas de negocio'!$D$114:$D$119,0)</f>
        <v>4.5</v>
      </c>
      <c r="AB1440" s="55">
        <f>VLOOKUP(C1440,'Preguntas de negocio'!$C$121:$D$127,2,FALSE)</f>
        <v>0.35</v>
      </c>
    </row>
    <row r="1441" spans="1:28" x14ac:dyDescent="0.3">
      <c r="A1441" s="1">
        <v>45672</v>
      </c>
      <c r="B1441" s="2" t="s">
        <v>2625</v>
      </c>
      <c r="C1441" s="2" t="s">
        <v>2533</v>
      </c>
      <c r="D1441" s="2" t="s">
        <v>2528</v>
      </c>
      <c r="E1441" s="2" t="s">
        <v>2529</v>
      </c>
      <c r="F1441" s="3">
        <v>104439</v>
      </c>
      <c r="G1441" s="3">
        <v>8477</v>
      </c>
      <c r="H1441" s="3">
        <v>689</v>
      </c>
      <c r="I1441" s="4">
        <v>13753.4</v>
      </c>
      <c r="J1441" s="4">
        <v>33004.33</v>
      </c>
      <c r="K1441" s="3">
        <v>491</v>
      </c>
      <c r="L1441" s="2" t="s">
        <v>2523</v>
      </c>
      <c r="M1441" s="2" t="s">
        <v>2537</v>
      </c>
      <c r="N1441" s="8">
        <f>IFERROR(G1441/F1441,0)</f>
        <v>8.1166997003035271E-2</v>
      </c>
      <c r="O1441" s="8">
        <f>IFERROR(H1441/G1441,0)</f>
        <v>8.1278754276276982E-2</v>
      </c>
      <c r="P1441" s="4">
        <f>IFERROR(I1441/G1441,0)</f>
        <v>1.6224371829656719</v>
      </c>
      <c r="Q1441" s="4">
        <f>IFERROR(I1441/H1441,0)</f>
        <v>19.961393323657475</v>
      </c>
      <c r="R1441" s="12">
        <f>IFERROR(J1441/I1441,0)</f>
        <v>2.3997215234051219</v>
      </c>
      <c r="S1441" s="7">
        <f>Tabla_nuevas_columnas[[#This Row],[ROAS]]</f>
        <v>2.3997215234051219</v>
      </c>
      <c r="T1441" t="str">
        <f>_xlfn.CONCAT(C1441,"-",D1441)</f>
        <v>Paid Social-España</v>
      </c>
      <c r="U1441">
        <f>YEAR(A1441)</f>
        <v>2025</v>
      </c>
      <c r="V1441">
        <f>MONTH(A1441)</f>
        <v>1</v>
      </c>
      <c r="W1441" t="str">
        <f>PROPER(TEXT(A1441,"mmmm"))</f>
        <v>Enero</v>
      </c>
      <c r="X1441" t="str">
        <f>PROPER(TEXT(A1441,"dddd"))</f>
        <v>Miércoles</v>
      </c>
      <c r="Y1441" t="str" cm="1">
        <f t="array" ref="Y1441">_xlfn.IFS(R1441&gt;10,"Excelente",R1441&gt;=5,"Bueno",R1441&gt;=2,"Débil",R1441&lt;2,"Deficiente")</f>
        <v>Débil</v>
      </c>
      <c r="Z1441" t="str">
        <f>IF(AND(R1441&lt;2,Q1441&gt;=100),"Revisar","OK")</f>
        <v>OK</v>
      </c>
      <c r="AA1441" s="55">
        <f>_xlfn.XLOOKUP(C1441,'Preguntas de negocio'!$C$114:$C$119,'Preguntas de negocio'!$D$114:$D$119,0)</f>
        <v>6</v>
      </c>
      <c r="AB1441" s="55">
        <f>VLOOKUP(C1441,'Preguntas de negocio'!$C$121:$D$127,2,FALSE)</f>
        <v>0.8</v>
      </c>
    </row>
    <row r="1442" spans="1:28" x14ac:dyDescent="0.3">
      <c r="A1442" s="1">
        <v>45917</v>
      </c>
      <c r="B1442" s="2" t="s">
        <v>2633</v>
      </c>
      <c r="C1442" s="2" t="s">
        <v>2533</v>
      </c>
      <c r="D1442" s="2" t="s">
        <v>2528</v>
      </c>
      <c r="E1442" s="2" t="s">
        <v>2529</v>
      </c>
      <c r="F1442" s="3">
        <v>44892</v>
      </c>
      <c r="G1442" s="3">
        <v>2443</v>
      </c>
      <c r="H1442" s="3">
        <v>301</v>
      </c>
      <c r="I1442" s="4">
        <v>813.09</v>
      </c>
      <c r="J1442" s="4">
        <v>19562.759999999998</v>
      </c>
      <c r="K1442" s="3">
        <v>254</v>
      </c>
      <c r="L1442" s="2" t="s">
        <v>2539</v>
      </c>
      <c r="M1442" s="2" t="s">
        <v>2526</v>
      </c>
      <c r="N1442" s="8">
        <f>IFERROR(G1442/F1442,0)</f>
        <v>5.4419495678517331E-2</v>
      </c>
      <c r="O1442" s="8">
        <f>IFERROR(H1442/G1442,0)</f>
        <v>0.12320916905444126</v>
      </c>
      <c r="P1442" s="4">
        <f>IFERROR(I1442/G1442,0)</f>
        <v>0.33282439623413834</v>
      </c>
      <c r="Q1442" s="4">
        <f>IFERROR(I1442/H1442,0)</f>
        <v>2.7012956810631232</v>
      </c>
      <c r="R1442" s="12">
        <f>IFERROR(J1442/I1442,0)</f>
        <v>24.059771980961514</v>
      </c>
      <c r="S1442" s="7">
        <f>Tabla_nuevas_columnas[[#This Row],[ROAS]]</f>
        <v>24.059771980961514</v>
      </c>
      <c r="T1442" t="str">
        <f>_xlfn.CONCAT(C1442,"-",D1442)</f>
        <v>Paid Social-España</v>
      </c>
      <c r="U1442">
        <f>YEAR(A1442)</f>
        <v>2025</v>
      </c>
      <c r="V1442">
        <f>MONTH(A1442)</f>
        <v>9</v>
      </c>
      <c r="W1442" t="str">
        <f>PROPER(TEXT(A1442,"mmmm"))</f>
        <v>Septiembre</v>
      </c>
      <c r="X1442" t="str">
        <f>PROPER(TEXT(A1442,"dddd"))</f>
        <v>Miércoles</v>
      </c>
      <c r="Y1442" t="str" cm="1">
        <f t="array" ref="Y1442">_xlfn.IFS(R1442&gt;10,"Excelente",R1442&gt;=5,"Bueno",R1442&gt;=2,"Débil",R1442&lt;2,"Deficiente")</f>
        <v>Excelente</v>
      </c>
      <c r="Z1442" t="str">
        <f>IF(AND(R1442&lt;2,Q1442&gt;=100),"Revisar","OK")</f>
        <v>OK</v>
      </c>
      <c r="AA1442" s="55">
        <f>_xlfn.XLOOKUP(C1442,'Preguntas de negocio'!$C$114:$C$119,'Preguntas de negocio'!$D$114:$D$119,0)</f>
        <v>6</v>
      </c>
      <c r="AB1442" s="55">
        <f>VLOOKUP(C1442,'Preguntas de negocio'!$C$121:$D$127,2,FALSE)</f>
        <v>0.8</v>
      </c>
    </row>
    <row r="1443" spans="1:28" x14ac:dyDescent="0.3">
      <c r="A1443" s="1">
        <v>45958</v>
      </c>
      <c r="B1443" s="2" t="s">
        <v>2618</v>
      </c>
      <c r="C1443" s="2" t="s">
        <v>2533</v>
      </c>
      <c r="D1443" s="2" t="s">
        <v>2531</v>
      </c>
      <c r="E1443" s="2" t="s">
        <v>2529</v>
      </c>
      <c r="F1443" s="3">
        <v>177937</v>
      </c>
      <c r="G1443" s="3">
        <v>3230</v>
      </c>
      <c r="H1443" s="3">
        <v>356</v>
      </c>
      <c r="I1443" s="4">
        <v>1618.3</v>
      </c>
      <c r="J1443" s="4">
        <v>34214.57</v>
      </c>
      <c r="K1443" s="3">
        <v>255</v>
      </c>
      <c r="L1443" s="2" t="s">
        <v>2518</v>
      </c>
      <c r="M1443" s="2" t="s">
        <v>2537</v>
      </c>
      <c r="N1443" s="8">
        <f>IFERROR(G1443/F1443,0)</f>
        <v>1.8152492174196486E-2</v>
      </c>
      <c r="O1443" s="8">
        <f>IFERROR(H1443/G1443,0)</f>
        <v>0.11021671826625387</v>
      </c>
      <c r="P1443" s="4">
        <f>IFERROR(I1443/G1443,0)</f>
        <v>0.50102167182662538</v>
      </c>
      <c r="Q1443" s="4">
        <f>IFERROR(I1443/H1443,0)</f>
        <v>4.5457865168539326</v>
      </c>
      <c r="R1443" s="12">
        <f>IFERROR(J1443/I1443,0)</f>
        <v>21.142291293332509</v>
      </c>
      <c r="S1443" s="7">
        <f>Tabla_nuevas_columnas[[#This Row],[ROAS]]</f>
        <v>21.142291293332509</v>
      </c>
      <c r="T1443" t="str">
        <f>_xlfn.CONCAT(C1443,"-",D1443)</f>
        <v>Paid Social-Portugal</v>
      </c>
      <c r="U1443">
        <f>YEAR(A1443)</f>
        <v>2025</v>
      </c>
      <c r="V1443">
        <f>MONTH(A1443)</f>
        <v>10</v>
      </c>
      <c r="W1443" t="str">
        <f>PROPER(TEXT(A1443,"mmmm"))</f>
        <v>Octubre</v>
      </c>
      <c r="X1443" t="str">
        <f>PROPER(TEXT(A1443,"dddd"))</f>
        <v>Martes</v>
      </c>
      <c r="Y1443" t="str" cm="1">
        <f t="array" ref="Y1443">_xlfn.IFS(R1443&gt;10,"Excelente",R1443&gt;=5,"Bueno",R1443&gt;=2,"Débil",R1443&lt;2,"Deficiente")</f>
        <v>Excelente</v>
      </c>
      <c r="Z1443" t="str">
        <f>IF(AND(R1443&lt;2,Q1443&gt;=100),"Revisar","OK")</f>
        <v>OK</v>
      </c>
      <c r="AA1443" s="55">
        <f>_xlfn.XLOOKUP(C1443,'Preguntas de negocio'!$C$114:$C$119,'Preguntas de negocio'!$D$114:$D$119,0)</f>
        <v>6</v>
      </c>
      <c r="AB1443" s="55">
        <f>VLOOKUP(C1443,'Preguntas de negocio'!$C$121:$D$127,2,FALSE)</f>
        <v>0.8</v>
      </c>
    </row>
    <row r="1444" spans="1:28" x14ac:dyDescent="0.3">
      <c r="A1444" s="1">
        <v>45957</v>
      </c>
      <c r="B1444" s="2" t="s">
        <v>2644</v>
      </c>
      <c r="C1444" s="2" t="s">
        <v>2533</v>
      </c>
      <c r="D1444" s="2" t="s">
        <v>2528</v>
      </c>
      <c r="E1444" s="2" t="s">
        <v>2517</v>
      </c>
      <c r="F1444" s="3">
        <v>142148</v>
      </c>
      <c r="G1444" s="3">
        <v>2833</v>
      </c>
      <c r="H1444" s="3">
        <v>338</v>
      </c>
      <c r="I1444" s="4">
        <v>2789.32</v>
      </c>
      <c r="J1444" s="4">
        <v>61252.53</v>
      </c>
      <c r="K1444" s="3">
        <v>206</v>
      </c>
      <c r="L1444" s="2" t="s">
        <v>2518</v>
      </c>
      <c r="M1444" s="2" t="s">
        <v>2546</v>
      </c>
      <c r="N1444" s="8">
        <f>IFERROR(G1444/F1444,0)</f>
        <v>1.9929932183358191E-2</v>
      </c>
      <c r="O1444" s="8">
        <f>IFERROR(H1444/G1444,0)</f>
        <v>0.11930815390045887</v>
      </c>
      <c r="P1444" s="4">
        <f>IFERROR(I1444/G1444,0)</f>
        <v>0.98458171549594076</v>
      </c>
      <c r="Q1444" s="4">
        <f>IFERROR(I1444/H1444,0)</f>
        <v>8.2524260355029586</v>
      </c>
      <c r="R1444" s="12">
        <f>IFERROR(J1444/I1444,0)</f>
        <v>21.959664004130037</v>
      </c>
      <c r="S1444" s="7">
        <f>Tabla_nuevas_columnas[[#This Row],[ROAS]]</f>
        <v>21.959664004130037</v>
      </c>
      <c r="T1444" t="str">
        <f>_xlfn.CONCAT(C1444,"-",D1444)</f>
        <v>Paid Social-España</v>
      </c>
      <c r="U1444">
        <f>YEAR(A1444)</f>
        <v>2025</v>
      </c>
      <c r="V1444">
        <f>MONTH(A1444)</f>
        <v>10</v>
      </c>
      <c r="W1444" t="str">
        <f>PROPER(TEXT(A1444,"mmmm"))</f>
        <v>Octubre</v>
      </c>
      <c r="X1444" t="str">
        <f>PROPER(TEXT(A1444,"dddd"))</f>
        <v>Lunes</v>
      </c>
      <c r="Y1444" t="str" cm="1">
        <f t="array" ref="Y1444">_xlfn.IFS(R1444&gt;10,"Excelente",R1444&gt;=5,"Bueno",R1444&gt;=2,"Débil",R1444&lt;2,"Deficiente")</f>
        <v>Excelente</v>
      </c>
      <c r="Z1444" t="str">
        <f>IF(AND(R1444&lt;2,Q1444&gt;=100),"Revisar","OK")</f>
        <v>OK</v>
      </c>
      <c r="AA1444" s="55">
        <f>_xlfn.XLOOKUP(C1444,'Preguntas de negocio'!$C$114:$C$119,'Preguntas de negocio'!$D$114:$D$119,0)</f>
        <v>6</v>
      </c>
      <c r="AB1444" s="55">
        <f>VLOOKUP(C1444,'Preguntas de negocio'!$C$121:$D$127,2,FALSE)</f>
        <v>0.8</v>
      </c>
    </row>
    <row r="1445" spans="1:28" x14ac:dyDescent="0.3">
      <c r="A1445" s="1">
        <v>45956</v>
      </c>
      <c r="B1445" s="2" t="s">
        <v>2627</v>
      </c>
      <c r="C1445" s="2" t="s">
        <v>2541</v>
      </c>
      <c r="D1445" s="2" t="s">
        <v>2516</v>
      </c>
      <c r="E1445" s="2" t="s">
        <v>2517</v>
      </c>
      <c r="F1445" s="3">
        <v>121475</v>
      </c>
      <c r="G1445" s="3">
        <v>1959</v>
      </c>
      <c r="H1445" s="3">
        <v>73</v>
      </c>
      <c r="I1445" s="4">
        <v>3983.78</v>
      </c>
      <c r="J1445" s="4">
        <v>14765.1</v>
      </c>
      <c r="K1445" s="3">
        <v>48</v>
      </c>
      <c r="L1445" s="2" t="s">
        <v>2523</v>
      </c>
      <c r="M1445" s="2" t="s">
        <v>2537</v>
      </c>
      <c r="N1445" s="8">
        <f>IFERROR(G1445/F1445,0)</f>
        <v>1.6126775056596009E-2</v>
      </c>
      <c r="O1445" s="8">
        <f>IFERROR(H1445/G1445,0)</f>
        <v>3.7263910158244005E-2</v>
      </c>
      <c r="P1445" s="4">
        <f>IFERROR(I1445/G1445,0)</f>
        <v>2.0335783563042371</v>
      </c>
      <c r="Q1445" s="4">
        <f>IFERROR(I1445/H1445,0)</f>
        <v>54.572328767123288</v>
      </c>
      <c r="R1445" s="12">
        <f>IFERROR(J1445/I1445,0)</f>
        <v>3.7063040629753652</v>
      </c>
      <c r="S1445" s="7">
        <f>Tabla_nuevas_columnas[[#This Row],[ROAS]]</f>
        <v>3.7063040629753652</v>
      </c>
      <c r="T1445" t="str">
        <f>_xlfn.CONCAT(C1445,"-",D1445)</f>
        <v>Display-México</v>
      </c>
      <c r="U1445">
        <f>YEAR(A1445)</f>
        <v>2025</v>
      </c>
      <c r="V1445">
        <f>MONTH(A1445)</f>
        <v>10</v>
      </c>
      <c r="W1445" t="str">
        <f>PROPER(TEXT(A1445,"mmmm"))</f>
        <v>Octubre</v>
      </c>
      <c r="X1445" t="str">
        <f>PROPER(TEXT(A1445,"dddd"))</f>
        <v>Domingo</v>
      </c>
      <c r="Y1445" t="str" cm="1">
        <f t="array" ref="Y1445">_xlfn.IFS(R1445&gt;10,"Excelente",R1445&gt;=5,"Bueno",R1445&gt;=2,"Débil",R1445&lt;2,"Deficiente")</f>
        <v>Débil</v>
      </c>
      <c r="Z1445" t="str">
        <f>IF(AND(R1445&lt;2,Q1445&gt;=100),"Revisar","OK")</f>
        <v>OK</v>
      </c>
      <c r="AA1445" s="55">
        <f>_xlfn.XLOOKUP(C1445,'Preguntas de negocio'!$C$114:$C$119,'Preguntas de negocio'!$D$114:$D$119,0)</f>
        <v>5</v>
      </c>
      <c r="AB1445" s="55">
        <f>VLOOKUP(C1445,'Preguntas de negocio'!$C$121:$D$127,2,FALSE)</f>
        <v>0.5</v>
      </c>
    </row>
    <row r="1446" spans="1:28" x14ac:dyDescent="0.3">
      <c r="A1446" s="1">
        <v>46019</v>
      </c>
      <c r="B1446" s="2" t="s">
        <v>2623</v>
      </c>
      <c r="C1446" s="2" t="s">
        <v>2533</v>
      </c>
      <c r="D1446" s="2" t="s">
        <v>2528</v>
      </c>
      <c r="E1446" s="2" t="s">
        <v>2529</v>
      </c>
      <c r="F1446" s="3">
        <v>91902</v>
      </c>
      <c r="G1446" s="3">
        <v>5068</v>
      </c>
      <c r="H1446" s="3">
        <v>154</v>
      </c>
      <c r="I1446" s="4">
        <v>4909.76</v>
      </c>
      <c r="J1446" s="4">
        <v>4848.04</v>
      </c>
      <c r="K1446" s="3">
        <v>109</v>
      </c>
      <c r="L1446" s="2" t="s">
        <v>2539</v>
      </c>
      <c r="M1446" s="2" t="s">
        <v>2546</v>
      </c>
      <c r="N1446" s="8">
        <f>IFERROR(G1446/F1446,0)</f>
        <v>5.514569867902766E-2</v>
      </c>
      <c r="O1446" s="8">
        <f>IFERROR(H1446/G1446,0)</f>
        <v>3.0386740331491711E-2</v>
      </c>
      <c r="P1446" s="4">
        <f>IFERROR(I1446/G1446,0)</f>
        <v>0.96877663772691402</v>
      </c>
      <c r="Q1446" s="4">
        <f>IFERROR(I1446/H1446,0)</f>
        <v>31.881558441558443</v>
      </c>
      <c r="R1446" s="12">
        <f>IFERROR(J1446/I1446,0)</f>
        <v>0.98742912077168732</v>
      </c>
      <c r="S1446" s="7">
        <f>Tabla_nuevas_columnas[[#This Row],[ROAS]]</f>
        <v>0.98742912077168732</v>
      </c>
      <c r="T1446" t="str">
        <f>_xlfn.CONCAT(C1446,"-",D1446)</f>
        <v>Paid Social-España</v>
      </c>
      <c r="U1446">
        <f>YEAR(A1446)</f>
        <v>2025</v>
      </c>
      <c r="V1446">
        <f>MONTH(A1446)</f>
        <v>12</v>
      </c>
      <c r="W1446" t="str">
        <f>PROPER(TEXT(A1446,"mmmm"))</f>
        <v>Diciembre</v>
      </c>
      <c r="X1446" t="str">
        <f>PROPER(TEXT(A1446,"dddd"))</f>
        <v>Domingo</v>
      </c>
      <c r="Y1446" t="str" cm="1">
        <f t="array" ref="Y1446">_xlfn.IFS(R1446&gt;10,"Excelente",R1446&gt;=5,"Bueno",R1446&gt;=2,"Débil",R1446&lt;2,"Deficiente")</f>
        <v>Deficiente</v>
      </c>
      <c r="Z1446" t="str">
        <f>IF(AND(R1446&lt;2,Q1446&gt;=100),"Revisar","OK")</f>
        <v>OK</v>
      </c>
      <c r="AA1446" s="55">
        <f>_xlfn.XLOOKUP(C1446,'Preguntas de negocio'!$C$114:$C$119,'Preguntas de negocio'!$D$114:$D$119,0)</f>
        <v>6</v>
      </c>
      <c r="AB1446" s="55">
        <f>VLOOKUP(C1446,'Preguntas de negocio'!$C$121:$D$127,2,FALSE)</f>
        <v>0.8</v>
      </c>
    </row>
    <row r="1447" spans="1:28" x14ac:dyDescent="0.3">
      <c r="A1447" s="1">
        <v>45734</v>
      </c>
      <c r="B1447" s="2" t="s">
        <v>2630</v>
      </c>
      <c r="C1447" s="2" t="s">
        <v>2527</v>
      </c>
      <c r="D1447" s="2" t="s">
        <v>2516</v>
      </c>
      <c r="E1447" s="2" t="s">
        <v>2517</v>
      </c>
      <c r="F1447" s="3">
        <v>12214</v>
      </c>
      <c r="G1447" s="3">
        <v>515</v>
      </c>
      <c r="H1447" s="3">
        <v>62</v>
      </c>
      <c r="I1447" s="4">
        <v>611.52</v>
      </c>
      <c r="J1447" s="4">
        <v>11637.69</v>
      </c>
      <c r="K1447" s="3">
        <v>49</v>
      </c>
      <c r="L1447" s="2" t="s">
        <v>2539</v>
      </c>
      <c r="M1447" s="2" t="s">
        <v>2524</v>
      </c>
      <c r="N1447" s="8">
        <f>IFERROR(G1447/F1447,0)</f>
        <v>4.2164728999508759E-2</v>
      </c>
      <c r="O1447" s="8">
        <f>IFERROR(H1447/G1447,0)</f>
        <v>0.12038834951456311</v>
      </c>
      <c r="P1447" s="4">
        <f>IFERROR(I1447/G1447,0)</f>
        <v>1.1874174757281553</v>
      </c>
      <c r="Q1447" s="4">
        <f>IFERROR(I1447/H1447,0)</f>
        <v>9.863225806451613</v>
      </c>
      <c r="R1447" s="12">
        <f>IFERROR(J1447/I1447,0)</f>
        <v>19.030759419152279</v>
      </c>
      <c r="S1447" s="7">
        <f>Tabla_nuevas_columnas[[#This Row],[ROAS]]</f>
        <v>19.030759419152279</v>
      </c>
      <c r="T1447" t="str">
        <f>_xlfn.CONCAT(C1447,"-",D1447)</f>
        <v>Affiliate-México</v>
      </c>
      <c r="U1447">
        <f>YEAR(A1447)</f>
        <v>2025</v>
      </c>
      <c r="V1447">
        <f>MONTH(A1447)</f>
        <v>3</v>
      </c>
      <c r="W1447" t="str">
        <f>PROPER(TEXT(A1447,"mmmm"))</f>
        <v>Marzo</v>
      </c>
      <c r="X1447" t="str">
        <f>PROPER(TEXT(A1447,"dddd"))</f>
        <v>Martes</v>
      </c>
      <c r="Y1447" t="str" cm="1">
        <f t="array" ref="Y1447">_xlfn.IFS(R1447&gt;10,"Excelente",R1447&gt;=5,"Bueno",R1447&gt;=2,"Débil",R1447&lt;2,"Deficiente")</f>
        <v>Excelente</v>
      </c>
      <c r="Z1447" t="str">
        <f>IF(AND(R1447&lt;2,Q1447&gt;=100),"Revisar","OK")</f>
        <v>OK</v>
      </c>
      <c r="AA1447" s="55">
        <f>_xlfn.XLOOKUP(C1447,'Preguntas de negocio'!$C$114:$C$119,'Preguntas de negocio'!$D$114:$D$119,0)</f>
        <v>4.5</v>
      </c>
      <c r="AB1447" s="55">
        <f>VLOOKUP(C1447,'Preguntas de negocio'!$C$121:$D$127,2,FALSE)</f>
        <v>0.35</v>
      </c>
    </row>
    <row r="1448" spans="1:28" x14ac:dyDescent="0.3">
      <c r="A1448" s="1">
        <v>45927</v>
      </c>
      <c r="B1448" s="2" t="s">
        <v>2641</v>
      </c>
      <c r="C1448" s="2" t="s">
        <v>2533</v>
      </c>
      <c r="D1448" s="2" t="s">
        <v>2525</v>
      </c>
      <c r="E1448" s="2" t="s">
        <v>2517</v>
      </c>
      <c r="F1448" s="3">
        <v>121233</v>
      </c>
      <c r="G1448" s="3">
        <v>3134</v>
      </c>
      <c r="H1448" s="3">
        <v>289</v>
      </c>
      <c r="I1448" s="4">
        <v>1018.03</v>
      </c>
      <c r="J1448" s="4">
        <v>24867.32</v>
      </c>
      <c r="K1448" s="3">
        <v>190</v>
      </c>
      <c r="L1448" s="2" t="s">
        <v>2539</v>
      </c>
      <c r="M1448" s="2" t="s">
        <v>2537</v>
      </c>
      <c r="N1448" s="8">
        <f>IFERROR(G1448/F1448,0)</f>
        <v>2.5851047157127185E-2</v>
      </c>
      <c r="O1448" s="8">
        <f>IFERROR(H1448/G1448,0)</f>
        <v>9.2214422463305676E-2</v>
      </c>
      <c r="P1448" s="4">
        <f>IFERROR(I1448/G1448,0)</f>
        <v>0.32483407785577534</v>
      </c>
      <c r="Q1448" s="4">
        <f>IFERROR(I1448/H1448,0)</f>
        <v>3.5225951557093427</v>
      </c>
      <c r="R1448" s="12">
        <f>IFERROR(J1448/I1448,0)</f>
        <v>24.426902939991944</v>
      </c>
      <c r="S1448" s="7">
        <f>Tabla_nuevas_columnas[[#This Row],[ROAS]]</f>
        <v>24.426902939991944</v>
      </c>
      <c r="T1448" t="str">
        <f>_xlfn.CONCAT(C1448,"-",D1448)</f>
        <v>Paid Social-Francia</v>
      </c>
      <c r="U1448">
        <f>YEAR(A1448)</f>
        <v>2025</v>
      </c>
      <c r="V1448">
        <f>MONTH(A1448)</f>
        <v>9</v>
      </c>
      <c r="W1448" t="str">
        <f>PROPER(TEXT(A1448,"mmmm"))</f>
        <v>Septiembre</v>
      </c>
      <c r="X1448" t="str">
        <f>PROPER(TEXT(A1448,"dddd"))</f>
        <v>Sábado</v>
      </c>
      <c r="Y1448" t="str" cm="1">
        <f t="array" ref="Y1448">_xlfn.IFS(R1448&gt;10,"Excelente",R1448&gt;=5,"Bueno",R1448&gt;=2,"Débil",R1448&lt;2,"Deficiente")</f>
        <v>Excelente</v>
      </c>
      <c r="Z1448" t="str">
        <f>IF(AND(R1448&lt;2,Q1448&gt;=100),"Revisar","OK")</f>
        <v>OK</v>
      </c>
      <c r="AA1448" s="55">
        <f>_xlfn.XLOOKUP(C1448,'Preguntas de negocio'!$C$114:$C$119,'Preguntas de negocio'!$D$114:$D$119,0)</f>
        <v>6</v>
      </c>
      <c r="AB1448" s="55">
        <f>VLOOKUP(C1448,'Preguntas de negocio'!$C$121:$D$127,2,FALSE)</f>
        <v>0.8</v>
      </c>
    </row>
    <row r="1449" spans="1:28" x14ac:dyDescent="0.3">
      <c r="A1449" s="1">
        <v>46021</v>
      </c>
      <c r="B1449" s="2" t="s">
        <v>2628</v>
      </c>
      <c r="C1449" s="2" t="s">
        <v>2541</v>
      </c>
      <c r="D1449" s="2" t="s">
        <v>2525</v>
      </c>
      <c r="E1449" s="2" t="s">
        <v>2529</v>
      </c>
      <c r="F1449" s="3">
        <v>49658</v>
      </c>
      <c r="G1449" s="3">
        <v>1904</v>
      </c>
      <c r="H1449" s="3">
        <v>70</v>
      </c>
      <c r="I1449" s="4">
        <v>3995.77</v>
      </c>
      <c r="J1449" s="4">
        <v>11925.35</v>
      </c>
      <c r="K1449" s="3">
        <v>62</v>
      </c>
      <c r="L1449" s="2" t="s">
        <v>2523</v>
      </c>
      <c r="M1449" s="2" t="s">
        <v>2546</v>
      </c>
      <c r="N1449" s="8">
        <f>IFERROR(G1449/F1449,0)</f>
        <v>3.8342261065689318E-2</v>
      </c>
      <c r="O1449" s="8">
        <f>IFERROR(H1449/G1449,0)</f>
        <v>3.6764705882352942E-2</v>
      </c>
      <c r="P1449" s="4">
        <f>IFERROR(I1449/G1449,0)</f>
        <v>2.0986186974789915</v>
      </c>
      <c r="Q1449" s="4">
        <f>IFERROR(I1449/H1449,0)</f>
        <v>57.082428571428572</v>
      </c>
      <c r="R1449" s="12">
        <f>IFERROR(J1449/I1449,0)</f>
        <v>2.9844936019840982</v>
      </c>
      <c r="S1449" s="7">
        <f>Tabla_nuevas_columnas[[#This Row],[ROAS]]</f>
        <v>2.9844936019840982</v>
      </c>
      <c r="T1449" t="str">
        <f>_xlfn.CONCAT(C1449,"-",D1449)</f>
        <v>Display-Francia</v>
      </c>
      <c r="U1449">
        <f>YEAR(A1449)</f>
        <v>2025</v>
      </c>
      <c r="V1449">
        <f>MONTH(A1449)</f>
        <v>12</v>
      </c>
      <c r="W1449" t="str">
        <f>PROPER(TEXT(A1449,"mmmm"))</f>
        <v>Diciembre</v>
      </c>
      <c r="X1449" t="str">
        <f>PROPER(TEXT(A1449,"dddd"))</f>
        <v>Martes</v>
      </c>
      <c r="Y1449" t="str" cm="1">
        <f t="array" ref="Y1449">_xlfn.IFS(R1449&gt;10,"Excelente",R1449&gt;=5,"Bueno",R1449&gt;=2,"Débil",R1449&lt;2,"Deficiente")</f>
        <v>Débil</v>
      </c>
      <c r="Z1449" t="str">
        <f>IF(AND(R1449&lt;2,Q1449&gt;=100),"Revisar","OK")</f>
        <v>OK</v>
      </c>
      <c r="AA1449" s="55">
        <f>_xlfn.XLOOKUP(C1449,'Preguntas de negocio'!$C$114:$C$119,'Preguntas de negocio'!$D$114:$D$119,0)</f>
        <v>5</v>
      </c>
      <c r="AB1449" s="55">
        <f>VLOOKUP(C1449,'Preguntas de negocio'!$C$121:$D$127,2,FALSE)</f>
        <v>0.5</v>
      </c>
    </row>
    <row r="1450" spans="1:28" x14ac:dyDescent="0.3">
      <c r="A1450" s="1">
        <v>45731</v>
      </c>
      <c r="B1450" s="2" t="s">
        <v>2629</v>
      </c>
      <c r="C1450" s="2" t="s">
        <v>2541</v>
      </c>
      <c r="D1450" s="2" t="s">
        <v>2525</v>
      </c>
      <c r="E1450" s="2" t="s">
        <v>2529</v>
      </c>
      <c r="F1450" s="3">
        <v>113579</v>
      </c>
      <c r="G1450" s="3">
        <v>4972</v>
      </c>
      <c r="H1450" s="3">
        <v>613</v>
      </c>
      <c r="I1450" s="4">
        <v>5914.33</v>
      </c>
      <c r="J1450" s="4">
        <v>47603.82</v>
      </c>
      <c r="K1450" s="3">
        <v>355</v>
      </c>
      <c r="L1450" s="2" t="s">
        <v>2523</v>
      </c>
      <c r="M1450" s="2" t="s">
        <v>2537</v>
      </c>
      <c r="N1450" s="8">
        <f>IFERROR(G1450/F1450,0)</f>
        <v>4.3775697972336436E-2</v>
      </c>
      <c r="O1450" s="8">
        <f>IFERROR(H1450/G1450,0)</f>
        <v>0.12329042638777152</v>
      </c>
      <c r="P1450" s="4">
        <f>IFERROR(I1450/G1450,0)</f>
        <v>1.1895273531777957</v>
      </c>
      <c r="Q1450" s="4">
        <f>IFERROR(I1450/H1450,0)</f>
        <v>9.6481729200652531</v>
      </c>
      <c r="R1450" s="12">
        <f>IFERROR(J1450/I1450,0)</f>
        <v>8.0488948029616196</v>
      </c>
      <c r="S1450" s="7">
        <f>Tabla_nuevas_columnas[[#This Row],[ROAS]]</f>
        <v>8.0488948029616196</v>
      </c>
      <c r="T1450" t="str">
        <f>_xlfn.CONCAT(C1450,"-",D1450)</f>
        <v>Display-Francia</v>
      </c>
      <c r="U1450">
        <f>YEAR(A1450)</f>
        <v>2025</v>
      </c>
      <c r="V1450">
        <f>MONTH(A1450)</f>
        <v>3</v>
      </c>
      <c r="W1450" t="str">
        <f>PROPER(TEXT(A1450,"mmmm"))</f>
        <v>Marzo</v>
      </c>
      <c r="X1450" t="str">
        <f>PROPER(TEXT(A1450,"dddd"))</f>
        <v>Sábado</v>
      </c>
      <c r="Y1450" t="str" cm="1">
        <f t="array" ref="Y1450">_xlfn.IFS(R1450&gt;10,"Excelente",R1450&gt;=5,"Bueno",R1450&gt;=2,"Débil",R1450&lt;2,"Deficiente")</f>
        <v>Bueno</v>
      </c>
      <c r="Z1450" t="str">
        <f>IF(AND(R1450&lt;2,Q1450&gt;=100),"Revisar","OK")</f>
        <v>OK</v>
      </c>
      <c r="AA1450" s="55">
        <f>_xlfn.XLOOKUP(C1450,'Preguntas de negocio'!$C$114:$C$119,'Preguntas de negocio'!$D$114:$D$119,0)</f>
        <v>5</v>
      </c>
      <c r="AB1450" s="55">
        <f>VLOOKUP(C1450,'Preguntas de negocio'!$C$121:$D$127,2,FALSE)</f>
        <v>0.5</v>
      </c>
    </row>
    <row r="1451" spans="1:28" x14ac:dyDescent="0.3">
      <c r="A1451" s="1">
        <v>45694</v>
      </c>
      <c r="B1451" s="2" t="s">
        <v>2625</v>
      </c>
      <c r="C1451" s="2" t="s">
        <v>2533</v>
      </c>
      <c r="D1451" s="2" t="s">
        <v>2528</v>
      </c>
      <c r="E1451" s="2" t="s">
        <v>2529</v>
      </c>
      <c r="F1451" s="3">
        <v>32411</v>
      </c>
      <c r="G1451" s="3">
        <v>2739</v>
      </c>
      <c r="H1451" s="3">
        <v>319</v>
      </c>
      <c r="I1451" s="4">
        <v>1985.78</v>
      </c>
      <c r="J1451" s="4">
        <v>33572.839999999997</v>
      </c>
      <c r="K1451" s="3">
        <v>159</v>
      </c>
      <c r="L1451" s="2" t="s">
        <v>2539</v>
      </c>
      <c r="M1451" s="2" t="s">
        <v>2526</v>
      </c>
      <c r="N1451" s="8">
        <f>IFERROR(G1451/F1451,0)</f>
        <v>8.4508345931936693E-2</v>
      </c>
      <c r="O1451" s="8">
        <f>IFERROR(H1451/G1451,0)</f>
        <v>0.11646586345381527</v>
      </c>
      <c r="P1451" s="4">
        <f>IFERROR(I1451/G1451,0)</f>
        <v>0.72500182548375314</v>
      </c>
      <c r="Q1451" s="4">
        <f>IFERROR(I1451/H1451,0)</f>
        <v>6.2250156739811908</v>
      </c>
      <c r="R1451" s="12">
        <f>IFERROR(J1451/I1451,0)</f>
        <v>16.906626111653857</v>
      </c>
      <c r="S1451" s="7">
        <f>Tabla_nuevas_columnas[[#This Row],[ROAS]]</f>
        <v>16.906626111653857</v>
      </c>
      <c r="T1451" t="str">
        <f>_xlfn.CONCAT(C1451,"-",D1451)</f>
        <v>Paid Social-España</v>
      </c>
      <c r="U1451">
        <f>YEAR(A1451)</f>
        <v>2025</v>
      </c>
      <c r="V1451">
        <f>MONTH(A1451)</f>
        <v>2</v>
      </c>
      <c r="W1451" t="str">
        <f>PROPER(TEXT(A1451,"mmmm"))</f>
        <v>Febrero</v>
      </c>
      <c r="X1451" t="str">
        <f>PROPER(TEXT(A1451,"dddd"))</f>
        <v>Jueves</v>
      </c>
      <c r="Y1451" t="str" cm="1">
        <f t="array" ref="Y1451">_xlfn.IFS(R1451&gt;10,"Excelente",R1451&gt;=5,"Bueno",R1451&gt;=2,"Débil",R1451&lt;2,"Deficiente")</f>
        <v>Excelente</v>
      </c>
      <c r="Z1451" t="str">
        <f>IF(AND(R1451&lt;2,Q1451&gt;=100),"Revisar","OK")</f>
        <v>OK</v>
      </c>
      <c r="AA1451" s="55">
        <f>_xlfn.XLOOKUP(C1451,'Preguntas de negocio'!$C$114:$C$119,'Preguntas de negocio'!$D$114:$D$119,0)</f>
        <v>6</v>
      </c>
      <c r="AB1451" s="55">
        <f>VLOOKUP(C1451,'Preguntas de negocio'!$C$121:$D$127,2,FALSE)</f>
        <v>0.8</v>
      </c>
    </row>
    <row r="1452" spans="1:28" x14ac:dyDescent="0.3">
      <c r="A1452" s="1">
        <v>45883</v>
      </c>
      <c r="B1452" s="2" t="s">
        <v>2631</v>
      </c>
      <c r="C1452" s="2" t="s">
        <v>2527</v>
      </c>
      <c r="D1452" s="2" t="s">
        <v>2525</v>
      </c>
      <c r="E1452" s="2" t="s">
        <v>2529</v>
      </c>
      <c r="F1452" s="3">
        <v>132260</v>
      </c>
      <c r="G1452" s="3">
        <v>5197</v>
      </c>
      <c r="H1452" s="3">
        <v>318</v>
      </c>
      <c r="I1452" s="4">
        <v>2568.9899999999998</v>
      </c>
      <c r="J1452" s="4">
        <v>10505.95</v>
      </c>
      <c r="K1452" s="3">
        <v>196</v>
      </c>
      <c r="L1452" s="2" t="s">
        <v>2539</v>
      </c>
      <c r="M1452" s="2" t="s">
        <v>2537</v>
      </c>
      <c r="N1452" s="8">
        <f>IFERROR(G1452/F1452,0)</f>
        <v>3.9293815212460302E-2</v>
      </c>
      <c r="O1452" s="8">
        <f>IFERROR(H1452/G1452,0)</f>
        <v>6.1189147585145279E-2</v>
      </c>
      <c r="P1452" s="4">
        <f>IFERROR(I1452/G1452,0)</f>
        <v>0.4943217240715797</v>
      </c>
      <c r="Q1452" s="4">
        <f>IFERROR(I1452/H1452,0)</f>
        <v>8.0785849056603762</v>
      </c>
      <c r="R1452" s="12">
        <f>IFERROR(J1452/I1452,0)</f>
        <v>4.0895254555292162</v>
      </c>
      <c r="S1452" s="7">
        <f>Tabla_nuevas_columnas[[#This Row],[ROAS]]</f>
        <v>4.0895254555292162</v>
      </c>
      <c r="T1452" t="str">
        <f>_xlfn.CONCAT(C1452,"-",D1452)</f>
        <v>Affiliate-Francia</v>
      </c>
      <c r="U1452">
        <f>YEAR(A1452)</f>
        <v>2025</v>
      </c>
      <c r="V1452">
        <f>MONTH(A1452)</f>
        <v>8</v>
      </c>
      <c r="W1452" t="str">
        <f>PROPER(TEXT(A1452,"mmmm"))</f>
        <v>Agosto</v>
      </c>
      <c r="X1452" t="str">
        <f>PROPER(TEXT(A1452,"dddd"))</f>
        <v>Jueves</v>
      </c>
      <c r="Y1452" t="str" cm="1">
        <f t="array" ref="Y1452">_xlfn.IFS(R1452&gt;10,"Excelente",R1452&gt;=5,"Bueno",R1452&gt;=2,"Débil",R1452&lt;2,"Deficiente")</f>
        <v>Débil</v>
      </c>
      <c r="Z1452" t="str">
        <f>IF(AND(R1452&lt;2,Q1452&gt;=100),"Revisar","OK")</f>
        <v>OK</v>
      </c>
      <c r="AA1452" s="55">
        <f>_xlfn.XLOOKUP(C1452,'Preguntas de negocio'!$C$114:$C$119,'Preguntas de negocio'!$D$114:$D$119,0)</f>
        <v>4.5</v>
      </c>
      <c r="AB1452" s="55">
        <f>VLOOKUP(C1452,'Preguntas de negocio'!$C$121:$D$127,2,FALSE)</f>
        <v>0.35</v>
      </c>
    </row>
    <row r="1453" spans="1:28" x14ac:dyDescent="0.3">
      <c r="A1453" s="1">
        <v>45739</v>
      </c>
      <c r="B1453" s="2" t="s">
        <v>2641</v>
      </c>
      <c r="C1453" s="2" t="s">
        <v>2515</v>
      </c>
      <c r="D1453" s="2" t="s">
        <v>2516</v>
      </c>
      <c r="E1453" s="2" t="s">
        <v>2529</v>
      </c>
      <c r="F1453" s="3">
        <v>162511</v>
      </c>
      <c r="G1453" s="3">
        <v>4762</v>
      </c>
      <c r="H1453" s="3">
        <v>357</v>
      </c>
      <c r="I1453" s="4">
        <v>9509.9</v>
      </c>
      <c r="J1453" s="4">
        <v>76410.14</v>
      </c>
      <c r="K1453" s="3">
        <v>194</v>
      </c>
      <c r="L1453" s="2" t="s">
        <v>2523</v>
      </c>
      <c r="M1453" s="2" t="s">
        <v>2526</v>
      </c>
      <c r="N1453" s="8">
        <f>IFERROR(G1453/F1453,0)</f>
        <v>2.9302631821845906E-2</v>
      </c>
      <c r="O1453" s="8">
        <f>IFERROR(H1453/G1453,0)</f>
        <v>7.4968500629987403E-2</v>
      </c>
      <c r="P1453" s="4">
        <f>IFERROR(I1453/G1453,0)</f>
        <v>1.9970390592188156</v>
      </c>
      <c r="Q1453" s="4">
        <f>IFERROR(I1453/H1453,0)</f>
        <v>26.638375350140056</v>
      </c>
      <c r="R1453" s="12">
        <f>IFERROR(J1453/I1453,0)</f>
        <v>8.0347995247058339</v>
      </c>
      <c r="S1453" s="7">
        <f>Tabla_nuevas_columnas[[#This Row],[ROAS]]</f>
        <v>8.0347995247058339</v>
      </c>
      <c r="T1453" t="str">
        <f>_xlfn.CONCAT(C1453,"-",D1453)</f>
        <v>Email-México</v>
      </c>
      <c r="U1453">
        <f>YEAR(A1453)</f>
        <v>2025</v>
      </c>
      <c r="V1453">
        <f>MONTH(A1453)</f>
        <v>3</v>
      </c>
      <c r="W1453" t="str">
        <f>PROPER(TEXT(A1453,"mmmm"))</f>
        <v>Marzo</v>
      </c>
      <c r="X1453" t="str">
        <f>PROPER(TEXT(A1453,"dddd"))</f>
        <v>Domingo</v>
      </c>
      <c r="Y1453" t="str" cm="1">
        <f t="array" ref="Y1453">_xlfn.IFS(R1453&gt;10,"Excelente",R1453&gt;=5,"Bueno",R1453&gt;=2,"Débil",R1453&lt;2,"Deficiente")</f>
        <v>Bueno</v>
      </c>
      <c r="Z1453" t="str">
        <f>IF(AND(R1453&lt;2,Q1453&gt;=100),"Revisar","OK")</f>
        <v>OK</v>
      </c>
      <c r="AA1453" s="55">
        <f>_xlfn.XLOOKUP(C1453,'Preguntas de negocio'!$C$114:$C$119,'Preguntas de negocio'!$D$114:$D$119,0)</f>
        <v>5.5</v>
      </c>
      <c r="AB1453" s="55">
        <f>VLOOKUP(C1453,'Preguntas de negocio'!$C$121:$D$127,2,FALSE)</f>
        <v>0.65</v>
      </c>
    </row>
    <row r="1454" spans="1:28" x14ac:dyDescent="0.3">
      <c r="A1454" s="1">
        <v>45999</v>
      </c>
      <c r="B1454" s="2" t="s">
        <v>2616</v>
      </c>
      <c r="C1454" s="2" t="s">
        <v>2527</v>
      </c>
      <c r="D1454" s="2" t="s">
        <v>2531</v>
      </c>
      <c r="E1454" s="2" t="s">
        <v>2517</v>
      </c>
      <c r="F1454" s="3">
        <v>121663</v>
      </c>
      <c r="G1454" s="3">
        <v>2711</v>
      </c>
      <c r="H1454" s="3">
        <v>154</v>
      </c>
      <c r="I1454" s="4">
        <v>4025.94</v>
      </c>
      <c r="J1454" s="4">
        <v>32322.080000000002</v>
      </c>
      <c r="K1454" s="3">
        <v>128</v>
      </c>
      <c r="L1454" s="2" t="s">
        <v>2536</v>
      </c>
      <c r="M1454" s="2" t="s">
        <v>2519</v>
      </c>
      <c r="N1454" s="8">
        <f>IFERROR(G1454/F1454,0)</f>
        <v>2.2282863319168521E-2</v>
      </c>
      <c r="O1454" s="8">
        <f>IFERROR(H1454/G1454,0)</f>
        <v>5.6805606787163405E-2</v>
      </c>
      <c r="P1454" s="4">
        <f>IFERROR(I1454/G1454,0)</f>
        <v>1.4850387310955366</v>
      </c>
      <c r="Q1454" s="4">
        <f>IFERROR(I1454/H1454,0)</f>
        <v>26.142467532467531</v>
      </c>
      <c r="R1454" s="12">
        <f>IFERROR(J1454/I1454,0)</f>
        <v>8.0284554663010379</v>
      </c>
      <c r="S1454" s="7">
        <f>Tabla_nuevas_columnas[[#This Row],[ROAS]]</f>
        <v>8.0284554663010379</v>
      </c>
      <c r="T1454" t="str">
        <f>_xlfn.CONCAT(C1454,"-",D1454)</f>
        <v>Affiliate-Portugal</v>
      </c>
      <c r="U1454">
        <f>YEAR(A1454)</f>
        <v>2025</v>
      </c>
      <c r="V1454">
        <f>MONTH(A1454)</f>
        <v>12</v>
      </c>
      <c r="W1454" t="str">
        <f>PROPER(TEXT(A1454,"mmmm"))</f>
        <v>Diciembre</v>
      </c>
      <c r="X1454" t="str">
        <f>PROPER(TEXT(A1454,"dddd"))</f>
        <v>Lunes</v>
      </c>
      <c r="Y1454" t="str" cm="1">
        <f t="array" ref="Y1454">_xlfn.IFS(R1454&gt;10,"Excelente",R1454&gt;=5,"Bueno",R1454&gt;=2,"Débil",R1454&lt;2,"Deficiente")</f>
        <v>Bueno</v>
      </c>
      <c r="Z1454" t="str">
        <f>IF(AND(R1454&lt;2,Q1454&gt;=100),"Revisar","OK")</f>
        <v>OK</v>
      </c>
      <c r="AA1454" s="55">
        <f>_xlfn.XLOOKUP(C1454,'Preguntas de negocio'!$C$114:$C$119,'Preguntas de negocio'!$D$114:$D$119,0)</f>
        <v>4.5</v>
      </c>
      <c r="AB1454" s="55">
        <f>VLOOKUP(C1454,'Preguntas de negocio'!$C$121:$D$127,2,FALSE)</f>
        <v>0.35</v>
      </c>
    </row>
    <row r="1455" spans="1:28" x14ac:dyDescent="0.3">
      <c r="A1455" s="1">
        <v>45770</v>
      </c>
      <c r="B1455" s="2" t="s">
        <v>2629</v>
      </c>
      <c r="C1455" s="2" t="s">
        <v>2543</v>
      </c>
      <c r="D1455" s="2" t="s">
        <v>2525</v>
      </c>
      <c r="E1455" s="2" t="s">
        <v>2529</v>
      </c>
      <c r="F1455" s="3">
        <v>129675</v>
      </c>
      <c r="G1455" s="3">
        <v>9097</v>
      </c>
      <c r="H1455" s="3">
        <v>481</v>
      </c>
      <c r="I1455" s="4">
        <v>7556.3</v>
      </c>
      <c r="J1455" s="4">
        <v>89908.26</v>
      </c>
      <c r="K1455" s="3">
        <v>375</v>
      </c>
      <c r="L1455" s="2" t="s">
        <v>2523</v>
      </c>
      <c r="M1455" s="2" t="s">
        <v>2519</v>
      </c>
      <c r="N1455" s="8">
        <f>IFERROR(G1455/F1455,0)</f>
        <v>7.0152303836514357E-2</v>
      </c>
      <c r="O1455" s="8">
        <f>IFERROR(H1455/G1455,0)</f>
        <v>5.2874574035396284E-2</v>
      </c>
      <c r="P1455" s="4">
        <f>IFERROR(I1455/G1455,0)</f>
        <v>0.83063647356271297</v>
      </c>
      <c r="Q1455" s="4">
        <f>IFERROR(I1455/H1455,0)</f>
        <v>15.70956340956341</v>
      </c>
      <c r="R1455" s="12">
        <f>IFERROR(J1455/I1455,0)</f>
        <v>11.898450299749877</v>
      </c>
      <c r="S1455" s="7">
        <f>Tabla_nuevas_columnas[[#This Row],[ROAS]]</f>
        <v>11.898450299749877</v>
      </c>
      <c r="T1455" t="str">
        <f>_xlfn.CONCAT(C1455,"-",D1455)</f>
        <v>Organic Social-Francia</v>
      </c>
      <c r="U1455">
        <f>YEAR(A1455)</f>
        <v>2025</v>
      </c>
      <c r="V1455">
        <f>MONTH(A1455)</f>
        <v>4</v>
      </c>
      <c r="W1455" t="str">
        <f>PROPER(TEXT(A1455,"mmmm"))</f>
        <v>Abril</v>
      </c>
      <c r="X1455" t="str">
        <f>PROPER(TEXT(A1455,"dddd"))</f>
        <v>Miércoles</v>
      </c>
      <c r="Y1455" t="str" cm="1">
        <f t="array" ref="Y1455">_xlfn.IFS(R1455&gt;10,"Excelente",R1455&gt;=5,"Bueno",R1455&gt;=2,"Débil",R1455&lt;2,"Deficiente")</f>
        <v>Excelente</v>
      </c>
      <c r="Z1455" t="str">
        <f>IF(AND(R1455&lt;2,Q1455&gt;=100),"Revisar","OK")</f>
        <v>OK</v>
      </c>
      <c r="AA1455" s="55">
        <f>_xlfn.XLOOKUP(C1455,'Preguntas de negocio'!$C$114:$C$119,'Preguntas de negocio'!$D$114:$D$119,0)</f>
        <v>4</v>
      </c>
      <c r="AB1455" s="55">
        <f>VLOOKUP(C1455,'Preguntas de negocio'!$C$121:$D$127,2,FALSE)</f>
        <v>0.95</v>
      </c>
    </row>
    <row r="1456" spans="1:28" x14ac:dyDescent="0.3">
      <c r="A1456" s="1">
        <v>46013</v>
      </c>
      <c r="B1456" s="2" t="s">
        <v>2615</v>
      </c>
      <c r="C1456" s="2" t="s">
        <v>2521</v>
      </c>
      <c r="D1456" s="2" t="s">
        <v>2516</v>
      </c>
      <c r="E1456" s="2" t="s">
        <v>2529</v>
      </c>
      <c r="F1456" s="3">
        <v>172498</v>
      </c>
      <c r="G1456" s="3">
        <v>6969</v>
      </c>
      <c r="H1456" s="3">
        <v>635</v>
      </c>
      <c r="I1456" s="4">
        <v>14570.57</v>
      </c>
      <c r="J1456" s="4">
        <v>86623.86</v>
      </c>
      <c r="K1456" s="3">
        <v>518</v>
      </c>
      <c r="L1456" s="2" t="s">
        <v>2518</v>
      </c>
      <c r="M1456" s="2" t="s">
        <v>2546</v>
      </c>
      <c r="N1456" s="8">
        <f>IFERROR(G1456/F1456,0)</f>
        <v>4.0400468411227956E-2</v>
      </c>
      <c r="O1456" s="8">
        <f>IFERROR(H1456/G1456,0)</f>
        <v>9.1117807432917211E-2</v>
      </c>
      <c r="P1456" s="4">
        <f>IFERROR(I1456/G1456,0)</f>
        <v>2.0907691203902998</v>
      </c>
      <c r="Q1456" s="4">
        <f>IFERROR(I1456/H1456,0)</f>
        <v>22.945779527559054</v>
      </c>
      <c r="R1456" s="12">
        <f>IFERROR(J1456/I1456,0)</f>
        <v>5.9451250019731559</v>
      </c>
      <c r="S1456" s="7">
        <f>Tabla_nuevas_columnas[[#This Row],[ROAS]]</f>
        <v>5.9451250019731559</v>
      </c>
      <c r="T1456" t="str">
        <f>_xlfn.CONCAT(C1456,"-",D1456)</f>
        <v>Paid Search-México</v>
      </c>
      <c r="U1456">
        <f>YEAR(A1456)</f>
        <v>2025</v>
      </c>
      <c r="V1456">
        <f>MONTH(A1456)</f>
        <v>12</v>
      </c>
      <c r="W1456" t="str">
        <f>PROPER(TEXT(A1456,"mmmm"))</f>
        <v>Diciembre</v>
      </c>
      <c r="X1456" t="str">
        <f>PROPER(TEXT(A1456,"dddd"))</f>
        <v>Lunes</v>
      </c>
      <c r="Y1456" t="str" cm="1">
        <f t="array" ref="Y1456">_xlfn.IFS(R1456&gt;10,"Excelente",R1456&gt;=5,"Bueno",R1456&gt;=2,"Débil",R1456&lt;2,"Deficiente")</f>
        <v>Bueno</v>
      </c>
      <c r="Z1456" t="str">
        <f>IF(AND(R1456&lt;2,Q1456&gt;=100),"Revisar","OK")</f>
        <v>OK</v>
      </c>
      <c r="AA1456" s="55">
        <f>_xlfn.XLOOKUP(C1456,'Preguntas de negocio'!$C$114:$C$119,'Preguntas de negocio'!$D$114:$D$119,0)</f>
        <v>5</v>
      </c>
      <c r="AB1456" s="55">
        <f>VLOOKUP(C1456,'Preguntas de negocio'!$C$121:$D$127,2,FALSE)</f>
        <v>1.1000000000000001</v>
      </c>
    </row>
    <row r="1457" spans="1:28" x14ac:dyDescent="0.3">
      <c r="A1457" s="1">
        <v>45802</v>
      </c>
      <c r="B1457" s="2" t="s">
        <v>2621</v>
      </c>
      <c r="C1457" s="2" t="s">
        <v>2543</v>
      </c>
      <c r="D1457" s="2" t="s">
        <v>2522</v>
      </c>
      <c r="E1457" s="2" t="s">
        <v>2517</v>
      </c>
      <c r="F1457" s="3">
        <v>77926</v>
      </c>
      <c r="G1457" s="3">
        <v>4121</v>
      </c>
      <c r="H1457" s="3">
        <v>275</v>
      </c>
      <c r="I1457" s="4">
        <v>3793.32</v>
      </c>
      <c r="J1457" s="4">
        <v>44396.71</v>
      </c>
      <c r="K1457" s="3">
        <v>222</v>
      </c>
      <c r="L1457" s="2" t="s">
        <v>2523</v>
      </c>
      <c r="M1457" s="2" t="s">
        <v>2519</v>
      </c>
      <c r="N1457" s="8">
        <f>IFERROR(G1457/F1457,0)</f>
        <v>5.2883504863588532E-2</v>
      </c>
      <c r="O1457" s="8">
        <f>IFERROR(H1457/G1457,0)</f>
        <v>6.673137587964087E-2</v>
      </c>
      <c r="P1457" s="4">
        <f>IFERROR(I1457/G1457,0)</f>
        <v>0.92048531909730646</v>
      </c>
      <c r="Q1457" s="4">
        <f>IFERROR(I1457/H1457,0)</f>
        <v>13.79389090909091</v>
      </c>
      <c r="R1457" s="12">
        <f>IFERROR(J1457/I1457,0)</f>
        <v>11.703918994442862</v>
      </c>
      <c r="S1457" s="7">
        <f>Tabla_nuevas_columnas[[#This Row],[ROAS]]</f>
        <v>11.703918994442862</v>
      </c>
      <c r="T1457" t="str">
        <f>_xlfn.CONCAT(C1457,"-",D1457)</f>
        <v>Organic Social-Italia</v>
      </c>
      <c r="U1457">
        <f>YEAR(A1457)</f>
        <v>2025</v>
      </c>
      <c r="V1457">
        <f>MONTH(A1457)</f>
        <v>5</v>
      </c>
      <c r="W1457" t="str">
        <f>PROPER(TEXT(A1457,"mmmm"))</f>
        <v>Mayo</v>
      </c>
      <c r="X1457" t="str">
        <f>PROPER(TEXT(A1457,"dddd"))</f>
        <v>Domingo</v>
      </c>
      <c r="Y1457" t="str" cm="1">
        <f t="array" ref="Y1457">_xlfn.IFS(R1457&gt;10,"Excelente",R1457&gt;=5,"Bueno",R1457&gt;=2,"Débil",R1457&lt;2,"Deficiente")</f>
        <v>Excelente</v>
      </c>
      <c r="Z1457" t="str">
        <f>IF(AND(R1457&lt;2,Q1457&gt;=100),"Revisar","OK")</f>
        <v>OK</v>
      </c>
      <c r="AA1457" s="55">
        <f>_xlfn.XLOOKUP(C1457,'Preguntas de negocio'!$C$114:$C$119,'Preguntas de negocio'!$D$114:$D$119,0)</f>
        <v>4</v>
      </c>
      <c r="AB1457" s="55">
        <f>VLOOKUP(C1457,'Preguntas de negocio'!$C$121:$D$127,2,FALSE)</f>
        <v>0.95</v>
      </c>
    </row>
    <row r="1458" spans="1:28" x14ac:dyDescent="0.3">
      <c r="A1458" s="1">
        <v>45998</v>
      </c>
      <c r="B1458" s="2" t="s">
        <v>2634</v>
      </c>
      <c r="C1458" s="2" t="s">
        <v>2521</v>
      </c>
      <c r="D1458" s="2" t="s">
        <v>2528</v>
      </c>
      <c r="E1458" s="2" t="s">
        <v>2529</v>
      </c>
      <c r="F1458" s="3">
        <v>140104</v>
      </c>
      <c r="G1458" s="3">
        <v>12034</v>
      </c>
      <c r="H1458" s="3">
        <v>1380</v>
      </c>
      <c r="I1458" s="4">
        <v>3485.22</v>
      </c>
      <c r="J1458" s="4">
        <v>194633.15</v>
      </c>
      <c r="K1458" s="3">
        <v>762</v>
      </c>
      <c r="L1458" s="2" t="s">
        <v>2518</v>
      </c>
      <c r="M1458" s="2" t="s">
        <v>2537</v>
      </c>
      <c r="N1458" s="8">
        <f>IFERROR(G1458/F1458,0)</f>
        <v>8.5893336378690122E-2</v>
      </c>
      <c r="O1458" s="8">
        <f>IFERROR(H1458/G1458,0)</f>
        <v>0.11467508725278378</v>
      </c>
      <c r="P1458" s="4">
        <f>IFERROR(I1458/G1458,0)</f>
        <v>0.28961442579358482</v>
      </c>
      <c r="Q1458" s="4">
        <f>IFERROR(I1458/H1458,0)</f>
        <v>2.5255217391304345</v>
      </c>
      <c r="R1458" s="12">
        <f>IFERROR(J1458/I1458,0)</f>
        <v>55.845298144736923</v>
      </c>
      <c r="S1458" s="7">
        <f>Tabla_nuevas_columnas[[#This Row],[ROAS]]</f>
        <v>55.845298144736923</v>
      </c>
      <c r="T1458" t="str">
        <f>_xlfn.CONCAT(C1458,"-",D1458)</f>
        <v>Paid Search-España</v>
      </c>
      <c r="U1458">
        <f>YEAR(A1458)</f>
        <v>2025</v>
      </c>
      <c r="V1458">
        <f>MONTH(A1458)</f>
        <v>12</v>
      </c>
      <c r="W1458" t="str">
        <f>PROPER(TEXT(A1458,"mmmm"))</f>
        <v>Diciembre</v>
      </c>
      <c r="X1458" t="str">
        <f>PROPER(TEXT(A1458,"dddd"))</f>
        <v>Domingo</v>
      </c>
      <c r="Y1458" t="str" cm="1">
        <f t="array" ref="Y1458">_xlfn.IFS(R1458&gt;10,"Excelente",R1458&gt;=5,"Bueno",R1458&gt;=2,"Débil",R1458&lt;2,"Deficiente")</f>
        <v>Excelente</v>
      </c>
      <c r="Z1458" t="str">
        <f>IF(AND(R1458&lt;2,Q1458&gt;=100),"Revisar","OK")</f>
        <v>OK</v>
      </c>
      <c r="AA1458" s="55">
        <f>_xlfn.XLOOKUP(C1458,'Preguntas de negocio'!$C$114:$C$119,'Preguntas de negocio'!$D$114:$D$119,0)</f>
        <v>5</v>
      </c>
      <c r="AB1458" s="55">
        <f>VLOOKUP(C1458,'Preguntas de negocio'!$C$121:$D$127,2,FALSE)</f>
        <v>1.1000000000000001</v>
      </c>
    </row>
    <row r="1459" spans="1:28" x14ac:dyDescent="0.3">
      <c r="A1459" s="1">
        <v>45827</v>
      </c>
      <c r="B1459" s="2" t="s">
        <v>2621</v>
      </c>
      <c r="C1459" s="2" t="s">
        <v>2515</v>
      </c>
      <c r="D1459" s="2" t="s">
        <v>2531</v>
      </c>
      <c r="E1459" s="2" t="s">
        <v>2529</v>
      </c>
      <c r="F1459" s="3">
        <v>80074</v>
      </c>
      <c r="G1459" s="3">
        <v>1419</v>
      </c>
      <c r="H1459" s="3">
        <v>69</v>
      </c>
      <c r="I1459" s="4">
        <v>1135.52</v>
      </c>
      <c r="J1459" s="4">
        <v>9606.93</v>
      </c>
      <c r="K1459" s="3">
        <v>36</v>
      </c>
      <c r="L1459" s="2" t="s">
        <v>2523</v>
      </c>
      <c r="M1459" s="2" t="s">
        <v>2537</v>
      </c>
      <c r="N1459" s="8">
        <f>IFERROR(G1459/F1459,0)</f>
        <v>1.772110797512301E-2</v>
      </c>
      <c r="O1459" s="8">
        <f>IFERROR(H1459/G1459,0)</f>
        <v>4.8625792811839326E-2</v>
      </c>
      <c r="P1459" s="4">
        <f>IFERROR(I1459/G1459,0)</f>
        <v>0.80022551092318528</v>
      </c>
      <c r="Q1459" s="4">
        <f>IFERROR(I1459/H1459,0)</f>
        <v>16.456811594202897</v>
      </c>
      <c r="R1459" s="12">
        <f>IFERROR(J1459/I1459,0)</f>
        <v>8.4603793856559122</v>
      </c>
      <c r="S1459" s="7">
        <f>Tabla_nuevas_columnas[[#This Row],[ROAS]]</f>
        <v>8.4603793856559122</v>
      </c>
      <c r="T1459" t="str">
        <f>_xlfn.CONCAT(C1459,"-",D1459)</f>
        <v>Email-Portugal</v>
      </c>
      <c r="U1459">
        <f>YEAR(A1459)</f>
        <v>2025</v>
      </c>
      <c r="V1459">
        <f>MONTH(A1459)</f>
        <v>6</v>
      </c>
      <c r="W1459" t="str">
        <f>PROPER(TEXT(A1459,"mmmm"))</f>
        <v>Junio</v>
      </c>
      <c r="X1459" t="str">
        <f>PROPER(TEXT(A1459,"dddd"))</f>
        <v>Jueves</v>
      </c>
      <c r="Y1459" t="str" cm="1">
        <f t="array" ref="Y1459">_xlfn.IFS(R1459&gt;10,"Excelente",R1459&gt;=5,"Bueno",R1459&gt;=2,"Débil",R1459&lt;2,"Deficiente")</f>
        <v>Bueno</v>
      </c>
      <c r="Z1459" t="str">
        <f>IF(AND(R1459&lt;2,Q1459&gt;=100),"Revisar","OK")</f>
        <v>OK</v>
      </c>
      <c r="AA1459" s="55">
        <f>_xlfn.XLOOKUP(C1459,'Preguntas de negocio'!$C$114:$C$119,'Preguntas de negocio'!$D$114:$D$119,0)</f>
        <v>5.5</v>
      </c>
      <c r="AB1459" s="55">
        <f>VLOOKUP(C1459,'Preguntas de negocio'!$C$121:$D$127,2,FALSE)</f>
        <v>0.65</v>
      </c>
    </row>
    <row r="1460" spans="1:28" x14ac:dyDescent="0.3">
      <c r="A1460" s="1">
        <v>45901</v>
      </c>
      <c r="B1460" s="2" t="s">
        <v>2639</v>
      </c>
      <c r="C1460" s="2" t="s">
        <v>2527</v>
      </c>
      <c r="D1460" s="2" t="s">
        <v>2528</v>
      </c>
      <c r="E1460" s="2" t="s">
        <v>2529</v>
      </c>
      <c r="F1460" s="3">
        <v>164149</v>
      </c>
      <c r="G1460" s="3">
        <v>1435</v>
      </c>
      <c r="H1460" s="3">
        <v>84</v>
      </c>
      <c r="I1460" s="4">
        <v>2385.5</v>
      </c>
      <c r="J1460" s="4">
        <v>16617.77</v>
      </c>
      <c r="K1460" s="3">
        <v>49</v>
      </c>
      <c r="L1460" s="2" t="s">
        <v>2536</v>
      </c>
      <c r="M1460" s="2" t="s">
        <v>2526</v>
      </c>
      <c r="N1460" s="8">
        <f>IFERROR(G1460/F1460,0)</f>
        <v>8.7420575209108797E-3</v>
      </c>
      <c r="O1460" s="8">
        <f>IFERROR(H1460/G1460,0)</f>
        <v>5.8536585365853662E-2</v>
      </c>
      <c r="P1460" s="4">
        <f>IFERROR(I1460/G1460,0)</f>
        <v>1.662369337979094</v>
      </c>
      <c r="Q1460" s="4">
        <f>IFERROR(I1460/H1460,0)</f>
        <v>28.398809523809526</v>
      </c>
      <c r="R1460" s="12">
        <f>IFERROR(J1460/I1460,0)</f>
        <v>6.9661580381471389</v>
      </c>
      <c r="S1460" s="7">
        <f>Tabla_nuevas_columnas[[#This Row],[ROAS]]</f>
        <v>6.9661580381471389</v>
      </c>
      <c r="T1460" t="str">
        <f>_xlfn.CONCAT(C1460,"-",D1460)</f>
        <v>Affiliate-España</v>
      </c>
      <c r="U1460">
        <f>YEAR(A1460)</f>
        <v>2025</v>
      </c>
      <c r="V1460">
        <f>MONTH(A1460)</f>
        <v>9</v>
      </c>
      <c r="W1460" t="str">
        <f>PROPER(TEXT(A1460,"mmmm"))</f>
        <v>Septiembre</v>
      </c>
      <c r="X1460" t="str">
        <f>PROPER(TEXT(A1460,"dddd"))</f>
        <v>Lunes</v>
      </c>
      <c r="Y1460" t="str" cm="1">
        <f t="array" ref="Y1460">_xlfn.IFS(R1460&gt;10,"Excelente",R1460&gt;=5,"Bueno",R1460&gt;=2,"Débil",R1460&lt;2,"Deficiente")</f>
        <v>Bueno</v>
      </c>
      <c r="Z1460" t="str">
        <f>IF(AND(R1460&lt;2,Q1460&gt;=100),"Revisar","OK")</f>
        <v>OK</v>
      </c>
      <c r="AA1460" s="55">
        <f>_xlfn.XLOOKUP(C1460,'Preguntas de negocio'!$C$114:$C$119,'Preguntas de negocio'!$D$114:$D$119,0)</f>
        <v>4.5</v>
      </c>
      <c r="AB1460" s="55">
        <f>VLOOKUP(C1460,'Preguntas de negocio'!$C$121:$D$127,2,FALSE)</f>
        <v>0.35</v>
      </c>
    </row>
    <row r="1461" spans="1:28" x14ac:dyDescent="0.3">
      <c r="A1461" s="1">
        <v>45854</v>
      </c>
      <c r="B1461" s="2" t="s">
        <v>2644</v>
      </c>
      <c r="C1461" s="2" t="s">
        <v>2541</v>
      </c>
      <c r="D1461" s="2" t="s">
        <v>2528</v>
      </c>
      <c r="E1461" s="2" t="s">
        <v>2529</v>
      </c>
      <c r="F1461" s="3">
        <v>52142</v>
      </c>
      <c r="G1461" s="3">
        <v>2674</v>
      </c>
      <c r="H1461" s="3">
        <v>91</v>
      </c>
      <c r="I1461" s="4">
        <v>3473.56</v>
      </c>
      <c r="J1461" s="4">
        <v>4686.01</v>
      </c>
      <c r="K1461" s="3">
        <v>67</v>
      </c>
      <c r="L1461" s="2" t="s">
        <v>2523</v>
      </c>
      <c r="M1461" s="2" t="s">
        <v>2546</v>
      </c>
      <c r="N1461" s="8">
        <f>IFERROR(G1461/F1461,0)</f>
        <v>5.1283034789612977E-2</v>
      </c>
      <c r="O1461" s="8">
        <f>IFERROR(H1461/G1461,0)</f>
        <v>3.4031413612565446E-2</v>
      </c>
      <c r="P1461" s="4">
        <f>IFERROR(I1461/G1461,0)</f>
        <v>1.2990127150336575</v>
      </c>
      <c r="Q1461" s="4">
        <f>IFERROR(I1461/H1461,0)</f>
        <v>38.170989010989011</v>
      </c>
      <c r="R1461" s="12">
        <f>IFERROR(J1461/I1461,0)</f>
        <v>1.3490511175854167</v>
      </c>
      <c r="S1461" s="7">
        <f>Tabla_nuevas_columnas[[#This Row],[ROAS]]</f>
        <v>1.3490511175854167</v>
      </c>
      <c r="T1461" t="str">
        <f>_xlfn.CONCAT(C1461,"-",D1461)</f>
        <v>Display-España</v>
      </c>
      <c r="U1461">
        <f>YEAR(A1461)</f>
        <v>2025</v>
      </c>
      <c r="V1461">
        <f>MONTH(A1461)</f>
        <v>7</v>
      </c>
      <c r="W1461" t="str">
        <f>PROPER(TEXT(A1461,"mmmm"))</f>
        <v>Julio</v>
      </c>
      <c r="X1461" t="str">
        <f>PROPER(TEXT(A1461,"dddd"))</f>
        <v>Miércoles</v>
      </c>
      <c r="Y1461" t="str" cm="1">
        <f t="array" ref="Y1461">_xlfn.IFS(R1461&gt;10,"Excelente",R1461&gt;=5,"Bueno",R1461&gt;=2,"Débil",R1461&lt;2,"Deficiente")</f>
        <v>Deficiente</v>
      </c>
      <c r="Z1461" t="str">
        <f>IF(AND(R1461&lt;2,Q1461&gt;=100),"Revisar","OK")</f>
        <v>OK</v>
      </c>
      <c r="AA1461" s="55">
        <f>_xlfn.XLOOKUP(C1461,'Preguntas de negocio'!$C$114:$C$119,'Preguntas de negocio'!$D$114:$D$119,0)</f>
        <v>5</v>
      </c>
      <c r="AB1461" s="55">
        <f>VLOOKUP(C1461,'Preguntas de negocio'!$C$121:$D$127,2,FALSE)</f>
        <v>0.5</v>
      </c>
    </row>
    <row r="1462" spans="1:28" x14ac:dyDescent="0.3">
      <c r="A1462" s="1">
        <v>45683</v>
      </c>
      <c r="B1462" s="2" t="s">
        <v>2616</v>
      </c>
      <c r="C1462" s="2" t="s">
        <v>2541</v>
      </c>
      <c r="D1462" s="2" t="s">
        <v>2525</v>
      </c>
      <c r="E1462" s="2" t="s">
        <v>2517</v>
      </c>
      <c r="F1462" s="3">
        <v>68689</v>
      </c>
      <c r="G1462" s="3">
        <v>5617</v>
      </c>
      <c r="H1462" s="3">
        <v>542</v>
      </c>
      <c r="I1462" s="4">
        <v>9192.32</v>
      </c>
      <c r="J1462" s="4">
        <v>48814.239999999998</v>
      </c>
      <c r="K1462" s="3">
        <v>483</v>
      </c>
      <c r="L1462" s="2" t="s">
        <v>2539</v>
      </c>
      <c r="M1462" s="2" t="s">
        <v>2546</v>
      </c>
      <c r="N1462" s="8">
        <f>IFERROR(G1462/F1462,0)</f>
        <v>8.1774374353972251E-2</v>
      </c>
      <c r="O1462" s="8">
        <f>IFERROR(H1462/G1462,0)</f>
        <v>9.6492789745415697E-2</v>
      </c>
      <c r="P1462" s="4">
        <f>IFERROR(I1462/G1462,0)</f>
        <v>1.6365177140822502</v>
      </c>
      <c r="Q1462" s="4">
        <f>IFERROR(I1462/H1462,0)</f>
        <v>16.96</v>
      </c>
      <c r="R1462" s="12">
        <f>IFERROR(J1462/I1462,0)</f>
        <v>5.3103286221541461</v>
      </c>
      <c r="S1462" s="7">
        <f>Tabla_nuevas_columnas[[#This Row],[ROAS]]</f>
        <v>5.3103286221541461</v>
      </c>
      <c r="T1462" t="str">
        <f>_xlfn.CONCAT(C1462,"-",D1462)</f>
        <v>Display-Francia</v>
      </c>
      <c r="U1462">
        <f>YEAR(A1462)</f>
        <v>2025</v>
      </c>
      <c r="V1462">
        <f>MONTH(A1462)</f>
        <v>1</v>
      </c>
      <c r="W1462" t="str">
        <f>PROPER(TEXT(A1462,"mmmm"))</f>
        <v>Enero</v>
      </c>
      <c r="X1462" t="str">
        <f>PROPER(TEXT(A1462,"dddd"))</f>
        <v>Domingo</v>
      </c>
      <c r="Y1462" t="str" cm="1">
        <f t="array" ref="Y1462">_xlfn.IFS(R1462&gt;10,"Excelente",R1462&gt;=5,"Bueno",R1462&gt;=2,"Débil",R1462&lt;2,"Deficiente")</f>
        <v>Bueno</v>
      </c>
      <c r="Z1462" t="str">
        <f>IF(AND(R1462&lt;2,Q1462&gt;=100),"Revisar","OK")</f>
        <v>OK</v>
      </c>
      <c r="AA1462" s="55">
        <f>_xlfn.XLOOKUP(C1462,'Preguntas de negocio'!$C$114:$C$119,'Preguntas de negocio'!$D$114:$D$119,0)</f>
        <v>5</v>
      </c>
      <c r="AB1462" s="55">
        <f>VLOOKUP(C1462,'Preguntas de negocio'!$C$121:$D$127,2,FALSE)</f>
        <v>0.5</v>
      </c>
    </row>
    <row r="1463" spans="1:28" x14ac:dyDescent="0.3">
      <c r="A1463" s="1">
        <v>45746</v>
      </c>
      <c r="B1463" s="2" t="s">
        <v>2627</v>
      </c>
      <c r="C1463" s="2" t="s">
        <v>2543</v>
      </c>
      <c r="D1463" s="2" t="s">
        <v>2522</v>
      </c>
      <c r="E1463" s="2" t="s">
        <v>2534</v>
      </c>
      <c r="F1463" s="3">
        <v>4187</v>
      </c>
      <c r="G1463" s="3">
        <v>172</v>
      </c>
      <c r="H1463" s="3">
        <v>10</v>
      </c>
      <c r="I1463" s="4">
        <v>111.79</v>
      </c>
      <c r="J1463" s="4">
        <v>545.27</v>
      </c>
      <c r="K1463" s="3">
        <v>5</v>
      </c>
      <c r="L1463" s="2" t="s">
        <v>2523</v>
      </c>
      <c r="M1463" s="2" t="s">
        <v>2526</v>
      </c>
      <c r="N1463" s="8">
        <f>IFERROR(G1463/F1463,0)</f>
        <v>4.1079531884404108E-2</v>
      </c>
      <c r="O1463" s="8">
        <f>IFERROR(H1463/G1463,0)</f>
        <v>5.8139534883720929E-2</v>
      </c>
      <c r="P1463" s="4">
        <f>IFERROR(I1463/G1463,0)</f>
        <v>0.64994186046511626</v>
      </c>
      <c r="Q1463" s="4">
        <f>IFERROR(I1463/H1463,0)</f>
        <v>11.179</v>
      </c>
      <c r="R1463" s="12">
        <f>IFERROR(J1463/I1463,0)</f>
        <v>4.8776276947848638</v>
      </c>
      <c r="S1463" s="7">
        <f>Tabla_nuevas_columnas[[#This Row],[ROAS]]</f>
        <v>4.8776276947848638</v>
      </c>
      <c r="T1463" t="str">
        <f>_xlfn.CONCAT(C1463,"-",D1463)</f>
        <v>Organic Social-Italia</v>
      </c>
      <c r="U1463">
        <f>YEAR(A1463)</f>
        <v>2025</v>
      </c>
      <c r="V1463">
        <f>MONTH(A1463)</f>
        <v>3</v>
      </c>
      <c r="W1463" t="str">
        <f>PROPER(TEXT(A1463,"mmmm"))</f>
        <v>Marzo</v>
      </c>
      <c r="X1463" t="str">
        <f>PROPER(TEXT(A1463,"dddd"))</f>
        <v>Domingo</v>
      </c>
      <c r="Y1463" t="str" cm="1">
        <f t="array" ref="Y1463">_xlfn.IFS(R1463&gt;10,"Excelente",R1463&gt;=5,"Bueno",R1463&gt;=2,"Débil",R1463&lt;2,"Deficiente")</f>
        <v>Débil</v>
      </c>
      <c r="Z1463" t="str">
        <f>IF(AND(R1463&lt;2,Q1463&gt;=100),"Revisar","OK")</f>
        <v>OK</v>
      </c>
      <c r="AA1463" s="55">
        <f>_xlfn.XLOOKUP(C1463,'Preguntas de negocio'!$C$114:$C$119,'Preguntas de negocio'!$D$114:$D$119,0)</f>
        <v>4</v>
      </c>
      <c r="AB1463" s="55">
        <f>VLOOKUP(C1463,'Preguntas de negocio'!$C$121:$D$127,2,FALSE)</f>
        <v>0.95</v>
      </c>
    </row>
    <row r="1464" spans="1:28" x14ac:dyDescent="0.3">
      <c r="A1464" s="1">
        <v>46005</v>
      </c>
      <c r="B1464" s="2" t="s">
        <v>2618</v>
      </c>
      <c r="C1464" s="2" t="s">
        <v>2527</v>
      </c>
      <c r="D1464" s="2" t="s">
        <v>2516</v>
      </c>
      <c r="E1464" s="2" t="s">
        <v>2517</v>
      </c>
      <c r="F1464" s="3">
        <v>115538</v>
      </c>
      <c r="G1464" s="3">
        <v>7868</v>
      </c>
      <c r="H1464" s="3">
        <v>401</v>
      </c>
      <c r="I1464" s="4">
        <v>10789.71</v>
      </c>
      <c r="J1464" s="4">
        <v>17948.68</v>
      </c>
      <c r="K1464" s="3">
        <v>234</v>
      </c>
      <c r="L1464" s="2" t="s">
        <v>2539</v>
      </c>
      <c r="M1464" s="2" t="s">
        <v>2546</v>
      </c>
      <c r="N1464" s="8">
        <f>IFERROR(G1464/F1464,0)</f>
        <v>6.8098807318804203E-2</v>
      </c>
      <c r="O1464" s="8">
        <f>IFERROR(H1464/G1464,0)</f>
        <v>5.0965937976614133E-2</v>
      </c>
      <c r="P1464" s="4">
        <f>IFERROR(I1464/G1464,0)</f>
        <v>1.3713408744280629</v>
      </c>
      <c r="Q1464" s="4">
        <f>IFERROR(I1464/H1464,0)</f>
        <v>26.907007481296755</v>
      </c>
      <c r="R1464" s="12">
        <f>IFERROR(J1464/I1464,0)</f>
        <v>1.6634997604198818</v>
      </c>
      <c r="S1464" s="7">
        <f>Tabla_nuevas_columnas[[#This Row],[ROAS]]</f>
        <v>1.6634997604198818</v>
      </c>
      <c r="T1464" t="str">
        <f>_xlfn.CONCAT(C1464,"-",D1464)</f>
        <v>Affiliate-México</v>
      </c>
      <c r="U1464">
        <f>YEAR(A1464)</f>
        <v>2025</v>
      </c>
      <c r="V1464">
        <f>MONTH(A1464)</f>
        <v>12</v>
      </c>
      <c r="W1464" t="str">
        <f>PROPER(TEXT(A1464,"mmmm"))</f>
        <v>Diciembre</v>
      </c>
      <c r="X1464" t="str">
        <f>PROPER(TEXT(A1464,"dddd"))</f>
        <v>Domingo</v>
      </c>
      <c r="Y1464" t="str" cm="1">
        <f t="array" ref="Y1464">_xlfn.IFS(R1464&gt;10,"Excelente",R1464&gt;=5,"Bueno",R1464&gt;=2,"Débil",R1464&lt;2,"Deficiente")</f>
        <v>Deficiente</v>
      </c>
      <c r="Z1464" t="str">
        <f>IF(AND(R1464&lt;2,Q1464&gt;=100),"Revisar","OK")</f>
        <v>OK</v>
      </c>
      <c r="AA1464" s="55">
        <f>_xlfn.XLOOKUP(C1464,'Preguntas de negocio'!$C$114:$C$119,'Preguntas de negocio'!$D$114:$D$119,0)</f>
        <v>4.5</v>
      </c>
      <c r="AB1464" s="55">
        <f>VLOOKUP(C1464,'Preguntas de negocio'!$C$121:$D$127,2,FALSE)</f>
        <v>0.35</v>
      </c>
    </row>
    <row r="1465" spans="1:28" x14ac:dyDescent="0.3">
      <c r="A1465" s="1">
        <v>45668</v>
      </c>
      <c r="B1465" s="2" t="s">
        <v>2628</v>
      </c>
      <c r="C1465" s="2" t="s">
        <v>2533</v>
      </c>
      <c r="D1465" s="2" t="s">
        <v>2528</v>
      </c>
      <c r="E1465" s="2" t="s">
        <v>2529</v>
      </c>
      <c r="F1465" s="3">
        <v>67479</v>
      </c>
      <c r="G1465" s="3">
        <v>1847</v>
      </c>
      <c r="H1465" s="3">
        <v>151</v>
      </c>
      <c r="I1465" s="4">
        <v>1818.24</v>
      </c>
      <c r="J1465" s="4">
        <v>7795.88</v>
      </c>
      <c r="K1465" s="3">
        <v>91</v>
      </c>
      <c r="L1465" s="2" t="s">
        <v>2518</v>
      </c>
      <c r="M1465" s="2" t="s">
        <v>2546</v>
      </c>
      <c r="N1465" s="8">
        <f>IFERROR(G1465/F1465,0)</f>
        <v>2.7371478534062448E-2</v>
      </c>
      <c r="O1465" s="8">
        <f>IFERROR(H1465/G1465,0)</f>
        <v>8.1754195993502976E-2</v>
      </c>
      <c r="P1465" s="4">
        <f>IFERROR(I1465/G1465,0)</f>
        <v>0.98442880346507855</v>
      </c>
      <c r="Q1465" s="4">
        <f>IFERROR(I1465/H1465,0)</f>
        <v>12.041324503311259</v>
      </c>
      <c r="R1465" s="12">
        <f>IFERROR(J1465/I1465,0)</f>
        <v>4.2875967969024993</v>
      </c>
      <c r="S1465" s="7">
        <f>Tabla_nuevas_columnas[[#This Row],[ROAS]]</f>
        <v>4.2875967969024993</v>
      </c>
      <c r="T1465" t="str">
        <f>_xlfn.CONCAT(C1465,"-",D1465)</f>
        <v>Paid Social-España</v>
      </c>
      <c r="U1465">
        <f>YEAR(A1465)</f>
        <v>2025</v>
      </c>
      <c r="V1465">
        <f>MONTH(A1465)</f>
        <v>1</v>
      </c>
      <c r="W1465" t="str">
        <f>PROPER(TEXT(A1465,"mmmm"))</f>
        <v>Enero</v>
      </c>
      <c r="X1465" t="str">
        <f>PROPER(TEXT(A1465,"dddd"))</f>
        <v>Sábado</v>
      </c>
      <c r="Y1465" t="str" cm="1">
        <f t="array" ref="Y1465">_xlfn.IFS(R1465&gt;10,"Excelente",R1465&gt;=5,"Bueno",R1465&gt;=2,"Débil",R1465&lt;2,"Deficiente")</f>
        <v>Débil</v>
      </c>
      <c r="Z1465" t="str">
        <f>IF(AND(R1465&lt;2,Q1465&gt;=100),"Revisar","OK")</f>
        <v>OK</v>
      </c>
      <c r="AA1465" s="55">
        <f>_xlfn.XLOOKUP(C1465,'Preguntas de negocio'!$C$114:$C$119,'Preguntas de negocio'!$D$114:$D$119,0)</f>
        <v>6</v>
      </c>
      <c r="AB1465" s="55">
        <f>VLOOKUP(C1465,'Preguntas de negocio'!$C$121:$D$127,2,FALSE)</f>
        <v>0.8</v>
      </c>
    </row>
    <row r="1466" spans="1:28" x14ac:dyDescent="0.3">
      <c r="A1466" s="1">
        <v>45975</v>
      </c>
      <c r="B1466" s="2" t="s">
        <v>2617</v>
      </c>
      <c r="C1466" s="2" t="s">
        <v>2543</v>
      </c>
      <c r="D1466" s="2" t="s">
        <v>2525</v>
      </c>
      <c r="E1466" s="2" t="s">
        <v>2517</v>
      </c>
      <c r="F1466" s="3">
        <v>47396</v>
      </c>
      <c r="G1466" s="3">
        <v>1954</v>
      </c>
      <c r="H1466" s="3">
        <v>199</v>
      </c>
      <c r="I1466" s="4">
        <v>2025.71</v>
      </c>
      <c r="J1466" s="4">
        <v>23777.75</v>
      </c>
      <c r="K1466" s="3">
        <v>147</v>
      </c>
      <c r="L1466" s="2" t="s">
        <v>2539</v>
      </c>
      <c r="M1466" s="2" t="s">
        <v>2524</v>
      </c>
      <c r="N1466" s="8">
        <f>IFERROR(G1466/F1466,0)</f>
        <v>4.1227107772807831E-2</v>
      </c>
      <c r="O1466" s="8">
        <f>IFERROR(H1466/G1466,0)</f>
        <v>0.10184237461617196</v>
      </c>
      <c r="P1466" s="4">
        <f>IFERROR(I1466/G1466,0)</f>
        <v>1.036699078812692</v>
      </c>
      <c r="Q1466" s="4">
        <f>IFERROR(I1466/H1466,0)</f>
        <v>10.179447236180904</v>
      </c>
      <c r="R1466" s="12">
        <f>IFERROR(J1466/I1466,0)</f>
        <v>11.737983225634469</v>
      </c>
      <c r="S1466" s="7">
        <f>Tabla_nuevas_columnas[[#This Row],[ROAS]]</f>
        <v>11.737983225634469</v>
      </c>
      <c r="T1466" t="str">
        <f>_xlfn.CONCAT(C1466,"-",D1466)</f>
        <v>Organic Social-Francia</v>
      </c>
      <c r="U1466">
        <f>YEAR(A1466)</f>
        <v>2025</v>
      </c>
      <c r="V1466">
        <f>MONTH(A1466)</f>
        <v>11</v>
      </c>
      <c r="W1466" t="str">
        <f>PROPER(TEXT(A1466,"mmmm"))</f>
        <v>Noviembre</v>
      </c>
      <c r="X1466" t="str">
        <f>PROPER(TEXT(A1466,"dddd"))</f>
        <v>Viernes</v>
      </c>
      <c r="Y1466" t="str" cm="1">
        <f t="array" ref="Y1466">_xlfn.IFS(R1466&gt;10,"Excelente",R1466&gt;=5,"Bueno",R1466&gt;=2,"Débil",R1466&lt;2,"Deficiente")</f>
        <v>Excelente</v>
      </c>
      <c r="Z1466" t="str">
        <f>IF(AND(R1466&lt;2,Q1466&gt;=100),"Revisar","OK")</f>
        <v>OK</v>
      </c>
      <c r="AA1466" s="55">
        <f>_xlfn.XLOOKUP(C1466,'Preguntas de negocio'!$C$114:$C$119,'Preguntas de negocio'!$D$114:$D$119,0)</f>
        <v>4</v>
      </c>
      <c r="AB1466" s="55">
        <f>VLOOKUP(C1466,'Preguntas de negocio'!$C$121:$D$127,2,FALSE)</f>
        <v>0.95</v>
      </c>
    </row>
    <row r="1467" spans="1:28" x14ac:dyDescent="0.3">
      <c r="A1467" s="1">
        <v>45965</v>
      </c>
      <c r="B1467" s="2" t="s">
        <v>2640</v>
      </c>
      <c r="C1467" s="2" t="s">
        <v>2541</v>
      </c>
      <c r="D1467" s="2" t="s">
        <v>2522</v>
      </c>
      <c r="E1467" s="2" t="s">
        <v>2517</v>
      </c>
      <c r="F1467" s="3">
        <v>104829</v>
      </c>
      <c r="G1467" s="3">
        <v>2094</v>
      </c>
      <c r="H1467" s="3">
        <v>256</v>
      </c>
      <c r="I1467" s="4">
        <v>1131.48</v>
      </c>
      <c r="J1467" s="4">
        <v>37276.69</v>
      </c>
      <c r="K1467" s="3">
        <v>188</v>
      </c>
      <c r="L1467" s="2" t="s">
        <v>2523</v>
      </c>
      <c r="M1467" s="2" t="s">
        <v>2519</v>
      </c>
      <c r="N1467" s="8">
        <f>IFERROR(G1467/F1467,0)</f>
        <v>1.9975388489826287E-2</v>
      </c>
      <c r="O1467" s="8">
        <f>IFERROR(H1467/G1467,0)</f>
        <v>0.12225405921680993</v>
      </c>
      <c r="P1467" s="4">
        <f>IFERROR(I1467/G1467,0)</f>
        <v>0.5403438395415473</v>
      </c>
      <c r="Q1467" s="4">
        <f>IFERROR(I1467/H1467,0)</f>
        <v>4.4198437500000001</v>
      </c>
      <c r="R1467" s="12">
        <f>IFERROR(J1467/I1467,0)</f>
        <v>32.94507194117439</v>
      </c>
      <c r="S1467" s="7">
        <f>Tabla_nuevas_columnas[[#This Row],[ROAS]]</f>
        <v>32.94507194117439</v>
      </c>
      <c r="T1467" t="str">
        <f>_xlfn.CONCAT(C1467,"-",D1467)</f>
        <v>Display-Italia</v>
      </c>
      <c r="U1467">
        <f>YEAR(A1467)</f>
        <v>2025</v>
      </c>
      <c r="V1467">
        <f>MONTH(A1467)</f>
        <v>11</v>
      </c>
      <c r="W1467" t="str">
        <f>PROPER(TEXT(A1467,"mmmm"))</f>
        <v>Noviembre</v>
      </c>
      <c r="X1467" t="str">
        <f>PROPER(TEXT(A1467,"dddd"))</f>
        <v>Martes</v>
      </c>
      <c r="Y1467" t="str" cm="1">
        <f t="array" ref="Y1467">_xlfn.IFS(R1467&gt;10,"Excelente",R1467&gt;=5,"Bueno",R1467&gt;=2,"Débil",R1467&lt;2,"Deficiente")</f>
        <v>Excelente</v>
      </c>
      <c r="Z1467" t="str">
        <f>IF(AND(R1467&lt;2,Q1467&gt;=100),"Revisar","OK")</f>
        <v>OK</v>
      </c>
      <c r="AA1467" s="55">
        <f>_xlfn.XLOOKUP(C1467,'Preguntas de negocio'!$C$114:$C$119,'Preguntas de negocio'!$D$114:$D$119,0)</f>
        <v>5</v>
      </c>
      <c r="AB1467" s="55">
        <f>VLOOKUP(C1467,'Preguntas de negocio'!$C$121:$D$127,2,FALSE)</f>
        <v>0.5</v>
      </c>
    </row>
    <row r="1468" spans="1:28" x14ac:dyDescent="0.3">
      <c r="A1468" s="1">
        <v>45928</v>
      </c>
      <c r="B1468" s="2" t="s">
        <v>2617</v>
      </c>
      <c r="C1468" s="2" t="s">
        <v>2533</v>
      </c>
      <c r="D1468" s="2" t="s">
        <v>2528</v>
      </c>
      <c r="E1468" s="2" t="s">
        <v>2529</v>
      </c>
      <c r="F1468" s="3">
        <v>168175</v>
      </c>
      <c r="G1468" s="3">
        <v>8443</v>
      </c>
      <c r="H1468" s="3">
        <v>736</v>
      </c>
      <c r="I1468" s="4">
        <v>16195.15</v>
      </c>
      <c r="J1468" s="4">
        <v>44539.13</v>
      </c>
      <c r="K1468" s="3">
        <v>425</v>
      </c>
      <c r="L1468" s="2" t="s">
        <v>2536</v>
      </c>
      <c r="M1468" s="2" t="s">
        <v>2537</v>
      </c>
      <c r="N1468" s="8">
        <f>IFERROR(G1468/F1468,0)</f>
        <v>5.0203656905009664E-2</v>
      </c>
      <c r="O1468" s="8">
        <f>IFERROR(H1468/G1468,0)</f>
        <v>8.7172805874689091E-2</v>
      </c>
      <c r="P1468" s="4">
        <f>IFERROR(I1468/G1468,0)</f>
        <v>1.9181748193769987</v>
      </c>
      <c r="Q1468" s="4">
        <f>IFERROR(I1468/H1468,0)</f>
        <v>22.004279891304346</v>
      </c>
      <c r="R1468" s="12">
        <f>IFERROR(J1468/I1468,0)</f>
        <v>2.7501523604288938</v>
      </c>
      <c r="S1468" s="7">
        <f>Tabla_nuevas_columnas[[#This Row],[ROAS]]</f>
        <v>2.7501523604288938</v>
      </c>
      <c r="T1468" t="str">
        <f>_xlfn.CONCAT(C1468,"-",D1468)</f>
        <v>Paid Social-España</v>
      </c>
      <c r="U1468">
        <f>YEAR(A1468)</f>
        <v>2025</v>
      </c>
      <c r="V1468">
        <f>MONTH(A1468)</f>
        <v>9</v>
      </c>
      <c r="W1468" t="str">
        <f>PROPER(TEXT(A1468,"mmmm"))</f>
        <v>Septiembre</v>
      </c>
      <c r="X1468" t="str">
        <f>PROPER(TEXT(A1468,"dddd"))</f>
        <v>Domingo</v>
      </c>
      <c r="Y1468" t="str" cm="1">
        <f t="array" ref="Y1468">_xlfn.IFS(R1468&gt;10,"Excelente",R1468&gt;=5,"Bueno",R1468&gt;=2,"Débil",R1468&lt;2,"Deficiente")</f>
        <v>Débil</v>
      </c>
      <c r="Z1468" t="str">
        <f>IF(AND(R1468&lt;2,Q1468&gt;=100),"Revisar","OK")</f>
        <v>OK</v>
      </c>
      <c r="AA1468" s="55">
        <f>_xlfn.XLOOKUP(C1468,'Preguntas de negocio'!$C$114:$C$119,'Preguntas de negocio'!$D$114:$D$119,0)</f>
        <v>6</v>
      </c>
      <c r="AB1468" s="55">
        <f>VLOOKUP(C1468,'Preguntas de negocio'!$C$121:$D$127,2,FALSE)</f>
        <v>0.8</v>
      </c>
    </row>
    <row r="1469" spans="1:28" x14ac:dyDescent="0.3">
      <c r="A1469" s="1">
        <v>45997</v>
      </c>
      <c r="B1469" s="2" t="s">
        <v>2637</v>
      </c>
      <c r="C1469" s="2" t="s">
        <v>2515</v>
      </c>
      <c r="D1469" s="2" t="s">
        <v>2525</v>
      </c>
      <c r="E1469" s="2" t="s">
        <v>2529</v>
      </c>
      <c r="F1469" s="3">
        <v>95465</v>
      </c>
      <c r="G1469" s="3">
        <v>2894</v>
      </c>
      <c r="H1469" s="3">
        <v>191</v>
      </c>
      <c r="I1469" s="4">
        <v>5175.6099999999997</v>
      </c>
      <c r="J1469" s="4">
        <v>23261</v>
      </c>
      <c r="K1469" s="3">
        <v>121</v>
      </c>
      <c r="L1469" s="2" t="s">
        <v>2518</v>
      </c>
      <c r="M1469" s="2" t="s">
        <v>2519</v>
      </c>
      <c r="N1469" s="8">
        <f>IFERROR(G1469/F1469,0)</f>
        <v>3.0314775048447075E-2</v>
      </c>
      <c r="O1469" s="8">
        <f>IFERROR(H1469/G1469,0)</f>
        <v>6.5998617829993084E-2</v>
      </c>
      <c r="P1469" s="4">
        <f>IFERROR(I1469/G1469,0)</f>
        <v>1.788393227366966</v>
      </c>
      <c r="Q1469" s="4">
        <f>IFERROR(I1469/H1469,0)</f>
        <v>27.09743455497382</v>
      </c>
      <c r="R1469" s="12">
        <f>IFERROR(J1469/I1469,0)</f>
        <v>4.4943494583247192</v>
      </c>
      <c r="S1469" s="7">
        <f>Tabla_nuevas_columnas[[#This Row],[ROAS]]</f>
        <v>4.4943494583247192</v>
      </c>
      <c r="T1469" t="str">
        <f>_xlfn.CONCAT(C1469,"-",D1469)</f>
        <v>Email-Francia</v>
      </c>
      <c r="U1469">
        <f>YEAR(A1469)</f>
        <v>2025</v>
      </c>
      <c r="V1469">
        <f>MONTH(A1469)</f>
        <v>12</v>
      </c>
      <c r="W1469" t="str">
        <f>PROPER(TEXT(A1469,"mmmm"))</f>
        <v>Diciembre</v>
      </c>
      <c r="X1469" t="str">
        <f>PROPER(TEXT(A1469,"dddd"))</f>
        <v>Sábado</v>
      </c>
      <c r="Y1469" t="str" cm="1">
        <f t="array" ref="Y1469">_xlfn.IFS(R1469&gt;10,"Excelente",R1469&gt;=5,"Bueno",R1469&gt;=2,"Débil",R1469&lt;2,"Deficiente")</f>
        <v>Débil</v>
      </c>
      <c r="Z1469" t="str">
        <f>IF(AND(R1469&lt;2,Q1469&gt;=100),"Revisar","OK")</f>
        <v>OK</v>
      </c>
      <c r="AA1469" s="55">
        <f>_xlfn.XLOOKUP(C1469,'Preguntas de negocio'!$C$114:$C$119,'Preguntas de negocio'!$D$114:$D$119,0)</f>
        <v>5.5</v>
      </c>
      <c r="AB1469" s="55">
        <f>VLOOKUP(C1469,'Preguntas de negocio'!$C$121:$D$127,2,FALSE)</f>
        <v>0.65</v>
      </c>
    </row>
    <row r="1470" spans="1:28" x14ac:dyDescent="0.3">
      <c r="A1470" s="1">
        <v>45889</v>
      </c>
      <c r="B1470" s="2" t="s">
        <v>2630</v>
      </c>
      <c r="C1470" s="2" t="s">
        <v>2521</v>
      </c>
      <c r="D1470" s="2" t="s">
        <v>2528</v>
      </c>
      <c r="E1470" s="2" t="s">
        <v>2517</v>
      </c>
      <c r="F1470" s="3">
        <v>145636</v>
      </c>
      <c r="G1470" s="3">
        <v>1712</v>
      </c>
      <c r="H1470" s="3">
        <v>72</v>
      </c>
      <c r="I1470" s="4">
        <v>1111.6600000000001</v>
      </c>
      <c r="J1470" s="4">
        <v>4309.42</v>
      </c>
      <c r="K1470" s="3">
        <v>57</v>
      </c>
      <c r="L1470" s="2" t="s">
        <v>2518</v>
      </c>
      <c r="M1470" s="2" t="s">
        <v>2524</v>
      </c>
      <c r="N1470" s="8">
        <f>IFERROR(G1470/F1470,0)</f>
        <v>1.1755335219313906E-2</v>
      </c>
      <c r="O1470" s="8">
        <f>IFERROR(H1470/G1470,0)</f>
        <v>4.2056074766355138E-2</v>
      </c>
      <c r="P1470" s="4">
        <f>IFERROR(I1470/G1470,0)</f>
        <v>0.64933411214953274</v>
      </c>
      <c r="Q1470" s="4">
        <f>IFERROR(I1470/H1470,0)</f>
        <v>15.439722222222223</v>
      </c>
      <c r="R1470" s="12">
        <f>IFERROR(J1470/I1470,0)</f>
        <v>3.8765629778889226</v>
      </c>
      <c r="S1470" s="7">
        <f>Tabla_nuevas_columnas[[#This Row],[ROAS]]</f>
        <v>3.8765629778889226</v>
      </c>
      <c r="T1470" t="str">
        <f>_xlfn.CONCAT(C1470,"-",D1470)</f>
        <v>Paid Search-España</v>
      </c>
      <c r="U1470">
        <f>YEAR(A1470)</f>
        <v>2025</v>
      </c>
      <c r="V1470">
        <f>MONTH(A1470)</f>
        <v>8</v>
      </c>
      <c r="W1470" t="str">
        <f>PROPER(TEXT(A1470,"mmmm"))</f>
        <v>Agosto</v>
      </c>
      <c r="X1470" t="str">
        <f>PROPER(TEXT(A1470,"dddd"))</f>
        <v>Miércoles</v>
      </c>
      <c r="Y1470" t="str" cm="1">
        <f t="array" ref="Y1470">_xlfn.IFS(R1470&gt;10,"Excelente",R1470&gt;=5,"Bueno",R1470&gt;=2,"Débil",R1470&lt;2,"Deficiente")</f>
        <v>Débil</v>
      </c>
      <c r="Z1470" t="str">
        <f>IF(AND(R1470&lt;2,Q1470&gt;=100),"Revisar","OK")</f>
        <v>OK</v>
      </c>
      <c r="AA1470" s="55">
        <f>_xlfn.XLOOKUP(C1470,'Preguntas de negocio'!$C$114:$C$119,'Preguntas de negocio'!$D$114:$D$119,0)</f>
        <v>5</v>
      </c>
      <c r="AB1470" s="55">
        <f>VLOOKUP(C1470,'Preguntas de negocio'!$C$121:$D$127,2,FALSE)</f>
        <v>1.1000000000000001</v>
      </c>
    </row>
    <row r="1471" spans="1:28" x14ac:dyDescent="0.3">
      <c r="A1471" s="1">
        <v>45941</v>
      </c>
      <c r="B1471" s="2" t="s">
        <v>2615</v>
      </c>
      <c r="C1471" s="2" t="s">
        <v>2541</v>
      </c>
      <c r="D1471" s="2" t="s">
        <v>2531</v>
      </c>
      <c r="E1471" s="2" t="s">
        <v>2529</v>
      </c>
      <c r="F1471" s="3">
        <v>148076</v>
      </c>
      <c r="G1471" s="3">
        <v>12039</v>
      </c>
      <c r="H1471" s="3">
        <v>363</v>
      </c>
      <c r="I1471" s="4">
        <v>11346.86</v>
      </c>
      <c r="J1471" s="4">
        <v>13567.09</v>
      </c>
      <c r="K1471" s="3">
        <v>287</v>
      </c>
      <c r="L1471" s="2" t="s">
        <v>2539</v>
      </c>
      <c r="M1471" s="2" t="s">
        <v>2524</v>
      </c>
      <c r="N1471" s="8">
        <f>IFERROR(G1471/F1471,0)</f>
        <v>8.1302844485264328E-2</v>
      </c>
      <c r="O1471" s="8">
        <f>IFERROR(H1471/G1471,0)</f>
        <v>3.0152005980563171E-2</v>
      </c>
      <c r="P1471" s="4">
        <f>IFERROR(I1471/G1471,0)</f>
        <v>0.94250851399617919</v>
      </c>
      <c r="Q1471" s="4">
        <f>IFERROR(I1471/H1471,0)</f>
        <v>31.258567493112949</v>
      </c>
      <c r="R1471" s="12">
        <f>IFERROR(J1471/I1471,0)</f>
        <v>1.195669110220801</v>
      </c>
      <c r="S1471" s="7">
        <f>Tabla_nuevas_columnas[[#This Row],[ROAS]]</f>
        <v>1.195669110220801</v>
      </c>
      <c r="T1471" t="str">
        <f>_xlfn.CONCAT(C1471,"-",D1471)</f>
        <v>Display-Portugal</v>
      </c>
      <c r="U1471">
        <f>YEAR(A1471)</f>
        <v>2025</v>
      </c>
      <c r="V1471">
        <f>MONTH(A1471)</f>
        <v>10</v>
      </c>
      <c r="W1471" t="str">
        <f>PROPER(TEXT(A1471,"mmmm"))</f>
        <v>Octubre</v>
      </c>
      <c r="X1471" t="str">
        <f>PROPER(TEXT(A1471,"dddd"))</f>
        <v>Sábado</v>
      </c>
      <c r="Y1471" t="str" cm="1">
        <f t="array" ref="Y1471">_xlfn.IFS(R1471&gt;10,"Excelente",R1471&gt;=5,"Bueno",R1471&gt;=2,"Débil",R1471&lt;2,"Deficiente")</f>
        <v>Deficiente</v>
      </c>
      <c r="Z1471" t="str">
        <f>IF(AND(R1471&lt;2,Q1471&gt;=100),"Revisar","OK")</f>
        <v>OK</v>
      </c>
      <c r="AA1471" s="55">
        <f>_xlfn.XLOOKUP(C1471,'Preguntas de negocio'!$C$114:$C$119,'Preguntas de negocio'!$D$114:$D$119,0)</f>
        <v>5</v>
      </c>
      <c r="AB1471" s="55">
        <f>VLOOKUP(C1471,'Preguntas de negocio'!$C$121:$D$127,2,FALSE)</f>
        <v>0.5</v>
      </c>
    </row>
    <row r="1472" spans="1:28" x14ac:dyDescent="0.3">
      <c r="A1472" s="1">
        <v>45818</v>
      </c>
      <c r="B1472" s="2" t="s">
        <v>2637</v>
      </c>
      <c r="C1472" s="2" t="s">
        <v>2521</v>
      </c>
      <c r="D1472" s="2" t="s">
        <v>2531</v>
      </c>
      <c r="E1472" s="2" t="s">
        <v>2529</v>
      </c>
      <c r="F1472" s="3">
        <v>71097</v>
      </c>
      <c r="G1472" s="3">
        <v>2060</v>
      </c>
      <c r="H1472" s="3">
        <v>233</v>
      </c>
      <c r="I1472" s="4">
        <v>1399.39</v>
      </c>
      <c r="J1472" s="4">
        <v>50583.79</v>
      </c>
      <c r="K1472" s="3">
        <v>191</v>
      </c>
      <c r="L1472" s="2" t="s">
        <v>2536</v>
      </c>
      <c r="M1472" s="2" t="s">
        <v>2524</v>
      </c>
      <c r="N1472" s="8">
        <f>IFERROR(G1472/F1472,0)</f>
        <v>2.8974499627269786E-2</v>
      </c>
      <c r="O1472" s="8">
        <f>IFERROR(H1472/G1472,0)</f>
        <v>0.11310679611650486</v>
      </c>
      <c r="P1472" s="4">
        <f>IFERROR(I1472/G1472,0)</f>
        <v>0.67931553398058253</v>
      </c>
      <c r="Q1472" s="4">
        <f>IFERROR(I1472/H1472,0)</f>
        <v>6.0059656652360518</v>
      </c>
      <c r="R1472" s="12">
        <f>IFERROR(J1472/I1472,0)</f>
        <v>36.147028348065938</v>
      </c>
      <c r="S1472" s="7">
        <f>Tabla_nuevas_columnas[[#This Row],[ROAS]]</f>
        <v>36.147028348065938</v>
      </c>
      <c r="T1472" t="str">
        <f>_xlfn.CONCAT(C1472,"-",D1472)</f>
        <v>Paid Search-Portugal</v>
      </c>
      <c r="U1472">
        <f>YEAR(A1472)</f>
        <v>2025</v>
      </c>
      <c r="V1472">
        <f>MONTH(A1472)</f>
        <v>6</v>
      </c>
      <c r="W1472" t="str">
        <f>PROPER(TEXT(A1472,"mmmm"))</f>
        <v>Junio</v>
      </c>
      <c r="X1472" t="str">
        <f>PROPER(TEXT(A1472,"dddd"))</f>
        <v>Martes</v>
      </c>
      <c r="Y1472" t="str" cm="1">
        <f t="array" ref="Y1472">_xlfn.IFS(R1472&gt;10,"Excelente",R1472&gt;=5,"Bueno",R1472&gt;=2,"Débil",R1472&lt;2,"Deficiente")</f>
        <v>Excelente</v>
      </c>
      <c r="Z1472" t="str">
        <f>IF(AND(R1472&lt;2,Q1472&gt;=100),"Revisar","OK")</f>
        <v>OK</v>
      </c>
      <c r="AA1472" s="55">
        <f>_xlfn.XLOOKUP(C1472,'Preguntas de negocio'!$C$114:$C$119,'Preguntas de negocio'!$D$114:$D$119,0)</f>
        <v>5</v>
      </c>
      <c r="AB1472" s="55">
        <f>VLOOKUP(C1472,'Preguntas de negocio'!$C$121:$D$127,2,FALSE)</f>
        <v>1.1000000000000001</v>
      </c>
    </row>
    <row r="1473" spans="1:28" x14ac:dyDescent="0.3">
      <c r="A1473" s="1">
        <v>45937</v>
      </c>
      <c r="B1473" s="2" t="s">
        <v>2638</v>
      </c>
      <c r="C1473" s="2" t="s">
        <v>2515</v>
      </c>
      <c r="D1473" s="2" t="s">
        <v>2522</v>
      </c>
      <c r="E1473" s="2" t="s">
        <v>2517</v>
      </c>
      <c r="F1473" s="3">
        <v>46108</v>
      </c>
      <c r="G1473" s="3">
        <v>453</v>
      </c>
      <c r="H1473" s="3">
        <v>49</v>
      </c>
      <c r="I1473" s="4">
        <v>384.76</v>
      </c>
      <c r="J1473" s="4">
        <v>10165.56</v>
      </c>
      <c r="K1473" s="3">
        <v>38</v>
      </c>
      <c r="L1473" s="2" t="s">
        <v>2536</v>
      </c>
      <c r="M1473" s="2" t="s">
        <v>2519</v>
      </c>
      <c r="N1473" s="8">
        <f>IFERROR(G1473/F1473,0)</f>
        <v>9.8247592608657931E-3</v>
      </c>
      <c r="O1473" s="8">
        <f>IFERROR(H1473/G1473,0)</f>
        <v>0.10816777041942605</v>
      </c>
      <c r="P1473" s="4">
        <f>IFERROR(I1473/G1473,0)</f>
        <v>0.84935982339955851</v>
      </c>
      <c r="Q1473" s="4">
        <f>IFERROR(I1473/H1473,0)</f>
        <v>7.8522448979591832</v>
      </c>
      <c r="R1473" s="12">
        <f>IFERROR(J1473/I1473,0)</f>
        <v>26.420521883771702</v>
      </c>
      <c r="S1473" s="7">
        <f>Tabla_nuevas_columnas[[#This Row],[ROAS]]</f>
        <v>26.420521883771702</v>
      </c>
      <c r="T1473" t="str">
        <f>_xlfn.CONCAT(C1473,"-",D1473)</f>
        <v>Email-Italia</v>
      </c>
      <c r="U1473">
        <f>YEAR(A1473)</f>
        <v>2025</v>
      </c>
      <c r="V1473">
        <f>MONTH(A1473)</f>
        <v>10</v>
      </c>
      <c r="W1473" t="str">
        <f>PROPER(TEXT(A1473,"mmmm"))</f>
        <v>Octubre</v>
      </c>
      <c r="X1473" t="str">
        <f>PROPER(TEXT(A1473,"dddd"))</f>
        <v>Martes</v>
      </c>
      <c r="Y1473" t="str" cm="1">
        <f t="array" ref="Y1473">_xlfn.IFS(R1473&gt;10,"Excelente",R1473&gt;=5,"Bueno",R1473&gt;=2,"Débil",R1473&lt;2,"Deficiente")</f>
        <v>Excelente</v>
      </c>
      <c r="Z1473" t="str">
        <f>IF(AND(R1473&lt;2,Q1473&gt;=100),"Revisar","OK")</f>
        <v>OK</v>
      </c>
      <c r="AA1473" s="55">
        <f>_xlfn.XLOOKUP(C1473,'Preguntas de negocio'!$C$114:$C$119,'Preguntas de negocio'!$D$114:$D$119,0)</f>
        <v>5.5</v>
      </c>
      <c r="AB1473" s="55">
        <f>VLOOKUP(C1473,'Preguntas de negocio'!$C$121:$D$127,2,FALSE)</f>
        <v>0.65</v>
      </c>
    </row>
    <row r="1474" spans="1:28" x14ac:dyDescent="0.3">
      <c r="A1474" s="1">
        <v>45874</v>
      </c>
      <c r="B1474" s="2" t="s">
        <v>2631</v>
      </c>
      <c r="C1474" s="2" t="s">
        <v>2543</v>
      </c>
      <c r="D1474" s="2" t="s">
        <v>2528</v>
      </c>
      <c r="E1474" s="2" t="s">
        <v>2529</v>
      </c>
      <c r="F1474" s="3">
        <v>78759</v>
      </c>
      <c r="G1474" s="3">
        <v>3641</v>
      </c>
      <c r="H1474" s="3">
        <v>360</v>
      </c>
      <c r="I1474" s="4">
        <v>988.59</v>
      </c>
      <c r="J1474" s="4">
        <v>30605.48</v>
      </c>
      <c r="K1474" s="3">
        <v>215</v>
      </c>
      <c r="L1474" s="2" t="s">
        <v>2536</v>
      </c>
      <c r="M1474" s="2" t="s">
        <v>2526</v>
      </c>
      <c r="N1474" s="8">
        <f>IFERROR(G1474/F1474,0)</f>
        <v>4.6229637247806599E-2</v>
      </c>
      <c r="O1474" s="8">
        <f>IFERROR(H1474/G1474,0)</f>
        <v>9.8873935731941781E-2</v>
      </c>
      <c r="P1474" s="4">
        <f>IFERROR(I1474/G1474,0)</f>
        <v>0.27151606701455644</v>
      </c>
      <c r="Q1474" s="4">
        <f>IFERROR(I1474/H1474,0)</f>
        <v>2.7460833333333334</v>
      </c>
      <c r="R1474" s="12">
        <f>IFERROR(J1474/I1474,0)</f>
        <v>30.958718983602907</v>
      </c>
      <c r="S1474" s="7">
        <f>Tabla_nuevas_columnas[[#This Row],[ROAS]]</f>
        <v>30.958718983602907</v>
      </c>
      <c r="T1474" t="str">
        <f>_xlfn.CONCAT(C1474,"-",D1474)</f>
        <v>Organic Social-España</v>
      </c>
      <c r="U1474">
        <f>YEAR(A1474)</f>
        <v>2025</v>
      </c>
      <c r="V1474">
        <f>MONTH(A1474)</f>
        <v>8</v>
      </c>
      <c r="W1474" t="str">
        <f>PROPER(TEXT(A1474,"mmmm"))</f>
        <v>Agosto</v>
      </c>
      <c r="X1474" t="str">
        <f>PROPER(TEXT(A1474,"dddd"))</f>
        <v>Martes</v>
      </c>
      <c r="Y1474" t="str" cm="1">
        <f t="array" ref="Y1474">_xlfn.IFS(R1474&gt;10,"Excelente",R1474&gt;=5,"Bueno",R1474&gt;=2,"Débil",R1474&lt;2,"Deficiente")</f>
        <v>Excelente</v>
      </c>
      <c r="Z1474" t="str">
        <f>IF(AND(R1474&lt;2,Q1474&gt;=100),"Revisar","OK")</f>
        <v>OK</v>
      </c>
      <c r="AA1474" s="55">
        <f>_xlfn.XLOOKUP(C1474,'Preguntas de negocio'!$C$114:$C$119,'Preguntas de negocio'!$D$114:$D$119,0)</f>
        <v>4</v>
      </c>
      <c r="AB1474" s="55">
        <f>VLOOKUP(C1474,'Preguntas de negocio'!$C$121:$D$127,2,FALSE)</f>
        <v>0.95</v>
      </c>
    </row>
    <row r="1475" spans="1:28" x14ac:dyDescent="0.3">
      <c r="A1475" s="1">
        <v>45881</v>
      </c>
      <c r="B1475" s="2" t="s">
        <v>2620</v>
      </c>
      <c r="C1475" s="2" t="s">
        <v>2543</v>
      </c>
      <c r="D1475" s="2" t="s">
        <v>2531</v>
      </c>
      <c r="E1475" s="2" t="s">
        <v>2517</v>
      </c>
      <c r="F1475" s="3">
        <v>38667</v>
      </c>
      <c r="G1475" s="3">
        <v>1438</v>
      </c>
      <c r="H1475" s="3">
        <v>183</v>
      </c>
      <c r="I1475" s="4">
        <v>2653.82</v>
      </c>
      <c r="J1475" s="4">
        <v>26139.439999999999</v>
      </c>
      <c r="K1475" s="3">
        <v>146</v>
      </c>
      <c r="L1475" s="2" t="s">
        <v>2523</v>
      </c>
      <c r="M1475" s="2" t="s">
        <v>2519</v>
      </c>
      <c r="N1475" s="8">
        <f>IFERROR(G1475/F1475,0)</f>
        <v>3.7189334574701943E-2</v>
      </c>
      <c r="O1475" s="8">
        <f>IFERROR(H1475/G1475,0)</f>
        <v>0.12726008344923506</v>
      </c>
      <c r="P1475" s="4">
        <f>IFERROR(I1475/G1475,0)</f>
        <v>1.8454937413073715</v>
      </c>
      <c r="Q1475" s="4">
        <f>IFERROR(I1475/H1475,0)</f>
        <v>14.501748633879782</v>
      </c>
      <c r="R1475" s="12">
        <f>IFERROR(J1475/I1475,0)</f>
        <v>9.8497411278835774</v>
      </c>
      <c r="S1475" s="7">
        <f>Tabla_nuevas_columnas[[#This Row],[ROAS]]</f>
        <v>9.8497411278835774</v>
      </c>
      <c r="T1475" t="str">
        <f>_xlfn.CONCAT(C1475,"-",D1475)</f>
        <v>Organic Social-Portugal</v>
      </c>
      <c r="U1475">
        <f>YEAR(A1475)</f>
        <v>2025</v>
      </c>
      <c r="V1475">
        <f>MONTH(A1475)</f>
        <v>8</v>
      </c>
      <c r="W1475" t="str">
        <f>PROPER(TEXT(A1475,"mmmm"))</f>
        <v>Agosto</v>
      </c>
      <c r="X1475" t="str">
        <f>PROPER(TEXT(A1475,"dddd"))</f>
        <v>Martes</v>
      </c>
      <c r="Y1475" t="str" cm="1">
        <f t="array" ref="Y1475">_xlfn.IFS(R1475&gt;10,"Excelente",R1475&gt;=5,"Bueno",R1475&gt;=2,"Débil",R1475&lt;2,"Deficiente")</f>
        <v>Bueno</v>
      </c>
      <c r="Z1475" t="str">
        <f>IF(AND(R1475&lt;2,Q1475&gt;=100),"Revisar","OK")</f>
        <v>OK</v>
      </c>
      <c r="AA1475" s="55">
        <f>_xlfn.XLOOKUP(C1475,'Preguntas de negocio'!$C$114:$C$119,'Preguntas de negocio'!$D$114:$D$119,0)</f>
        <v>4</v>
      </c>
      <c r="AB1475" s="55">
        <f>VLOOKUP(C1475,'Preguntas de negocio'!$C$121:$D$127,2,FALSE)</f>
        <v>0.95</v>
      </c>
    </row>
    <row r="1476" spans="1:28" x14ac:dyDescent="0.3">
      <c r="A1476" s="1">
        <v>45753</v>
      </c>
      <c r="B1476" s="2" t="s">
        <v>2619</v>
      </c>
      <c r="C1476" s="2" t="s">
        <v>2541</v>
      </c>
      <c r="D1476" s="2" t="s">
        <v>2516</v>
      </c>
      <c r="E1476" s="2" t="s">
        <v>2529</v>
      </c>
      <c r="F1476" s="3">
        <v>4736</v>
      </c>
      <c r="G1476" s="3">
        <v>89</v>
      </c>
      <c r="H1476" s="3">
        <v>2</v>
      </c>
      <c r="I1476" s="4">
        <v>65.27</v>
      </c>
      <c r="J1476" s="4">
        <v>312.08999999999997</v>
      </c>
      <c r="K1476" s="3">
        <v>1</v>
      </c>
      <c r="L1476" s="2" t="s">
        <v>2539</v>
      </c>
      <c r="M1476" s="2" t="s">
        <v>2537</v>
      </c>
      <c r="N1476" s="8">
        <f>IFERROR(G1476/F1476,0)</f>
        <v>1.8792229729729729E-2</v>
      </c>
      <c r="O1476" s="8">
        <f>IFERROR(H1476/G1476,0)</f>
        <v>2.247191011235955E-2</v>
      </c>
      <c r="P1476" s="4">
        <f>IFERROR(I1476/G1476,0)</f>
        <v>0.73337078651685383</v>
      </c>
      <c r="Q1476" s="4">
        <f>IFERROR(I1476/H1476,0)</f>
        <v>32.634999999999998</v>
      </c>
      <c r="R1476" s="12">
        <f>IFERROR(J1476/I1476,0)</f>
        <v>4.7815229048567485</v>
      </c>
      <c r="S1476" s="7">
        <f>Tabla_nuevas_columnas[[#This Row],[ROAS]]</f>
        <v>4.7815229048567485</v>
      </c>
      <c r="T1476" t="str">
        <f>_xlfn.CONCAT(C1476,"-",D1476)</f>
        <v>Display-México</v>
      </c>
      <c r="U1476">
        <f>YEAR(A1476)</f>
        <v>2025</v>
      </c>
      <c r="V1476">
        <f>MONTH(A1476)</f>
        <v>4</v>
      </c>
      <c r="W1476" t="str">
        <f>PROPER(TEXT(A1476,"mmmm"))</f>
        <v>Abril</v>
      </c>
      <c r="X1476" t="str">
        <f>PROPER(TEXT(A1476,"dddd"))</f>
        <v>Domingo</v>
      </c>
      <c r="Y1476" t="str" cm="1">
        <f t="array" ref="Y1476">_xlfn.IFS(R1476&gt;10,"Excelente",R1476&gt;=5,"Bueno",R1476&gt;=2,"Débil",R1476&lt;2,"Deficiente")</f>
        <v>Débil</v>
      </c>
      <c r="Z1476" t="str">
        <f>IF(AND(R1476&lt;2,Q1476&gt;=100),"Revisar","OK")</f>
        <v>OK</v>
      </c>
      <c r="AA1476" s="55">
        <f>_xlfn.XLOOKUP(C1476,'Preguntas de negocio'!$C$114:$C$119,'Preguntas de negocio'!$D$114:$D$119,0)</f>
        <v>5</v>
      </c>
      <c r="AB1476" s="55">
        <f>VLOOKUP(C1476,'Preguntas de negocio'!$C$121:$D$127,2,FALSE)</f>
        <v>0.5</v>
      </c>
    </row>
    <row r="1477" spans="1:28" x14ac:dyDescent="0.3">
      <c r="A1477" s="1">
        <v>45969</v>
      </c>
      <c r="B1477" s="2" t="s">
        <v>2622</v>
      </c>
      <c r="C1477" s="2" t="s">
        <v>2521</v>
      </c>
      <c r="D1477" s="2" t="s">
        <v>2528</v>
      </c>
      <c r="E1477" s="2" t="s">
        <v>2529</v>
      </c>
      <c r="F1477" s="3">
        <v>133873</v>
      </c>
      <c r="G1477" s="3">
        <v>5754</v>
      </c>
      <c r="H1477" s="3">
        <v>227</v>
      </c>
      <c r="I1477" s="4">
        <v>9041.98</v>
      </c>
      <c r="J1477" s="4">
        <v>25729.51</v>
      </c>
      <c r="K1477" s="3">
        <v>187</v>
      </c>
      <c r="L1477" s="2" t="s">
        <v>2523</v>
      </c>
      <c r="M1477" s="2" t="s">
        <v>2524</v>
      </c>
      <c r="N1477" s="8">
        <f>IFERROR(G1477/F1477,0)</f>
        <v>4.2981034263817199E-2</v>
      </c>
      <c r="O1477" s="8">
        <f>IFERROR(H1477/G1477,0)</f>
        <v>3.9450816823079597E-2</v>
      </c>
      <c r="P1477" s="4">
        <f>IFERROR(I1477/G1477,0)</f>
        <v>1.5714250955856794</v>
      </c>
      <c r="Q1477" s="4">
        <f>IFERROR(I1477/H1477,0)</f>
        <v>39.832511013215857</v>
      </c>
      <c r="R1477" s="12">
        <f>IFERROR(J1477/I1477,0)</f>
        <v>2.8455614810030547</v>
      </c>
      <c r="S1477" s="7">
        <f>Tabla_nuevas_columnas[[#This Row],[ROAS]]</f>
        <v>2.8455614810030547</v>
      </c>
      <c r="T1477" t="str">
        <f>_xlfn.CONCAT(C1477,"-",D1477)</f>
        <v>Paid Search-España</v>
      </c>
      <c r="U1477">
        <f>YEAR(A1477)</f>
        <v>2025</v>
      </c>
      <c r="V1477">
        <f>MONTH(A1477)</f>
        <v>11</v>
      </c>
      <c r="W1477" t="str">
        <f>PROPER(TEXT(A1477,"mmmm"))</f>
        <v>Noviembre</v>
      </c>
      <c r="X1477" t="str">
        <f>PROPER(TEXT(A1477,"dddd"))</f>
        <v>Sábado</v>
      </c>
      <c r="Y1477" t="str" cm="1">
        <f t="array" ref="Y1477">_xlfn.IFS(R1477&gt;10,"Excelente",R1477&gt;=5,"Bueno",R1477&gt;=2,"Débil",R1477&lt;2,"Deficiente")</f>
        <v>Débil</v>
      </c>
      <c r="Z1477" t="str">
        <f>IF(AND(R1477&lt;2,Q1477&gt;=100),"Revisar","OK")</f>
        <v>OK</v>
      </c>
      <c r="AA1477" s="55">
        <f>_xlfn.XLOOKUP(C1477,'Preguntas de negocio'!$C$114:$C$119,'Preguntas de negocio'!$D$114:$D$119,0)</f>
        <v>5</v>
      </c>
      <c r="AB1477" s="55">
        <f>VLOOKUP(C1477,'Preguntas de negocio'!$C$121:$D$127,2,FALSE)</f>
        <v>1.1000000000000001</v>
      </c>
    </row>
    <row r="1478" spans="1:28" x14ac:dyDescent="0.3">
      <c r="A1478" s="1">
        <v>46020</v>
      </c>
      <c r="B1478" s="2" t="s">
        <v>2639</v>
      </c>
      <c r="C1478" s="2" t="s">
        <v>2521</v>
      </c>
      <c r="D1478" s="2" t="s">
        <v>2528</v>
      </c>
      <c r="E1478" s="2" t="s">
        <v>2517</v>
      </c>
      <c r="F1478" s="3">
        <v>84498</v>
      </c>
      <c r="G1478" s="3">
        <v>2915</v>
      </c>
      <c r="H1478" s="3">
        <v>71</v>
      </c>
      <c r="I1478" s="4">
        <v>5566.83</v>
      </c>
      <c r="J1478" s="4">
        <v>5839.43</v>
      </c>
      <c r="K1478" s="3">
        <v>39</v>
      </c>
      <c r="L1478" s="2" t="s">
        <v>2518</v>
      </c>
      <c r="M1478" s="2" t="s">
        <v>2546</v>
      </c>
      <c r="N1478" s="8">
        <f>IFERROR(G1478/F1478,0)</f>
        <v>3.4497857937465973E-2</v>
      </c>
      <c r="O1478" s="8">
        <f>IFERROR(H1478/G1478,0)</f>
        <v>2.4356775300171527E-2</v>
      </c>
      <c r="P1478" s="4">
        <f>IFERROR(I1478/G1478,0)</f>
        <v>1.9097186963979416</v>
      </c>
      <c r="Q1478" s="4">
        <f>IFERROR(I1478/H1478,0)</f>
        <v>78.406056338028165</v>
      </c>
      <c r="R1478" s="12">
        <f>IFERROR(J1478/I1478,0)</f>
        <v>1.0489686230763289</v>
      </c>
      <c r="S1478" s="7">
        <f>Tabla_nuevas_columnas[[#This Row],[ROAS]]</f>
        <v>1.0489686230763289</v>
      </c>
      <c r="T1478" t="str">
        <f>_xlfn.CONCAT(C1478,"-",D1478)</f>
        <v>Paid Search-España</v>
      </c>
      <c r="U1478">
        <f>YEAR(A1478)</f>
        <v>2025</v>
      </c>
      <c r="V1478">
        <f>MONTH(A1478)</f>
        <v>12</v>
      </c>
      <c r="W1478" t="str">
        <f>PROPER(TEXT(A1478,"mmmm"))</f>
        <v>Diciembre</v>
      </c>
      <c r="X1478" t="str">
        <f>PROPER(TEXT(A1478,"dddd"))</f>
        <v>Lunes</v>
      </c>
      <c r="Y1478" t="str" cm="1">
        <f t="array" ref="Y1478">_xlfn.IFS(R1478&gt;10,"Excelente",R1478&gt;=5,"Bueno",R1478&gt;=2,"Débil",R1478&lt;2,"Deficiente")</f>
        <v>Deficiente</v>
      </c>
      <c r="Z1478" t="str">
        <f>IF(AND(R1478&lt;2,Q1478&gt;=100),"Revisar","OK")</f>
        <v>OK</v>
      </c>
      <c r="AA1478" s="55">
        <f>_xlfn.XLOOKUP(C1478,'Preguntas de negocio'!$C$114:$C$119,'Preguntas de negocio'!$D$114:$D$119,0)</f>
        <v>5</v>
      </c>
      <c r="AB1478" s="55">
        <f>VLOOKUP(C1478,'Preguntas de negocio'!$C$121:$D$127,2,FALSE)</f>
        <v>1.1000000000000001</v>
      </c>
    </row>
    <row r="1479" spans="1:28" x14ac:dyDescent="0.3">
      <c r="A1479" s="1">
        <v>45699</v>
      </c>
      <c r="B1479" s="2" t="s">
        <v>2621</v>
      </c>
      <c r="C1479" s="2" t="s">
        <v>2543</v>
      </c>
      <c r="D1479" s="2" t="s">
        <v>2528</v>
      </c>
      <c r="E1479" s="2" t="s">
        <v>2529</v>
      </c>
      <c r="F1479" s="3">
        <v>98763</v>
      </c>
      <c r="G1479" s="3">
        <v>1996</v>
      </c>
      <c r="H1479" s="3">
        <v>119</v>
      </c>
      <c r="I1479" s="4">
        <v>415.01</v>
      </c>
      <c r="J1479" s="4">
        <v>24438.47</v>
      </c>
      <c r="K1479" s="3">
        <v>54</v>
      </c>
      <c r="L1479" s="2" t="s">
        <v>2523</v>
      </c>
      <c r="M1479" s="2" t="s">
        <v>2537</v>
      </c>
      <c r="N1479" s="8">
        <f>IFERROR(G1479/F1479,0)</f>
        <v>2.0209997671192654E-2</v>
      </c>
      <c r="O1479" s="8">
        <f>IFERROR(H1479/G1479,0)</f>
        <v>5.9619238476953905E-2</v>
      </c>
      <c r="P1479" s="4">
        <f>IFERROR(I1479/G1479,0)</f>
        <v>0.20792084168336672</v>
      </c>
      <c r="Q1479" s="4">
        <f>IFERROR(I1479/H1479,0)</f>
        <v>3.4874789915966384</v>
      </c>
      <c r="R1479" s="12">
        <f>IFERROR(J1479/I1479,0)</f>
        <v>58.886460567215252</v>
      </c>
      <c r="S1479" s="7">
        <f>Tabla_nuevas_columnas[[#This Row],[ROAS]]</f>
        <v>58.886460567215252</v>
      </c>
      <c r="T1479" t="str">
        <f>_xlfn.CONCAT(C1479,"-",D1479)</f>
        <v>Organic Social-España</v>
      </c>
      <c r="U1479">
        <f>YEAR(A1479)</f>
        <v>2025</v>
      </c>
      <c r="V1479">
        <f>MONTH(A1479)</f>
        <v>2</v>
      </c>
      <c r="W1479" t="str">
        <f>PROPER(TEXT(A1479,"mmmm"))</f>
        <v>Febrero</v>
      </c>
      <c r="X1479" t="str">
        <f>PROPER(TEXT(A1479,"dddd"))</f>
        <v>Martes</v>
      </c>
      <c r="Y1479" t="str" cm="1">
        <f t="array" ref="Y1479">_xlfn.IFS(R1479&gt;10,"Excelente",R1479&gt;=5,"Bueno",R1479&gt;=2,"Débil",R1479&lt;2,"Deficiente")</f>
        <v>Excelente</v>
      </c>
      <c r="Z1479" t="str">
        <f>IF(AND(R1479&lt;2,Q1479&gt;=100),"Revisar","OK")</f>
        <v>OK</v>
      </c>
      <c r="AA1479" s="55">
        <f>_xlfn.XLOOKUP(C1479,'Preguntas de negocio'!$C$114:$C$119,'Preguntas de negocio'!$D$114:$D$119,0)</f>
        <v>4</v>
      </c>
      <c r="AB1479" s="55">
        <f>VLOOKUP(C1479,'Preguntas de negocio'!$C$121:$D$127,2,FALSE)</f>
        <v>0.95</v>
      </c>
    </row>
    <row r="1480" spans="1:28" x14ac:dyDescent="0.3">
      <c r="A1480" s="1">
        <v>45885</v>
      </c>
      <c r="B1480" s="2" t="s">
        <v>2637</v>
      </c>
      <c r="C1480" s="2" t="s">
        <v>2521</v>
      </c>
      <c r="D1480" s="2" t="s">
        <v>2528</v>
      </c>
      <c r="E1480" s="2" t="s">
        <v>2529</v>
      </c>
      <c r="F1480" s="3">
        <v>172006</v>
      </c>
      <c r="G1480" s="3">
        <v>7724</v>
      </c>
      <c r="H1480" s="3">
        <v>972</v>
      </c>
      <c r="I1480" s="4">
        <v>9945.25</v>
      </c>
      <c r="J1480" s="4">
        <v>158576.32000000001</v>
      </c>
      <c r="K1480" s="3">
        <v>629</v>
      </c>
      <c r="L1480" s="2" t="s">
        <v>2523</v>
      </c>
      <c r="M1480" s="2" t="s">
        <v>2537</v>
      </c>
      <c r="N1480" s="8">
        <f>IFERROR(G1480/F1480,0)</f>
        <v>4.4905410276385706E-2</v>
      </c>
      <c r="O1480" s="8">
        <f>IFERROR(H1480/G1480,0)</f>
        <v>0.1258415328845158</v>
      </c>
      <c r="P1480" s="4">
        <f>IFERROR(I1480/G1480,0)</f>
        <v>1.2875776799585708</v>
      </c>
      <c r="Q1480" s="4">
        <f>IFERROR(I1480/H1480,0)</f>
        <v>10.231738683127572</v>
      </c>
      <c r="R1480" s="12">
        <f>IFERROR(J1480/I1480,0)</f>
        <v>15.944930494457154</v>
      </c>
      <c r="S1480" s="7">
        <f>Tabla_nuevas_columnas[[#This Row],[ROAS]]</f>
        <v>15.944930494457154</v>
      </c>
      <c r="T1480" t="str">
        <f>_xlfn.CONCAT(C1480,"-",D1480)</f>
        <v>Paid Search-España</v>
      </c>
      <c r="U1480">
        <f>YEAR(A1480)</f>
        <v>2025</v>
      </c>
      <c r="V1480">
        <f>MONTH(A1480)</f>
        <v>8</v>
      </c>
      <c r="W1480" t="str">
        <f>PROPER(TEXT(A1480,"mmmm"))</f>
        <v>Agosto</v>
      </c>
      <c r="X1480" t="str">
        <f>PROPER(TEXT(A1480,"dddd"))</f>
        <v>Sábado</v>
      </c>
      <c r="Y1480" t="str" cm="1">
        <f t="array" ref="Y1480">_xlfn.IFS(R1480&gt;10,"Excelente",R1480&gt;=5,"Bueno",R1480&gt;=2,"Débil",R1480&lt;2,"Deficiente")</f>
        <v>Excelente</v>
      </c>
      <c r="Z1480" t="str">
        <f>IF(AND(R1480&lt;2,Q1480&gt;=100),"Revisar","OK")</f>
        <v>OK</v>
      </c>
      <c r="AA1480" s="55">
        <f>_xlfn.XLOOKUP(C1480,'Preguntas de negocio'!$C$114:$C$119,'Preguntas de negocio'!$D$114:$D$119,0)</f>
        <v>5</v>
      </c>
      <c r="AB1480" s="55">
        <f>VLOOKUP(C1480,'Preguntas de negocio'!$C$121:$D$127,2,FALSE)</f>
        <v>1.1000000000000001</v>
      </c>
    </row>
    <row r="1481" spans="1:28" x14ac:dyDescent="0.3">
      <c r="A1481" s="1">
        <v>45952</v>
      </c>
      <c r="B1481" s="2" t="s">
        <v>2628</v>
      </c>
      <c r="C1481" s="2" t="s">
        <v>2541</v>
      </c>
      <c r="D1481" s="2" t="s">
        <v>2525</v>
      </c>
      <c r="E1481" s="2" t="s">
        <v>2529</v>
      </c>
      <c r="F1481" s="3">
        <v>91874</v>
      </c>
      <c r="G1481" s="3">
        <v>6704</v>
      </c>
      <c r="H1481" s="3">
        <v>118</v>
      </c>
      <c r="I1481" s="4">
        <v>1700.48</v>
      </c>
      <c r="J1481" s="4">
        <v>15971.23</v>
      </c>
      <c r="K1481" s="3">
        <v>104</v>
      </c>
      <c r="L1481" s="2" t="s">
        <v>2539</v>
      </c>
      <c r="M1481" s="2" t="s">
        <v>2524</v>
      </c>
      <c r="N1481" s="8">
        <f>IFERROR(G1481/F1481,0)</f>
        <v>7.2969501708862142E-2</v>
      </c>
      <c r="O1481" s="8">
        <f>IFERROR(H1481/G1481,0)</f>
        <v>1.7601431980906922E-2</v>
      </c>
      <c r="P1481" s="4">
        <f>IFERROR(I1481/G1481,0)</f>
        <v>0.25365155131264916</v>
      </c>
      <c r="Q1481" s="4">
        <f>IFERROR(I1481/H1481,0)</f>
        <v>14.410847457627119</v>
      </c>
      <c r="R1481" s="12">
        <f>IFERROR(J1481/I1481,0)</f>
        <v>9.3921892642077527</v>
      </c>
      <c r="S1481" s="7">
        <f>Tabla_nuevas_columnas[[#This Row],[ROAS]]</f>
        <v>9.3921892642077527</v>
      </c>
      <c r="T1481" t="str">
        <f>_xlfn.CONCAT(C1481,"-",D1481)</f>
        <v>Display-Francia</v>
      </c>
      <c r="U1481">
        <f>YEAR(A1481)</f>
        <v>2025</v>
      </c>
      <c r="V1481">
        <f>MONTH(A1481)</f>
        <v>10</v>
      </c>
      <c r="W1481" t="str">
        <f>PROPER(TEXT(A1481,"mmmm"))</f>
        <v>Octubre</v>
      </c>
      <c r="X1481" t="str">
        <f>PROPER(TEXT(A1481,"dddd"))</f>
        <v>Miércoles</v>
      </c>
      <c r="Y1481" t="str" cm="1">
        <f t="array" ref="Y1481">_xlfn.IFS(R1481&gt;10,"Excelente",R1481&gt;=5,"Bueno",R1481&gt;=2,"Débil",R1481&lt;2,"Deficiente")</f>
        <v>Bueno</v>
      </c>
      <c r="Z1481" t="str">
        <f>IF(AND(R1481&lt;2,Q1481&gt;=100),"Revisar","OK")</f>
        <v>OK</v>
      </c>
      <c r="AA1481" s="55">
        <f>_xlfn.XLOOKUP(C1481,'Preguntas de negocio'!$C$114:$C$119,'Preguntas de negocio'!$D$114:$D$119,0)</f>
        <v>5</v>
      </c>
      <c r="AB1481" s="55">
        <f>VLOOKUP(C1481,'Preguntas de negocio'!$C$121:$D$127,2,FALSE)</f>
        <v>0.5</v>
      </c>
    </row>
    <row r="1482" spans="1:28" x14ac:dyDescent="0.3">
      <c r="A1482" s="1">
        <v>45689</v>
      </c>
      <c r="B1482" s="2" t="s">
        <v>2641</v>
      </c>
      <c r="C1482" s="2" t="s">
        <v>2521</v>
      </c>
      <c r="D1482" s="2" t="s">
        <v>2516</v>
      </c>
      <c r="E1482" s="2" t="s">
        <v>2529</v>
      </c>
      <c r="F1482" s="3">
        <v>45273</v>
      </c>
      <c r="G1482" s="3">
        <v>3937</v>
      </c>
      <c r="H1482" s="3">
        <v>350</v>
      </c>
      <c r="I1482" s="4">
        <v>1985.81</v>
      </c>
      <c r="J1482" s="4">
        <v>44887.839999999997</v>
      </c>
      <c r="K1482" s="3">
        <v>263</v>
      </c>
      <c r="L1482" s="2" t="s">
        <v>2539</v>
      </c>
      <c r="M1482" s="2" t="s">
        <v>2537</v>
      </c>
      <c r="N1482" s="8">
        <f>IFERROR(G1482/F1482,0)</f>
        <v>8.6961323526163495E-2</v>
      </c>
      <c r="O1482" s="8">
        <f>IFERROR(H1482/G1482,0)</f>
        <v>8.8900177800355598E-2</v>
      </c>
      <c r="P1482" s="4">
        <f>IFERROR(I1482/G1482,0)</f>
        <v>0.50439674879349761</v>
      </c>
      <c r="Q1482" s="4">
        <f>IFERROR(I1482/H1482,0)</f>
        <v>5.673742857142857</v>
      </c>
      <c r="R1482" s="12">
        <f>IFERROR(J1482/I1482,0)</f>
        <v>22.604297490696492</v>
      </c>
      <c r="S1482" s="7">
        <f>Tabla_nuevas_columnas[[#This Row],[ROAS]]</f>
        <v>22.604297490696492</v>
      </c>
      <c r="T1482" t="str">
        <f>_xlfn.CONCAT(C1482,"-",D1482)</f>
        <v>Paid Search-México</v>
      </c>
      <c r="U1482">
        <f>YEAR(A1482)</f>
        <v>2025</v>
      </c>
      <c r="V1482">
        <f>MONTH(A1482)</f>
        <v>2</v>
      </c>
      <c r="W1482" t="str">
        <f>PROPER(TEXT(A1482,"mmmm"))</f>
        <v>Febrero</v>
      </c>
      <c r="X1482" t="str">
        <f>PROPER(TEXT(A1482,"dddd"))</f>
        <v>Sábado</v>
      </c>
      <c r="Y1482" t="str" cm="1">
        <f t="array" ref="Y1482">_xlfn.IFS(R1482&gt;10,"Excelente",R1482&gt;=5,"Bueno",R1482&gt;=2,"Débil",R1482&lt;2,"Deficiente")</f>
        <v>Excelente</v>
      </c>
      <c r="Z1482" t="str">
        <f>IF(AND(R1482&lt;2,Q1482&gt;=100),"Revisar","OK")</f>
        <v>OK</v>
      </c>
      <c r="AA1482" s="55">
        <f>_xlfn.XLOOKUP(C1482,'Preguntas de negocio'!$C$114:$C$119,'Preguntas de negocio'!$D$114:$D$119,0)</f>
        <v>5</v>
      </c>
      <c r="AB1482" s="55">
        <f>VLOOKUP(C1482,'Preguntas de negocio'!$C$121:$D$127,2,FALSE)</f>
        <v>1.1000000000000001</v>
      </c>
    </row>
    <row r="1483" spans="1:28" x14ac:dyDescent="0.3">
      <c r="A1483" s="1">
        <v>45698</v>
      </c>
      <c r="B1483" s="2" t="s">
        <v>2636</v>
      </c>
      <c r="C1483" s="2" t="s">
        <v>2527</v>
      </c>
      <c r="D1483" s="2" t="s">
        <v>2528</v>
      </c>
      <c r="E1483" s="2" t="s">
        <v>2517</v>
      </c>
      <c r="F1483" s="3">
        <v>158231</v>
      </c>
      <c r="G1483" s="3">
        <v>1738</v>
      </c>
      <c r="H1483" s="3">
        <v>26</v>
      </c>
      <c r="I1483" s="4">
        <v>2529.31</v>
      </c>
      <c r="J1483" s="4">
        <v>5349.07</v>
      </c>
      <c r="K1483" s="3">
        <v>12</v>
      </c>
      <c r="L1483" s="2" t="s">
        <v>2539</v>
      </c>
      <c r="M1483" s="2" t="s">
        <v>2546</v>
      </c>
      <c r="N1483" s="8">
        <f>IFERROR(G1483/F1483,0)</f>
        <v>1.0983941199891298E-2</v>
      </c>
      <c r="O1483" s="8">
        <f>IFERROR(H1483/G1483,0)</f>
        <v>1.4959723820483314E-2</v>
      </c>
      <c r="P1483" s="4">
        <f>IFERROR(I1483/G1483,0)</f>
        <v>1.4552991944764095</v>
      </c>
      <c r="Q1483" s="4">
        <f>IFERROR(I1483/H1483,0)</f>
        <v>97.281153846153842</v>
      </c>
      <c r="R1483" s="12">
        <f>IFERROR(J1483/I1483,0)</f>
        <v>2.1148336898205438</v>
      </c>
      <c r="S1483" s="7">
        <f>Tabla_nuevas_columnas[[#This Row],[ROAS]]</f>
        <v>2.1148336898205438</v>
      </c>
      <c r="T1483" t="str">
        <f>_xlfn.CONCAT(C1483,"-",D1483)</f>
        <v>Affiliate-España</v>
      </c>
      <c r="U1483">
        <f>YEAR(A1483)</f>
        <v>2025</v>
      </c>
      <c r="V1483">
        <f>MONTH(A1483)</f>
        <v>2</v>
      </c>
      <c r="W1483" t="str">
        <f>PROPER(TEXT(A1483,"mmmm"))</f>
        <v>Febrero</v>
      </c>
      <c r="X1483" t="str">
        <f>PROPER(TEXT(A1483,"dddd"))</f>
        <v>Lunes</v>
      </c>
      <c r="Y1483" t="str" cm="1">
        <f t="array" ref="Y1483">_xlfn.IFS(R1483&gt;10,"Excelente",R1483&gt;=5,"Bueno",R1483&gt;=2,"Débil",R1483&lt;2,"Deficiente")</f>
        <v>Débil</v>
      </c>
      <c r="Z1483" t="str">
        <f>IF(AND(R1483&lt;2,Q1483&gt;=100),"Revisar","OK")</f>
        <v>OK</v>
      </c>
      <c r="AA1483" s="55">
        <f>_xlfn.XLOOKUP(C1483,'Preguntas de negocio'!$C$114:$C$119,'Preguntas de negocio'!$D$114:$D$119,0)</f>
        <v>4.5</v>
      </c>
      <c r="AB1483" s="55">
        <f>VLOOKUP(C1483,'Preguntas de negocio'!$C$121:$D$127,2,FALSE)</f>
        <v>0.35</v>
      </c>
    </row>
    <row r="1484" spans="1:28" x14ac:dyDescent="0.3">
      <c r="A1484" s="1">
        <v>45943</v>
      </c>
      <c r="B1484" s="2" t="s">
        <v>2617</v>
      </c>
      <c r="C1484" s="2" t="s">
        <v>2543</v>
      </c>
      <c r="D1484" s="2" t="s">
        <v>2525</v>
      </c>
      <c r="E1484" s="2" t="s">
        <v>2529</v>
      </c>
      <c r="F1484" s="3">
        <v>145476</v>
      </c>
      <c r="G1484" s="3">
        <v>7420</v>
      </c>
      <c r="H1484" s="3">
        <v>101</v>
      </c>
      <c r="I1484" s="4">
        <v>5015.18</v>
      </c>
      <c r="J1484" s="4">
        <v>7222.67</v>
      </c>
      <c r="K1484" s="3">
        <v>58</v>
      </c>
      <c r="L1484" s="2" t="s">
        <v>2539</v>
      </c>
      <c r="M1484" s="2" t="s">
        <v>2546</v>
      </c>
      <c r="N1484" s="8">
        <f>IFERROR(G1484/F1484,0)</f>
        <v>5.1004976765927024E-2</v>
      </c>
      <c r="O1484" s="8">
        <f>IFERROR(H1484/G1484,0)</f>
        <v>1.3611859838274933E-2</v>
      </c>
      <c r="P1484" s="4">
        <f>IFERROR(I1484/G1484,0)</f>
        <v>0.67590026954177906</v>
      </c>
      <c r="Q1484" s="4">
        <f>IFERROR(I1484/H1484,0)</f>
        <v>49.655247524752475</v>
      </c>
      <c r="R1484" s="12">
        <f>IFERROR(J1484/I1484,0)</f>
        <v>1.4401616691723926</v>
      </c>
      <c r="S1484" s="7">
        <f>Tabla_nuevas_columnas[[#This Row],[ROAS]]</f>
        <v>1.4401616691723926</v>
      </c>
      <c r="T1484" t="str">
        <f>_xlfn.CONCAT(C1484,"-",D1484)</f>
        <v>Organic Social-Francia</v>
      </c>
      <c r="U1484">
        <f>YEAR(A1484)</f>
        <v>2025</v>
      </c>
      <c r="V1484">
        <f>MONTH(A1484)</f>
        <v>10</v>
      </c>
      <c r="W1484" t="str">
        <f>PROPER(TEXT(A1484,"mmmm"))</f>
        <v>Octubre</v>
      </c>
      <c r="X1484" t="str">
        <f>PROPER(TEXT(A1484,"dddd"))</f>
        <v>Lunes</v>
      </c>
      <c r="Y1484" t="str" cm="1">
        <f t="array" ref="Y1484">_xlfn.IFS(R1484&gt;10,"Excelente",R1484&gt;=5,"Bueno",R1484&gt;=2,"Débil",R1484&lt;2,"Deficiente")</f>
        <v>Deficiente</v>
      </c>
      <c r="Z1484" t="str">
        <f>IF(AND(R1484&lt;2,Q1484&gt;=100),"Revisar","OK")</f>
        <v>OK</v>
      </c>
      <c r="AA1484" s="55">
        <f>_xlfn.XLOOKUP(C1484,'Preguntas de negocio'!$C$114:$C$119,'Preguntas de negocio'!$D$114:$D$119,0)</f>
        <v>4</v>
      </c>
      <c r="AB1484" s="55">
        <f>VLOOKUP(C1484,'Preguntas de negocio'!$C$121:$D$127,2,FALSE)</f>
        <v>0.95</v>
      </c>
    </row>
    <row r="1485" spans="1:28" x14ac:dyDescent="0.3">
      <c r="A1485" s="1">
        <v>45659</v>
      </c>
      <c r="B1485" s="2" t="s">
        <v>2633</v>
      </c>
      <c r="C1485" s="2" t="s">
        <v>2521</v>
      </c>
      <c r="D1485" s="2" t="s">
        <v>2531</v>
      </c>
      <c r="E1485" s="2" t="s">
        <v>2534</v>
      </c>
      <c r="F1485" s="3">
        <v>177271</v>
      </c>
      <c r="G1485" s="3">
        <v>1610</v>
      </c>
      <c r="H1485" s="3">
        <v>113</v>
      </c>
      <c r="I1485" s="4">
        <v>303.5</v>
      </c>
      <c r="J1485" s="4">
        <v>17854.919999999998</v>
      </c>
      <c r="K1485" s="3">
        <v>67</v>
      </c>
      <c r="L1485" s="2" t="s">
        <v>2518</v>
      </c>
      <c r="M1485" s="2" t="s">
        <v>2519</v>
      </c>
      <c r="N1485" s="8">
        <f>IFERROR(G1485/F1485,0)</f>
        <v>9.0821397746952415E-3</v>
      </c>
      <c r="O1485" s="8">
        <f>IFERROR(H1485/G1485,0)</f>
        <v>7.0186335403726707E-2</v>
      </c>
      <c r="P1485" s="4">
        <f>IFERROR(I1485/G1485,0)</f>
        <v>0.18850931677018634</v>
      </c>
      <c r="Q1485" s="4">
        <f>IFERROR(I1485/H1485,0)</f>
        <v>2.6858407079646018</v>
      </c>
      <c r="R1485" s="12">
        <f>IFERROR(J1485/I1485,0)</f>
        <v>58.830049423393731</v>
      </c>
      <c r="S1485" s="7">
        <f>Tabla_nuevas_columnas[[#This Row],[ROAS]]</f>
        <v>58.830049423393731</v>
      </c>
      <c r="T1485" t="str">
        <f>_xlfn.CONCAT(C1485,"-",D1485)</f>
        <v>Paid Search-Portugal</v>
      </c>
      <c r="U1485">
        <f>YEAR(A1485)</f>
        <v>2025</v>
      </c>
      <c r="V1485">
        <f>MONTH(A1485)</f>
        <v>1</v>
      </c>
      <c r="W1485" t="str">
        <f>PROPER(TEXT(A1485,"mmmm"))</f>
        <v>Enero</v>
      </c>
      <c r="X1485" t="str">
        <f>PROPER(TEXT(A1485,"dddd"))</f>
        <v>Jueves</v>
      </c>
      <c r="Y1485" t="str" cm="1">
        <f t="array" ref="Y1485">_xlfn.IFS(R1485&gt;10,"Excelente",R1485&gt;=5,"Bueno",R1485&gt;=2,"Débil",R1485&lt;2,"Deficiente")</f>
        <v>Excelente</v>
      </c>
      <c r="Z1485" t="str">
        <f>IF(AND(R1485&lt;2,Q1485&gt;=100),"Revisar","OK")</f>
        <v>OK</v>
      </c>
      <c r="AA1485" s="55">
        <f>_xlfn.XLOOKUP(C1485,'Preguntas de negocio'!$C$114:$C$119,'Preguntas de negocio'!$D$114:$D$119,0)</f>
        <v>5</v>
      </c>
      <c r="AB1485" s="55">
        <f>VLOOKUP(C1485,'Preguntas de negocio'!$C$121:$D$127,2,FALSE)</f>
        <v>1.1000000000000001</v>
      </c>
    </row>
    <row r="1486" spans="1:28" x14ac:dyDescent="0.3">
      <c r="A1486" s="1">
        <v>45997</v>
      </c>
      <c r="B1486" s="2" t="s">
        <v>2643</v>
      </c>
      <c r="C1486" s="2" t="s">
        <v>2515</v>
      </c>
      <c r="D1486" s="2" t="s">
        <v>2528</v>
      </c>
      <c r="E1486" s="2" t="s">
        <v>2529</v>
      </c>
      <c r="F1486" s="3">
        <v>157010</v>
      </c>
      <c r="G1486" s="3">
        <v>12792</v>
      </c>
      <c r="H1486" s="3">
        <v>1357</v>
      </c>
      <c r="I1486" s="4">
        <v>6607.34</v>
      </c>
      <c r="J1486" s="4">
        <v>60926.28</v>
      </c>
      <c r="K1486" s="3">
        <v>641</v>
      </c>
      <c r="L1486" s="2" t="s">
        <v>2523</v>
      </c>
      <c r="M1486" s="2" t="s">
        <v>2546</v>
      </c>
      <c r="N1486" s="8">
        <f>IFERROR(G1486/F1486,0)</f>
        <v>8.1472517674033504E-2</v>
      </c>
      <c r="O1486" s="8">
        <f>IFERROR(H1486/G1486,0)</f>
        <v>0.10608192620387742</v>
      </c>
      <c r="P1486" s="4">
        <f>IFERROR(I1486/G1486,0)</f>
        <v>0.51652126328955594</v>
      </c>
      <c r="Q1486" s="4">
        <f>IFERROR(I1486/H1486,0)</f>
        <v>4.8690788504053062</v>
      </c>
      <c r="R1486" s="12">
        <f>IFERROR(J1486/I1486,0)</f>
        <v>9.2209996761177724</v>
      </c>
      <c r="S1486" s="7">
        <f>Tabla_nuevas_columnas[[#This Row],[ROAS]]</f>
        <v>9.2209996761177724</v>
      </c>
      <c r="T1486" t="str">
        <f>_xlfn.CONCAT(C1486,"-",D1486)</f>
        <v>Email-España</v>
      </c>
      <c r="U1486">
        <f>YEAR(A1486)</f>
        <v>2025</v>
      </c>
      <c r="V1486">
        <f>MONTH(A1486)</f>
        <v>12</v>
      </c>
      <c r="W1486" t="str">
        <f>PROPER(TEXT(A1486,"mmmm"))</f>
        <v>Diciembre</v>
      </c>
      <c r="X1486" t="str">
        <f>PROPER(TEXT(A1486,"dddd"))</f>
        <v>Sábado</v>
      </c>
      <c r="Y1486" t="str" cm="1">
        <f t="array" ref="Y1486">_xlfn.IFS(R1486&gt;10,"Excelente",R1486&gt;=5,"Bueno",R1486&gt;=2,"Débil",R1486&lt;2,"Deficiente")</f>
        <v>Bueno</v>
      </c>
      <c r="Z1486" t="str">
        <f>IF(AND(R1486&lt;2,Q1486&gt;=100),"Revisar","OK")</f>
        <v>OK</v>
      </c>
      <c r="AA1486" s="55">
        <f>_xlfn.XLOOKUP(C1486,'Preguntas de negocio'!$C$114:$C$119,'Preguntas de negocio'!$D$114:$D$119,0)</f>
        <v>5.5</v>
      </c>
      <c r="AB1486" s="55">
        <f>VLOOKUP(C1486,'Preguntas de negocio'!$C$121:$D$127,2,FALSE)</f>
        <v>0.65</v>
      </c>
    </row>
    <row r="1487" spans="1:28" x14ac:dyDescent="0.3">
      <c r="A1487" s="1">
        <v>46002</v>
      </c>
      <c r="B1487" s="2" t="s">
        <v>2620</v>
      </c>
      <c r="C1487" s="2" t="s">
        <v>2521</v>
      </c>
      <c r="D1487" s="2" t="s">
        <v>2531</v>
      </c>
      <c r="E1487" s="2" t="s">
        <v>2517</v>
      </c>
      <c r="F1487" s="3">
        <v>47879</v>
      </c>
      <c r="G1487" s="3">
        <v>523</v>
      </c>
      <c r="H1487" s="3">
        <v>20</v>
      </c>
      <c r="I1487" s="4">
        <v>559.54</v>
      </c>
      <c r="J1487" s="4">
        <v>3437</v>
      </c>
      <c r="K1487" s="3">
        <v>11</v>
      </c>
      <c r="L1487" s="2" t="s">
        <v>2539</v>
      </c>
      <c r="M1487" s="2" t="s">
        <v>2546</v>
      </c>
      <c r="N1487" s="8">
        <f>IFERROR(G1487/F1487,0)</f>
        <v>1.0923369326844755E-2</v>
      </c>
      <c r="O1487" s="8">
        <f>IFERROR(H1487/G1487,0)</f>
        <v>3.8240917782026769E-2</v>
      </c>
      <c r="P1487" s="4">
        <f>IFERROR(I1487/G1487,0)</f>
        <v>1.0698661567877628</v>
      </c>
      <c r="Q1487" s="4">
        <f>IFERROR(I1487/H1487,0)</f>
        <v>27.976999999999997</v>
      </c>
      <c r="R1487" s="12">
        <f>IFERROR(J1487/I1487,0)</f>
        <v>6.1425456625084891</v>
      </c>
      <c r="S1487" s="7">
        <f>Tabla_nuevas_columnas[[#This Row],[ROAS]]</f>
        <v>6.1425456625084891</v>
      </c>
      <c r="T1487" t="str">
        <f>_xlfn.CONCAT(C1487,"-",D1487)</f>
        <v>Paid Search-Portugal</v>
      </c>
      <c r="U1487">
        <f>YEAR(A1487)</f>
        <v>2025</v>
      </c>
      <c r="V1487">
        <f>MONTH(A1487)</f>
        <v>12</v>
      </c>
      <c r="W1487" t="str">
        <f>PROPER(TEXT(A1487,"mmmm"))</f>
        <v>Diciembre</v>
      </c>
      <c r="X1487" t="str">
        <f>PROPER(TEXT(A1487,"dddd"))</f>
        <v>Jueves</v>
      </c>
      <c r="Y1487" t="str" cm="1">
        <f t="array" ref="Y1487">_xlfn.IFS(R1487&gt;10,"Excelente",R1487&gt;=5,"Bueno",R1487&gt;=2,"Débil",R1487&lt;2,"Deficiente")</f>
        <v>Bueno</v>
      </c>
      <c r="Z1487" t="str">
        <f>IF(AND(R1487&lt;2,Q1487&gt;=100),"Revisar","OK")</f>
        <v>OK</v>
      </c>
      <c r="AA1487" s="55">
        <f>_xlfn.XLOOKUP(C1487,'Preguntas de negocio'!$C$114:$C$119,'Preguntas de negocio'!$D$114:$D$119,0)</f>
        <v>5</v>
      </c>
      <c r="AB1487" s="55">
        <f>VLOOKUP(C1487,'Preguntas de negocio'!$C$121:$D$127,2,FALSE)</f>
        <v>1.1000000000000001</v>
      </c>
    </row>
    <row r="1488" spans="1:28" x14ac:dyDescent="0.3">
      <c r="A1488" s="1">
        <v>45765</v>
      </c>
      <c r="B1488" s="2" t="s">
        <v>2640</v>
      </c>
      <c r="C1488" s="2" t="s">
        <v>2527</v>
      </c>
      <c r="D1488" s="2" t="s">
        <v>2516</v>
      </c>
      <c r="E1488" s="2" t="s">
        <v>2529</v>
      </c>
      <c r="F1488" s="3">
        <v>72088</v>
      </c>
      <c r="G1488" s="3">
        <v>1935</v>
      </c>
      <c r="H1488" s="3">
        <v>23</v>
      </c>
      <c r="I1488" s="4">
        <v>3622.5</v>
      </c>
      <c r="J1488" s="4">
        <v>2753.12</v>
      </c>
      <c r="K1488" s="3">
        <v>19</v>
      </c>
      <c r="L1488" s="2" t="s">
        <v>2536</v>
      </c>
      <c r="M1488" s="2" t="s">
        <v>2537</v>
      </c>
      <c r="N1488" s="8">
        <f>IFERROR(G1488/F1488,0)</f>
        <v>2.6842192875374541E-2</v>
      </c>
      <c r="O1488" s="8">
        <f>IFERROR(H1488/G1488,0)</f>
        <v>1.1886304909560724E-2</v>
      </c>
      <c r="P1488" s="4">
        <f>IFERROR(I1488/G1488,0)</f>
        <v>1.8720930232558139</v>
      </c>
      <c r="Q1488" s="4">
        <f>IFERROR(I1488/H1488,0)</f>
        <v>157.5</v>
      </c>
      <c r="R1488" s="12">
        <f>IFERROR(J1488/I1488,0)</f>
        <v>0.76000552104899932</v>
      </c>
      <c r="S1488" s="7">
        <f>Tabla_nuevas_columnas[[#This Row],[ROAS]]</f>
        <v>0.76000552104899932</v>
      </c>
      <c r="T1488" t="str">
        <f>_xlfn.CONCAT(C1488,"-",D1488)</f>
        <v>Affiliate-México</v>
      </c>
      <c r="U1488">
        <f>YEAR(A1488)</f>
        <v>2025</v>
      </c>
      <c r="V1488">
        <f>MONTH(A1488)</f>
        <v>4</v>
      </c>
      <c r="W1488" t="str">
        <f>PROPER(TEXT(A1488,"mmmm"))</f>
        <v>Abril</v>
      </c>
      <c r="X1488" t="str">
        <f>PROPER(TEXT(A1488,"dddd"))</f>
        <v>Viernes</v>
      </c>
      <c r="Y1488" t="str" cm="1">
        <f t="array" ref="Y1488">_xlfn.IFS(R1488&gt;10,"Excelente",R1488&gt;=5,"Bueno",R1488&gt;=2,"Débil",R1488&lt;2,"Deficiente")</f>
        <v>Deficiente</v>
      </c>
      <c r="Z1488" t="str">
        <f>IF(AND(R1488&lt;2,Q1488&gt;=100),"Revisar","OK")</f>
        <v>Revisar</v>
      </c>
      <c r="AA1488" s="55">
        <f>_xlfn.XLOOKUP(C1488,'Preguntas de negocio'!$C$114:$C$119,'Preguntas de negocio'!$D$114:$D$119,0)</f>
        <v>4.5</v>
      </c>
      <c r="AB1488" s="55">
        <f>VLOOKUP(C1488,'Preguntas de negocio'!$C$121:$D$127,2,FALSE)</f>
        <v>0.35</v>
      </c>
    </row>
    <row r="1489" spans="1:28" x14ac:dyDescent="0.3">
      <c r="A1489" s="1">
        <v>45698</v>
      </c>
      <c r="B1489" s="2" t="s">
        <v>2630</v>
      </c>
      <c r="C1489" s="2" t="s">
        <v>2521</v>
      </c>
      <c r="D1489" s="2" t="s">
        <v>2531</v>
      </c>
      <c r="E1489" s="2" t="s">
        <v>2517</v>
      </c>
      <c r="F1489" s="3">
        <v>78862</v>
      </c>
      <c r="G1489" s="3">
        <v>6396</v>
      </c>
      <c r="H1489" s="3">
        <v>471</v>
      </c>
      <c r="I1489" s="4">
        <v>8180.75</v>
      </c>
      <c r="J1489" s="4">
        <v>64875.29</v>
      </c>
      <c r="K1489" s="3">
        <v>374</v>
      </c>
      <c r="L1489" s="2" t="s">
        <v>2518</v>
      </c>
      <c r="M1489" s="2" t="s">
        <v>2526</v>
      </c>
      <c r="N1489" s="8">
        <f>IFERROR(G1489/F1489,0)</f>
        <v>8.110370013441201E-2</v>
      </c>
      <c r="O1489" s="8">
        <f>IFERROR(H1489/G1489,0)</f>
        <v>7.3639774859287049E-2</v>
      </c>
      <c r="P1489" s="4">
        <f>IFERROR(I1489/G1489,0)</f>
        <v>1.2790415884928079</v>
      </c>
      <c r="Q1489" s="4">
        <f>IFERROR(I1489/H1489,0)</f>
        <v>17.368895966029726</v>
      </c>
      <c r="R1489" s="12">
        <f>IFERROR(J1489/I1489,0)</f>
        <v>7.9302374476667792</v>
      </c>
      <c r="S1489" s="7">
        <f>Tabla_nuevas_columnas[[#This Row],[ROAS]]</f>
        <v>7.9302374476667792</v>
      </c>
      <c r="T1489" t="str">
        <f>_xlfn.CONCAT(C1489,"-",D1489)</f>
        <v>Paid Search-Portugal</v>
      </c>
      <c r="U1489">
        <f>YEAR(A1489)</f>
        <v>2025</v>
      </c>
      <c r="V1489">
        <f>MONTH(A1489)</f>
        <v>2</v>
      </c>
      <c r="W1489" t="str">
        <f>PROPER(TEXT(A1489,"mmmm"))</f>
        <v>Febrero</v>
      </c>
      <c r="X1489" t="str">
        <f>PROPER(TEXT(A1489,"dddd"))</f>
        <v>Lunes</v>
      </c>
      <c r="Y1489" t="str" cm="1">
        <f t="array" ref="Y1489">_xlfn.IFS(R1489&gt;10,"Excelente",R1489&gt;=5,"Bueno",R1489&gt;=2,"Débil",R1489&lt;2,"Deficiente")</f>
        <v>Bueno</v>
      </c>
      <c r="Z1489" t="str">
        <f>IF(AND(R1489&lt;2,Q1489&gt;=100),"Revisar","OK")</f>
        <v>OK</v>
      </c>
      <c r="AA1489" s="55">
        <f>_xlfn.XLOOKUP(C1489,'Preguntas de negocio'!$C$114:$C$119,'Preguntas de negocio'!$D$114:$D$119,0)</f>
        <v>5</v>
      </c>
      <c r="AB1489" s="55">
        <f>VLOOKUP(C1489,'Preguntas de negocio'!$C$121:$D$127,2,FALSE)</f>
        <v>1.1000000000000001</v>
      </c>
    </row>
    <row r="1490" spans="1:28" x14ac:dyDescent="0.3">
      <c r="A1490" s="1">
        <v>45767</v>
      </c>
      <c r="B1490" s="2" t="s">
        <v>2637</v>
      </c>
      <c r="C1490" s="2" t="s">
        <v>2543</v>
      </c>
      <c r="D1490" s="2" t="s">
        <v>2516</v>
      </c>
      <c r="E1490" s="2" t="s">
        <v>2529</v>
      </c>
      <c r="F1490" s="3">
        <v>1807</v>
      </c>
      <c r="G1490" s="3">
        <v>38</v>
      </c>
      <c r="H1490" s="3">
        <v>0</v>
      </c>
      <c r="I1490" s="4">
        <v>36.81</v>
      </c>
      <c r="J1490" s="4">
        <v>0</v>
      </c>
      <c r="K1490" s="3">
        <v>0</v>
      </c>
      <c r="L1490" s="2" t="s">
        <v>2539</v>
      </c>
      <c r="M1490" s="2" t="s">
        <v>2537</v>
      </c>
      <c r="N1490" s="8">
        <f>IFERROR(G1490/F1490,0)</f>
        <v>2.1029330381848368E-2</v>
      </c>
      <c r="O1490" s="8">
        <f>IFERROR(H1490/G1490,0)</f>
        <v>0</v>
      </c>
      <c r="P1490" s="4">
        <f>IFERROR(I1490/G1490,0)</f>
        <v>0.96868421052631581</v>
      </c>
      <c r="Q1490" s="4">
        <f>IFERROR(I1490/H1490,0)</f>
        <v>0</v>
      </c>
      <c r="R1490" s="12">
        <f>IFERROR(J1490/I1490,0)</f>
        <v>0</v>
      </c>
      <c r="S1490" s="7">
        <f>Tabla_nuevas_columnas[[#This Row],[ROAS]]</f>
        <v>0</v>
      </c>
      <c r="T1490" t="str">
        <f>_xlfn.CONCAT(C1490,"-",D1490)</f>
        <v>Organic Social-México</v>
      </c>
      <c r="U1490">
        <f>YEAR(A1490)</f>
        <v>2025</v>
      </c>
      <c r="V1490">
        <f>MONTH(A1490)</f>
        <v>4</v>
      </c>
      <c r="W1490" t="str">
        <f>PROPER(TEXT(A1490,"mmmm"))</f>
        <v>Abril</v>
      </c>
      <c r="X1490" t="str">
        <f>PROPER(TEXT(A1490,"dddd"))</f>
        <v>Domingo</v>
      </c>
      <c r="Y1490" t="str" cm="1">
        <f t="array" ref="Y1490">_xlfn.IFS(R1490&gt;10,"Excelente",R1490&gt;=5,"Bueno",R1490&gt;=2,"Débil",R1490&lt;2,"Deficiente")</f>
        <v>Deficiente</v>
      </c>
      <c r="Z1490" t="str">
        <f>IF(AND(R1490&lt;2,Q1490&gt;=100),"Revisar","OK")</f>
        <v>OK</v>
      </c>
      <c r="AA1490" s="55">
        <f>_xlfn.XLOOKUP(C1490,'Preguntas de negocio'!$C$114:$C$119,'Preguntas de negocio'!$D$114:$D$119,0)</f>
        <v>4</v>
      </c>
      <c r="AB1490" s="55">
        <f>VLOOKUP(C1490,'Preguntas de negocio'!$C$121:$D$127,2,FALSE)</f>
        <v>0.95</v>
      </c>
    </row>
    <row r="1491" spans="1:28" x14ac:dyDescent="0.3">
      <c r="A1491" s="1">
        <v>45854</v>
      </c>
      <c r="B1491" s="2" t="s">
        <v>2618</v>
      </c>
      <c r="C1491" s="2" t="s">
        <v>2541</v>
      </c>
      <c r="D1491" s="2" t="s">
        <v>2528</v>
      </c>
      <c r="E1491" s="2" t="s">
        <v>2529</v>
      </c>
      <c r="F1491" s="3">
        <v>158920</v>
      </c>
      <c r="G1491" s="3">
        <v>2089</v>
      </c>
      <c r="H1491" s="3">
        <v>69</v>
      </c>
      <c r="I1491" s="4">
        <v>1037.3399999999999</v>
      </c>
      <c r="J1491" s="4">
        <v>14341.85</v>
      </c>
      <c r="K1491" s="3">
        <v>56</v>
      </c>
      <c r="L1491" s="2" t="s">
        <v>2518</v>
      </c>
      <c r="M1491" s="2" t="s">
        <v>2524</v>
      </c>
      <c r="N1491" s="8">
        <f>IFERROR(G1491/F1491,0)</f>
        <v>1.3144978605587717E-2</v>
      </c>
      <c r="O1491" s="8">
        <f>IFERROR(H1491/G1491,0)</f>
        <v>3.3030157970320731E-2</v>
      </c>
      <c r="P1491" s="4">
        <f>IFERROR(I1491/G1491,0)</f>
        <v>0.49657252273815217</v>
      </c>
      <c r="Q1491" s="4">
        <f>IFERROR(I1491/H1491,0)</f>
        <v>15.033913043478259</v>
      </c>
      <c r="R1491" s="12">
        <f>IFERROR(J1491/I1491,0)</f>
        <v>13.825602020552569</v>
      </c>
      <c r="S1491" s="7">
        <f>Tabla_nuevas_columnas[[#This Row],[ROAS]]</f>
        <v>13.825602020552569</v>
      </c>
      <c r="T1491" t="str">
        <f>_xlfn.CONCAT(C1491,"-",D1491)</f>
        <v>Display-España</v>
      </c>
      <c r="U1491">
        <f>YEAR(A1491)</f>
        <v>2025</v>
      </c>
      <c r="V1491">
        <f>MONTH(A1491)</f>
        <v>7</v>
      </c>
      <c r="W1491" t="str">
        <f>PROPER(TEXT(A1491,"mmmm"))</f>
        <v>Julio</v>
      </c>
      <c r="X1491" t="str">
        <f>PROPER(TEXT(A1491,"dddd"))</f>
        <v>Miércoles</v>
      </c>
      <c r="Y1491" t="str" cm="1">
        <f t="array" ref="Y1491">_xlfn.IFS(R1491&gt;10,"Excelente",R1491&gt;=5,"Bueno",R1491&gt;=2,"Débil",R1491&lt;2,"Deficiente")</f>
        <v>Excelente</v>
      </c>
      <c r="Z1491" t="str">
        <f>IF(AND(R1491&lt;2,Q1491&gt;=100),"Revisar","OK")</f>
        <v>OK</v>
      </c>
      <c r="AA1491" s="55">
        <f>_xlfn.XLOOKUP(C1491,'Preguntas de negocio'!$C$114:$C$119,'Preguntas de negocio'!$D$114:$D$119,0)</f>
        <v>5</v>
      </c>
      <c r="AB1491" s="55">
        <f>VLOOKUP(C1491,'Preguntas de negocio'!$C$121:$D$127,2,FALSE)</f>
        <v>0.5</v>
      </c>
    </row>
    <row r="1492" spans="1:28" x14ac:dyDescent="0.3">
      <c r="A1492" s="1">
        <v>45979</v>
      </c>
      <c r="B1492" s="2" t="s">
        <v>2635</v>
      </c>
      <c r="C1492" s="2" t="s">
        <v>2527</v>
      </c>
      <c r="D1492" s="2" t="s">
        <v>2516</v>
      </c>
      <c r="E1492" s="2" t="s">
        <v>2529</v>
      </c>
      <c r="F1492" s="3">
        <v>136608</v>
      </c>
      <c r="G1492" s="3">
        <v>4923</v>
      </c>
      <c r="H1492" s="3">
        <v>546</v>
      </c>
      <c r="I1492" s="4">
        <v>1368.55</v>
      </c>
      <c r="J1492" s="4">
        <v>85584.75</v>
      </c>
      <c r="K1492" s="3">
        <v>386</v>
      </c>
      <c r="L1492" s="2" t="s">
        <v>2518</v>
      </c>
      <c r="M1492" s="2" t="s">
        <v>2537</v>
      </c>
      <c r="N1492" s="8">
        <f>IFERROR(G1492/F1492,0)</f>
        <v>3.6037420941672525E-2</v>
      </c>
      <c r="O1492" s="8">
        <f>IFERROR(H1492/G1492,0)</f>
        <v>0.11090798293723339</v>
      </c>
      <c r="P1492" s="4">
        <f>IFERROR(I1492/G1492,0)</f>
        <v>0.27799106236034937</v>
      </c>
      <c r="Q1492" s="4">
        <f>IFERROR(I1492/H1492,0)</f>
        <v>2.5065018315018315</v>
      </c>
      <c r="R1492" s="12">
        <f>IFERROR(J1492/I1492,0)</f>
        <v>62.536809031456656</v>
      </c>
      <c r="S1492" s="7">
        <f>Tabla_nuevas_columnas[[#This Row],[ROAS]]</f>
        <v>62.536809031456656</v>
      </c>
      <c r="T1492" t="str">
        <f>_xlfn.CONCAT(C1492,"-",D1492)</f>
        <v>Affiliate-México</v>
      </c>
      <c r="U1492">
        <f>YEAR(A1492)</f>
        <v>2025</v>
      </c>
      <c r="V1492">
        <f>MONTH(A1492)</f>
        <v>11</v>
      </c>
      <c r="W1492" t="str">
        <f>PROPER(TEXT(A1492,"mmmm"))</f>
        <v>Noviembre</v>
      </c>
      <c r="X1492" t="str">
        <f>PROPER(TEXT(A1492,"dddd"))</f>
        <v>Martes</v>
      </c>
      <c r="Y1492" t="str" cm="1">
        <f t="array" ref="Y1492">_xlfn.IFS(R1492&gt;10,"Excelente",R1492&gt;=5,"Bueno",R1492&gt;=2,"Débil",R1492&lt;2,"Deficiente")</f>
        <v>Excelente</v>
      </c>
      <c r="Z1492" t="str">
        <f>IF(AND(R1492&lt;2,Q1492&gt;=100),"Revisar","OK")</f>
        <v>OK</v>
      </c>
      <c r="AA1492" s="55">
        <f>_xlfn.XLOOKUP(C1492,'Preguntas de negocio'!$C$114:$C$119,'Preguntas de negocio'!$D$114:$D$119,0)</f>
        <v>4.5</v>
      </c>
      <c r="AB1492" s="55">
        <f>VLOOKUP(C1492,'Preguntas de negocio'!$C$121:$D$127,2,FALSE)</f>
        <v>0.35</v>
      </c>
    </row>
    <row r="1493" spans="1:28" x14ac:dyDescent="0.3">
      <c r="A1493" s="1">
        <v>45827</v>
      </c>
      <c r="B1493" s="2" t="s">
        <v>2620</v>
      </c>
      <c r="C1493" s="2" t="s">
        <v>2527</v>
      </c>
      <c r="D1493" s="2" t="s">
        <v>2525</v>
      </c>
      <c r="E1493" s="2" t="s">
        <v>2529</v>
      </c>
      <c r="F1493" s="3">
        <v>22459</v>
      </c>
      <c r="G1493" s="3">
        <v>1676</v>
      </c>
      <c r="H1493" s="3">
        <v>69</v>
      </c>
      <c r="I1493" s="4">
        <v>374.14</v>
      </c>
      <c r="J1493" s="4">
        <v>4041</v>
      </c>
      <c r="K1493" s="3">
        <v>52</v>
      </c>
      <c r="L1493" s="2" t="s">
        <v>2523</v>
      </c>
      <c r="M1493" s="2" t="s">
        <v>2537</v>
      </c>
      <c r="N1493" s="8">
        <f>IFERROR(G1493/F1493,0)</f>
        <v>7.4624871988957661E-2</v>
      </c>
      <c r="O1493" s="8">
        <f>IFERROR(H1493/G1493,0)</f>
        <v>4.1169451073985681E-2</v>
      </c>
      <c r="P1493" s="4">
        <f>IFERROR(I1493/G1493,0)</f>
        <v>0.22323389021479711</v>
      </c>
      <c r="Q1493" s="4">
        <f>IFERROR(I1493/H1493,0)</f>
        <v>5.4223188405797096</v>
      </c>
      <c r="R1493" s="12">
        <f>IFERROR(J1493/I1493,0)</f>
        <v>10.800769765328488</v>
      </c>
      <c r="S1493" s="7">
        <f>Tabla_nuevas_columnas[[#This Row],[ROAS]]</f>
        <v>10.800769765328488</v>
      </c>
      <c r="T1493" t="str">
        <f>_xlfn.CONCAT(C1493,"-",D1493)</f>
        <v>Affiliate-Francia</v>
      </c>
      <c r="U1493">
        <f>YEAR(A1493)</f>
        <v>2025</v>
      </c>
      <c r="V1493">
        <f>MONTH(A1493)</f>
        <v>6</v>
      </c>
      <c r="W1493" t="str">
        <f>PROPER(TEXT(A1493,"mmmm"))</f>
        <v>Junio</v>
      </c>
      <c r="X1493" t="str">
        <f>PROPER(TEXT(A1493,"dddd"))</f>
        <v>Jueves</v>
      </c>
      <c r="Y1493" t="str" cm="1">
        <f t="array" ref="Y1493">_xlfn.IFS(R1493&gt;10,"Excelente",R1493&gt;=5,"Bueno",R1493&gt;=2,"Débil",R1493&lt;2,"Deficiente")</f>
        <v>Excelente</v>
      </c>
      <c r="Z1493" t="str">
        <f>IF(AND(R1493&lt;2,Q1493&gt;=100),"Revisar","OK")</f>
        <v>OK</v>
      </c>
      <c r="AA1493" s="55">
        <f>_xlfn.XLOOKUP(C1493,'Preguntas de negocio'!$C$114:$C$119,'Preguntas de negocio'!$D$114:$D$119,0)</f>
        <v>4.5</v>
      </c>
      <c r="AB1493" s="55">
        <f>VLOOKUP(C1493,'Preguntas de negocio'!$C$121:$D$127,2,FALSE)</f>
        <v>0.35</v>
      </c>
    </row>
    <row r="1494" spans="1:28" x14ac:dyDescent="0.3">
      <c r="A1494" s="1">
        <v>46000</v>
      </c>
      <c r="B1494" s="2" t="s">
        <v>2636</v>
      </c>
      <c r="C1494" s="2" t="s">
        <v>2543</v>
      </c>
      <c r="D1494" s="2" t="s">
        <v>2516</v>
      </c>
      <c r="E1494" s="2" t="s">
        <v>2529</v>
      </c>
      <c r="F1494" s="3">
        <v>75462</v>
      </c>
      <c r="G1494" s="3">
        <v>6531</v>
      </c>
      <c r="H1494" s="3">
        <v>246</v>
      </c>
      <c r="I1494" s="4">
        <v>11768.5</v>
      </c>
      <c r="J1494" s="4">
        <v>42199.03</v>
      </c>
      <c r="K1494" s="3">
        <v>146</v>
      </c>
      <c r="L1494" s="2" t="s">
        <v>2518</v>
      </c>
      <c r="M1494" s="2" t="s">
        <v>2519</v>
      </c>
      <c r="N1494" s="8">
        <f>IFERROR(G1494/F1494,0)</f>
        <v>8.654687127295857E-2</v>
      </c>
      <c r="O1494" s="8">
        <f>IFERROR(H1494/G1494,0)</f>
        <v>3.7666513550757924E-2</v>
      </c>
      <c r="P1494" s="4">
        <f>IFERROR(I1494/G1494,0)</f>
        <v>1.801944572041035</v>
      </c>
      <c r="Q1494" s="4">
        <f>IFERROR(I1494/H1494,0)</f>
        <v>47.83943089430894</v>
      </c>
      <c r="R1494" s="12">
        <f>IFERROR(J1494/I1494,0)</f>
        <v>3.5857611420316946</v>
      </c>
      <c r="S1494" s="7">
        <f>Tabla_nuevas_columnas[[#This Row],[ROAS]]</f>
        <v>3.5857611420316946</v>
      </c>
      <c r="T1494" t="str">
        <f>_xlfn.CONCAT(C1494,"-",D1494)</f>
        <v>Organic Social-México</v>
      </c>
      <c r="U1494">
        <f>YEAR(A1494)</f>
        <v>2025</v>
      </c>
      <c r="V1494">
        <f>MONTH(A1494)</f>
        <v>12</v>
      </c>
      <c r="W1494" t="str">
        <f>PROPER(TEXT(A1494,"mmmm"))</f>
        <v>Diciembre</v>
      </c>
      <c r="X1494" t="str">
        <f>PROPER(TEXT(A1494,"dddd"))</f>
        <v>Martes</v>
      </c>
      <c r="Y1494" t="str" cm="1">
        <f t="array" ref="Y1494">_xlfn.IFS(R1494&gt;10,"Excelente",R1494&gt;=5,"Bueno",R1494&gt;=2,"Débil",R1494&lt;2,"Deficiente")</f>
        <v>Débil</v>
      </c>
      <c r="Z1494" t="str">
        <f>IF(AND(R1494&lt;2,Q1494&gt;=100),"Revisar","OK")</f>
        <v>OK</v>
      </c>
      <c r="AA1494" s="55">
        <f>_xlfn.XLOOKUP(C1494,'Preguntas de negocio'!$C$114:$C$119,'Preguntas de negocio'!$D$114:$D$119,0)</f>
        <v>4</v>
      </c>
      <c r="AB1494" s="55">
        <f>VLOOKUP(C1494,'Preguntas de negocio'!$C$121:$D$127,2,FALSE)</f>
        <v>0.95</v>
      </c>
    </row>
    <row r="1495" spans="1:28" x14ac:dyDescent="0.3">
      <c r="A1495" s="1">
        <v>46013</v>
      </c>
      <c r="B1495" s="2" t="s">
        <v>2635</v>
      </c>
      <c r="C1495" s="2" t="s">
        <v>2543</v>
      </c>
      <c r="D1495" s="2" t="s">
        <v>2528</v>
      </c>
      <c r="E1495" s="2" t="s">
        <v>2517</v>
      </c>
      <c r="F1495" s="3">
        <v>152923</v>
      </c>
      <c r="G1495" s="3">
        <v>4709</v>
      </c>
      <c r="H1495" s="3">
        <v>630</v>
      </c>
      <c r="I1495" s="4">
        <v>7324.54</v>
      </c>
      <c r="J1495" s="4">
        <v>83882.91</v>
      </c>
      <c r="K1495" s="3">
        <v>297</v>
      </c>
      <c r="L1495" s="2" t="s">
        <v>2523</v>
      </c>
      <c r="M1495" s="2" t="s">
        <v>2526</v>
      </c>
      <c r="N1495" s="8">
        <f>IFERROR(G1495/F1495,0)</f>
        <v>3.0793275046919037E-2</v>
      </c>
      <c r="O1495" s="8">
        <f>IFERROR(H1495/G1495,0)</f>
        <v>0.13378636653217243</v>
      </c>
      <c r="P1495" s="4">
        <f>IFERROR(I1495/G1495,0)</f>
        <v>1.5554342747929497</v>
      </c>
      <c r="Q1495" s="4">
        <f>IFERROR(I1495/H1495,0)</f>
        <v>11.626253968253968</v>
      </c>
      <c r="R1495" s="12">
        <f>IFERROR(J1495/I1495,0)</f>
        <v>11.452310998369864</v>
      </c>
      <c r="S1495" s="7">
        <f>Tabla_nuevas_columnas[[#This Row],[ROAS]]</f>
        <v>11.452310998369864</v>
      </c>
      <c r="T1495" t="str">
        <f>_xlfn.CONCAT(C1495,"-",D1495)</f>
        <v>Organic Social-España</v>
      </c>
      <c r="U1495">
        <f>YEAR(A1495)</f>
        <v>2025</v>
      </c>
      <c r="V1495">
        <f>MONTH(A1495)</f>
        <v>12</v>
      </c>
      <c r="W1495" t="str">
        <f>PROPER(TEXT(A1495,"mmmm"))</f>
        <v>Diciembre</v>
      </c>
      <c r="X1495" t="str">
        <f>PROPER(TEXT(A1495,"dddd"))</f>
        <v>Lunes</v>
      </c>
      <c r="Y1495" t="str" cm="1">
        <f t="array" ref="Y1495">_xlfn.IFS(R1495&gt;10,"Excelente",R1495&gt;=5,"Bueno",R1495&gt;=2,"Débil",R1495&lt;2,"Deficiente")</f>
        <v>Excelente</v>
      </c>
      <c r="Z1495" t="str">
        <f>IF(AND(R1495&lt;2,Q1495&gt;=100),"Revisar","OK")</f>
        <v>OK</v>
      </c>
      <c r="AA1495" s="55">
        <f>_xlfn.XLOOKUP(C1495,'Preguntas de negocio'!$C$114:$C$119,'Preguntas de negocio'!$D$114:$D$119,0)</f>
        <v>4</v>
      </c>
      <c r="AB1495" s="55">
        <f>VLOOKUP(C1495,'Preguntas de negocio'!$C$121:$D$127,2,FALSE)</f>
        <v>0.95</v>
      </c>
    </row>
    <row r="1496" spans="1:28" x14ac:dyDescent="0.3">
      <c r="A1496" s="1">
        <v>45846</v>
      </c>
      <c r="B1496" s="2" t="s">
        <v>2642</v>
      </c>
      <c r="C1496" s="2" t="s">
        <v>2521</v>
      </c>
      <c r="D1496" s="2" t="s">
        <v>2516</v>
      </c>
      <c r="E1496" s="2" t="s">
        <v>2517</v>
      </c>
      <c r="F1496" s="3">
        <v>48618</v>
      </c>
      <c r="G1496" s="3">
        <v>3916</v>
      </c>
      <c r="H1496" s="3">
        <v>26</v>
      </c>
      <c r="I1496" s="4">
        <v>6871.39</v>
      </c>
      <c r="J1496" s="4">
        <v>2490.69</v>
      </c>
      <c r="K1496" s="3">
        <v>14</v>
      </c>
      <c r="L1496" s="2" t="s">
        <v>2523</v>
      </c>
      <c r="M1496" s="2" t="s">
        <v>2526</v>
      </c>
      <c r="N1496" s="8">
        <f>IFERROR(G1496/F1496,0)</f>
        <v>8.0546299724381917E-2</v>
      </c>
      <c r="O1496" s="8">
        <f>IFERROR(H1496/G1496,0)</f>
        <v>6.6394279877425941E-3</v>
      </c>
      <c r="P1496" s="4">
        <f>IFERROR(I1496/G1496,0)</f>
        <v>1.7546961184882535</v>
      </c>
      <c r="Q1496" s="4">
        <f>IFERROR(I1496/H1496,0)</f>
        <v>264.28423076923076</v>
      </c>
      <c r="R1496" s="12">
        <f>IFERROR(J1496/I1496,0)</f>
        <v>0.36247251283946913</v>
      </c>
      <c r="S1496" s="7">
        <f>Tabla_nuevas_columnas[[#This Row],[ROAS]]</f>
        <v>0.36247251283946913</v>
      </c>
      <c r="T1496" t="str">
        <f>_xlfn.CONCAT(C1496,"-",D1496)</f>
        <v>Paid Search-México</v>
      </c>
      <c r="U1496">
        <f>YEAR(A1496)</f>
        <v>2025</v>
      </c>
      <c r="V1496">
        <f>MONTH(A1496)</f>
        <v>7</v>
      </c>
      <c r="W1496" t="str">
        <f>PROPER(TEXT(A1496,"mmmm"))</f>
        <v>Julio</v>
      </c>
      <c r="X1496" t="str">
        <f>PROPER(TEXT(A1496,"dddd"))</f>
        <v>Martes</v>
      </c>
      <c r="Y1496" t="str" cm="1">
        <f t="array" ref="Y1496">_xlfn.IFS(R1496&gt;10,"Excelente",R1496&gt;=5,"Bueno",R1496&gt;=2,"Débil",R1496&lt;2,"Deficiente")</f>
        <v>Deficiente</v>
      </c>
      <c r="Z1496" t="str">
        <f>IF(AND(R1496&lt;2,Q1496&gt;=100),"Revisar","OK")</f>
        <v>Revisar</v>
      </c>
      <c r="AA1496" s="55">
        <f>_xlfn.XLOOKUP(C1496,'Preguntas de negocio'!$C$114:$C$119,'Preguntas de negocio'!$D$114:$D$119,0)</f>
        <v>5</v>
      </c>
      <c r="AB1496" s="55">
        <f>VLOOKUP(C1496,'Preguntas de negocio'!$C$121:$D$127,2,FALSE)</f>
        <v>1.1000000000000001</v>
      </c>
    </row>
    <row r="1497" spans="1:28" x14ac:dyDescent="0.3">
      <c r="A1497" s="1">
        <v>45751</v>
      </c>
      <c r="B1497" s="2" t="s">
        <v>2643</v>
      </c>
      <c r="C1497" s="2" t="s">
        <v>2541</v>
      </c>
      <c r="D1497" s="2" t="s">
        <v>2528</v>
      </c>
      <c r="E1497" s="2" t="s">
        <v>2517</v>
      </c>
      <c r="F1497" s="3">
        <v>26210</v>
      </c>
      <c r="G1497" s="3">
        <v>1978</v>
      </c>
      <c r="H1497" s="3">
        <v>167</v>
      </c>
      <c r="I1497" s="4">
        <v>1578</v>
      </c>
      <c r="J1497" s="4">
        <v>9949.9699999999993</v>
      </c>
      <c r="K1497" s="3">
        <v>115</v>
      </c>
      <c r="L1497" s="2" t="s">
        <v>2523</v>
      </c>
      <c r="M1497" s="2" t="s">
        <v>2546</v>
      </c>
      <c r="N1497" s="8">
        <f>IFERROR(G1497/F1497,0)</f>
        <v>7.5467378863029372E-2</v>
      </c>
      <c r="O1497" s="8">
        <f>IFERROR(H1497/G1497,0)</f>
        <v>8.4428715874620835E-2</v>
      </c>
      <c r="P1497" s="4">
        <f>IFERROR(I1497/G1497,0)</f>
        <v>0.79777553083923158</v>
      </c>
      <c r="Q1497" s="4">
        <f>IFERROR(I1497/H1497,0)</f>
        <v>9.4491017964071862</v>
      </c>
      <c r="R1497" s="12">
        <f>IFERROR(J1497/I1497,0)</f>
        <v>6.305430925221799</v>
      </c>
      <c r="S1497" s="7">
        <f>Tabla_nuevas_columnas[[#This Row],[ROAS]]</f>
        <v>6.305430925221799</v>
      </c>
      <c r="T1497" t="str">
        <f>_xlfn.CONCAT(C1497,"-",D1497)</f>
        <v>Display-España</v>
      </c>
      <c r="U1497">
        <f>YEAR(A1497)</f>
        <v>2025</v>
      </c>
      <c r="V1497">
        <f>MONTH(A1497)</f>
        <v>4</v>
      </c>
      <c r="W1497" t="str">
        <f>PROPER(TEXT(A1497,"mmmm"))</f>
        <v>Abril</v>
      </c>
      <c r="X1497" t="str">
        <f>PROPER(TEXT(A1497,"dddd"))</f>
        <v>Viernes</v>
      </c>
      <c r="Y1497" t="str" cm="1">
        <f t="array" ref="Y1497">_xlfn.IFS(R1497&gt;10,"Excelente",R1497&gt;=5,"Bueno",R1497&gt;=2,"Débil",R1497&lt;2,"Deficiente")</f>
        <v>Bueno</v>
      </c>
      <c r="Z1497" t="str">
        <f>IF(AND(R1497&lt;2,Q1497&gt;=100),"Revisar","OK")</f>
        <v>OK</v>
      </c>
      <c r="AA1497" s="55">
        <f>_xlfn.XLOOKUP(C1497,'Preguntas de negocio'!$C$114:$C$119,'Preguntas de negocio'!$D$114:$D$119,0)</f>
        <v>5</v>
      </c>
      <c r="AB1497" s="55">
        <f>VLOOKUP(C1497,'Preguntas de negocio'!$C$121:$D$127,2,FALSE)</f>
        <v>0.5</v>
      </c>
    </row>
    <row r="1498" spans="1:28" x14ac:dyDescent="0.3">
      <c r="A1498" s="1">
        <v>45945</v>
      </c>
      <c r="B1498" s="2" t="s">
        <v>2641</v>
      </c>
      <c r="C1498" s="2" t="s">
        <v>2527</v>
      </c>
      <c r="D1498" s="2" t="s">
        <v>2531</v>
      </c>
      <c r="E1498" s="2" t="s">
        <v>2529</v>
      </c>
      <c r="F1498" s="3">
        <v>113803</v>
      </c>
      <c r="G1498" s="3">
        <v>5875</v>
      </c>
      <c r="H1498" s="3">
        <v>797</v>
      </c>
      <c r="I1498" s="4">
        <v>10508.4</v>
      </c>
      <c r="J1498" s="4">
        <v>123064.24</v>
      </c>
      <c r="K1498" s="3">
        <v>609</v>
      </c>
      <c r="L1498" s="2" t="s">
        <v>2523</v>
      </c>
      <c r="M1498" s="2" t="s">
        <v>2524</v>
      </c>
      <c r="N1498" s="8">
        <f>IFERROR(G1498/F1498,0)</f>
        <v>5.1624298129223305E-2</v>
      </c>
      <c r="O1498" s="8">
        <f>IFERROR(H1498/G1498,0)</f>
        <v>0.1356595744680851</v>
      </c>
      <c r="P1498" s="4">
        <f>IFERROR(I1498/G1498,0)</f>
        <v>1.7886638297872339</v>
      </c>
      <c r="Q1498" s="4">
        <f>IFERROR(I1498/H1498,0)</f>
        <v>13.184943538268506</v>
      </c>
      <c r="R1498" s="12">
        <f>IFERROR(J1498/I1498,0)</f>
        <v>11.71103498153858</v>
      </c>
      <c r="S1498" s="7">
        <f>Tabla_nuevas_columnas[[#This Row],[ROAS]]</f>
        <v>11.71103498153858</v>
      </c>
      <c r="T1498" t="str">
        <f>_xlfn.CONCAT(C1498,"-",D1498)</f>
        <v>Affiliate-Portugal</v>
      </c>
      <c r="U1498">
        <f>YEAR(A1498)</f>
        <v>2025</v>
      </c>
      <c r="V1498">
        <f>MONTH(A1498)</f>
        <v>10</v>
      </c>
      <c r="W1498" t="str">
        <f>PROPER(TEXT(A1498,"mmmm"))</f>
        <v>Octubre</v>
      </c>
      <c r="X1498" t="str">
        <f>PROPER(TEXT(A1498,"dddd"))</f>
        <v>Miércoles</v>
      </c>
      <c r="Y1498" t="str" cm="1">
        <f t="array" ref="Y1498">_xlfn.IFS(R1498&gt;10,"Excelente",R1498&gt;=5,"Bueno",R1498&gt;=2,"Débil",R1498&lt;2,"Deficiente")</f>
        <v>Excelente</v>
      </c>
      <c r="Z1498" t="str">
        <f>IF(AND(R1498&lt;2,Q1498&gt;=100),"Revisar","OK")</f>
        <v>OK</v>
      </c>
      <c r="AA1498" s="55">
        <f>_xlfn.XLOOKUP(C1498,'Preguntas de negocio'!$C$114:$C$119,'Preguntas de negocio'!$D$114:$D$119,0)</f>
        <v>4.5</v>
      </c>
      <c r="AB1498" s="55">
        <f>VLOOKUP(C1498,'Preguntas de negocio'!$C$121:$D$127,2,FALSE)</f>
        <v>0.35</v>
      </c>
    </row>
    <row r="1499" spans="1:28" x14ac:dyDescent="0.3">
      <c r="A1499" s="1">
        <v>45828</v>
      </c>
      <c r="B1499" s="2" t="s">
        <v>2615</v>
      </c>
      <c r="C1499" s="2" t="s">
        <v>2533</v>
      </c>
      <c r="D1499" s="2" t="s">
        <v>2516</v>
      </c>
      <c r="E1499" s="2" t="s">
        <v>2517</v>
      </c>
      <c r="F1499" s="3">
        <v>161358</v>
      </c>
      <c r="G1499" s="3">
        <v>9911</v>
      </c>
      <c r="H1499" s="3">
        <v>1297</v>
      </c>
      <c r="I1499" s="4">
        <v>11371.4</v>
      </c>
      <c r="J1499" s="4">
        <v>44199.28</v>
      </c>
      <c r="K1499" s="3">
        <v>1054</v>
      </c>
      <c r="L1499" s="2" t="s">
        <v>2539</v>
      </c>
      <c r="M1499" s="2" t="s">
        <v>2519</v>
      </c>
      <c r="N1499" s="8">
        <f>IFERROR(G1499/F1499,0)</f>
        <v>6.142242714956804E-2</v>
      </c>
      <c r="O1499" s="8">
        <f>IFERROR(H1499/G1499,0)</f>
        <v>0.13086469579255372</v>
      </c>
      <c r="P1499" s="4">
        <f>IFERROR(I1499/G1499,0)</f>
        <v>1.1473514277065886</v>
      </c>
      <c r="Q1499" s="4">
        <f>IFERROR(I1499/H1499,0)</f>
        <v>8.7674633770239012</v>
      </c>
      <c r="R1499" s="12">
        <f>IFERROR(J1499/I1499,0)</f>
        <v>3.8868811228168916</v>
      </c>
      <c r="S1499" s="7">
        <f>Tabla_nuevas_columnas[[#This Row],[ROAS]]</f>
        <v>3.8868811228168916</v>
      </c>
      <c r="T1499" t="str">
        <f>_xlfn.CONCAT(C1499,"-",D1499)</f>
        <v>Paid Social-México</v>
      </c>
      <c r="U1499">
        <f>YEAR(A1499)</f>
        <v>2025</v>
      </c>
      <c r="V1499">
        <f>MONTH(A1499)</f>
        <v>6</v>
      </c>
      <c r="W1499" t="str">
        <f>PROPER(TEXT(A1499,"mmmm"))</f>
        <v>Junio</v>
      </c>
      <c r="X1499" t="str">
        <f>PROPER(TEXT(A1499,"dddd"))</f>
        <v>Viernes</v>
      </c>
      <c r="Y1499" t="str" cm="1">
        <f t="array" ref="Y1499">_xlfn.IFS(R1499&gt;10,"Excelente",R1499&gt;=5,"Bueno",R1499&gt;=2,"Débil",R1499&lt;2,"Deficiente")</f>
        <v>Débil</v>
      </c>
      <c r="Z1499" t="str">
        <f>IF(AND(R1499&lt;2,Q1499&gt;=100),"Revisar","OK")</f>
        <v>OK</v>
      </c>
      <c r="AA1499" s="55">
        <f>_xlfn.XLOOKUP(C1499,'Preguntas de negocio'!$C$114:$C$119,'Preguntas de negocio'!$D$114:$D$119,0)</f>
        <v>6</v>
      </c>
      <c r="AB1499" s="55">
        <f>VLOOKUP(C1499,'Preguntas de negocio'!$C$121:$D$127,2,FALSE)</f>
        <v>0.8</v>
      </c>
    </row>
    <row r="1500" spans="1:28" x14ac:dyDescent="0.3">
      <c r="A1500" s="1">
        <v>45946</v>
      </c>
      <c r="B1500" s="2" t="s">
        <v>2634</v>
      </c>
      <c r="C1500" s="2" t="s">
        <v>2515</v>
      </c>
      <c r="D1500" s="2" t="s">
        <v>2528</v>
      </c>
      <c r="E1500" s="2" t="s">
        <v>2529</v>
      </c>
      <c r="F1500" s="3">
        <v>153744</v>
      </c>
      <c r="G1500" s="3">
        <v>11044</v>
      </c>
      <c r="H1500" s="3">
        <v>958</v>
      </c>
      <c r="I1500" s="4">
        <v>4148.63</v>
      </c>
      <c r="J1500" s="4">
        <v>32501.49</v>
      </c>
      <c r="K1500" s="3">
        <v>751</v>
      </c>
      <c r="L1500" s="2" t="s">
        <v>2539</v>
      </c>
      <c r="M1500" s="2" t="s">
        <v>2546</v>
      </c>
      <c r="N1500" s="8">
        <f>IFERROR(G1500/F1500,0)</f>
        <v>7.1833697575189925E-2</v>
      </c>
      <c r="O1500" s="8">
        <f>IFERROR(H1500/G1500,0)</f>
        <v>8.674393335747918E-2</v>
      </c>
      <c r="P1500" s="4">
        <f>IFERROR(I1500/G1500,0)</f>
        <v>0.37564559942049985</v>
      </c>
      <c r="Q1500" s="4">
        <f>IFERROR(I1500/H1500,0)</f>
        <v>4.3305114822546971</v>
      </c>
      <c r="R1500" s="12">
        <f>IFERROR(J1500/I1500,0)</f>
        <v>7.834270590532296</v>
      </c>
      <c r="S1500" s="7">
        <f>Tabla_nuevas_columnas[[#This Row],[ROAS]]</f>
        <v>7.834270590532296</v>
      </c>
      <c r="T1500" t="str">
        <f>_xlfn.CONCAT(C1500,"-",D1500)</f>
        <v>Email-España</v>
      </c>
      <c r="U1500">
        <f>YEAR(A1500)</f>
        <v>2025</v>
      </c>
      <c r="V1500">
        <f>MONTH(A1500)</f>
        <v>10</v>
      </c>
      <c r="W1500" t="str">
        <f>PROPER(TEXT(A1500,"mmmm"))</f>
        <v>Octubre</v>
      </c>
      <c r="X1500" t="str">
        <f>PROPER(TEXT(A1500,"dddd"))</f>
        <v>Jueves</v>
      </c>
      <c r="Y1500" t="str" cm="1">
        <f t="array" ref="Y1500">_xlfn.IFS(R1500&gt;10,"Excelente",R1500&gt;=5,"Bueno",R1500&gt;=2,"Débil",R1500&lt;2,"Deficiente")</f>
        <v>Bueno</v>
      </c>
      <c r="Z1500" t="str">
        <f>IF(AND(R1500&lt;2,Q1500&gt;=100),"Revisar","OK")</f>
        <v>OK</v>
      </c>
      <c r="AA1500" s="55">
        <f>_xlfn.XLOOKUP(C1500,'Preguntas de negocio'!$C$114:$C$119,'Preguntas de negocio'!$D$114:$D$119,0)</f>
        <v>5.5</v>
      </c>
      <c r="AB1500" s="55">
        <f>VLOOKUP(C1500,'Preguntas de negocio'!$C$121:$D$127,2,FALSE)</f>
        <v>0.65</v>
      </c>
    </row>
    <row r="1501" spans="1:28" x14ac:dyDescent="0.3">
      <c r="A1501" s="1">
        <v>45798</v>
      </c>
      <c r="B1501" s="2" t="s">
        <v>2620</v>
      </c>
      <c r="C1501" s="2" t="s">
        <v>2515</v>
      </c>
      <c r="D1501" s="2" t="s">
        <v>2528</v>
      </c>
      <c r="E1501" s="2" t="s">
        <v>2517</v>
      </c>
      <c r="F1501" s="3">
        <v>116040</v>
      </c>
      <c r="G1501" s="3">
        <v>9271</v>
      </c>
      <c r="H1501" s="3">
        <v>956</v>
      </c>
      <c r="I1501" s="4">
        <v>11988.86</v>
      </c>
      <c r="J1501" s="4">
        <v>117902.95</v>
      </c>
      <c r="K1501" s="3">
        <v>636</v>
      </c>
      <c r="L1501" s="2" t="s">
        <v>2518</v>
      </c>
      <c r="M1501" s="2" t="s">
        <v>2526</v>
      </c>
      <c r="N1501" s="8">
        <f>IFERROR(G1501/F1501,0)</f>
        <v>7.9894863840055147E-2</v>
      </c>
      <c r="O1501" s="8">
        <f>IFERROR(H1501/G1501,0)</f>
        <v>0.10311724733038508</v>
      </c>
      <c r="P1501" s="4">
        <f>IFERROR(I1501/G1501,0)</f>
        <v>1.2931571567252724</v>
      </c>
      <c r="Q1501" s="4">
        <f>IFERROR(I1501/H1501,0)</f>
        <v>12.540648535564854</v>
      </c>
      <c r="R1501" s="12">
        <f>IFERROR(J1501/I1501,0)</f>
        <v>9.8343754118406572</v>
      </c>
      <c r="S1501" s="7">
        <f>Tabla_nuevas_columnas[[#This Row],[ROAS]]</f>
        <v>9.8343754118406572</v>
      </c>
      <c r="T1501" t="str">
        <f>_xlfn.CONCAT(C1501,"-",D1501)</f>
        <v>Email-España</v>
      </c>
      <c r="U1501">
        <f>YEAR(A1501)</f>
        <v>2025</v>
      </c>
      <c r="V1501">
        <f>MONTH(A1501)</f>
        <v>5</v>
      </c>
      <c r="W1501" t="str">
        <f>PROPER(TEXT(A1501,"mmmm"))</f>
        <v>Mayo</v>
      </c>
      <c r="X1501" t="str">
        <f>PROPER(TEXT(A1501,"dddd"))</f>
        <v>Miércoles</v>
      </c>
      <c r="Y1501" t="str" cm="1">
        <f t="array" ref="Y1501">_xlfn.IFS(R1501&gt;10,"Excelente",R1501&gt;=5,"Bueno",R1501&gt;=2,"Débil",R1501&lt;2,"Deficiente")</f>
        <v>Bueno</v>
      </c>
      <c r="Z1501" t="str">
        <f>IF(AND(R1501&lt;2,Q1501&gt;=100),"Revisar","OK")</f>
        <v>OK</v>
      </c>
      <c r="AA1501" s="55">
        <f>_xlfn.XLOOKUP(C1501,'Preguntas de negocio'!$C$114:$C$119,'Preguntas de negocio'!$D$114:$D$119,0)</f>
        <v>5.5</v>
      </c>
      <c r="AB1501" s="55">
        <f>VLOOKUP(C1501,'Preguntas de negocio'!$C$121:$D$127,2,FALSE)</f>
        <v>0.65</v>
      </c>
    </row>
    <row r="1502" spans="1:28" x14ac:dyDescent="0.3">
      <c r="A1502" s="1">
        <v>45772</v>
      </c>
      <c r="B1502" s="2" t="s">
        <v>2628</v>
      </c>
      <c r="C1502" s="2" t="s">
        <v>2543</v>
      </c>
      <c r="D1502" s="2" t="s">
        <v>2528</v>
      </c>
      <c r="E1502" s="2" t="s">
        <v>2534</v>
      </c>
      <c r="F1502" s="3">
        <v>60203</v>
      </c>
      <c r="G1502" s="3">
        <v>1955</v>
      </c>
      <c r="H1502" s="3">
        <v>238</v>
      </c>
      <c r="I1502" s="4">
        <v>3510.59</v>
      </c>
      <c r="J1502" s="4">
        <v>32237.42</v>
      </c>
      <c r="K1502" s="3">
        <v>151</v>
      </c>
      <c r="L1502" s="2" t="s">
        <v>2523</v>
      </c>
      <c r="M1502" s="2" t="s">
        <v>2526</v>
      </c>
      <c r="N1502" s="8">
        <f>IFERROR(G1502/F1502,0)</f>
        <v>3.2473464777502785E-2</v>
      </c>
      <c r="O1502" s="8">
        <f>IFERROR(H1502/G1502,0)</f>
        <v>0.12173913043478261</v>
      </c>
      <c r="P1502" s="4">
        <f>IFERROR(I1502/G1502,0)</f>
        <v>1.7956982097186702</v>
      </c>
      <c r="Q1502" s="4">
        <f>IFERROR(I1502/H1502,0)</f>
        <v>14.750378151260504</v>
      </c>
      <c r="R1502" s="12">
        <f>IFERROR(J1502/I1502,0)</f>
        <v>9.1829065769571496</v>
      </c>
      <c r="S1502" s="7">
        <f>Tabla_nuevas_columnas[[#This Row],[ROAS]]</f>
        <v>9.1829065769571496</v>
      </c>
      <c r="T1502" t="str">
        <f>_xlfn.CONCAT(C1502,"-",D1502)</f>
        <v>Organic Social-España</v>
      </c>
      <c r="U1502">
        <f>YEAR(A1502)</f>
        <v>2025</v>
      </c>
      <c r="V1502">
        <f>MONTH(A1502)</f>
        <v>4</v>
      </c>
      <c r="W1502" t="str">
        <f>PROPER(TEXT(A1502,"mmmm"))</f>
        <v>Abril</v>
      </c>
      <c r="X1502" t="str">
        <f>PROPER(TEXT(A1502,"dddd"))</f>
        <v>Viernes</v>
      </c>
      <c r="Y1502" t="str" cm="1">
        <f t="array" ref="Y1502">_xlfn.IFS(R1502&gt;10,"Excelente",R1502&gt;=5,"Bueno",R1502&gt;=2,"Débil",R1502&lt;2,"Deficiente")</f>
        <v>Bueno</v>
      </c>
      <c r="Z1502" t="str">
        <f>IF(AND(R1502&lt;2,Q1502&gt;=100),"Revisar","OK")</f>
        <v>OK</v>
      </c>
      <c r="AA1502" s="55">
        <f>_xlfn.XLOOKUP(C1502,'Preguntas de negocio'!$C$114:$C$119,'Preguntas de negocio'!$D$114:$D$119,0)</f>
        <v>4</v>
      </c>
      <c r="AB1502" s="55">
        <f>VLOOKUP(C1502,'Preguntas de negocio'!$C$121:$D$127,2,FALSE)</f>
        <v>0.95</v>
      </c>
    </row>
    <row r="1503" spans="1:28" x14ac:dyDescent="0.3">
      <c r="A1503" s="1">
        <v>45856</v>
      </c>
      <c r="B1503" s="2" t="s">
        <v>2635</v>
      </c>
      <c r="C1503" s="2" t="s">
        <v>2521</v>
      </c>
      <c r="D1503" s="2" t="s">
        <v>2528</v>
      </c>
      <c r="E1503" s="2" t="s">
        <v>2534</v>
      </c>
      <c r="F1503" s="3">
        <v>32797</v>
      </c>
      <c r="G1503" s="3">
        <v>2493</v>
      </c>
      <c r="H1503" s="3">
        <v>220</v>
      </c>
      <c r="I1503" s="4">
        <v>3726.11</v>
      </c>
      <c r="J1503" s="4">
        <v>45238.48</v>
      </c>
      <c r="K1503" s="3">
        <v>186</v>
      </c>
      <c r="L1503" s="2" t="s">
        <v>2539</v>
      </c>
      <c r="M1503" s="2" t="s">
        <v>2546</v>
      </c>
      <c r="N1503" s="8">
        <f>IFERROR(G1503/F1503,0)</f>
        <v>7.6013049974082994E-2</v>
      </c>
      <c r="O1503" s="8">
        <f>IFERROR(H1503/G1503,0)</f>
        <v>8.8247091857200158E-2</v>
      </c>
      <c r="P1503" s="4">
        <f>IFERROR(I1503/G1503,0)</f>
        <v>1.494628961091055</v>
      </c>
      <c r="Q1503" s="4">
        <f>IFERROR(I1503/H1503,0)</f>
        <v>16.936863636363636</v>
      </c>
      <c r="R1503" s="12">
        <f>IFERROR(J1503/I1503,0)</f>
        <v>12.140940551942911</v>
      </c>
      <c r="S1503" s="7">
        <f>Tabla_nuevas_columnas[[#This Row],[ROAS]]</f>
        <v>12.140940551942911</v>
      </c>
      <c r="T1503" t="str">
        <f>_xlfn.CONCAT(C1503,"-",D1503)</f>
        <v>Paid Search-España</v>
      </c>
      <c r="U1503">
        <f>YEAR(A1503)</f>
        <v>2025</v>
      </c>
      <c r="V1503">
        <f>MONTH(A1503)</f>
        <v>7</v>
      </c>
      <c r="W1503" t="str">
        <f>PROPER(TEXT(A1503,"mmmm"))</f>
        <v>Julio</v>
      </c>
      <c r="X1503" t="str">
        <f>PROPER(TEXT(A1503,"dddd"))</f>
        <v>Viernes</v>
      </c>
      <c r="Y1503" t="str" cm="1">
        <f t="array" ref="Y1503">_xlfn.IFS(R1503&gt;10,"Excelente",R1503&gt;=5,"Bueno",R1503&gt;=2,"Débil",R1503&lt;2,"Deficiente")</f>
        <v>Excelente</v>
      </c>
      <c r="Z1503" t="str">
        <f>IF(AND(R1503&lt;2,Q1503&gt;=100),"Revisar","OK")</f>
        <v>OK</v>
      </c>
      <c r="AA1503" s="55">
        <f>_xlfn.XLOOKUP(C1503,'Preguntas de negocio'!$C$114:$C$119,'Preguntas de negocio'!$D$114:$D$119,0)</f>
        <v>5</v>
      </c>
      <c r="AB1503" s="55">
        <f>VLOOKUP(C1503,'Preguntas de negocio'!$C$121:$D$127,2,FALSE)</f>
        <v>1.1000000000000001</v>
      </c>
    </row>
    <row r="1504" spans="1:28" x14ac:dyDescent="0.3">
      <c r="A1504" s="1">
        <v>45871</v>
      </c>
      <c r="B1504" s="2" t="s">
        <v>2627</v>
      </c>
      <c r="C1504" s="2" t="s">
        <v>2543</v>
      </c>
      <c r="D1504" s="2" t="s">
        <v>2516</v>
      </c>
      <c r="E1504" s="2" t="s">
        <v>2529</v>
      </c>
      <c r="F1504" s="3">
        <v>117265</v>
      </c>
      <c r="G1504" s="3">
        <v>5454</v>
      </c>
      <c r="H1504" s="3">
        <v>453</v>
      </c>
      <c r="I1504" s="4">
        <v>9160.43</v>
      </c>
      <c r="J1504" s="4">
        <v>23853.34</v>
      </c>
      <c r="K1504" s="3">
        <v>304</v>
      </c>
      <c r="L1504" s="2" t="s">
        <v>2518</v>
      </c>
      <c r="M1504" s="2" t="s">
        <v>2519</v>
      </c>
      <c r="N1504" s="8">
        <f>IFERROR(G1504/F1504,0)</f>
        <v>4.6510041359314372E-2</v>
      </c>
      <c r="O1504" s="8">
        <f>IFERROR(H1504/G1504,0)</f>
        <v>8.305830583058306E-2</v>
      </c>
      <c r="P1504" s="4">
        <f>IFERROR(I1504/G1504,0)</f>
        <v>1.6795801246791346</v>
      </c>
      <c r="Q1504" s="4">
        <f>IFERROR(I1504/H1504,0)</f>
        <v>20.221699779249448</v>
      </c>
      <c r="R1504" s="12">
        <f>IFERROR(J1504/I1504,0)</f>
        <v>2.6039541811901841</v>
      </c>
      <c r="S1504" s="7">
        <f>Tabla_nuevas_columnas[[#This Row],[ROAS]]</f>
        <v>2.6039541811901841</v>
      </c>
      <c r="T1504" t="str">
        <f>_xlfn.CONCAT(C1504,"-",D1504)</f>
        <v>Organic Social-México</v>
      </c>
      <c r="U1504">
        <f>YEAR(A1504)</f>
        <v>2025</v>
      </c>
      <c r="V1504">
        <f>MONTH(A1504)</f>
        <v>8</v>
      </c>
      <c r="W1504" t="str">
        <f>PROPER(TEXT(A1504,"mmmm"))</f>
        <v>Agosto</v>
      </c>
      <c r="X1504" t="str">
        <f>PROPER(TEXT(A1504,"dddd"))</f>
        <v>Sábado</v>
      </c>
      <c r="Y1504" t="str" cm="1">
        <f t="array" ref="Y1504">_xlfn.IFS(R1504&gt;10,"Excelente",R1504&gt;=5,"Bueno",R1504&gt;=2,"Débil",R1504&lt;2,"Deficiente")</f>
        <v>Débil</v>
      </c>
      <c r="Z1504" t="str">
        <f>IF(AND(R1504&lt;2,Q1504&gt;=100),"Revisar","OK")</f>
        <v>OK</v>
      </c>
      <c r="AA1504" s="55">
        <f>_xlfn.XLOOKUP(C1504,'Preguntas de negocio'!$C$114:$C$119,'Preguntas de negocio'!$D$114:$D$119,0)</f>
        <v>4</v>
      </c>
      <c r="AB1504" s="55">
        <f>VLOOKUP(C1504,'Preguntas de negocio'!$C$121:$D$127,2,FALSE)</f>
        <v>0.95</v>
      </c>
    </row>
    <row r="1505" spans="1:28" x14ac:dyDescent="0.3">
      <c r="A1505" s="1">
        <v>45895</v>
      </c>
      <c r="B1505" s="2" t="s">
        <v>2640</v>
      </c>
      <c r="C1505" s="2" t="s">
        <v>2515</v>
      </c>
      <c r="D1505" s="2" t="s">
        <v>2528</v>
      </c>
      <c r="E1505" s="2" t="s">
        <v>2517</v>
      </c>
      <c r="F1505" s="3">
        <v>37609</v>
      </c>
      <c r="G1505" s="3">
        <v>1494</v>
      </c>
      <c r="H1505" s="3">
        <v>119</v>
      </c>
      <c r="I1505" s="4">
        <v>590.79999999999995</v>
      </c>
      <c r="J1505" s="4">
        <v>3939.41</v>
      </c>
      <c r="K1505" s="3">
        <v>95</v>
      </c>
      <c r="L1505" s="2" t="s">
        <v>2539</v>
      </c>
      <c r="M1505" s="2" t="s">
        <v>2537</v>
      </c>
      <c r="N1505" s="8">
        <f>IFERROR(G1505/F1505,0)</f>
        <v>3.9724534021111965E-2</v>
      </c>
      <c r="O1505" s="8">
        <f>IFERROR(H1505/G1505,0)</f>
        <v>7.9651941097724235E-2</v>
      </c>
      <c r="P1505" s="4">
        <f>IFERROR(I1505/G1505,0)</f>
        <v>0.39544846050870142</v>
      </c>
      <c r="Q1505" s="4">
        <f>IFERROR(I1505/H1505,0)</f>
        <v>4.9647058823529404</v>
      </c>
      <c r="R1505" s="12">
        <f>IFERROR(J1505/I1505,0)</f>
        <v>6.6679248476641844</v>
      </c>
      <c r="S1505" s="7">
        <f>Tabla_nuevas_columnas[[#This Row],[ROAS]]</f>
        <v>6.6679248476641844</v>
      </c>
      <c r="T1505" t="str">
        <f>_xlfn.CONCAT(C1505,"-",D1505)</f>
        <v>Email-España</v>
      </c>
      <c r="U1505">
        <f>YEAR(A1505)</f>
        <v>2025</v>
      </c>
      <c r="V1505">
        <f>MONTH(A1505)</f>
        <v>8</v>
      </c>
      <c r="W1505" t="str">
        <f>PROPER(TEXT(A1505,"mmmm"))</f>
        <v>Agosto</v>
      </c>
      <c r="X1505" t="str">
        <f>PROPER(TEXT(A1505,"dddd"))</f>
        <v>Martes</v>
      </c>
      <c r="Y1505" t="str" cm="1">
        <f t="array" ref="Y1505">_xlfn.IFS(R1505&gt;10,"Excelente",R1505&gt;=5,"Bueno",R1505&gt;=2,"Débil",R1505&lt;2,"Deficiente")</f>
        <v>Bueno</v>
      </c>
      <c r="Z1505" t="str">
        <f>IF(AND(R1505&lt;2,Q1505&gt;=100),"Revisar","OK")</f>
        <v>OK</v>
      </c>
      <c r="AA1505" s="55">
        <f>_xlfn.XLOOKUP(C1505,'Preguntas de negocio'!$C$114:$C$119,'Preguntas de negocio'!$D$114:$D$119,0)</f>
        <v>5.5</v>
      </c>
      <c r="AB1505" s="55">
        <f>VLOOKUP(C1505,'Preguntas de negocio'!$C$121:$D$127,2,FALSE)</f>
        <v>0.65</v>
      </c>
    </row>
    <row r="1506" spans="1:28" x14ac:dyDescent="0.3">
      <c r="A1506" s="1">
        <v>45979</v>
      </c>
      <c r="B1506" s="2" t="s">
        <v>2626</v>
      </c>
      <c r="C1506" s="2" t="s">
        <v>2521</v>
      </c>
      <c r="D1506" s="2" t="s">
        <v>2525</v>
      </c>
      <c r="E1506" s="2" t="s">
        <v>2529</v>
      </c>
      <c r="F1506" s="3">
        <v>59056</v>
      </c>
      <c r="G1506" s="3">
        <v>3130</v>
      </c>
      <c r="H1506" s="3">
        <v>303</v>
      </c>
      <c r="I1506" s="4">
        <v>5041.21</v>
      </c>
      <c r="J1506" s="4">
        <v>60426.22</v>
      </c>
      <c r="K1506" s="3">
        <v>250</v>
      </c>
      <c r="L1506" s="2" t="s">
        <v>2536</v>
      </c>
      <c r="M1506" s="2" t="s">
        <v>2524</v>
      </c>
      <c r="N1506" s="8">
        <f>IFERROR(G1506/F1506,0)</f>
        <v>5.3000541858574911E-2</v>
      </c>
      <c r="O1506" s="8">
        <f>IFERROR(H1506/G1506,0)</f>
        <v>9.6805111821086268E-2</v>
      </c>
      <c r="P1506" s="4">
        <f>IFERROR(I1506/G1506,0)</f>
        <v>1.6106102236421724</v>
      </c>
      <c r="Q1506" s="4">
        <f>IFERROR(I1506/H1506,0)</f>
        <v>16.637656765676567</v>
      </c>
      <c r="R1506" s="12">
        <f>IFERROR(J1506/I1506,0)</f>
        <v>11.986451665373988</v>
      </c>
      <c r="S1506" s="7">
        <f>Tabla_nuevas_columnas[[#This Row],[ROAS]]</f>
        <v>11.986451665373988</v>
      </c>
      <c r="T1506" t="str">
        <f>_xlfn.CONCAT(C1506,"-",D1506)</f>
        <v>Paid Search-Francia</v>
      </c>
      <c r="U1506">
        <f>YEAR(A1506)</f>
        <v>2025</v>
      </c>
      <c r="V1506">
        <f>MONTH(A1506)</f>
        <v>11</v>
      </c>
      <c r="W1506" t="str">
        <f>PROPER(TEXT(A1506,"mmmm"))</f>
        <v>Noviembre</v>
      </c>
      <c r="X1506" t="str">
        <f>PROPER(TEXT(A1506,"dddd"))</f>
        <v>Martes</v>
      </c>
      <c r="Y1506" t="str" cm="1">
        <f t="array" ref="Y1506">_xlfn.IFS(R1506&gt;10,"Excelente",R1506&gt;=5,"Bueno",R1506&gt;=2,"Débil",R1506&lt;2,"Deficiente")</f>
        <v>Excelente</v>
      </c>
      <c r="Z1506" t="str">
        <f>IF(AND(R1506&lt;2,Q1506&gt;=100),"Revisar","OK")</f>
        <v>OK</v>
      </c>
      <c r="AA1506" s="55">
        <f>_xlfn.XLOOKUP(C1506,'Preguntas de negocio'!$C$114:$C$119,'Preguntas de negocio'!$D$114:$D$119,0)</f>
        <v>5</v>
      </c>
      <c r="AB1506" s="55">
        <f>VLOOKUP(C1506,'Preguntas de negocio'!$C$121:$D$127,2,FALSE)</f>
        <v>1.1000000000000001</v>
      </c>
    </row>
    <row r="1507" spans="1:28" x14ac:dyDescent="0.3">
      <c r="A1507" s="1">
        <v>45792</v>
      </c>
      <c r="B1507" s="2" t="s">
        <v>2638</v>
      </c>
      <c r="C1507" s="2" t="s">
        <v>2543</v>
      </c>
      <c r="D1507" s="2" t="s">
        <v>2516</v>
      </c>
      <c r="E1507" s="2" t="s">
        <v>2529</v>
      </c>
      <c r="F1507" s="3">
        <v>34557</v>
      </c>
      <c r="G1507" s="3">
        <v>975</v>
      </c>
      <c r="H1507" s="3">
        <v>21</v>
      </c>
      <c r="I1507" s="4">
        <v>729.13</v>
      </c>
      <c r="J1507" s="4">
        <v>4314.3900000000003</v>
      </c>
      <c r="K1507" s="3">
        <v>17</v>
      </c>
      <c r="L1507" s="2" t="s">
        <v>2539</v>
      </c>
      <c r="M1507" s="2" t="s">
        <v>2524</v>
      </c>
      <c r="N1507" s="8">
        <f>IFERROR(G1507/F1507,0)</f>
        <v>2.8214254709610209E-2</v>
      </c>
      <c r="O1507" s="8">
        <f>IFERROR(H1507/G1507,0)</f>
        <v>2.1538461538461538E-2</v>
      </c>
      <c r="P1507" s="4">
        <f>IFERROR(I1507/G1507,0)</f>
        <v>0.74782564102564097</v>
      </c>
      <c r="Q1507" s="4">
        <f>IFERROR(I1507/H1507,0)</f>
        <v>34.720476190476191</v>
      </c>
      <c r="R1507" s="12">
        <f>IFERROR(J1507/I1507,0)</f>
        <v>5.9171752636704023</v>
      </c>
      <c r="S1507" s="7">
        <f>Tabla_nuevas_columnas[[#This Row],[ROAS]]</f>
        <v>5.9171752636704023</v>
      </c>
      <c r="T1507" t="str">
        <f>_xlfn.CONCAT(C1507,"-",D1507)</f>
        <v>Organic Social-México</v>
      </c>
      <c r="U1507">
        <f>YEAR(A1507)</f>
        <v>2025</v>
      </c>
      <c r="V1507">
        <f>MONTH(A1507)</f>
        <v>5</v>
      </c>
      <c r="W1507" t="str">
        <f>PROPER(TEXT(A1507,"mmmm"))</f>
        <v>Mayo</v>
      </c>
      <c r="X1507" t="str">
        <f>PROPER(TEXT(A1507,"dddd"))</f>
        <v>Jueves</v>
      </c>
      <c r="Y1507" t="str" cm="1">
        <f t="array" ref="Y1507">_xlfn.IFS(R1507&gt;10,"Excelente",R1507&gt;=5,"Bueno",R1507&gt;=2,"Débil",R1507&lt;2,"Deficiente")</f>
        <v>Bueno</v>
      </c>
      <c r="Z1507" t="str">
        <f>IF(AND(R1507&lt;2,Q1507&gt;=100),"Revisar","OK")</f>
        <v>OK</v>
      </c>
      <c r="AA1507" s="55">
        <f>_xlfn.XLOOKUP(C1507,'Preguntas de negocio'!$C$114:$C$119,'Preguntas de negocio'!$D$114:$D$119,0)</f>
        <v>4</v>
      </c>
      <c r="AB1507" s="55">
        <f>VLOOKUP(C1507,'Preguntas de negocio'!$C$121:$D$127,2,FALSE)</f>
        <v>0.95</v>
      </c>
    </row>
    <row r="1508" spans="1:28" x14ac:dyDescent="0.3">
      <c r="A1508" s="1">
        <v>45987</v>
      </c>
      <c r="B1508" s="2" t="s">
        <v>2637</v>
      </c>
      <c r="C1508" s="2" t="s">
        <v>2527</v>
      </c>
      <c r="D1508" s="2" t="s">
        <v>2525</v>
      </c>
      <c r="E1508" s="2" t="s">
        <v>2529</v>
      </c>
      <c r="F1508" s="3">
        <v>171703</v>
      </c>
      <c r="G1508" s="3">
        <v>2050</v>
      </c>
      <c r="H1508" s="3">
        <v>271</v>
      </c>
      <c r="I1508" s="4">
        <v>1097.48</v>
      </c>
      <c r="J1508" s="4">
        <v>11264.4</v>
      </c>
      <c r="K1508" s="3">
        <v>223</v>
      </c>
      <c r="L1508" s="2" t="s">
        <v>2518</v>
      </c>
      <c r="M1508" s="2" t="s">
        <v>2537</v>
      </c>
      <c r="N1508" s="8">
        <f>IFERROR(G1508/F1508,0)</f>
        <v>1.193922063097325E-2</v>
      </c>
      <c r="O1508" s="8">
        <f>IFERROR(H1508/G1508,0)</f>
        <v>0.13219512195121952</v>
      </c>
      <c r="P1508" s="4">
        <f>IFERROR(I1508/G1508,0)</f>
        <v>0.53535609756097557</v>
      </c>
      <c r="Q1508" s="4">
        <f>IFERROR(I1508/H1508,0)</f>
        <v>4.049741697416974</v>
      </c>
      <c r="R1508" s="12">
        <f>IFERROR(J1508/I1508,0)</f>
        <v>10.263877246054598</v>
      </c>
      <c r="S1508" s="7">
        <f>Tabla_nuevas_columnas[[#This Row],[ROAS]]</f>
        <v>10.263877246054598</v>
      </c>
      <c r="T1508" t="str">
        <f>_xlfn.CONCAT(C1508,"-",D1508)</f>
        <v>Affiliate-Francia</v>
      </c>
      <c r="U1508">
        <f>YEAR(A1508)</f>
        <v>2025</v>
      </c>
      <c r="V1508">
        <f>MONTH(A1508)</f>
        <v>11</v>
      </c>
      <c r="W1508" t="str">
        <f>PROPER(TEXT(A1508,"mmmm"))</f>
        <v>Noviembre</v>
      </c>
      <c r="X1508" t="str">
        <f>PROPER(TEXT(A1508,"dddd"))</f>
        <v>Miércoles</v>
      </c>
      <c r="Y1508" t="str" cm="1">
        <f t="array" ref="Y1508">_xlfn.IFS(R1508&gt;10,"Excelente",R1508&gt;=5,"Bueno",R1508&gt;=2,"Débil",R1508&lt;2,"Deficiente")</f>
        <v>Excelente</v>
      </c>
      <c r="Z1508" t="str">
        <f>IF(AND(R1508&lt;2,Q1508&gt;=100),"Revisar","OK")</f>
        <v>OK</v>
      </c>
      <c r="AA1508" s="55">
        <f>_xlfn.XLOOKUP(C1508,'Preguntas de negocio'!$C$114:$C$119,'Preguntas de negocio'!$D$114:$D$119,0)</f>
        <v>4.5</v>
      </c>
      <c r="AB1508" s="55">
        <f>VLOOKUP(C1508,'Preguntas de negocio'!$C$121:$D$127,2,FALSE)</f>
        <v>0.35</v>
      </c>
    </row>
    <row r="1509" spans="1:28" x14ac:dyDescent="0.3">
      <c r="A1509" s="1">
        <v>46012</v>
      </c>
      <c r="B1509" s="2" t="s">
        <v>2629</v>
      </c>
      <c r="C1509" s="2" t="s">
        <v>2521</v>
      </c>
      <c r="D1509" s="2" t="s">
        <v>2522</v>
      </c>
      <c r="E1509" s="2" t="s">
        <v>2517</v>
      </c>
      <c r="F1509" s="3">
        <v>30764</v>
      </c>
      <c r="G1509" s="3">
        <v>1062</v>
      </c>
      <c r="H1509" s="3">
        <v>110</v>
      </c>
      <c r="I1509" s="4">
        <v>1249.1199999999999</v>
      </c>
      <c r="J1509" s="4">
        <v>10191.85</v>
      </c>
      <c r="K1509" s="3">
        <v>61</v>
      </c>
      <c r="L1509" s="2" t="s">
        <v>2523</v>
      </c>
      <c r="M1509" s="2" t="s">
        <v>2526</v>
      </c>
      <c r="N1509" s="8">
        <f>IFERROR(G1509/F1509,0)</f>
        <v>3.45208685476531E-2</v>
      </c>
      <c r="O1509" s="8">
        <f>IFERROR(H1509/G1509,0)</f>
        <v>0.10357815442561205</v>
      </c>
      <c r="P1509" s="4">
        <f>IFERROR(I1509/G1509,0)</f>
        <v>1.1761958568738229</v>
      </c>
      <c r="Q1509" s="4">
        <f>IFERROR(I1509/H1509,0)</f>
        <v>11.355636363636362</v>
      </c>
      <c r="R1509" s="12">
        <f>IFERROR(J1509/I1509,0)</f>
        <v>8.1592240937620097</v>
      </c>
      <c r="S1509" s="7">
        <f>Tabla_nuevas_columnas[[#This Row],[ROAS]]</f>
        <v>8.1592240937620097</v>
      </c>
      <c r="T1509" t="str">
        <f>_xlfn.CONCAT(C1509,"-",D1509)</f>
        <v>Paid Search-Italia</v>
      </c>
      <c r="U1509">
        <f>YEAR(A1509)</f>
        <v>2025</v>
      </c>
      <c r="V1509">
        <f>MONTH(A1509)</f>
        <v>12</v>
      </c>
      <c r="W1509" t="str">
        <f>PROPER(TEXT(A1509,"mmmm"))</f>
        <v>Diciembre</v>
      </c>
      <c r="X1509" t="str">
        <f>PROPER(TEXT(A1509,"dddd"))</f>
        <v>Domingo</v>
      </c>
      <c r="Y1509" t="str" cm="1">
        <f t="array" ref="Y1509">_xlfn.IFS(R1509&gt;10,"Excelente",R1509&gt;=5,"Bueno",R1509&gt;=2,"Débil",R1509&lt;2,"Deficiente")</f>
        <v>Bueno</v>
      </c>
      <c r="Z1509" t="str">
        <f>IF(AND(R1509&lt;2,Q1509&gt;=100),"Revisar","OK")</f>
        <v>OK</v>
      </c>
      <c r="AA1509" s="55">
        <f>_xlfn.XLOOKUP(C1509,'Preguntas de negocio'!$C$114:$C$119,'Preguntas de negocio'!$D$114:$D$119,0)</f>
        <v>5</v>
      </c>
      <c r="AB1509" s="55">
        <f>VLOOKUP(C1509,'Preguntas de negocio'!$C$121:$D$127,2,FALSE)</f>
        <v>1.1000000000000001</v>
      </c>
    </row>
    <row r="1510" spans="1:28" x14ac:dyDescent="0.3">
      <c r="A1510" s="1">
        <v>45827</v>
      </c>
      <c r="B1510" s="2" t="s">
        <v>2644</v>
      </c>
      <c r="C1510" s="2" t="s">
        <v>2541</v>
      </c>
      <c r="D1510" s="2" t="s">
        <v>2528</v>
      </c>
      <c r="E1510" s="2" t="s">
        <v>2529</v>
      </c>
      <c r="F1510" s="3">
        <v>25311</v>
      </c>
      <c r="G1510" s="3">
        <v>422</v>
      </c>
      <c r="H1510" s="3">
        <v>27</v>
      </c>
      <c r="I1510" s="4">
        <v>278.01</v>
      </c>
      <c r="J1510" s="4">
        <v>1050.1199999999999</v>
      </c>
      <c r="K1510" s="3">
        <v>21</v>
      </c>
      <c r="L1510" s="2" t="s">
        <v>2523</v>
      </c>
      <c r="M1510" s="2" t="s">
        <v>2537</v>
      </c>
      <c r="N1510" s="8">
        <f>IFERROR(G1510/F1510,0)</f>
        <v>1.6672592943779384E-2</v>
      </c>
      <c r="O1510" s="8">
        <f>IFERROR(H1510/G1510,0)</f>
        <v>6.398104265402843E-2</v>
      </c>
      <c r="P1510" s="4">
        <f>IFERROR(I1510/G1510,0)</f>
        <v>0.65879146919431275</v>
      </c>
      <c r="Q1510" s="4">
        <f>IFERROR(I1510/H1510,0)</f>
        <v>10.296666666666667</v>
      </c>
      <c r="R1510" s="12">
        <f>IFERROR(J1510/I1510,0)</f>
        <v>3.777274198769828</v>
      </c>
      <c r="S1510" s="7">
        <f>Tabla_nuevas_columnas[[#This Row],[ROAS]]</f>
        <v>3.777274198769828</v>
      </c>
      <c r="T1510" t="str">
        <f>_xlfn.CONCAT(C1510,"-",D1510)</f>
        <v>Display-España</v>
      </c>
      <c r="U1510">
        <f>YEAR(A1510)</f>
        <v>2025</v>
      </c>
      <c r="V1510">
        <f>MONTH(A1510)</f>
        <v>6</v>
      </c>
      <c r="W1510" t="str">
        <f>PROPER(TEXT(A1510,"mmmm"))</f>
        <v>Junio</v>
      </c>
      <c r="X1510" t="str">
        <f>PROPER(TEXT(A1510,"dddd"))</f>
        <v>Jueves</v>
      </c>
      <c r="Y1510" t="str" cm="1">
        <f t="array" ref="Y1510">_xlfn.IFS(R1510&gt;10,"Excelente",R1510&gt;=5,"Bueno",R1510&gt;=2,"Débil",R1510&lt;2,"Deficiente")</f>
        <v>Débil</v>
      </c>
      <c r="Z1510" t="str">
        <f>IF(AND(R1510&lt;2,Q1510&gt;=100),"Revisar","OK")</f>
        <v>OK</v>
      </c>
      <c r="AA1510" s="55">
        <f>_xlfn.XLOOKUP(C1510,'Preguntas de negocio'!$C$114:$C$119,'Preguntas de negocio'!$D$114:$D$119,0)</f>
        <v>5</v>
      </c>
      <c r="AB1510" s="55">
        <f>VLOOKUP(C1510,'Preguntas de negocio'!$C$121:$D$127,2,FALSE)</f>
        <v>0.5</v>
      </c>
    </row>
    <row r="1511" spans="1:28" x14ac:dyDescent="0.3">
      <c r="A1511" s="1">
        <v>45724</v>
      </c>
      <c r="B1511" s="2" t="s">
        <v>2644</v>
      </c>
      <c r="C1511" s="2" t="s">
        <v>2515</v>
      </c>
      <c r="D1511" s="2" t="s">
        <v>2516</v>
      </c>
      <c r="E1511" s="2" t="s">
        <v>2517</v>
      </c>
      <c r="F1511" s="3">
        <v>97627</v>
      </c>
      <c r="G1511" s="3">
        <v>5878</v>
      </c>
      <c r="H1511" s="3">
        <v>748</v>
      </c>
      <c r="I1511" s="4">
        <v>777.87</v>
      </c>
      <c r="J1511" s="4">
        <v>151240.46</v>
      </c>
      <c r="K1511" s="3">
        <v>427</v>
      </c>
      <c r="L1511" s="2" t="s">
        <v>2523</v>
      </c>
      <c r="M1511" s="2" t="s">
        <v>2526</v>
      </c>
      <c r="N1511" s="8">
        <f>IFERROR(G1511/F1511,0)</f>
        <v>6.0208753725915984E-2</v>
      </c>
      <c r="O1511" s="8">
        <f>IFERROR(H1511/G1511,0)</f>
        <v>0.12725416808438245</v>
      </c>
      <c r="P1511" s="4">
        <f>IFERROR(I1511/G1511,0)</f>
        <v>0.13233582851309969</v>
      </c>
      <c r="Q1511" s="4">
        <f>IFERROR(I1511/H1511,0)</f>
        <v>1.039933155080214</v>
      </c>
      <c r="R1511" s="12">
        <f>IFERROR(J1511/I1511,0)</f>
        <v>194.42896627971254</v>
      </c>
      <c r="S1511" s="7">
        <f>Tabla_nuevas_columnas[[#This Row],[ROAS]]</f>
        <v>194.42896627971254</v>
      </c>
      <c r="T1511" t="str">
        <f>_xlfn.CONCAT(C1511,"-",D1511)</f>
        <v>Email-México</v>
      </c>
      <c r="U1511">
        <f>YEAR(A1511)</f>
        <v>2025</v>
      </c>
      <c r="V1511">
        <f>MONTH(A1511)</f>
        <v>3</v>
      </c>
      <c r="W1511" t="str">
        <f>PROPER(TEXT(A1511,"mmmm"))</f>
        <v>Marzo</v>
      </c>
      <c r="X1511" t="str">
        <f>PROPER(TEXT(A1511,"dddd"))</f>
        <v>Sábado</v>
      </c>
      <c r="Y1511" t="str" cm="1">
        <f t="array" ref="Y1511">_xlfn.IFS(R1511&gt;10,"Excelente",R1511&gt;=5,"Bueno",R1511&gt;=2,"Débil",R1511&lt;2,"Deficiente")</f>
        <v>Excelente</v>
      </c>
      <c r="Z1511" t="str">
        <f>IF(AND(R1511&lt;2,Q1511&gt;=100),"Revisar","OK")</f>
        <v>OK</v>
      </c>
      <c r="AA1511" s="55">
        <f>_xlfn.XLOOKUP(C1511,'Preguntas de negocio'!$C$114:$C$119,'Preguntas de negocio'!$D$114:$D$119,0)</f>
        <v>5.5</v>
      </c>
      <c r="AB1511" s="55">
        <f>VLOOKUP(C1511,'Preguntas de negocio'!$C$121:$D$127,2,FALSE)</f>
        <v>0.65</v>
      </c>
    </row>
    <row r="1512" spans="1:28" x14ac:dyDescent="0.3">
      <c r="A1512" s="1">
        <v>45674</v>
      </c>
      <c r="B1512" s="2" t="s">
        <v>2635</v>
      </c>
      <c r="C1512" s="2" t="s">
        <v>2533</v>
      </c>
      <c r="D1512" s="2" t="s">
        <v>2528</v>
      </c>
      <c r="E1512" s="2" t="s">
        <v>2517</v>
      </c>
      <c r="F1512" s="3">
        <v>76464</v>
      </c>
      <c r="G1512" s="3">
        <v>5607</v>
      </c>
      <c r="H1512" s="3">
        <v>317</v>
      </c>
      <c r="I1512" s="4">
        <v>7789.48</v>
      </c>
      <c r="J1512" s="4">
        <v>6149.77</v>
      </c>
      <c r="K1512" s="3">
        <v>160</v>
      </c>
      <c r="L1512" s="2" t="s">
        <v>2518</v>
      </c>
      <c r="M1512" s="2" t="s">
        <v>2537</v>
      </c>
      <c r="N1512" s="8">
        <f>IFERROR(G1512/F1512,0)</f>
        <v>7.3328625235404898E-2</v>
      </c>
      <c r="O1512" s="8">
        <f>IFERROR(H1512/G1512,0)</f>
        <v>5.6536472266809343E-2</v>
      </c>
      <c r="P1512" s="4">
        <f>IFERROR(I1512/G1512,0)</f>
        <v>1.3892420189049401</v>
      </c>
      <c r="Q1512" s="4">
        <f>IFERROR(I1512/H1512,0)</f>
        <v>24.572492113564667</v>
      </c>
      <c r="R1512" s="12">
        <f>IFERROR(J1512/I1512,0)</f>
        <v>0.78949685986741103</v>
      </c>
      <c r="S1512" s="7">
        <f>Tabla_nuevas_columnas[[#This Row],[ROAS]]</f>
        <v>0.78949685986741103</v>
      </c>
      <c r="T1512" t="str">
        <f>_xlfn.CONCAT(C1512,"-",D1512)</f>
        <v>Paid Social-España</v>
      </c>
      <c r="U1512">
        <f>YEAR(A1512)</f>
        <v>2025</v>
      </c>
      <c r="V1512">
        <f>MONTH(A1512)</f>
        <v>1</v>
      </c>
      <c r="W1512" t="str">
        <f>PROPER(TEXT(A1512,"mmmm"))</f>
        <v>Enero</v>
      </c>
      <c r="X1512" t="str">
        <f>PROPER(TEXT(A1512,"dddd"))</f>
        <v>Viernes</v>
      </c>
      <c r="Y1512" t="str" cm="1">
        <f t="array" ref="Y1512">_xlfn.IFS(R1512&gt;10,"Excelente",R1512&gt;=5,"Bueno",R1512&gt;=2,"Débil",R1512&lt;2,"Deficiente")</f>
        <v>Deficiente</v>
      </c>
      <c r="Z1512" t="str">
        <f>IF(AND(R1512&lt;2,Q1512&gt;=100),"Revisar","OK")</f>
        <v>OK</v>
      </c>
      <c r="AA1512" s="55">
        <f>_xlfn.XLOOKUP(C1512,'Preguntas de negocio'!$C$114:$C$119,'Preguntas de negocio'!$D$114:$D$119,0)</f>
        <v>6</v>
      </c>
      <c r="AB1512" s="55">
        <f>VLOOKUP(C1512,'Preguntas de negocio'!$C$121:$D$127,2,FALSE)</f>
        <v>0.8</v>
      </c>
    </row>
    <row r="1513" spans="1:28" x14ac:dyDescent="0.3">
      <c r="A1513" s="1">
        <v>45977</v>
      </c>
      <c r="B1513" s="2" t="s">
        <v>2638</v>
      </c>
      <c r="C1513" s="2" t="s">
        <v>2527</v>
      </c>
      <c r="D1513" s="2" t="s">
        <v>2525</v>
      </c>
      <c r="E1513" s="2" t="s">
        <v>2517</v>
      </c>
      <c r="F1513" s="3">
        <v>73846</v>
      </c>
      <c r="G1513" s="3">
        <v>4345</v>
      </c>
      <c r="H1513" s="3">
        <v>460</v>
      </c>
      <c r="I1513" s="4">
        <v>6235.57</v>
      </c>
      <c r="J1513" s="4">
        <v>88640.97</v>
      </c>
      <c r="K1513" s="3">
        <v>289</v>
      </c>
      <c r="L1513" s="2" t="s">
        <v>2539</v>
      </c>
      <c r="M1513" s="2" t="s">
        <v>2537</v>
      </c>
      <c r="N1513" s="8">
        <f>IFERROR(G1513/F1513,0)</f>
        <v>5.8838664247217183E-2</v>
      </c>
      <c r="O1513" s="8">
        <f>IFERROR(H1513/G1513,0)</f>
        <v>0.10586881472957423</v>
      </c>
      <c r="P1513" s="4">
        <f>IFERROR(I1513/G1513,0)</f>
        <v>1.4351139240506328</v>
      </c>
      <c r="Q1513" s="4">
        <f>IFERROR(I1513/H1513,0)</f>
        <v>13.555586956521738</v>
      </c>
      <c r="R1513" s="12">
        <f>IFERROR(J1513/I1513,0)</f>
        <v>14.215375659322245</v>
      </c>
      <c r="S1513" s="7">
        <f>Tabla_nuevas_columnas[[#This Row],[ROAS]]</f>
        <v>14.215375659322245</v>
      </c>
      <c r="T1513" t="str">
        <f>_xlfn.CONCAT(C1513,"-",D1513)</f>
        <v>Affiliate-Francia</v>
      </c>
      <c r="U1513">
        <f>YEAR(A1513)</f>
        <v>2025</v>
      </c>
      <c r="V1513">
        <f>MONTH(A1513)</f>
        <v>11</v>
      </c>
      <c r="W1513" t="str">
        <f>PROPER(TEXT(A1513,"mmmm"))</f>
        <v>Noviembre</v>
      </c>
      <c r="X1513" t="str">
        <f>PROPER(TEXT(A1513,"dddd"))</f>
        <v>Domingo</v>
      </c>
      <c r="Y1513" t="str" cm="1">
        <f t="array" ref="Y1513">_xlfn.IFS(R1513&gt;10,"Excelente",R1513&gt;=5,"Bueno",R1513&gt;=2,"Débil",R1513&lt;2,"Deficiente")</f>
        <v>Excelente</v>
      </c>
      <c r="Z1513" t="str">
        <f>IF(AND(R1513&lt;2,Q1513&gt;=100),"Revisar","OK")</f>
        <v>OK</v>
      </c>
      <c r="AA1513" s="55">
        <f>_xlfn.XLOOKUP(C1513,'Preguntas de negocio'!$C$114:$C$119,'Preguntas de negocio'!$D$114:$D$119,0)</f>
        <v>4.5</v>
      </c>
      <c r="AB1513" s="55">
        <f>VLOOKUP(C1513,'Preguntas de negocio'!$C$121:$D$127,2,FALSE)</f>
        <v>0.35</v>
      </c>
    </row>
    <row r="1514" spans="1:28" x14ac:dyDescent="0.3">
      <c r="A1514" s="1">
        <v>45764</v>
      </c>
      <c r="B1514" s="2" t="s">
        <v>2640</v>
      </c>
      <c r="C1514" s="2" t="s">
        <v>2533</v>
      </c>
      <c r="D1514" s="2" t="s">
        <v>2516</v>
      </c>
      <c r="E1514" s="2" t="s">
        <v>2517</v>
      </c>
      <c r="F1514" s="3">
        <v>154483</v>
      </c>
      <c r="G1514" s="3">
        <v>9189</v>
      </c>
      <c r="H1514" s="3">
        <v>106</v>
      </c>
      <c r="I1514" s="4">
        <v>1923.74</v>
      </c>
      <c r="J1514" s="4">
        <v>15317.67</v>
      </c>
      <c r="K1514" s="3">
        <v>70</v>
      </c>
      <c r="L1514" s="2" t="s">
        <v>2523</v>
      </c>
      <c r="M1514" s="2" t="s">
        <v>2537</v>
      </c>
      <c r="N1514" s="8">
        <f>IFERROR(G1514/F1514,0)</f>
        <v>5.9482273130376802E-2</v>
      </c>
      <c r="O1514" s="8">
        <f>IFERROR(H1514/G1514,0)</f>
        <v>1.1535531613886168E-2</v>
      </c>
      <c r="P1514" s="4">
        <f>IFERROR(I1514/G1514,0)</f>
        <v>0.20935248666884318</v>
      </c>
      <c r="Q1514" s="4">
        <f>IFERROR(I1514/H1514,0)</f>
        <v>18.148490566037736</v>
      </c>
      <c r="R1514" s="12">
        <f>IFERROR(J1514/I1514,0)</f>
        <v>7.9624429496709537</v>
      </c>
      <c r="S1514" s="7">
        <f>Tabla_nuevas_columnas[[#This Row],[ROAS]]</f>
        <v>7.9624429496709537</v>
      </c>
      <c r="T1514" t="str">
        <f>_xlfn.CONCAT(C1514,"-",D1514)</f>
        <v>Paid Social-México</v>
      </c>
      <c r="U1514">
        <f>YEAR(A1514)</f>
        <v>2025</v>
      </c>
      <c r="V1514">
        <f>MONTH(A1514)</f>
        <v>4</v>
      </c>
      <c r="W1514" t="str">
        <f>PROPER(TEXT(A1514,"mmmm"))</f>
        <v>Abril</v>
      </c>
      <c r="X1514" t="str">
        <f>PROPER(TEXT(A1514,"dddd"))</f>
        <v>Jueves</v>
      </c>
      <c r="Y1514" t="str" cm="1">
        <f t="array" ref="Y1514">_xlfn.IFS(R1514&gt;10,"Excelente",R1514&gt;=5,"Bueno",R1514&gt;=2,"Débil",R1514&lt;2,"Deficiente")</f>
        <v>Bueno</v>
      </c>
      <c r="Z1514" t="str">
        <f>IF(AND(R1514&lt;2,Q1514&gt;=100),"Revisar","OK")</f>
        <v>OK</v>
      </c>
      <c r="AA1514" s="55">
        <f>_xlfn.XLOOKUP(C1514,'Preguntas de negocio'!$C$114:$C$119,'Preguntas de negocio'!$D$114:$D$119,0)</f>
        <v>6</v>
      </c>
      <c r="AB1514" s="55">
        <f>VLOOKUP(C1514,'Preguntas de negocio'!$C$121:$D$127,2,FALSE)</f>
        <v>0.8</v>
      </c>
    </row>
    <row r="1515" spans="1:28" x14ac:dyDescent="0.3">
      <c r="A1515" s="1">
        <v>45998</v>
      </c>
      <c r="B1515" s="2" t="s">
        <v>2617</v>
      </c>
      <c r="C1515" s="2" t="s">
        <v>2543</v>
      </c>
      <c r="D1515" s="2" t="s">
        <v>2531</v>
      </c>
      <c r="E1515" s="2" t="s">
        <v>2529</v>
      </c>
      <c r="F1515" s="3">
        <v>143169</v>
      </c>
      <c r="G1515" s="3">
        <v>4384</v>
      </c>
      <c r="H1515" s="3">
        <v>435</v>
      </c>
      <c r="I1515" s="4">
        <v>4824.95</v>
      </c>
      <c r="J1515" s="4">
        <v>58617.86</v>
      </c>
      <c r="K1515" s="3">
        <v>367</v>
      </c>
      <c r="L1515" s="2" t="s">
        <v>2536</v>
      </c>
      <c r="M1515" s="2" t="s">
        <v>2526</v>
      </c>
      <c r="N1515" s="8">
        <f>IFERROR(G1515/F1515,0)</f>
        <v>3.0621154020772652E-2</v>
      </c>
      <c r="O1515" s="8">
        <f>IFERROR(H1515/G1515,0)</f>
        <v>9.9224452554744519E-2</v>
      </c>
      <c r="P1515" s="4">
        <f>IFERROR(I1515/G1515,0)</f>
        <v>1.1005816605839416</v>
      </c>
      <c r="Q1515" s="4">
        <f>IFERROR(I1515/H1515,0)</f>
        <v>11.091839080459769</v>
      </c>
      <c r="R1515" s="12">
        <f>IFERROR(J1515/I1515,0)</f>
        <v>12.148905170001763</v>
      </c>
      <c r="S1515" s="7">
        <f>Tabla_nuevas_columnas[[#This Row],[ROAS]]</f>
        <v>12.148905170001763</v>
      </c>
      <c r="T1515" t="str">
        <f>_xlfn.CONCAT(C1515,"-",D1515)</f>
        <v>Organic Social-Portugal</v>
      </c>
      <c r="U1515">
        <f>YEAR(A1515)</f>
        <v>2025</v>
      </c>
      <c r="V1515">
        <f>MONTH(A1515)</f>
        <v>12</v>
      </c>
      <c r="W1515" t="str">
        <f>PROPER(TEXT(A1515,"mmmm"))</f>
        <v>Diciembre</v>
      </c>
      <c r="X1515" t="str">
        <f>PROPER(TEXT(A1515,"dddd"))</f>
        <v>Domingo</v>
      </c>
      <c r="Y1515" t="str" cm="1">
        <f t="array" ref="Y1515">_xlfn.IFS(R1515&gt;10,"Excelente",R1515&gt;=5,"Bueno",R1515&gt;=2,"Débil",R1515&lt;2,"Deficiente")</f>
        <v>Excelente</v>
      </c>
      <c r="Z1515" t="str">
        <f>IF(AND(R1515&lt;2,Q1515&gt;=100),"Revisar","OK")</f>
        <v>OK</v>
      </c>
      <c r="AA1515" s="55">
        <f>_xlfn.XLOOKUP(C1515,'Preguntas de negocio'!$C$114:$C$119,'Preguntas de negocio'!$D$114:$D$119,0)</f>
        <v>4</v>
      </c>
      <c r="AB1515" s="55">
        <f>VLOOKUP(C1515,'Preguntas de negocio'!$C$121:$D$127,2,FALSE)</f>
        <v>0.95</v>
      </c>
    </row>
    <row r="1516" spans="1:28" x14ac:dyDescent="0.3">
      <c r="A1516" s="1">
        <v>45802</v>
      </c>
      <c r="B1516" s="2" t="s">
        <v>2629</v>
      </c>
      <c r="C1516" s="2" t="s">
        <v>2527</v>
      </c>
      <c r="D1516" s="2" t="s">
        <v>2528</v>
      </c>
      <c r="E1516" s="2" t="s">
        <v>2517</v>
      </c>
      <c r="F1516" s="3">
        <v>132279</v>
      </c>
      <c r="G1516" s="3">
        <v>10352</v>
      </c>
      <c r="H1516" s="3">
        <v>931</v>
      </c>
      <c r="I1516" s="4">
        <v>15918.6</v>
      </c>
      <c r="J1516" s="4">
        <v>134045.31</v>
      </c>
      <c r="K1516" s="3">
        <v>660</v>
      </c>
      <c r="L1516" s="2" t="s">
        <v>2523</v>
      </c>
      <c r="M1516" s="2" t="s">
        <v>2537</v>
      </c>
      <c r="N1516" s="8">
        <f>IFERROR(G1516/F1516,0)</f>
        <v>7.8258831711760748E-2</v>
      </c>
      <c r="O1516" s="8">
        <f>IFERROR(H1516/G1516,0)</f>
        <v>8.9934312210200928E-2</v>
      </c>
      <c r="P1516" s="4">
        <f>IFERROR(I1516/G1516,0)</f>
        <v>1.5377318392581145</v>
      </c>
      <c r="Q1516" s="4">
        <f>IFERROR(I1516/H1516,0)</f>
        <v>17.098388829215896</v>
      </c>
      <c r="R1516" s="12">
        <f>IFERROR(J1516/I1516,0)</f>
        <v>8.4206720440239717</v>
      </c>
      <c r="S1516" s="7">
        <f>Tabla_nuevas_columnas[[#This Row],[ROAS]]</f>
        <v>8.4206720440239717</v>
      </c>
      <c r="T1516" t="str">
        <f>_xlfn.CONCAT(C1516,"-",D1516)</f>
        <v>Affiliate-España</v>
      </c>
      <c r="U1516">
        <f>YEAR(A1516)</f>
        <v>2025</v>
      </c>
      <c r="V1516">
        <f>MONTH(A1516)</f>
        <v>5</v>
      </c>
      <c r="W1516" t="str">
        <f>PROPER(TEXT(A1516,"mmmm"))</f>
        <v>Mayo</v>
      </c>
      <c r="X1516" t="str">
        <f>PROPER(TEXT(A1516,"dddd"))</f>
        <v>Domingo</v>
      </c>
      <c r="Y1516" t="str" cm="1">
        <f t="array" ref="Y1516">_xlfn.IFS(R1516&gt;10,"Excelente",R1516&gt;=5,"Bueno",R1516&gt;=2,"Débil",R1516&lt;2,"Deficiente")</f>
        <v>Bueno</v>
      </c>
      <c r="Z1516" t="str">
        <f>IF(AND(R1516&lt;2,Q1516&gt;=100),"Revisar","OK")</f>
        <v>OK</v>
      </c>
      <c r="AA1516" s="55">
        <f>_xlfn.XLOOKUP(C1516,'Preguntas de negocio'!$C$114:$C$119,'Preguntas de negocio'!$D$114:$D$119,0)</f>
        <v>4.5</v>
      </c>
      <c r="AB1516" s="55">
        <f>VLOOKUP(C1516,'Preguntas de negocio'!$C$121:$D$127,2,FALSE)</f>
        <v>0.35</v>
      </c>
    </row>
    <row r="1517" spans="1:28" x14ac:dyDescent="0.3">
      <c r="A1517" s="1">
        <v>45666</v>
      </c>
      <c r="B1517" s="2" t="s">
        <v>2620</v>
      </c>
      <c r="C1517" s="2" t="s">
        <v>2543</v>
      </c>
      <c r="D1517" s="2" t="s">
        <v>2516</v>
      </c>
      <c r="E1517" s="2" t="s">
        <v>2529</v>
      </c>
      <c r="F1517" s="3">
        <v>5773</v>
      </c>
      <c r="G1517" s="3">
        <v>428</v>
      </c>
      <c r="H1517" s="3">
        <v>43</v>
      </c>
      <c r="I1517" s="4">
        <v>120.06</v>
      </c>
      <c r="J1517" s="4">
        <v>7050.5</v>
      </c>
      <c r="K1517" s="3">
        <v>23</v>
      </c>
      <c r="L1517" s="2" t="s">
        <v>2523</v>
      </c>
      <c r="M1517" s="2" t="s">
        <v>2519</v>
      </c>
      <c r="N1517" s="8">
        <f>IFERROR(G1517/F1517,0)</f>
        <v>7.4138229689935914E-2</v>
      </c>
      <c r="O1517" s="8">
        <f>IFERROR(H1517/G1517,0)</f>
        <v>0.10046728971962617</v>
      </c>
      <c r="P1517" s="4">
        <f>IFERROR(I1517/G1517,0)</f>
        <v>0.28051401869158882</v>
      </c>
      <c r="Q1517" s="4">
        <f>IFERROR(I1517/H1517,0)</f>
        <v>2.7920930232558141</v>
      </c>
      <c r="R1517" s="12">
        <f>IFERROR(J1517/I1517,0)</f>
        <v>58.724804264534399</v>
      </c>
      <c r="S1517" s="7">
        <f>Tabla_nuevas_columnas[[#This Row],[ROAS]]</f>
        <v>58.724804264534399</v>
      </c>
      <c r="T1517" t="str">
        <f>_xlfn.CONCAT(C1517,"-",D1517)</f>
        <v>Organic Social-México</v>
      </c>
      <c r="U1517">
        <f>YEAR(A1517)</f>
        <v>2025</v>
      </c>
      <c r="V1517">
        <f>MONTH(A1517)</f>
        <v>1</v>
      </c>
      <c r="W1517" t="str">
        <f>PROPER(TEXT(A1517,"mmmm"))</f>
        <v>Enero</v>
      </c>
      <c r="X1517" t="str">
        <f>PROPER(TEXT(A1517,"dddd"))</f>
        <v>Jueves</v>
      </c>
      <c r="Y1517" t="str" cm="1">
        <f t="array" ref="Y1517">_xlfn.IFS(R1517&gt;10,"Excelente",R1517&gt;=5,"Bueno",R1517&gt;=2,"Débil",R1517&lt;2,"Deficiente")</f>
        <v>Excelente</v>
      </c>
      <c r="Z1517" t="str">
        <f>IF(AND(R1517&lt;2,Q1517&gt;=100),"Revisar","OK")</f>
        <v>OK</v>
      </c>
      <c r="AA1517" s="55">
        <f>_xlfn.XLOOKUP(C1517,'Preguntas de negocio'!$C$114:$C$119,'Preguntas de negocio'!$D$114:$D$119,0)</f>
        <v>4</v>
      </c>
      <c r="AB1517" s="55">
        <f>VLOOKUP(C1517,'Preguntas de negocio'!$C$121:$D$127,2,FALSE)</f>
        <v>0.95</v>
      </c>
    </row>
    <row r="1518" spans="1:28" x14ac:dyDescent="0.3">
      <c r="A1518" s="1">
        <v>45921</v>
      </c>
      <c r="B1518" s="2" t="s">
        <v>2630</v>
      </c>
      <c r="C1518" s="2" t="s">
        <v>2515</v>
      </c>
      <c r="D1518" s="2" t="s">
        <v>2516</v>
      </c>
      <c r="E1518" s="2" t="s">
        <v>2517</v>
      </c>
      <c r="F1518" s="3">
        <v>3959</v>
      </c>
      <c r="G1518" s="3">
        <v>210</v>
      </c>
      <c r="H1518" s="3">
        <v>22</v>
      </c>
      <c r="I1518" s="4">
        <v>179.58</v>
      </c>
      <c r="J1518" s="4">
        <v>371.04</v>
      </c>
      <c r="K1518" s="3">
        <v>13</v>
      </c>
      <c r="L1518" s="2" t="s">
        <v>2539</v>
      </c>
      <c r="M1518" s="2" t="s">
        <v>2546</v>
      </c>
      <c r="N1518" s="8">
        <f>IFERROR(G1518/F1518,0)</f>
        <v>5.3043697903510989E-2</v>
      </c>
      <c r="O1518" s="8">
        <f>IFERROR(H1518/G1518,0)</f>
        <v>0.10476190476190476</v>
      </c>
      <c r="P1518" s="4">
        <f>IFERROR(I1518/G1518,0)</f>
        <v>0.8551428571428572</v>
      </c>
      <c r="Q1518" s="4">
        <f>IFERROR(I1518/H1518,0)</f>
        <v>8.1627272727272739</v>
      </c>
      <c r="R1518" s="12">
        <f>IFERROR(J1518/I1518,0)</f>
        <v>2.0661543601737389</v>
      </c>
      <c r="S1518" s="7">
        <f>Tabla_nuevas_columnas[[#This Row],[ROAS]]</f>
        <v>2.0661543601737389</v>
      </c>
      <c r="T1518" t="str">
        <f>_xlfn.CONCAT(C1518,"-",D1518)</f>
        <v>Email-México</v>
      </c>
      <c r="U1518">
        <f>YEAR(A1518)</f>
        <v>2025</v>
      </c>
      <c r="V1518">
        <f>MONTH(A1518)</f>
        <v>9</v>
      </c>
      <c r="W1518" t="str">
        <f>PROPER(TEXT(A1518,"mmmm"))</f>
        <v>Septiembre</v>
      </c>
      <c r="X1518" t="str">
        <f>PROPER(TEXT(A1518,"dddd"))</f>
        <v>Domingo</v>
      </c>
      <c r="Y1518" t="str" cm="1">
        <f t="array" ref="Y1518">_xlfn.IFS(R1518&gt;10,"Excelente",R1518&gt;=5,"Bueno",R1518&gt;=2,"Débil",R1518&lt;2,"Deficiente")</f>
        <v>Débil</v>
      </c>
      <c r="Z1518" t="str">
        <f>IF(AND(R1518&lt;2,Q1518&gt;=100),"Revisar","OK")</f>
        <v>OK</v>
      </c>
      <c r="AA1518" s="55">
        <f>_xlfn.XLOOKUP(C1518,'Preguntas de negocio'!$C$114:$C$119,'Preguntas de negocio'!$D$114:$D$119,0)</f>
        <v>5.5</v>
      </c>
      <c r="AB1518" s="55">
        <f>VLOOKUP(C1518,'Preguntas de negocio'!$C$121:$D$127,2,FALSE)</f>
        <v>0.65</v>
      </c>
    </row>
    <row r="1519" spans="1:28" x14ac:dyDescent="0.3">
      <c r="A1519" s="1">
        <v>45678</v>
      </c>
      <c r="B1519" s="2" t="s">
        <v>2638</v>
      </c>
      <c r="C1519" s="2" t="s">
        <v>2541</v>
      </c>
      <c r="D1519" s="2" t="s">
        <v>2528</v>
      </c>
      <c r="E1519" s="2" t="s">
        <v>2517</v>
      </c>
      <c r="F1519" s="3">
        <v>35813</v>
      </c>
      <c r="G1519" s="3">
        <v>2804</v>
      </c>
      <c r="H1519" s="3">
        <v>358</v>
      </c>
      <c r="I1519" s="4">
        <v>877.97</v>
      </c>
      <c r="J1519" s="4">
        <v>73336.14</v>
      </c>
      <c r="K1519" s="3">
        <v>255</v>
      </c>
      <c r="L1519" s="2" t="s">
        <v>2523</v>
      </c>
      <c r="M1519" s="2" t="s">
        <v>2519</v>
      </c>
      <c r="N1519" s="8">
        <f>IFERROR(G1519/F1519,0)</f>
        <v>7.8295590986513272E-2</v>
      </c>
      <c r="O1519" s="8">
        <f>IFERROR(H1519/G1519,0)</f>
        <v>0.12767475035663339</v>
      </c>
      <c r="P1519" s="4">
        <f>IFERROR(I1519/G1519,0)</f>
        <v>0.31311340941512128</v>
      </c>
      <c r="Q1519" s="4">
        <f>IFERROR(I1519/H1519,0)</f>
        <v>2.4524301675977656</v>
      </c>
      <c r="R1519" s="12">
        <f>IFERROR(J1519/I1519,0)</f>
        <v>83.529209426290194</v>
      </c>
      <c r="S1519" s="7">
        <f>Tabla_nuevas_columnas[[#This Row],[ROAS]]</f>
        <v>83.529209426290194</v>
      </c>
      <c r="T1519" t="str">
        <f>_xlfn.CONCAT(C1519,"-",D1519)</f>
        <v>Display-España</v>
      </c>
      <c r="U1519">
        <f>YEAR(A1519)</f>
        <v>2025</v>
      </c>
      <c r="V1519">
        <f>MONTH(A1519)</f>
        <v>1</v>
      </c>
      <c r="W1519" t="str">
        <f>PROPER(TEXT(A1519,"mmmm"))</f>
        <v>Enero</v>
      </c>
      <c r="X1519" t="str">
        <f>PROPER(TEXT(A1519,"dddd"))</f>
        <v>Martes</v>
      </c>
      <c r="Y1519" t="str" cm="1">
        <f t="array" ref="Y1519">_xlfn.IFS(R1519&gt;10,"Excelente",R1519&gt;=5,"Bueno",R1519&gt;=2,"Débil",R1519&lt;2,"Deficiente")</f>
        <v>Excelente</v>
      </c>
      <c r="Z1519" t="str">
        <f>IF(AND(R1519&lt;2,Q1519&gt;=100),"Revisar","OK")</f>
        <v>OK</v>
      </c>
      <c r="AA1519" s="55">
        <f>_xlfn.XLOOKUP(C1519,'Preguntas de negocio'!$C$114:$C$119,'Preguntas de negocio'!$D$114:$D$119,0)</f>
        <v>5</v>
      </c>
      <c r="AB1519" s="55">
        <f>VLOOKUP(C1519,'Preguntas de negocio'!$C$121:$D$127,2,FALSE)</f>
        <v>0.5</v>
      </c>
    </row>
    <row r="1520" spans="1:28" x14ac:dyDescent="0.3">
      <c r="A1520" s="1">
        <v>45690</v>
      </c>
      <c r="B1520" s="2" t="s">
        <v>2644</v>
      </c>
      <c r="C1520" s="2" t="s">
        <v>2541</v>
      </c>
      <c r="D1520" s="2" t="s">
        <v>2522</v>
      </c>
      <c r="E1520" s="2" t="s">
        <v>2529</v>
      </c>
      <c r="F1520" s="3">
        <v>87035</v>
      </c>
      <c r="G1520" s="3">
        <v>7449</v>
      </c>
      <c r="H1520" s="3">
        <v>992</v>
      </c>
      <c r="I1520" s="4">
        <v>1271.33</v>
      </c>
      <c r="J1520" s="4">
        <v>119307.94</v>
      </c>
      <c r="K1520" s="3">
        <v>804</v>
      </c>
      <c r="L1520" s="2" t="s">
        <v>2518</v>
      </c>
      <c r="M1520" s="2" t="s">
        <v>2546</v>
      </c>
      <c r="N1520" s="8">
        <f>IFERROR(G1520/F1520,0)</f>
        <v>8.5586258401792376E-2</v>
      </c>
      <c r="O1520" s="8">
        <f>IFERROR(H1520/G1520,0)</f>
        <v>0.13317223788427976</v>
      </c>
      <c r="P1520" s="4">
        <f>IFERROR(I1520/G1520,0)</f>
        <v>0.17067123103772316</v>
      </c>
      <c r="Q1520" s="4">
        <f>IFERROR(I1520/H1520,0)</f>
        <v>1.2815826612903225</v>
      </c>
      <c r="R1520" s="12">
        <f>IFERROR(J1520/I1520,0)</f>
        <v>93.844981240118628</v>
      </c>
      <c r="S1520" s="7">
        <f>Tabla_nuevas_columnas[[#This Row],[ROAS]]</f>
        <v>93.844981240118628</v>
      </c>
      <c r="T1520" t="str">
        <f>_xlfn.CONCAT(C1520,"-",D1520)</f>
        <v>Display-Italia</v>
      </c>
      <c r="U1520">
        <f>YEAR(A1520)</f>
        <v>2025</v>
      </c>
      <c r="V1520">
        <f>MONTH(A1520)</f>
        <v>2</v>
      </c>
      <c r="W1520" t="str">
        <f>PROPER(TEXT(A1520,"mmmm"))</f>
        <v>Febrero</v>
      </c>
      <c r="X1520" t="str">
        <f>PROPER(TEXT(A1520,"dddd"))</f>
        <v>Domingo</v>
      </c>
      <c r="Y1520" t="str" cm="1">
        <f t="array" ref="Y1520">_xlfn.IFS(R1520&gt;10,"Excelente",R1520&gt;=5,"Bueno",R1520&gt;=2,"Débil",R1520&lt;2,"Deficiente")</f>
        <v>Excelente</v>
      </c>
      <c r="Z1520" t="str">
        <f>IF(AND(R1520&lt;2,Q1520&gt;=100),"Revisar","OK")</f>
        <v>OK</v>
      </c>
      <c r="AA1520" s="55">
        <f>_xlfn.XLOOKUP(C1520,'Preguntas de negocio'!$C$114:$C$119,'Preguntas de negocio'!$D$114:$D$119,0)</f>
        <v>5</v>
      </c>
      <c r="AB1520" s="55">
        <f>VLOOKUP(C1520,'Preguntas de negocio'!$C$121:$D$127,2,FALSE)</f>
        <v>0.5</v>
      </c>
    </row>
    <row r="1521" spans="1:28" x14ac:dyDescent="0.3">
      <c r="A1521" s="1">
        <v>45759</v>
      </c>
      <c r="B1521" s="2" t="s">
        <v>2630</v>
      </c>
      <c r="C1521" s="2" t="s">
        <v>2543</v>
      </c>
      <c r="D1521" s="2" t="s">
        <v>2528</v>
      </c>
      <c r="E1521" s="2" t="s">
        <v>2517</v>
      </c>
      <c r="F1521" s="3">
        <v>148867</v>
      </c>
      <c r="G1521" s="3">
        <v>10163</v>
      </c>
      <c r="H1521" s="3">
        <v>579</v>
      </c>
      <c r="I1521" s="4">
        <v>18664.95</v>
      </c>
      <c r="J1521" s="4">
        <v>36056.85</v>
      </c>
      <c r="K1521" s="3">
        <v>375</v>
      </c>
      <c r="L1521" s="2" t="s">
        <v>2518</v>
      </c>
      <c r="M1521" s="2" t="s">
        <v>2524</v>
      </c>
      <c r="N1521" s="8">
        <f>IFERROR(G1521/F1521,0)</f>
        <v>6.8268991784613112E-2</v>
      </c>
      <c r="O1521" s="8">
        <f>IFERROR(H1521/G1521,0)</f>
        <v>5.6971366722424484E-2</v>
      </c>
      <c r="P1521" s="4">
        <f>IFERROR(I1521/G1521,0)</f>
        <v>1.8365590868837942</v>
      </c>
      <c r="Q1521" s="4">
        <f>IFERROR(I1521/H1521,0)</f>
        <v>32.236528497409324</v>
      </c>
      <c r="R1521" s="12">
        <f>IFERROR(J1521/I1521,0)</f>
        <v>1.9317946203981258</v>
      </c>
      <c r="S1521" s="7">
        <f>Tabla_nuevas_columnas[[#This Row],[ROAS]]</f>
        <v>1.9317946203981258</v>
      </c>
      <c r="T1521" t="str">
        <f>_xlfn.CONCAT(C1521,"-",D1521)</f>
        <v>Organic Social-España</v>
      </c>
      <c r="U1521">
        <f>YEAR(A1521)</f>
        <v>2025</v>
      </c>
      <c r="V1521">
        <f>MONTH(A1521)</f>
        <v>4</v>
      </c>
      <c r="W1521" t="str">
        <f>PROPER(TEXT(A1521,"mmmm"))</f>
        <v>Abril</v>
      </c>
      <c r="X1521" t="str">
        <f>PROPER(TEXT(A1521,"dddd"))</f>
        <v>Sábado</v>
      </c>
      <c r="Y1521" t="str" cm="1">
        <f t="array" ref="Y1521">_xlfn.IFS(R1521&gt;10,"Excelente",R1521&gt;=5,"Bueno",R1521&gt;=2,"Débil",R1521&lt;2,"Deficiente")</f>
        <v>Deficiente</v>
      </c>
      <c r="Z1521" t="str">
        <f>IF(AND(R1521&lt;2,Q1521&gt;=100),"Revisar","OK")</f>
        <v>OK</v>
      </c>
      <c r="AA1521" s="55">
        <f>_xlfn.XLOOKUP(C1521,'Preguntas de negocio'!$C$114:$C$119,'Preguntas de negocio'!$D$114:$D$119,0)</f>
        <v>4</v>
      </c>
      <c r="AB1521" s="55">
        <f>VLOOKUP(C1521,'Preguntas de negocio'!$C$121:$D$127,2,FALSE)</f>
        <v>0.95</v>
      </c>
    </row>
    <row r="1522" spans="1:28" x14ac:dyDescent="0.3">
      <c r="A1522" s="1">
        <v>45971</v>
      </c>
      <c r="B1522" s="2" t="s">
        <v>2617</v>
      </c>
      <c r="C1522" s="2" t="s">
        <v>2521</v>
      </c>
      <c r="D1522" s="2" t="s">
        <v>2528</v>
      </c>
      <c r="E1522" s="2" t="s">
        <v>2529</v>
      </c>
      <c r="F1522" s="3">
        <v>15921</v>
      </c>
      <c r="G1522" s="3">
        <v>518</v>
      </c>
      <c r="H1522" s="3">
        <v>13</v>
      </c>
      <c r="I1522" s="4">
        <v>573.85</v>
      </c>
      <c r="J1522" s="4">
        <v>384.86</v>
      </c>
      <c r="K1522" s="3">
        <v>10</v>
      </c>
      <c r="L1522" s="2" t="s">
        <v>2536</v>
      </c>
      <c r="M1522" s="2" t="s">
        <v>2519</v>
      </c>
      <c r="N1522" s="8">
        <f>IFERROR(G1522/F1522,0)</f>
        <v>3.2535644745933047E-2</v>
      </c>
      <c r="O1522" s="8">
        <f>IFERROR(H1522/G1522,0)</f>
        <v>2.5096525096525095E-2</v>
      </c>
      <c r="P1522" s="4">
        <f>IFERROR(I1522/G1522,0)</f>
        <v>1.1078185328185328</v>
      </c>
      <c r="Q1522" s="4">
        <f>IFERROR(I1522/H1522,0)</f>
        <v>44.142307692307696</v>
      </c>
      <c r="R1522" s="12">
        <f>IFERROR(J1522/I1522,0)</f>
        <v>0.67066306526095665</v>
      </c>
      <c r="S1522" s="7">
        <f>Tabla_nuevas_columnas[[#This Row],[ROAS]]</f>
        <v>0.67066306526095665</v>
      </c>
      <c r="T1522" t="str">
        <f>_xlfn.CONCAT(C1522,"-",D1522)</f>
        <v>Paid Search-España</v>
      </c>
      <c r="U1522">
        <f>YEAR(A1522)</f>
        <v>2025</v>
      </c>
      <c r="V1522">
        <f>MONTH(A1522)</f>
        <v>11</v>
      </c>
      <c r="W1522" t="str">
        <f>PROPER(TEXT(A1522,"mmmm"))</f>
        <v>Noviembre</v>
      </c>
      <c r="X1522" t="str">
        <f>PROPER(TEXT(A1522,"dddd"))</f>
        <v>Lunes</v>
      </c>
      <c r="Y1522" t="str" cm="1">
        <f t="array" ref="Y1522">_xlfn.IFS(R1522&gt;10,"Excelente",R1522&gt;=5,"Bueno",R1522&gt;=2,"Débil",R1522&lt;2,"Deficiente")</f>
        <v>Deficiente</v>
      </c>
      <c r="Z1522" t="str">
        <f>IF(AND(R1522&lt;2,Q1522&gt;=100),"Revisar","OK")</f>
        <v>OK</v>
      </c>
      <c r="AA1522" s="55">
        <f>_xlfn.XLOOKUP(C1522,'Preguntas de negocio'!$C$114:$C$119,'Preguntas de negocio'!$D$114:$D$119,0)</f>
        <v>5</v>
      </c>
      <c r="AB1522" s="55">
        <f>VLOOKUP(C1522,'Preguntas de negocio'!$C$121:$D$127,2,FALSE)</f>
        <v>1.1000000000000001</v>
      </c>
    </row>
    <row r="1523" spans="1:28" x14ac:dyDescent="0.3">
      <c r="A1523" s="1">
        <v>45697</v>
      </c>
      <c r="B1523" s="2" t="s">
        <v>2636</v>
      </c>
      <c r="C1523" s="2" t="s">
        <v>2543</v>
      </c>
      <c r="D1523" s="2" t="s">
        <v>2528</v>
      </c>
      <c r="E1523" s="2" t="s">
        <v>2517</v>
      </c>
      <c r="F1523" s="3">
        <v>66085</v>
      </c>
      <c r="G1523" s="3">
        <v>3463</v>
      </c>
      <c r="H1523" s="3">
        <v>216</v>
      </c>
      <c r="I1523" s="4">
        <v>5661.18</v>
      </c>
      <c r="J1523" s="4">
        <v>4707.47</v>
      </c>
      <c r="K1523" s="3">
        <v>123</v>
      </c>
      <c r="L1523" s="2" t="s">
        <v>2518</v>
      </c>
      <c r="M1523" s="2" t="s">
        <v>2546</v>
      </c>
      <c r="N1523" s="8">
        <f>IFERROR(G1523/F1523,0)</f>
        <v>5.2402209275932511E-2</v>
      </c>
      <c r="O1523" s="8">
        <f>IFERROR(H1523/G1523,0)</f>
        <v>6.2373664452786602E-2</v>
      </c>
      <c r="P1523" s="4">
        <f>IFERROR(I1523/G1523,0)</f>
        <v>1.6347617672538262</v>
      </c>
      <c r="Q1523" s="4">
        <f>IFERROR(I1523/H1523,0)</f>
        <v>26.209166666666668</v>
      </c>
      <c r="R1523" s="12">
        <f>IFERROR(J1523/I1523,0)</f>
        <v>0.83153512165308296</v>
      </c>
      <c r="S1523" s="7">
        <f>Tabla_nuevas_columnas[[#This Row],[ROAS]]</f>
        <v>0.83153512165308296</v>
      </c>
      <c r="T1523" t="str">
        <f>_xlfn.CONCAT(C1523,"-",D1523)</f>
        <v>Organic Social-España</v>
      </c>
      <c r="U1523">
        <f>YEAR(A1523)</f>
        <v>2025</v>
      </c>
      <c r="V1523">
        <f>MONTH(A1523)</f>
        <v>2</v>
      </c>
      <c r="W1523" t="str">
        <f>PROPER(TEXT(A1523,"mmmm"))</f>
        <v>Febrero</v>
      </c>
      <c r="X1523" t="str">
        <f>PROPER(TEXT(A1523,"dddd"))</f>
        <v>Domingo</v>
      </c>
      <c r="Y1523" t="str" cm="1">
        <f t="array" ref="Y1523">_xlfn.IFS(R1523&gt;10,"Excelente",R1523&gt;=5,"Bueno",R1523&gt;=2,"Débil",R1523&lt;2,"Deficiente")</f>
        <v>Deficiente</v>
      </c>
      <c r="Z1523" t="str">
        <f>IF(AND(R1523&lt;2,Q1523&gt;=100),"Revisar","OK")</f>
        <v>OK</v>
      </c>
      <c r="AA1523" s="55">
        <f>_xlfn.XLOOKUP(C1523,'Preguntas de negocio'!$C$114:$C$119,'Preguntas de negocio'!$D$114:$D$119,0)</f>
        <v>4</v>
      </c>
      <c r="AB1523" s="55">
        <f>VLOOKUP(C1523,'Preguntas de negocio'!$C$121:$D$127,2,FALSE)</f>
        <v>0.95</v>
      </c>
    </row>
    <row r="1524" spans="1:28" x14ac:dyDescent="0.3">
      <c r="A1524" s="1">
        <v>45747</v>
      </c>
      <c r="B1524" s="2" t="s">
        <v>2617</v>
      </c>
      <c r="C1524" s="2" t="s">
        <v>2515</v>
      </c>
      <c r="D1524" s="2" t="s">
        <v>2528</v>
      </c>
      <c r="E1524" s="2" t="s">
        <v>2529</v>
      </c>
      <c r="F1524" s="3">
        <v>124600</v>
      </c>
      <c r="G1524" s="3">
        <v>5189</v>
      </c>
      <c r="H1524" s="3">
        <v>60</v>
      </c>
      <c r="I1524" s="4">
        <v>8713.31</v>
      </c>
      <c r="J1524" s="4">
        <v>10827.38</v>
      </c>
      <c r="K1524" s="3">
        <v>38</v>
      </c>
      <c r="L1524" s="2" t="s">
        <v>2523</v>
      </c>
      <c r="M1524" s="2" t="s">
        <v>2519</v>
      </c>
      <c r="N1524" s="8">
        <f>IFERROR(G1524/F1524,0)</f>
        <v>4.1645264847512041E-2</v>
      </c>
      <c r="O1524" s="8">
        <f>IFERROR(H1524/G1524,0)</f>
        <v>1.1562921564848718E-2</v>
      </c>
      <c r="P1524" s="4">
        <f>IFERROR(I1524/G1524,0)</f>
        <v>1.6791886683368664</v>
      </c>
      <c r="Q1524" s="4">
        <f>IFERROR(I1524/H1524,0)</f>
        <v>145.22183333333334</v>
      </c>
      <c r="R1524" s="12">
        <f>IFERROR(J1524/I1524,0)</f>
        <v>1.2426253628070159</v>
      </c>
      <c r="S1524" s="7">
        <f>Tabla_nuevas_columnas[[#This Row],[ROAS]]</f>
        <v>1.2426253628070159</v>
      </c>
      <c r="T1524" t="str">
        <f>_xlfn.CONCAT(C1524,"-",D1524)</f>
        <v>Email-España</v>
      </c>
      <c r="U1524">
        <f>YEAR(A1524)</f>
        <v>2025</v>
      </c>
      <c r="V1524">
        <f>MONTH(A1524)</f>
        <v>3</v>
      </c>
      <c r="W1524" t="str">
        <f>PROPER(TEXT(A1524,"mmmm"))</f>
        <v>Marzo</v>
      </c>
      <c r="X1524" t="str">
        <f>PROPER(TEXT(A1524,"dddd"))</f>
        <v>Lunes</v>
      </c>
      <c r="Y1524" t="str" cm="1">
        <f t="array" ref="Y1524">_xlfn.IFS(R1524&gt;10,"Excelente",R1524&gt;=5,"Bueno",R1524&gt;=2,"Débil",R1524&lt;2,"Deficiente")</f>
        <v>Deficiente</v>
      </c>
      <c r="Z1524" t="str">
        <f>IF(AND(R1524&lt;2,Q1524&gt;=100),"Revisar","OK")</f>
        <v>Revisar</v>
      </c>
      <c r="AA1524" s="55">
        <f>_xlfn.XLOOKUP(C1524,'Preguntas de negocio'!$C$114:$C$119,'Preguntas de negocio'!$D$114:$D$119,0)</f>
        <v>5.5</v>
      </c>
      <c r="AB1524" s="55">
        <f>VLOOKUP(C1524,'Preguntas de negocio'!$C$121:$D$127,2,FALSE)</f>
        <v>0.65</v>
      </c>
    </row>
    <row r="1525" spans="1:28" x14ac:dyDescent="0.3">
      <c r="A1525" s="1">
        <v>45939</v>
      </c>
      <c r="B1525" s="2" t="s">
        <v>2637</v>
      </c>
      <c r="C1525" s="2" t="s">
        <v>2541</v>
      </c>
      <c r="D1525" s="2" t="s">
        <v>2516</v>
      </c>
      <c r="E1525" s="2" t="s">
        <v>2517</v>
      </c>
      <c r="F1525" s="3">
        <v>177580</v>
      </c>
      <c r="G1525" s="3">
        <v>3544</v>
      </c>
      <c r="H1525" s="3">
        <v>135</v>
      </c>
      <c r="I1525" s="4">
        <v>4192.04</v>
      </c>
      <c r="J1525" s="4">
        <v>15346.32</v>
      </c>
      <c r="K1525" s="3">
        <v>67</v>
      </c>
      <c r="L1525" s="2" t="s">
        <v>2523</v>
      </c>
      <c r="M1525" s="2" t="s">
        <v>2546</v>
      </c>
      <c r="N1525" s="8">
        <f>IFERROR(G1525/F1525,0)</f>
        <v>1.9957202387656268E-2</v>
      </c>
      <c r="O1525" s="8">
        <f>IFERROR(H1525/G1525,0)</f>
        <v>3.8092550790067722E-2</v>
      </c>
      <c r="P1525" s="4">
        <f>IFERROR(I1525/G1525,0)</f>
        <v>1.1828555304740407</v>
      </c>
      <c r="Q1525" s="4">
        <f>IFERROR(I1525/H1525,0)</f>
        <v>31.052148148148149</v>
      </c>
      <c r="R1525" s="12">
        <f>IFERROR(J1525/I1525,0)</f>
        <v>3.6608238471006955</v>
      </c>
      <c r="S1525" s="7">
        <f>Tabla_nuevas_columnas[[#This Row],[ROAS]]</f>
        <v>3.6608238471006955</v>
      </c>
      <c r="T1525" t="str">
        <f>_xlfn.CONCAT(C1525,"-",D1525)</f>
        <v>Display-México</v>
      </c>
      <c r="U1525">
        <f>YEAR(A1525)</f>
        <v>2025</v>
      </c>
      <c r="V1525">
        <f>MONTH(A1525)</f>
        <v>10</v>
      </c>
      <c r="W1525" t="str">
        <f>PROPER(TEXT(A1525,"mmmm"))</f>
        <v>Octubre</v>
      </c>
      <c r="X1525" t="str">
        <f>PROPER(TEXT(A1525,"dddd"))</f>
        <v>Jueves</v>
      </c>
      <c r="Y1525" t="str" cm="1">
        <f t="array" ref="Y1525">_xlfn.IFS(R1525&gt;10,"Excelente",R1525&gt;=5,"Bueno",R1525&gt;=2,"Débil",R1525&lt;2,"Deficiente")</f>
        <v>Débil</v>
      </c>
      <c r="Z1525" t="str">
        <f>IF(AND(R1525&lt;2,Q1525&gt;=100),"Revisar","OK")</f>
        <v>OK</v>
      </c>
      <c r="AA1525" s="55">
        <f>_xlfn.XLOOKUP(C1525,'Preguntas de negocio'!$C$114:$C$119,'Preguntas de negocio'!$D$114:$D$119,0)</f>
        <v>5</v>
      </c>
      <c r="AB1525" s="55">
        <f>VLOOKUP(C1525,'Preguntas de negocio'!$C$121:$D$127,2,FALSE)</f>
        <v>0.5</v>
      </c>
    </row>
    <row r="1526" spans="1:28" x14ac:dyDescent="0.3">
      <c r="A1526" s="1">
        <v>45980</v>
      </c>
      <c r="B1526" s="2" t="s">
        <v>2644</v>
      </c>
      <c r="C1526" s="2" t="s">
        <v>2543</v>
      </c>
      <c r="D1526" s="2" t="s">
        <v>2522</v>
      </c>
      <c r="E1526" s="2" t="s">
        <v>2529</v>
      </c>
      <c r="F1526" s="3">
        <v>162787</v>
      </c>
      <c r="G1526" s="3">
        <v>4642</v>
      </c>
      <c r="H1526" s="3">
        <v>181</v>
      </c>
      <c r="I1526" s="4">
        <v>3446.08</v>
      </c>
      <c r="J1526" s="4">
        <v>12832.43</v>
      </c>
      <c r="K1526" s="3">
        <v>131</v>
      </c>
      <c r="L1526" s="2" t="s">
        <v>2536</v>
      </c>
      <c r="M1526" s="2" t="s">
        <v>2537</v>
      </c>
      <c r="N1526" s="8">
        <f>IFERROR(G1526/F1526,0)</f>
        <v>2.8515790572957299E-2</v>
      </c>
      <c r="O1526" s="8">
        <f>IFERROR(H1526/G1526,0)</f>
        <v>3.8991813873330464E-2</v>
      </c>
      <c r="P1526" s="4">
        <f>IFERROR(I1526/G1526,0)</f>
        <v>0.74236966824644546</v>
      </c>
      <c r="Q1526" s="4">
        <f>IFERROR(I1526/H1526,0)</f>
        <v>19.039116022099446</v>
      </c>
      <c r="R1526" s="12">
        <f>IFERROR(J1526/I1526,0)</f>
        <v>3.7237760005571547</v>
      </c>
      <c r="S1526" s="7">
        <f>Tabla_nuevas_columnas[[#This Row],[ROAS]]</f>
        <v>3.7237760005571547</v>
      </c>
      <c r="T1526" t="str">
        <f>_xlfn.CONCAT(C1526,"-",D1526)</f>
        <v>Organic Social-Italia</v>
      </c>
      <c r="U1526">
        <f>YEAR(A1526)</f>
        <v>2025</v>
      </c>
      <c r="V1526">
        <f>MONTH(A1526)</f>
        <v>11</v>
      </c>
      <c r="W1526" t="str">
        <f>PROPER(TEXT(A1526,"mmmm"))</f>
        <v>Noviembre</v>
      </c>
      <c r="X1526" t="str">
        <f>PROPER(TEXT(A1526,"dddd"))</f>
        <v>Miércoles</v>
      </c>
      <c r="Y1526" t="str" cm="1">
        <f t="array" ref="Y1526">_xlfn.IFS(R1526&gt;10,"Excelente",R1526&gt;=5,"Bueno",R1526&gt;=2,"Débil",R1526&lt;2,"Deficiente")</f>
        <v>Débil</v>
      </c>
      <c r="Z1526" t="str">
        <f>IF(AND(R1526&lt;2,Q1526&gt;=100),"Revisar","OK")</f>
        <v>OK</v>
      </c>
      <c r="AA1526" s="55">
        <f>_xlfn.XLOOKUP(C1526,'Preguntas de negocio'!$C$114:$C$119,'Preguntas de negocio'!$D$114:$D$119,0)</f>
        <v>4</v>
      </c>
      <c r="AB1526" s="55">
        <f>VLOOKUP(C1526,'Preguntas de negocio'!$C$121:$D$127,2,FALSE)</f>
        <v>0.95</v>
      </c>
    </row>
    <row r="1527" spans="1:28" x14ac:dyDescent="0.3">
      <c r="A1527" s="1">
        <v>45667</v>
      </c>
      <c r="B1527" s="2" t="s">
        <v>2618</v>
      </c>
      <c r="C1527" s="2" t="s">
        <v>2515</v>
      </c>
      <c r="D1527" s="2" t="s">
        <v>2516</v>
      </c>
      <c r="E1527" s="2" t="s">
        <v>2529</v>
      </c>
      <c r="F1527" s="3">
        <v>78808</v>
      </c>
      <c r="G1527" s="3">
        <v>2281</v>
      </c>
      <c r="H1527" s="3">
        <v>253</v>
      </c>
      <c r="I1527" s="4">
        <v>746.58</v>
      </c>
      <c r="J1527" s="4">
        <v>21512.11</v>
      </c>
      <c r="K1527" s="3">
        <v>146</v>
      </c>
      <c r="L1527" s="2" t="s">
        <v>2518</v>
      </c>
      <c r="M1527" s="2" t="s">
        <v>2537</v>
      </c>
      <c r="N1527" s="8">
        <f>IFERROR(G1527/F1527,0)</f>
        <v>2.8943762054613745E-2</v>
      </c>
      <c r="O1527" s="8">
        <f>IFERROR(H1527/G1527,0)</f>
        <v>0.11091626479614204</v>
      </c>
      <c r="P1527" s="4">
        <f>IFERROR(I1527/G1527,0)</f>
        <v>0.32730381411661552</v>
      </c>
      <c r="Q1527" s="4">
        <f>IFERROR(I1527/H1527,0)</f>
        <v>2.9509090909090911</v>
      </c>
      <c r="R1527" s="12">
        <f>IFERROR(J1527/I1527,0)</f>
        <v>28.814206113209568</v>
      </c>
      <c r="S1527" s="7">
        <f>Tabla_nuevas_columnas[[#This Row],[ROAS]]</f>
        <v>28.814206113209568</v>
      </c>
      <c r="T1527" t="str">
        <f>_xlfn.CONCAT(C1527,"-",D1527)</f>
        <v>Email-México</v>
      </c>
      <c r="U1527">
        <f>YEAR(A1527)</f>
        <v>2025</v>
      </c>
      <c r="V1527">
        <f>MONTH(A1527)</f>
        <v>1</v>
      </c>
      <c r="W1527" t="str">
        <f>PROPER(TEXT(A1527,"mmmm"))</f>
        <v>Enero</v>
      </c>
      <c r="X1527" t="str">
        <f>PROPER(TEXT(A1527,"dddd"))</f>
        <v>Viernes</v>
      </c>
      <c r="Y1527" t="str" cm="1">
        <f t="array" ref="Y1527">_xlfn.IFS(R1527&gt;10,"Excelente",R1527&gt;=5,"Bueno",R1527&gt;=2,"Débil",R1527&lt;2,"Deficiente")</f>
        <v>Excelente</v>
      </c>
      <c r="Z1527" t="str">
        <f>IF(AND(R1527&lt;2,Q1527&gt;=100),"Revisar","OK")</f>
        <v>OK</v>
      </c>
      <c r="AA1527" s="55">
        <f>_xlfn.XLOOKUP(C1527,'Preguntas de negocio'!$C$114:$C$119,'Preguntas de negocio'!$D$114:$D$119,0)</f>
        <v>5.5</v>
      </c>
      <c r="AB1527" s="55">
        <f>VLOOKUP(C1527,'Preguntas de negocio'!$C$121:$D$127,2,FALSE)</f>
        <v>0.65</v>
      </c>
    </row>
    <row r="1528" spans="1:28" x14ac:dyDescent="0.3">
      <c r="A1528" s="1">
        <v>45788</v>
      </c>
      <c r="B1528" s="2" t="s">
        <v>2638</v>
      </c>
      <c r="C1528" s="2" t="s">
        <v>2533</v>
      </c>
      <c r="D1528" s="2" t="s">
        <v>2531</v>
      </c>
      <c r="E1528" s="2" t="s">
        <v>2517</v>
      </c>
      <c r="F1528" s="3">
        <v>168664</v>
      </c>
      <c r="G1528" s="3">
        <v>13474</v>
      </c>
      <c r="H1528" s="3">
        <v>1668</v>
      </c>
      <c r="I1528" s="4">
        <v>16926.439999999999</v>
      </c>
      <c r="J1528" s="4">
        <v>234966.05</v>
      </c>
      <c r="K1528" s="3">
        <v>1054</v>
      </c>
      <c r="L1528" s="2" t="s">
        <v>2536</v>
      </c>
      <c r="M1528" s="2" t="s">
        <v>2524</v>
      </c>
      <c r="N1528" s="8">
        <f>IFERROR(G1528/F1528,0)</f>
        <v>7.9886638523929229E-2</v>
      </c>
      <c r="O1528" s="8">
        <f>IFERROR(H1528/G1528,0)</f>
        <v>0.12379397357874425</v>
      </c>
      <c r="P1528" s="4">
        <f>IFERROR(I1528/G1528,0)</f>
        <v>1.2562297758646281</v>
      </c>
      <c r="Q1528" s="4">
        <f>IFERROR(I1528/H1528,0)</f>
        <v>10.147745803357314</v>
      </c>
      <c r="R1528" s="12">
        <f>IFERROR(J1528/I1528,0)</f>
        <v>13.881598847719898</v>
      </c>
      <c r="S1528" s="7">
        <f>Tabla_nuevas_columnas[[#This Row],[ROAS]]</f>
        <v>13.881598847719898</v>
      </c>
      <c r="T1528" t="str">
        <f>_xlfn.CONCAT(C1528,"-",D1528)</f>
        <v>Paid Social-Portugal</v>
      </c>
      <c r="U1528">
        <f>YEAR(A1528)</f>
        <v>2025</v>
      </c>
      <c r="V1528">
        <f>MONTH(A1528)</f>
        <v>5</v>
      </c>
      <c r="W1528" t="str">
        <f>PROPER(TEXT(A1528,"mmmm"))</f>
        <v>Mayo</v>
      </c>
      <c r="X1528" t="str">
        <f>PROPER(TEXT(A1528,"dddd"))</f>
        <v>Domingo</v>
      </c>
      <c r="Y1528" t="str" cm="1">
        <f t="array" ref="Y1528">_xlfn.IFS(R1528&gt;10,"Excelente",R1528&gt;=5,"Bueno",R1528&gt;=2,"Débil",R1528&lt;2,"Deficiente")</f>
        <v>Excelente</v>
      </c>
      <c r="Z1528" t="str">
        <f>IF(AND(R1528&lt;2,Q1528&gt;=100),"Revisar","OK")</f>
        <v>OK</v>
      </c>
      <c r="AA1528" s="55">
        <f>_xlfn.XLOOKUP(C1528,'Preguntas de negocio'!$C$114:$C$119,'Preguntas de negocio'!$D$114:$D$119,0)</f>
        <v>6</v>
      </c>
      <c r="AB1528" s="55">
        <f>VLOOKUP(C1528,'Preguntas de negocio'!$C$121:$D$127,2,FALSE)</f>
        <v>0.8</v>
      </c>
    </row>
    <row r="1529" spans="1:28" x14ac:dyDescent="0.3">
      <c r="A1529" s="1">
        <v>45751</v>
      </c>
      <c r="B1529" s="2" t="s">
        <v>2619</v>
      </c>
      <c r="C1529" s="2" t="s">
        <v>2527</v>
      </c>
      <c r="D1529" s="2" t="s">
        <v>2528</v>
      </c>
      <c r="E1529" s="2" t="s">
        <v>2517</v>
      </c>
      <c r="F1529" s="3">
        <v>121777</v>
      </c>
      <c r="G1529" s="3">
        <v>3191</v>
      </c>
      <c r="H1529" s="3">
        <v>303</v>
      </c>
      <c r="I1529" s="4">
        <v>5930.38</v>
      </c>
      <c r="J1529" s="4">
        <v>34446.480000000003</v>
      </c>
      <c r="K1529" s="3">
        <v>223</v>
      </c>
      <c r="L1529" s="2" t="s">
        <v>2523</v>
      </c>
      <c r="M1529" s="2" t="s">
        <v>2537</v>
      </c>
      <c r="N1529" s="8">
        <f>IFERROR(G1529/F1529,0)</f>
        <v>2.6203634512264221E-2</v>
      </c>
      <c r="O1529" s="8">
        <f>IFERROR(H1529/G1529,0)</f>
        <v>9.4954559699153868E-2</v>
      </c>
      <c r="P1529" s="4">
        <f>IFERROR(I1529/G1529,0)</f>
        <v>1.8584706988404889</v>
      </c>
      <c r="Q1529" s="4">
        <f>IFERROR(I1529/H1529,0)</f>
        <v>19.572211221122114</v>
      </c>
      <c r="R1529" s="12">
        <f>IFERROR(J1529/I1529,0)</f>
        <v>5.8084777029465231</v>
      </c>
      <c r="S1529" s="7">
        <f>Tabla_nuevas_columnas[[#This Row],[ROAS]]</f>
        <v>5.8084777029465231</v>
      </c>
      <c r="T1529" t="str">
        <f>_xlfn.CONCAT(C1529,"-",D1529)</f>
        <v>Affiliate-España</v>
      </c>
      <c r="U1529">
        <f>YEAR(A1529)</f>
        <v>2025</v>
      </c>
      <c r="V1529">
        <f>MONTH(A1529)</f>
        <v>4</v>
      </c>
      <c r="W1529" t="str">
        <f>PROPER(TEXT(A1529,"mmmm"))</f>
        <v>Abril</v>
      </c>
      <c r="X1529" t="str">
        <f>PROPER(TEXT(A1529,"dddd"))</f>
        <v>Viernes</v>
      </c>
      <c r="Y1529" t="str" cm="1">
        <f t="array" ref="Y1529">_xlfn.IFS(R1529&gt;10,"Excelente",R1529&gt;=5,"Bueno",R1529&gt;=2,"Débil",R1529&lt;2,"Deficiente")</f>
        <v>Bueno</v>
      </c>
      <c r="Z1529" t="str">
        <f>IF(AND(R1529&lt;2,Q1529&gt;=100),"Revisar","OK")</f>
        <v>OK</v>
      </c>
      <c r="AA1529" s="55">
        <f>_xlfn.XLOOKUP(C1529,'Preguntas de negocio'!$C$114:$C$119,'Preguntas de negocio'!$D$114:$D$119,0)</f>
        <v>4.5</v>
      </c>
      <c r="AB1529" s="55">
        <f>VLOOKUP(C1529,'Preguntas de negocio'!$C$121:$D$127,2,FALSE)</f>
        <v>0.35</v>
      </c>
    </row>
    <row r="1530" spans="1:28" x14ac:dyDescent="0.3">
      <c r="A1530" s="1">
        <v>45801</v>
      </c>
      <c r="B1530" s="2" t="s">
        <v>2637</v>
      </c>
      <c r="C1530" s="2" t="s">
        <v>2527</v>
      </c>
      <c r="D1530" s="2" t="s">
        <v>2528</v>
      </c>
      <c r="E1530" s="2" t="s">
        <v>2517</v>
      </c>
      <c r="F1530" s="3">
        <v>46429</v>
      </c>
      <c r="G1530" s="3">
        <v>3679</v>
      </c>
      <c r="H1530" s="3">
        <v>323</v>
      </c>
      <c r="I1530" s="4">
        <v>4349.8599999999997</v>
      </c>
      <c r="J1530" s="4">
        <v>11847.41</v>
      </c>
      <c r="K1530" s="3">
        <v>162</v>
      </c>
      <c r="L1530" s="2" t="s">
        <v>2539</v>
      </c>
      <c r="M1530" s="2" t="s">
        <v>2519</v>
      </c>
      <c r="N1530" s="8">
        <f>IFERROR(G1530/F1530,0)</f>
        <v>7.9239268560597903E-2</v>
      </c>
      <c r="O1530" s="8">
        <f>IFERROR(H1530/G1530,0)</f>
        <v>8.7795596629518885E-2</v>
      </c>
      <c r="P1530" s="4">
        <f>IFERROR(I1530/G1530,0)</f>
        <v>1.1823484642565913</v>
      </c>
      <c r="Q1530" s="4">
        <f>IFERROR(I1530/H1530,0)</f>
        <v>13.467058823529412</v>
      </c>
      <c r="R1530" s="12">
        <f>IFERROR(J1530/I1530,0)</f>
        <v>2.7236301857990832</v>
      </c>
      <c r="S1530" s="7">
        <f>Tabla_nuevas_columnas[[#This Row],[ROAS]]</f>
        <v>2.7236301857990832</v>
      </c>
      <c r="T1530" t="str">
        <f>_xlfn.CONCAT(C1530,"-",D1530)</f>
        <v>Affiliate-España</v>
      </c>
      <c r="U1530">
        <f>YEAR(A1530)</f>
        <v>2025</v>
      </c>
      <c r="V1530">
        <f>MONTH(A1530)</f>
        <v>5</v>
      </c>
      <c r="W1530" t="str">
        <f>PROPER(TEXT(A1530,"mmmm"))</f>
        <v>Mayo</v>
      </c>
      <c r="X1530" t="str">
        <f>PROPER(TEXT(A1530,"dddd"))</f>
        <v>Sábado</v>
      </c>
      <c r="Y1530" t="str" cm="1">
        <f t="array" ref="Y1530">_xlfn.IFS(R1530&gt;10,"Excelente",R1530&gt;=5,"Bueno",R1530&gt;=2,"Débil",R1530&lt;2,"Deficiente")</f>
        <v>Débil</v>
      </c>
      <c r="Z1530" t="str">
        <f>IF(AND(R1530&lt;2,Q1530&gt;=100),"Revisar","OK")</f>
        <v>OK</v>
      </c>
      <c r="AA1530" s="55">
        <f>_xlfn.XLOOKUP(C1530,'Preguntas de negocio'!$C$114:$C$119,'Preguntas de negocio'!$D$114:$D$119,0)</f>
        <v>4.5</v>
      </c>
      <c r="AB1530" s="55">
        <f>VLOOKUP(C1530,'Preguntas de negocio'!$C$121:$D$127,2,FALSE)</f>
        <v>0.35</v>
      </c>
    </row>
    <row r="1531" spans="1:28" x14ac:dyDescent="0.3">
      <c r="A1531" s="1">
        <v>45679</v>
      </c>
      <c r="B1531" s="2" t="s">
        <v>2643</v>
      </c>
      <c r="C1531" s="2" t="s">
        <v>2521</v>
      </c>
      <c r="D1531" s="2" t="s">
        <v>2528</v>
      </c>
      <c r="E1531" s="2" t="s">
        <v>2517</v>
      </c>
      <c r="F1531" s="3">
        <v>139403</v>
      </c>
      <c r="G1531" s="3">
        <v>1430</v>
      </c>
      <c r="H1531" s="3">
        <v>172</v>
      </c>
      <c r="I1531" s="4">
        <v>1804.26</v>
      </c>
      <c r="J1531" s="4">
        <v>7979.76</v>
      </c>
      <c r="K1531" s="3">
        <v>111</v>
      </c>
      <c r="L1531" s="2" t="s">
        <v>2523</v>
      </c>
      <c r="M1531" s="2" t="s">
        <v>2546</v>
      </c>
      <c r="N1531" s="8">
        <f>IFERROR(G1531/F1531,0)</f>
        <v>1.0258028880296694E-2</v>
      </c>
      <c r="O1531" s="8">
        <f>IFERROR(H1531/G1531,0)</f>
        <v>0.12027972027972028</v>
      </c>
      <c r="P1531" s="4">
        <f>IFERROR(I1531/G1531,0)</f>
        <v>1.2617202797202798</v>
      </c>
      <c r="Q1531" s="4">
        <f>IFERROR(I1531/H1531,0)</f>
        <v>10.489883720930232</v>
      </c>
      <c r="R1531" s="12">
        <f>IFERROR(J1531/I1531,0)</f>
        <v>4.4227328655515281</v>
      </c>
      <c r="S1531" s="7">
        <f>Tabla_nuevas_columnas[[#This Row],[ROAS]]</f>
        <v>4.4227328655515281</v>
      </c>
      <c r="T1531" t="str">
        <f>_xlfn.CONCAT(C1531,"-",D1531)</f>
        <v>Paid Search-España</v>
      </c>
      <c r="U1531">
        <f>YEAR(A1531)</f>
        <v>2025</v>
      </c>
      <c r="V1531">
        <f>MONTH(A1531)</f>
        <v>1</v>
      </c>
      <c r="W1531" t="str">
        <f>PROPER(TEXT(A1531,"mmmm"))</f>
        <v>Enero</v>
      </c>
      <c r="X1531" t="str">
        <f>PROPER(TEXT(A1531,"dddd"))</f>
        <v>Miércoles</v>
      </c>
      <c r="Y1531" t="str" cm="1">
        <f t="array" ref="Y1531">_xlfn.IFS(R1531&gt;10,"Excelente",R1531&gt;=5,"Bueno",R1531&gt;=2,"Débil",R1531&lt;2,"Deficiente")</f>
        <v>Débil</v>
      </c>
      <c r="Z1531" t="str">
        <f>IF(AND(R1531&lt;2,Q1531&gt;=100),"Revisar","OK")</f>
        <v>OK</v>
      </c>
      <c r="AA1531" s="55">
        <f>_xlfn.XLOOKUP(C1531,'Preguntas de negocio'!$C$114:$C$119,'Preguntas de negocio'!$D$114:$D$119,0)</f>
        <v>5</v>
      </c>
      <c r="AB1531" s="55">
        <f>VLOOKUP(C1531,'Preguntas de negocio'!$C$121:$D$127,2,FALSE)</f>
        <v>1.1000000000000001</v>
      </c>
    </row>
    <row r="1532" spans="1:28" x14ac:dyDescent="0.3">
      <c r="A1532" s="1">
        <v>45702</v>
      </c>
      <c r="B1532" s="2" t="s">
        <v>2632</v>
      </c>
      <c r="C1532" s="2" t="s">
        <v>2521</v>
      </c>
      <c r="D1532" s="2" t="s">
        <v>2516</v>
      </c>
      <c r="E1532" s="2" t="s">
        <v>2529</v>
      </c>
      <c r="F1532" s="3">
        <v>158003</v>
      </c>
      <c r="G1532" s="3">
        <v>7990</v>
      </c>
      <c r="H1532" s="3">
        <v>643</v>
      </c>
      <c r="I1532" s="4">
        <v>15771.09</v>
      </c>
      <c r="J1532" s="4">
        <v>14383.5</v>
      </c>
      <c r="K1532" s="3">
        <v>405</v>
      </c>
      <c r="L1532" s="2" t="s">
        <v>2536</v>
      </c>
      <c r="M1532" s="2" t="s">
        <v>2537</v>
      </c>
      <c r="N1532" s="8">
        <f>IFERROR(G1532/F1532,0)</f>
        <v>5.0568660088732495E-2</v>
      </c>
      <c r="O1532" s="8">
        <f>IFERROR(H1532/G1532,0)</f>
        <v>8.0475594493116392E-2</v>
      </c>
      <c r="P1532" s="4">
        <f>IFERROR(I1532/G1532,0)</f>
        <v>1.9738535669586983</v>
      </c>
      <c r="Q1532" s="4">
        <f>IFERROR(I1532/H1532,0)</f>
        <v>24.527356143079317</v>
      </c>
      <c r="R1532" s="12">
        <f>IFERROR(J1532/I1532,0)</f>
        <v>0.91201686123153192</v>
      </c>
      <c r="S1532" s="7">
        <f>Tabla_nuevas_columnas[[#This Row],[ROAS]]</f>
        <v>0.91201686123153192</v>
      </c>
      <c r="T1532" t="str">
        <f>_xlfn.CONCAT(C1532,"-",D1532)</f>
        <v>Paid Search-México</v>
      </c>
      <c r="U1532">
        <f>YEAR(A1532)</f>
        <v>2025</v>
      </c>
      <c r="V1532">
        <f>MONTH(A1532)</f>
        <v>2</v>
      </c>
      <c r="W1532" t="str">
        <f>PROPER(TEXT(A1532,"mmmm"))</f>
        <v>Febrero</v>
      </c>
      <c r="X1532" t="str">
        <f>PROPER(TEXT(A1532,"dddd"))</f>
        <v>Viernes</v>
      </c>
      <c r="Y1532" t="str" cm="1">
        <f t="array" ref="Y1532">_xlfn.IFS(R1532&gt;10,"Excelente",R1532&gt;=5,"Bueno",R1532&gt;=2,"Débil",R1532&lt;2,"Deficiente")</f>
        <v>Deficiente</v>
      </c>
      <c r="Z1532" t="str">
        <f>IF(AND(R1532&lt;2,Q1532&gt;=100),"Revisar","OK")</f>
        <v>OK</v>
      </c>
      <c r="AA1532" s="55">
        <f>_xlfn.XLOOKUP(C1532,'Preguntas de negocio'!$C$114:$C$119,'Preguntas de negocio'!$D$114:$D$119,0)</f>
        <v>5</v>
      </c>
      <c r="AB1532" s="55">
        <f>VLOOKUP(C1532,'Preguntas de negocio'!$C$121:$D$127,2,FALSE)</f>
        <v>1.1000000000000001</v>
      </c>
    </row>
    <row r="1533" spans="1:28" x14ac:dyDescent="0.3">
      <c r="A1533" s="1">
        <v>46022</v>
      </c>
      <c r="B1533" s="2" t="s">
        <v>2627</v>
      </c>
      <c r="C1533" s="2" t="s">
        <v>2543</v>
      </c>
      <c r="D1533" s="2" t="s">
        <v>2528</v>
      </c>
      <c r="E1533" s="2" t="s">
        <v>2529</v>
      </c>
      <c r="F1533" s="3">
        <v>85913</v>
      </c>
      <c r="G1533" s="3">
        <v>649</v>
      </c>
      <c r="H1533" s="3">
        <v>31</v>
      </c>
      <c r="I1533" s="4">
        <v>946.95</v>
      </c>
      <c r="J1533" s="4">
        <v>4384.24</v>
      </c>
      <c r="K1533" s="3">
        <v>25</v>
      </c>
      <c r="L1533" s="2" t="s">
        <v>2536</v>
      </c>
      <c r="M1533" s="2" t="s">
        <v>2524</v>
      </c>
      <c r="N1533" s="8">
        <f>IFERROR(G1533/F1533,0)</f>
        <v>7.554153620523087E-3</v>
      </c>
      <c r="O1533" s="8">
        <f>IFERROR(H1533/G1533,0)</f>
        <v>4.7765793528505393E-2</v>
      </c>
      <c r="P1533" s="4">
        <f>IFERROR(I1533/G1533,0)</f>
        <v>1.4590909090909092</v>
      </c>
      <c r="Q1533" s="4">
        <f>IFERROR(I1533/H1533,0)</f>
        <v>30.546774193548387</v>
      </c>
      <c r="R1533" s="12">
        <f>IFERROR(J1533/I1533,0)</f>
        <v>4.6298537409578113</v>
      </c>
      <c r="S1533" s="7">
        <f>Tabla_nuevas_columnas[[#This Row],[ROAS]]</f>
        <v>4.6298537409578113</v>
      </c>
      <c r="T1533" t="str">
        <f>_xlfn.CONCAT(C1533,"-",D1533)</f>
        <v>Organic Social-España</v>
      </c>
      <c r="U1533">
        <f>YEAR(A1533)</f>
        <v>2025</v>
      </c>
      <c r="V1533">
        <f>MONTH(A1533)</f>
        <v>12</v>
      </c>
      <c r="W1533" t="str">
        <f>PROPER(TEXT(A1533,"mmmm"))</f>
        <v>Diciembre</v>
      </c>
      <c r="X1533" t="str">
        <f>PROPER(TEXT(A1533,"dddd"))</f>
        <v>Miércoles</v>
      </c>
      <c r="Y1533" t="str" cm="1">
        <f t="array" ref="Y1533">_xlfn.IFS(R1533&gt;10,"Excelente",R1533&gt;=5,"Bueno",R1533&gt;=2,"Débil",R1533&lt;2,"Deficiente")</f>
        <v>Débil</v>
      </c>
      <c r="Z1533" t="str">
        <f>IF(AND(R1533&lt;2,Q1533&gt;=100),"Revisar","OK")</f>
        <v>OK</v>
      </c>
      <c r="AA1533" s="55">
        <f>_xlfn.XLOOKUP(C1533,'Preguntas de negocio'!$C$114:$C$119,'Preguntas de negocio'!$D$114:$D$119,0)</f>
        <v>4</v>
      </c>
      <c r="AB1533" s="55">
        <f>VLOOKUP(C1533,'Preguntas de negocio'!$C$121:$D$127,2,FALSE)</f>
        <v>0.95</v>
      </c>
    </row>
    <row r="1534" spans="1:28" x14ac:dyDescent="0.3">
      <c r="A1534" s="1">
        <v>46003</v>
      </c>
      <c r="B1534" s="2" t="s">
        <v>2642</v>
      </c>
      <c r="C1534" s="2" t="s">
        <v>2541</v>
      </c>
      <c r="D1534" s="2" t="s">
        <v>2528</v>
      </c>
      <c r="E1534" s="2" t="s">
        <v>2529</v>
      </c>
      <c r="F1534" s="3">
        <v>13719</v>
      </c>
      <c r="G1534" s="3">
        <v>413</v>
      </c>
      <c r="H1534" s="3">
        <v>47</v>
      </c>
      <c r="I1534" s="4">
        <v>88.82</v>
      </c>
      <c r="J1534" s="4">
        <v>5065.41</v>
      </c>
      <c r="K1534" s="3">
        <v>34</v>
      </c>
      <c r="L1534" s="2" t="s">
        <v>2539</v>
      </c>
      <c r="M1534" s="2" t="s">
        <v>2524</v>
      </c>
      <c r="N1534" s="8">
        <f>IFERROR(G1534/F1534,0)</f>
        <v>3.0104235002551206E-2</v>
      </c>
      <c r="O1534" s="8">
        <f>IFERROR(H1534/G1534,0)</f>
        <v>0.11380145278450363</v>
      </c>
      <c r="P1534" s="4">
        <f>IFERROR(I1534/G1534,0)</f>
        <v>0.21506053268765132</v>
      </c>
      <c r="Q1534" s="4">
        <f>IFERROR(I1534/H1534,0)</f>
        <v>1.889787234042553</v>
      </c>
      <c r="R1534" s="12">
        <f>IFERROR(J1534/I1534,0)</f>
        <v>57.03006079711777</v>
      </c>
      <c r="S1534" s="7">
        <f>Tabla_nuevas_columnas[[#This Row],[ROAS]]</f>
        <v>57.03006079711777</v>
      </c>
      <c r="T1534" t="str">
        <f>_xlfn.CONCAT(C1534,"-",D1534)</f>
        <v>Display-España</v>
      </c>
      <c r="U1534">
        <f>YEAR(A1534)</f>
        <v>2025</v>
      </c>
      <c r="V1534">
        <f>MONTH(A1534)</f>
        <v>12</v>
      </c>
      <c r="W1534" t="str">
        <f>PROPER(TEXT(A1534,"mmmm"))</f>
        <v>Diciembre</v>
      </c>
      <c r="X1534" t="str">
        <f>PROPER(TEXT(A1534,"dddd"))</f>
        <v>Viernes</v>
      </c>
      <c r="Y1534" t="str" cm="1">
        <f t="array" ref="Y1534">_xlfn.IFS(R1534&gt;10,"Excelente",R1534&gt;=5,"Bueno",R1534&gt;=2,"Débil",R1534&lt;2,"Deficiente")</f>
        <v>Excelente</v>
      </c>
      <c r="Z1534" t="str">
        <f>IF(AND(R1534&lt;2,Q1534&gt;=100),"Revisar","OK")</f>
        <v>OK</v>
      </c>
      <c r="AA1534" s="55">
        <f>_xlfn.XLOOKUP(C1534,'Preguntas de negocio'!$C$114:$C$119,'Preguntas de negocio'!$D$114:$D$119,0)</f>
        <v>5</v>
      </c>
      <c r="AB1534" s="55">
        <f>VLOOKUP(C1534,'Preguntas de negocio'!$C$121:$D$127,2,FALSE)</f>
        <v>0.5</v>
      </c>
    </row>
    <row r="1535" spans="1:28" x14ac:dyDescent="0.3">
      <c r="A1535" s="1">
        <v>45687</v>
      </c>
      <c r="B1535" s="2" t="s">
        <v>2642</v>
      </c>
      <c r="C1535" s="2" t="s">
        <v>2521</v>
      </c>
      <c r="D1535" s="2" t="s">
        <v>2528</v>
      </c>
      <c r="E1535" s="2" t="s">
        <v>2534</v>
      </c>
      <c r="F1535" s="3">
        <v>23943</v>
      </c>
      <c r="G1535" s="3">
        <v>1274</v>
      </c>
      <c r="H1535" s="3">
        <v>107</v>
      </c>
      <c r="I1535" s="4">
        <v>2222.29</v>
      </c>
      <c r="J1535" s="4">
        <v>9235.9500000000007</v>
      </c>
      <c r="K1535" s="3">
        <v>66</v>
      </c>
      <c r="L1535" s="2" t="s">
        <v>2536</v>
      </c>
      <c r="M1535" s="2" t="s">
        <v>2526</v>
      </c>
      <c r="N1535" s="8">
        <f>IFERROR(G1535/F1535,0)</f>
        <v>5.3209706386000082E-2</v>
      </c>
      <c r="O1535" s="8">
        <f>IFERROR(H1535/G1535,0)</f>
        <v>8.3987441130298268E-2</v>
      </c>
      <c r="P1535" s="4">
        <f>IFERROR(I1535/G1535,0)</f>
        <v>1.7443406593406594</v>
      </c>
      <c r="Q1535" s="4">
        <f>IFERROR(I1535/H1535,0)</f>
        <v>20.769065420560747</v>
      </c>
      <c r="R1535" s="12">
        <f>IFERROR(J1535/I1535,0)</f>
        <v>4.1560507404524163</v>
      </c>
      <c r="S1535" s="7">
        <f>Tabla_nuevas_columnas[[#This Row],[ROAS]]</f>
        <v>4.1560507404524163</v>
      </c>
      <c r="T1535" t="str">
        <f>_xlfn.CONCAT(C1535,"-",D1535)</f>
        <v>Paid Search-España</v>
      </c>
      <c r="U1535">
        <f>YEAR(A1535)</f>
        <v>2025</v>
      </c>
      <c r="V1535">
        <f>MONTH(A1535)</f>
        <v>1</v>
      </c>
      <c r="W1535" t="str">
        <f>PROPER(TEXT(A1535,"mmmm"))</f>
        <v>Enero</v>
      </c>
      <c r="X1535" t="str">
        <f>PROPER(TEXT(A1535,"dddd"))</f>
        <v>Jueves</v>
      </c>
      <c r="Y1535" t="str" cm="1">
        <f t="array" ref="Y1535">_xlfn.IFS(R1535&gt;10,"Excelente",R1535&gt;=5,"Bueno",R1535&gt;=2,"Débil",R1535&lt;2,"Deficiente")</f>
        <v>Débil</v>
      </c>
      <c r="Z1535" t="str">
        <f>IF(AND(R1535&lt;2,Q1535&gt;=100),"Revisar","OK")</f>
        <v>OK</v>
      </c>
      <c r="AA1535" s="55">
        <f>_xlfn.XLOOKUP(C1535,'Preguntas de negocio'!$C$114:$C$119,'Preguntas de negocio'!$D$114:$D$119,0)</f>
        <v>5</v>
      </c>
      <c r="AB1535" s="55">
        <f>VLOOKUP(C1535,'Preguntas de negocio'!$C$121:$D$127,2,FALSE)</f>
        <v>1.1000000000000001</v>
      </c>
    </row>
    <row r="1536" spans="1:28" x14ac:dyDescent="0.3">
      <c r="A1536" s="1">
        <v>45796</v>
      </c>
      <c r="B1536" s="2" t="s">
        <v>2625</v>
      </c>
      <c r="C1536" s="2" t="s">
        <v>2543</v>
      </c>
      <c r="D1536" s="2" t="s">
        <v>2525</v>
      </c>
      <c r="E1536" s="2" t="s">
        <v>2529</v>
      </c>
      <c r="F1536" s="3">
        <v>69001</v>
      </c>
      <c r="G1536" s="3">
        <v>4027</v>
      </c>
      <c r="H1536" s="3">
        <v>316</v>
      </c>
      <c r="I1536" s="4">
        <v>8249.01</v>
      </c>
      <c r="J1536" s="4">
        <v>30459.07</v>
      </c>
      <c r="K1536" s="3">
        <v>253</v>
      </c>
      <c r="L1536" s="2" t="s">
        <v>2536</v>
      </c>
      <c r="M1536" s="2" t="s">
        <v>2519</v>
      </c>
      <c r="N1536" s="8">
        <f>IFERROR(G1536/F1536,0)</f>
        <v>5.8361473022130114E-2</v>
      </c>
      <c r="O1536" s="8">
        <f>IFERROR(H1536/G1536,0)</f>
        <v>7.8470325304196675E-2</v>
      </c>
      <c r="P1536" s="4">
        <f>IFERROR(I1536/G1536,0)</f>
        <v>2.0484256270176311</v>
      </c>
      <c r="Q1536" s="4">
        <f>IFERROR(I1536/H1536,0)</f>
        <v>26.104462025316458</v>
      </c>
      <c r="R1536" s="12">
        <f>IFERROR(J1536/I1536,0)</f>
        <v>3.6924515790379693</v>
      </c>
      <c r="S1536" s="7">
        <f>Tabla_nuevas_columnas[[#This Row],[ROAS]]</f>
        <v>3.6924515790379693</v>
      </c>
      <c r="T1536" t="str">
        <f>_xlfn.CONCAT(C1536,"-",D1536)</f>
        <v>Organic Social-Francia</v>
      </c>
      <c r="U1536">
        <f>YEAR(A1536)</f>
        <v>2025</v>
      </c>
      <c r="V1536">
        <f>MONTH(A1536)</f>
        <v>5</v>
      </c>
      <c r="W1536" t="str">
        <f>PROPER(TEXT(A1536,"mmmm"))</f>
        <v>Mayo</v>
      </c>
      <c r="X1536" t="str">
        <f>PROPER(TEXT(A1536,"dddd"))</f>
        <v>Lunes</v>
      </c>
      <c r="Y1536" t="str" cm="1">
        <f t="array" ref="Y1536">_xlfn.IFS(R1536&gt;10,"Excelente",R1536&gt;=5,"Bueno",R1536&gt;=2,"Débil",R1536&lt;2,"Deficiente")</f>
        <v>Débil</v>
      </c>
      <c r="Z1536" t="str">
        <f>IF(AND(R1536&lt;2,Q1536&gt;=100),"Revisar","OK")</f>
        <v>OK</v>
      </c>
      <c r="AA1536" s="55">
        <f>_xlfn.XLOOKUP(C1536,'Preguntas de negocio'!$C$114:$C$119,'Preguntas de negocio'!$D$114:$D$119,0)</f>
        <v>4</v>
      </c>
      <c r="AB1536" s="55">
        <f>VLOOKUP(C1536,'Preguntas de negocio'!$C$121:$D$127,2,FALSE)</f>
        <v>0.95</v>
      </c>
    </row>
    <row r="1537" spans="1:28" x14ac:dyDescent="0.3">
      <c r="A1537" s="1">
        <v>45752</v>
      </c>
      <c r="B1537" s="2" t="s">
        <v>2629</v>
      </c>
      <c r="C1537" s="2" t="s">
        <v>2543</v>
      </c>
      <c r="D1537" s="2" t="s">
        <v>2531</v>
      </c>
      <c r="E1537" s="2" t="s">
        <v>2529</v>
      </c>
      <c r="F1537" s="3">
        <v>80135</v>
      </c>
      <c r="G1537" s="3">
        <v>6495</v>
      </c>
      <c r="H1537" s="3">
        <v>617</v>
      </c>
      <c r="I1537" s="4">
        <v>1951.46</v>
      </c>
      <c r="J1537" s="4">
        <v>63056.72</v>
      </c>
      <c r="K1537" s="3">
        <v>482</v>
      </c>
      <c r="L1537" s="2" t="s">
        <v>2523</v>
      </c>
      <c r="M1537" s="2" t="s">
        <v>2526</v>
      </c>
      <c r="N1537" s="8">
        <f>IFERROR(G1537/F1537,0)</f>
        <v>8.1050726898359016E-2</v>
      </c>
      <c r="O1537" s="8">
        <f>IFERROR(H1537/G1537,0)</f>
        <v>9.4996150885296379E-2</v>
      </c>
      <c r="P1537" s="4">
        <f>IFERROR(I1537/G1537,0)</f>
        <v>0.3004557351809084</v>
      </c>
      <c r="Q1537" s="4">
        <f>IFERROR(I1537/H1537,0)</f>
        <v>3.1628200972447327</v>
      </c>
      <c r="R1537" s="12">
        <f>IFERROR(J1537/I1537,0)</f>
        <v>32.312586473717111</v>
      </c>
      <c r="S1537" s="7">
        <f>Tabla_nuevas_columnas[[#This Row],[ROAS]]</f>
        <v>32.312586473717111</v>
      </c>
      <c r="T1537" t="str">
        <f>_xlfn.CONCAT(C1537,"-",D1537)</f>
        <v>Organic Social-Portugal</v>
      </c>
      <c r="U1537">
        <f>YEAR(A1537)</f>
        <v>2025</v>
      </c>
      <c r="V1537">
        <f>MONTH(A1537)</f>
        <v>4</v>
      </c>
      <c r="W1537" t="str">
        <f>PROPER(TEXT(A1537,"mmmm"))</f>
        <v>Abril</v>
      </c>
      <c r="X1537" t="str">
        <f>PROPER(TEXT(A1537,"dddd"))</f>
        <v>Sábado</v>
      </c>
      <c r="Y1537" t="str" cm="1">
        <f t="array" ref="Y1537">_xlfn.IFS(R1537&gt;10,"Excelente",R1537&gt;=5,"Bueno",R1537&gt;=2,"Débil",R1537&lt;2,"Deficiente")</f>
        <v>Excelente</v>
      </c>
      <c r="Z1537" t="str">
        <f>IF(AND(R1537&lt;2,Q1537&gt;=100),"Revisar","OK")</f>
        <v>OK</v>
      </c>
      <c r="AA1537" s="55">
        <f>_xlfn.XLOOKUP(C1537,'Preguntas de negocio'!$C$114:$C$119,'Preguntas de negocio'!$D$114:$D$119,0)</f>
        <v>4</v>
      </c>
      <c r="AB1537" s="55">
        <f>VLOOKUP(C1537,'Preguntas de negocio'!$C$121:$D$127,2,FALSE)</f>
        <v>0.95</v>
      </c>
    </row>
    <row r="1538" spans="1:28" x14ac:dyDescent="0.3">
      <c r="A1538" s="1">
        <v>45702</v>
      </c>
      <c r="B1538" s="2" t="s">
        <v>2641</v>
      </c>
      <c r="C1538" s="2" t="s">
        <v>2543</v>
      </c>
      <c r="D1538" s="2" t="s">
        <v>2528</v>
      </c>
      <c r="E1538" s="2" t="s">
        <v>2517</v>
      </c>
      <c r="F1538" s="3">
        <v>32523</v>
      </c>
      <c r="G1538" s="3">
        <v>1867</v>
      </c>
      <c r="H1538" s="3">
        <v>109</v>
      </c>
      <c r="I1538" s="4">
        <v>1969.11</v>
      </c>
      <c r="J1538" s="4">
        <v>11350.4</v>
      </c>
      <c r="K1538" s="3">
        <v>76</v>
      </c>
      <c r="L1538" s="2" t="s">
        <v>2536</v>
      </c>
      <c r="M1538" s="2" t="s">
        <v>2526</v>
      </c>
      <c r="N1538" s="8">
        <f>IFERROR(G1538/F1538,0)</f>
        <v>5.7405528395289486E-2</v>
      </c>
      <c r="O1538" s="8">
        <f>IFERROR(H1538/G1538,0)</f>
        <v>5.8382431708623457E-2</v>
      </c>
      <c r="P1538" s="4">
        <f>IFERROR(I1538/G1538,0)</f>
        <v>1.0546920192822711</v>
      </c>
      <c r="Q1538" s="4">
        <f>IFERROR(I1538/H1538,0)</f>
        <v>18.065229357798163</v>
      </c>
      <c r="R1538" s="12">
        <f>IFERROR(J1538/I1538,0)</f>
        <v>5.7642285093265491</v>
      </c>
      <c r="S1538" s="7">
        <f>Tabla_nuevas_columnas[[#This Row],[ROAS]]</f>
        <v>5.7642285093265491</v>
      </c>
      <c r="T1538" t="str">
        <f>_xlfn.CONCAT(C1538,"-",D1538)</f>
        <v>Organic Social-España</v>
      </c>
      <c r="U1538">
        <f>YEAR(A1538)</f>
        <v>2025</v>
      </c>
      <c r="V1538">
        <f>MONTH(A1538)</f>
        <v>2</v>
      </c>
      <c r="W1538" t="str">
        <f>PROPER(TEXT(A1538,"mmmm"))</f>
        <v>Febrero</v>
      </c>
      <c r="X1538" t="str">
        <f>PROPER(TEXT(A1538,"dddd"))</f>
        <v>Viernes</v>
      </c>
      <c r="Y1538" t="str" cm="1">
        <f t="array" ref="Y1538">_xlfn.IFS(R1538&gt;10,"Excelente",R1538&gt;=5,"Bueno",R1538&gt;=2,"Débil",R1538&lt;2,"Deficiente")</f>
        <v>Bueno</v>
      </c>
      <c r="Z1538" t="str">
        <f>IF(AND(R1538&lt;2,Q1538&gt;=100),"Revisar","OK")</f>
        <v>OK</v>
      </c>
      <c r="AA1538" s="55">
        <f>_xlfn.XLOOKUP(C1538,'Preguntas de negocio'!$C$114:$C$119,'Preguntas de negocio'!$D$114:$D$119,0)</f>
        <v>4</v>
      </c>
      <c r="AB1538" s="55">
        <f>VLOOKUP(C1538,'Preguntas de negocio'!$C$121:$D$127,2,FALSE)</f>
        <v>0.95</v>
      </c>
    </row>
    <row r="1539" spans="1:28" x14ac:dyDescent="0.3">
      <c r="A1539" s="1">
        <v>45936</v>
      </c>
      <c r="B1539" s="2" t="s">
        <v>2643</v>
      </c>
      <c r="C1539" s="2" t="s">
        <v>2527</v>
      </c>
      <c r="D1539" s="2" t="s">
        <v>2531</v>
      </c>
      <c r="E1539" s="2" t="s">
        <v>2529</v>
      </c>
      <c r="F1539" s="3">
        <v>36245</v>
      </c>
      <c r="G1539" s="3">
        <v>452</v>
      </c>
      <c r="H1539" s="3">
        <v>12</v>
      </c>
      <c r="I1539" s="4">
        <v>336.79</v>
      </c>
      <c r="J1539" s="4">
        <v>1522.32</v>
      </c>
      <c r="K1539" s="3">
        <v>7</v>
      </c>
      <c r="L1539" s="2" t="s">
        <v>2523</v>
      </c>
      <c r="M1539" s="2" t="s">
        <v>2546</v>
      </c>
      <c r="N1539" s="8">
        <f>IFERROR(G1539/F1539,0)</f>
        <v>1.2470685611808526E-2</v>
      </c>
      <c r="O1539" s="8">
        <f>IFERROR(H1539/G1539,0)</f>
        <v>2.6548672566371681E-2</v>
      </c>
      <c r="P1539" s="4">
        <f>IFERROR(I1539/G1539,0)</f>
        <v>0.74511061946902657</v>
      </c>
      <c r="Q1539" s="4">
        <f>IFERROR(I1539/H1539,0)</f>
        <v>28.065833333333334</v>
      </c>
      <c r="R1539" s="12">
        <f>IFERROR(J1539/I1539,0)</f>
        <v>4.5200867009115466</v>
      </c>
      <c r="S1539" s="7">
        <f>Tabla_nuevas_columnas[[#This Row],[ROAS]]</f>
        <v>4.5200867009115466</v>
      </c>
      <c r="T1539" t="str">
        <f>_xlfn.CONCAT(C1539,"-",D1539)</f>
        <v>Affiliate-Portugal</v>
      </c>
      <c r="U1539">
        <f>YEAR(A1539)</f>
        <v>2025</v>
      </c>
      <c r="V1539">
        <f>MONTH(A1539)</f>
        <v>10</v>
      </c>
      <c r="W1539" t="str">
        <f>PROPER(TEXT(A1539,"mmmm"))</f>
        <v>Octubre</v>
      </c>
      <c r="X1539" t="str">
        <f>PROPER(TEXT(A1539,"dddd"))</f>
        <v>Lunes</v>
      </c>
      <c r="Y1539" t="str" cm="1">
        <f t="array" ref="Y1539">_xlfn.IFS(R1539&gt;10,"Excelente",R1539&gt;=5,"Bueno",R1539&gt;=2,"Débil",R1539&lt;2,"Deficiente")</f>
        <v>Débil</v>
      </c>
      <c r="Z1539" t="str">
        <f>IF(AND(R1539&lt;2,Q1539&gt;=100),"Revisar","OK")</f>
        <v>OK</v>
      </c>
      <c r="AA1539" s="55">
        <f>_xlfn.XLOOKUP(C1539,'Preguntas de negocio'!$C$114:$C$119,'Preguntas de negocio'!$D$114:$D$119,0)</f>
        <v>4.5</v>
      </c>
      <c r="AB1539" s="55">
        <f>VLOOKUP(C1539,'Preguntas de negocio'!$C$121:$D$127,2,FALSE)</f>
        <v>0.35</v>
      </c>
    </row>
    <row r="1540" spans="1:28" x14ac:dyDescent="0.3">
      <c r="A1540" s="1">
        <v>45934</v>
      </c>
      <c r="B1540" s="2" t="s">
        <v>2644</v>
      </c>
      <c r="C1540" s="2" t="s">
        <v>2541</v>
      </c>
      <c r="D1540" s="2" t="s">
        <v>2516</v>
      </c>
      <c r="E1540" s="2" t="s">
        <v>2517</v>
      </c>
      <c r="F1540" s="3">
        <v>91166</v>
      </c>
      <c r="G1540" s="3">
        <v>2900</v>
      </c>
      <c r="H1540" s="3">
        <v>325</v>
      </c>
      <c r="I1540" s="4">
        <v>733.59</v>
      </c>
      <c r="J1540" s="4">
        <v>65334.28</v>
      </c>
      <c r="K1540" s="3">
        <v>244</v>
      </c>
      <c r="L1540" s="2" t="s">
        <v>2523</v>
      </c>
      <c r="M1540" s="2" t="s">
        <v>2524</v>
      </c>
      <c r="N1540" s="8">
        <f>IFERROR(G1540/F1540,0)</f>
        <v>3.1810104644275278E-2</v>
      </c>
      <c r="O1540" s="8">
        <f>IFERROR(H1540/G1540,0)</f>
        <v>0.11206896551724138</v>
      </c>
      <c r="P1540" s="4">
        <f>IFERROR(I1540/G1540,0)</f>
        <v>0.25296206896551726</v>
      </c>
      <c r="Q1540" s="4">
        <f>IFERROR(I1540/H1540,0)</f>
        <v>2.2572000000000001</v>
      </c>
      <c r="R1540" s="12">
        <f>IFERROR(J1540/I1540,0)</f>
        <v>89.061028639976001</v>
      </c>
      <c r="S1540" s="7">
        <f>Tabla_nuevas_columnas[[#This Row],[ROAS]]</f>
        <v>89.061028639976001</v>
      </c>
      <c r="T1540" t="str">
        <f>_xlfn.CONCAT(C1540,"-",D1540)</f>
        <v>Display-México</v>
      </c>
      <c r="U1540">
        <f>YEAR(A1540)</f>
        <v>2025</v>
      </c>
      <c r="V1540">
        <f>MONTH(A1540)</f>
        <v>10</v>
      </c>
      <c r="W1540" t="str">
        <f>PROPER(TEXT(A1540,"mmmm"))</f>
        <v>Octubre</v>
      </c>
      <c r="X1540" t="str">
        <f>PROPER(TEXT(A1540,"dddd"))</f>
        <v>Sábado</v>
      </c>
      <c r="Y1540" t="str" cm="1">
        <f t="array" ref="Y1540">_xlfn.IFS(R1540&gt;10,"Excelente",R1540&gt;=5,"Bueno",R1540&gt;=2,"Débil",R1540&lt;2,"Deficiente")</f>
        <v>Excelente</v>
      </c>
      <c r="Z1540" t="str">
        <f>IF(AND(R1540&lt;2,Q1540&gt;=100),"Revisar","OK")</f>
        <v>OK</v>
      </c>
      <c r="AA1540" s="55">
        <f>_xlfn.XLOOKUP(C1540,'Preguntas de negocio'!$C$114:$C$119,'Preguntas de negocio'!$D$114:$D$119,0)</f>
        <v>5</v>
      </c>
      <c r="AB1540" s="55">
        <f>VLOOKUP(C1540,'Preguntas de negocio'!$C$121:$D$127,2,FALSE)</f>
        <v>0.5</v>
      </c>
    </row>
    <row r="1541" spans="1:28" x14ac:dyDescent="0.3">
      <c r="A1541" s="1">
        <v>45809</v>
      </c>
      <c r="B1541" s="2" t="s">
        <v>2619</v>
      </c>
      <c r="C1541" s="2" t="s">
        <v>2521</v>
      </c>
      <c r="D1541" s="2" t="s">
        <v>2528</v>
      </c>
      <c r="E1541" s="2" t="s">
        <v>2529</v>
      </c>
      <c r="F1541" s="3">
        <v>174485</v>
      </c>
      <c r="G1541" s="3">
        <v>8504</v>
      </c>
      <c r="H1541" s="3">
        <v>1126</v>
      </c>
      <c r="I1541" s="4">
        <v>12769.07</v>
      </c>
      <c r="J1541" s="4">
        <v>104774.34</v>
      </c>
      <c r="K1541" s="3">
        <v>851</v>
      </c>
      <c r="L1541" s="2" t="s">
        <v>2536</v>
      </c>
      <c r="M1541" s="2" t="s">
        <v>2546</v>
      </c>
      <c r="N1541" s="8">
        <f>IFERROR(G1541/F1541,0)</f>
        <v>4.8737713843596868E-2</v>
      </c>
      <c r="O1541" s="8">
        <f>IFERROR(H1541/G1541,0)</f>
        <v>0.1324082784571966</v>
      </c>
      <c r="P1541" s="4">
        <f>IFERROR(I1541/G1541,0)</f>
        <v>1.5015369238005645</v>
      </c>
      <c r="Q1541" s="4">
        <f>IFERROR(I1541/H1541,0)</f>
        <v>11.340204262877442</v>
      </c>
      <c r="R1541" s="12">
        <f>IFERROR(J1541/I1541,0)</f>
        <v>8.205322705569003</v>
      </c>
      <c r="S1541" s="7">
        <f>Tabla_nuevas_columnas[[#This Row],[ROAS]]</f>
        <v>8.205322705569003</v>
      </c>
      <c r="T1541" t="str">
        <f>_xlfn.CONCAT(C1541,"-",D1541)</f>
        <v>Paid Search-España</v>
      </c>
      <c r="U1541">
        <f>YEAR(A1541)</f>
        <v>2025</v>
      </c>
      <c r="V1541">
        <f>MONTH(A1541)</f>
        <v>6</v>
      </c>
      <c r="W1541" t="str">
        <f>PROPER(TEXT(A1541,"mmmm"))</f>
        <v>Junio</v>
      </c>
      <c r="X1541" t="str">
        <f>PROPER(TEXT(A1541,"dddd"))</f>
        <v>Domingo</v>
      </c>
      <c r="Y1541" t="str" cm="1">
        <f t="array" ref="Y1541">_xlfn.IFS(R1541&gt;10,"Excelente",R1541&gt;=5,"Bueno",R1541&gt;=2,"Débil",R1541&lt;2,"Deficiente")</f>
        <v>Bueno</v>
      </c>
      <c r="Z1541" t="str">
        <f>IF(AND(R1541&lt;2,Q1541&gt;=100),"Revisar","OK")</f>
        <v>OK</v>
      </c>
      <c r="AA1541" s="55">
        <f>_xlfn.XLOOKUP(C1541,'Preguntas de negocio'!$C$114:$C$119,'Preguntas de negocio'!$D$114:$D$119,0)</f>
        <v>5</v>
      </c>
      <c r="AB1541" s="55">
        <f>VLOOKUP(C1541,'Preguntas de negocio'!$C$121:$D$127,2,FALSE)</f>
        <v>1.1000000000000001</v>
      </c>
    </row>
    <row r="1542" spans="1:28" x14ac:dyDescent="0.3">
      <c r="A1542" s="1">
        <v>45896</v>
      </c>
      <c r="B1542" s="2" t="s">
        <v>2626</v>
      </c>
      <c r="C1542" s="2" t="s">
        <v>2533</v>
      </c>
      <c r="D1542" s="2" t="s">
        <v>2528</v>
      </c>
      <c r="E1542" s="2" t="s">
        <v>2529</v>
      </c>
      <c r="F1542" s="3">
        <v>86575</v>
      </c>
      <c r="G1542" s="3">
        <v>3825</v>
      </c>
      <c r="H1542" s="3">
        <v>308</v>
      </c>
      <c r="I1542" s="4">
        <v>5908.47</v>
      </c>
      <c r="J1542" s="4">
        <v>61375.07</v>
      </c>
      <c r="K1542" s="3">
        <v>229</v>
      </c>
      <c r="L1542" s="2" t="s">
        <v>2518</v>
      </c>
      <c r="M1542" s="2" t="s">
        <v>2524</v>
      </c>
      <c r="N1542" s="8">
        <f>IFERROR(G1542/F1542,0)</f>
        <v>4.4181345654057173E-2</v>
      </c>
      <c r="O1542" s="8">
        <f>IFERROR(H1542/G1542,0)</f>
        <v>8.0522875816993467E-2</v>
      </c>
      <c r="P1542" s="4">
        <f>IFERROR(I1542/G1542,0)</f>
        <v>1.5446980392156864</v>
      </c>
      <c r="Q1542" s="4">
        <f>IFERROR(I1542/H1542,0)</f>
        <v>19.183344155844157</v>
      </c>
      <c r="R1542" s="12">
        <f>IFERROR(J1542/I1542,0)</f>
        <v>10.387641809131637</v>
      </c>
      <c r="S1542" s="7">
        <f>Tabla_nuevas_columnas[[#This Row],[ROAS]]</f>
        <v>10.387641809131637</v>
      </c>
      <c r="T1542" t="str">
        <f>_xlfn.CONCAT(C1542,"-",D1542)</f>
        <v>Paid Social-España</v>
      </c>
      <c r="U1542">
        <f>YEAR(A1542)</f>
        <v>2025</v>
      </c>
      <c r="V1542">
        <f>MONTH(A1542)</f>
        <v>8</v>
      </c>
      <c r="W1542" t="str">
        <f>PROPER(TEXT(A1542,"mmmm"))</f>
        <v>Agosto</v>
      </c>
      <c r="X1542" t="str">
        <f>PROPER(TEXT(A1542,"dddd"))</f>
        <v>Miércoles</v>
      </c>
      <c r="Y1542" t="str" cm="1">
        <f t="array" ref="Y1542">_xlfn.IFS(R1542&gt;10,"Excelente",R1542&gt;=5,"Bueno",R1542&gt;=2,"Débil",R1542&lt;2,"Deficiente")</f>
        <v>Excelente</v>
      </c>
      <c r="Z1542" t="str">
        <f>IF(AND(R1542&lt;2,Q1542&gt;=100),"Revisar","OK")</f>
        <v>OK</v>
      </c>
      <c r="AA1542" s="55">
        <f>_xlfn.XLOOKUP(C1542,'Preguntas de negocio'!$C$114:$C$119,'Preguntas de negocio'!$D$114:$D$119,0)</f>
        <v>6</v>
      </c>
      <c r="AB1542" s="55">
        <f>VLOOKUP(C1542,'Preguntas de negocio'!$C$121:$D$127,2,FALSE)</f>
        <v>0.8</v>
      </c>
    </row>
    <row r="1543" spans="1:28" x14ac:dyDescent="0.3">
      <c r="A1543" s="1">
        <v>46015</v>
      </c>
      <c r="B1543" s="2" t="s">
        <v>2618</v>
      </c>
      <c r="C1543" s="2" t="s">
        <v>2527</v>
      </c>
      <c r="D1543" s="2" t="s">
        <v>2531</v>
      </c>
      <c r="E1543" s="2" t="s">
        <v>2529</v>
      </c>
      <c r="F1543" s="3">
        <v>94123</v>
      </c>
      <c r="G1543" s="3">
        <v>2531</v>
      </c>
      <c r="H1543" s="3">
        <v>125</v>
      </c>
      <c r="I1543" s="4">
        <v>2996.88</v>
      </c>
      <c r="J1543" s="4">
        <v>23461.31</v>
      </c>
      <c r="K1543" s="3">
        <v>78</v>
      </c>
      <c r="L1543" s="2" t="s">
        <v>2523</v>
      </c>
      <c r="M1543" s="2" t="s">
        <v>2519</v>
      </c>
      <c r="N1543" s="8">
        <f>IFERROR(G1543/F1543,0)</f>
        <v>2.6890345611593341E-2</v>
      </c>
      <c r="O1543" s="8">
        <f>IFERROR(H1543/G1543,0)</f>
        <v>4.9387593836428288E-2</v>
      </c>
      <c r="P1543" s="4">
        <f>IFERROR(I1543/G1543,0)</f>
        <v>1.1840695377321218</v>
      </c>
      <c r="Q1543" s="4">
        <f>IFERROR(I1543/H1543,0)</f>
        <v>23.97504</v>
      </c>
      <c r="R1543" s="12">
        <f>IFERROR(J1543/I1543,0)</f>
        <v>7.828578388190385</v>
      </c>
      <c r="S1543" s="7">
        <f>Tabla_nuevas_columnas[[#This Row],[ROAS]]</f>
        <v>7.828578388190385</v>
      </c>
      <c r="T1543" t="str">
        <f>_xlfn.CONCAT(C1543,"-",D1543)</f>
        <v>Affiliate-Portugal</v>
      </c>
      <c r="U1543">
        <f>YEAR(A1543)</f>
        <v>2025</v>
      </c>
      <c r="V1543">
        <f>MONTH(A1543)</f>
        <v>12</v>
      </c>
      <c r="W1543" t="str">
        <f>PROPER(TEXT(A1543,"mmmm"))</f>
        <v>Diciembre</v>
      </c>
      <c r="X1543" t="str">
        <f>PROPER(TEXT(A1543,"dddd"))</f>
        <v>Miércoles</v>
      </c>
      <c r="Y1543" t="str" cm="1">
        <f t="array" ref="Y1543">_xlfn.IFS(R1543&gt;10,"Excelente",R1543&gt;=5,"Bueno",R1543&gt;=2,"Débil",R1543&lt;2,"Deficiente")</f>
        <v>Bueno</v>
      </c>
      <c r="Z1543" t="str">
        <f>IF(AND(R1543&lt;2,Q1543&gt;=100),"Revisar","OK")</f>
        <v>OK</v>
      </c>
      <c r="AA1543" s="55">
        <f>_xlfn.XLOOKUP(C1543,'Preguntas de negocio'!$C$114:$C$119,'Preguntas de negocio'!$D$114:$D$119,0)</f>
        <v>4.5</v>
      </c>
      <c r="AB1543" s="55">
        <f>VLOOKUP(C1543,'Preguntas de negocio'!$C$121:$D$127,2,FALSE)</f>
        <v>0.35</v>
      </c>
    </row>
    <row r="1544" spans="1:28" x14ac:dyDescent="0.3">
      <c r="A1544" s="1">
        <v>45823</v>
      </c>
      <c r="B1544" s="2" t="s">
        <v>2634</v>
      </c>
      <c r="C1544" s="2" t="s">
        <v>2527</v>
      </c>
      <c r="D1544" s="2" t="s">
        <v>2531</v>
      </c>
      <c r="E1544" s="2" t="s">
        <v>2529</v>
      </c>
      <c r="F1544" s="3">
        <v>41742</v>
      </c>
      <c r="G1544" s="3">
        <v>3075</v>
      </c>
      <c r="H1544" s="3">
        <v>180</v>
      </c>
      <c r="I1544" s="4">
        <v>2383.98</v>
      </c>
      <c r="J1544" s="4">
        <v>16501.62</v>
      </c>
      <c r="K1544" s="3">
        <v>144</v>
      </c>
      <c r="L1544" s="2" t="s">
        <v>2536</v>
      </c>
      <c r="M1544" s="2" t="s">
        <v>2524</v>
      </c>
      <c r="N1544" s="8">
        <f>IFERROR(G1544/F1544,0)</f>
        <v>7.3666810406784536E-2</v>
      </c>
      <c r="O1544" s="8">
        <f>IFERROR(H1544/G1544,0)</f>
        <v>5.8536585365853662E-2</v>
      </c>
      <c r="P1544" s="4">
        <f>IFERROR(I1544/G1544,0)</f>
        <v>0.77527804878048778</v>
      </c>
      <c r="Q1544" s="4">
        <f>IFERROR(I1544/H1544,0)</f>
        <v>13.244333333333334</v>
      </c>
      <c r="R1544" s="12">
        <f>IFERROR(J1544/I1544,0)</f>
        <v>6.9218785392494899</v>
      </c>
      <c r="S1544" s="7">
        <f>Tabla_nuevas_columnas[[#This Row],[ROAS]]</f>
        <v>6.9218785392494899</v>
      </c>
      <c r="T1544" t="str">
        <f>_xlfn.CONCAT(C1544,"-",D1544)</f>
        <v>Affiliate-Portugal</v>
      </c>
      <c r="U1544">
        <f>YEAR(A1544)</f>
        <v>2025</v>
      </c>
      <c r="V1544">
        <f>MONTH(A1544)</f>
        <v>6</v>
      </c>
      <c r="W1544" t="str">
        <f>PROPER(TEXT(A1544,"mmmm"))</f>
        <v>Junio</v>
      </c>
      <c r="X1544" t="str">
        <f>PROPER(TEXT(A1544,"dddd"))</f>
        <v>Domingo</v>
      </c>
      <c r="Y1544" t="str" cm="1">
        <f t="array" ref="Y1544">_xlfn.IFS(R1544&gt;10,"Excelente",R1544&gt;=5,"Bueno",R1544&gt;=2,"Débil",R1544&lt;2,"Deficiente")</f>
        <v>Bueno</v>
      </c>
      <c r="Z1544" t="str">
        <f>IF(AND(R1544&lt;2,Q1544&gt;=100),"Revisar","OK")</f>
        <v>OK</v>
      </c>
      <c r="AA1544" s="55">
        <f>_xlfn.XLOOKUP(C1544,'Preguntas de negocio'!$C$114:$C$119,'Preguntas de negocio'!$D$114:$D$119,0)</f>
        <v>4.5</v>
      </c>
      <c r="AB1544" s="55">
        <f>VLOOKUP(C1544,'Preguntas de negocio'!$C$121:$D$127,2,FALSE)</f>
        <v>0.35</v>
      </c>
    </row>
    <row r="1545" spans="1:28" x14ac:dyDescent="0.3">
      <c r="A1545" s="1">
        <v>45809</v>
      </c>
      <c r="B1545" s="2" t="s">
        <v>2635</v>
      </c>
      <c r="C1545" s="2" t="s">
        <v>2527</v>
      </c>
      <c r="D1545" s="2" t="s">
        <v>2528</v>
      </c>
      <c r="E1545" s="2" t="s">
        <v>2529</v>
      </c>
      <c r="F1545" s="3">
        <v>88001</v>
      </c>
      <c r="G1545" s="3">
        <v>3204</v>
      </c>
      <c r="H1545" s="3">
        <v>334</v>
      </c>
      <c r="I1545" s="4">
        <v>2322.64</v>
      </c>
      <c r="J1545" s="4">
        <v>62734.87</v>
      </c>
      <c r="K1545" s="3">
        <v>282</v>
      </c>
      <c r="L1545" s="2" t="s">
        <v>2518</v>
      </c>
      <c r="M1545" s="2" t="s">
        <v>2537</v>
      </c>
      <c r="N1545" s="8">
        <f>IFERROR(G1545/F1545,0)</f>
        <v>3.6408677174123022E-2</v>
      </c>
      <c r="O1545" s="8">
        <f>IFERROR(H1545/G1545,0)</f>
        <v>0.10424469413233459</v>
      </c>
      <c r="P1545" s="4">
        <f>IFERROR(I1545/G1545,0)</f>
        <v>0.72491885143570534</v>
      </c>
      <c r="Q1545" s="4">
        <f>IFERROR(I1545/H1545,0)</f>
        <v>6.9540119760479042</v>
      </c>
      <c r="R1545" s="12">
        <f>IFERROR(J1545/I1545,0)</f>
        <v>27.010156545999383</v>
      </c>
      <c r="S1545" s="7">
        <f>Tabla_nuevas_columnas[[#This Row],[ROAS]]</f>
        <v>27.010156545999383</v>
      </c>
      <c r="T1545" t="str">
        <f>_xlfn.CONCAT(C1545,"-",D1545)</f>
        <v>Affiliate-España</v>
      </c>
      <c r="U1545">
        <f>YEAR(A1545)</f>
        <v>2025</v>
      </c>
      <c r="V1545">
        <f>MONTH(A1545)</f>
        <v>6</v>
      </c>
      <c r="W1545" t="str">
        <f>PROPER(TEXT(A1545,"mmmm"))</f>
        <v>Junio</v>
      </c>
      <c r="X1545" t="str">
        <f>PROPER(TEXT(A1545,"dddd"))</f>
        <v>Domingo</v>
      </c>
      <c r="Y1545" t="str" cm="1">
        <f t="array" ref="Y1545">_xlfn.IFS(R1545&gt;10,"Excelente",R1545&gt;=5,"Bueno",R1545&gt;=2,"Débil",R1545&lt;2,"Deficiente")</f>
        <v>Excelente</v>
      </c>
      <c r="Z1545" t="str">
        <f>IF(AND(R1545&lt;2,Q1545&gt;=100),"Revisar","OK")</f>
        <v>OK</v>
      </c>
      <c r="AA1545" s="55">
        <f>_xlfn.XLOOKUP(C1545,'Preguntas de negocio'!$C$114:$C$119,'Preguntas de negocio'!$D$114:$D$119,0)</f>
        <v>4.5</v>
      </c>
      <c r="AB1545" s="55">
        <f>VLOOKUP(C1545,'Preguntas de negocio'!$C$121:$D$127,2,FALSE)</f>
        <v>0.35</v>
      </c>
    </row>
    <row r="1546" spans="1:28" x14ac:dyDescent="0.3">
      <c r="A1546" s="1">
        <v>46022</v>
      </c>
      <c r="B1546" s="2" t="s">
        <v>2635</v>
      </c>
      <c r="C1546" s="2" t="s">
        <v>2541</v>
      </c>
      <c r="D1546" s="2" t="s">
        <v>2528</v>
      </c>
      <c r="E1546" s="2" t="s">
        <v>2529</v>
      </c>
      <c r="F1546" s="3">
        <v>45858</v>
      </c>
      <c r="G1546" s="3">
        <v>2950</v>
      </c>
      <c r="H1546" s="3">
        <v>391</v>
      </c>
      <c r="I1546" s="4">
        <v>3752.98</v>
      </c>
      <c r="J1546" s="4">
        <v>55230.080000000002</v>
      </c>
      <c r="K1546" s="3">
        <v>241</v>
      </c>
      <c r="L1546" s="2" t="s">
        <v>2523</v>
      </c>
      <c r="M1546" s="2" t="s">
        <v>2546</v>
      </c>
      <c r="N1546" s="8">
        <f>IFERROR(G1546/F1546,0)</f>
        <v>6.4329015657028213E-2</v>
      </c>
      <c r="O1546" s="8">
        <f>IFERROR(H1546/G1546,0)</f>
        <v>0.13254237288135592</v>
      </c>
      <c r="P1546" s="4">
        <f>IFERROR(I1546/G1546,0)</f>
        <v>1.2721966101694915</v>
      </c>
      <c r="Q1546" s="4">
        <f>IFERROR(I1546/H1546,0)</f>
        <v>9.5984143222506386</v>
      </c>
      <c r="R1546" s="12">
        <f>IFERROR(J1546/I1546,0)</f>
        <v>14.716326759002181</v>
      </c>
      <c r="S1546" s="7">
        <f>Tabla_nuevas_columnas[[#This Row],[ROAS]]</f>
        <v>14.716326759002181</v>
      </c>
      <c r="T1546" t="str">
        <f>_xlfn.CONCAT(C1546,"-",D1546)</f>
        <v>Display-España</v>
      </c>
      <c r="U1546">
        <f>YEAR(A1546)</f>
        <v>2025</v>
      </c>
      <c r="V1546">
        <f>MONTH(A1546)</f>
        <v>12</v>
      </c>
      <c r="W1546" t="str">
        <f>PROPER(TEXT(A1546,"mmmm"))</f>
        <v>Diciembre</v>
      </c>
      <c r="X1546" t="str">
        <f>PROPER(TEXT(A1546,"dddd"))</f>
        <v>Miércoles</v>
      </c>
      <c r="Y1546" t="str" cm="1">
        <f t="array" ref="Y1546">_xlfn.IFS(R1546&gt;10,"Excelente",R1546&gt;=5,"Bueno",R1546&gt;=2,"Débil",R1546&lt;2,"Deficiente")</f>
        <v>Excelente</v>
      </c>
      <c r="Z1546" t="str">
        <f>IF(AND(R1546&lt;2,Q1546&gt;=100),"Revisar","OK")</f>
        <v>OK</v>
      </c>
      <c r="AA1546" s="55">
        <f>_xlfn.XLOOKUP(C1546,'Preguntas de negocio'!$C$114:$C$119,'Preguntas de negocio'!$D$114:$D$119,0)</f>
        <v>5</v>
      </c>
      <c r="AB1546" s="55">
        <f>VLOOKUP(C1546,'Preguntas de negocio'!$C$121:$D$127,2,FALSE)</f>
        <v>0.5</v>
      </c>
    </row>
    <row r="1547" spans="1:28" x14ac:dyDescent="0.3">
      <c r="A1547" s="1">
        <v>45810</v>
      </c>
      <c r="B1547" s="2" t="s">
        <v>2641</v>
      </c>
      <c r="C1547" s="2" t="s">
        <v>2533</v>
      </c>
      <c r="D1547" s="2" t="s">
        <v>2528</v>
      </c>
      <c r="E1547" s="2" t="s">
        <v>2517</v>
      </c>
      <c r="F1547" s="3">
        <v>11350</v>
      </c>
      <c r="G1547" s="3">
        <v>603</v>
      </c>
      <c r="H1547" s="3">
        <v>10</v>
      </c>
      <c r="I1547" s="4">
        <v>237.73</v>
      </c>
      <c r="J1547" s="4">
        <v>954.66</v>
      </c>
      <c r="K1547" s="3">
        <v>5</v>
      </c>
      <c r="L1547" s="2" t="s">
        <v>2523</v>
      </c>
      <c r="M1547" s="2" t="s">
        <v>2519</v>
      </c>
      <c r="N1547" s="8">
        <f>IFERROR(G1547/F1547,0)</f>
        <v>5.3127753303964756E-2</v>
      </c>
      <c r="O1547" s="8">
        <f>IFERROR(H1547/G1547,0)</f>
        <v>1.658374792703151E-2</v>
      </c>
      <c r="P1547" s="4">
        <f>IFERROR(I1547/G1547,0)</f>
        <v>0.39424543946932006</v>
      </c>
      <c r="Q1547" s="4">
        <f>IFERROR(I1547/H1547,0)</f>
        <v>23.773</v>
      </c>
      <c r="R1547" s="12">
        <f>IFERROR(J1547/I1547,0)</f>
        <v>4.0157321330921638</v>
      </c>
      <c r="S1547" s="7">
        <f>Tabla_nuevas_columnas[[#This Row],[ROAS]]</f>
        <v>4.0157321330921638</v>
      </c>
      <c r="T1547" t="str">
        <f>_xlfn.CONCAT(C1547,"-",D1547)</f>
        <v>Paid Social-España</v>
      </c>
      <c r="U1547">
        <f>YEAR(A1547)</f>
        <v>2025</v>
      </c>
      <c r="V1547">
        <f>MONTH(A1547)</f>
        <v>6</v>
      </c>
      <c r="W1547" t="str">
        <f>PROPER(TEXT(A1547,"mmmm"))</f>
        <v>Junio</v>
      </c>
      <c r="X1547" t="str">
        <f>PROPER(TEXT(A1547,"dddd"))</f>
        <v>Lunes</v>
      </c>
      <c r="Y1547" t="str" cm="1">
        <f t="array" ref="Y1547">_xlfn.IFS(R1547&gt;10,"Excelente",R1547&gt;=5,"Bueno",R1547&gt;=2,"Débil",R1547&lt;2,"Deficiente")</f>
        <v>Débil</v>
      </c>
      <c r="Z1547" t="str">
        <f>IF(AND(R1547&lt;2,Q1547&gt;=100),"Revisar","OK")</f>
        <v>OK</v>
      </c>
      <c r="AA1547" s="55">
        <f>_xlfn.XLOOKUP(C1547,'Preguntas de negocio'!$C$114:$C$119,'Preguntas de negocio'!$D$114:$D$119,0)</f>
        <v>6</v>
      </c>
      <c r="AB1547" s="55">
        <f>VLOOKUP(C1547,'Preguntas de negocio'!$C$121:$D$127,2,FALSE)</f>
        <v>0.8</v>
      </c>
    </row>
    <row r="1548" spans="1:28" x14ac:dyDescent="0.3">
      <c r="A1548" s="1">
        <v>45867</v>
      </c>
      <c r="B1548" s="2" t="s">
        <v>2618</v>
      </c>
      <c r="C1548" s="2" t="s">
        <v>2521</v>
      </c>
      <c r="D1548" s="2" t="s">
        <v>2528</v>
      </c>
      <c r="E1548" s="2" t="s">
        <v>2517</v>
      </c>
      <c r="F1548" s="3">
        <v>74680</v>
      </c>
      <c r="G1548" s="3">
        <v>3150</v>
      </c>
      <c r="H1548" s="3">
        <v>59</v>
      </c>
      <c r="I1548" s="4">
        <v>565.36</v>
      </c>
      <c r="J1548" s="4">
        <v>2981.63</v>
      </c>
      <c r="K1548" s="3">
        <v>41</v>
      </c>
      <c r="L1548" s="2" t="s">
        <v>2523</v>
      </c>
      <c r="M1548" s="2" t="s">
        <v>2524</v>
      </c>
      <c r="N1548" s="8">
        <f>IFERROR(G1548/F1548,0)</f>
        <v>4.2179967862881626E-2</v>
      </c>
      <c r="O1548" s="8">
        <f>IFERROR(H1548/G1548,0)</f>
        <v>1.8730158730158729E-2</v>
      </c>
      <c r="P1548" s="4">
        <f>IFERROR(I1548/G1548,0)</f>
        <v>0.17947936507936507</v>
      </c>
      <c r="Q1548" s="4">
        <f>IFERROR(I1548/H1548,0)</f>
        <v>9.5823728813559317</v>
      </c>
      <c r="R1548" s="12">
        <f>IFERROR(J1548/I1548,0)</f>
        <v>5.2738609027876047</v>
      </c>
      <c r="S1548" s="7">
        <f>Tabla_nuevas_columnas[[#This Row],[ROAS]]</f>
        <v>5.2738609027876047</v>
      </c>
      <c r="T1548" t="str">
        <f>_xlfn.CONCAT(C1548,"-",D1548)</f>
        <v>Paid Search-España</v>
      </c>
      <c r="U1548">
        <f>YEAR(A1548)</f>
        <v>2025</v>
      </c>
      <c r="V1548">
        <f>MONTH(A1548)</f>
        <v>7</v>
      </c>
      <c r="W1548" t="str">
        <f>PROPER(TEXT(A1548,"mmmm"))</f>
        <v>Julio</v>
      </c>
      <c r="X1548" t="str">
        <f>PROPER(TEXT(A1548,"dddd"))</f>
        <v>Martes</v>
      </c>
      <c r="Y1548" t="str" cm="1">
        <f t="array" ref="Y1548">_xlfn.IFS(R1548&gt;10,"Excelente",R1548&gt;=5,"Bueno",R1548&gt;=2,"Débil",R1548&lt;2,"Deficiente")</f>
        <v>Bueno</v>
      </c>
      <c r="Z1548" t="str">
        <f>IF(AND(R1548&lt;2,Q1548&gt;=100),"Revisar","OK")</f>
        <v>OK</v>
      </c>
      <c r="AA1548" s="55">
        <f>_xlfn.XLOOKUP(C1548,'Preguntas de negocio'!$C$114:$C$119,'Preguntas de negocio'!$D$114:$D$119,0)</f>
        <v>5</v>
      </c>
      <c r="AB1548" s="55">
        <f>VLOOKUP(C1548,'Preguntas de negocio'!$C$121:$D$127,2,FALSE)</f>
        <v>1.1000000000000001</v>
      </c>
    </row>
    <row r="1549" spans="1:28" x14ac:dyDescent="0.3">
      <c r="A1549" s="1">
        <v>46020</v>
      </c>
      <c r="B1549" s="2" t="s">
        <v>2620</v>
      </c>
      <c r="C1549" s="2" t="s">
        <v>2533</v>
      </c>
      <c r="D1549" s="2" t="s">
        <v>2528</v>
      </c>
      <c r="E1549" s="2" t="s">
        <v>2529</v>
      </c>
      <c r="F1549" s="3">
        <v>91013</v>
      </c>
      <c r="G1549" s="3">
        <v>3403</v>
      </c>
      <c r="H1549" s="3">
        <v>211</v>
      </c>
      <c r="I1549" s="4">
        <v>2061.77</v>
      </c>
      <c r="J1549" s="4">
        <v>38741.919999999998</v>
      </c>
      <c r="K1549" s="3">
        <v>126</v>
      </c>
      <c r="L1549" s="2" t="s">
        <v>2539</v>
      </c>
      <c r="M1549" s="2" t="s">
        <v>2519</v>
      </c>
      <c r="N1549" s="8">
        <f>IFERROR(G1549/F1549,0)</f>
        <v>3.7390262929471611E-2</v>
      </c>
      <c r="O1549" s="8">
        <f>IFERROR(H1549/G1549,0)</f>
        <v>6.2004114017043782E-2</v>
      </c>
      <c r="P1549" s="4">
        <f>IFERROR(I1549/G1549,0)</f>
        <v>0.60586835145459883</v>
      </c>
      <c r="Q1549" s="4">
        <f>IFERROR(I1549/H1549,0)</f>
        <v>9.7714218009478664</v>
      </c>
      <c r="R1549" s="12">
        <f>IFERROR(J1549/I1549,0)</f>
        <v>18.790611949926518</v>
      </c>
      <c r="S1549" s="7">
        <f>Tabla_nuevas_columnas[[#This Row],[ROAS]]</f>
        <v>18.790611949926518</v>
      </c>
      <c r="T1549" t="str">
        <f>_xlfn.CONCAT(C1549,"-",D1549)</f>
        <v>Paid Social-España</v>
      </c>
      <c r="U1549">
        <f>YEAR(A1549)</f>
        <v>2025</v>
      </c>
      <c r="V1549">
        <f>MONTH(A1549)</f>
        <v>12</v>
      </c>
      <c r="W1549" t="str">
        <f>PROPER(TEXT(A1549,"mmmm"))</f>
        <v>Diciembre</v>
      </c>
      <c r="X1549" t="str">
        <f>PROPER(TEXT(A1549,"dddd"))</f>
        <v>Lunes</v>
      </c>
      <c r="Y1549" t="str" cm="1">
        <f t="array" ref="Y1549">_xlfn.IFS(R1549&gt;10,"Excelente",R1549&gt;=5,"Bueno",R1549&gt;=2,"Débil",R1549&lt;2,"Deficiente")</f>
        <v>Excelente</v>
      </c>
      <c r="Z1549" t="str">
        <f>IF(AND(R1549&lt;2,Q1549&gt;=100),"Revisar","OK")</f>
        <v>OK</v>
      </c>
      <c r="AA1549" s="55">
        <f>_xlfn.XLOOKUP(C1549,'Preguntas de negocio'!$C$114:$C$119,'Preguntas de negocio'!$D$114:$D$119,0)</f>
        <v>6</v>
      </c>
      <c r="AB1549" s="55">
        <f>VLOOKUP(C1549,'Preguntas de negocio'!$C$121:$D$127,2,FALSE)</f>
        <v>0.8</v>
      </c>
    </row>
    <row r="1550" spans="1:28" x14ac:dyDescent="0.3">
      <c r="A1550" s="1">
        <v>45706</v>
      </c>
      <c r="B1550" s="2" t="s">
        <v>2625</v>
      </c>
      <c r="C1550" s="2" t="s">
        <v>2543</v>
      </c>
      <c r="D1550" s="2" t="s">
        <v>2528</v>
      </c>
      <c r="E1550" s="2" t="s">
        <v>2517</v>
      </c>
      <c r="F1550" s="3">
        <v>176740</v>
      </c>
      <c r="G1550" s="3">
        <v>10149</v>
      </c>
      <c r="H1550" s="3">
        <v>1252</v>
      </c>
      <c r="I1550" s="4">
        <v>21305.42</v>
      </c>
      <c r="J1550" s="4">
        <v>122622.73</v>
      </c>
      <c r="K1550" s="3">
        <v>716</v>
      </c>
      <c r="L1550" s="2" t="s">
        <v>2539</v>
      </c>
      <c r="M1550" s="2" t="s">
        <v>2546</v>
      </c>
      <c r="N1550" s="8">
        <f>IFERROR(G1550/F1550,0)</f>
        <v>5.7423333710535249E-2</v>
      </c>
      <c r="O1550" s="8">
        <f>IFERROR(H1550/G1550,0)</f>
        <v>0.12336190757710119</v>
      </c>
      <c r="P1550" s="4">
        <f>IFERROR(I1550/G1550,0)</f>
        <v>2.0992629815745394</v>
      </c>
      <c r="Q1550" s="4">
        <f>IFERROR(I1550/H1550,0)</f>
        <v>17.01710862619808</v>
      </c>
      <c r="R1550" s="12">
        <f>IFERROR(J1550/I1550,0)</f>
        <v>5.7554711430237004</v>
      </c>
      <c r="S1550" s="7">
        <f>Tabla_nuevas_columnas[[#This Row],[ROAS]]</f>
        <v>5.7554711430237004</v>
      </c>
      <c r="T1550" t="str">
        <f>_xlfn.CONCAT(C1550,"-",D1550)</f>
        <v>Organic Social-España</v>
      </c>
      <c r="U1550">
        <f>YEAR(A1550)</f>
        <v>2025</v>
      </c>
      <c r="V1550">
        <f>MONTH(A1550)</f>
        <v>2</v>
      </c>
      <c r="W1550" t="str">
        <f>PROPER(TEXT(A1550,"mmmm"))</f>
        <v>Febrero</v>
      </c>
      <c r="X1550" t="str">
        <f>PROPER(TEXT(A1550,"dddd"))</f>
        <v>Martes</v>
      </c>
      <c r="Y1550" t="str" cm="1">
        <f t="array" ref="Y1550">_xlfn.IFS(R1550&gt;10,"Excelente",R1550&gt;=5,"Bueno",R1550&gt;=2,"Débil",R1550&lt;2,"Deficiente")</f>
        <v>Bueno</v>
      </c>
      <c r="Z1550" t="str">
        <f>IF(AND(R1550&lt;2,Q1550&gt;=100),"Revisar","OK")</f>
        <v>OK</v>
      </c>
      <c r="AA1550" s="55">
        <f>_xlfn.XLOOKUP(C1550,'Preguntas de negocio'!$C$114:$C$119,'Preguntas de negocio'!$D$114:$D$119,0)</f>
        <v>4</v>
      </c>
      <c r="AB1550" s="55">
        <f>VLOOKUP(C1550,'Preguntas de negocio'!$C$121:$D$127,2,FALSE)</f>
        <v>0.95</v>
      </c>
    </row>
    <row r="1551" spans="1:28" x14ac:dyDescent="0.3">
      <c r="A1551" s="1">
        <v>45906</v>
      </c>
      <c r="B1551" s="2" t="s">
        <v>2623</v>
      </c>
      <c r="C1551" s="2" t="s">
        <v>2533</v>
      </c>
      <c r="D1551" s="2" t="s">
        <v>2525</v>
      </c>
      <c r="E1551" s="2" t="s">
        <v>2517</v>
      </c>
      <c r="F1551" s="3">
        <v>110772</v>
      </c>
      <c r="G1551" s="3">
        <v>1358</v>
      </c>
      <c r="H1551" s="3">
        <v>185</v>
      </c>
      <c r="I1551" s="4">
        <v>2142.0700000000002</v>
      </c>
      <c r="J1551" s="4">
        <v>3234.59</v>
      </c>
      <c r="K1551" s="3">
        <v>102</v>
      </c>
      <c r="L1551" s="2" t="s">
        <v>2536</v>
      </c>
      <c r="M1551" s="2" t="s">
        <v>2546</v>
      </c>
      <c r="N1551" s="8">
        <f>IFERROR(G1551/F1551,0)</f>
        <v>1.2259415736828802E-2</v>
      </c>
      <c r="O1551" s="8">
        <f>IFERROR(H1551/G1551,0)</f>
        <v>0.13622974963181148</v>
      </c>
      <c r="P1551" s="4">
        <f>IFERROR(I1551/G1551,0)</f>
        <v>1.5773711340206187</v>
      </c>
      <c r="Q1551" s="4">
        <f>IFERROR(I1551/H1551,0)</f>
        <v>11.578756756756757</v>
      </c>
      <c r="R1551" s="12">
        <f>IFERROR(J1551/I1551,0)</f>
        <v>1.5100300176931658</v>
      </c>
      <c r="S1551" s="7">
        <f>Tabla_nuevas_columnas[[#This Row],[ROAS]]</f>
        <v>1.5100300176931658</v>
      </c>
      <c r="T1551" t="str">
        <f>_xlfn.CONCAT(C1551,"-",D1551)</f>
        <v>Paid Social-Francia</v>
      </c>
      <c r="U1551">
        <f>YEAR(A1551)</f>
        <v>2025</v>
      </c>
      <c r="V1551">
        <f>MONTH(A1551)</f>
        <v>9</v>
      </c>
      <c r="W1551" t="str">
        <f>PROPER(TEXT(A1551,"mmmm"))</f>
        <v>Septiembre</v>
      </c>
      <c r="X1551" t="str">
        <f>PROPER(TEXT(A1551,"dddd"))</f>
        <v>Sábado</v>
      </c>
      <c r="Y1551" t="str" cm="1">
        <f t="array" ref="Y1551">_xlfn.IFS(R1551&gt;10,"Excelente",R1551&gt;=5,"Bueno",R1551&gt;=2,"Débil",R1551&lt;2,"Deficiente")</f>
        <v>Deficiente</v>
      </c>
      <c r="Z1551" t="str">
        <f>IF(AND(R1551&lt;2,Q1551&gt;=100),"Revisar","OK")</f>
        <v>OK</v>
      </c>
      <c r="AA1551" s="55">
        <f>_xlfn.XLOOKUP(C1551,'Preguntas de negocio'!$C$114:$C$119,'Preguntas de negocio'!$D$114:$D$119,0)</f>
        <v>6</v>
      </c>
      <c r="AB1551" s="55">
        <f>VLOOKUP(C1551,'Preguntas de negocio'!$C$121:$D$127,2,FALSE)</f>
        <v>0.8</v>
      </c>
    </row>
    <row r="1552" spans="1:28" x14ac:dyDescent="0.3">
      <c r="A1552" s="1">
        <v>45691</v>
      </c>
      <c r="B1552" s="2" t="s">
        <v>2621</v>
      </c>
      <c r="C1552" s="2" t="s">
        <v>2515</v>
      </c>
      <c r="D1552" s="2" t="s">
        <v>2528</v>
      </c>
      <c r="E1552" s="2" t="s">
        <v>2534</v>
      </c>
      <c r="F1552" s="3">
        <v>13726</v>
      </c>
      <c r="G1552" s="3">
        <v>949</v>
      </c>
      <c r="H1552" s="3">
        <v>52</v>
      </c>
      <c r="I1552" s="4">
        <v>1111.44</v>
      </c>
      <c r="J1552" s="4">
        <v>5434.39</v>
      </c>
      <c r="K1552" s="3">
        <v>41</v>
      </c>
      <c r="L1552" s="2" t="s">
        <v>2518</v>
      </c>
      <c r="M1552" s="2" t="s">
        <v>2519</v>
      </c>
      <c r="N1552" s="8">
        <f>IFERROR(G1552/F1552,0)</f>
        <v>6.9138860556607895E-2</v>
      </c>
      <c r="O1552" s="8">
        <f>IFERROR(H1552/G1552,0)</f>
        <v>5.4794520547945202E-2</v>
      </c>
      <c r="P1552" s="4">
        <f>IFERROR(I1552/G1552,0)</f>
        <v>1.1711696522655428</v>
      </c>
      <c r="Q1552" s="4">
        <f>IFERROR(I1552/H1552,0)</f>
        <v>21.373846153846156</v>
      </c>
      <c r="R1552" s="12">
        <f>IFERROR(J1552/I1552,0)</f>
        <v>4.8895037069027572</v>
      </c>
      <c r="S1552" s="7">
        <f>Tabla_nuevas_columnas[[#This Row],[ROAS]]</f>
        <v>4.8895037069027572</v>
      </c>
      <c r="T1552" t="str">
        <f>_xlfn.CONCAT(C1552,"-",D1552)</f>
        <v>Email-España</v>
      </c>
      <c r="U1552">
        <f>YEAR(A1552)</f>
        <v>2025</v>
      </c>
      <c r="V1552">
        <f>MONTH(A1552)</f>
        <v>2</v>
      </c>
      <c r="W1552" t="str">
        <f>PROPER(TEXT(A1552,"mmmm"))</f>
        <v>Febrero</v>
      </c>
      <c r="X1552" t="str">
        <f>PROPER(TEXT(A1552,"dddd"))</f>
        <v>Lunes</v>
      </c>
      <c r="Y1552" t="str" cm="1">
        <f t="array" ref="Y1552">_xlfn.IFS(R1552&gt;10,"Excelente",R1552&gt;=5,"Bueno",R1552&gt;=2,"Débil",R1552&lt;2,"Deficiente")</f>
        <v>Débil</v>
      </c>
      <c r="Z1552" t="str">
        <f>IF(AND(R1552&lt;2,Q1552&gt;=100),"Revisar","OK")</f>
        <v>OK</v>
      </c>
      <c r="AA1552" s="55">
        <f>_xlfn.XLOOKUP(C1552,'Preguntas de negocio'!$C$114:$C$119,'Preguntas de negocio'!$D$114:$D$119,0)</f>
        <v>5.5</v>
      </c>
      <c r="AB1552" s="55">
        <f>VLOOKUP(C1552,'Preguntas de negocio'!$C$121:$D$127,2,FALSE)</f>
        <v>0.65</v>
      </c>
    </row>
    <row r="1553" spans="1:28" x14ac:dyDescent="0.3">
      <c r="A1553" s="1">
        <v>45916</v>
      </c>
      <c r="B1553" s="2" t="s">
        <v>2627</v>
      </c>
      <c r="C1553" s="2" t="s">
        <v>2521</v>
      </c>
      <c r="D1553" s="2" t="s">
        <v>2528</v>
      </c>
      <c r="E1553" s="2" t="s">
        <v>2517</v>
      </c>
      <c r="F1553" s="3">
        <v>157486</v>
      </c>
      <c r="G1553" s="3">
        <v>12942</v>
      </c>
      <c r="H1553" s="3">
        <v>1529</v>
      </c>
      <c r="I1553" s="4">
        <v>10116.94</v>
      </c>
      <c r="J1553" s="4">
        <v>206637.16</v>
      </c>
      <c r="K1553" s="3">
        <v>1091</v>
      </c>
      <c r="L1553" s="2" t="s">
        <v>2539</v>
      </c>
      <c r="M1553" s="2" t="s">
        <v>2526</v>
      </c>
      <c r="N1553" s="8">
        <f>IFERROR(G1553/F1553,0)</f>
        <v>8.2178733347726143E-2</v>
      </c>
      <c r="O1553" s="8">
        <f>IFERROR(H1553/G1553,0)</f>
        <v>0.11814248184206459</v>
      </c>
      <c r="P1553" s="4">
        <f>IFERROR(I1553/G1553,0)</f>
        <v>0.78171380003090718</v>
      </c>
      <c r="Q1553" s="4">
        <f>IFERROR(I1553/H1553,0)</f>
        <v>6.6167037279267502</v>
      </c>
      <c r="R1553" s="12">
        <f>IFERROR(J1553/I1553,0)</f>
        <v>20.424867598305415</v>
      </c>
      <c r="S1553" s="7">
        <f>Tabla_nuevas_columnas[[#This Row],[ROAS]]</f>
        <v>20.424867598305415</v>
      </c>
      <c r="T1553" t="str">
        <f>_xlfn.CONCAT(C1553,"-",D1553)</f>
        <v>Paid Search-España</v>
      </c>
      <c r="U1553">
        <f>YEAR(A1553)</f>
        <v>2025</v>
      </c>
      <c r="V1553">
        <f>MONTH(A1553)</f>
        <v>9</v>
      </c>
      <c r="W1553" t="str">
        <f>PROPER(TEXT(A1553,"mmmm"))</f>
        <v>Septiembre</v>
      </c>
      <c r="X1553" t="str">
        <f>PROPER(TEXT(A1553,"dddd"))</f>
        <v>Martes</v>
      </c>
      <c r="Y1553" t="str" cm="1">
        <f t="array" ref="Y1553">_xlfn.IFS(R1553&gt;10,"Excelente",R1553&gt;=5,"Bueno",R1553&gt;=2,"Débil",R1553&lt;2,"Deficiente")</f>
        <v>Excelente</v>
      </c>
      <c r="Z1553" t="str">
        <f>IF(AND(R1553&lt;2,Q1553&gt;=100),"Revisar","OK")</f>
        <v>OK</v>
      </c>
      <c r="AA1553" s="55">
        <f>_xlfn.XLOOKUP(C1553,'Preguntas de negocio'!$C$114:$C$119,'Preguntas de negocio'!$D$114:$D$119,0)</f>
        <v>5</v>
      </c>
      <c r="AB1553" s="55">
        <f>VLOOKUP(C1553,'Preguntas de negocio'!$C$121:$D$127,2,FALSE)</f>
        <v>1.1000000000000001</v>
      </c>
    </row>
    <row r="1554" spans="1:28" x14ac:dyDescent="0.3">
      <c r="A1554" s="1">
        <v>45963</v>
      </c>
      <c r="B1554" s="2" t="s">
        <v>2619</v>
      </c>
      <c r="C1554" s="2" t="s">
        <v>2515</v>
      </c>
      <c r="D1554" s="2" t="s">
        <v>2525</v>
      </c>
      <c r="E1554" s="2" t="s">
        <v>2529</v>
      </c>
      <c r="F1554" s="3">
        <v>38730</v>
      </c>
      <c r="G1554" s="3">
        <v>1561</v>
      </c>
      <c r="H1554" s="3">
        <v>170</v>
      </c>
      <c r="I1554" s="4">
        <v>2202.38</v>
      </c>
      <c r="J1554" s="4">
        <v>26518.39</v>
      </c>
      <c r="K1554" s="3">
        <v>119</v>
      </c>
      <c r="L1554" s="2" t="s">
        <v>2523</v>
      </c>
      <c r="M1554" s="2" t="s">
        <v>2524</v>
      </c>
      <c r="N1554" s="8">
        <f>IFERROR(G1554/F1554,0)</f>
        <v>4.0304673379808933E-2</v>
      </c>
      <c r="O1554" s="8">
        <f>IFERROR(H1554/G1554,0)</f>
        <v>0.10890454836643178</v>
      </c>
      <c r="P1554" s="4">
        <f>IFERROR(I1554/G1554,0)</f>
        <v>1.4108776425368355</v>
      </c>
      <c r="Q1554" s="4">
        <f>IFERROR(I1554/H1554,0)</f>
        <v>12.955176470588237</v>
      </c>
      <c r="R1554" s="12">
        <f>IFERROR(J1554/I1554,0)</f>
        <v>12.040787693313597</v>
      </c>
      <c r="S1554" s="7">
        <f>Tabla_nuevas_columnas[[#This Row],[ROAS]]</f>
        <v>12.040787693313597</v>
      </c>
      <c r="T1554" t="str">
        <f>_xlfn.CONCAT(C1554,"-",D1554)</f>
        <v>Email-Francia</v>
      </c>
      <c r="U1554">
        <f>YEAR(A1554)</f>
        <v>2025</v>
      </c>
      <c r="V1554">
        <f>MONTH(A1554)</f>
        <v>11</v>
      </c>
      <c r="W1554" t="str">
        <f>PROPER(TEXT(A1554,"mmmm"))</f>
        <v>Noviembre</v>
      </c>
      <c r="X1554" t="str">
        <f>PROPER(TEXT(A1554,"dddd"))</f>
        <v>Domingo</v>
      </c>
      <c r="Y1554" t="str" cm="1">
        <f t="array" ref="Y1554">_xlfn.IFS(R1554&gt;10,"Excelente",R1554&gt;=5,"Bueno",R1554&gt;=2,"Débil",R1554&lt;2,"Deficiente")</f>
        <v>Excelente</v>
      </c>
      <c r="Z1554" t="str">
        <f>IF(AND(R1554&lt;2,Q1554&gt;=100),"Revisar","OK")</f>
        <v>OK</v>
      </c>
      <c r="AA1554" s="55">
        <f>_xlfn.XLOOKUP(C1554,'Preguntas de negocio'!$C$114:$C$119,'Preguntas de negocio'!$D$114:$D$119,0)</f>
        <v>5.5</v>
      </c>
      <c r="AB1554" s="55">
        <f>VLOOKUP(C1554,'Preguntas de negocio'!$C$121:$D$127,2,FALSE)</f>
        <v>0.65</v>
      </c>
    </row>
    <row r="1555" spans="1:28" x14ac:dyDescent="0.3">
      <c r="A1555" s="1">
        <v>45710</v>
      </c>
      <c r="B1555" s="2" t="s">
        <v>2644</v>
      </c>
      <c r="C1555" s="2" t="s">
        <v>2541</v>
      </c>
      <c r="D1555" s="2" t="s">
        <v>2528</v>
      </c>
      <c r="E1555" s="2" t="s">
        <v>2529</v>
      </c>
      <c r="F1555" s="3">
        <v>4752</v>
      </c>
      <c r="G1555" s="3">
        <v>164</v>
      </c>
      <c r="H1555" s="3">
        <v>17</v>
      </c>
      <c r="I1555" s="4">
        <v>177.56</v>
      </c>
      <c r="J1555" s="4">
        <v>1617.48</v>
      </c>
      <c r="K1555" s="3">
        <v>11</v>
      </c>
      <c r="L1555" s="2" t="s">
        <v>2523</v>
      </c>
      <c r="M1555" s="2" t="s">
        <v>2524</v>
      </c>
      <c r="N1555" s="8">
        <f>IFERROR(G1555/F1555,0)</f>
        <v>3.4511784511784514E-2</v>
      </c>
      <c r="O1555" s="8">
        <f>IFERROR(H1555/G1555,0)</f>
        <v>0.10365853658536585</v>
      </c>
      <c r="P1555" s="4">
        <f>IFERROR(I1555/G1555,0)</f>
        <v>1.0826829268292684</v>
      </c>
      <c r="Q1555" s="4">
        <f>IFERROR(I1555/H1555,0)</f>
        <v>10.444705882352942</v>
      </c>
      <c r="R1555" s="12">
        <f>IFERROR(J1555/I1555,0)</f>
        <v>9.1094841180446053</v>
      </c>
      <c r="S1555" s="7">
        <f>Tabla_nuevas_columnas[[#This Row],[ROAS]]</f>
        <v>9.1094841180446053</v>
      </c>
      <c r="T1555" t="str">
        <f>_xlfn.CONCAT(C1555,"-",D1555)</f>
        <v>Display-España</v>
      </c>
      <c r="U1555">
        <f>YEAR(A1555)</f>
        <v>2025</v>
      </c>
      <c r="V1555">
        <f>MONTH(A1555)</f>
        <v>2</v>
      </c>
      <c r="W1555" t="str">
        <f>PROPER(TEXT(A1555,"mmmm"))</f>
        <v>Febrero</v>
      </c>
      <c r="X1555" t="str">
        <f>PROPER(TEXT(A1555,"dddd"))</f>
        <v>Sábado</v>
      </c>
      <c r="Y1555" t="str" cm="1">
        <f t="array" ref="Y1555">_xlfn.IFS(R1555&gt;10,"Excelente",R1555&gt;=5,"Bueno",R1555&gt;=2,"Débil",R1555&lt;2,"Deficiente")</f>
        <v>Bueno</v>
      </c>
      <c r="Z1555" t="str">
        <f>IF(AND(R1555&lt;2,Q1555&gt;=100),"Revisar","OK")</f>
        <v>OK</v>
      </c>
      <c r="AA1555" s="55">
        <f>_xlfn.XLOOKUP(C1555,'Preguntas de negocio'!$C$114:$C$119,'Preguntas de negocio'!$D$114:$D$119,0)</f>
        <v>5</v>
      </c>
      <c r="AB1555" s="55">
        <f>VLOOKUP(C1555,'Preguntas de negocio'!$C$121:$D$127,2,FALSE)</f>
        <v>0.5</v>
      </c>
    </row>
    <row r="1556" spans="1:28" x14ac:dyDescent="0.3">
      <c r="A1556" s="1">
        <v>45766</v>
      </c>
      <c r="B1556" s="2" t="s">
        <v>2643</v>
      </c>
      <c r="C1556" s="2" t="s">
        <v>2541</v>
      </c>
      <c r="D1556" s="2" t="s">
        <v>2525</v>
      </c>
      <c r="E1556" s="2" t="s">
        <v>2517</v>
      </c>
      <c r="F1556" s="3">
        <v>1185</v>
      </c>
      <c r="G1556" s="3">
        <v>88</v>
      </c>
      <c r="H1556" s="3">
        <v>10</v>
      </c>
      <c r="I1556" s="4">
        <v>181.64</v>
      </c>
      <c r="J1556" s="4">
        <v>1223.23</v>
      </c>
      <c r="K1556" s="3">
        <v>5</v>
      </c>
      <c r="L1556" s="2" t="s">
        <v>2539</v>
      </c>
      <c r="M1556" s="2" t="s">
        <v>2519</v>
      </c>
      <c r="N1556" s="8">
        <f>IFERROR(G1556/F1556,0)</f>
        <v>7.4261603375527424E-2</v>
      </c>
      <c r="O1556" s="8">
        <f>IFERROR(H1556/G1556,0)</f>
        <v>0.11363636363636363</v>
      </c>
      <c r="P1556" s="4">
        <f>IFERROR(I1556/G1556,0)</f>
        <v>2.064090909090909</v>
      </c>
      <c r="Q1556" s="4">
        <f>IFERROR(I1556/H1556,0)</f>
        <v>18.163999999999998</v>
      </c>
      <c r="R1556" s="12">
        <f>IFERROR(J1556/I1556,0)</f>
        <v>6.7343646773838364</v>
      </c>
      <c r="S1556" s="7">
        <f>Tabla_nuevas_columnas[[#This Row],[ROAS]]</f>
        <v>6.7343646773838364</v>
      </c>
      <c r="T1556" t="str">
        <f>_xlfn.CONCAT(C1556,"-",D1556)</f>
        <v>Display-Francia</v>
      </c>
      <c r="U1556">
        <f>YEAR(A1556)</f>
        <v>2025</v>
      </c>
      <c r="V1556">
        <f>MONTH(A1556)</f>
        <v>4</v>
      </c>
      <c r="W1556" t="str">
        <f>PROPER(TEXT(A1556,"mmmm"))</f>
        <v>Abril</v>
      </c>
      <c r="X1556" t="str">
        <f>PROPER(TEXT(A1556,"dddd"))</f>
        <v>Sábado</v>
      </c>
      <c r="Y1556" t="str" cm="1">
        <f t="array" ref="Y1556">_xlfn.IFS(R1556&gt;10,"Excelente",R1556&gt;=5,"Bueno",R1556&gt;=2,"Débil",R1556&lt;2,"Deficiente")</f>
        <v>Bueno</v>
      </c>
      <c r="Z1556" t="str">
        <f>IF(AND(R1556&lt;2,Q1556&gt;=100),"Revisar","OK")</f>
        <v>OK</v>
      </c>
      <c r="AA1556" s="55">
        <f>_xlfn.XLOOKUP(C1556,'Preguntas de negocio'!$C$114:$C$119,'Preguntas de negocio'!$D$114:$D$119,0)</f>
        <v>5</v>
      </c>
      <c r="AB1556" s="55">
        <f>VLOOKUP(C1556,'Preguntas de negocio'!$C$121:$D$127,2,FALSE)</f>
        <v>0.5</v>
      </c>
    </row>
    <row r="1557" spans="1:28" x14ac:dyDescent="0.3">
      <c r="A1557" s="1">
        <v>45726</v>
      </c>
      <c r="B1557" s="2" t="s">
        <v>2640</v>
      </c>
      <c r="C1557" s="2" t="s">
        <v>2527</v>
      </c>
      <c r="D1557" s="2" t="s">
        <v>2525</v>
      </c>
      <c r="E1557" s="2" t="s">
        <v>2529</v>
      </c>
      <c r="F1557" s="3">
        <v>82624</v>
      </c>
      <c r="G1557" s="3">
        <v>4522</v>
      </c>
      <c r="H1557" s="3">
        <v>212</v>
      </c>
      <c r="I1557" s="4">
        <v>3235.26</v>
      </c>
      <c r="J1557" s="4">
        <v>15902.27</v>
      </c>
      <c r="K1557" s="3">
        <v>115</v>
      </c>
      <c r="L1557" s="2" t="s">
        <v>2536</v>
      </c>
      <c r="M1557" s="2" t="s">
        <v>2519</v>
      </c>
      <c r="N1557" s="8">
        <f>IFERROR(G1557/F1557,0)</f>
        <v>5.472986057319907E-2</v>
      </c>
      <c r="O1557" s="8">
        <f>IFERROR(H1557/G1557,0)</f>
        <v>4.6881910659000443E-2</v>
      </c>
      <c r="P1557" s="4">
        <f>IFERROR(I1557/G1557,0)</f>
        <v>0.71544891640866881</v>
      </c>
      <c r="Q1557" s="4">
        <f>IFERROR(I1557/H1557,0)</f>
        <v>15.260660377358491</v>
      </c>
      <c r="R1557" s="12">
        <f>IFERROR(J1557/I1557,0)</f>
        <v>4.9152989249704815</v>
      </c>
      <c r="S1557" s="7">
        <f>Tabla_nuevas_columnas[[#This Row],[ROAS]]</f>
        <v>4.9152989249704815</v>
      </c>
      <c r="T1557" t="str">
        <f>_xlfn.CONCAT(C1557,"-",D1557)</f>
        <v>Affiliate-Francia</v>
      </c>
      <c r="U1557">
        <f>YEAR(A1557)</f>
        <v>2025</v>
      </c>
      <c r="V1557">
        <f>MONTH(A1557)</f>
        <v>3</v>
      </c>
      <c r="W1557" t="str">
        <f>PROPER(TEXT(A1557,"mmmm"))</f>
        <v>Marzo</v>
      </c>
      <c r="X1557" t="str">
        <f>PROPER(TEXT(A1557,"dddd"))</f>
        <v>Lunes</v>
      </c>
      <c r="Y1557" t="str" cm="1">
        <f t="array" ref="Y1557">_xlfn.IFS(R1557&gt;10,"Excelente",R1557&gt;=5,"Bueno",R1557&gt;=2,"Débil",R1557&lt;2,"Deficiente")</f>
        <v>Débil</v>
      </c>
      <c r="Z1557" t="str">
        <f>IF(AND(R1557&lt;2,Q1557&gt;=100),"Revisar","OK")</f>
        <v>OK</v>
      </c>
      <c r="AA1557" s="55">
        <f>_xlfn.XLOOKUP(C1557,'Preguntas de negocio'!$C$114:$C$119,'Preguntas de negocio'!$D$114:$D$119,0)</f>
        <v>4.5</v>
      </c>
      <c r="AB1557" s="55">
        <f>VLOOKUP(C1557,'Preguntas de negocio'!$C$121:$D$127,2,FALSE)</f>
        <v>0.35</v>
      </c>
    </row>
    <row r="1558" spans="1:28" x14ac:dyDescent="0.3">
      <c r="A1558" s="1">
        <v>46002</v>
      </c>
      <c r="B1558" s="2" t="s">
        <v>2617</v>
      </c>
      <c r="C1558" s="2" t="s">
        <v>2527</v>
      </c>
      <c r="D1558" s="2" t="s">
        <v>2528</v>
      </c>
      <c r="E1558" s="2" t="s">
        <v>2529</v>
      </c>
      <c r="F1558" s="3">
        <v>129286</v>
      </c>
      <c r="G1558" s="3">
        <v>9189</v>
      </c>
      <c r="H1558" s="3">
        <v>625</v>
      </c>
      <c r="I1558" s="4">
        <v>17817.09</v>
      </c>
      <c r="J1558" s="4">
        <v>46659.23</v>
      </c>
      <c r="K1558" s="3">
        <v>358</v>
      </c>
      <c r="L1558" s="2" t="s">
        <v>2518</v>
      </c>
      <c r="M1558" s="2" t="s">
        <v>2546</v>
      </c>
      <c r="N1558" s="8">
        <f>IFERROR(G1558/F1558,0)</f>
        <v>7.1074981049765631E-2</v>
      </c>
      <c r="O1558" s="8">
        <f>IFERROR(H1558/G1558,0)</f>
        <v>6.8016106213951461E-2</v>
      </c>
      <c r="P1558" s="4">
        <f>IFERROR(I1558/G1558,0)</f>
        <v>1.938958537381652</v>
      </c>
      <c r="Q1558" s="4">
        <f>IFERROR(I1558/H1558,0)</f>
        <v>28.507344</v>
      </c>
      <c r="R1558" s="12">
        <f>IFERROR(J1558/I1558,0)</f>
        <v>2.6187907228397007</v>
      </c>
      <c r="S1558" s="7">
        <f>Tabla_nuevas_columnas[[#This Row],[ROAS]]</f>
        <v>2.6187907228397007</v>
      </c>
      <c r="T1558" t="str">
        <f>_xlfn.CONCAT(C1558,"-",D1558)</f>
        <v>Affiliate-España</v>
      </c>
      <c r="U1558">
        <f>YEAR(A1558)</f>
        <v>2025</v>
      </c>
      <c r="V1558">
        <f>MONTH(A1558)</f>
        <v>12</v>
      </c>
      <c r="W1558" t="str">
        <f>PROPER(TEXT(A1558,"mmmm"))</f>
        <v>Diciembre</v>
      </c>
      <c r="X1558" t="str">
        <f>PROPER(TEXT(A1558,"dddd"))</f>
        <v>Jueves</v>
      </c>
      <c r="Y1558" t="str" cm="1">
        <f t="array" ref="Y1558">_xlfn.IFS(R1558&gt;10,"Excelente",R1558&gt;=5,"Bueno",R1558&gt;=2,"Débil",R1558&lt;2,"Deficiente")</f>
        <v>Débil</v>
      </c>
      <c r="Z1558" t="str">
        <f>IF(AND(R1558&lt;2,Q1558&gt;=100),"Revisar","OK")</f>
        <v>OK</v>
      </c>
      <c r="AA1558" s="55">
        <f>_xlfn.XLOOKUP(C1558,'Preguntas de negocio'!$C$114:$C$119,'Preguntas de negocio'!$D$114:$D$119,0)</f>
        <v>4.5</v>
      </c>
      <c r="AB1558" s="55">
        <f>VLOOKUP(C1558,'Preguntas de negocio'!$C$121:$D$127,2,FALSE)</f>
        <v>0.35</v>
      </c>
    </row>
    <row r="1559" spans="1:28" x14ac:dyDescent="0.3">
      <c r="A1559" s="1">
        <v>45917</v>
      </c>
      <c r="B1559" s="2" t="s">
        <v>2626</v>
      </c>
      <c r="C1559" s="2" t="s">
        <v>2521</v>
      </c>
      <c r="D1559" s="2" t="s">
        <v>2522</v>
      </c>
      <c r="E1559" s="2" t="s">
        <v>2529</v>
      </c>
      <c r="F1559" s="3">
        <v>167190</v>
      </c>
      <c r="G1559" s="3">
        <v>2077</v>
      </c>
      <c r="H1559" s="3">
        <v>61</v>
      </c>
      <c r="I1559" s="4">
        <v>3229.3</v>
      </c>
      <c r="J1559" s="4">
        <v>2247.06</v>
      </c>
      <c r="K1559" s="3">
        <v>30</v>
      </c>
      <c r="L1559" s="2" t="s">
        <v>2518</v>
      </c>
      <c r="M1559" s="2" t="s">
        <v>2546</v>
      </c>
      <c r="N1559" s="8">
        <f>IFERROR(G1559/F1559,0)</f>
        <v>1.2422991805730008E-2</v>
      </c>
      <c r="O1559" s="8">
        <f>IFERROR(H1559/G1559,0)</f>
        <v>2.9369282619162253E-2</v>
      </c>
      <c r="P1559" s="4">
        <f>IFERROR(I1559/G1559,0)</f>
        <v>1.5547905633124699</v>
      </c>
      <c r="Q1559" s="4">
        <f>IFERROR(I1559/H1559,0)</f>
        <v>52.939344262295087</v>
      </c>
      <c r="R1559" s="12">
        <f>IFERROR(J1559/I1559,0)</f>
        <v>0.69583501068342979</v>
      </c>
      <c r="S1559" s="7">
        <f>Tabla_nuevas_columnas[[#This Row],[ROAS]]</f>
        <v>0.69583501068342979</v>
      </c>
      <c r="T1559" t="str">
        <f>_xlfn.CONCAT(C1559,"-",D1559)</f>
        <v>Paid Search-Italia</v>
      </c>
      <c r="U1559">
        <f>YEAR(A1559)</f>
        <v>2025</v>
      </c>
      <c r="V1559">
        <f>MONTH(A1559)</f>
        <v>9</v>
      </c>
      <c r="W1559" t="str">
        <f>PROPER(TEXT(A1559,"mmmm"))</f>
        <v>Septiembre</v>
      </c>
      <c r="X1559" t="str">
        <f>PROPER(TEXT(A1559,"dddd"))</f>
        <v>Miércoles</v>
      </c>
      <c r="Y1559" t="str" cm="1">
        <f t="array" ref="Y1559">_xlfn.IFS(R1559&gt;10,"Excelente",R1559&gt;=5,"Bueno",R1559&gt;=2,"Débil",R1559&lt;2,"Deficiente")</f>
        <v>Deficiente</v>
      </c>
      <c r="Z1559" t="str">
        <f>IF(AND(R1559&lt;2,Q1559&gt;=100),"Revisar","OK")</f>
        <v>OK</v>
      </c>
      <c r="AA1559" s="55">
        <f>_xlfn.XLOOKUP(C1559,'Preguntas de negocio'!$C$114:$C$119,'Preguntas de negocio'!$D$114:$D$119,0)</f>
        <v>5</v>
      </c>
      <c r="AB1559" s="55">
        <f>VLOOKUP(C1559,'Preguntas de negocio'!$C$121:$D$127,2,FALSE)</f>
        <v>1.1000000000000001</v>
      </c>
    </row>
    <row r="1560" spans="1:28" x14ac:dyDescent="0.3">
      <c r="A1560" s="1">
        <v>45891</v>
      </c>
      <c r="B1560" s="2" t="s">
        <v>2636</v>
      </c>
      <c r="C1560" s="2" t="s">
        <v>2521</v>
      </c>
      <c r="D1560" s="2" t="s">
        <v>2528</v>
      </c>
      <c r="E1560" s="2" t="s">
        <v>2534</v>
      </c>
      <c r="F1560" s="3">
        <v>74186</v>
      </c>
      <c r="G1560" s="3">
        <v>4019</v>
      </c>
      <c r="H1560" s="3">
        <v>48</v>
      </c>
      <c r="I1560" s="4">
        <v>2379.06</v>
      </c>
      <c r="J1560" s="4">
        <v>5100.57</v>
      </c>
      <c r="K1560" s="3">
        <v>29</v>
      </c>
      <c r="L1560" s="2" t="s">
        <v>2518</v>
      </c>
      <c r="M1560" s="2" t="s">
        <v>2519</v>
      </c>
      <c r="N1560" s="8">
        <f>IFERROR(G1560/F1560,0)</f>
        <v>5.4174642115763082E-2</v>
      </c>
      <c r="O1560" s="8">
        <f>IFERROR(H1560/G1560,0)</f>
        <v>1.1943269470017417E-2</v>
      </c>
      <c r="P1560" s="4">
        <f>IFERROR(I1560/G1560,0)</f>
        <v>0.5919532221945758</v>
      </c>
      <c r="Q1560" s="4">
        <f>IFERROR(I1560/H1560,0)</f>
        <v>49.563749999999999</v>
      </c>
      <c r="R1560" s="12">
        <f>IFERROR(J1560/I1560,0)</f>
        <v>2.1439434062192628</v>
      </c>
      <c r="S1560" s="7">
        <f>Tabla_nuevas_columnas[[#This Row],[ROAS]]</f>
        <v>2.1439434062192628</v>
      </c>
      <c r="T1560" t="str">
        <f>_xlfn.CONCAT(C1560,"-",D1560)</f>
        <v>Paid Search-España</v>
      </c>
      <c r="U1560">
        <f>YEAR(A1560)</f>
        <v>2025</v>
      </c>
      <c r="V1560">
        <f>MONTH(A1560)</f>
        <v>8</v>
      </c>
      <c r="W1560" t="str">
        <f>PROPER(TEXT(A1560,"mmmm"))</f>
        <v>Agosto</v>
      </c>
      <c r="X1560" t="str">
        <f>PROPER(TEXT(A1560,"dddd"))</f>
        <v>Viernes</v>
      </c>
      <c r="Y1560" t="str" cm="1">
        <f t="array" ref="Y1560">_xlfn.IFS(R1560&gt;10,"Excelente",R1560&gt;=5,"Bueno",R1560&gt;=2,"Débil",R1560&lt;2,"Deficiente")</f>
        <v>Débil</v>
      </c>
      <c r="Z1560" t="str">
        <f>IF(AND(R1560&lt;2,Q1560&gt;=100),"Revisar","OK")</f>
        <v>OK</v>
      </c>
      <c r="AA1560" s="55">
        <f>_xlfn.XLOOKUP(C1560,'Preguntas de negocio'!$C$114:$C$119,'Preguntas de negocio'!$D$114:$D$119,0)</f>
        <v>5</v>
      </c>
      <c r="AB1560" s="55">
        <f>VLOOKUP(C1560,'Preguntas de negocio'!$C$121:$D$127,2,FALSE)</f>
        <v>1.1000000000000001</v>
      </c>
    </row>
    <row r="1561" spans="1:28" x14ac:dyDescent="0.3">
      <c r="A1561" s="1">
        <v>45776</v>
      </c>
      <c r="B1561" s="2" t="s">
        <v>2624</v>
      </c>
      <c r="C1561" s="2" t="s">
        <v>2515</v>
      </c>
      <c r="D1561" s="2" t="s">
        <v>2528</v>
      </c>
      <c r="E1561" s="2" t="s">
        <v>2529</v>
      </c>
      <c r="F1561" s="3">
        <v>49392</v>
      </c>
      <c r="G1561" s="3">
        <v>2731</v>
      </c>
      <c r="H1561" s="3">
        <v>36</v>
      </c>
      <c r="I1561" s="4">
        <v>980.5</v>
      </c>
      <c r="J1561" s="4">
        <v>4555.1000000000004</v>
      </c>
      <c r="K1561" s="3">
        <v>21</v>
      </c>
      <c r="L1561" s="2" t="s">
        <v>2523</v>
      </c>
      <c r="M1561" s="2" t="s">
        <v>2537</v>
      </c>
      <c r="N1561" s="8">
        <f>IFERROR(G1561/F1561,0)</f>
        <v>5.5292355037252994E-2</v>
      </c>
      <c r="O1561" s="8">
        <f>IFERROR(H1561/G1561,0)</f>
        <v>1.3181984621017943E-2</v>
      </c>
      <c r="P1561" s="4">
        <f>IFERROR(I1561/G1561,0)</f>
        <v>0.35902599780300254</v>
      </c>
      <c r="Q1561" s="4">
        <f>IFERROR(I1561/H1561,0)</f>
        <v>27.236111111111111</v>
      </c>
      <c r="R1561" s="12">
        <f>IFERROR(J1561/I1561,0)</f>
        <v>4.6456909739928616</v>
      </c>
      <c r="S1561" s="7">
        <f>Tabla_nuevas_columnas[[#This Row],[ROAS]]</f>
        <v>4.6456909739928616</v>
      </c>
      <c r="T1561" t="str">
        <f>_xlfn.CONCAT(C1561,"-",D1561)</f>
        <v>Email-España</v>
      </c>
      <c r="U1561">
        <f>YEAR(A1561)</f>
        <v>2025</v>
      </c>
      <c r="V1561">
        <f>MONTH(A1561)</f>
        <v>4</v>
      </c>
      <c r="W1561" t="str">
        <f>PROPER(TEXT(A1561,"mmmm"))</f>
        <v>Abril</v>
      </c>
      <c r="X1561" t="str">
        <f>PROPER(TEXT(A1561,"dddd"))</f>
        <v>Martes</v>
      </c>
      <c r="Y1561" t="str" cm="1">
        <f t="array" ref="Y1561">_xlfn.IFS(R1561&gt;10,"Excelente",R1561&gt;=5,"Bueno",R1561&gt;=2,"Débil",R1561&lt;2,"Deficiente")</f>
        <v>Débil</v>
      </c>
      <c r="Z1561" t="str">
        <f>IF(AND(R1561&lt;2,Q1561&gt;=100),"Revisar","OK")</f>
        <v>OK</v>
      </c>
      <c r="AA1561" s="55">
        <f>_xlfn.XLOOKUP(C1561,'Preguntas de negocio'!$C$114:$C$119,'Preguntas de negocio'!$D$114:$D$119,0)</f>
        <v>5.5</v>
      </c>
      <c r="AB1561" s="55">
        <f>VLOOKUP(C1561,'Preguntas de negocio'!$C$121:$D$127,2,FALSE)</f>
        <v>0.65</v>
      </c>
    </row>
    <row r="1562" spans="1:28" x14ac:dyDescent="0.3">
      <c r="A1562" s="1">
        <v>45846</v>
      </c>
      <c r="B1562" s="2" t="s">
        <v>2630</v>
      </c>
      <c r="C1562" s="2" t="s">
        <v>2533</v>
      </c>
      <c r="D1562" s="2" t="s">
        <v>2528</v>
      </c>
      <c r="E1562" s="2" t="s">
        <v>2517</v>
      </c>
      <c r="F1562" s="3">
        <v>57283</v>
      </c>
      <c r="G1562" s="3">
        <v>4474</v>
      </c>
      <c r="H1562" s="3">
        <v>396</v>
      </c>
      <c r="I1562" s="4">
        <v>6905.08</v>
      </c>
      <c r="J1562" s="4">
        <v>28974.29</v>
      </c>
      <c r="K1562" s="3">
        <v>206</v>
      </c>
      <c r="L1562" s="2" t="s">
        <v>2539</v>
      </c>
      <c r="M1562" s="2" t="s">
        <v>2519</v>
      </c>
      <c r="N1562" s="8">
        <f>IFERROR(G1562/F1562,0)</f>
        <v>7.810345128572177E-2</v>
      </c>
      <c r="O1562" s="8">
        <f>IFERROR(H1562/G1562,0)</f>
        <v>8.851139919535092E-2</v>
      </c>
      <c r="P1562" s="4">
        <f>IFERROR(I1562/G1562,0)</f>
        <v>1.5433795261510952</v>
      </c>
      <c r="Q1562" s="4">
        <f>IFERROR(I1562/H1562,0)</f>
        <v>17.437070707070706</v>
      </c>
      <c r="R1562" s="12">
        <f>IFERROR(J1562/I1562,0)</f>
        <v>4.1960831735475912</v>
      </c>
      <c r="S1562" s="7">
        <f>Tabla_nuevas_columnas[[#This Row],[ROAS]]</f>
        <v>4.1960831735475912</v>
      </c>
      <c r="T1562" t="str">
        <f>_xlfn.CONCAT(C1562,"-",D1562)</f>
        <v>Paid Social-España</v>
      </c>
      <c r="U1562">
        <f>YEAR(A1562)</f>
        <v>2025</v>
      </c>
      <c r="V1562">
        <f>MONTH(A1562)</f>
        <v>7</v>
      </c>
      <c r="W1562" t="str">
        <f>PROPER(TEXT(A1562,"mmmm"))</f>
        <v>Julio</v>
      </c>
      <c r="X1562" t="str">
        <f>PROPER(TEXT(A1562,"dddd"))</f>
        <v>Martes</v>
      </c>
      <c r="Y1562" t="str" cm="1">
        <f t="array" ref="Y1562">_xlfn.IFS(R1562&gt;10,"Excelente",R1562&gt;=5,"Bueno",R1562&gt;=2,"Débil",R1562&lt;2,"Deficiente")</f>
        <v>Débil</v>
      </c>
      <c r="Z1562" t="str">
        <f>IF(AND(R1562&lt;2,Q1562&gt;=100),"Revisar","OK")</f>
        <v>OK</v>
      </c>
      <c r="AA1562" s="55">
        <f>_xlfn.XLOOKUP(C1562,'Preguntas de negocio'!$C$114:$C$119,'Preguntas de negocio'!$D$114:$D$119,0)</f>
        <v>6</v>
      </c>
      <c r="AB1562" s="55">
        <f>VLOOKUP(C1562,'Preguntas de negocio'!$C$121:$D$127,2,FALSE)</f>
        <v>0.8</v>
      </c>
    </row>
    <row r="1563" spans="1:28" x14ac:dyDescent="0.3">
      <c r="A1563" s="1">
        <v>46002</v>
      </c>
      <c r="B1563" s="2" t="s">
        <v>2629</v>
      </c>
      <c r="C1563" s="2" t="s">
        <v>2533</v>
      </c>
      <c r="D1563" s="2" t="s">
        <v>2525</v>
      </c>
      <c r="E1563" s="2" t="s">
        <v>2517</v>
      </c>
      <c r="F1563" s="3">
        <v>104330</v>
      </c>
      <c r="G1563" s="3">
        <v>9220</v>
      </c>
      <c r="H1563" s="3">
        <v>979</v>
      </c>
      <c r="I1563" s="4">
        <v>10409.629999999999</v>
      </c>
      <c r="J1563" s="4">
        <v>41594.449999999997</v>
      </c>
      <c r="K1563" s="3">
        <v>472</v>
      </c>
      <c r="L1563" s="2" t="s">
        <v>2539</v>
      </c>
      <c r="M1563" s="2" t="s">
        <v>2546</v>
      </c>
      <c r="N1563" s="8">
        <f>IFERROR(G1563/F1563,0)</f>
        <v>8.83734304610371E-2</v>
      </c>
      <c r="O1563" s="8">
        <f>IFERROR(H1563/G1563,0)</f>
        <v>0.1061822125813449</v>
      </c>
      <c r="P1563" s="4">
        <f>IFERROR(I1563/G1563,0)</f>
        <v>1.129027114967462</v>
      </c>
      <c r="Q1563" s="4">
        <f>IFERROR(I1563/H1563,0)</f>
        <v>10.632921348314605</v>
      </c>
      <c r="R1563" s="12">
        <f>IFERROR(J1563/I1563,0)</f>
        <v>3.9957664201321275</v>
      </c>
      <c r="S1563" s="7">
        <f>Tabla_nuevas_columnas[[#This Row],[ROAS]]</f>
        <v>3.9957664201321275</v>
      </c>
      <c r="T1563" t="str">
        <f>_xlfn.CONCAT(C1563,"-",D1563)</f>
        <v>Paid Social-Francia</v>
      </c>
      <c r="U1563">
        <f>YEAR(A1563)</f>
        <v>2025</v>
      </c>
      <c r="V1563">
        <f>MONTH(A1563)</f>
        <v>12</v>
      </c>
      <c r="W1563" t="str">
        <f>PROPER(TEXT(A1563,"mmmm"))</f>
        <v>Diciembre</v>
      </c>
      <c r="X1563" t="str">
        <f>PROPER(TEXT(A1563,"dddd"))</f>
        <v>Jueves</v>
      </c>
      <c r="Y1563" t="str" cm="1">
        <f t="array" ref="Y1563">_xlfn.IFS(R1563&gt;10,"Excelente",R1563&gt;=5,"Bueno",R1563&gt;=2,"Débil",R1563&lt;2,"Deficiente")</f>
        <v>Débil</v>
      </c>
      <c r="Z1563" t="str">
        <f>IF(AND(R1563&lt;2,Q1563&gt;=100),"Revisar","OK")</f>
        <v>OK</v>
      </c>
      <c r="AA1563" s="55">
        <f>_xlfn.XLOOKUP(C1563,'Preguntas de negocio'!$C$114:$C$119,'Preguntas de negocio'!$D$114:$D$119,0)</f>
        <v>6</v>
      </c>
      <c r="AB1563" s="55">
        <f>VLOOKUP(C1563,'Preguntas de negocio'!$C$121:$D$127,2,FALSE)</f>
        <v>0.8</v>
      </c>
    </row>
    <row r="1564" spans="1:28" x14ac:dyDescent="0.3">
      <c r="A1564" s="1">
        <v>45681</v>
      </c>
      <c r="B1564" s="2" t="s">
        <v>2640</v>
      </c>
      <c r="C1564" s="2" t="s">
        <v>2543</v>
      </c>
      <c r="D1564" s="2" t="s">
        <v>2531</v>
      </c>
      <c r="E1564" s="2" t="s">
        <v>2517</v>
      </c>
      <c r="F1564" s="3">
        <v>84643</v>
      </c>
      <c r="G1564" s="3">
        <v>5051</v>
      </c>
      <c r="H1564" s="3">
        <v>554</v>
      </c>
      <c r="I1564" s="4">
        <v>4726.66</v>
      </c>
      <c r="J1564" s="4">
        <v>110230.7</v>
      </c>
      <c r="K1564" s="3">
        <v>321</v>
      </c>
      <c r="L1564" s="2" t="s">
        <v>2539</v>
      </c>
      <c r="M1564" s="2" t="s">
        <v>2546</v>
      </c>
      <c r="N1564" s="8">
        <f>IFERROR(G1564/F1564,0)</f>
        <v>5.9674160887492174E-2</v>
      </c>
      <c r="O1564" s="8">
        <f>IFERROR(H1564/G1564,0)</f>
        <v>0.10968125123737874</v>
      </c>
      <c r="P1564" s="4">
        <f>IFERROR(I1564/G1564,0)</f>
        <v>0.93578697287665802</v>
      </c>
      <c r="Q1564" s="4">
        <f>IFERROR(I1564/H1564,0)</f>
        <v>8.5318772563176886</v>
      </c>
      <c r="R1564" s="12">
        <f>IFERROR(J1564/I1564,0)</f>
        <v>23.32105545988076</v>
      </c>
      <c r="S1564" s="7">
        <f>Tabla_nuevas_columnas[[#This Row],[ROAS]]</f>
        <v>23.32105545988076</v>
      </c>
      <c r="T1564" t="str">
        <f>_xlfn.CONCAT(C1564,"-",D1564)</f>
        <v>Organic Social-Portugal</v>
      </c>
      <c r="U1564">
        <f>YEAR(A1564)</f>
        <v>2025</v>
      </c>
      <c r="V1564">
        <f>MONTH(A1564)</f>
        <v>1</v>
      </c>
      <c r="W1564" t="str">
        <f>PROPER(TEXT(A1564,"mmmm"))</f>
        <v>Enero</v>
      </c>
      <c r="X1564" t="str">
        <f>PROPER(TEXT(A1564,"dddd"))</f>
        <v>Viernes</v>
      </c>
      <c r="Y1564" t="str" cm="1">
        <f t="array" ref="Y1564">_xlfn.IFS(R1564&gt;10,"Excelente",R1564&gt;=5,"Bueno",R1564&gt;=2,"Débil",R1564&lt;2,"Deficiente")</f>
        <v>Excelente</v>
      </c>
      <c r="Z1564" t="str">
        <f>IF(AND(R1564&lt;2,Q1564&gt;=100),"Revisar","OK")</f>
        <v>OK</v>
      </c>
      <c r="AA1564" s="55">
        <f>_xlfn.XLOOKUP(C1564,'Preguntas de negocio'!$C$114:$C$119,'Preguntas de negocio'!$D$114:$D$119,0)</f>
        <v>4</v>
      </c>
      <c r="AB1564" s="55">
        <f>VLOOKUP(C1564,'Preguntas de negocio'!$C$121:$D$127,2,FALSE)</f>
        <v>0.95</v>
      </c>
    </row>
    <row r="1565" spans="1:28" x14ac:dyDescent="0.3">
      <c r="A1565" s="1">
        <v>45952</v>
      </c>
      <c r="B1565" s="2" t="s">
        <v>2634</v>
      </c>
      <c r="C1565" s="2" t="s">
        <v>2527</v>
      </c>
      <c r="D1565" s="2" t="s">
        <v>2522</v>
      </c>
      <c r="E1565" s="2" t="s">
        <v>2529</v>
      </c>
      <c r="F1565" s="3">
        <v>178509</v>
      </c>
      <c r="G1565" s="3">
        <v>1179</v>
      </c>
      <c r="H1565" s="3">
        <v>77</v>
      </c>
      <c r="I1565" s="4">
        <v>1091.9100000000001</v>
      </c>
      <c r="J1565" s="4">
        <v>16699.88</v>
      </c>
      <c r="K1565" s="3">
        <v>37</v>
      </c>
      <c r="L1565" s="2" t="s">
        <v>2523</v>
      </c>
      <c r="M1565" s="2" t="s">
        <v>2526</v>
      </c>
      <c r="N1565" s="8">
        <f>IFERROR(G1565/F1565,0)</f>
        <v>6.6047090062685918E-3</v>
      </c>
      <c r="O1565" s="8">
        <f>IFERROR(H1565/G1565,0)</f>
        <v>6.530958439355386E-2</v>
      </c>
      <c r="P1565" s="4">
        <f>IFERROR(I1565/G1565,0)</f>
        <v>0.92613231552162856</v>
      </c>
      <c r="Q1565" s="4">
        <f>IFERROR(I1565/H1565,0)</f>
        <v>14.180649350649352</v>
      </c>
      <c r="R1565" s="12">
        <f>IFERROR(J1565/I1565,0)</f>
        <v>15.2941909131705</v>
      </c>
      <c r="S1565" s="7">
        <f>Tabla_nuevas_columnas[[#This Row],[ROAS]]</f>
        <v>15.2941909131705</v>
      </c>
      <c r="T1565" t="str">
        <f>_xlfn.CONCAT(C1565,"-",D1565)</f>
        <v>Affiliate-Italia</v>
      </c>
      <c r="U1565">
        <f>YEAR(A1565)</f>
        <v>2025</v>
      </c>
      <c r="V1565">
        <f>MONTH(A1565)</f>
        <v>10</v>
      </c>
      <c r="W1565" t="str">
        <f>PROPER(TEXT(A1565,"mmmm"))</f>
        <v>Octubre</v>
      </c>
      <c r="X1565" t="str">
        <f>PROPER(TEXT(A1565,"dddd"))</f>
        <v>Miércoles</v>
      </c>
      <c r="Y1565" t="str" cm="1">
        <f t="array" ref="Y1565">_xlfn.IFS(R1565&gt;10,"Excelente",R1565&gt;=5,"Bueno",R1565&gt;=2,"Débil",R1565&lt;2,"Deficiente")</f>
        <v>Excelente</v>
      </c>
      <c r="Z1565" t="str">
        <f>IF(AND(R1565&lt;2,Q1565&gt;=100),"Revisar","OK")</f>
        <v>OK</v>
      </c>
      <c r="AA1565" s="55">
        <f>_xlfn.XLOOKUP(C1565,'Preguntas de negocio'!$C$114:$C$119,'Preguntas de negocio'!$D$114:$D$119,0)</f>
        <v>4.5</v>
      </c>
      <c r="AB1565" s="55">
        <f>VLOOKUP(C1565,'Preguntas de negocio'!$C$121:$D$127,2,FALSE)</f>
        <v>0.35</v>
      </c>
    </row>
    <row r="1566" spans="1:28" x14ac:dyDescent="0.3">
      <c r="A1566" s="1">
        <v>45893</v>
      </c>
      <c r="B1566" s="2" t="s">
        <v>2633</v>
      </c>
      <c r="C1566" s="2" t="s">
        <v>2515</v>
      </c>
      <c r="D1566" s="2" t="s">
        <v>2528</v>
      </c>
      <c r="E1566" s="2" t="s">
        <v>2517</v>
      </c>
      <c r="F1566" s="3">
        <v>123937</v>
      </c>
      <c r="G1566" s="3">
        <v>1556</v>
      </c>
      <c r="H1566" s="3">
        <v>95</v>
      </c>
      <c r="I1566" s="4">
        <v>2520.98</v>
      </c>
      <c r="J1566" s="4">
        <v>6338.43</v>
      </c>
      <c r="K1566" s="3">
        <v>42</v>
      </c>
      <c r="L1566" s="2" t="s">
        <v>2539</v>
      </c>
      <c r="M1566" s="2" t="s">
        <v>2519</v>
      </c>
      <c r="N1566" s="8">
        <f>IFERROR(G1566/F1566,0)</f>
        <v>1.2554765727748775E-2</v>
      </c>
      <c r="O1566" s="8">
        <f>IFERROR(H1566/G1566,0)</f>
        <v>6.1053984575835475E-2</v>
      </c>
      <c r="P1566" s="4">
        <f>IFERROR(I1566/G1566,0)</f>
        <v>1.6201670951156812</v>
      </c>
      <c r="Q1566" s="4">
        <f>IFERROR(I1566/H1566,0)</f>
        <v>26.536631578947368</v>
      </c>
      <c r="R1566" s="12">
        <f>IFERROR(J1566/I1566,0)</f>
        <v>2.5142722274670963</v>
      </c>
      <c r="S1566" s="7">
        <f>Tabla_nuevas_columnas[[#This Row],[ROAS]]</f>
        <v>2.5142722274670963</v>
      </c>
      <c r="T1566" t="str">
        <f>_xlfn.CONCAT(C1566,"-",D1566)</f>
        <v>Email-España</v>
      </c>
      <c r="U1566">
        <f>YEAR(A1566)</f>
        <v>2025</v>
      </c>
      <c r="V1566">
        <f>MONTH(A1566)</f>
        <v>8</v>
      </c>
      <c r="W1566" t="str">
        <f>PROPER(TEXT(A1566,"mmmm"))</f>
        <v>Agosto</v>
      </c>
      <c r="X1566" t="str">
        <f>PROPER(TEXT(A1566,"dddd"))</f>
        <v>Domingo</v>
      </c>
      <c r="Y1566" t="str" cm="1">
        <f t="array" ref="Y1566">_xlfn.IFS(R1566&gt;10,"Excelente",R1566&gt;=5,"Bueno",R1566&gt;=2,"Débil",R1566&lt;2,"Deficiente")</f>
        <v>Débil</v>
      </c>
      <c r="Z1566" t="str">
        <f>IF(AND(R1566&lt;2,Q1566&gt;=100),"Revisar","OK")</f>
        <v>OK</v>
      </c>
      <c r="AA1566" s="55">
        <f>_xlfn.XLOOKUP(C1566,'Preguntas de negocio'!$C$114:$C$119,'Preguntas de negocio'!$D$114:$D$119,0)</f>
        <v>5.5</v>
      </c>
      <c r="AB1566" s="55">
        <f>VLOOKUP(C1566,'Preguntas de negocio'!$C$121:$D$127,2,FALSE)</f>
        <v>0.65</v>
      </c>
    </row>
    <row r="1567" spans="1:28" x14ac:dyDescent="0.3">
      <c r="A1567" s="1">
        <v>45997</v>
      </c>
      <c r="B1567" s="2" t="s">
        <v>2633</v>
      </c>
      <c r="C1567" s="2" t="s">
        <v>2515</v>
      </c>
      <c r="D1567" s="2" t="s">
        <v>2528</v>
      </c>
      <c r="E1567" s="2" t="s">
        <v>2517</v>
      </c>
      <c r="F1567" s="3">
        <v>21280</v>
      </c>
      <c r="G1567" s="3">
        <v>879</v>
      </c>
      <c r="H1567" s="3">
        <v>97</v>
      </c>
      <c r="I1567" s="4">
        <v>293.60000000000002</v>
      </c>
      <c r="J1567" s="4">
        <v>9794.2999999999993</v>
      </c>
      <c r="K1567" s="3">
        <v>47</v>
      </c>
      <c r="L1567" s="2" t="s">
        <v>2539</v>
      </c>
      <c r="M1567" s="2" t="s">
        <v>2519</v>
      </c>
      <c r="N1567" s="8">
        <f>IFERROR(G1567/F1567,0)</f>
        <v>4.1306390977443611E-2</v>
      </c>
      <c r="O1567" s="8">
        <f>IFERROR(H1567/G1567,0)</f>
        <v>0.11035267349260523</v>
      </c>
      <c r="P1567" s="4">
        <f>IFERROR(I1567/G1567,0)</f>
        <v>0.33401592718998863</v>
      </c>
      <c r="Q1567" s="4">
        <f>IFERROR(I1567/H1567,0)</f>
        <v>3.0268041237113406</v>
      </c>
      <c r="R1567" s="12">
        <f>IFERROR(J1567/I1567,0)</f>
        <v>33.359332425068118</v>
      </c>
      <c r="S1567" s="7">
        <f>Tabla_nuevas_columnas[[#This Row],[ROAS]]</f>
        <v>33.359332425068118</v>
      </c>
      <c r="T1567" t="str">
        <f>_xlfn.CONCAT(C1567,"-",D1567)</f>
        <v>Email-España</v>
      </c>
      <c r="U1567">
        <f>YEAR(A1567)</f>
        <v>2025</v>
      </c>
      <c r="V1567">
        <f>MONTH(A1567)</f>
        <v>12</v>
      </c>
      <c r="W1567" t="str">
        <f>PROPER(TEXT(A1567,"mmmm"))</f>
        <v>Diciembre</v>
      </c>
      <c r="X1567" t="str">
        <f>PROPER(TEXT(A1567,"dddd"))</f>
        <v>Sábado</v>
      </c>
      <c r="Y1567" t="str" cm="1">
        <f t="array" ref="Y1567">_xlfn.IFS(R1567&gt;10,"Excelente",R1567&gt;=5,"Bueno",R1567&gt;=2,"Débil",R1567&lt;2,"Deficiente")</f>
        <v>Excelente</v>
      </c>
      <c r="Z1567" t="str">
        <f>IF(AND(R1567&lt;2,Q1567&gt;=100),"Revisar","OK")</f>
        <v>OK</v>
      </c>
      <c r="AA1567" s="55">
        <f>_xlfn.XLOOKUP(C1567,'Preguntas de negocio'!$C$114:$C$119,'Preguntas de negocio'!$D$114:$D$119,0)</f>
        <v>5.5</v>
      </c>
      <c r="AB1567" s="55">
        <f>VLOOKUP(C1567,'Preguntas de negocio'!$C$121:$D$127,2,FALSE)</f>
        <v>0.65</v>
      </c>
    </row>
    <row r="1568" spans="1:28" x14ac:dyDescent="0.3">
      <c r="A1568" s="1">
        <v>45665</v>
      </c>
      <c r="B1568" s="2" t="s">
        <v>2641</v>
      </c>
      <c r="C1568" s="2" t="s">
        <v>2533</v>
      </c>
      <c r="D1568" s="2" t="s">
        <v>2516</v>
      </c>
      <c r="E1568" s="2" t="s">
        <v>2517</v>
      </c>
      <c r="F1568" s="3">
        <v>139243</v>
      </c>
      <c r="G1568" s="3">
        <v>6012</v>
      </c>
      <c r="H1568" s="3">
        <v>566</v>
      </c>
      <c r="I1568" s="4">
        <v>8344.8799999999992</v>
      </c>
      <c r="J1568" s="4">
        <v>31694.12</v>
      </c>
      <c r="K1568" s="3">
        <v>384</v>
      </c>
      <c r="L1568" s="2" t="s">
        <v>2539</v>
      </c>
      <c r="M1568" s="2" t="s">
        <v>2526</v>
      </c>
      <c r="N1568" s="8">
        <f>IFERROR(G1568/F1568,0)</f>
        <v>4.3176317660492805E-2</v>
      </c>
      <c r="O1568" s="8">
        <f>IFERROR(H1568/G1568,0)</f>
        <v>9.4145043246839658E-2</v>
      </c>
      <c r="P1568" s="4">
        <f>IFERROR(I1568/G1568,0)</f>
        <v>1.3880372588157017</v>
      </c>
      <c r="Q1568" s="4">
        <f>IFERROR(I1568/H1568,0)</f>
        <v>14.743604240282684</v>
      </c>
      <c r="R1568" s="12">
        <f>IFERROR(J1568/I1568,0)</f>
        <v>3.7980318470726964</v>
      </c>
      <c r="S1568" s="7">
        <f>Tabla_nuevas_columnas[[#This Row],[ROAS]]</f>
        <v>3.7980318470726964</v>
      </c>
      <c r="T1568" t="str">
        <f>_xlfn.CONCAT(C1568,"-",D1568)</f>
        <v>Paid Social-México</v>
      </c>
      <c r="U1568">
        <f>YEAR(A1568)</f>
        <v>2025</v>
      </c>
      <c r="V1568">
        <f>MONTH(A1568)</f>
        <v>1</v>
      </c>
      <c r="W1568" t="str">
        <f>PROPER(TEXT(A1568,"mmmm"))</f>
        <v>Enero</v>
      </c>
      <c r="X1568" t="str">
        <f>PROPER(TEXT(A1568,"dddd"))</f>
        <v>Miércoles</v>
      </c>
      <c r="Y1568" t="str" cm="1">
        <f t="array" ref="Y1568">_xlfn.IFS(R1568&gt;10,"Excelente",R1568&gt;=5,"Bueno",R1568&gt;=2,"Débil",R1568&lt;2,"Deficiente")</f>
        <v>Débil</v>
      </c>
      <c r="Z1568" t="str">
        <f>IF(AND(R1568&lt;2,Q1568&gt;=100),"Revisar","OK")</f>
        <v>OK</v>
      </c>
      <c r="AA1568" s="55">
        <f>_xlfn.XLOOKUP(C1568,'Preguntas de negocio'!$C$114:$C$119,'Preguntas de negocio'!$D$114:$D$119,0)</f>
        <v>6</v>
      </c>
      <c r="AB1568" s="55">
        <f>VLOOKUP(C1568,'Preguntas de negocio'!$C$121:$D$127,2,FALSE)</f>
        <v>0.8</v>
      </c>
    </row>
    <row r="1569" spans="1:28" x14ac:dyDescent="0.3">
      <c r="A1569" s="1">
        <v>45911</v>
      </c>
      <c r="B1569" s="2" t="s">
        <v>2625</v>
      </c>
      <c r="C1569" s="2" t="s">
        <v>2543</v>
      </c>
      <c r="D1569" s="2" t="s">
        <v>2525</v>
      </c>
      <c r="E1569" s="2" t="s">
        <v>2517</v>
      </c>
      <c r="F1569" s="3">
        <v>123999</v>
      </c>
      <c r="G1569" s="3">
        <v>9153</v>
      </c>
      <c r="H1569" s="3">
        <v>916</v>
      </c>
      <c r="I1569" s="4">
        <v>1722.21</v>
      </c>
      <c r="J1569" s="4">
        <v>36661.31</v>
      </c>
      <c r="K1569" s="3">
        <v>768</v>
      </c>
      <c r="L1569" s="2" t="s">
        <v>2536</v>
      </c>
      <c r="M1569" s="2" t="s">
        <v>2645</v>
      </c>
      <c r="N1569" s="8">
        <f>IFERROR(G1569/F1569,0)</f>
        <v>7.3815111412188814E-2</v>
      </c>
      <c r="O1569" s="8">
        <f>IFERROR(H1569/G1569,0)</f>
        <v>0.1000764776575986</v>
      </c>
      <c r="P1569" s="4">
        <f>IFERROR(I1569/G1569,0)</f>
        <v>0.18815798098983941</v>
      </c>
      <c r="Q1569" s="4">
        <f>IFERROR(I1569/H1569,0)</f>
        <v>1.88014192139738</v>
      </c>
      <c r="R1569" s="12">
        <f>IFERROR(J1569/I1569,0)</f>
        <v>21.287363329675241</v>
      </c>
      <c r="S1569" s="7">
        <f>Tabla_nuevas_columnas[[#This Row],[ROAS]]</f>
        <v>21.287363329675241</v>
      </c>
      <c r="T1569" t="str">
        <f>_xlfn.CONCAT(C1569,"-",D1569)</f>
        <v>Organic Social-Francia</v>
      </c>
      <c r="U1569">
        <f>YEAR(A1569)</f>
        <v>2025</v>
      </c>
      <c r="V1569">
        <f>MONTH(A1569)</f>
        <v>9</v>
      </c>
      <c r="W1569" t="str">
        <f>PROPER(TEXT(A1569,"mmmm"))</f>
        <v>Septiembre</v>
      </c>
      <c r="X1569" t="str">
        <f>PROPER(TEXT(A1569,"dddd"))</f>
        <v>Jueves</v>
      </c>
      <c r="Y1569" t="str" cm="1">
        <f t="array" ref="Y1569">_xlfn.IFS(R1569&gt;10,"Excelente",R1569&gt;=5,"Bueno",R1569&gt;=2,"Débil",R1569&lt;2,"Deficiente")</f>
        <v>Excelente</v>
      </c>
      <c r="Z1569" t="str">
        <f>IF(AND(R1569&lt;2,Q1569&gt;=100),"Revisar","OK")</f>
        <v>OK</v>
      </c>
      <c r="AA1569" s="55">
        <f>_xlfn.XLOOKUP(C1569,'Preguntas de negocio'!$C$114:$C$119,'Preguntas de negocio'!$D$114:$D$119,0)</f>
        <v>4</v>
      </c>
      <c r="AB1569" s="55">
        <f>VLOOKUP(C1569,'Preguntas de negocio'!$C$121:$D$127,2,FALSE)</f>
        <v>0.95</v>
      </c>
    </row>
    <row r="1570" spans="1:28" x14ac:dyDescent="0.3">
      <c r="A1570" s="1">
        <v>45822</v>
      </c>
      <c r="B1570" s="2" t="s">
        <v>2636</v>
      </c>
      <c r="C1570" s="2" t="s">
        <v>2543</v>
      </c>
      <c r="D1570" s="2" t="s">
        <v>2528</v>
      </c>
      <c r="E1570" s="2" t="s">
        <v>2529</v>
      </c>
      <c r="F1570" s="3">
        <v>54298</v>
      </c>
      <c r="G1570" s="3">
        <v>3585</v>
      </c>
      <c r="H1570" s="3">
        <v>474</v>
      </c>
      <c r="I1570" s="4">
        <v>1866.61</v>
      </c>
      <c r="J1570" s="4">
        <v>55675.3</v>
      </c>
      <c r="K1570" s="3">
        <v>365</v>
      </c>
      <c r="L1570" s="2" t="s">
        <v>2523</v>
      </c>
      <c r="M1570" s="2" t="s">
        <v>2546</v>
      </c>
      <c r="N1570" s="8">
        <f>IFERROR(G1570/F1570,0)</f>
        <v>6.6024531290286931E-2</v>
      </c>
      <c r="O1570" s="8">
        <f>IFERROR(H1570/G1570,0)</f>
        <v>0.13221757322175731</v>
      </c>
      <c r="P1570" s="4">
        <f>IFERROR(I1570/G1570,0)</f>
        <v>0.52067224546722457</v>
      </c>
      <c r="Q1570" s="4">
        <f>IFERROR(I1570/H1570,0)</f>
        <v>3.9379957805907173</v>
      </c>
      <c r="R1570" s="12">
        <f>IFERROR(J1570/I1570,0)</f>
        <v>29.826959032684925</v>
      </c>
      <c r="S1570" s="7">
        <f>Tabla_nuevas_columnas[[#This Row],[ROAS]]</f>
        <v>29.826959032684925</v>
      </c>
      <c r="T1570" t="str">
        <f>_xlfn.CONCAT(C1570,"-",D1570)</f>
        <v>Organic Social-España</v>
      </c>
      <c r="U1570">
        <f>YEAR(A1570)</f>
        <v>2025</v>
      </c>
      <c r="V1570">
        <f>MONTH(A1570)</f>
        <v>6</v>
      </c>
      <c r="W1570" t="str">
        <f>PROPER(TEXT(A1570,"mmmm"))</f>
        <v>Junio</v>
      </c>
      <c r="X1570" t="str">
        <f>PROPER(TEXT(A1570,"dddd"))</f>
        <v>Sábado</v>
      </c>
      <c r="Y1570" t="str" cm="1">
        <f t="array" ref="Y1570">_xlfn.IFS(R1570&gt;10,"Excelente",R1570&gt;=5,"Bueno",R1570&gt;=2,"Débil",R1570&lt;2,"Deficiente")</f>
        <v>Excelente</v>
      </c>
      <c r="Z1570" t="str">
        <f>IF(AND(R1570&lt;2,Q1570&gt;=100),"Revisar","OK")</f>
        <v>OK</v>
      </c>
      <c r="AA1570" s="55">
        <f>_xlfn.XLOOKUP(C1570,'Preguntas de negocio'!$C$114:$C$119,'Preguntas de negocio'!$D$114:$D$119,0)</f>
        <v>4</v>
      </c>
      <c r="AB1570" s="55">
        <f>VLOOKUP(C1570,'Preguntas de negocio'!$C$121:$D$127,2,FALSE)</f>
        <v>0.95</v>
      </c>
    </row>
    <row r="1571" spans="1:28" x14ac:dyDescent="0.3">
      <c r="A1571" s="1">
        <v>45774</v>
      </c>
      <c r="B1571" s="2" t="s">
        <v>2621</v>
      </c>
      <c r="C1571" s="2" t="s">
        <v>2527</v>
      </c>
      <c r="D1571" s="2" t="s">
        <v>2528</v>
      </c>
      <c r="E1571" s="2" t="s">
        <v>2529</v>
      </c>
      <c r="F1571" s="3">
        <v>14546</v>
      </c>
      <c r="G1571" s="3">
        <v>1006</v>
      </c>
      <c r="H1571" s="3">
        <v>27</v>
      </c>
      <c r="I1571" s="4">
        <v>178.34</v>
      </c>
      <c r="J1571" s="4">
        <v>1291.8699999999999</v>
      </c>
      <c r="K1571" s="3">
        <v>15</v>
      </c>
      <c r="L1571" s="2" t="s">
        <v>2523</v>
      </c>
      <c r="M1571" s="2" t="s">
        <v>2526</v>
      </c>
      <c r="N1571" s="8">
        <f>IFERROR(G1571/F1571,0)</f>
        <v>6.9159906503506119E-2</v>
      </c>
      <c r="O1571" s="8">
        <f>IFERROR(H1571/G1571,0)</f>
        <v>2.6838966202783299E-2</v>
      </c>
      <c r="P1571" s="4">
        <f>IFERROR(I1571/G1571,0)</f>
        <v>0.17727634194831013</v>
      </c>
      <c r="Q1571" s="4">
        <f>IFERROR(I1571/H1571,0)</f>
        <v>6.605185185185185</v>
      </c>
      <c r="R1571" s="12">
        <f>IFERROR(J1571/I1571,0)</f>
        <v>7.2438600426152284</v>
      </c>
      <c r="S1571" s="7">
        <f>Tabla_nuevas_columnas[[#This Row],[ROAS]]</f>
        <v>7.2438600426152284</v>
      </c>
      <c r="T1571" t="str">
        <f>_xlfn.CONCAT(C1571,"-",D1571)</f>
        <v>Affiliate-España</v>
      </c>
      <c r="U1571">
        <f>YEAR(A1571)</f>
        <v>2025</v>
      </c>
      <c r="V1571">
        <f>MONTH(A1571)</f>
        <v>4</v>
      </c>
      <c r="W1571" t="str">
        <f>PROPER(TEXT(A1571,"mmmm"))</f>
        <v>Abril</v>
      </c>
      <c r="X1571" t="str">
        <f>PROPER(TEXT(A1571,"dddd"))</f>
        <v>Domingo</v>
      </c>
      <c r="Y1571" t="str" cm="1">
        <f t="array" ref="Y1571">_xlfn.IFS(R1571&gt;10,"Excelente",R1571&gt;=5,"Bueno",R1571&gt;=2,"Débil",R1571&lt;2,"Deficiente")</f>
        <v>Bueno</v>
      </c>
      <c r="Z1571" t="str">
        <f>IF(AND(R1571&lt;2,Q1571&gt;=100),"Revisar","OK")</f>
        <v>OK</v>
      </c>
      <c r="AA1571" s="55">
        <f>_xlfn.XLOOKUP(C1571,'Preguntas de negocio'!$C$114:$C$119,'Preguntas de negocio'!$D$114:$D$119,0)</f>
        <v>4.5</v>
      </c>
      <c r="AB1571" s="55">
        <f>VLOOKUP(C1571,'Preguntas de negocio'!$C$121:$D$127,2,FALSE)</f>
        <v>0.35</v>
      </c>
    </row>
    <row r="1572" spans="1:28" x14ac:dyDescent="0.3">
      <c r="A1572" s="1">
        <v>45837</v>
      </c>
      <c r="B1572" s="2" t="s">
        <v>2635</v>
      </c>
      <c r="C1572" s="2" t="s">
        <v>2541</v>
      </c>
      <c r="D1572" s="2" t="s">
        <v>2531</v>
      </c>
      <c r="E1572" s="2" t="s">
        <v>2517</v>
      </c>
      <c r="F1572" s="3">
        <v>37219</v>
      </c>
      <c r="G1572" s="3">
        <v>1261</v>
      </c>
      <c r="H1572" s="3">
        <v>54</v>
      </c>
      <c r="I1572" s="4">
        <v>2110.19</v>
      </c>
      <c r="J1572" s="4">
        <v>3560.58</v>
      </c>
      <c r="K1572" s="3">
        <v>45</v>
      </c>
      <c r="L1572" s="2" t="s">
        <v>2523</v>
      </c>
      <c r="M1572" s="2" t="s">
        <v>2526</v>
      </c>
      <c r="N1572" s="8">
        <f>IFERROR(G1572/F1572,0)</f>
        <v>3.3880544882989874E-2</v>
      </c>
      <c r="O1572" s="8">
        <f>IFERROR(H1572/G1572,0)</f>
        <v>4.2823156225218081E-2</v>
      </c>
      <c r="P1572" s="4">
        <f>IFERROR(I1572/G1572,0)</f>
        <v>1.6734258524980175</v>
      </c>
      <c r="Q1572" s="4">
        <f>IFERROR(I1572/H1572,0)</f>
        <v>39.077592592592595</v>
      </c>
      <c r="R1572" s="12">
        <f>IFERROR(J1572/I1572,0)</f>
        <v>1.6873267336116653</v>
      </c>
      <c r="S1572" s="7">
        <f>Tabla_nuevas_columnas[[#This Row],[ROAS]]</f>
        <v>1.6873267336116653</v>
      </c>
      <c r="T1572" t="str">
        <f>_xlfn.CONCAT(C1572,"-",D1572)</f>
        <v>Display-Portugal</v>
      </c>
      <c r="U1572">
        <f>YEAR(A1572)</f>
        <v>2025</v>
      </c>
      <c r="V1572">
        <f>MONTH(A1572)</f>
        <v>6</v>
      </c>
      <c r="W1572" t="str">
        <f>PROPER(TEXT(A1572,"mmmm"))</f>
        <v>Junio</v>
      </c>
      <c r="X1572" t="str">
        <f>PROPER(TEXT(A1572,"dddd"))</f>
        <v>Domingo</v>
      </c>
      <c r="Y1572" t="str" cm="1">
        <f t="array" ref="Y1572">_xlfn.IFS(R1572&gt;10,"Excelente",R1572&gt;=5,"Bueno",R1572&gt;=2,"Débil",R1572&lt;2,"Deficiente")</f>
        <v>Deficiente</v>
      </c>
      <c r="Z1572" t="str">
        <f>IF(AND(R1572&lt;2,Q1572&gt;=100),"Revisar","OK")</f>
        <v>OK</v>
      </c>
      <c r="AA1572" s="55">
        <f>_xlfn.XLOOKUP(C1572,'Preguntas de negocio'!$C$114:$C$119,'Preguntas de negocio'!$D$114:$D$119,0)</f>
        <v>5</v>
      </c>
      <c r="AB1572" s="55">
        <f>VLOOKUP(C1572,'Preguntas de negocio'!$C$121:$D$127,2,FALSE)</f>
        <v>0.5</v>
      </c>
    </row>
    <row r="1573" spans="1:28" x14ac:dyDescent="0.3">
      <c r="A1573" s="1">
        <v>45753</v>
      </c>
      <c r="B1573" s="2" t="s">
        <v>2640</v>
      </c>
      <c r="C1573" s="2" t="s">
        <v>2515</v>
      </c>
      <c r="D1573" s="2" t="s">
        <v>2528</v>
      </c>
      <c r="E1573" s="2" t="s">
        <v>2529</v>
      </c>
      <c r="F1573" s="3">
        <v>173819</v>
      </c>
      <c r="G1573" s="3">
        <v>12630</v>
      </c>
      <c r="H1573" s="3">
        <v>1384</v>
      </c>
      <c r="I1573" s="4">
        <v>18048.96</v>
      </c>
      <c r="J1573" s="4">
        <v>116701.43</v>
      </c>
      <c r="K1573" s="3">
        <v>663</v>
      </c>
      <c r="L1573" s="2" t="s">
        <v>2539</v>
      </c>
      <c r="M1573" s="2" t="s">
        <v>2526</v>
      </c>
      <c r="N1573" s="8">
        <f>IFERROR(G1573/F1573,0)</f>
        <v>7.2661791863950428E-2</v>
      </c>
      <c r="O1573" s="8">
        <f>IFERROR(H1573/G1573,0)</f>
        <v>0.10958036421219319</v>
      </c>
      <c r="P1573" s="4">
        <f>IFERROR(I1573/G1573,0)</f>
        <v>1.4290546318289785</v>
      </c>
      <c r="Q1573" s="4">
        <f>IFERROR(I1573/H1573,0)</f>
        <v>13.041156069364161</v>
      </c>
      <c r="R1573" s="12">
        <f>IFERROR(J1573/I1573,0)</f>
        <v>6.4658257317873158</v>
      </c>
      <c r="S1573" s="7">
        <f>Tabla_nuevas_columnas[[#This Row],[ROAS]]</f>
        <v>6.4658257317873158</v>
      </c>
      <c r="T1573" t="str">
        <f>_xlfn.CONCAT(C1573,"-",D1573)</f>
        <v>Email-España</v>
      </c>
      <c r="U1573">
        <f>YEAR(A1573)</f>
        <v>2025</v>
      </c>
      <c r="V1573">
        <f>MONTH(A1573)</f>
        <v>4</v>
      </c>
      <c r="W1573" t="str">
        <f>PROPER(TEXT(A1573,"mmmm"))</f>
        <v>Abril</v>
      </c>
      <c r="X1573" t="str">
        <f>PROPER(TEXT(A1573,"dddd"))</f>
        <v>Domingo</v>
      </c>
      <c r="Y1573" t="str" cm="1">
        <f t="array" ref="Y1573">_xlfn.IFS(R1573&gt;10,"Excelente",R1573&gt;=5,"Bueno",R1573&gt;=2,"Débil",R1573&lt;2,"Deficiente")</f>
        <v>Bueno</v>
      </c>
      <c r="Z1573" t="str">
        <f>IF(AND(R1573&lt;2,Q1573&gt;=100),"Revisar","OK")</f>
        <v>OK</v>
      </c>
      <c r="AA1573" s="55">
        <f>_xlfn.XLOOKUP(C1573,'Preguntas de negocio'!$C$114:$C$119,'Preguntas de negocio'!$D$114:$D$119,0)</f>
        <v>5.5</v>
      </c>
      <c r="AB1573" s="55">
        <f>VLOOKUP(C1573,'Preguntas de negocio'!$C$121:$D$127,2,FALSE)</f>
        <v>0.65</v>
      </c>
    </row>
    <row r="1574" spans="1:28" x14ac:dyDescent="0.3">
      <c r="A1574" s="1">
        <v>45976</v>
      </c>
      <c r="B1574" s="2" t="s">
        <v>2637</v>
      </c>
      <c r="C1574" s="2" t="s">
        <v>2533</v>
      </c>
      <c r="D1574" s="2" t="s">
        <v>2522</v>
      </c>
      <c r="E1574" s="2" t="s">
        <v>2517</v>
      </c>
      <c r="F1574" s="3">
        <v>121538</v>
      </c>
      <c r="G1574" s="3">
        <v>2165</v>
      </c>
      <c r="H1574" s="3">
        <v>260</v>
      </c>
      <c r="I1574" s="4">
        <v>3395.25</v>
      </c>
      <c r="J1574" s="4">
        <v>50662.65</v>
      </c>
      <c r="K1574" s="3">
        <v>214</v>
      </c>
      <c r="L1574" s="2" t="s">
        <v>2536</v>
      </c>
      <c r="M1574" s="2" t="s">
        <v>2526</v>
      </c>
      <c r="N1574" s="8">
        <f>IFERROR(G1574/F1574,0)</f>
        <v>1.781335878490678E-2</v>
      </c>
      <c r="O1574" s="8">
        <f>IFERROR(H1574/G1574,0)</f>
        <v>0.12009237875288684</v>
      </c>
      <c r="P1574" s="4">
        <f>IFERROR(I1574/G1574,0)</f>
        <v>1.5682448036951502</v>
      </c>
      <c r="Q1574" s="4">
        <f>IFERROR(I1574/H1574,0)</f>
        <v>13.058653846153845</v>
      </c>
      <c r="R1574" s="12">
        <f>IFERROR(J1574/I1574,0)</f>
        <v>14.92162580075105</v>
      </c>
      <c r="S1574" s="7">
        <f>Tabla_nuevas_columnas[[#This Row],[ROAS]]</f>
        <v>14.92162580075105</v>
      </c>
      <c r="T1574" t="str">
        <f>_xlfn.CONCAT(C1574,"-",D1574)</f>
        <v>Paid Social-Italia</v>
      </c>
      <c r="U1574">
        <f>YEAR(A1574)</f>
        <v>2025</v>
      </c>
      <c r="V1574">
        <f>MONTH(A1574)</f>
        <v>11</v>
      </c>
      <c r="W1574" t="str">
        <f>PROPER(TEXT(A1574,"mmmm"))</f>
        <v>Noviembre</v>
      </c>
      <c r="X1574" t="str">
        <f>PROPER(TEXT(A1574,"dddd"))</f>
        <v>Sábado</v>
      </c>
      <c r="Y1574" t="str" cm="1">
        <f t="array" ref="Y1574">_xlfn.IFS(R1574&gt;10,"Excelente",R1574&gt;=5,"Bueno",R1574&gt;=2,"Débil",R1574&lt;2,"Deficiente")</f>
        <v>Excelente</v>
      </c>
      <c r="Z1574" t="str">
        <f>IF(AND(R1574&lt;2,Q1574&gt;=100),"Revisar","OK")</f>
        <v>OK</v>
      </c>
      <c r="AA1574" s="55">
        <f>_xlfn.XLOOKUP(C1574,'Preguntas de negocio'!$C$114:$C$119,'Preguntas de negocio'!$D$114:$D$119,0)</f>
        <v>6</v>
      </c>
      <c r="AB1574" s="55">
        <f>VLOOKUP(C1574,'Preguntas de negocio'!$C$121:$D$127,2,FALSE)</f>
        <v>0.8</v>
      </c>
    </row>
    <row r="1575" spans="1:28" x14ac:dyDescent="0.3">
      <c r="A1575" s="1">
        <v>45690</v>
      </c>
      <c r="B1575" s="2" t="s">
        <v>2624</v>
      </c>
      <c r="C1575" s="2" t="s">
        <v>2543</v>
      </c>
      <c r="D1575" s="2" t="s">
        <v>2528</v>
      </c>
      <c r="E1575" s="2" t="s">
        <v>2517</v>
      </c>
      <c r="F1575" s="3">
        <v>13188</v>
      </c>
      <c r="G1575" s="3">
        <v>144</v>
      </c>
      <c r="H1575" s="3">
        <v>2</v>
      </c>
      <c r="I1575" s="4">
        <v>150.33000000000001</v>
      </c>
      <c r="J1575" s="4">
        <v>179.64</v>
      </c>
      <c r="K1575" s="3">
        <v>1</v>
      </c>
      <c r="L1575" s="2" t="s">
        <v>2539</v>
      </c>
      <c r="M1575" s="2" t="s">
        <v>2524</v>
      </c>
      <c r="N1575" s="8">
        <f>IFERROR(G1575/F1575,0)</f>
        <v>1.0919017288444041E-2</v>
      </c>
      <c r="O1575" s="8">
        <f>IFERROR(H1575/G1575,0)</f>
        <v>1.3888888888888888E-2</v>
      </c>
      <c r="P1575" s="4">
        <f>IFERROR(I1575/G1575,0)</f>
        <v>1.0439583333333333</v>
      </c>
      <c r="Q1575" s="4">
        <f>IFERROR(I1575/H1575,0)</f>
        <v>75.165000000000006</v>
      </c>
      <c r="R1575" s="12">
        <f>IFERROR(J1575/I1575,0)</f>
        <v>1.194971063659948</v>
      </c>
      <c r="S1575" s="7">
        <f>Tabla_nuevas_columnas[[#This Row],[ROAS]]</f>
        <v>1.194971063659948</v>
      </c>
      <c r="T1575" t="str">
        <f>_xlfn.CONCAT(C1575,"-",D1575)</f>
        <v>Organic Social-España</v>
      </c>
      <c r="U1575">
        <f>YEAR(A1575)</f>
        <v>2025</v>
      </c>
      <c r="V1575">
        <f>MONTH(A1575)</f>
        <v>2</v>
      </c>
      <c r="W1575" t="str">
        <f>PROPER(TEXT(A1575,"mmmm"))</f>
        <v>Febrero</v>
      </c>
      <c r="X1575" t="str">
        <f>PROPER(TEXT(A1575,"dddd"))</f>
        <v>Domingo</v>
      </c>
      <c r="Y1575" t="str" cm="1">
        <f t="array" ref="Y1575">_xlfn.IFS(R1575&gt;10,"Excelente",R1575&gt;=5,"Bueno",R1575&gt;=2,"Débil",R1575&lt;2,"Deficiente")</f>
        <v>Deficiente</v>
      </c>
      <c r="Z1575" t="str">
        <f>IF(AND(R1575&lt;2,Q1575&gt;=100),"Revisar","OK")</f>
        <v>OK</v>
      </c>
      <c r="AA1575" s="55">
        <f>_xlfn.XLOOKUP(C1575,'Preguntas de negocio'!$C$114:$C$119,'Preguntas de negocio'!$D$114:$D$119,0)</f>
        <v>4</v>
      </c>
      <c r="AB1575" s="55">
        <f>VLOOKUP(C1575,'Preguntas de negocio'!$C$121:$D$127,2,FALSE)</f>
        <v>0.95</v>
      </c>
    </row>
    <row r="1576" spans="1:28" x14ac:dyDescent="0.3">
      <c r="A1576" s="1">
        <v>45913</v>
      </c>
      <c r="B1576" s="2" t="s">
        <v>2644</v>
      </c>
      <c r="C1576" s="2" t="s">
        <v>2521</v>
      </c>
      <c r="D1576" s="2" t="s">
        <v>2645</v>
      </c>
      <c r="E1576" s="2" t="s">
        <v>2529</v>
      </c>
      <c r="F1576" s="3">
        <v>124056</v>
      </c>
      <c r="G1576" s="3">
        <v>5690</v>
      </c>
      <c r="H1576" s="3">
        <v>354</v>
      </c>
      <c r="I1576" s="4">
        <v>4860.13</v>
      </c>
      <c r="J1576" s="4">
        <v>69220.759999999995</v>
      </c>
      <c r="K1576" s="3">
        <v>196</v>
      </c>
      <c r="L1576" s="2" t="s">
        <v>2518</v>
      </c>
      <c r="M1576" s="2" t="s">
        <v>2537</v>
      </c>
      <c r="N1576" s="8">
        <f>IFERROR(G1576/F1576,0)</f>
        <v>4.5866382923840848E-2</v>
      </c>
      <c r="O1576" s="8">
        <f>IFERROR(H1576/G1576,0)</f>
        <v>6.2214411247803164E-2</v>
      </c>
      <c r="P1576" s="4">
        <f>IFERROR(I1576/G1576,0)</f>
        <v>0.85415289982425313</v>
      </c>
      <c r="Q1576" s="4">
        <f>IFERROR(I1576/H1576,0)</f>
        <v>13.729180790960452</v>
      </c>
      <c r="R1576" s="12">
        <f>IFERROR(J1576/I1576,0)</f>
        <v>14.242573758315105</v>
      </c>
      <c r="S1576" s="7">
        <f>Tabla_nuevas_columnas[[#This Row],[ROAS]]</f>
        <v>14.242573758315105</v>
      </c>
      <c r="T1576" t="str">
        <f>_xlfn.CONCAT(C1576,"-",D1576)</f>
        <v>Paid Search-Por identificar</v>
      </c>
      <c r="U1576">
        <f>YEAR(A1576)</f>
        <v>2025</v>
      </c>
      <c r="V1576">
        <f>MONTH(A1576)</f>
        <v>9</v>
      </c>
      <c r="W1576" t="str">
        <f>PROPER(TEXT(A1576,"mmmm"))</f>
        <v>Septiembre</v>
      </c>
      <c r="X1576" t="str">
        <f>PROPER(TEXT(A1576,"dddd"))</f>
        <v>Sábado</v>
      </c>
      <c r="Y1576" t="str" cm="1">
        <f t="array" ref="Y1576">_xlfn.IFS(R1576&gt;10,"Excelente",R1576&gt;=5,"Bueno",R1576&gt;=2,"Débil",R1576&lt;2,"Deficiente")</f>
        <v>Excelente</v>
      </c>
      <c r="Z1576" t="str">
        <f>IF(AND(R1576&lt;2,Q1576&gt;=100),"Revisar","OK")</f>
        <v>OK</v>
      </c>
      <c r="AA1576" s="55">
        <f>_xlfn.XLOOKUP(C1576,'Preguntas de negocio'!$C$114:$C$119,'Preguntas de negocio'!$D$114:$D$119,0)</f>
        <v>5</v>
      </c>
      <c r="AB1576" s="55">
        <f>VLOOKUP(C1576,'Preguntas de negocio'!$C$121:$D$127,2,FALSE)</f>
        <v>1.1000000000000001</v>
      </c>
    </row>
    <row r="1577" spans="1:28" x14ac:dyDescent="0.3">
      <c r="A1577" s="1">
        <v>46010</v>
      </c>
      <c r="B1577" s="2" t="s">
        <v>2625</v>
      </c>
      <c r="C1577" s="2" t="s">
        <v>2541</v>
      </c>
      <c r="D1577" s="2" t="s">
        <v>2528</v>
      </c>
      <c r="E1577" s="2" t="s">
        <v>2529</v>
      </c>
      <c r="F1577" s="3">
        <v>17448</v>
      </c>
      <c r="G1577" s="3">
        <v>1127</v>
      </c>
      <c r="H1577" s="3">
        <v>91</v>
      </c>
      <c r="I1577" s="4">
        <v>2150.16</v>
      </c>
      <c r="J1577" s="4">
        <v>1420.76</v>
      </c>
      <c r="K1577" s="3">
        <v>74</v>
      </c>
      <c r="L1577" s="2" t="s">
        <v>2539</v>
      </c>
      <c r="M1577" s="2" t="s">
        <v>2519</v>
      </c>
      <c r="N1577" s="8">
        <f>IFERROR(G1577/F1577,0)</f>
        <v>6.4591930307198536E-2</v>
      </c>
      <c r="O1577" s="8">
        <f>IFERROR(H1577/G1577,0)</f>
        <v>8.0745341614906832E-2</v>
      </c>
      <c r="P1577" s="4">
        <f>IFERROR(I1577/G1577,0)</f>
        <v>1.9078615794143743</v>
      </c>
      <c r="Q1577" s="4">
        <f>IFERROR(I1577/H1577,0)</f>
        <v>23.628131868131867</v>
      </c>
      <c r="R1577" s="12">
        <f>IFERROR(J1577/I1577,0)</f>
        <v>0.66076943111210329</v>
      </c>
      <c r="S1577" s="7">
        <f>Tabla_nuevas_columnas[[#This Row],[ROAS]]</f>
        <v>0.66076943111210329</v>
      </c>
      <c r="T1577" t="str">
        <f>_xlfn.CONCAT(C1577,"-",D1577)</f>
        <v>Display-España</v>
      </c>
      <c r="U1577">
        <f>YEAR(A1577)</f>
        <v>2025</v>
      </c>
      <c r="V1577">
        <f>MONTH(A1577)</f>
        <v>12</v>
      </c>
      <c r="W1577" t="str">
        <f>PROPER(TEXT(A1577,"mmmm"))</f>
        <v>Diciembre</v>
      </c>
      <c r="X1577" t="str">
        <f>PROPER(TEXT(A1577,"dddd"))</f>
        <v>Viernes</v>
      </c>
      <c r="Y1577" t="str" cm="1">
        <f t="array" ref="Y1577">_xlfn.IFS(R1577&gt;10,"Excelente",R1577&gt;=5,"Bueno",R1577&gt;=2,"Débil",R1577&lt;2,"Deficiente")</f>
        <v>Deficiente</v>
      </c>
      <c r="Z1577" t="str">
        <f>IF(AND(R1577&lt;2,Q1577&gt;=100),"Revisar","OK")</f>
        <v>OK</v>
      </c>
      <c r="AA1577" s="55">
        <f>_xlfn.XLOOKUP(C1577,'Preguntas de negocio'!$C$114:$C$119,'Preguntas de negocio'!$D$114:$D$119,0)</f>
        <v>5</v>
      </c>
      <c r="AB1577" s="55">
        <f>VLOOKUP(C1577,'Preguntas de negocio'!$C$121:$D$127,2,FALSE)</f>
        <v>0.5</v>
      </c>
    </row>
    <row r="1578" spans="1:28" x14ac:dyDescent="0.3">
      <c r="A1578" s="1">
        <v>45715</v>
      </c>
      <c r="B1578" s="2" t="s">
        <v>2618</v>
      </c>
      <c r="C1578" s="2" t="s">
        <v>2533</v>
      </c>
      <c r="D1578" s="2" t="s">
        <v>2528</v>
      </c>
      <c r="E1578" s="2" t="s">
        <v>2529</v>
      </c>
      <c r="F1578" s="3">
        <v>160119</v>
      </c>
      <c r="G1578" s="3">
        <v>7944</v>
      </c>
      <c r="H1578" s="3">
        <v>93</v>
      </c>
      <c r="I1578" s="4">
        <v>1382.1</v>
      </c>
      <c r="J1578" s="4">
        <v>3713.46</v>
      </c>
      <c r="K1578" s="3">
        <v>73</v>
      </c>
      <c r="L1578" s="2" t="s">
        <v>2539</v>
      </c>
      <c r="M1578" s="2" t="s">
        <v>2546</v>
      </c>
      <c r="N1578" s="8">
        <f>IFERROR(G1578/F1578,0)</f>
        <v>4.9613100256684091E-2</v>
      </c>
      <c r="O1578" s="8">
        <f>IFERROR(H1578/G1578,0)</f>
        <v>1.1706948640483383E-2</v>
      </c>
      <c r="P1578" s="4">
        <f>IFERROR(I1578/G1578,0)</f>
        <v>0.17398036253776433</v>
      </c>
      <c r="Q1578" s="4">
        <f>IFERROR(I1578/H1578,0)</f>
        <v>14.861290322580643</v>
      </c>
      <c r="R1578" s="12">
        <f>IFERROR(J1578/I1578,0)</f>
        <v>2.6868243976557413</v>
      </c>
      <c r="S1578" s="7">
        <f>Tabla_nuevas_columnas[[#This Row],[ROAS]]</f>
        <v>2.6868243976557413</v>
      </c>
      <c r="T1578" t="str">
        <f>_xlfn.CONCAT(C1578,"-",D1578)</f>
        <v>Paid Social-España</v>
      </c>
      <c r="U1578">
        <f>YEAR(A1578)</f>
        <v>2025</v>
      </c>
      <c r="V1578">
        <f>MONTH(A1578)</f>
        <v>2</v>
      </c>
      <c r="W1578" t="str">
        <f>PROPER(TEXT(A1578,"mmmm"))</f>
        <v>Febrero</v>
      </c>
      <c r="X1578" t="str">
        <f>PROPER(TEXT(A1578,"dddd"))</f>
        <v>Jueves</v>
      </c>
      <c r="Y1578" t="str" cm="1">
        <f t="array" ref="Y1578">_xlfn.IFS(R1578&gt;10,"Excelente",R1578&gt;=5,"Bueno",R1578&gt;=2,"Débil",R1578&lt;2,"Deficiente")</f>
        <v>Débil</v>
      </c>
      <c r="Z1578" t="str">
        <f>IF(AND(R1578&lt;2,Q1578&gt;=100),"Revisar","OK")</f>
        <v>OK</v>
      </c>
      <c r="AA1578" s="55">
        <f>_xlfn.XLOOKUP(C1578,'Preguntas de negocio'!$C$114:$C$119,'Preguntas de negocio'!$D$114:$D$119,0)</f>
        <v>6</v>
      </c>
      <c r="AB1578" s="55">
        <f>VLOOKUP(C1578,'Preguntas de negocio'!$C$121:$D$127,2,FALSE)</f>
        <v>0.8</v>
      </c>
    </row>
    <row r="1579" spans="1:28" x14ac:dyDescent="0.3">
      <c r="A1579" s="1">
        <v>45877</v>
      </c>
      <c r="B1579" s="2" t="s">
        <v>2628</v>
      </c>
      <c r="C1579" s="2" t="s">
        <v>2515</v>
      </c>
      <c r="D1579" s="2" t="s">
        <v>2528</v>
      </c>
      <c r="E1579" s="2" t="s">
        <v>2529</v>
      </c>
      <c r="F1579" s="3">
        <v>102033</v>
      </c>
      <c r="G1579" s="3">
        <v>3550</v>
      </c>
      <c r="H1579" s="3">
        <v>365</v>
      </c>
      <c r="I1579" s="4">
        <v>4691.45</v>
      </c>
      <c r="J1579" s="4">
        <v>29458.14</v>
      </c>
      <c r="K1579" s="3">
        <v>268</v>
      </c>
      <c r="L1579" s="2" t="s">
        <v>2518</v>
      </c>
      <c r="M1579" s="2" t="s">
        <v>2524</v>
      </c>
      <c r="N1579" s="8">
        <f>IFERROR(G1579/F1579,0)</f>
        <v>3.4792665118148047E-2</v>
      </c>
      <c r="O1579" s="8">
        <f>IFERROR(H1579/G1579,0)</f>
        <v>0.10281690140845071</v>
      </c>
      <c r="P1579" s="4">
        <f>IFERROR(I1579/G1579,0)</f>
        <v>1.3215352112676055</v>
      </c>
      <c r="Q1579" s="4">
        <f>IFERROR(I1579/H1579,0)</f>
        <v>12.853287671232875</v>
      </c>
      <c r="R1579" s="12">
        <f>IFERROR(J1579/I1579,0)</f>
        <v>6.2791120016199686</v>
      </c>
      <c r="S1579" s="7">
        <f>Tabla_nuevas_columnas[[#This Row],[ROAS]]</f>
        <v>6.2791120016199686</v>
      </c>
      <c r="T1579" t="str">
        <f>_xlfn.CONCAT(C1579,"-",D1579)</f>
        <v>Email-España</v>
      </c>
      <c r="U1579">
        <f>YEAR(A1579)</f>
        <v>2025</v>
      </c>
      <c r="V1579">
        <f>MONTH(A1579)</f>
        <v>8</v>
      </c>
      <c r="W1579" t="str">
        <f>PROPER(TEXT(A1579,"mmmm"))</f>
        <v>Agosto</v>
      </c>
      <c r="X1579" t="str">
        <f>PROPER(TEXT(A1579,"dddd"))</f>
        <v>Viernes</v>
      </c>
      <c r="Y1579" t="str" cm="1">
        <f t="array" ref="Y1579">_xlfn.IFS(R1579&gt;10,"Excelente",R1579&gt;=5,"Bueno",R1579&gt;=2,"Débil",R1579&lt;2,"Deficiente")</f>
        <v>Bueno</v>
      </c>
      <c r="Z1579" t="str">
        <f>IF(AND(R1579&lt;2,Q1579&gt;=100),"Revisar","OK")</f>
        <v>OK</v>
      </c>
      <c r="AA1579" s="55">
        <f>_xlfn.XLOOKUP(C1579,'Preguntas de negocio'!$C$114:$C$119,'Preguntas de negocio'!$D$114:$D$119,0)</f>
        <v>5.5</v>
      </c>
      <c r="AB1579" s="55">
        <f>VLOOKUP(C1579,'Preguntas de negocio'!$C$121:$D$127,2,FALSE)</f>
        <v>0.65</v>
      </c>
    </row>
    <row r="1580" spans="1:28" x14ac:dyDescent="0.3">
      <c r="A1580" s="1">
        <v>46017</v>
      </c>
      <c r="B1580" s="2" t="s">
        <v>2624</v>
      </c>
      <c r="C1580" s="2" t="s">
        <v>2533</v>
      </c>
      <c r="D1580" s="2" t="s">
        <v>2528</v>
      </c>
      <c r="E1580" s="2" t="s">
        <v>2534</v>
      </c>
      <c r="F1580" s="3">
        <v>56132</v>
      </c>
      <c r="G1580" s="3">
        <v>4795</v>
      </c>
      <c r="H1580" s="3">
        <v>657</v>
      </c>
      <c r="I1580" s="4">
        <v>8067.37</v>
      </c>
      <c r="J1580" s="4">
        <v>16643.04</v>
      </c>
      <c r="K1580" s="3">
        <v>490</v>
      </c>
      <c r="L1580" s="2" t="s">
        <v>2539</v>
      </c>
      <c r="M1580" s="2" t="s">
        <v>2524</v>
      </c>
      <c r="N1580" s="8">
        <f>IFERROR(G1580/F1580,0)</f>
        <v>8.5423644267084722E-2</v>
      </c>
      <c r="O1580" s="8">
        <f>IFERROR(H1580/G1580,0)</f>
        <v>0.13701772679874868</v>
      </c>
      <c r="P1580" s="4">
        <f>IFERROR(I1580/G1580,0)</f>
        <v>1.6824546402502607</v>
      </c>
      <c r="Q1580" s="4">
        <f>IFERROR(I1580/H1580,0)</f>
        <v>12.27910197869102</v>
      </c>
      <c r="R1580" s="12">
        <f>IFERROR(J1580/I1580,0)</f>
        <v>2.0630069031171252</v>
      </c>
      <c r="S1580" s="7">
        <f>Tabla_nuevas_columnas[[#This Row],[ROAS]]</f>
        <v>2.0630069031171252</v>
      </c>
      <c r="T1580" t="str">
        <f>_xlfn.CONCAT(C1580,"-",D1580)</f>
        <v>Paid Social-España</v>
      </c>
      <c r="U1580">
        <f>YEAR(A1580)</f>
        <v>2025</v>
      </c>
      <c r="V1580">
        <f>MONTH(A1580)</f>
        <v>12</v>
      </c>
      <c r="W1580" t="str">
        <f>PROPER(TEXT(A1580,"mmmm"))</f>
        <v>Diciembre</v>
      </c>
      <c r="X1580" t="str">
        <f>PROPER(TEXT(A1580,"dddd"))</f>
        <v>Viernes</v>
      </c>
      <c r="Y1580" t="str" cm="1">
        <f t="array" ref="Y1580">_xlfn.IFS(R1580&gt;10,"Excelente",R1580&gt;=5,"Bueno",R1580&gt;=2,"Débil",R1580&lt;2,"Deficiente")</f>
        <v>Débil</v>
      </c>
      <c r="Z1580" t="str">
        <f>IF(AND(R1580&lt;2,Q1580&gt;=100),"Revisar","OK")</f>
        <v>OK</v>
      </c>
      <c r="AA1580" s="55">
        <f>_xlfn.XLOOKUP(C1580,'Preguntas de negocio'!$C$114:$C$119,'Preguntas de negocio'!$D$114:$D$119,0)</f>
        <v>6</v>
      </c>
      <c r="AB1580" s="55">
        <f>VLOOKUP(C1580,'Preguntas de negocio'!$C$121:$D$127,2,FALSE)</f>
        <v>0.8</v>
      </c>
    </row>
    <row r="1581" spans="1:28" x14ac:dyDescent="0.3">
      <c r="A1581" s="1">
        <v>46014</v>
      </c>
      <c r="B1581" s="2" t="s">
        <v>2638</v>
      </c>
      <c r="C1581" s="2" t="s">
        <v>2521</v>
      </c>
      <c r="D1581" s="2" t="s">
        <v>2516</v>
      </c>
      <c r="E1581" s="2" t="s">
        <v>2517</v>
      </c>
      <c r="F1581" s="3">
        <v>90513</v>
      </c>
      <c r="G1581" s="3">
        <v>6985</v>
      </c>
      <c r="H1581" s="3">
        <v>258</v>
      </c>
      <c r="I1581" s="4">
        <v>6921.46</v>
      </c>
      <c r="J1581" s="4">
        <v>14260.11</v>
      </c>
      <c r="K1581" s="3">
        <v>146</v>
      </c>
      <c r="L1581" s="2" t="s">
        <v>2539</v>
      </c>
      <c r="M1581" s="2" t="s">
        <v>2537</v>
      </c>
      <c r="N1581" s="8">
        <f>IFERROR(G1581/F1581,0)</f>
        <v>7.7171235071205241E-2</v>
      </c>
      <c r="O1581" s="8">
        <f>IFERROR(H1581/G1581,0)</f>
        <v>3.6936292054402291E-2</v>
      </c>
      <c r="P1581" s="4">
        <f>IFERROR(I1581/G1581,0)</f>
        <v>0.99090336435218329</v>
      </c>
      <c r="Q1581" s="4">
        <f>IFERROR(I1581/H1581,0)</f>
        <v>26.827364341085271</v>
      </c>
      <c r="R1581" s="12">
        <f>IFERROR(J1581/I1581,0)</f>
        <v>2.0602748553050945</v>
      </c>
      <c r="S1581" s="7">
        <f>Tabla_nuevas_columnas[[#This Row],[ROAS]]</f>
        <v>2.0602748553050945</v>
      </c>
      <c r="T1581" t="str">
        <f>_xlfn.CONCAT(C1581,"-",D1581)</f>
        <v>Paid Search-México</v>
      </c>
      <c r="U1581">
        <f>YEAR(A1581)</f>
        <v>2025</v>
      </c>
      <c r="V1581">
        <f>MONTH(A1581)</f>
        <v>12</v>
      </c>
      <c r="W1581" t="str">
        <f>PROPER(TEXT(A1581,"mmmm"))</f>
        <v>Diciembre</v>
      </c>
      <c r="X1581" t="str">
        <f>PROPER(TEXT(A1581,"dddd"))</f>
        <v>Martes</v>
      </c>
      <c r="Y1581" t="str" cm="1">
        <f t="array" ref="Y1581">_xlfn.IFS(R1581&gt;10,"Excelente",R1581&gt;=5,"Bueno",R1581&gt;=2,"Débil",R1581&lt;2,"Deficiente")</f>
        <v>Débil</v>
      </c>
      <c r="Z1581" t="str">
        <f>IF(AND(R1581&lt;2,Q1581&gt;=100),"Revisar","OK")</f>
        <v>OK</v>
      </c>
      <c r="AA1581" s="55">
        <f>_xlfn.XLOOKUP(C1581,'Preguntas de negocio'!$C$114:$C$119,'Preguntas de negocio'!$D$114:$D$119,0)</f>
        <v>5</v>
      </c>
      <c r="AB1581" s="55">
        <f>VLOOKUP(C1581,'Preguntas de negocio'!$C$121:$D$127,2,FALSE)</f>
        <v>1.1000000000000001</v>
      </c>
    </row>
    <row r="1582" spans="1:28" x14ac:dyDescent="0.3">
      <c r="A1582" s="1">
        <v>45795</v>
      </c>
      <c r="B1582" s="2" t="s">
        <v>2616</v>
      </c>
      <c r="C1582" s="2" t="s">
        <v>2541</v>
      </c>
      <c r="D1582" s="2" t="s">
        <v>2522</v>
      </c>
      <c r="E1582" s="2" t="s">
        <v>2529</v>
      </c>
      <c r="F1582" s="3">
        <v>65699</v>
      </c>
      <c r="G1582" s="3">
        <v>1387</v>
      </c>
      <c r="H1582" s="3">
        <v>35</v>
      </c>
      <c r="I1582" s="4">
        <v>2659.35</v>
      </c>
      <c r="J1582" s="4">
        <v>4678.46</v>
      </c>
      <c r="K1582" s="3">
        <v>22</v>
      </c>
      <c r="L1582" s="2" t="s">
        <v>2539</v>
      </c>
      <c r="M1582" s="2" t="s">
        <v>2537</v>
      </c>
      <c r="N1582" s="8">
        <f>IFERROR(G1582/F1582,0)</f>
        <v>2.1111432441894094E-2</v>
      </c>
      <c r="O1582" s="8">
        <f>IFERROR(H1582/G1582,0)</f>
        <v>2.5234318673395817E-2</v>
      </c>
      <c r="P1582" s="4">
        <f>IFERROR(I1582/G1582,0)</f>
        <v>1.9173395818312904</v>
      </c>
      <c r="Q1582" s="4">
        <f>IFERROR(I1582/H1582,0)</f>
        <v>75.981428571428566</v>
      </c>
      <c r="R1582" s="12">
        <f>IFERROR(J1582/I1582,0)</f>
        <v>1.7592494406527912</v>
      </c>
      <c r="S1582" s="7">
        <f>Tabla_nuevas_columnas[[#This Row],[ROAS]]</f>
        <v>1.7592494406527912</v>
      </c>
      <c r="T1582" t="str">
        <f>_xlfn.CONCAT(C1582,"-",D1582)</f>
        <v>Display-Italia</v>
      </c>
      <c r="U1582">
        <f>YEAR(A1582)</f>
        <v>2025</v>
      </c>
      <c r="V1582">
        <f>MONTH(A1582)</f>
        <v>5</v>
      </c>
      <c r="W1582" t="str">
        <f>PROPER(TEXT(A1582,"mmmm"))</f>
        <v>Mayo</v>
      </c>
      <c r="X1582" t="str">
        <f>PROPER(TEXT(A1582,"dddd"))</f>
        <v>Domingo</v>
      </c>
      <c r="Y1582" t="str" cm="1">
        <f t="array" ref="Y1582">_xlfn.IFS(R1582&gt;10,"Excelente",R1582&gt;=5,"Bueno",R1582&gt;=2,"Débil",R1582&lt;2,"Deficiente")</f>
        <v>Deficiente</v>
      </c>
      <c r="Z1582" t="str">
        <f>IF(AND(R1582&lt;2,Q1582&gt;=100),"Revisar","OK")</f>
        <v>OK</v>
      </c>
      <c r="AA1582" s="55">
        <f>_xlfn.XLOOKUP(C1582,'Preguntas de negocio'!$C$114:$C$119,'Preguntas de negocio'!$D$114:$D$119,0)</f>
        <v>5</v>
      </c>
      <c r="AB1582" s="55">
        <f>VLOOKUP(C1582,'Preguntas de negocio'!$C$121:$D$127,2,FALSE)</f>
        <v>0.5</v>
      </c>
    </row>
    <row r="1583" spans="1:28" x14ac:dyDescent="0.3">
      <c r="A1583" s="1">
        <v>45951</v>
      </c>
      <c r="B1583" s="2" t="s">
        <v>2618</v>
      </c>
      <c r="C1583" s="2" t="s">
        <v>2533</v>
      </c>
      <c r="D1583" s="2" t="s">
        <v>2516</v>
      </c>
      <c r="E1583" s="2" t="s">
        <v>2517</v>
      </c>
      <c r="F1583" s="3">
        <v>66844</v>
      </c>
      <c r="G1583" s="3">
        <v>2803</v>
      </c>
      <c r="H1583" s="3">
        <v>166</v>
      </c>
      <c r="I1583" s="4">
        <v>4311.42</v>
      </c>
      <c r="J1583" s="4">
        <v>21428.29</v>
      </c>
      <c r="K1583" s="3">
        <v>129</v>
      </c>
      <c r="L1583" s="2" t="s">
        <v>2536</v>
      </c>
      <c r="M1583" s="2" t="s">
        <v>2546</v>
      </c>
      <c r="N1583" s="8">
        <f>IFERROR(G1583/F1583,0)</f>
        <v>4.1933457004368381E-2</v>
      </c>
      <c r="O1583" s="8">
        <f>IFERROR(H1583/G1583,0)</f>
        <v>5.9222261862290404E-2</v>
      </c>
      <c r="P1583" s="4">
        <f>IFERROR(I1583/G1583,0)</f>
        <v>1.538144844809133</v>
      </c>
      <c r="Q1583" s="4">
        <f>IFERROR(I1583/H1583,0)</f>
        <v>25.972409638554218</v>
      </c>
      <c r="R1583" s="12">
        <f>IFERROR(J1583/I1583,0)</f>
        <v>4.970123532386082</v>
      </c>
      <c r="S1583" s="7">
        <f>Tabla_nuevas_columnas[[#This Row],[ROAS]]</f>
        <v>4.970123532386082</v>
      </c>
      <c r="T1583" t="str">
        <f>_xlfn.CONCAT(C1583,"-",D1583)</f>
        <v>Paid Social-México</v>
      </c>
      <c r="U1583">
        <f>YEAR(A1583)</f>
        <v>2025</v>
      </c>
      <c r="V1583">
        <f>MONTH(A1583)</f>
        <v>10</v>
      </c>
      <c r="W1583" t="str">
        <f>PROPER(TEXT(A1583,"mmmm"))</f>
        <v>Octubre</v>
      </c>
      <c r="X1583" t="str">
        <f>PROPER(TEXT(A1583,"dddd"))</f>
        <v>Martes</v>
      </c>
      <c r="Y1583" t="str" cm="1">
        <f t="array" ref="Y1583">_xlfn.IFS(R1583&gt;10,"Excelente",R1583&gt;=5,"Bueno",R1583&gt;=2,"Débil",R1583&lt;2,"Deficiente")</f>
        <v>Débil</v>
      </c>
      <c r="Z1583" t="str">
        <f>IF(AND(R1583&lt;2,Q1583&gt;=100),"Revisar","OK")</f>
        <v>OK</v>
      </c>
      <c r="AA1583" s="55">
        <f>_xlfn.XLOOKUP(C1583,'Preguntas de negocio'!$C$114:$C$119,'Preguntas de negocio'!$D$114:$D$119,0)</f>
        <v>6</v>
      </c>
      <c r="AB1583" s="55">
        <f>VLOOKUP(C1583,'Preguntas de negocio'!$C$121:$D$127,2,FALSE)</f>
        <v>0.8</v>
      </c>
    </row>
    <row r="1584" spans="1:28" x14ac:dyDescent="0.3">
      <c r="A1584" s="1">
        <v>45822</v>
      </c>
      <c r="B1584" s="2" t="s">
        <v>2640</v>
      </c>
      <c r="C1584" s="2" t="s">
        <v>2515</v>
      </c>
      <c r="D1584" s="2" t="s">
        <v>2528</v>
      </c>
      <c r="E1584" s="2" t="s">
        <v>2517</v>
      </c>
      <c r="F1584" s="3">
        <v>125492</v>
      </c>
      <c r="G1584" s="3">
        <v>2416</v>
      </c>
      <c r="H1584" s="3">
        <v>198</v>
      </c>
      <c r="I1584" s="4">
        <v>3077.51</v>
      </c>
      <c r="J1584" s="4">
        <v>3227.08</v>
      </c>
      <c r="K1584" s="3">
        <v>89</v>
      </c>
      <c r="L1584" s="2" t="s">
        <v>2518</v>
      </c>
      <c r="M1584" s="2" t="s">
        <v>2526</v>
      </c>
      <c r="N1584" s="8">
        <f>IFERROR(G1584/F1584,0)</f>
        <v>1.9252223249290792E-2</v>
      </c>
      <c r="O1584" s="8">
        <f>IFERROR(H1584/G1584,0)</f>
        <v>8.1953642384105962E-2</v>
      </c>
      <c r="P1584" s="4">
        <f>IFERROR(I1584/G1584,0)</f>
        <v>1.27380380794702</v>
      </c>
      <c r="Q1584" s="4">
        <f>IFERROR(I1584/H1584,0)</f>
        <v>15.542979797979799</v>
      </c>
      <c r="R1584" s="12">
        <f>IFERROR(J1584/I1584,0)</f>
        <v>1.0486009793631863</v>
      </c>
      <c r="S1584" s="7">
        <f>Tabla_nuevas_columnas[[#This Row],[ROAS]]</f>
        <v>1.0486009793631863</v>
      </c>
      <c r="T1584" t="str">
        <f>_xlfn.CONCAT(C1584,"-",D1584)</f>
        <v>Email-España</v>
      </c>
      <c r="U1584">
        <f>YEAR(A1584)</f>
        <v>2025</v>
      </c>
      <c r="V1584">
        <f>MONTH(A1584)</f>
        <v>6</v>
      </c>
      <c r="W1584" t="str">
        <f>PROPER(TEXT(A1584,"mmmm"))</f>
        <v>Junio</v>
      </c>
      <c r="X1584" t="str">
        <f>PROPER(TEXT(A1584,"dddd"))</f>
        <v>Sábado</v>
      </c>
      <c r="Y1584" t="str" cm="1">
        <f t="array" ref="Y1584">_xlfn.IFS(R1584&gt;10,"Excelente",R1584&gt;=5,"Bueno",R1584&gt;=2,"Débil",R1584&lt;2,"Deficiente")</f>
        <v>Deficiente</v>
      </c>
      <c r="Z1584" t="str">
        <f>IF(AND(R1584&lt;2,Q1584&gt;=100),"Revisar","OK")</f>
        <v>OK</v>
      </c>
      <c r="AA1584" s="55">
        <f>_xlfn.XLOOKUP(C1584,'Preguntas de negocio'!$C$114:$C$119,'Preguntas de negocio'!$D$114:$D$119,0)</f>
        <v>5.5</v>
      </c>
      <c r="AB1584" s="55">
        <f>VLOOKUP(C1584,'Preguntas de negocio'!$C$121:$D$127,2,FALSE)</f>
        <v>0.65</v>
      </c>
    </row>
    <row r="1585" spans="1:28" x14ac:dyDescent="0.3">
      <c r="A1585" s="1">
        <v>45764</v>
      </c>
      <c r="B1585" s="2" t="s">
        <v>2637</v>
      </c>
      <c r="C1585" s="2" t="s">
        <v>2543</v>
      </c>
      <c r="D1585" s="2" t="s">
        <v>2528</v>
      </c>
      <c r="E1585" s="2" t="s">
        <v>2529</v>
      </c>
      <c r="F1585" s="3">
        <v>71498</v>
      </c>
      <c r="G1585" s="3">
        <v>5021</v>
      </c>
      <c r="H1585" s="3">
        <v>510</v>
      </c>
      <c r="I1585" s="4">
        <v>9677.1</v>
      </c>
      <c r="J1585" s="4">
        <v>64149.66</v>
      </c>
      <c r="K1585" s="3">
        <v>297</v>
      </c>
      <c r="L1585" s="2" t="s">
        <v>2539</v>
      </c>
      <c r="M1585" s="2" t="s">
        <v>2546</v>
      </c>
      <c r="N1585" s="8">
        <f>IFERROR(G1585/F1585,0)</f>
        <v>7.0225740580156085E-2</v>
      </c>
      <c r="O1585" s="8">
        <f>IFERROR(H1585/G1585,0)</f>
        <v>0.10157339175463055</v>
      </c>
      <c r="P1585" s="4">
        <f>IFERROR(I1585/G1585,0)</f>
        <v>1.9273252340171281</v>
      </c>
      <c r="Q1585" s="4">
        <f>IFERROR(I1585/H1585,0)</f>
        <v>18.974705882352943</v>
      </c>
      <c r="R1585" s="12">
        <f>IFERROR(J1585/I1585,0)</f>
        <v>6.6290169575595996</v>
      </c>
      <c r="S1585" s="7">
        <f>Tabla_nuevas_columnas[[#This Row],[ROAS]]</f>
        <v>6.6290169575595996</v>
      </c>
      <c r="T1585" t="str">
        <f>_xlfn.CONCAT(C1585,"-",D1585)</f>
        <v>Organic Social-España</v>
      </c>
      <c r="U1585">
        <f>YEAR(A1585)</f>
        <v>2025</v>
      </c>
      <c r="V1585">
        <f>MONTH(A1585)</f>
        <v>4</v>
      </c>
      <c r="W1585" t="str">
        <f>PROPER(TEXT(A1585,"mmmm"))</f>
        <v>Abril</v>
      </c>
      <c r="X1585" t="str">
        <f>PROPER(TEXT(A1585,"dddd"))</f>
        <v>Jueves</v>
      </c>
      <c r="Y1585" t="str" cm="1">
        <f t="array" ref="Y1585">_xlfn.IFS(R1585&gt;10,"Excelente",R1585&gt;=5,"Bueno",R1585&gt;=2,"Débil",R1585&lt;2,"Deficiente")</f>
        <v>Bueno</v>
      </c>
      <c r="Z1585" t="str">
        <f>IF(AND(R1585&lt;2,Q1585&gt;=100),"Revisar","OK")</f>
        <v>OK</v>
      </c>
      <c r="AA1585" s="55">
        <f>_xlfn.XLOOKUP(C1585,'Preguntas de negocio'!$C$114:$C$119,'Preguntas de negocio'!$D$114:$D$119,0)</f>
        <v>4</v>
      </c>
      <c r="AB1585" s="55">
        <f>VLOOKUP(C1585,'Preguntas de negocio'!$C$121:$D$127,2,FALSE)</f>
        <v>0.95</v>
      </c>
    </row>
    <row r="1586" spans="1:28" x14ac:dyDescent="0.3">
      <c r="A1586" s="1">
        <v>45697</v>
      </c>
      <c r="B1586" s="2" t="s">
        <v>2641</v>
      </c>
      <c r="C1586" s="2" t="s">
        <v>2521</v>
      </c>
      <c r="D1586" s="2" t="s">
        <v>2528</v>
      </c>
      <c r="E1586" s="2" t="s">
        <v>2529</v>
      </c>
      <c r="F1586" s="3">
        <v>91373</v>
      </c>
      <c r="G1586" s="3">
        <v>830</v>
      </c>
      <c r="H1586" s="3">
        <v>6</v>
      </c>
      <c r="I1586" s="4">
        <v>1088.79</v>
      </c>
      <c r="J1586" s="4">
        <v>299.73</v>
      </c>
      <c r="K1586" s="3">
        <v>3</v>
      </c>
      <c r="L1586" s="2" t="s">
        <v>2518</v>
      </c>
      <c r="M1586" s="2" t="s">
        <v>2537</v>
      </c>
      <c r="N1586" s="8">
        <f>IFERROR(G1586/F1586,0)</f>
        <v>9.0836461536777831E-3</v>
      </c>
      <c r="O1586" s="8">
        <f>IFERROR(H1586/G1586,0)</f>
        <v>7.2289156626506026E-3</v>
      </c>
      <c r="P1586" s="4">
        <f>IFERROR(I1586/G1586,0)</f>
        <v>1.3117951807228916</v>
      </c>
      <c r="Q1586" s="4">
        <f>IFERROR(I1586/H1586,0)</f>
        <v>181.465</v>
      </c>
      <c r="R1586" s="12">
        <f>IFERROR(J1586/I1586,0)</f>
        <v>0.27528724547433392</v>
      </c>
      <c r="S1586" s="7">
        <f>Tabla_nuevas_columnas[[#This Row],[ROAS]]</f>
        <v>0.27528724547433392</v>
      </c>
      <c r="T1586" t="str">
        <f>_xlfn.CONCAT(C1586,"-",D1586)</f>
        <v>Paid Search-España</v>
      </c>
      <c r="U1586">
        <f>YEAR(A1586)</f>
        <v>2025</v>
      </c>
      <c r="V1586">
        <f>MONTH(A1586)</f>
        <v>2</v>
      </c>
      <c r="W1586" t="str">
        <f>PROPER(TEXT(A1586,"mmmm"))</f>
        <v>Febrero</v>
      </c>
      <c r="X1586" t="str">
        <f>PROPER(TEXT(A1586,"dddd"))</f>
        <v>Domingo</v>
      </c>
      <c r="Y1586" t="str" cm="1">
        <f t="array" ref="Y1586">_xlfn.IFS(R1586&gt;10,"Excelente",R1586&gt;=5,"Bueno",R1586&gt;=2,"Débil",R1586&lt;2,"Deficiente")</f>
        <v>Deficiente</v>
      </c>
      <c r="Z1586" t="str">
        <f>IF(AND(R1586&lt;2,Q1586&gt;=100),"Revisar","OK")</f>
        <v>Revisar</v>
      </c>
      <c r="AA1586" s="55">
        <f>_xlfn.XLOOKUP(C1586,'Preguntas de negocio'!$C$114:$C$119,'Preguntas de negocio'!$D$114:$D$119,0)</f>
        <v>5</v>
      </c>
      <c r="AB1586" s="55">
        <f>VLOOKUP(C1586,'Preguntas de negocio'!$C$121:$D$127,2,FALSE)</f>
        <v>1.1000000000000001</v>
      </c>
    </row>
    <row r="1587" spans="1:28" x14ac:dyDescent="0.3">
      <c r="A1587" s="1">
        <v>45876</v>
      </c>
      <c r="B1587" s="2" t="s">
        <v>2639</v>
      </c>
      <c r="C1587" s="2" t="s">
        <v>2521</v>
      </c>
      <c r="D1587" s="2" t="s">
        <v>2525</v>
      </c>
      <c r="E1587" s="2" t="s">
        <v>2517</v>
      </c>
      <c r="F1587" s="3">
        <v>104043</v>
      </c>
      <c r="G1587" s="3">
        <v>3860</v>
      </c>
      <c r="H1587" s="3">
        <v>357</v>
      </c>
      <c r="I1587" s="4">
        <v>5329.12</v>
      </c>
      <c r="J1587" s="4">
        <v>30116.7</v>
      </c>
      <c r="K1587" s="3">
        <v>289</v>
      </c>
      <c r="L1587" s="2" t="s">
        <v>2523</v>
      </c>
      <c r="M1587" s="2" t="s">
        <v>2537</v>
      </c>
      <c r="N1587" s="8">
        <f>IFERROR(G1587/F1587,0)</f>
        <v>3.7100045173630136E-2</v>
      </c>
      <c r="O1587" s="8">
        <f>IFERROR(H1587/G1587,0)</f>
        <v>9.2487046632124356E-2</v>
      </c>
      <c r="P1587" s="4">
        <f>IFERROR(I1587/G1587,0)</f>
        <v>1.3806010362694301</v>
      </c>
      <c r="Q1587" s="4">
        <f>IFERROR(I1587/H1587,0)</f>
        <v>14.92750700280112</v>
      </c>
      <c r="R1587" s="12">
        <f>IFERROR(J1587/I1587,0)</f>
        <v>5.6513458131924219</v>
      </c>
      <c r="S1587" s="7">
        <f>Tabla_nuevas_columnas[[#This Row],[ROAS]]</f>
        <v>5.6513458131924219</v>
      </c>
      <c r="T1587" t="str">
        <f>_xlfn.CONCAT(C1587,"-",D1587)</f>
        <v>Paid Search-Francia</v>
      </c>
      <c r="U1587">
        <f>YEAR(A1587)</f>
        <v>2025</v>
      </c>
      <c r="V1587">
        <f>MONTH(A1587)</f>
        <v>8</v>
      </c>
      <c r="W1587" t="str">
        <f>PROPER(TEXT(A1587,"mmmm"))</f>
        <v>Agosto</v>
      </c>
      <c r="X1587" t="str">
        <f>PROPER(TEXT(A1587,"dddd"))</f>
        <v>Jueves</v>
      </c>
      <c r="Y1587" t="str" cm="1">
        <f t="array" ref="Y1587">_xlfn.IFS(R1587&gt;10,"Excelente",R1587&gt;=5,"Bueno",R1587&gt;=2,"Débil",R1587&lt;2,"Deficiente")</f>
        <v>Bueno</v>
      </c>
      <c r="Z1587" t="str">
        <f>IF(AND(R1587&lt;2,Q1587&gt;=100),"Revisar","OK")</f>
        <v>OK</v>
      </c>
      <c r="AA1587" s="55">
        <f>_xlfn.XLOOKUP(C1587,'Preguntas de negocio'!$C$114:$C$119,'Preguntas de negocio'!$D$114:$D$119,0)</f>
        <v>5</v>
      </c>
      <c r="AB1587" s="55">
        <f>VLOOKUP(C1587,'Preguntas de negocio'!$C$121:$D$127,2,FALSE)</f>
        <v>1.1000000000000001</v>
      </c>
    </row>
    <row r="1588" spans="1:28" x14ac:dyDescent="0.3">
      <c r="A1588" s="1">
        <v>45901</v>
      </c>
      <c r="B1588" s="2" t="s">
        <v>2635</v>
      </c>
      <c r="C1588" s="2" t="s">
        <v>2541</v>
      </c>
      <c r="D1588" s="2" t="s">
        <v>2528</v>
      </c>
      <c r="E1588" s="2" t="s">
        <v>2517</v>
      </c>
      <c r="F1588" s="3">
        <v>17017</v>
      </c>
      <c r="G1588" s="3">
        <v>1368</v>
      </c>
      <c r="H1588" s="3">
        <v>175</v>
      </c>
      <c r="I1588" s="4">
        <v>2400.86</v>
      </c>
      <c r="J1588" s="4">
        <v>21806.97</v>
      </c>
      <c r="K1588" s="3">
        <v>139</v>
      </c>
      <c r="L1588" s="2" t="s">
        <v>2536</v>
      </c>
      <c r="M1588" s="2" t="s">
        <v>2524</v>
      </c>
      <c r="N1588" s="8">
        <f>IFERROR(G1588/F1588,0)</f>
        <v>8.039019803725686E-2</v>
      </c>
      <c r="O1588" s="8">
        <f>IFERROR(H1588/G1588,0)</f>
        <v>0.12792397660818713</v>
      </c>
      <c r="P1588" s="4">
        <f>IFERROR(I1588/G1588,0)</f>
        <v>1.755014619883041</v>
      </c>
      <c r="Q1588" s="4">
        <f>IFERROR(I1588/H1588,0)</f>
        <v>13.719200000000001</v>
      </c>
      <c r="R1588" s="12">
        <f>IFERROR(J1588/I1588,0)</f>
        <v>9.082982764509385</v>
      </c>
      <c r="S1588" s="7">
        <f>Tabla_nuevas_columnas[[#This Row],[ROAS]]</f>
        <v>9.082982764509385</v>
      </c>
      <c r="T1588" t="str">
        <f>_xlfn.CONCAT(C1588,"-",D1588)</f>
        <v>Display-España</v>
      </c>
      <c r="U1588">
        <f>YEAR(A1588)</f>
        <v>2025</v>
      </c>
      <c r="V1588">
        <f>MONTH(A1588)</f>
        <v>9</v>
      </c>
      <c r="W1588" t="str">
        <f>PROPER(TEXT(A1588,"mmmm"))</f>
        <v>Septiembre</v>
      </c>
      <c r="X1588" t="str">
        <f>PROPER(TEXT(A1588,"dddd"))</f>
        <v>Lunes</v>
      </c>
      <c r="Y1588" t="str" cm="1">
        <f t="array" ref="Y1588">_xlfn.IFS(R1588&gt;10,"Excelente",R1588&gt;=5,"Bueno",R1588&gt;=2,"Débil",R1588&lt;2,"Deficiente")</f>
        <v>Bueno</v>
      </c>
      <c r="Z1588" t="str">
        <f>IF(AND(R1588&lt;2,Q1588&gt;=100),"Revisar","OK")</f>
        <v>OK</v>
      </c>
      <c r="AA1588" s="55">
        <f>_xlfn.XLOOKUP(C1588,'Preguntas de negocio'!$C$114:$C$119,'Preguntas de negocio'!$D$114:$D$119,0)</f>
        <v>5</v>
      </c>
      <c r="AB1588" s="55">
        <f>VLOOKUP(C1588,'Preguntas de negocio'!$C$121:$D$127,2,FALSE)</f>
        <v>0.5</v>
      </c>
    </row>
    <row r="1589" spans="1:28" x14ac:dyDescent="0.3">
      <c r="A1589" s="1">
        <v>45999</v>
      </c>
      <c r="B1589" s="2" t="s">
        <v>2632</v>
      </c>
      <c r="C1589" s="2" t="s">
        <v>2533</v>
      </c>
      <c r="D1589" s="2" t="s">
        <v>2528</v>
      </c>
      <c r="E1589" s="2" t="s">
        <v>2517</v>
      </c>
      <c r="F1589" s="3">
        <v>22089</v>
      </c>
      <c r="G1589" s="3">
        <v>767</v>
      </c>
      <c r="H1589" s="3">
        <v>39</v>
      </c>
      <c r="I1589" s="4">
        <v>511.54</v>
      </c>
      <c r="J1589" s="4">
        <v>5509.86</v>
      </c>
      <c r="K1589" s="3">
        <v>32</v>
      </c>
      <c r="L1589" s="2" t="s">
        <v>2539</v>
      </c>
      <c r="M1589" s="2" t="s">
        <v>2519</v>
      </c>
      <c r="N1589" s="8">
        <f>IFERROR(G1589/F1589,0)</f>
        <v>3.4723165376431706E-2</v>
      </c>
      <c r="O1589" s="8">
        <f>IFERROR(H1589/G1589,0)</f>
        <v>5.0847457627118647E-2</v>
      </c>
      <c r="P1589" s="4">
        <f>IFERROR(I1589/G1589,0)</f>
        <v>0.66693611473272496</v>
      </c>
      <c r="Q1589" s="4">
        <f>IFERROR(I1589/H1589,0)</f>
        <v>13.116410256410257</v>
      </c>
      <c r="R1589" s="12">
        <f>IFERROR(J1589/I1589,0)</f>
        <v>10.771122492864682</v>
      </c>
      <c r="S1589" s="7">
        <f>Tabla_nuevas_columnas[[#This Row],[ROAS]]</f>
        <v>10.771122492864682</v>
      </c>
      <c r="T1589" t="str">
        <f>_xlfn.CONCAT(C1589,"-",D1589)</f>
        <v>Paid Social-España</v>
      </c>
      <c r="U1589">
        <f>YEAR(A1589)</f>
        <v>2025</v>
      </c>
      <c r="V1589">
        <f>MONTH(A1589)</f>
        <v>12</v>
      </c>
      <c r="W1589" t="str">
        <f>PROPER(TEXT(A1589,"mmmm"))</f>
        <v>Diciembre</v>
      </c>
      <c r="X1589" t="str">
        <f>PROPER(TEXT(A1589,"dddd"))</f>
        <v>Lunes</v>
      </c>
      <c r="Y1589" t="str" cm="1">
        <f t="array" ref="Y1589">_xlfn.IFS(R1589&gt;10,"Excelente",R1589&gt;=5,"Bueno",R1589&gt;=2,"Débil",R1589&lt;2,"Deficiente")</f>
        <v>Excelente</v>
      </c>
      <c r="Z1589" t="str">
        <f>IF(AND(R1589&lt;2,Q1589&gt;=100),"Revisar","OK")</f>
        <v>OK</v>
      </c>
      <c r="AA1589" s="55">
        <f>_xlfn.XLOOKUP(C1589,'Preguntas de negocio'!$C$114:$C$119,'Preguntas de negocio'!$D$114:$D$119,0)</f>
        <v>6</v>
      </c>
      <c r="AB1589" s="55">
        <f>VLOOKUP(C1589,'Preguntas de negocio'!$C$121:$D$127,2,FALSE)</f>
        <v>0.8</v>
      </c>
    </row>
    <row r="1590" spans="1:28" x14ac:dyDescent="0.3">
      <c r="A1590" s="1">
        <v>45729</v>
      </c>
      <c r="B1590" s="2" t="s">
        <v>2628</v>
      </c>
      <c r="C1590" s="2" t="s">
        <v>2543</v>
      </c>
      <c r="D1590" s="2" t="s">
        <v>2528</v>
      </c>
      <c r="E1590" s="2" t="s">
        <v>2529</v>
      </c>
      <c r="F1590" s="3">
        <v>53503</v>
      </c>
      <c r="G1590" s="3">
        <v>2980</v>
      </c>
      <c r="H1590" s="3">
        <v>356</v>
      </c>
      <c r="I1590" s="4">
        <v>1686.23</v>
      </c>
      <c r="J1590" s="4">
        <v>28910.76</v>
      </c>
      <c r="K1590" s="3">
        <v>260</v>
      </c>
      <c r="L1590" s="2" t="s">
        <v>2518</v>
      </c>
      <c r="M1590" s="2" t="s">
        <v>2526</v>
      </c>
      <c r="N1590" s="8">
        <f>IFERROR(G1590/F1590,0)</f>
        <v>5.5697811337682E-2</v>
      </c>
      <c r="O1590" s="8">
        <f>IFERROR(H1590/G1590,0)</f>
        <v>0.11946308724832215</v>
      </c>
      <c r="P1590" s="4">
        <f>IFERROR(I1590/G1590,0)</f>
        <v>0.56584899328859062</v>
      </c>
      <c r="Q1590" s="4">
        <f>IFERROR(I1590/H1590,0)</f>
        <v>4.7366011235955057</v>
      </c>
      <c r="R1590" s="12">
        <f>IFERROR(J1590/I1590,0)</f>
        <v>17.145205576937901</v>
      </c>
      <c r="S1590" s="7">
        <f>Tabla_nuevas_columnas[[#This Row],[ROAS]]</f>
        <v>17.145205576937901</v>
      </c>
      <c r="T1590" t="str">
        <f>_xlfn.CONCAT(C1590,"-",D1590)</f>
        <v>Organic Social-España</v>
      </c>
      <c r="U1590">
        <f>YEAR(A1590)</f>
        <v>2025</v>
      </c>
      <c r="V1590">
        <f>MONTH(A1590)</f>
        <v>3</v>
      </c>
      <c r="W1590" t="str">
        <f>PROPER(TEXT(A1590,"mmmm"))</f>
        <v>Marzo</v>
      </c>
      <c r="X1590" t="str">
        <f>PROPER(TEXT(A1590,"dddd"))</f>
        <v>Jueves</v>
      </c>
      <c r="Y1590" t="str" cm="1">
        <f t="array" ref="Y1590">_xlfn.IFS(R1590&gt;10,"Excelente",R1590&gt;=5,"Bueno",R1590&gt;=2,"Débil",R1590&lt;2,"Deficiente")</f>
        <v>Excelente</v>
      </c>
      <c r="Z1590" t="str">
        <f>IF(AND(R1590&lt;2,Q1590&gt;=100),"Revisar","OK")</f>
        <v>OK</v>
      </c>
      <c r="AA1590" s="55">
        <f>_xlfn.XLOOKUP(C1590,'Preguntas de negocio'!$C$114:$C$119,'Preguntas de negocio'!$D$114:$D$119,0)</f>
        <v>4</v>
      </c>
      <c r="AB1590" s="55">
        <f>VLOOKUP(C1590,'Preguntas de negocio'!$C$121:$D$127,2,FALSE)</f>
        <v>0.95</v>
      </c>
    </row>
    <row r="1591" spans="1:28" x14ac:dyDescent="0.3">
      <c r="A1591" s="1">
        <v>45909</v>
      </c>
      <c r="B1591" s="2" t="s">
        <v>2630</v>
      </c>
      <c r="C1591" s="2" t="s">
        <v>2533</v>
      </c>
      <c r="D1591" s="2" t="s">
        <v>2525</v>
      </c>
      <c r="E1591" s="2" t="s">
        <v>2517</v>
      </c>
      <c r="F1591" s="3">
        <v>73951</v>
      </c>
      <c r="G1591" s="3">
        <v>2624</v>
      </c>
      <c r="H1591" s="3">
        <v>333</v>
      </c>
      <c r="I1591" s="4">
        <v>3254.98</v>
      </c>
      <c r="J1591" s="4">
        <v>23542.28</v>
      </c>
      <c r="K1591" s="3">
        <v>201</v>
      </c>
      <c r="L1591" s="2" t="s">
        <v>2539</v>
      </c>
      <c r="M1591" s="2" t="s">
        <v>2524</v>
      </c>
      <c r="N1591" s="8">
        <f>IFERROR(G1591/F1591,0)</f>
        <v>3.5482954929615555E-2</v>
      </c>
      <c r="O1591" s="8">
        <f>IFERROR(H1591/G1591,0)</f>
        <v>0.12690548780487804</v>
      </c>
      <c r="P1591" s="4">
        <f>IFERROR(I1591/G1591,0)</f>
        <v>1.2404649390243903</v>
      </c>
      <c r="Q1591" s="4">
        <f>IFERROR(I1591/H1591,0)</f>
        <v>9.7747147147147153</v>
      </c>
      <c r="R1591" s="12">
        <f>IFERROR(J1591/I1591,0)</f>
        <v>7.232695746210422</v>
      </c>
      <c r="S1591" s="7">
        <f>Tabla_nuevas_columnas[[#This Row],[ROAS]]</f>
        <v>7.232695746210422</v>
      </c>
      <c r="T1591" t="str">
        <f>_xlfn.CONCAT(C1591,"-",D1591)</f>
        <v>Paid Social-Francia</v>
      </c>
      <c r="U1591">
        <f>YEAR(A1591)</f>
        <v>2025</v>
      </c>
      <c r="V1591">
        <f>MONTH(A1591)</f>
        <v>9</v>
      </c>
      <c r="W1591" t="str">
        <f>PROPER(TEXT(A1591,"mmmm"))</f>
        <v>Septiembre</v>
      </c>
      <c r="X1591" t="str">
        <f>PROPER(TEXT(A1591,"dddd"))</f>
        <v>Martes</v>
      </c>
      <c r="Y1591" t="str" cm="1">
        <f t="array" ref="Y1591">_xlfn.IFS(R1591&gt;10,"Excelente",R1591&gt;=5,"Bueno",R1591&gt;=2,"Débil",R1591&lt;2,"Deficiente")</f>
        <v>Bueno</v>
      </c>
      <c r="Z1591" t="str">
        <f>IF(AND(R1591&lt;2,Q1591&gt;=100),"Revisar","OK")</f>
        <v>OK</v>
      </c>
      <c r="AA1591" s="55">
        <f>_xlfn.XLOOKUP(C1591,'Preguntas de negocio'!$C$114:$C$119,'Preguntas de negocio'!$D$114:$D$119,0)</f>
        <v>6</v>
      </c>
      <c r="AB1591" s="55">
        <f>VLOOKUP(C1591,'Preguntas de negocio'!$C$121:$D$127,2,FALSE)</f>
        <v>0.8</v>
      </c>
    </row>
    <row r="1592" spans="1:28" x14ac:dyDescent="0.3">
      <c r="A1592" s="1">
        <v>45793</v>
      </c>
      <c r="B1592" s="2" t="s">
        <v>2615</v>
      </c>
      <c r="C1592" s="2" t="s">
        <v>2521</v>
      </c>
      <c r="D1592" s="2" t="s">
        <v>2522</v>
      </c>
      <c r="E1592" s="2" t="s">
        <v>2517</v>
      </c>
      <c r="F1592" s="3">
        <v>131478</v>
      </c>
      <c r="G1592" s="3">
        <v>5362</v>
      </c>
      <c r="H1592" s="3">
        <v>650</v>
      </c>
      <c r="I1592" s="4">
        <v>5076.24</v>
      </c>
      <c r="J1592" s="4">
        <v>120757.47</v>
      </c>
      <c r="K1592" s="3">
        <v>486</v>
      </c>
      <c r="L1592" s="2" t="s">
        <v>2518</v>
      </c>
      <c r="M1592" s="2" t="s">
        <v>2546</v>
      </c>
      <c r="N1592" s="8">
        <f>IFERROR(G1592/F1592,0)</f>
        <v>4.078248832504297E-2</v>
      </c>
      <c r="O1592" s="8">
        <f>IFERROR(H1592/G1592,0)</f>
        <v>0.12122342409548675</v>
      </c>
      <c r="P1592" s="4">
        <f>IFERROR(I1592/G1592,0)</f>
        <v>0.94670645281611332</v>
      </c>
      <c r="Q1592" s="4">
        <f>IFERROR(I1592/H1592,0)</f>
        <v>7.8095999999999997</v>
      </c>
      <c r="R1592" s="12">
        <f>IFERROR(J1592/I1592,0)</f>
        <v>23.788762942650468</v>
      </c>
      <c r="S1592" s="7">
        <f>Tabla_nuevas_columnas[[#This Row],[ROAS]]</f>
        <v>23.788762942650468</v>
      </c>
      <c r="T1592" t="str">
        <f>_xlfn.CONCAT(C1592,"-",D1592)</f>
        <v>Paid Search-Italia</v>
      </c>
      <c r="U1592">
        <f>YEAR(A1592)</f>
        <v>2025</v>
      </c>
      <c r="V1592">
        <f>MONTH(A1592)</f>
        <v>5</v>
      </c>
      <c r="W1592" t="str">
        <f>PROPER(TEXT(A1592,"mmmm"))</f>
        <v>Mayo</v>
      </c>
      <c r="X1592" t="str">
        <f>PROPER(TEXT(A1592,"dddd"))</f>
        <v>Viernes</v>
      </c>
      <c r="Y1592" t="str" cm="1">
        <f t="array" ref="Y1592">_xlfn.IFS(R1592&gt;10,"Excelente",R1592&gt;=5,"Bueno",R1592&gt;=2,"Débil",R1592&lt;2,"Deficiente")</f>
        <v>Excelente</v>
      </c>
      <c r="Z1592" t="str">
        <f>IF(AND(R1592&lt;2,Q1592&gt;=100),"Revisar","OK")</f>
        <v>OK</v>
      </c>
      <c r="AA1592" s="55">
        <f>_xlfn.XLOOKUP(C1592,'Preguntas de negocio'!$C$114:$C$119,'Preguntas de negocio'!$D$114:$D$119,0)</f>
        <v>5</v>
      </c>
      <c r="AB1592" s="55">
        <f>VLOOKUP(C1592,'Preguntas de negocio'!$C$121:$D$127,2,FALSE)</f>
        <v>1.1000000000000001</v>
      </c>
    </row>
    <row r="1593" spans="1:28" x14ac:dyDescent="0.3">
      <c r="A1593" s="1">
        <v>45831</v>
      </c>
      <c r="B1593" s="2" t="s">
        <v>2619</v>
      </c>
      <c r="C1593" s="2" t="s">
        <v>2543</v>
      </c>
      <c r="D1593" s="2" t="s">
        <v>2531</v>
      </c>
      <c r="E1593" s="2" t="s">
        <v>2529</v>
      </c>
      <c r="F1593" s="3">
        <v>65993</v>
      </c>
      <c r="G1593" s="3">
        <v>2080</v>
      </c>
      <c r="H1593" s="3">
        <v>53</v>
      </c>
      <c r="I1593" s="4">
        <v>1320.35</v>
      </c>
      <c r="J1593" s="4">
        <v>8882.56</v>
      </c>
      <c r="K1593" s="3">
        <v>24</v>
      </c>
      <c r="L1593" s="2" t="s">
        <v>2536</v>
      </c>
      <c r="M1593" s="2" t="s">
        <v>2537</v>
      </c>
      <c r="N1593" s="8">
        <f>IFERROR(G1593/F1593,0)</f>
        <v>3.1518494385768189E-2</v>
      </c>
      <c r="O1593" s="8">
        <f>IFERROR(H1593/G1593,0)</f>
        <v>2.548076923076923E-2</v>
      </c>
      <c r="P1593" s="4">
        <f>IFERROR(I1593/G1593,0)</f>
        <v>0.63478365384615376</v>
      </c>
      <c r="Q1593" s="4">
        <f>IFERROR(I1593/H1593,0)</f>
        <v>24.912264150943393</v>
      </c>
      <c r="R1593" s="12">
        <f>IFERROR(J1593/I1593,0)</f>
        <v>6.727428333396448</v>
      </c>
      <c r="S1593" s="7">
        <f>Tabla_nuevas_columnas[[#This Row],[ROAS]]</f>
        <v>6.727428333396448</v>
      </c>
      <c r="T1593" t="str">
        <f>_xlfn.CONCAT(C1593,"-",D1593)</f>
        <v>Organic Social-Portugal</v>
      </c>
      <c r="U1593">
        <f>YEAR(A1593)</f>
        <v>2025</v>
      </c>
      <c r="V1593">
        <f>MONTH(A1593)</f>
        <v>6</v>
      </c>
      <c r="W1593" t="str">
        <f>PROPER(TEXT(A1593,"mmmm"))</f>
        <v>Junio</v>
      </c>
      <c r="X1593" t="str">
        <f>PROPER(TEXT(A1593,"dddd"))</f>
        <v>Lunes</v>
      </c>
      <c r="Y1593" t="str" cm="1">
        <f t="array" ref="Y1593">_xlfn.IFS(R1593&gt;10,"Excelente",R1593&gt;=5,"Bueno",R1593&gt;=2,"Débil",R1593&lt;2,"Deficiente")</f>
        <v>Bueno</v>
      </c>
      <c r="Z1593" t="str">
        <f>IF(AND(R1593&lt;2,Q1593&gt;=100),"Revisar","OK")</f>
        <v>OK</v>
      </c>
      <c r="AA1593" s="55">
        <f>_xlfn.XLOOKUP(C1593,'Preguntas de negocio'!$C$114:$C$119,'Preguntas de negocio'!$D$114:$D$119,0)</f>
        <v>4</v>
      </c>
      <c r="AB1593" s="55">
        <f>VLOOKUP(C1593,'Preguntas de negocio'!$C$121:$D$127,2,FALSE)</f>
        <v>0.95</v>
      </c>
    </row>
    <row r="1594" spans="1:28" x14ac:dyDescent="0.3">
      <c r="A1594" s="1">
        <v>45888</v>
      </c>
      <c r="B1594" s="2" t="s">
        <v>2643</v>
      </c>
      <c r="C1594" s="2" t="s">
        <v>2521</v>
      </c>
      <c r="D1594" s="2" t="s">
        <v>2516</v>
      </c>
      <c r="E1594" s="2" t="s">
        <v>2517</v>
      </c>
      <c r="F1594" s="3">
        <v>59500</v>
      </c>
      <c r="G1594" s="3">
        <v>2120</v>
      </c>
      <c r="H1594" s="3">
        <v>111</v>
      </c>
      <c r="I1594" s="4">
        <v>2125.35</v>
      </c>
      <c r="J1594" s="4">
        <v>10947.21</v>
      </c>
      <c r="K1594" s="3">
        <v>58</v>
      </c>
      <c r="L1594" s="2" t="s">
        <v>2536</v>
      </c>
      <c r="M1594" s="2" t="s">
        <v>2526</v>
      </c>
      <c r="N1594" s="8">
        <f>IFERROR(G1594/F1594,0)</f>
        <v>3.5630252100840337E-2</v>
      </c>
      <c r="O1594" s="8">
        <f>IFERROR(H1594/G1594,0)</f>
        <v>5.2358490566037738E-2</v>
      </c>
      <c r="P1594" s="4">
        <f>IFERROR(I1594/G1594,0)</f>
        <v>1.0025235849056604</v>
      </c>
      <c r="Q1594" s="4">
        <f>IFERROR(I1594/H1594,0)</f>
        <v>19.147297297297296</v>
      </c>
      <c r="R1594" s="12">
        <f>IFERROR(J1594/I1594,0)</f>
        <v>5.1507798715505677</v>
      </c>
      <c r="S1594" s="7">
        <f>Tabla_nuevas_columnas[[#This Row],[ROAS]]</f>
        <v>5.1507798715505677</v>
      </c>
      <c r="T1594" t="str">
        <f>_xlfn.CONCAT(C1594,"-",D1594)</f>
        <v>Paid Search-México</v>
      </c>
      <c r="U1594">
        <f>YEAR(A1594)</f>
        <v>2025</v>
      </c>
      <c r="V1594">
        <f>MONTH(A1594)</f>
        <v>8</v>
      </c>
      <c r="W1594" t="str">
        <f>PROPER(TEXT(A1594,"mmmm"))</f>
        <v>Agosto</v>
      </c>
      <c r="X1594" t="str">
        <f>PROPER(TEXT(A1594,"dddd"))</f>
        <v>Martes</v>
      </c>
      <c r="Y1594" t="str" cm="1">
        <f t="array" ref="Y1594">_xlfn.IFS(R1594&gt;10,"Excelente",R1594&gt;=5,"Bueno",R1594&gt;=2,"Débil",R1594&lt;2,"Deficiente")</f>
        <v>Bueno</v>
      </c>
      <c r="Z1594" t="str">
        <f>IF(AND(R1594&lt;2,Q1594&gt;=100),"Revisar","OK")</f>
        <v>OK</v>
      </c>
      <c r="AA1594" s="55">
        <f>_xlfn.XLOOKUP(C1594,'Preguntas de negocio'!$C$114:$C$119,'Preguntas de negocio'!$D$114:$D$119,0)</f>
        <v>5</v>
      </c>
      <c r="AB1594" s="55">
        <f>VLOOKUP(C1594,'Preguntas de negocio'!$C$121:$D$127,2,FALSE)</f>
        <v>1.1000000000000001</v>
      </c>
    </row>
    <row r="1595" spans="1:28" x14ac:dyDescent="0.3">
      <c r="A1595" s="1">
        <v>45858</v>
      </c>
      <c r="B1595" s="2" t="s">
        <v>2623</v>
      </c>
      <c r="C1595" s="2" t="s">
        <v>2543</v>
      </c>
      <c r="D1595" s="2" t="s">
        <v>2528</v>
      </c>
      <c r="E1595" s="2" t="s">
        <v>2529</v>
      </c>
      <c r="F1595" s="3">
        <v>137385</v>
      </c>
      <c r="G1595" s="3">
        <v>12227</v>
      </c>
      <c r="H1595" s="3">
        <v>1349</v>
      </c>
      <c r="I1595" s="4">
        <v>24381.01</v>
      </c>
      <c r="J1595" s="4">
        <v>265670.28000000003</v>
      </c>
      <c r="K1595" s="3">
        <v>720</v>
      </c>
      <c r="L1595" s="2" t="s">
        <v>2523</v>
      </c>
      <c r="M1595" s="2" t="s">
        <v>2526</v>
      </c>
      <c r="N1595" s="8">
        <f>IFERROR(G1595/F1595,0)</f>
        <v>8.8998071114022637E-2</v>
      </c>
      <c r="O1595" s="8">
        <f>IFERROR(H1595/G1595,0)</f>
        <v>0.11032959842970474</v>
      </c>
      <c r="P1595" s="4">
        <f>IFERROR(I1595/G1595,0)</f>
        <v>1.9940304244704341</v>
      </c>
      <c r="Q1595" s="4">
        <f>IFERROR(I1595/H1595,0)</f>
        <v>18.073395107487027</v>
      </c>
      <c r="R1595" s="12">
        <f>IFERROR(J1595/I1595,0)</f>
        <v>10.896606826378401</v>
      </c>
      <c r="S1595" s="7">
        <f>Tabla_nuevas_columnas[[#This Row],[ROAS]]</f>
        <v>10.896606826378401</v>
      </c>
      <c r="T1595" t="str">
        <f>_xlfn.CONCAT(C1595,"-",D1595)</f>
        <v>Organic Social-España</v>
      </c>
      <c r="U1595">
        <f>YEAR(A1595)</f>
        <v>2025</v>
      </c>
      <c r="V1595">
        <f>MONTH(A1595)</f>
        <v>7</v>
      </c>
      <c r="W1595" t="str">
        <f>PROPER(TEXT(A1595,"mmmm"))</f>
        <v>Julio</v>
      </c>
      <c r="X1595" t="str">
        <f>PROPER(TEXT(A1595,"dddd"))</f>
        <v>Domingo</v>
      </c>
      <c r="Y1595" t="str" cm="1">
        <f t="array" ref="Y1595">_xlfn.IFS(R1595&gt;10,"Excelente",R1595&gt;=5,"Bueno",R1595&gt;=2,"Débil",R1595&lt;2,"Deficiente")</f>
        <v>Excelente</v>
      </c>
      <c r="Z1595" t="str">
        <f>IF(AND(R1595&lt;2,Q1595&gt;=100),"Revisar","OK")</f>
        <v>OK</v>
      </c>
      <c r="AA1595" s="55">
        <f>_xlfn.XLOOKUP(C1595,'Preguntas de negocio'!$C$114:$C$119,'Preguntas de negocio'!$D$114:$D$119,0)</f>
        <v>4</v>
      </c>
      <c r="AB1595" s="55">
        <f>VLOOKUP(C1595,'Preguntas de negocio'!$C$121:$D$127,2,FALSE)</f>
        <v>0.95</v>
      </c>
    </row>
    <row r="1596" spans="1:28" x14ac:dyDescent="0.3">
      <c r="A1596" s="1">
        <v>45755</v>
      </c>
      <c r="B1596" s="2" t="s">
        <v>2644</v>
      </c>
      <c r="C1596" s="2" t="s">
        <v>2533</v>
      </c>
      <c r="D1596" s="2" t="s">
        <v>2528</v>
      </c>
      <c r="E1596" s="2" t="s">
        <v>2529</v>
      </c>
      <c r="F1596" s="3">
        <v>5924</v>
      </c>
      <c r="G1596" s="3">
        <v>36</v>
      </c>
      <c r="H1596" s="3">
        <v>4</v>
      </c>
      <c r="I1596" s="4">
        <v>10.82</v>
      </c>
      <c r="J1596" s="4">
        <v>744.24</v>
      </c>
      <c r="K1596" s="3">
        <v>3</v>
      </c>
      <c r="L1596" s="2" t="s">
        <v>2539</v>
      </c>
      <c r="M1596" s="2" t="s">
        <v>2537</v>
      </c>
      <c r="N1596" s="8">
        <f>IFERROR(G1596/F1596,0)</f>
        <v>6.0769750168804858E-3</v>
      </c>
      <c r="O1596" s="8">
        <f>IFERROR(H1596/G1596,0)</f>
        <v>0.1111111111111111</v>
      </c>
      <c r="P1596" s="4">
        <f>IFERROR(I1596/G1596,0)</f>
        <v>0.30055555555555558</v>
      </c>
      <c r="Q1596" s="4">
        <f>IFERROR(I1596/H1596,0)</f>
        <v>2.7050000000000001</v>
      </c>
      <c r="R1596" s="12">
        <f>IFERROR(J1596/I1596,0)</f>
        <v>68.783733826247683</v>
      </c>
      <c r="S1596" s="7">
        <f>Tabla_nuevas_columnas[[#This Row],[ROAS]]</f>
        <v>68.783733826247683</v>
      </c>
      <c r="T1596" t="str">
        <f>_xlfn.CONCAT(C1596,"-",D1596)</f>
        <v>Paid Social-España</v>
      </c>
      <c r="U1596">
        <f>YEAR(A1596)</f>
        <v>2025</v>
      </c>
      <c r="V1596">
        <f>MONTH(A1596)</f>
        <v>4</v>
      </c>
      <c r="W1596" t="str">
        <f>PROPER(TEXT(A1596,"mmmm"))</f>
        <v>Abril</v>
      </c>
      <c r="X1596" t="str">
        <f>PROPER(TEXT(A1596,"dddd"))</f>
        <v>Martes</v>
      </c>
      <c r="Y1596" t="str" cm="1">
        <f t="array" ref="Y1596">_xlfn.IFS(R1596&gt;10,"Excelente",R1596&gt;=5,"Bueno",R1596&gt;=2,"Débil",R1596&lt;2,"Deficiente")</f>
        <v>Excelente</v>
      </c>
      <c r="Z1596" t="str">
        <f>IF(AND(R1596&lt;2,Q1596&gt;=100),"Revisar","OK")</f>
        <v>OK</v>
      </c>
      <c r="AA1596" s="55">
        <f>_xlfn.XLOOKUP(C1596,'Preguntas de negocio'!$C$114:$C$119,'Preguntas de negocio'!$D$114:$D$119,0)</f>
        <v>6</v>
      </c>
      <c r="AB1596" s="55">
        <f>VLOOKUP(C1596,'Preguntas de negocio'!$C$121:$D$127,2,FALSE)</f>
        <v>0.8</v>
      </c>
    </row>
    <row r="1597" spans="1:28" x14ac:dyDescent="0.3">
      <c r="A1597" s="1">
        <v>45846</v>
      </c>
      <c r="B1597" s="2" t="s">
        <v>2616</v>
      </c>
      <c r="C1597" s="2" t="s">
        <v>2521</v>
      </c>
      <c r="D1597" s="2" t="s">
        <v>2516</v>
      </c>
      <c r="E1597" s="2" t="s">
        <v>2534</v>
      </c>
      <c r="F1597" s="3">
        <v>122849</v>
      </c>
      <c r="G1597" s="3">
        <v>8784</v>
      </c>
      <c r="H1597" s="3">
        <v>175</v>
      </c>
      <c r="I1597" s="4">
        <v>2448.02</v>
      </c>
      <c r="J1597" s="4">
        <v>27271.61</v>
      </c>
      <c r="K1597" s="3">
        <v>102</v>
      </c>
      <c r="L1597" s="2" t="s">
        <v>2539</v>
      </c>
      <c r="M1597" s="2" t="s">
        <v>2526</v>
      </c>
      <c r="N1597" s="8">
        <f>IFERROR(G1597/F1597,0)</f>
        <v>7.1502413532059689E-2</v>
      </c>
      <c r="O1597" s="8">
        <f>IFERROR(H1597/G1597,0)</f>
        <v>1.9922586520947177E-2</v>
      </c>
      <c r="P1597" s="4">
        <f>IFERROR(I1597/G1597,0)</f>
        <v>0.27869080145719488</v>
      </c>
      <c r="Q1597" s="4">
        <f>IFERROR(I1597/H1597,0)</f>
        <v>13.988685714285714</v>
      </c>
      <c r="R1597" s="12">
        <f>IFERROR(J1597/I1597,0)</f>
        <v>11.140272546792918</v>
      </c>
      <c r="S1597" s="7">
        <f>Tabla_nuevas_columnas[[#This Row],[ROAS]]</f>
        <v>11.140272546792918</v>
      </c>
      <c r="T1597" t="str">
        <f>_xlfn.CONCAT(C1597,"-",D1597)</f>
        <v>Paid Search-México</v>
      </c>
      <c r="U1597">
        <f>YEAR(A1597)</f>
        <v>2025</v>
      </c>
      <c r="V1597">
        <f>MONTH(A1597)</f>
        <v>7</v>
      </c>
      <c r="W1597" t="str">
        <f>PROPER(TEXT(A1597,"mmmm"))</f>
        <v>Julio</v>
      </c>
      <c r="X1597" t="str">
        <f>PROPER(TEXT(A1597,"dddd"))</f>
        <v>Martes</v>
      </c>
      <c r="Y1597" t="str" cm="1">
        <f t="array" ref="Y1597">_xlfn.IFS(R1597&gt;10,"Excelente",R1597&gt;=5,"Bueno",R1597&gt;=2,"Débil",R1597&lt;2,"Deficiente")</f>
        <v>Excelente</v>
      </c>
      <c r="Z1597" t="str">
        <f>IF(AND(R1597&lt;2,Q1597&gt;=100),"Revisar","OK")</f>
        <v>OK</v>
      </c>
      <c r="AA1597" s="55">
        <f>_xlfn.XLOOKUP(C1597,'Preguntas de negocio'!$C$114:$C$119,'Preguntas de negocio'!$D$114:$D$119,0)</f>
        <v>5</v>
      </c>
      <c r="AB1597" s="55">
        <f>VLOOKUP(C1597,'Preguntas de negocio'!$C$121:$D$127,2,FALSE)</f>
        <v>1.1000000000000001</v>
      </c>
    </row>
    <row r="1598" spans="1:28" x14ac:dyDescent="0.3">
      <c r="A1598" s="1">
        <v>45956</v>
      </c>
      <c r="B1598" s="2" t="s">
        <v>2629</v>
      </c>
      <c r="C1598" s="2" t="s">
        <v>2527</v>
      </c>
      <c r="D1598" s="2" t="s">
        <v>2525</v>
      </c>
      <c r="E1598" s="2" t="s">
        <v>2517</v>
      </c>
      <c r="F1598" s="3">
        <v>57201</v>
      </c>
      <c r="G1598" s="3">
        <v>462</v>
      </c>
      <c r="H1598" s="3">
        <v>9</v>
      </c>
      <c r="I1598" s="4">
        <v>624.30999999999995</v>
      </c>
      <c r="J1598" s="4">
        <v>651.48</v>
      </c>
      <c r="K1598" s="3">
        <v>5</v>
      </c>
      <c r="L1598" s="2" t="s">
        <v>2523</v>
      </c>
      <c r="M1598" s="2" t="s">
        <v>2524</v>
      </c>
      <c r="N1598" s="8">
        <f>IFERROR(G1598/F1598,0)</f>
        <v>8.0767818744427542E-3</v>
      </c>
      <c r="O1598" s="8">
        <f>IFERROR(H1598/G1598,0)</f>
        <v>1.948051948051948E-2</v>
      </c>
      <c r="P1598" s="4">
        <f>IFERROR(I1598/G1598,0)</f>
        <v>1.3513203463203463</v>
      </c>
      <c r="Q1598" s="4">
        <f>IFERROR(I1598/H1598,0)</f>
        <v>69.367777777777775</v>
      </c>
      <c r="R1598" s="12">
        <f>IFERROR(J1598/I1598,0)</f>
        <v>1.0435200461309286</v>
      </c>
      <c r="S1598" s="7">
        <f>Tabla_nuevas_columnas[[#This Row],[ROAS]]</f>
        <v>1.0435200461309286</v>
      </c>
      <c r="T1598" t="str">
        <f>_xlfn.CONCAT(C1598,"-",D1598)</f>
        <v>Affiliate-Francia</v>
      </c>
      <c r="U1598">
        <f>YEAR(A1598)</f>
        <v>2025</v>
      </c>
      <c r="V1598">
        <f>MONTH(A1598)</f>
        <v>10</v>
      </c>
      <c r="W1598" t="str">
        <f>PROPER(TEXT(A1598,"mmmm"))</f>
        <v>Octubre</v>
      </c>
      <c r="X1598" t="str">
        <f>PROPER(TEXT(A1598,"dddd"))</f>
        <v>Domingo</v>
      </c>
      <c r="Y1598" t="str" cm="1">
        <f t="array" ref="Y1598">_xlfn.IFS(R1598&gt;10,"Excelente",R1598&gt;=5,"Bueno",R1598&gt;=2,"Débil",R1598&lt;2,"Deficiente")</f>
        <v>Deficiente</v>
      </c>
      <c r="Z1598" t="str">
        <f>IF(AND(R1598&lt;2,Q1598&gt;=100),"Revisar","OK")</f>
        <v>OK</v>
      </c>
      <c r="AA1598" s="55">
        <f>_xlfn.XLOOKUP(C1598,'Preguntas de negocio'!$C$114:$C$119,'Preguntas de negocio'!$D$114:$D$119,0)</f>
        <v>4.5</v>
      </c>
      <c r="AB1598" s="55">
        <f>VLOOKUP(C1598,'Preguntas de negocio'!$C$121:$D$127,2,FALSE)</f>
        <v>0.35</v>
      </c>
    </row>
    <row r="1599" spans="1:28" x14ac:dyDescent="0.3">
      <c r="A1599" s="1">
        <v>45863</v>
      </c>
      <c r="B1599" s="2" t="s">
        <v>2625</v>
      </c>
      <c r="C1599" s="2" t="s">
        <v>2533</v>
      </c>
      <c r="D1599" s="2" t="s">
        <v>2525</v>
      </c>
      <c r="E1599" s="2" t="s">
        <v>2517</v>
      </c>
      <c r="F1599" s="3">
        <v>98819</v>
      </c>
      <c r="G1599" s="3">
        <v>672</v>
      </c>
      <c r="H1599" s="3">
        <v>74</v>
      </c>
      <c r="I1599" s="4">
        <v>261.18</v>
      </c>
      <c r="J1599" s="4">
        <v>6994.36</v>
      </c>
      <c r="K1599" s="3">
        <v>63</v>
      </c>
      <c r="L1599" s="2" t="s">
        <v>2523</v>
      </c>
      <c r="M1599" s="2" t="s">
        <v>2524</v>
      </c>
      <c r="N1599" s="8">
        <f>IFERROR(G1599/F1599,0)</f>
        <v>6.8003116809520437E-3</v>
      </c>
      <c r="O1599" s="8">
        <f>IFERROR(H1599/G1599,0)</f>
        <v>0.11011904761904762</v>
      </c>
      <c r="P1599" s="4">
        <f>IFERROR(I1599/G1599,0)</f>
        <v>0.3886607142857143</v>
      </c>
      <c r="Q1599" s="4">
        <f>IFERROR(I1599/H1599,0)</f>
        <v>3.5294594594594595</v>
      </c>
      <c r="R1599" s="12">
        <f>IFERROR(J1599/I1599,0)</f>
        <v>26.77984531740562</v>
      </c>
      <c r="S1599" s="7">
        <f>Tabla_nuevas_columnas[[#This Row],[ROAS]]</f>
        <v>26.77984531740562</v>
      </c>
      <c r="T1599" t="str">
        <f>_xlfn.CONCAT(C1599,"-",D1599)</f>
        <v>Paid Social-Francia</v>
      </c>
      <c r="U1599">
        <f>YEAR(A1599)</f>
        <v>2025</v>
      </c>
      <c r="V1599">
        <f>MONTH(A1599)</f>
        <v>7</v>
      </c>
      <c r="W1599" t="str">
        <f>PROPER(TEXT(A1599,"mmmm"))</f>
        <v>Julio</v>
      </c>
      <c r="X1599" t="str">
        <f>PROPER(TEXT(A1599,"dddd"))</f>
        <v>Viernes</v>
      </c>
      <c r="Y1599" t="str" cm="1">
        <f t="array" ref="Y1599">_xlfn.IFS(R1599&gt;10,"Excelente",R1599&gt;=5,"Bueno",R1599&gt;=2,"Débil",R1599&lt;2,"Deficiente")</f>
        <v>Excelente</v>
      </c>
      <c r="Z1599" t="str">
        <f>IF(AND(R1599&lt;2,Q1599&gt;=100),"Revisar","OK")</f>
        <v>OK</v>
      </c>
      <c r="AA1599" s="55">
        <f>_xlfn.XLOOKUP(C1599,'Preguntas de negocio'!$C$114:$C$119,'Preguntas de negocio'!$D$114:$D$119,0)</f>
        <v>6</v>
      </c>
      <c r="AB1599" s="55">
        <f>VLOOKUP(C1599,'Preguntas de negocio'!$C$121:$D$127,2,FALSE)</f>
        <v>0.8</v>
      </c>
    </row>
    <row r="1600" spans="1:28" x14ac:dyDescent="0.3">
      <c r="A1600" s="1">
        <v>46022</v>
      </c>
      <c r="B1600" s="2" t="s">
        <v>2618</v>
      </c>
      <c r="C1600" s="2" t="s">
        <v>2521</v>
      </c>
      <c r="D1600" s="2" t="s">
        <v>2516</v>
      </c>
      <c r="E1600" s="2" t="s">
        <v>2534</v>
      </c>
      <c r="F1600" s="3">
        <v>43699</v>
      </c>
      <c r="G1600" s="3">
        <v>3745</v>
      </c>
      <c r="H1600" s="3">
        <v>163</v>
      </c>
      <c r="I1600" s="4">
        <v>2934.64</v>
      </c>
      <c r="J1600" s="4">
        <v>3744.79</v>
      </c>
      <c r="K1600" s="3">
        <v>132</v>
      </c>
      <c r="L1600" s="2" t="s">
        <v>2536</v>
      </c>
      <c r="M1600" s="2" t="s">
        <v>2526</v>
      </c>
      <c r="N1600" s="8">
        <f>IFERROR(G1600/F1600,0)</f>
        <v>8.5699901599578937E-2</v>
      </c>
      <c r="O1600" s="8">
        <f>IFERROR(H1600/G1600,0)</f>
        <v>4.3524699599465956E-2</v>
      </c>
      <c r="P1600" s="4">
        <f>IFERROR(I1600/G1600,0)</f>
        <v>0.78361548731642183</v>
      </c>
      <c r="Q1600" s="4">
        <f>IFERROR(I1600/H1600,0)</f>
        <v>18.003926380368096</v>
      </c>
      <c r="R1600" s="12">
        <f>IFERROR(J1600/I1600,0)</f>
        <v>1.2760645258021428</v>
      </c>
      <c r="S1600" s="7">
        <f>Tabla_nuevas_columnas[[#This Row],[ROAS]]</f>
        <v>1.2760645258021428</v>
      </c>
      <c r="T1600" t="str">
        <f>_xlfn.CONCAT(C1600,"-",D1600)</f>
        <v>Paid Search-México</v>
      </c>
      <c r="U1600">
        <f>YEAR(A1600)</f>
        <v>2025</v>
      </c>
      <c r="V1600">
        <f>MONTH(A1600)</f>
        <v>12</v>
      </c>
      <c r="W1600" t="str">
        <f>PROPER(TEXT(A1600,"mmmm"))</f>
        <v>Diciembre</v>
      </c>
      <c r="X1600" t="str">
        <f>PROPER(TEXT(A1600,"dddd"))</f>
        <v>Miércoles</v>
      </c>
      <c r="Y1600" t="str" cm="1">
        <f t="array" ref="Y1600">_xlfn.IFS(R1600&gt;10,"Excelente",R1600&gt;=5,"Bueno",R1600&gt;=2,"Débil",R1600&lt;2,"Deficiente")</f>
        <v>Deficiente</v>
      </c>
      <c r="Z1600" t="str">
        <f>IF(AND(R1600&lt;2,Q1600&gt;=100),"Revisar","OK")</f>
        <v>OK</v>
      </c>
      <c r="AA1600" s="55">
        <f>_xlfn.XLOOKUP(C1600,'Preguntas de negocio'!$C$114:$C$119,'Preguntas de negocio'!$D$114:$D$119,0)</f>
        <v>5</v>
      </c>
      <c r="AB1600" s="55">
        <f>VLOOKUP(C1600,'Preguntas de negocio'!$C$121:$D$127,2,FALSE)</f>
        <v>1.1000000000000001</v>
      </c>
    </row>
    <row r="1601" spans="1:28" x14ac:dyDescent="0.3">
      <c r="A1601" s="1">
        <v>45976</v>
      </c>
      <c r="B1601" s="2" t="s">
        <v>2615</v>
      </c>
      <c r="C1601" s="2" t="s">
        <v>2515</v>
      </c>
      <c r="D1601" s="2" t="s">
        <v>2516</v>
      </c>
      <c r="E1601" s="2" t="s">
        <v>2517</v>
      </c>
      <c r="F1601" s="3">
        <v>171047</v>
      </c>
      <c r="G1601" s="3">
        <v>2182</v>
      </c>
      <c r="H1601" s="3">
        <v>155</v>
      </c>
      <c r="I1601" s="4">
        <v>2980.57</v>
      </c>
      <c r="J1601" s="4">
        <v>18902.5</v>
      </c>
      <c r="K1601" s="3">
        <v>94</v>
      </c>
      <c r="L1601" s="2" t="s">
        <v>2518</v>
      </c>
      <c r="M1601" s="2" t="s">
        <v>2524</v>
      </c>
      <c r="N1601" s="8">
        <f>IFERROR(G1601/F1601,0)</f>
        <v>1.2756727683034487E-2</v>
      </c>
      <c r="O1601" s="8">
        <f>IFERROR(H1601/G1601,0)</f>
        <v>7.1035747021081577E-2</v>
      </c>
      <c r="P1601" s="4">
        <f>IFERROR(I1601/G1601,0)</f>
        <v>1.365980751604033</v>
      </c>
      <c r="Q1601" s="4">
        <f>IFERROR(I1601/H1601,0)</f>
        <v>19.229483870967744</v>
      </c>
      <c r="R1601" s="12">
        <f>IFERROR(J1601/I1601,0)</f>
        <v>6.3419077558990393</v>
      </c>
      <c r="S1601" s="7">
        <f>Tabla_nuevas_columnas[[#This Row],[ROAS]]</f>
        <v>6.3419077558990393</v>
      </c>
      <c r="T1601" t="str">
        <f>_xlfn.CONCAT(C1601,"-",D1601)</f>
        <v>Email-México</v>
      </c>
      <c r="U1601">
        <f>YEAR(A1601)</f>
        <v>2025</v>
      </c>
      <c r="V1601">
        <f>MONTH(A1601)</f>
        <v>11</v>
      </c>
      <c r="W1601" t="str">
        <f>PROPER(TEXT(A1601,"mmmm"))</f>
        <v>Noviembre</v>
      </c>
      <c r="X1601" t="str">
        <f>PROPER(TEXT(A1601,"dddd"))</f>
        <v>Sábado</v>
      </c>
      <c r="Y1601" t="str" cm="1">
        <f t="array" ref="Y1601">_xlfn.IFS(R1601&gt;10,"Excelente",R1601&gt;=5,"Bueno",R1601&gt;=2,"Débil",R1601&lt;2,"Deficiente")</f>
        <v>Bueno</v>
      </c>
      <c r="Z1601" t="str">
        <f>IF(AND(R1601&lt;2,Q1601&gt;=100),"Revisar","OK")</f>
        <v>OK</v>
      </c>
      <c r="AA1601" s="55">
        <f>_xlfn.XLOOKUP(C1601,'Preguntas de negocio'!$C$114:$C$119,'Preguntas de negocio'!$D$114:$D$119,0)</f>
        <v>5.5</v>
      </c>
      <c r="AB1601" s="55">
        <f>VLOOKUP(C1601,'Preguntas de negocio'!$C$121:$D$127,2,FALSE)</f>
        <v>0.65</v>
      </c>
    </row>
    <row r="1602" spans="1:28" x14ac:dyDescent="0.3">
      <c r="A1602" s="1">
        <v>45912</v>
      </c>
      <c r="B1602" s="2" t="s">
        <v>2619</v>
      </c>
      <c r="C1602" s="2" t="s">
        <v>2515</v>
      </c>
      <c r="D1602" s="2" t="s">
        <v>2528</v>
      </c>
      <c r="E1602" s="2" t="s">
        <v>2517</v>
      </c>
      <c r="F1602" s="3">
        <v>144284</v>
      </c>
      <c r="G1602" s="3">
        <v>7528</v>
      </c>
      <c r="H1602" s="3">
        <v>501</v>
      </c>
      <c r="I1602" s="4">
        <v>14677.35</v>
      </c>
      <c r="J1602" s="4">
        <v>94154.6</v>
      </c>
      <c r="K1602" s="3">
        <v>329</v>
      </c>
      <c r="L1602" s="2" t="s">
        <v>2536</v>
      </c>
      <c r="M1602" s="2" t="s">
        <v>2537</v>
      </c>
      <c r="N1602" s="8">
        <f>IFERROR(G1602/F1602,0)</f>
        <v>5.2174877325275149E-2</v>
      </c>
      <c r="O1602" s="8">
        <f>IFERROR(H1602/G1602,0)</f>
        <v>6.6551540913921362E-2</v>
      </c>
      <c r="P1602" s="4">
        <f>IFERROR(I1602/G1602,0)</f>
        <v>1.949701115834219</v>
      </c>
      <c r="Q1602" s="4">
        <f>IFERROR(I1602/H1602,0)</f>
        <v>29.29610778443114</v>
      </c>
      <c r="R1602" s="12">
        <f>IFERROR(J1602/I1602,0)</f>
        <v>6.4149591036529072</v>
      </c>
      <c r="S1602" s="7">
        <f>Tabla_nuevas_columnas[[#This Row],[ROAS]]</f>
        <v>6.4149591036529072</v>
      </c>
      <c r="T1602" t="str">
        <f>_xlfn.CONCAT(C1602,"-",D1602)</f>
        <v>Email-España</v>
      </c>
      <c r="U1602">
        <f>YEAR(A1602)</f>
        <v>2025</v>
      </c>
      <c r="V1602">
        <f>MONTH(A1602)</f>
        <v>9</v>
      </c>
      <c r="W1602" t="str">
        <f>PROPER(TEXT(A1602,"mmmm"))</f>
        <v>Septiembre</v>
      </c>
      <c r="X1602" t="str">
        <f>PROPER(TEXT(A1602,"dddd"))</f>
        <v>Viernes</v>
      </c>
      <c r="Y1602" t="str" cm="1">
        <f t="array" ref="Y1602">_xlfn.IFS(R1602&gt;10,"Excelente",R1602&gt;=5,"Bueno",R1602&gt;=2,"Débil",R1602&lt;2,"Deficiente")</f>
        <v>Bueno</v>
      </c>
      <c r="Z1602" t="str">
        <f>IF(AND(R1602&lt;2,Q1602&gt;=100),"Revisar","OK")</f>
        <v>OK</v>
      </c>
      <c r="AA1602" s="55">
        <f>_xlfn.XLOOKUP(C1602,'Preguntas de negocio'!$C$114:$C$119,'Preguntas de negocio'!$D$114:$D$119,0)</f>
        <v>5.5</v>
      </c>
      <c r="AB1602" s="55">
        <f>VLOOKUP(C1602,'Preguntas de negocio'!$C$121:$D$127,2,FALSE)</f>
        <v>0.65</v>
      </c>
    </row>
    <row r="1603" spans="1:28" x14ac:dyDescent="0.3">
      <c r="A1603" s="1">
        <v>45895</v>
      </c>
      <c r="B1603" s="2" t="s">
        <v>2630</v>
      </c>
      <c r="C1603" s="2" t="s">
        <v>2515</v>
      </c>
      <c r="D1603" s="2" t="s">
        <v>2528</v>
      </c>
      <c r="E1603" s="2" t="s">
        <v>2529</v>
      </c>
      <c r="F1603" s="3">
        <v>78711</v>
      </c>
      <c r="G1603" s="3">
        <v>5756</v>
      </c>
      <c r="H1603" s="3">
        <v>611</v>
      </c>
      <c r="I1603" s="4">
        <v>2861.34</v>
      </c>
      <c r="J1603" s="4">
        <v>99760.57</v>
      </c>
      <c r="K1603" s="3">
        <v>522</v>
      </c>
      <c r="L1603" s="2" t="s">
        <v>2523</v>
      </c>
      <c r="M1603" s="2" t="s">
        <v>2537</v>
      </c>
      <c r="N1603" s="8">
        <f>IFERROR(G1603/F1603,0)</f>
        <v>7.3128279401862506E-2</v>
      </c>
      <c r="O1603" s="8">
        <f>IFERROR(H1603/G1603,0)</f>
        <v>0.1061501042390549</v>
      </c>
      <c r="P1603" s="4">
        <f>IFERROR(I1603/G1603,0)</f>
        <v>0.49710562890896459</v>
      </c>
      <c r="Q1603" s="4">
        <f>IFERROR(I1603/H1603,0)</f>
        <v>4.6830441898527004</v>
      </c>
      <c r="R1603" s="12">
        <f>IFERROR(J1603/I1603,0)</f>
        <v>34.864982840207738</v>
      </c>
      <c r="S1603" s="7">
        <f>Tabla_nuevas_columnas[[#This Row],[ROAS]]</f>
        <v>34.864982840207738</v>
      </c>
      <c r="T1603" t="str">
        <f>_xlfn.CONCAT(C1603,"-",D1603)</f>
        <v>Email-España</v>
      </c>
      <c r="U1603">
        <f>YEAR(A1603)</f>
        <v>2025</v>
      </c>
      <c r="V1603">
        <f>MONTH(A1603)</f>
        <v>8</v>
      </c>
      <c r="W1603" t="str">
        <f>PROPER(TEXT(A1603,"mmmm"))</f>
        <v>Agosto</v>
      </c>
      <c r="X1603" t="str">
        <f>PROPER(TEXT(A1603,"dddd"))</f>
        <v>Martes</v>
      </c>
      <c r="Y1603" t="str" cm="1">
        <f t="array" ref="Y1603">_xlfn.IFS(R1603&gt;10,"Excelente",R1603&gt;=5,"Bueno",R1603&gt;=2,"Débil",R1603&lt;2,"Deficiente")</f>
        <v>Excelente</v>
      </c>
      <c r="Z1603" t="str">
        <f>IF(AND(R1603&lt;2,Q1603&gt;=100),"Revisar","OK")</f>
        <v>OK</v>
      </c>
      <c r="AA1603" s="55">
        <f>_xlfn.XLOOKUP(C1603,'Preguntas de negocio'!$C$114:$C$119,'Preguntas de negocio'!$D$114:$D$119,0)</f>
        <v>5.5</v>
      </c>
      <c r="AB1603" s="55">
        <f>VLOOKUP(C1603,'Preguntas de negocio'!$C$121:$D$127,2,FALSE)</f>
        <v>0.65</v>
      </c>
    </row>
    <row r="1604" spans="1:28" x14ac:dyDescent="0.3">
      <c r="A1604" s="1">
        <v>45880</v>
      </c>
      <c r="B1604" s="2" t="s">
        <v>2618</v>
      </c>
      <c r="C1604" s="2" t="s">
        <v>2515</v>
      </c>
      <c r="D1604" s="2" t="s">
        <v>2525</v>
      </c>
      <c r="E1604" s="2" t="s">
        <v>2529</v>
      </c>
      <c r="F1604" s="3">
        <v>77997</v>
      </c>
      <c r="G1604" s="3">
        <v>1274</v>
      </c>
      <c r="H1604" s="3">
        <v>94</v>
      </c>
      <c r="I1604" s="4">
        <v>1441.47</v>
      </c>
      <c r="J1604" s="4">
        <v>5544.5</v>
      </c>
      <c r="K1604" s="3">
        <v>73</v>
      </c>
      <c r="L1604" s="2" t="s">
        <v>2518</v>
      </c>
      <c r="M1604" s="2" t="s">
        <v>2524</v>
      </c>
      <c r="N1604" s="8">
        <f>IFERROR(G1604/F1604,0)</f>
        <v>1.6333961562624205E-2</v>
      </c>
      <c r="O1604" s="8">
        <f>IFERROR(H1604/G1604,0)</f>
        <v>7.378335949764521E-2</v>
      </c>
      <c r="P1604" s="4">
        <f>IFERROR(I1604/G1604,0)</f>
        <v>1.1314521193092621</v>
      </c>
      <c r="Q1604" s="4">
        <f>IFERROR(I1604/H1604,0)</f>
        <v>15.334787234042553</v>
      </c>
      <c r="R1604" s="12">
        <f>IFERROR(J1604/I1604,0)</f>
        <v>3.8464206677905195</v>
      </c>
      <c r="S1604" s="7">
        <f>Tabla_nuevas_columnas[[#This Row],[ROAS]]</f>
        <v>3.8464206677905195</v>
      </c>
      <c r="T1604" t="str">
        <f>_xlfn.CONCAT(C1604,"-",D1604)</f>
        <v>Email-Francia</v>
      </c>
      <c r="U1604">
        <f>YEAR(A1604)</f>
        <v>2025</v>
      </c>
      <c r="V1604">
        <f>MONTH(A1604)</f>
        <v>8</v>
      </c>
      <c r="W1604" t="str">
        <f>PROPER(TEXT(A1604,"mmmm"))</f>
        <v>Agosto</v>
      </c>
      <c r="X1604" t="str">
        <f>PROPER(TEXT(A1604,"dddd"))</f>
        <v>Lunes</v>
      </c>
      <c r="Y1604" t="str" cm="1">
        <f t="array" ref="Y1604">_xlfn.IFS(R1604&gt;10,"Excelente",R1604&gt;=5,"Bueno",R1604&gt;=2,"Débil",R1604&lt;2,"Deficiente")</f>
        <v>Débil</v>
      </c>
      <c r="Z1604" t="str">
        <f>IF(AND(R1604&lt;2,Q1604&gt;=100),"Revisar","OK")</f>
        <v>OK</v>
      </c>
      <c r="AA1604" s="55">
        <f>_xlfn.XLOOKUP(C1604,'Preguntas de negocio'!$C$114:$C$119,'Preguntas de negocio'!$D$114:$D$119,0)</f>
        <v>5.5</v>
      </c>
      <c r="AB1604" s="55">
        <f>VLOOKUP(C1604,'Preguntas de negocio'!$C$121:$D$127,2,FALSE)</f>
        <v>0.65</v>
      </c>
    </row>
    <row r="1605" spans="1:28" x14ac:dyDescent="0.3">
      <c r="A1605" s="1">
        <v>45684</v>
      </c>
      <c r="B1605" s="2" t="s">
        <v>2639</v>
      </c>
      <c r="C1605" s="2" t="s">
        <v>2533</v>
      </c>
      <c r="D1605" s="2" t="s">
        <v>2525</v>
      </c>
      <c r="E1605" s="2" t="s">
        <v>2534</v>
      </c>
      <c r="F1605" s="3">
        <v>165204</v>
      </c>
      <c r="G1605" s="3">
        <v>12204</v>
      </c>
      <c r="H1605" s="3">
        <v>470</v>
      </c>
      <c r="I1605" s="4">
        <v>10390.040000000001</v>
      </c>
      <c r="J1605" s="4">
        <v>80861.14</v>
      </c>
      <c r="K1605" s="3">
        <v>408</v>
      </c>
      <c r="L1605" s="2" t="s">
        <v>2518</v>
      </c>
      <c r="M1605" s="2" t="s">
        <v>2526</v>
      </c>
      <c r="N1605" s="8">
        <f>IFERROR(G1605/F1605,0)</f>
        <v>7.3872303334059711E-2</v>
      </c>
      <c r="O1605" s="8">
        <f>IFERROR(H1605/G1605,0)</f>
        <v>3.8511963290724351E-2</v>
      </c>
      <c r="P1605" s="4">
        <f>IFERROR(I1605/G1605,0)</f>
        <v>0.85136348738118661</v>
      </c>
      <c r="Q1605" s="4">
        <f>IFERROR(I1605/H1605,0)</f>
        <v>22.106468085106386</v>
      </c>
      <c r="R1605" s="12">
        <f>IFERROR(J1605/I1605,0)</f>
        <v>7.782562916023422</v>
      </c>
      <c r="S1605" s="7">
        <f>Tabla_nuevas_columnas[[#This Row],[ROAS]]</f>
        <v>7.782562916023422</v>
      </c>
      <c r="T1605" t="str">
        <f>_xlfn.CONCAT(C1605,"-",D1605)</f>
        <v>Paid Social-Francia</v>
      </c>
      <c r="U1605">
        <f>YEAR(A1605)</f>
        <v>2025</v>
      </c>
      <c r="V1605">
        <f>MONTH(A1605)</f>
        <v>1</v>
      </c>
      <c r="W1605" t="str">
        <f>PROPER(TEXT(A1605,"mmmm"))</f>
        <v>Enero</v>
      </c>
      <c r="X1605" t="str">
        <f>PROPER(TEXT(A1605,"dddd"))</f>
        <v>Lunes</v>
      </c>
      <c r="Y1605" t="str" cm="1">
        <f t="array" ref="Y1605">_xlfn.IFS(R1605&gt;10,"Excelente",R1605&gt;=5,"Bueno",R1605&gt;=2,"Débil",R1605&lt;2,"Deficiente")</f>
        <v>Bueno</v>
      </c>
      <c r="Z1605" t="str">
        <f>IF(AND(R1605&lt;2,Q1605&gt;=100),"Revisar","OK")</f>
        <v>OK</v>
      </c>
      <c r="AA1605" s="55">
        <f>_xlfn.XLOOKUP(C1605,'Preguntas de negocio'!$C$114:$C$119,'Preguntas de negocio'!$D$114:$D$119,0)</f>
        <v>6</v>
      </c>
      <c r="AB1605" s="55">
        <f>VLOOKUP(C1605,'Preguntas de negocio'!$C$121:$D$127,2,FALSE)</f>
        <v>0.8</v>
      </c>
    </row>
    <row r="1606" spans="1:28" x14ac:dyDescent="0.3">
      <c r="A1606" s="1">
        <v>45808</v>
      </c>
      <c r="B1606" s="2" t="s">
        <v>2635</v>
      </c>
      <c r="C1606" s="2" t="s">
        <v>2521</v>
      </c>
      <c r="D1606" s="2" t="s">
        <v>2528</v>
      </c>
      <c r="E1606" s="2" t="s">
        <v>2517</v>
      </c>
      <c r="F1606" s="3">
        <v>174851</v>
      </c>
      <c r="G1606" s="3">
        <v>3727</v>
      </c>
      <c r="H1606" s="3">
        <v>90</v>
      </c>
      <c r="I1606" s="4">
        <v>1228.3599999999999</v>
      </c>
      <c r="J1606" s="4">
        <v>9191.2900000000009</v>
      </c>
      <c r="K1606" s="3">
        <v>64</v>
      </c>
      <c r="L1606" s="2" t="s">
        <v>2536</v>
      </c>
      <c r="M1606" s="2" t="s">
        <v>2519</v>
      </c>
      <c r="N1606" s="8">
        <f>IFERROR(G1606/F1606,0)</f>
        <v>2.1315291305168401E-2</v>
      </c>
      <c r="O1606" s="8">
        <f>IFERROR(H1606/G1606,0)</f>
        <v>2.4148108398175477E-2</v>
      </c>
      <c r="P1606" s="4">
        <f>IFERROR(I1606/G1606,0)</f>
        <v>0.32958411591092029</v>
      </c>
      <c r="Q1606" s="4">
        <f>IFERROR(I1606/H1606,0)</f>
        <v>13.648444444444443</v>
      </c>
      <c r="R1606" s="12">
        <f>IFERROR(J1606/I1606,0)</f>
        <v>7.4825702562766629</v>
      </c>
      <c r="S1606" s="7">
        <f>Tabla_nuevas_columnas[[#This Row],[ROAS]]</f>
        <v>7.4825702562766629</v>
      </c>
      <c r="T1606" t="str">
        <f>_xlfn.CONCAT(C1606,"-",D1606)</f>
        <v>Paid Search-España</v>
      </c>
      <c r="U1606">
        <f>YEAR(A1606)</f>
        <v>2025</v>
      </c>
      <c r="V1606">
        <f>MONTH(A1606)</f>
        <v>5</v>
      </c>
      <c r="W1606" t="str">
        <f>PROPER(TEXT(A1606,"mmmm"))</f>
        <v>Mayo</v>
      </c>
      <c r="X1606" t="str">
        <f>PROPER(TEXT(A1606,"dddd"))</f>
        <v>Sábado</v>
      </c>
      <c r="Y1606" t="str" cm="1">
        <f t="array" ref="Y1606">_xlfn.IFS(R1606&gt;10,"Excelente",R1606&gt;=5,"Bueno",R1606&gt;=2,"Débil",R1606&lt;2,"Deficiente")</f>
        <v>Bueno</v>
      </c>
      <c r="Z1606" t="str">
        <f>IF(AND(R1606&lt;2,Q1606&gt;=100),"Revisar","OK")</f>
        <v>OK</v>
      </c>
      <c r="AA1606" s="55">
        <f>_xlfn.XLOOKUP(C1606,'Preguntas de negocio'!$C$114:$C$119,'Preguntas de negocio'!$D$114:$D$119,0)</f>
        <v>5</v>
      </c>
      <c r="AB1606" s="55">
        <f>VLOOKUP(C1606,'Preguntas de negocio'!$C$121:$D$127,2,FALSE)</f>
        <v>1.1000000000000001</v>
      </c>
    </row>
    <row r="1607" spans="1:28" x14ac:dyDescent="0.3">
      <c r="A1607" s="1">
        <v>45725</v>
      </c>
      <c r="B1607" s="2" t="s">
        <v>2617</v>
      </c>
      <c r="C1607" s="2" t="s">
        <v>2543</v>
      </c>
      <c r="D1607" s="2" t="s">
        <v>2528</v>
      </c>
      <c r="E1607" s="2" t="s">
        <v>2517</v>
      </c>
      <c r="F1607" s="3">
        <v>59836</v>
      </c>
      <c r="G1607" s="3">
        <v>2678</v>
      </c>
      <c r="H1607" s="3">
        <v>277</v>
      </c>
      <c r="I1607" s="4">
        <v>2101.9</v>
      </c>
      <c r="J1607" s="4">
        <v>9658.89</v>
      </c>
      <c r="K1607" s="3">
        <v>209</v>
      </c>
      <c r="L1607" s="2" t="s">
        <v>2539</v>
      </c>
      <c r="M1607" s="2" t="s">
        <v>2537</v>
      </c>
      <c r="N1607" s="8">
        <f>IFERROR(G1607/F1607,0)</f>
        <v>4.4755665485660803E-2</v>
      </c>
      <c r="O1607" s="8">
        <f>IFERROR(H1607/G1607,0)</f>
        <v>0.10343539955190441</v>
      </c>
      <c r="P1607" s="4">
        <f>IFERROR(I1607/G1607,0)</f>
        <v>0.78487677371172515</v>
      </c>
      <c r="Q1607" s="4">
        <f>IFERROR(I1607/H1607,0)</f>
        <v>7.5880866425992783</v>
      </c>
      <c r="R1607" s="12">
        <f>IFERROR(J1607/I1607,0)</f>
        <v>4.5953137637375701</v>
      </c>
      <c r="S1607" s="7">
        <f>Tabla_nuevas_columnas[[#This Row],[ROAS]]</f>
        <v>4.5953137637375701</v>
      </c>
      <c r="T1607" t="str">
        <f>_xlfn.CONCAT(C1607,"-",D1607)</f>
        <v>Organic Social-España</v>
      </c>
      <c r="U1607">
        <f>YEAR(A1607)</f>
        <v>2025</v>
      </c>
      <c r="V1607">
        <f>MONTH(A1607)</f>
        <v>3</v>
      </c>
      <c r="W1607" t="str">
        <f>PROPER(TEXT(A1607,"mmmm"))</f>
        <v>Marzo</v>
      </c>
      <c r="X1607" t="str">
        <f>PROPER(TEXT(A1607,"dddd"))</f>
        <v>Domingo</v>
      </c>
      <c r="Y1607" t="str" cm="1">
        <f t="array" ref="Y1607">_xlfn.IFS(R1607&gt;10,"Excelente",R1607&gt;=5,"Bueno",R1607&gt;=2,"Débil",R1607&lt;2,"Deficiente")</f>
        <v>Débil</v>
      </c>
      <c r="Z1607" t="str">
        <f>IF(AND(R1607&lt;2,Q1607&gt;=100),"Revisar","OK")</f>
        <v>OK</v>
      </c>
      <c r="AA1607" s="55">
        <f>_xlfn.XLOOKUP(C1607,'Preguntas de negocio'!$C$114:$C$119,'Preguntas de negocio'!$D$114:$D$119,0)</f>
        <v>4</v>
      </c>
      <c r="AB1607" s="55">
        <f>VLOOKUP(C1607,'Preguntas de negocio'!$C$121:$D$127,2,FALSE)</f>
        <v>0.95</v>
      </c>
    </row>
    <row r="1608" spans="1:28" x14ac:dyDescent="0.3">
      <c r="A1608" s="1">
        <v>45932</v>
      </c>
      <c r="B1608" s="2" t="s">
        <v>2642</v>
      </c>
      <c r="C1608" s="2" t="s">
        <v>2527</v>
      </c>
      <c r="D1608" s="2" t="s">
        <v>2525</v>
      </c>
      <c r="E1608" s="2" t="s">
        <v>2529</v>
      </c>
      <c r="F1608" s="3">
        <v>53631</v>
      </c>
      <c r="G1608" s="3">
        <v>1537</v>
      </c>
      <c r="H1608" s="3">
        <v>68</v>
      </c>
      <c r="I1608" s="4">
        <v>2958.95</v>
      </c>
      <c r="J1608" s="4">
        <v>4047.44</v>
      </c>
      <c r="K1608" s="3">
        <v>31</v>
      </c>
      <c r="L1608" s="2" t="s">
        <v>2523</v>
      </c>
      <c r="M1608" s="2" t="s">
        <v>2519</v>
      </c>
      <c r="N1608" s="8">
        <f>IFERROR(G1608/F1608,0)</f>
        <v>2.8658798083198149E-2</v>
      </c>
      <c r="O1608" s="8">
        <f>IFERROR(H1608/G1608,0)</f>
        <v>4.4242029928432007E-2</v>
      </c>
      <c r="P1608" s="4">
        <f>IFERROR(I1608/G1608,0)</f>
        <v>1.9251463890696161</v>
      </c>
      <c r="Q1608" s="4">
        <f>IFERROR(I1608/H1608,0)</f>
        <v>43.513970588235289</v>
      </c>
      <c r="R1608" s="12">
        <f>IFERROR(J1608/I1608,0)</f>
        <v>1.3678636002636071</v>
      </c>
      <c r="S1608" s="7">
        <f>Tabla_nuevas_columnas[[#This Row],[ROAS]]</f>
        <v>1.3678636002636071</v>
      </c>
      <c r="T1608" t="str">
        <f>_xlfn.CONCAT(C1608,"-",D1608)</f>
        <v>Affiliate-Francia</v>
      </c>
      <c r="U1608">
        <f>YEAR(A1608)</f>
        <v>2025</v>
      </c>
      <c r="V1608">
        <f>MONTH(A1608)</f>
        <v>10</v>
      </c>
      <c r="W1608" t="str">
        <f>PROPER(TEXT(A1608,"mmmm"))</f>
        <v>Octubre</v>
      </c>
      <c r="X1608" t="str">
        <f>PROPER(TEXT(A1608,"dddd"))</f>
        <v>Jueves</v>
      </c>
      <c r="Y1608" t="str" cm="1">
        <f t="array" ref="Y1608">_xlfn.IFS(R1608&gt;10,"Excelente",R1608&gt;=5,"Bueno",R1608&gt;=2,"Débil",R1608&lt;2,"Deficiente")</f>
        <v>Deficiente</v>
      </c>
      <c r="Z1608" t="str">
        <f>IF(AND(R1608&lt;2,Q1608&gt;=100),"Revisar","OK")</f>
        <v>OK</v>
      </c>
      <c r="AA1608" s="55">
        <f>_xlfn.XLOOKUP(C1608,'Preguntas de negocio'!$C$114:$C$119,'Preguntas de negocio'!$D$114:$D$119,0)</f>
        <v>4.5</v>
      </c>
      <c r="AB1608" s="55">
        <f>VLOOKUP(C1608,'Preguntas de negocio'!$C$121:$D$127,2,FALSE)</f>
        <v>0.35</v>
      </c>
    </row>
    <row r="1609" spans="1:28" x14ac:dyDescent="0.3">
      <c r="A1609" s="1">
        <v>45943</v>
      </c>
      <c r="B1609" s="2" t="s">
        <v>2639</v>
      </c>
      <c r="C1609" s="2" t="s">
        <v>2543</v>
      </c>
      <c r="D1609" s="2" t="s">
        <v>2516</v>
      </c>
      <c r="E1609" s="2" t="s">
        <v>2529</v>
      </c>
      <c r="F1609" s="3">
        <v>154473</v>
      </c>
      <c r="G1609" s="3">
        <v>12215</v>
      </c>
      <c r="H1609" s="3">
        <v>955</v>
      </c>
      <c r="I1609" s="4">
        <v>20863.400000000001</v>
      </c>
      <c r="J1609" s="4">
        <v>190050.32</v>
      </c>
      <c r="K1609" s="3">
        <v>802</v>
      </c>
      <c r="L1609" s="2" t="s">
        <v>2523</v>
      </c>
      <c r="M1609" s="2" t="s">
        <v>2546</v>
      </c>
      <c r="N1609" s="8">
        <f>IFERROR(G1609/F1609,0)</f>
        <v>7.9075307658943633E-2</v>
      </c>
      <c r="O1609" s="8">
        <f>IFERROR(H1609/G1609,0)</f>
        <v>7.8182562423250099E-2</v>
      </c>
      <c r="P1609" s="4">
        <f>IFERROR(I1609/G1609,0)</f>
        <v>1.7080147359803521</v>
      </c>
      <c r="Q1609" s="4">
        <f>IFERROR(I1609/H1609,0)</f>
        <v>21.846492146596859</v>
      </c>
      <c r="R1609" s="12">
        <f>IFERROR(J1609/I1609,0)</f>
        <v>9.1092688631766627</v>
      </c>
      <c r="S1609" s="7">
        <f>Tabla_nuevas_columnas[[#This Row],[ROAS]]</f>
        <v>9.1092688631766627</v>
      </c>
      <c r="T1609" t="str">
        <f>_xlfn.CONCAT(C1609,"-",D1609)</f>
        <v>Organic Social-México</v>
      </c>
      <c r="U1609">
        <f>YEAR(A1609)</f>
        <v>2025</v>
      </c>
      <c r="V1609">
        <f>MONTH(A1609)</f>
        <v>10</v>
      </c>
      <c r="W1609" t="str">
        <f>PROPER(TEXT(A1609,"mmmm"))</f>
        <v>Octubre</v>
      </c>
      <c r="X1609" t="str">
        <f>PROPER(TEXT(A1609,"dddd"))</f>
        <v>Lunes</v>
      </c>
      <c r="Y1609" t="str" cm="1">
        <f t="array" ref="Y1609">_xlfn.IFS(R1609&gt;10,"Excelente",R1609&gt;=5,"Bueno",R1609&gt;=2,"Débil",R1609&lt;2,"Deficiente")</f>
        <v>Bueno</v>
      </c>
      <c r="Z1609" t="str">
        <f>IF(AND(R1609&lt;2,Q1609&gt;=100),"Revisar","OK")</f>
        <v>OK</v>
      </c>
      <c r="AA1609" s="55">
        <f>_xlfn.XLOOKUP(C1609,'Preguntas de negocio'!$C$114:$C$119,'Preguntas de negocio'!$D$114:$D$119,0)</f>
        <v>4</v>
      </c>
      <c r="AB1609" s="55">
        <f>VLOOKUP(C1609,'Preguntas de negocio'!$C$121:$D$127,2,FALSE)</f>
        <v>0.95</v>
      </c>
    </row>
    <row r="1610" spans="1:28" x14ac:dyDescent="0.3">
      <c r="A1610" s="1">
        <v>45747</v>
      </c>
      <c r="B1610" s="2" t="s">
        <v>2617</v>
      </c>
      <c r="C1610" s="2" t="s">
        <v>2533</v>
      </c>
      <c r="D1610" s="2" t="s">
        <v>2528</v>
      </c>
      <c r="E1610" s="2" t="s">
        <v>2529</v>
      </c>
      <c r="F1610" s="3">
        <v>159572</v>
      </c>
      <c r="G1610" s="3">
        <v>6822</v>
      </c>
      <c r="H1610" s="3">
        <v>822</v>
      </c>
      <c r="I1610" s="4">
        <v>5267.14</v>
      </c>
      <c r="J1610" s="4">
        <v>171886.75</v>
      </c>
      <c r="K1610" s="3">
        <v>428</v>
      </c>
      <c r="L1610" s="2" t="s">
        <v>2523</v>
      </c>
      <c r="M1610" s="2" t="s">
        <v>2519</v>
      </c>
      <c r="N1610" s="8">
        <f>IFERROR(G1610/F1610,0)</f>
        <v>4.2751861228787005E-2</v>
      </c>
      <c r="O1610" s="8">
        <f>IFERROR(H1610/G1610,0)</f>
        <v>0.12049252418645559</v>
      </c>
      <c r="P1610" s="4">
        <f>IFERROR(I1610/G1610,0)</f>
        <v>0.77208150102609208</v>
      </c>
      <c r="Q1610" s="4">
        <f>IFERROR(I1610/H1610,0)</f>
        <v>6.407712895377129</v>
      </c>
      <c r="R1610" s="12">
        <f>IFERROR(J1610/I1610,0)</f>
        <v>32.633791773144438</v>
      </c>
      <c r="S1610" s="7">
        <f>Tabla_nuevas_columnas[[#This Row],[ROAS]]</f>
        <v>32.633791773144438</v>
      </c>
      <c r="T1610" t="str">
        <f>_xlfn.CONCAT(C1610,"-",D1610)</f>
        <v>Paid Social-España</v>
      </c>
      <c r="U1610">
        <f>YEAR(A1610)</f>
        <v>2025</v>
      </c>
      <c r="V1610">
        <f>MONTH(A1610)</f>
        <v>3</v>
      </c>
      <c r="W1610" t="str">
        <f>PROPER(TEXT(A1610,"mmmm"))</f>
        <v>Marzo</v>
      </c>
      <c r="X1610" t="str">
        <f>PROPER(TEXT(A1610,"dddd"))</f>
        <v>Lunes</v>
      </c>
      <c r="Y1610" t="str" cm="1">
        <f t="array" ref="Y1610">_xlfn.IFS(R1610&gt;10,"Excelente",R1610&gt;=5,"Bueno",R1610&gt;=2,"Débil",R1610&lt;2,"Deficiente")</f>
        <v>Excelente</v>
      </c>
      <c r="Z1610" t="str">
        <f>IF(AND(R1610&lt;2,Q1610&gt;=100),"Revisar","OK")</f>
        <v>OK</v>
      </c>
      <c r="AA1610" s="55">
        <f>_xlfn.XLOOKUP(C1610,'Preguntas de negocio'!$C$114:$C$119,'Preguntas de negocio'!$D$114:$D$119,0)</f>
        <v>6</v>
      </c>
      <c r="AB1610" s="55">
        <f>VLOOKUP(C1610,'Preguntas de negocio'!$C$121:$D$127,2,FALSE)</f>
        <v>0.8</v>
      </c>
    </row>
    <row r="1611" spans="1:28" x14ac:dyDescent="0.3">
      <c r="A1611" s="1">
        <v>45816</v>
      </c>
      <c r="B1611" s="2" t="s">
        <v>2643</v>
      </c>
      <c r="C1611" s="2" t="s">
        <v>2543</v>
      </c>
      <c r="D1611" s="2" t="s">
        <v>2531</v>
      </c>
      <c r="E1611" s="2" t="s">
        <v>2529</v>
      </c>
      <c r="F1611" s="3">
        <v>151478</v>
      </c>
      <c r="G1611" s="3">
        <v>3984</v>
      </c>
      <c r="H1611" s="3">
        <v>435</v>
      </c>
      <c r="I1611" s="4">
        <v>2136.9699999999998</v>
      </c>
      <c r="J1611" s="4">
        <v>26101.71</v>
      </c>
      <c r="K1611" s="3">
        <v>283</v>
      </c>
      <c r="L1611" s="2" t="s">
        <v>2539</v>
      </c>
      <c r="M1611" s="2" t="s">
        <v>2524</v>
      </c>
      <c r="N1611" s="8">
        <f>IFERROR(G1611/F1611,0)</f>
        <v>2.6300848968166996E-2</v>
      </c>
      <c r="O1611" s="8">
        <f>IFERROR(H1611/G1611,0)</f>
        <v>0.1091867469879518</v>
      </c>
      <c r="P1611" s="4">
        <f>IFERROR(I1611/G1611,0)</f>
        <v>0.53638805220883534</v>
      </c>
      <c r="Q1611" s="4">
        <f>IFERROR(I1611/H1611,0)</f>
        <v>4.9125747126436776</v>
      </c>
      <c r="R1611" s="12">
        <f>IFERROR(J1611/I1611,0)</f>
        <v>12.21435490437395</v>
      </c>
      <c r="S1611" s="7">
        <f>Tabla_nuevas_columnas[[#This Row],[ROAS]]</f>
        <v>12.21435490437395</v>
      </c>
      <c r="T1611" t="str">
        <f>_xlfn.CONCAT(C1611,"-",D1611)</f>
        <v>Organic Social-Portugal</v>
      </c>
      <c r="U1611">
        <f>YEAR(A1611)</f>
        <v>2025</v>
      </c>
      <c r="V1611">
        <f>MONTH(A1611)</f>
        <v>6</v>
      </c>
      <c r="W1611" t="str">
        <f>PROPER(TEXT(A1611,"mmmm"))</f>
        <v>Junio</v>
      </c>
      <c r="X1611" t="str">
        <f>PROPER(TEXT(A1611,"dddd"))</f>
        <v>Domingo</v>
      </c>
      <c r="Y1611" t="str" cm="1">
        <f t="array" ref="Y1611">_xlfn.IFS(R1611&gt;10,"Excelente",R1611&gt;=5,"Bueno",R1611&gt;=2,"Débil",R1611&lt;2,"Deficiente")</f>
        <v>Excelente</v>
      </c>
      <c r="Z1611" t="str">
        <f>IF(AND(R1611&lt;2,Q1611&gt;=100),"Revisar","OK")</f>
        <v>OK</v>
      </c>
      <c r="AA1611" s="55">
        <f>_xlfn.XLOOKUP(C1611,'Preguntas de negocio'!$C$114:$C$119,'Preguntas de negocio'!$D$114:$D$119,0)</f>
        <v>4</v>
      </c>
      <c r="AB1611" s="55">
        <f>VLOOKUP(C1611,'Preguntas de negocio'!$C$121:$D$127,2,FALSE)</f>
        <v>0.95</v>
      </c>
    </row>
    <row r="1612" spans="1:28" x14ac:dyDescent="0.3">
      <c r="A1612" s="1">
        <v>45742</v>
      </c>
      <c r="B1612" s="2" t="s">
        <v>2633</v>
      </c>
      <c r="C1612" s="2" t="s">
        <v>2541</v>
      </c>
      <c r="D1612" s="2" t="s">
        <v>2525</v>
      </c>
      <c r="E1612" s="2" t="s">
        <v>2517</v>
      </c>
      <c r="F1612" s="3">
        <v>40226</v>
      </c>
      <c r="G1612" s="3">
        <v>1822</v>
      </c>
      <c r="H1612" s="3">
        <v>76</v>
      </c>
      <c r="I1612" s="4">
        <v>1629.87</v>
      </c>
      <c r="J1612" s="4">
        <v>1988.08</v>
      </c>
      <c r="K1612" s="3">
        <v>60</v>
      </c>
      <c r="L1612" s="2" t="s">
        <v>2539</v>
      </c>
      <c r="M1612" s="2" t="s">
        <v>2524</v>
      </c>
      <c r="N1612" s="8">
        <f>IFERROR(G1612/F1612,0)</f>
        <v>4.5294088400536968E-2</v>
      </c>
      <c r="O1612" s="8">
        <f>IFERROR(H1612/G1612,0)</f>
        <v>4.1712403951701428E-2</v>
      </c>
      <c r="P1612" s="4">
        <f>IFERROR(I1612/G1612,0)</f>
        <v>0.89454994511525787</v>
      </c>
      <c r="Q1612" s="4">
        <f>IFERROR(I1612/H1612,0)</f>
        <v>21.44565789473684</v>
      </c>
      <c r="R1612" s="12">
        <f>IFERROR(J1612/I1612,0)</f>
        <v>1.2197782645241646</v>
      </c>
      <c r="S1612" s="7">
        <f>Tabla_nuevas_columnas[[#This Row],[ROAS]]</f>
        <v>1.2197782645241646</v>
      </c>
      <c r="T1612" t="str">
        <f>_xlfn.CONCAT(C1612,"-",D1612)</f>
        <v>Display-Francia</v>
      </c>
      <c r="U1612">
        <f>YEAR(A1612)</f>
        <v>2025</v>
      </c>
      <c r="V1612">
        <f>MONTH(A1612)</f>
        <v>3</v>
      </c>
      <c r="W1612" t="str">
        <f>PROPER(TEXT(A1612,"mmmm"))</f>
        <v>Marzo</v>
      </c>
      <c r="X1612" t="str">
        <f>PROPER(TEXT(A1612,"dddd"))</f>
        <v>Miércoles</v>
      </c>
      <c r="Y1612" t="str" cm="1">
        <f t="array" ref="Y1612">_xlfn.IFS(R1612&gt;10,"Excelente",R1612&gt;=5,"Bueno",R1612&gt;=2,"Débil",R1612&lt;2,"Deficiente")</f>
        <v>Deficiente</v>
      </c>
      <c r="Z1612" t="str">
        <f>IF(AND(R1612&lt;2,Q1612&gt;=100),"Revisar","OK")</f>
        <v>OK</v>
      </c>
      <c r="AA1612" s="55">
        <f>_xlfn.XLOOKUP(C1612,'Preguntas de negocio'!$C$114:$C$119,'Preguntas de negocio'!$D$114:$D$119,0)</f>
        <v>5</v>
      </c>
      <c r="AB1612" s="55">
        <f>VLOOKUP(C1612,'Preguntas de negocio'!$C$121:$D$127,2,FALSE)</f>
        <v>0.5</v>
      </c>
    </row>
    <row r="1613" spans="1:28" x14ac:dyDescent="0.3">
      <c r="A1613" s="1">
        <v>45690</v>
      </c>
      <c r="B1613" s="2" t="s">
        <v>2619</v>
      </c>
      <c r="C1613" s="2" t="s">
        <v>2533</v>
      </c>
      <c r="D1613" s="2" t="s">
        <v>2525</v>
      </c>
      <c r="E1613" s="2" t="s">
        <v>2517</v>
      </c>
      <c r="F1613" s="3">
        <v>60226</v>
      </c>
      <c r="G1613" s="3">
        <v>3144</v>
      </c>
      <c r="H1613" s="3">
        <v>297</v>
      </c>
      <c r="I1613" s="4">
        <v>6373.52</v>
      </c>
      <c r="J1613" s="4">
        <v>42517.43</v>
      </c>
      <c r="K1613" s="3">
        <v>212</v>
      </c>
      <c r="L1613" s="2" t="s">
        <v>2539</v>
      </c>
      <c r="M1613" s="2" t="s">
        <v>2537</v>
      </c>
      <c r="N1613" s="8">
        <f>IFERROR(G1613/F1613,0)</f>
        <v>5.2203367316441401E-2</v>
      </c>
      <c r="O1613" s="8">
        <f>IFERROR(H1613/G1613,0)</f>
        <v>9.4465648854961837E-2</v>
      </c>
      <c r="P1613" s="4">
        <f>IFERROR(I1613/G1613,0)</f>
        <v>2.0272010178117048</v>
      </c>
      <c r="Q1613" s="4">
        <f>IFERROR(I1613/H1613,0)</f>
        <v>21.459663299663301</v>
      </c>
      <c r="R1613" s="12">
        <f>IFERROR(J1613/I1613,0)</f>
        <v>6.6709494910190914</v>
      </c>
      <c r="S1613" s="7">
        <f>Tabla_nuevas_columnas[[#This Row],[ROAS]]</f>
        <v>6.6709494910190914</v>
      </c>
      <c r="T1613" t="str">
        <f>_xlfn.CONCAT(C1613,"-",D1613)</f>
        <v>Paid Social-Francia</v>
      </c>
      <c r="U1613">
        <f>YEAR(A1613)</f>
        <v>2025</v>
      </c>
      <c r="V1613">
        <f>MONTH(A1613)</f>
        <v>2</v>
      </c>
      <c r="W1613" t="str">
        <f>PROPER(TEXT(A1613,"mmmm"))</f>
        <v>Febrero</v>
      </c>
      <c r="X1613" t="str">
        <f>PROPER(TEXT(A1613,"dddd"))</f>
        <v>Domingo</v>
      </c>
      <c r="Y1613" t="str" cm="1">
        <f t="array" ref="Y1613">_xlfn.IFS(R1613&gt;10,"Excelente",R1613&gt;=5,"Bueno",R1613&gt;=2,"Débil",R1613&lt;2,"Deficiente")</f>
        <v>Bueno</v>
      </c>
      <c r="Z1613" t="str">
        <f>IF(AND(R1613&lt;2,Q1613&gt;=100),"Revisar","OK")</f>
        <v>OK</v>
      </c>
      <c r="AA1613" s="55">
        <f>_xlfn.XLOOKUP(C1613,'Preguntas de negocio'!$C$114:$C$119,'Preguntas de negocio'!$D$114:$D$119,0)</f>
        <v>6</v>
      </c>
      <c r="AB1613" s="55">
        <f>VLOOKUP(C1613,'Preguntas de negocio'!$C$121:$D$127,2,FALSE)</f>
        <v>0.8</v>
      </c>
    </row>
    <row r="1614" spans="1:28" x14ac:dyDescent="0.3">
      <c r="A1614" s="1">
        <v>45781</v>
      </c>
      <c r="B1614" s="2" t="s">
        <v>2616</v>
      </c>
      <c r="C1614" s="2" t="s">
        <v>2515</v>
      </c>
      <c r="D1614" s="2" t="s">
        <v>2525</v>
      </c>
      <c r="E1614" s="2" t="s">
        <v>2517</v>
      </c>
      <c r="F1614" s="3">
        <v>57217</v>
      </c>
      <c r="G1614" s="3">
        <v>4309</v>
      </c>
      <c r="H1614" s="3">
        <v>98</v>
      </c>
      <c r="I1614" s="4">
        <v>1968.98</v>
      </c>
      <c r="J1614" s="4">
        <v>12456.97</v>
      </c>
      <c r="K1614" s="3">
        <v>74</v>
      </c>
      <c r="L1614" s="2" t="s">
        <v>2523</v>
      </c>
      <c r="M1614" s="2" t="s">
        <v>2519</v>
      </c>
      <c r="N1614" s="8">
        <f>IFERROR(G1614/F1614,0)</f>
        <v>7.5309785553244663E-2</v>
      </c>
      <c r="O1614" s="8">
        <f>IFERROR(H1614/G1614,0)</f>
        <v>2.2743095845903921E-2</v>
      </c>
      <c r="P1614" s="4">
        <f>IFERROR(I1614/G1614,0)</f>
        <v>0.45694592712926435</v>
      </c>
      <c r="Q1614" s="4">
        <f>IFERROR(I1614/H1614,0)</f>
        <v>20.091632653061225</v>
      </c>
      <c r="R1614" s="12">
        <f>IFERROR(J1614/I1614,0)</f>
        <v>6.3266107324604617</v>
      </c>
      <c r="S1614" s="7">
        <f>Tabla_nuevas_columnas[[#This Row],[ROAS]]</f>
        <v>6.3266107324604617</v>
      </c>
      <c r="T1614" t="str">
        <f>_xlfn.CONCAT(C1614,"-",D1614)</f>
        <v>Email-Francia</v>
      </c>
      <c r="U1614">
        <f>YEAR(A1614)</f>
        <v>2025</v>
      </c>
      <c r="V1614">
        <f>MONTH(A1614)</f>
        <v>5</v>
      </c>
      <c r="W1614" t="str">
        <f>PROPER(TEXT(A1614,"mmmm"))</f>
        <v>Mayo</v>
      </c>
      <c r="X1614" t="str">
        <f>PROPER(TEXT(A1614,"dddd"))</f>
        <v>Domingo</v>
      </c>
      <c r="Y1614" t="str" cm="1">
        <f t="array" ref="Y1614">_xlfn.IFS(R1614&gt;10,"Excelente",R1614&gt;=5,"Bueno",R1614&gt;=2,"Débil",R1614&lt;2,"Deficiente")</f>
        <v>Bueno</v>
      </c>
      <c r="Z1614" t="str">
        <f>IF(AND(R1614&lt;2,Q1614&gt;=100),"Revisar","OK")</f>
        <v>OK</v>
      </c>
      <c r="AA1614" s="55">
        <f>_xlfn.XLOOKUP(C1614,'Preguntas de negocio'!$C$114:$C$119,'Preguntas de negocio'!$D$114:$D$119,0)</f>
        <v>5.5</v>
      </c>
      <c r="AB1614" s="55">
        <f>VLOOKUP(C1614,'Preguntas de negocio'!$C$121:$D$127,2,FALSE)</f>
        <v>0.65</v>
      </c>
    </row>
    <row r="1615" spans="1:28" x14ac:dyDescent="0.3">
      <c r="A1615" s="1">
        <v>45950</v>
      </c>
      <c r="B1615" s="2" t="s">
        <v>2633</v>
      </c>
      <c r="C1615" s="2" t="s">
        <v>2515</v>
      </c>
      <c r="D1615" s="2" t="s">
        <v>2525</v>
      </c>
      <c r="E1615" s="2" t="s">
        <v>2517</v>
      </c>
      <c r="F1615" s="3">
        <v>79965</v>
      </c>
      <c r="G1615" s="3">
        <v>4389</v>
      </c>
      <c r="H1615" s="3">
        <v>594</v>
      </c>
      <c r="I1615" s="4">
        <v>7429.03</v>
      </c>
      <c r="J1615" s="4">
        <v>114589.17</v>
      </c>
      <c r="K1615" s="3">
        <v>322</v>
      </c>
      <c r="L1615" s="2" t="s">
        <v>2518</v>
      </c>
      <c r="M1615" s="2" t="s">
        <v>2546</v>
      </c>
      <c r="N1615" s="8">
        <f>IFERROR(G1615/F1615,0)</f>
        <v>5.4886512849371599E-2</v>
      </c>
      <c r="O1615" s="8">
        <f>IFERROR(H1615/G1615,0)</f>
        <v>0.13533834586466165</v>
      </c>
      <c r="P1615" s="4">
        <f>IFERROR(I1615/G1615,0)</f>
        <v>1.6926475279106858</v>
      </c>
      <c r="Q1615" s="4">
        <f>IFERROR(I1615/H1615,0)</f>
        <v>12.506784511784511</v>
      </c>
      <c r="R1615" s="12">
        <f>IFERROR(J1615/I1615,0)</f>
        <v>15.424513025253633</v>
      </c>
      <c r="S1615" s="7">
        <f>Tabla_nuevas_columnas[[#This Row],[ROAS]]</f>
        <v>15.424513025253633</v>
      </c>
      <c r="T1615" t="str">
        <f>_xlfn.CONCAT(C1615,"-",D1615)</f>
        <v>Email-Francia</v>
      </c>
      <c r="U1615">
        <f>YEAR(A1615)</f>
        <v>2025</v>
      </c>
      <c r="V1615">
        <f>MONTH(A1615)</f>
        <v>10</v>
      </c>
      <c r="W1615" t="str">
        <f>PROPER(TEXT(A1615,"mmmm"))</f>
        <v>Octubre</v>
      </c>
      <c r="X1615" t="str">
        <f>PROPER(TEXT(A1615,"dddd"))</f>
        <v>Lunes</v>
      </c>
      <c r="Y1615" t="str" cm="1">
        <f t="array" ref="Y1615">_xlfn.IFS(R1615&gt;10,"Excelente",R1615&gt;=5,"Bueno",R1615&gt;=2,"Débil",R1615&lt;2,"Deficiente")</f>
        <v>Excelente</v>
      </c>
      <c r="Z1615" t="str">
        <f>IF(AND(R1615&lt;2,Q1615&gt;=100),"Revisar","OK")</f>
        <v>OK</v>
      </c>
      <c r="AA1615" s="55">
        <f>_xlfn.XLOOKUP(C1615,'Preguntas de negocio'!$C$114:$C$119,'Preguntas de negocio'!$D$114:$D$119,0)</f>
        <v>5.5</v>
      </c>
      <c r="AB1615" s="55">
        <f>VLOOKUP(C1615,'Preguntas de negocio'!$C$121:$D$127,2,FALSE)</f>
        <v>0.65</v>
      </c>
    </row>
    <row r="1616" spans="1:28" x14ac:dyDescent="0.3">
      <c r="A1616" s="1">
        <v>45997</v>
      </c>
      <c r="B1616" s="2" t="s">
        <v>2644</v>
      </c>
      <c r="C1616" s="2" t="s">
        <v>2541</v>
      </c>
      <c r="D1616" s="2" t="s">
        <v>2528</v>
      </c>
      <c r="E1616" s="2" t="s">
        <v>2517</v>
      </c>
      <c r="F1616" s="3">
        <v>103225</v>
      </c>
      <c r="G1616" s="3">
        <v>7533</v>
      </c>
      <c r="H1616" s="3">
        <v>565</v>
      </c>
      <c r="I1616" s="4">
        <v>6438.13</v>
      </c>
      <c r="J1616" s="4">
        <v>63160.72</v>
      </c>
      <c r="K1616" s="3">
        <v>503</v>
      </c>
      <c r="L1616" s="2" t="s">
        <v>2536</v>
      </c>
      <c r="M1616" s="2" t="s">
        <v>2546</v>
      </c>
      <c r="N1616" s="8">
        <f>IFERROR(G1616/F1616,0)</f>
        <v>7.2976507628965848E-2</v>
      </c>
      <c r="O1616" s="8">
        <f>IFERROR(H1616/G1616,0)</f>
        <v>7.5003318730917298E-2</v>
      </c>
      <c r="P1616" s="4">
        <f>IFERROR(I1616/G1616,0)</f>
        <v>0.8546568432231515</v>
      </c>
      <c r="Q1616" s="4">
        <f>IFERROR(I1616/H1616,0)</f>
        <v>11.3949203539823</v>
      </c>
      <c r="R1616" s="12">
        <f>IFERROR(J1616/I1616,0)</f>
        <v>9.81041389347528</v>
      </c>
      <c r="S1616" s="7">
        <f>Tabla_nuevas_columnas[[#This Row],[ROAS]]</f>
        <v>9.81041389347528</v>
      </c>
      <c r="T1616" t="str">
        <f>_xlfn.CONCAT(C1616,"-",D1616)</f>
        <v>Display-España</v>
      </c>
      <c r="U1616">
        <f>YEAR(A1616)</f>
        <v>2025</v>
      </c>
      <c r="V1616">
        <f>MONTH(A1616)</f>
        <v>12</v>
      </c>
      <c r="W1616" t="str">
        <f>PROPER(TEXT(A1616,"mmmm"))</f>
        <v>Diciembre</v>
      </c>
      <c r="X1616" t="str">
        <f>PROPER(TEXT(A1616,"dddd"))</f>
        <v>Sábado</v>
      </c>
      <c r="Y1616" t="str" cm="1">
        <f t="array" ref="Y1616">_xlfn.IFS(R1616&gt;10,"Excelente",R1616&gt;=5,"Bueno",R1616&gt;=2,"Débil",R1616&lt;2,"Deficiente")</f>
        <v>Bueno</v>
      </c>
      <c r="Z1616" t="str">
        <f>IF(AND(R1616&lt;2,Q1616&gt;=100),"Revisar","OK")</f>
        <v>OK</v>
      </c>
      <c r="AA1616" s="55">
        <f>_xlfn.XLOOKUP(C1616,'Preguntas de negocio'!$C$114:$C$119,'Preguntas de negocio'!$D$114:$D$119,0)</f>
        <v>5</v>
      </c>
      <c r="AB1616" s="55">
        <f>VLOOKUP(C1616,'Preguntas de negocio'!$C$121:$D$127,2,FALSE)</f>
        <v>0.5</v>
      </c>
    </row>
    <row r="1617" spans="1:28" x14ac:dyDescent="0.3">
      <c r="A1617" s="1">
        <v>45681</v>
      </c>
      <c r="B1617" s="2" t="s">
        <v>2634</v>
      </c>
      <c r="C1617" s="2" t="s">
        <v>2515</v>
      </c>
      <c r="D1617" s="2" t="s">
        <v>2528</v>
      </c>
      <c r="E1617" s="2" t="s">
        <v>2529</v>
      </c>
      <c r="F1617" s="3">
        <v>92355</v>
      </c>
      <c r="G1617" s="3">
        <v>6337</v>
      </c>
      <c r="H1617" s="3">
        <v>362</v>
      </c>
      <c r="I1617" s="4">
        <v>10062.56</v>
      </c>
      <c r="J1617" s="4">
        <v>52193.1</v>
      </c>
      <c r="K1617" s="3">
        <v>300</v>
      </c>
      <c r="L1617" s="2" t="s">
        <v>2523</v>
      </c>
      <c r="M1617" s="2" t="s">
        <v>2546</v>
      </c>
      <c r="N1617" s="8">
        <f>IFERROR(G1617/F1617,0)</f>
        <v>6.8615667803583996E-2</v>
      </c>
      <c r="O1617" s="8">
        <f>IFERROR(H1617/G1617,0)</f>
        <v>5.7124822471200883E-2</v>
      </c>
      <c r="P1617" s="4">
        <f>IFERROR(I1617/G1617,0)</f>
        <v>1.5879059491873124</v>
      </c>
      <c r="Q1617" s="4">
        <f>IFERROR(I1617/H1617,0)</f>
        <v>27.797127071823201</v>
      </c>
      <c r="R1617" s="12">
        <f>IFERROR(J1617/I1617,0)</f>
        <v>5.1868609975990205</v>
      </c>
      <c r="S1617" s="7">
        <f>Tabla_nuevas_columnas[[#This Row],[ROAS]]</f>
        <v>5.1868609975990205</v>
      </c>
      <c r="T1617" t="str">
        <f>_xlfn.CONCAT(C1617,"-",D1617)</f>
        <v>Email-España</v>
      </c>
      <c r="U1617">
        <f>YEAR(A1617)</f>
        <v>2025</v>
      </c>
      <c r="V1617">
        <f>MONTH(A1617)</f>
        <v>1</v>
      </c>
      <c r="W1617" t="str">
        <f>PROPER(TEXT(A1617,"mmmm"))</f>
        <v>Enero</v>
      </c>
      <c r="X1617" t="str">
        <f>PROPER(TEXT(A1617,"dddd"))</f>
        <v>Viernes</v>
      </c>
      <c r="Y1617" t="str" cm="1">
        <f t="array" ref="Y1617">_xlfn.IFS(R1617&gt;10,"Excelente",R1617&gt;=5,"Bueno",R1617&gt;=2,"Débil",R1617&lt;2,"Deficiente")</f>
        <v>Bueno</v>
      </c>
      <c r="Z1617" t="str">
        <f>IF(AND(R1617&lt;2,Q1617&gt;=100),"Revisar","OK")</f>
        <v>OK</v>
      </c>
      <c r="AA1617" s="55">
        <f>_xlfn.XLOOKUP(C1617,'Preguntas de negocio'!$C$114:$C$119,'Preguntas de negocio'!$D$114:$D$119,0)</f>
        <v>5.5</v>
      </c>
      <c r="AB1617" s="55">
        <f>VLOOKUP(C1617,'Preguntas de negocio'!$C$121:$D$127,2,FALSE)</f>
        <v>0.65</v>
      </c>
    </row>
    <row r="1618" spans="1:28" x14ac:dyDescent="0.3">
      <c r="A1618" s="1">
        <v>45710</v>
      </c>
      <c r="B1618" s="2" t="s">
        <v>2629</v>
      </c>
      <c r="C1618" s="2" t="s">
        <v>2515</v>
      </c>
      <c r="D1618" s="2" t="s">
        <v>2516</v>
      </c>
      <c r="E1618" s="2" t="s">
        <v>2529</v>
      </c>
      <c r="F1618" s="3">
        <v>126534</v>
      </c>
      <c r="G1618" s="3">
        <v>2187</v>
      </c>
      <c r="H1618" s="3">
        <v>67</v>
      </c>
      <c r="I1618" s="4">
        <v>3788.89</v>
      </c>
      <c r="J1618" s="4">
        <v>7216.29</v>
      </c>
      <c r="K1618" s="3">
        <v>55</v>
      </c>
      <c r="L1618" s="2" t="s">
        <v>2518</v>
      </c>
      <c r="M1618" s="2" t="s">
        <v>2524</v>
      </c>
      <c r="N1618" s="8">
        <f>IFERROR(G1618/F1618,0)</f>
        <v>1.7283892076437952E-2</v>
      </c>
      <c r="O1618" s="8">
        <f>IFERROR(H1618/G1618,0)</f>
        <v>3.063557384545039E-2</v>
      </c>
      <c r="P1618" s="4">
        <f>IFERROR(I1618/G1618,0)</f>
        <v>1.7324599908550524</v>
      </c>
      <c r="Q1618" s="4">
        <f>IFERROR(I1618/H1618,0)</f>
        <v>56.550597014925373</v>
      </c>
      <c r="R1618" s="12">
        <f>IFERROR(J1618/I1618,0)</f>
        <v>1.9045921100902903</v>
      </c>
      <c r="S1618" s="7">
        <f>Tabla_nuevas_columnas[[#This Row],[ROAS]]</f>
        <v>1.9045921100902903</v>
      </c>
      <c r="T1618" t="str">
        <f>_xlfn.CONCAT(C1618,"-",D1618)</f>
        <v>Email-México</v>
      </c>
      <c r="U1618">
        <f>YEAR(A1618)</f>
        <v>2025</v>
      </c>
      <c r="V1618">
        <f>MONTH(A1618)</f>
        <v>2</v>
      </c>
      <c r="W1618" t="str">
        <f>PROPER(TEXT(A1618,"mmmm"))</f>
        <v>Febrero</v>
      </c>
      <c r="X1618" t="str">
        <f>PROPER(TEXT(A1618,"dddd"))</f>
        <v>Sábado</v>
      </c>
      <c r="Y1618" t="str" cm="1">
        <f t="array" ref="Y1618">_xlfn.IFS(R1618&gt;10,"Excelente",R1618&gt;=5,"Bueno",R1618&gt;=2,"Débil",R1618&lt;2,"Deficiente")</f>
        <v>Deficiente</v>
      </c>
      <c r="Z1618" t="str">
        <f>IF(AND(R1618&lt;2,Q1618&gt;=100),"Revisar","OK")</f>
        <v>OK</v>
      </c>
      <c r="AA1618" s="55">
        <f>_xlfn.XLOOKUP(C1618,'Preguntas de negocio'!$C$114:$C$119,'Preguntas de negocio'!$D$114:$D$119,0)</f>
        <v>5.5</v>
      </c>
      <c r="AB1618" s="55">
        <f>VLOOKUP(C1618,'Preguntas de negocio'!$C$121:$D$127,2,FALSE)</f>
        <v>0.65</v>
      </c>
    </row>
    <row r="1619" spans="1:28" x14ac:dyDescent="0.3">
      <c r="A1619" s="1">
        <v>45853</v>
      </c>
      <c r="B1619" s="2" t="s">
        <v>2639</v>
      </c>
      <c r="C1619" s="2" t="s">
        <v>2543</v>
      </c>
      <c r="D1619" s="2" t="s">
        <v>2528</v>
      </c>
      <c r="E1619" s="2" t="s">
        <v>2529</v>
      </c>
      <c r="F1619" s="3">
        <v>128741</v>
      </c>
      <c r="G1619" s="3">
        <v>10758</v>
      </c>
      <c r="H1619" s="3">
        <v>1348</v>
      </c>
      <c r="I1619" s="4">
        <v>3988.1</v>
      </c>
      <c r="J1619" s="4">
        <v>214146.53</v>
      </c>
      <c r="K1619" s="3">
        <v>623</v>
      </c>
      <c r="L1619" s="2" t="s">
        <v>2539</v>
      </c>
      <c r="M1619" s="2" t="s">
        <v>2645</v>
      </c>
      <c r="N1619" s="8">
        <f>IFERROR(G1619/F1619,0)</f>
        <v>8.3563122859073649E-2</v>
      </c>
      <c r="O1619" s="8">
        <f>IFERROR(H1619/G1619,0)</f>
        <v>0.12530210076222345</v>
      </c>
      <c r="P1619" s="4">
        <f>IFERROR(I1619/G1619,0)</f>
        <v>0.37071016917642685</v>
      </c>
      <c r="Q1619" s="4">
        <f>IFERROR(I1619/H1619,0)</f>
        <v>2.9585311572700297</v>
      </c>
      <c r="R1619" s="12">
        <f>IFERROR(J1619/I1619,0)</f>
        <v>53.696379228203909</v>
      </c>
      <c r="S1619" s="7">
        <f>Tabla_nuevas_columnas[[#This Row],[ROAS]]</f>
        <v>53.696379228203909</v>
      </c>
      <c r="T1619" t="str">
        <f>_xlfn.CONCAT(C1619,"-",D1619)</f>
        <v>Organic Social-España</v>
      </c>
      <c r="U1619">
        <f>YEAR(A1619)</f>
        <v>2025</v>
      </c>
      <c r="V1619">
        <f>MONTH(A1619)</f>
        <v>7</v>
      </c>
      <c r="W1619" t="str">
        <f>PROPER(TEXT(A1619,"mmmm"))</f>
        <v>Julio</v>
      </c>
      <c r="X1619" t="str">
        <f>PROPER(TEXT(A1619,"dddd"))</f>
        <v>Martes</v>
      </c>
      <c r="Y1619" t="str" cm="1">
        <f t="array" ref="Y1619">_xlfn.IFS(R1619&gt;10,"Excelente",R1619&gt;=5,"Bueno",R1619&gt;=2,"Débil",R1619&lt;2,"Deficiente")</f>
        <v>Excelente</v>
      </c>
      <c r="Z1619" t="str">
        <f>IF(AND(R1619&lt;2,Q1619&gt;=100),"Revisar","OK")</f>
        <v>OK</v>
      </c>
      <c r="AA1619" s="55">
        <f>_xlfn.XLOOKUP(C1619,'Preguntas de negocio'!$C$114:$C$119,'Preguntas de negocio'!$D$114:$D$119,0)</f>
        <v>4</v>
      </c>
      <c r="AB1619" s="55">
        <f>VLOOKUP(C1619,'Preguntas de negocio'!$C$121:$D$127,2,FALSE)</f>
        <v>0.95</v>
      </c>
    </row>
    <row r="1620" spans="1:28" x14ac:dyDescent="0.3">
      <c r="A1620" s="1">
        <v>45741</v>
      </c>
      <c r="B1620" s="2" t="s">
        <v>2634</v>
      </c>
      <c r="C1620" s="2" t="s">
        <v>2533</v>
      </c>
      <c r="D1620" s="2" t="s">
        <v>2528</v>
      </c>
      <c r="E1620" s="2" t="s">
        <v>2517</v>
      </c>
      <c r="F1620" s="3">
        <v>50009</v>
      </c>
      <c r="G1620" s="3">
        <v>1129</v>
      </c>
      <c r="H1620" s="3">
        <v>68</v>
      </c>
      <c r="I1620" s="4">
        <v>1425.48</v>
      </c>
      <c r="J1620" s="4">
        <v>2778.11</v>
      </c>
      <c r="K1620" s="3">
        <v>46</v>
      </c>
      <c r="L1620" s="2" t="s">
        <v>2523</v>
      </c>
      <c r="M1620" s="2" t="s">
        <v>2526</v>
      </c>
      <c r="N1620" s="8">
        <f>IFERROR(G1620/F1620,0)</f>
        <v>2.2575936331460336E-2</v>
      </c>
      <c r="O1620" s="8">
        <f>IFERROR(H1620/G1620,0)</f>
        <v>6.0230292294065547E-2</v>
      </c>
      <c r="P1620" s="4">
        <f>IFERROR(I1620/G1620,0)</f>
        <v>1.2626040744021259</v>
      </c>
      <c r="Q1620" s="4">
        <f>IFERROR(I1620/H1620,0)</f>
        <v>20.96294117647059</v>
      </c>
      <c r="R1620" s="12">
        <f>IFERROR(J1620/I1620,0)</f>
        <v>1.9488944074978254</v>
      </c>
      <c r="S1620" s="7">
        <f>Tabla_nuevas_columnas[[#This Row],[ROAS]]</f>
        <v>1.9488944074978254</v>
      </c>
      <c r="T1620" t="str">
        <f>_xlfn.CONCAT(C1620,"-",D1620)</f>
        <v>Paid Social-España</v>
      </c>
      <c r="U1620">
        <f>YEAR(A1620)</f>
        <v>2025</v>
      </c>
      <c r="V1620">
        <f>MONTH(A1620)</f>
        <v>3</v>
      </c>
      <c r="W1620" t="str">
        <f>PROPER(TEXT(A1620,"mmmm"))</f>
        <v>Marzo</v>
      </c>
      <c r="X1620" t="str">
        <f>PROPER(TEXT(A1620,"dddd"))</f>
        <v>Martes</v>
      </c>
      <c r="Y1620" t="str" cm="1">
        <f t="array" ref="Y1620">_xlfn.IFS(R1620&gt;10,"Excelente",R1620&gt;=5,"Bueno",R1620&gt;=2,"Débil",R1620&lt;2,"Deficiente")</f>
        <v>Deficiente</v>
      </c>
      <c r="Z1620" t="str">
        <f>IF(AND(R1620&lt;2,Q1620&gt;=100),"Revisar","OK")</f>
        <v>OK</v>
      </c>
      <c r="AA1620" s="55">
        <f>_xlfn.XLOOKUP(C1620,'Preguntas de negocio'!$C$114:$C$119,'Preguntas de negocio'!$D$114:$D$119,0)</f>
        <v>6</v>
      </c>
      <c r="AB1620" s="55">
        <f>VLOOKUP(C1620,'Preguntas de negocio'!$C$121:$D$127,2,FALSE)</f>
        <v>0.8</v>
      </c>
    </row>
    <row r="1621" spans="1:28" x14ac:dyDescent="0.3">
      <c r="A1621" s="1">
        <v>45740</v>
      </c>
      <c r="B1621" s="2" t="s">
        <v>2634</v>
      </c>
      <c r="C1621" s="2" t="s">
        <v>2541</v>
      </c>
      <c r="D1621" s="2" t="s">
        <v>2528</v>
      </c>
      <c r="E1621" s="2" t="s">
        <v>2517</v>
      </c>
      <c r="F1621" s="3">
        <v>76275</v>
      </c>
      <c r="G1621" s="3">
        <v>1883</v>
      </c>
      <c r="H1621" s="3">
        <v>76</v>
      </c>
      <c r="I1621" s="4">
        <v>984.24</v>
      </c>
      <c r="J1621" s="4">
        <v>16585</v>
      </c>
      <c r="K1621" s="3">
        <v>51</v>
      </c>
      <c r="L1621" s="2" t="s">
        <v>2523</v>
      </c>
      <c r="M1621" s="2" t="s">
        <v>2524</v>
      </c>
      <c r="N1621" s="8">
        <f>IFERROR(G1621/F1621,0)</f>
        <v>2.4686987872828581E-2</v>
      </c>
      <c r="O1621" s="8">
        <f>IFERROR(H1621/G1621,0)</f>
        <v>4.0361125862984598E-2</v>
      </c>
      <c r="P1621" s="4">
        <f>IFERROR(I1621/G1621,0)</f>
        <v>0.5226978226234732</v>
      </c>
      <c r="Q1621" s="4">
        <f>IFERROR(I1621/H1621,0)</f>
        <v>12.950526315789475</v>
      </c>
      <c r="R1621" s="12">
        <f>IFERROR(J1621/I1621,0)</f>
        <v>16.85056490286922</v>
      </c>
      <c r="S1621" s="7">
        <f>Tabla_nuevas_columnas[[#This Row],[ROAS]]</f>
        <v>16.85056490286922</v>
      </c>
      <c r="T1621" t="str">
        <f>_xlfn.CONCAT(C1621,"-",D1621)</f>
        <v>Display-España</v>
      </c>
      <c r="U1621">
        <f>YEAR(A1621)</f>
        <v>2025</v>
      </c>
      <c r="V1621">
        <f>MONTH(A1621)</f>
        <v>3</v>
      </c>
      <c r="W1621" t="str">
        <f>PROPER(TEXT(A1621,"mmmm"))</f>
        <v>Marzo</v>
      </c>
      <c r="X1621" t="str">
        <f>PROPER(TEXT(A1621,"dddd"))</f>
        <v>Lunes</v>
      </c>
      <c r="Y1621" t="str" cm="1">
        <f t="array" ref="Y1621">_xlfn.IFS(R1621&gt;10,"Excelente",R1621&gt;=5,"Bueno",R1621&gt;=2,"Débil",R1621&lt;2,"Deficiente")</f>
        <v>Excelente</v>
      </c>
      <c r="Z1621" t="str">
        <f>IF(AND(R1621&lt;2,Q1621&gt;=100),"Revisar","OK")</f>
        <v>OK</v>
      </c>
      <c r="AA1621" s="55">
        <f>_xlfn.XLOOKUP(C1621,'Preguntas de negocio'!$C$114:$C$119,'Preguntas de negocio'!$D$114:$D$119,0)</f>
        <v>5</v>
      </c>
      <c r="AB1621" s="55">
        <f>VLOOKUP(C1621,'Preguntas de negocio'!$C$121:$D$127,2,FALSE)</f>
        <v>0.5</v>
      </c>
    </row>
    <row r="1622" spans="1:28" x14ac:dyDescent="0.3">
      <c r="A1622" s="1">
        <v>45995</v>
      </c>
      <c r="B1622" s="2" t="s">
        <v>2630</v>
      </c>
      <c r="C1622" s="2" t="s">
        <v>2515</v>
      </c>
      <c r="D1622" s="2" t="s">
        <v>2528</v>
      </c>
      <c r="E1622" s="2" t="s">
        <v>2517</v>
      </c>
      <c r="F1622" s="3">
        <v>30295</v>
      </c>
      <c r="G1622" s="3">
        <v>544</v>
      </c>
      <c r="H1622" s="3">
        <v>75</v>
      </c>
      <c r="I1622" s="4">
        <v>90.66</v>
      </c>
      <c r="J1622" s="4">
        <v>5560.59</v>
      </c>
      <c r="K1622" s="3">
        <v>52</v>
      </c>
      <c r="L1622" s="2" t="s">
        <v>2539</v>
      </c>
      <c r="M1622" s="2" t="s">
        <v>2524</v>
      </c>
      <c r="N1622" s="8">
        <f>IFERROR(G1622/F1622,0)</f>
        <v>1.7956758541013369E-2</v>
      </c>
      <c r="O1622" s="8">
        <f>IFERROR(H1622/G1622,0)</f>
        <v>0.13786764705882354</v>
      </c>
      <c r="P1622" s="4">
        <f>IFERROR(I1622/G1622,0)</f>
        <v>0.16665441176470588</v>
      </c>
      <c r="Q1622" s="4">
        <f>IFERROR(I1622/H1622,0)</f>
        <v>1.2087999999999999</v>
      </c>
      <c r="R1622" s="12">
        <f>IFERROR(J1622/I1622,0)</f>
        <v>61.334546657842495</v>
      </c>
      <c r="S1622" s="7">
        <f>Tabla_nuevas_columnas[[#This Row],[ROAS]]</f>
        <v>61.334546657842495</v>
      </c>
      <c r="T1622" t="str">
        <f>_xlfn.CONCAT(C1622,"-",D1622)</f>
        <v>Email-España</v>
      </c>
      <c r="U1622">
        <f>YEAR(A1622)</f>
        <v>2025</v>
      </c>
      <c r="V1622">
        <f>MONTH(A1622)</f>
        <v>12</v>
      </c>
      <c r="W1622" t="str">
        <f>PROPER(TEXT(A1622,"mmmm"))</f>
        <v>Diciembre</v>
      </c>
      <c r="X1622" t="str">
        <f>PROPER(TEXT(A1622,"dddd"))</f>
        <v>Jueves</v>
      </c>
      <c r="Y1622" t="str" cm="1">
        <f t="array" ref="Y1622">_xlfn.IFS(R1622&gt;10,"Excelente",R1622&gt;=5,"Bueno",R1622&gt;=2,"Débil",R1622&lt;2,"Deficiente")</f>
        <v>Excelente</v>
      </c>
      <c r="Z1622" t="str">
        <f>IF(AND(R1622&lt;2,Q1622&gt;=100),"Revisar","OK")</f>
        <v>OK</v>
      </c>
      <c r="AA1622" s="55">
        <f>_xlfn.XLOOKUP(C1622,'Preguntas de negocio'!$C$114:$C$119,'Preguntas de negocio'!$D$114:$D$119,0)</f>
        <v>5.5</v>
      </c>
      <c r="AB1622" s="55">
        <f>VLOOKUP(C1622,'Preguntas de negocio'!$C$121:$D$127,2,FALSE)</f>
        <v>0.65</v>
      </c>
    </row>
    <row r="1623" spans="1:28" x14ac:dyDescent="0.3">
      <c r="A1623" s="1">
        <v>45803</v>
      </c>
      <c r="B1623" s="2" t="s">
        <v>2624</v>
      </c>
      <c r="C1623" s="2" t="s">
        <v>2521</v>
      </c>
      <c r="D1623" s="2" t="s">
        <v>2516</v>
      </c>
      <c r="E1623" s="2" t="s">
        <v>2534</v>
      </c>
      <c r="F1623" s="3">
        <v>58288</v>
      </c>
      <c r="G1623" s="3">
        <v>541</v>
      </c>
      <c r="H1623" s="3">
        <v>18</v>
      </c>
      <c r="I1623" s="4">
        <v>1050.04</v>
      </c>
      <c r="J1623" s="4">
        <v>1165.99</v>
      </c>
      <c r="K1623" s="3">
        <v>14</v>
      </c>
      <c r="L1623" s="2" t="s">
        <v>2539</v>
      </c>
      <c r="M1623" s="2" t="s">
        <v>2524</v>
      </c>
      <c r="N1623" s="8">
        <f>IFERROR(G1623/F1623,0)</f>
        <v>9.2814987647543232E-3</v>
      </c>
      <c r="O1623" s="8">
        <f>IFERROR(H1623/G1623,0)</f>
        <v>3.3271719038817003E-2</v>
      </c>
      <c r="P1623" s="4">
        <f>IFERROR(I1623/G1623,0)</f>
        <v>1.9409242144177448</v>
      </c>
      <c r="Q1623" s="4">
        <f>IFERROR(I1623/H1623,0)</f>
        <v>58.335555555555551</v>
      </c>
      <c r="R1623" s="12">
        <f>IFERROR(J1623/I1623,0)</f>
        <v>1.1104243647861034</v>
      </c>
      <c r="S1623" s="7">
        <f>Tabla_nuevas_columnas[[#This Row],[ROAS]]</f>
        <v>1.1104243647861034</v>
      </c>
      <c r="T1623" t="str">
        <f>_xlfn.CONCAT(C1623,"-",D1623)</f>
        <v>Paid Search-México</v>
      </c>
      <c r="U1623">
        <f>YEAR(A1623)</f>
        <v>2025</v>
      </c>
      <c r="V1623">
        <f>MONTH(A1623)</f>
        <v>5</v>
      </c>
      <c r="W1623" t="str">
        <f>PROPER(TEXT(A1623,"mmmm"))</f>
        <v>Mayo</v>
      </c>
      <c r="X1623" t="str">
        <f>PROPER(TEXT(A1623,"dddd"))</f>
        <v>Lunes</v>
      </c>
      <c r="Y1623" t="str" cm="1">
        <f t="array" ref="Y1623">_xlfn.IFS(R1623&gt;10,"Excelente",R1623&gt;=5,"Bueno",R1623&gt;=2,"Débil",R1623&lt;2,"Deficiente")</f>
        <v>Deficiente</v>
      </c>
      <c r="Z1623" t="str">
        <f>IF(AND(R1623&lt;2,Q1623&gt;=100),"Revisar","OK")</f>
        <v>OK</v>
      </c>
      <c r="AA1623" s="55">
        <f>_xlfn.XLOOKUP(C1623,'Preguntas de negocio'!$C$114:$C$119,'Preguntas de negocio'!$D$114:$D$119,0)</f>
        <v>5</v>
      </c>
      <c r="AB1623" s="55">
        <f>VLOOKUP(C1623,'Preguntas de negocio'!$C$121:$D$127,2,FALSE)</f>
        <v>1.1000000000000001</v>
      </c>
    </row>
    <row r="1624" spans="1:28" x14ac:dyDescent="0.3">
      <c r="A1624" s="1">
        <v>45779</v>
      </c>
      <c r="B1624" s="2" t="s">
        <v>2625</v>
      </c>
      <c r="C1624" s="2" t="s">
        <v>2527</v>
      </c>
      <c r="D1624" s="2" t="s">
        <v>2525</v>
      </c>
      <c r="E1624" s="2" t="s">
        <v>2529</v>
      </c>
      <c r="F1624" s="3">
        <v>69888</v>
      </c>
      <c r="G1624" s="3">
        <v>4232</v>
      </c>
      <c r="H1624" s="3">
        <v>478</v>
      </c>
      <c r="I1624" s="4">
        <v>3565.32</v>
      </c>
      <c r="J1624" s="4">
        <v>68391.899999999994</v>
      </c>
      <c r="K1624" s="3">
        <v>381</v>
      </c>
      <c r="L1624" s="2" t="s">
        <v>2518</v>
      </c>
      <c r="M1624" s="2" t="s">
        <v>2537</v>
      </c>
      <c r="N1624" s="8">
        <f>IFERROR(G1624/F1624,0)</f>
        <v>6.0554029304029304E-2</v>
      </c>
      <c r="O1624" s="8">
        <f>IFERROR(H1624/G1624,0)</f>
        <v>0.11294896030245746</v>
      </c>
      <c r="P1624" s="4">
        <f>IFERROR(I1624/G1624,0)</f>
        <v>0.84246691871455581</v>
      </c>
      <c r="Q1624" s="4">
        <f>IFERROR(I1624/H1624,0)</f>
        <v>7.4588284518828454</v>
      </c>
      <c r="R1624" s="12">
        <f>IFERROR(J1624/I1624,0)</f>
        <v>19.182541819528119</v>
      </c>
      <c r="S1624" s="7">
        <f>Tabla_nuevas_columnas[[#This Row],[ROAS]]</f>
        <v>19.182541819528119</v>
      </c>
      <c r="T1624" t="str">
        <f>_xlfn.CONCAT(C1624,"-",D1624)</f>
        <v>Affiliate-Francia</v>
      </c>
      <c r="U1624">
        <f>YEAR(A1624)</f>
        <v>2025</v>
      </c>
      <c r="V1624">
        <f>MONTH(A1624)</f>
        <v>5</v>
      </c>
      <c r="W1624" t="str">
        <f>PROPER(TEXT(A1624,"mmmm"))</f>
        <v>Mayo</v>
      </c>
      <c r="X1624" t="str">
        <f>PROPER(TEXT(A1624,"dddd"))</f>
        <v>Viernes</v>
      </c>
      <c r="Y1624" t="str" cm="1">
        <f t="array" ref="Y1624">_xlfn.IFS(R1624&gt;10,"Excelente",R1624&gt;=5,"Bueno",R1624&gt;=2,"Débil",R1624&lt;2,"Deficiente")</f>
        <v>Excelente</v>
      </c>
      <c r="Z1624" t="str">
        <f>IF(AND(R1624&lt;2,Q1624&gt;=100),"Revisar","OK")</f>
        <v>OK</v>
      </c>
      <c r="AA1624" s="55">
        <f>_xlfn.XLOOKUP(C1624,'Preguntas de negocio'!$C$114:$C$119,'Preguntas de negocio'!$D$114:$D$119,0)</f>
        <v>4.5</v>
      </c>
      <c r="AB1624" s="55">
        <f>VLOOKUP(C1624,'Preguntas de negocio'!$C$121:$D$127,2,FALSE)</f>
        <v>0.35</v>
      </c>
    </row>
    <row r="1625" spans="1:28" x14ac:dyDescent="0.3">
      <c r="A1625" s="1">
        <v>45863</v>
      </c>
      <c r="B1625" s="2" t="s">
        <v>2633</v>
      </c>
      <c r="C1625" s="2" t="s">
        <v>2515</v>
      </c>
      <c r="D1625" s="2" t="s">
        <v>2528</v>
      </c>
      <c r="E1625" s="2" t="s">
        <v>2529</v>
      </c>
      <c r="F1625" s="3">
        <v>174292</v>
      </c>
      <c r="G1625" s="3">
        <v>11071</v>
      </c>
      <c r="H1625" s="3">
        <v>1081</v>
      </c>
      <c r="I1625" s="4">
        <v>11628.8</v>
      </c>
      <c r="J1625" s="4">
        <v>37260.120000000003</v>
      </c>
      <c r="K1625" s="3">
        <v>544</v>
      </c>
      <c r="L1625" s="2" t="s">
        <v>2518</v>
      </c>
      <c r="M1625" s="2" t="s">
        <v>2524</v>
      </c>
      <c r="N1625" s="8">
        <f>IFERROR(G1625/F1625,0)</f>
        <v>6.3519840268055905E-2</v>
      </c>
      <c r="O1625" s="8">
        <f>IFERROR(H1625/G1625,0)</f>
        <v>9.7642489386685932E-2</v>
      </c>
      <c r="P1625" s="4">
        <f>IFERROR(I1625/G1625,0)</f>
        <v>1.0503838858278385</v>
      </c>
      <c r="Q1625" s="4">
        <f>IFERROR(I1625/H1625,0)</f>
        <v>10.757446808510638</v>
      </c>
      <c r="R1625" s="12">
        <f>IFERROR(J1625/I1625,0)</f>
        <v>3.2041242432581183</v>
      </c>
      <c r="S1625" s="7">
        <f>Tabla_nuevas_columnas[[#This Row],[ROAS]]</f>
        <v>3.2041242432581183</v>
      </c>
      <c r="T1625" t="str">
        <f>_xlfn.CONCAT(C1625,"-",D1625)</f>
        <v>Email-España</v>
      </c>
      <c r="U1625">
        <f>YEAR(A1625)</f>
        <v>2025</v>
      </c>
      <c r="V1625">
        <f>MONTH(A1625)</f>
        <v>7</v>
      </c>
      <c r="W1625" t="str">
        <f>PROPER(TEXT(A1625,"mmmm"))</f>
        <v>Julio</v>
      </c>
      <c r="X1625" t="str">
        <f>PROPER(TEXT(A1625,"dddd"))</f>
        <v>Viernes</v>
      </c>
      <c r="Y1625" t="str" cm="1">
        <f t="array" ref="Y1625">_xlfn.IFS(R1625&gt;10,"Excelente",R1625&gt;=5,"Bueno",R1625&gt;=2,"Débil",R1625&lt;2,"Deficiente")</f>
        <v>Débil</v>
      </c>
      <c r="Z1625" t="str">
        <f>IF(AND(R1625&lt;2,Q1625&gt;=100),"Revisar","OK")</f>
        <v>OK</v>
      </c>
      <c r="AA1625" s="55">
        <f>_xlfn.XLOOKUP(C1625,'Preguntas de negocio'!$C$114:$C$119,'Preguntas de negocio'!$D$114:$D$119,0)</f>
        <v>5.5</v>
      </c>
      <c r="AB1625" s="55">
        <f>VLOOKUP(C1625,'Preguntas de negocio'!$C$121:$D$127,2,FALSE)</f>
        <v>0.65</v>
      </c>
    </row>
    <row r="1626" spans="1:28" x14ac:dyDescent="0.3">
      <c r="A1626" s="1">
        <v>45952</v>
      </c>
      <c r="B1626" s="2" t="s">
        <v>2636</v>
      </c>
      <c r="C1626" s="2" t="s">
        <v>2515</v>
      </c>
      <c r="D1626" s="2" t="s">
        <v>2531</v>
      </c>
      <c r="E1626" s="2" t="s">
        <v>2517</v>
      </c>
      <c r="F1626" s="3">
        <v>17186</v>
      </c>
      <c r="G1626" s="3">
        <v>1443</v>
      </c>
      <c r="H1626" s="3">
        <v>52</v>
      </c>
      <c r="I1626" s="4">
        <v>1021.04</v>
      </c>
      <c r="J1626" s="4">
        <v>4010.28</v>
      </c>
      <c r="K1626" s="3">
        <v>42</v>
      </c>
      <c r="L1626" s="2" t="s">
        <v>2518</v>
      </c>
      <c r="M1626" s="2" t="s">
        <v>2546</v>
      </c>
      <c r="N1626" s="8">
        <f>IFERROR(G1626/F1626,0)</f>
        <v>8.3963691376701968E-2</v>
      </c>
      <c r="O1626" s="8">
        <f>IFERROR(H1626/G1626,0)</f>
        <v>3.6036036036036036E-2</v>
      </c>
      <c r="P1626" s="4">
        <f>IFERROR(I1626/G1626,0)</f>
        <v>0.7075814275814275</v>
      </c>
      <c r="Q1626" s="4">
        <f>IFERROR(I1626/H1626,0)</f>
        <v>19.635384615384616</v>
      </c>
      <c r="R1626" s="12">
        <f>IFERROR(J1626/I1626,0)</f>
        <v>3.9276424038235529</v>
      </c>
      <c r="S1626" s="7">
        <f>Tabla_nuevas_columnas[[#This Row],[ROAS]]</f>
        <v>3.9276424038235529</v>
      </c>
      <c r="T1626" t="str">
        <f>_xlfn.CONCAT(C1626,"-",D1626)</f>
        <v>Email-Portugal</v>
      </c>
      <c r="U1626">
        <f>YEAR(A1626)</f>
        <v>2025</v>
      </c>
      <c r="V1626">
        <f>MONTH(A1626)</f>
        <v>10</v>
      </c>
      <c r="W1626" t="str">
        <f>PROPER(TEXT(A1626,"mmmm"))</f>
        <v>Octubre</v>
      </c>
      <c r="X1626" t="str">
        <f>PROPER(TEXT(A1626,"dddd"))</f>
        <v>Miércoles</v>
      </c>
      <c r="Y1626" t="str" cm="1">
        <f t="array" ref="Y1626">_xlfn.IFS(R1626&gt;10,"Excelente",R1626&gt;=5,"Bueno",R1626&gt;=2,"Débil",R1626&lt;2,"Deficiente")</f>
        <v>Débil</v>
      </c>
      <c r="Z1626" t="str">
        <f>IF(AND(R1626&lt;2,Q1626&gt;=100),"Revisar","OK")</f>
        <v>OK</v>
      </c>
      <c r="AA1626" s="55">
        <f>_xlfn.XLOOKUP(C1626,'Preguntas de negocio'!$C$114:$C$119,'Preguntas de negocio'!$D$114:$D$119,0)</f>
        <v>5.5</v>
      </c>
      <c r="AB1626" s="55">
        <f>VLOOKUP(C1626,'Preguntas de negocio'!$C$121:$D$127,2,FALSE)</f>
        <v>0.65</v>
      </c>
    </row>
    <row r="1627" spans="1:28" x14ac:dyDescent="0.3">
      <c r="A1627" s="1">
        <v>45877</v>
      </c>
      <c r="B1627" s="2" t="s">
        <v>2627</v>
      </c>
      <c r="C1627" s="2" t="s">
        <v>2521</v>
      </c>
      <c r="D1627" s="2" t="s">
        <v>2516</v>
      </c>
      <c r="E1627" s="2" t="s">
        <v>2534</v>
      </c>
      <c r="F1627" s="3">
        <v>144140</v>
      </c>
      <c r="G1627" s="3">
        <v>2560</v>
      </c>
      <c r="H1627" s="3">
        <v>138</v>
      </c>
      <c r="I1627" s="4">
        <v>4516.4399999999996</v>
      </c>
      <c r="J1627" s="4">
        <v>25555.58</v>
      </c>
      <c r="K1627" s="3">
        <v>92</v>
      </c>
      <c r="L1627" s="2" t="s">
        <v>2518</v>
      </c>
      <c r="M1627" s="2" t="s">
        <v>2537</v>
      </c>
      <c r="N1627" s="8">
        <f>IFERROR(G1627/F1627,0)</f>
        <v>1.7760510614680172E-2</v>
      </c>
      <c r="O1627" s="8">
        <f>IFERROR(H1627/G1627,0)</f>
        <v>5.3906250000000003E-2</v>
      </c>
      <c r="P1627" s="4">
        <f>IFERROR(I1627/G1627,0)</f>
        <v>1.7642343749999998</v>
      </c>
      <c r="Q1627" s="4">
        <f>IFERROR(I1627/H1627,0)</f>
        <v>32.727826086956519</v>
      </c>
      <c r="R1627" s="12">
        <f>IFERROR(J1627/I1627,0)</f>
        <v>5.6583459538928897</v>
      </c>
      <c r="S1627" s="7">
        <f>Tabla_nuevas_columnas[[#This Row],[ROAS]]</f>
        <v>5.6583459538928897</v>
      </c>
      <c r="T1627" t="str">
        <f>_xlfn.CONCAT(C1627,"-",D1627)</f>
        <v>Paid Search-México</v>
      </c>
      <c r="U1627">
        <f>YEAR(A1627)</f>
        <v>2025</v>
      </c>
      <c r="V1627">
        <f>MONTH(A1627)</f>
        <v>8</v>
      </c>
      <c r="W1627" t="str">
        <f>PROPER(TEXT(A1627,"mmmm"))</f>
        <v>Agosto</v>
      </c>
      <c r="X1627" t="str">
        <f>PROPER(TEXT(A1627,"dddd"))</f>
        <v>Viernes</v>
      </c>
      <c r="Y1627" t="str" cm="1">
        <f t="array" ref="Y1627">_xlfn.IFS(R1627&gt;10,"Excelente",R1627&gt;=5,"Bueno",R1627&gt;=2,"Débil",R1627&lt;2,"Deficiente")</f>
        <v>Bueno</v>
      </c>
      <c r="Z1627" t="str">
        <f>IF(AND(R1627&lt;2,Q1627&gt;=100),"Revisar","OK")</f>
        <v>OK</v>
      </c>
      <c r="AA1627" s="55">
        <f>_xlfn.XLOOKUP(C1627,'Preguntas de negocio'!$C$114:$C$119,'Preguntas de negocio'!$D$114:$D$119,0)</f>
        <v>5</v>
      </c>
      <c r="AB1627" s="55">
        <f>VLOOKUP(C1627,'Preguntas de negocio'!$C$121:$D$127,2,FALSE)</f>
        <v>1.1000000000000001</v>
      </c>
    </row>
    <row r="1628" spans="1:28" x14ac:dyDescent="0.3">
      <c r="A1628" s="1">
        <v>45802</v>
      </c>
      <c r="B1628" s="2" t="s">
        <v>2636</v>
      </c>
      <c r="C1628" s="2" t="s">
        <v>2521</v>
      </c>
      <c r="D1628" s="2" t="s">
        <v>2528</v>
      </c>
      <c r="E1628" s="2" t="s">
        <v>2529</v>
      </c>
      <c r="F1628" s="3">
        <v>136387</v>
      </c>
      <c r="G1628" s="3">
        <v>6380</v>
      </c>
      <c r="H1628" s="3">
        <v>526</v>
      </c>
      <c r="I1628" s="4">
        <v>6756.57</v>
      </c>
      <c r="J1628" s="4">
        <v>94809.26</v>
      </c>
      <c r="K1628" s="3">
        <v>386</v>
      </c>
      <c r="L1628" s="2" t="s">
        <v>2518</v>
      </c>
      <c r="M1628" s="2" t="s">
        <v>2537</v>
      </c>
      <c r="N1628" s="8">
        <f>IFERROR(G1628/F1628,0)</f>
        <v>4.6778651924303638E-2</v>
      </c>
      <c r="O1628" s="8">
        <f>IFERROR(H1628/G1628,0)</f>
        <v>8.2445141065830715E-2</v>
      </c>
      <c r="P1628" s="4">
        <f>IFERROR(I1628/G1628,0)</f>
        <v>1.0590235109717867</v>
      </c>
      <c r="Q1628" s="4">
        <f>IFERROR(I1628/H1628,0)</f>
        <v>12.845190114068441</v>
      </c>
      <c r="R1628" s="12">
        <f>IFERROR(J1628/I1628,0)</f>
        <v>14.032158328856209</v>
      </c>
      <c r="S1628" s="7">
        <f>Tabla_nuevas_columnas[[#This Row],[ROAS]]</f>
        <v>14.032158328856209</v>
      </c>
      <c r="T1628" t="str">
        <f>_xlfn.CONCAT(C1628,"-",D1628)</f>
        <v>Paid Search-España</v>
      </c>
      <c r="U1628">
        <f>YEAR(A1628)</f>
        <v>2025</v>
      </c>
      <c r="V1628">
        <f>MONTH(A1628)</f>
        <v>5</v>
      </c>
      <c r="W1628" t="str">
        <f>PROPER(TEXT(A1628,"mmmm"))</f>
        <v>Mayo</v>
      </c>
      <c r="X1628" t="str">
        <f>PROPER(TEXT(A1628,"dddd"))</f>
        <v>Domingo</v>
      </c>
      <c r="Y1628" t="str" cm="1">
        <f t="array" ref="Y1628">_xlfn.IFS(R1628&gt;10,"Excelente",R1628&gt;=5,"Bueno",R1628&gt;=2,"Débil",R1628&lt;2,"Deficiente")</f>
        <v>Excelente</v>
      </c>
      <c r="Z1628" t="str">
        <f>IF(AND(R1628&lt;2,Q1628&gt;=100),"Revisar","OK")</f>
        <v>OK</v>
      </c>
      <c r="AA1628" s="55">
        <f>_xlfn.XLOOKUP(C1628,'Preguntas de negocio'!$C$114:$C$119,'Preguntas de negocio'!$D$114:$D$119,0)</f>
        <v>5</v>
      </c>
      <c r="AB1628" s="55">
        <f>VLOOKUP(C1628,'Preguntas de negocio'!$C$121:$D$127,2,FALSE)</f>
        <v>1.1000000000000001</v>
      </c>
    </row>
    <row r="1629" spans="1:28" x14ac:dyDescent="0.3">
      <c r="A1629" s="1">
        <v>45794</v>
      </c>
      <c r="B1629" s="2" t="s">
        <v>2630</v>
      </c>
      <c r="C1629" s="2" t="s">
        <v>2521</v>
      </c>
      <c r="D1629" s="2" t="s">
        <v>2528</v>
      </c>
      <c r="E1629" s="2" t="s">
        <v>2517</v>
      </c>
      <c r="F1629" s="3">
        <v>53539</v>
      </c>
      <c r="G1629" s="3">
        <v>2300</v>
      </c>
      <c r="H1629" s="3">
        <v>269</v>
      </c>
      <c r="I1629" s="4">
        <v>2971</v>
      </c>
      <c r="J1629" s="4">
        <v>49829.98</v>
      </c>
      <c r="K1629" s="3">
        <v>195</v>
      </c>
      <c r="L1629" s="2" t="s">
        <v>2523</v>
      </c>
      <c r="M1629" s="2" t="s">
        <v>2526</v>
      </c>
      <c r="N1629" s="8">
        <f>IFERROR(G1629/F1629,0)</f>
        <v>4.2959338052634528E-2</v>
      </c>
      <c r="O1629" s="8">
        <f>IFERROR(H1629/G1629,0)</f>
        <v>0.11695652173913043</v>
      </c>
      <c r="P1629" s="4">
        <f>IFERROR(I1629/G1629,0)</f>
        <v>1.2917391304347825</v>
      </c>
      <c r="Q1629" s="4">
        <f>IFERROR(I1629/H1629,0)</f>
        <v>11.04460966542751</v>
      </c>
      <c r="R1629" s="12">
        <f>IFERROR(J1629/I1629,0)</f>
        <v>16.772123864018852</v>
      </c>
      <c r="S1629" s="7">
        <f>Tabla_nuevas_columnas[[#This Row],[ROAS]]</f>
        <v>16.772123864018852</v>
      </c>
      <c r="T1629" t="str">
        <f>_xlfn.CONCAT(C1629,"-",D1629)</f>
        <v>Paid Search-España</v>
      </c>
      <c r="U1629">
        <f>YEAR(A1629)</f>
        <v>2025</v>
      </c>
      <c r="V1629">
        <f>MONTH(A1629)</f>
        <v>5</v>
      </c>
      <c r="W1629" t="str">
        <f>PROPER(TEXT(A1629,"mmmm"))</f>
        <v>Mayo</v>
      </c>
      <c r="X1629" t="str">
        <f>PROPER(TEXT(A1629,"dddd"))</f>
        <v>Sábado</v>
      </c>
      <c r="Y1629" t="str" cm="1">
        <f t="array" ref="Y1629">_xlfn.IFS(R1629&gt;10,"Excelente",R1629&gt;=5,"Bueno",R1629&gt;=2,"Débil",R1629&lt;2,"Deficiente")</f>
        <v>Excelente</v>
      </c>
      <c r="Z1629" t="str">
        <f>IF(AND(R1629&lt;2,Q1629&gt;=100),"Revisar","OK")</f>
        <v>OK</v>
      </c>
      <c r="AA1629" s="55">
        <f>_xlfn.XLOOKUP(C1629,'Preguntas de negocio'!$C$114:$C$119,'Preguntas de negocio'!$D$114:$D$119,0)</f>
        <v>5</v>
      </c>
      <c r="AB1629" s="55">
        <f>VLOOKUP(C1629,'Preguntas de negocio'!$C$121:$D$127,2,FALSE)</f>
        <v>1.1000000000000001</v>
      </c>
    </row>
    <row r="1630" spans="1:28" x14ac:dyDescent="0.3">
      <c r="A1630" s="1">
        <v>45783</v>
      </c>
      <c r="B1630" s="2" t="s">
        <v>2634</v>
      </c>
      <c r="C1630" s="2" t="s">
        <v>2521</v>
      </c>
      <c r="D1630" s="2" t="s">
        <v>2516</v>
      </c>
      <c r="E1630" s="2" t="s">
        <v>2529</v>
      </c>
      <c r="F1630" s="3">
        <v>47096</v>
      </c>
      <c r="G1630" s="3">
        <v>2219</v>
      </c>
      <c r="H1630" s="3">
        <v>112</v>
      </c>
      <c r="I1630" s="4">
        <v>2862.5</v>
      </c>
      <c r="J1630" s="4">
        <v>9526.36</v>
      </c>
      <c r="K1630" s="3">
        <v>65</v>
      </c>
      <c r="L1630" s="2" t="s">
        <v>2536</v>
      </c>
      <c r="M1630" s="2" t="s">
        <v>2526</v>
      </c>
      <c r="N1630" s="8">
        <f>IFERROR(G1630/F1630,0)</f>
        <v>4.711652794292509E-2</v>
      </c>
      <c r="O1630" s="8">
        <f>IFERROR(H1630/G1630,0)</f>
        <v>5.0473186119873815E-2</v>
      </c>
      <c r="P1630" s="4">
        <f>IFERROR(I1630/G1630,0)</f>
        <v>1.2899954934655251</v>
      </c>
      <c r="Q1630" s="4">
        <f>IFERROR(I1630/H1630,0)</f>
        <v>25.558035714285715</v>
      </c>
      <c r="R1630" s="12">
        <f>IFERROR(J1630/I1630,0)</f>
        <v>3.3279860262008736</v>
      </c>
      <c r="S1630" s="7">
        <f>Tabla_nuevas_columnas[[#This Row],[ROAS]]</f>
        <v>3.3279860262008736</v>
      </c>
      <c r="T1630" t="str">
        <f>_xlfn.CONCAT(C1630,"-",D1630)</f>
        <v>Paid Search-México</v>
      </c>
      <c r="U1630">
        <f>YEAR(A1630)</f>
        <v>2025</v>
      </c>
      <c r="V1630">
        <f>MONTH(A1630)</f>
        <v>5</v>
      </c>
      <c r="W1630" t="str">
        <f>PROPER(TEXT(A1630,"mmmm"))</f>
        <v>Mayo</v>
      </c>
      <c r="X1630" t="str">
        <f>PROPER(TEXT(A1630,"dddd"))</f>
        <v>Martes</v>
      </c>
      <c r="Y1630" t="str" cm="1">
        <f t="array" ref="Y1630">_xlfn.IFS(R1630&gt;10,"Excelente",R1630&gt;=5,"Bueno",R1630&gt;=2,"Débil",R1630&lt;2,"Deficiente")</f>
        <v>Débil</v>
      </c>
      <c r="Z1630" t="str">
        <f>IF(AND(R1630&lt;2,Q1630&gt;=100),"Revisar","OK")</f>
        <v>OK</v>
      </c>
      <c r="AA1630" s="55">
        <f>_xlfn.XLOOKUP(C1630,'Preguntas de negocio'!$C$114:$C$119,'Preguntas de negocio'!$D$114:$D$119,0)</f>
        <v>5</v>
      </c>
      <c r="AB1630" s="55">
        <f>VLOOKUP(C1630,'Preguntas de negocio'!$C$121:$D$127,2,FALSE)</f>
        <v>1.1000000000000001</v>
      </c>
    </row>
    <row r="1631" spans="1:28" x14ac:dyDescent="0.3">
      <c r="A1631" s="1">
        <v>45832</v>
      </c>
      <c r="B1631" s="2" t="s">
        <v>2641</v>
      </c>
      <c r="C1631" s="2" t="s">
        <v>2515</v>
      </c>
      <c r="D1631" s="2" t="s">
        <v>2528</v>
      </c>
      <c r="E1631" s="2" t="s">
        <v>2517</v>
      </c>
      <c r="F1631" s="3">
        <v>44197</v>
      </c>
      <c r="G1631" s="3">
        <v>3556</v>
      </c>
      <c r="H1631" s="3">
        <v>129</v>
      </c>
      <c r="I1631" s="4">
        <v>6956.5</v>
      </c>
      <c r="J1631" s="4">
        <v>19843.04</v>
      </c>
      <c r="K1631" s="3">
        <v>98</v>
      </c>
      <c r="L1631" s="2" t="s">
        <v>2523</v>
      </c>
      <c r="M1631" s="2" t="s">
        <v>2524</v>
      </c>
      <c r="N1631" s="8">
        <f>IFERROR(G1631/F1631,0)</f>
        <v>8.0457949634590589E-2</v>
      </c>
      <c r="O1631" s="8">
        <f>IFERROR(H1631/G1631,0)</f>
        <v>3.627671541057368E-2</v>
      </c>
      <c r="P1631" s="4">
        <f>IFERROR(I1631/G1631,0)</f>
        <v>1.9562710911136107</v>
      </c>
      <c r="Q1631" s="4">
        <f>IFERROR(I1631/H1631,0)</f>
        <v>53.926356589147289</v>
      </c>
      <c r="R1631" s="12">
        <f>IFERROR(J1631/I1631,0)</f>
        <v>2.8524459138934812</v>
      </c>
      <c r="S1631" s="7">
        <f>Tabla_nuevas_columnas[[#This Row],[ROAS]]</f>
        <v>2.8524459138934812</v>
      </c>
      <c r="T1631" t="str">
        <f>_xlfn.CONCAT(C1631,"-",D1631)</f>
        <v>Email-España</v>
      </c>
      <c r="U1631">
        <f>YEAR(A1631)</f>
        <v>2025</v>
      </c>
      <c r="V1631">
        <f>MONTH(A1631)</f>
        <v>6</v>
      </c>
      <c r="W1631" t="str">
        <f>PROPER(TEXT(A1631,"mmmm"))</f>
        <v>Junio</v>
      </c>
      <c r="X1631" t="str">
        <f>PROPER(TEXT(A1631,"dddd"))</f>
        <v>Martes</v>
      </c>
      <c r="Y1631" t="str" cm="1">
        <f t="array" ref="Y1631">_xlfn.IFS(R1631&gt;10,"Excelente",R1631&gt;=5,"Bueno",R1631&gt;=2,"Débil",R1631&lt;2,"Deficiente")</f>
        <v>Débil</v>
      </c>
      <c r="Z1631" t="str">
        <f>IF(AND(R1631&lt;2,Q1631&gt;=100),"Revisar","OK")</f>
        <v>OK</v>
      </c>
      <c r="AA1631" s="55">
        <f>_xlfn.XLOOKUP(C1631,'Preguntas de negocio'!$C$114:$C$119,'Preguntas de negocio'!$D$114:$D$119,0)</f>
        <v>5.5</v>
      </c>
      <c r="AB1631" s="55">
        <f>VLOOKUP(C1631,'Preguntas de negocio'!$C$121:$D$127,2,FALSE)</f>
        <v>0.65</v>
      </c>
    </row>
    <row r="1632" spans="1:28" x14ac:dyDescent="0.3">
      <c r="A1632" s="1">
        <v>45999</v>
      </c>
      <c r="B1632" s="2" t="s">
        <v>2638</v>
      </c>
      <c r="C1632" s="2" t="s">
        <v>2541</v>
      </c>
      <c r="D1632" s="2" t="s">
        <v>2531</v>
      </c>
      <c r="E1632" s="2" t="s">
        <v>2529</v>
      </c>
      <c r="F1632" s="3">
        <v>129330</v>
      </c>
      <c r="G1632" s="3">
        <v>3958</v>
      </c>
      <c r="H1632" s="3">
        <v>537</v>
      </c>
      <c r="I1632" s="4">
        <v>6327.34</v>
      </c>
      <c r="J1632" s="4">
        <v>13102.43</v>
      </c>
      <c r="K1632" s="3">
        <v>341</v>
      </c>
      <c r="L1632" s="2" t="s">
        <v>2539</v>
      </c>
      <c r="M1632" s="2" t="s">
        <v>2537</v>
      </c>
      <c r="N1632" s="8">
        <f>IFERROR(G1632/F1632,0)</f>
        <v>3.0603881543338745E-2</v>
      </c>
      <c r="O1632" s="8">
        <f>IFERROR(H1632/G1632,0)</f>
        <v>0.13567458312278929</v>
      </c>
      <c r="P1632" s="4">
        <f>IFERROR(I1632/G1632,0)</f>
        <v>1.5986205154118243</v>
      </c>
      <c r="Q1632" s="4">
        <f>IFERROR(I1632/H1632,0)</f>
        <v>11.782756052141528</v>
      </c>
      <c r="R1632" s="12">
        <f>IFERROR(J1632/I1632,0)</f>
        <v>2.0707643338274853</v>
      </c>
      <c r="S1632" s="7">
        <f>Tabla_nuevas_columnas[[#This Row],[ROAS]]</f>
        <v>2.0707643338274853</v>
      </c>
      <c r="T1632" t="str">
        <f>_xlfn.CONCAT(C1632,"-",D1632)</f>
        <v>Display-Portugal</v>
      </c>
      <c r="U1632">
        <f>YEAR(A1632)</f>
        <v>2025</v>
      </c>
      <c r="V1632">
        <f>MONTH(A1632)</f>
        <v>12</v>
      </c>
      <c r="W1632" t="str">
        <f>PROPER(TEXT(A1632,"mmmm"))</f>
        <v>Diciembre</v>
      </c>
      <c r="X1632" t="str">
        <f>PROPER(TEXT(A1632,"dddd"))</f>
        <v>Lunes</v>
      </c>
      <c r="Y1632" t="str" cm="1">
        <f t="array" ref="Y1632">_xlfn.IFS(R1632&gt;10,"Excelente",R1632&gt;=5,"Bueno",R1632&gt;=2,"Débil",R1632&lt;2,"Deficiente")</f>
        <v>Débil</v>
      </c>
      <c r="Z1632" t="str">
        <f>IF(AND(R1632&lt;2,Q1632&gt;=100),"Revisar","OK")</f>
        <v>OK</v>
      </c>
      <c r="AA1632" s="55">
        <f>_xlfn.XLOOKUP(C1632,'Preguntas de negocio'!$C$114:$C$119,'Preguntas de negocio'!$D$114:$D$119,0)</f>
        <v>5</v>
      </c>
      <c r="AB1632" s="55">
        <f>VLOOKUP(C1632,'Preguntas de negocio'!$C$121:$D$127,2,FALSE)</f>
        <v>0.5</v>
      </c>
    </row>
    <row r="1633" spans="1:28" x14ac:dyDescent="0.3">
      <c r="A1633" s="1">
        <v>45990</v>
      </c>
      <c r="B1633" s="2" t="s">
        <v>2636</v>
      </c>
      <c r="C1633" s="2" t="s">
        <v>2533</v>
      </c>
      <c r="D1633" s="2" t="s">
        <v>2528</v>
      </c>
      <c r="E1633" s="2" t="s">
        <v>2529</v>
      </c>
      <c r="F1633" s="3">
        <v>143675</v>
      </c>
      <c r="G1633" s="3">
        <v>9233</v>
      </c>
      <c r="H1633" s="3">
        <v>675</v>
      </c>
      <c r="I1633" s="4">
        <v>14029.04</v>
      </c>
      <c r="J1633" s="4">
        <v>97109.759999999995</v>
      </c>
      <c r="K1633" s="3">
        <v>457</v>
      </c>
      <c r="L1633" s="2" t="s">
        <v>2539</v>
      </c>
      <c r="M1633" s="2" t="s">
        <v>2526</v>
      </c>
      <c r="N1633" s="8">
        <f>IFERROR(G1633/F1633,0)</f>
        <v>6.4263093788063344E-2</v>
      </c>
      <c r="O1633" s="8">
        <f>IFERROR(H1633/G1633,0)</f>
        <v>7.3107332394671293E-2</v>
      </c>
      <c r="P1633" s="4">
        <f>IFERROR(I1633/G1633,0)</f>
        <v>1.5194454673453917</v>
      </c>
      <c r="Q1633" s="4">
        <f>IFERROR(I1633/H1633,0)</f>
        <v>20.783762962962964</v>
      </c>
      <c r="R1633" s="12">
        <f>IFERROR(J1633/I1633,0)</f>
        <v>6.9220531126862559</v>
      </c>
      <c r="S1633" s="7">
        <f>Tabla_nuevas_columnas[[#This Row],[ROAS]]</f>
        <v>6.9220531126862559</v>
      </c>
      <c r="T1633" t="str">
        <f>_xlfn.CONCAT(C1633,"-",D1633)</f>
        <v>Paid Social-España</v>
      </c>
      <c r="U1633">
        <f>YEAR(A1633)</f>
        <v>2025</v>
      </c>
      <c r="V1633">
        <f>MONTH(A1633)</f>
        <v>11</v>
      </c>
      <c r="W1633" t="str">
        <f>PROPER(TEXT(A1633,"mmmm"))</f>
        <v>Noviembre</v>
      </c>
      <c r="X1633" t="str">
        <f>PROPER(TEXT(A1633,"dddd"))</f>
        <v>Sábado</v>
      </c>
      <c r="Y1633" t="str" cm="1">
        <f t="array" ref="Y1633">_xlfn.IFS(R1633&gt;10,"Excelente",R1633&gt;=5,"Bueno",R1633&gt;=2,"Débil",R1633&lt;2,"Deficiente")</f>
        <v>Bueno</v>
      </c>
      <c r="Z1633" t="str">
        <f>IF(AND(R1633&lt;2,Q1633&gt;=100),"Revisar","OK")</f>
        <v>OK</v>
      </c>
      <c r="AA1633" s="55">
        <f>_xlfn.XLOOKUP(C1633,'Preguntas de negocio'!$C$114:$C$119,'Preguntas de negocio'!$D$114:$D$119,0)</f>
        <v>6</v>
      </c>
      <c r="AB1633" s="55">
        <f>VLOOKUP(C1633,'Preguntas de negocio'!$C$121:$D$127,2,FALSE)</f>
        <v>0.8</v>
      </c>
    </row>
    <row r="1634" spans="1:28" x14ac:dyDescent="0.3">
      <c r="A1634" s="1">
        <v>45827</v>
      </c>
      <c r="B1634" s="2" t="s">
        <v>2632</v>
      </c>
      <c r="C1634" s="2" t="s">
        <v>2515</v>
      </c>
      <c r="D1634" s="2" t="s">
        <v>2528</v>
      </c>
      <c r="E1634" s="2" t="s">
        <v>2517</v>
      </c>
      <c r="F1634" s="3">
        <v>112733</v>
      </c>
      <c r="G1634" s="3">
        <v>9308</v>
      </c>
      <c r="H1634" s="3">
        <v>749</v>
      </c>
      <c r="I1634" s="4">
        <v>1451.53</v>
      </c>
      <c r="J1634" s="4">
        <v>116310.66</v>
      </c>
      <c r="K1634" s="3">
        <v>446</v>
      </c>
      <c r="L1634" s="2" t="s">
        <v>2518</v>
      </c>
      <c r="M1634" s="2" t="s">
        <v>2526</v>
      </c>
      <c r="N1634" s="8">
        <f>IFERROR(G1634/F1634,0)</f>
        <v>8.2566772817187509E-2</v>
      </c>
      <c r="O1634" s="8">
        <f>IFERROR(H1634/G1634,0)</f>
        <v>8.046841426729695E-2</v>
      </c>
      <c r="P1634" s="4">
        <f>IFERROR(I1634/G1634,0)</f>
        <v>0.15594434894714224</v>
      </c>
      <c r="Q1634" s="4">
        <f>IFERROR(I1634/H1634,0)</f>
        <v>1.9379572763684914</v>
      </c>
      <c r="R1634" s="12">
        <f>IFERROR(J1634/I1634,0)</f>
        <v>80.129697629397953</v>
      </c>
      <c r="S1634" s="7">
        <f>Tabla_nuevas_columnas[[#This Row],[ROAS]]</f>
        <v>80.129697629397953</v>
      </c>
      <c r="T1634" t="str">
        <f>_xlfn.CONCAT(C1634,"-",D1634)</f>
        <v>Email-España</v>
      </c>
      <c r="U1634">
        <f>YEAR(A1634)</f>
        <v>2025</v>
      </c>
      <c r="V1634">
        <f>MONTH(A1634)</f>
        <v>6</v>
      </c>
      <c r="W1634" t="str">
        <f>PROPER(TEXT(A1634,"mmmm"))</f>
        <v>Junio</v>
      </c>
      <c r="X1634" t="str">
        <f>PROPER(TEXT(A1634,"dddd"))</f>
        <v>Jueves</v>
      </c>
      <c r="Y1634" t="str" cm="1">
        <f t="array" ref="Y1634">_xlfn.IFS(R1634&gt;10,"Excelente",R1634&gt;=5,"Bueno",R1634&gt;=2,"Débil",R1634&lt;2,"Deficiente")</f>
        <v>Excelente</v>
      </c>
      <c r="Z1634" t="str">
        <f>IF(AND(R1634&lt;2,Q1634&gt;=100),"Revisar","OK")</f>
        <v>OK</v>
      </c>
      <c r="AA1634" s="55">
        <f>_xlfn.XLOOKUP(C1634,'Preguntas de negocio'!$C$114:$C$119,'Preguntas de negocio'!$D$114:$D$119,0)</f>
        <v>5.5</v>
      </c>
      <c r="AB1634" s="55">
        <f>VLOOKUP(C1634,'Preguntas de negocio'!$C$121:$D$127,2,FALSE)</f>
        <v>0.65</v>
      </c>
    </row>
    <row r="1635" spans="1:28" x14ac:dyDescent="0.3">
      <c r="A1635" s="1">
        <v>45961</v>
      </c>
      <c r="B1635" s="2" t="s">
        <v>2644</v>
      </c>
      <c r="C1635" s="2" t="s">
        <v>2515</v>
      </c>
      <c r="D1635" s="2" t="s">
        <v>2531</v>
      </c>
      <c r="E1635" s="2" t="s">
        <v>2517</v>
      </c>
      <c r="F1635" s="3">
        <v>42340</v>
      </c>
      <c r="G1635" s="3">
        <v>1606</v>
      </c>
      <c r="H1635" s="3">
        <v>70</v>
      </c>
      <c r="I1635" s="4">
        <v>1866.26</v>
      </c>
      <c r="J1635" s="4">
        <v>12329.02</v>
      </c>
      <c r="K1635" s="3">
        <v>50</v>
      </c>
      <c r="L1635" s="2" t="s">
        <v>2539</v>
      </c>
      <c r="M1635" s="2" t="s">
        <v>2537</v>
      </c>
      <c r="N1635" s="8">
        <f>IFERROR(G1635/F1635,0)</f>
        <v>3.793103448275862E-2</v>
      </c>
      <c r="O1635" s="8">
        <f>IFERROR(H1635/G1635,0)</f>
        <v>4.3586550435865505E-2</v>
      </c>
      <c r="P1635" s="4">
        <f>IFERROR(I1635/G1635,0)</f>
        <v>1.1620547945205479</v>
      </c>
      <c r="Q1635" s="4">
        <f>IFERROR(I1635/H1635,0)</f>
        <v>26.660857142857143</v>
      </c>
      <c r="R1635" s="12">
        <f>IFERROR(J1635/I1635,0)</f>
        <v>6.6062713662619359</v>
      </c>
      <c r="S1635" s="7">
        <f>Tabla_nuevas_columnas[[#This Row],[ROAS]]</f>
        <v>6.6062713662619359</v>
      </c>
      <c r="T1635" t="str">
        <f>_xlfn.CONCAT(C1635,"-",D1635)</f>
        <v>Email-Portugal</v>
      </c>
      <c r="U1635">
        <f>YEAR(A1635)</f>
        <v>2025</v>
      </c>
      <c r="V1635">
        <f>MONTH(A1635)</f>
        <v>10</v>
      </c>
      <c r="W1635" t="str">
        <f>PROPER(TEXT(A1635,"mmmm"))</f>
        <v>Octubre</v>
      </c>
      <c r="X1635" t="str">
        <f>PROPER(TEXT(A1635,"dddd"))</f>
        <v>Viernes</v>
      </c>
      <c r="Y1635" t="str" cm="1">
        <f t="array" ref="Y1635">_xlfn.IFS(R1635&gt;10,"Excelente",R1635&gt;=5,"Bueno",R1635&gt;=2,"Débil",R1635&lt;2,"Deficiente")</f>
        <v>Bueno</v>
      </c>
      <c r="Z1635" t="str">
        <f>IF(AND(R1635&lt;2,Q1635&gt;=100),"Revisar","OK")</f>
        <v>OK</v>
      </c>
      <c r="AA1635" s="55">
        <f>_xlfn.XLOOKUP(C1635,'Preguntas de negocio'!$C$114:$C$119,'Preguntas de negocio'!$D$114:$D$119,0)</f>
        <v>5.5</v>
      </c>
      <c r="AB1635" s="55">
        <f>VLOOKUP(C1635,'Preguntas de negocio'!$C$121:$D$127,2,FALSE)</f>
        <v>0.65</v>
      </c>
    </row>
    <row r="1636" spans="1:28" x14ac:dyDescent="0.3">
      <c r="A1636" s="1">
        <v>45770</v>
      </c>
      <c r="B1636" s="2" t="s">
        <v>2626</v>
      </c>
      <c r="C1636" s="2" t="s">
        <v>2541</v>
      </c>
      <c r="D1636" s="2" t="s">
        <v>2525</v>
      </c>
      <c r="E1636" s="2" t="s">
        <v>2529</v>
      </c>
      <c r="F1636" s="3">
        <v>31492</v>
      </c>
      <c r="G1636" s="3">
        <v>295</v>
      </c>
      <c r="H1636" s="3">
        <v>29</v>
      </c>
      <c r="I1636" s="4">
        <v>110.79</v>
      </c>
      <c r="J1636" s="4">
        <v>5986.31</v>
      </c>
      <c r="K1636" s="3">
        <v>22</v>
      </c>
      <c r="L1636" s="2" t="s">
        <v>2523</v>
      </c>
      <c r="M1636" s="2" t="s">
        <v>2537</v>
      </c>
      <c r="N1636" s="8">
        <f>IFERROR(G1636/F1636,0)</f>
        <v>9.3674584021338752E-3</v>
      </c>
      <c r="O1636" s="8">
        <f>IFERROR(H1636/G1636,0)</f>
        <v>9.8305084745762716E-2</v>
      </c>
      <c r="P1636" s="4">
        <f>IFERROR(I1636/G1636,0)</f>
        <v>0.3755593220338983</v>
      </c>
      <c r="Q1636" s="4">
        <f>IFERROR(I1636/H1636,0)</f>
        <v>3.8203448275862071</v>
      </c>
      <c r="R1636" s="12">
        <f>IFERROR(J1636/I1636,0)</f>
        <v>54.032945211661705</v>
      </c>
      <c r="S1636" s="7">
        <f>Tabla_nuevas_columnas[[#This Row],[ROAS]]</f>
        <v>54.032945211661705</v>
      </c>
      <c r="T1636" t="str">
        <f>_xlfn.CONCAT(C1636,"-",D1636)</f>
        <v>Display-Francia</v>
      </c>
      <c r="U1636">
        <f>YEAR(A1636)</f>
        <v>2025</v>
      </c>
      <c r="V1636">
        <f>MONTH(A1636)</f>
        <v>4</v>
      </c>
      <c r="W1636" t="str">
        <f>PROPER(TEXT(A1636,"mmmm"))</f>
        <v>Abril</v>
      </c>
      <c r="X1636" t="str">
        <f>PROPER(TEXT(A1636,"dddd"))</f>
        <v>Miércoles</v>
      </c>
      <c r="Y1636" t="str" cm="1">
        <f t="array" ref="Y1636">_xlfn.IFS(R1636&gt;10,"Excelente",R1636&gt;=5,"Bueno",R1636&gt;=2,"Débil",R1636&lt;2,"Deficiente")</f>
        <v>Excelente</v>
      </c>
      <c r="Z1636" t="str">
        <f>IF(AND(R1636&lt;2,Q1636&gt;=100),"Revisar","OK")</f>
        <v>OK</v>
      </c>
      <c r="AA1636" s="55">
        <f>_xlfn.XLOOKUP(C1636,'Preguntas de negocio'!$C$114:$C$119,'Preguntas de negocio'!$D$114:$D$119,0)</f>
        <v>5</v>
      </c>
      <c r="AB1636" s="55">
        <f>VLOOKUP(C1636,'Preguntas de negocio'!$C$121:$D$127,2,FALSE)</f>
        <v>0.5</v>
      </c>
    </row>
    <row r="1637" spans="1:28" x14ac:dyDescent="0.3">
      <c r="A1637" s="1">
        <v>45883</v>
      </c>
      <c r="B1637" s="2" t="s">
        <v>2619</v>
      </c>
      <c r="C1637" s="2" t="s">
        <v>2521</v>
      </c>
      <c r="D1637" s="2" t="s">
        <v>2531</v>
      </c>
      <c r="E1637" s="2" t="s">
        <v>2517</v>
      </c>
      <c r="F1637" s="3">
        <v>90363</v>
      </c>
      <c r="G1637" s="3">
        <v>3498</v>
      </c>
      <c r="H1637" s="3">
        <v>133</v>
      </c>
      <c r="I1637" s="4">
        <v>6450.37</v>
      </c>
      <c r="J1637" s="4">
        <v>10041.27</v>
      </c>
      <c r="K1637" s="3">
        <v>81</v>
      </c>
      <c r="L1637" s="2" t="s">
        <v>2539</v>
      </c>
      <c r="M1637" s="2" t="s">
        <v>2526</v>
      </c>
      <c r="N1637" s="8">
        <f>IFERROR(G1637/F1637,0)</f>
        <v>3.8710534178812123E-2</v>
      </c>
      <c r="O1637" s="8">
        <f>IFERROR(H1637/G1637,0)</f>
        <v>3.8021726700971981E-2</v>
      </c>
      <c r="P1637" s="4">
        <f>IFERROR(I1637/G1637,0)</f>
        <v>1.8440165809033733</v>
      </c>
      <c r="Q1637" s="4">
        <f>IFERROR(I1637/H1637,0)</f>
        <v>48.499022556390976</v>
      </c>
      <c r="R1637" s="12">
        <f>IFERROR(J1637/I1637,0)</f>
        <v>1.5566967476284308</v>
      </c>
      <c r="S1637" s="7">
        <f>Tabla_nuevas_columnas[[#This Row],[ROAS]]</f>
        <v>1.5566967476284308</v>
      </c>
      <c r="T1637" t="str">
        <f>_xlfn.CONCAT(C1637,"-",D1637)</f>
        <v>Paid Search-Portugal</v>
      </c>
      <c r="U1637">
        <f>YEAR(A1637)</f>
        <v>2025</v>
      </c>
      <c r="V1637">
        <f>MONTH(A1637)</f>
        <v>8</v>
      </c>
      <c r="W1637" t="str">
        <f>PROPER(TEXT(A1637,"mmmm"))</f>
        <v>Agosto</v>
      </c>
      <c r="X1637" t="str">
        <f>PROPER(TEXT(A1637,"dddd"))</f>
        <v>Jueves</v>
      </c>
      <c r="Y1637" t="str" cm="1">
        <f t="array" ref="Y1637">_xlfn.IFS(R1637&gt;10,"Excelente",R1637&gt;=5,"Bueno",R1637&gt;=2,"Débil",R1637&lt;2,"Deficiente")</f>
        <v>Deficiente</v>
      </c>
      <c r="Z1637" t="str">
        <f>IF(AND(R1637&lt;2,Q1637&gt;=100),"Revisar","OK")</f>
        <v>OK</v>
      </c>
      <c r="AA1637" s="55">
        <f>_xlfn.XLOOKUP(C1637,'Preguntas de negocio'!$C$114:$C$119,'Preguntas de negocio'!$D$114:$D$119,0)</f>
        <v>5</v>
      </c>
      <c r="AB1637" s="55">
        <f>VLOOKUP(C1637,'Preguntas de negocio'!$C$121:$D$127,2,FALSE)</f>
        <v>1.1000000000000001</v>
      </c>
    </row>
    <row r="1638" spans="1:28" x14ac:dyDescent="0.3">
      <c r="A1638" s="1">
        <v>45781</v>
      </c>
      <c r="B1638" s="2" t="s">
        <v>2644</v>
      </c>
      <c r="C1638" s="2" t="s">
        <v>2527</v>
      </c>
      <c r="D1638" s="2" t="s">
        <v>2528</v>
      </c>
      <c r="E1638" s="2" t="s">
        <v>2517</v>
      </c>
      <c r="F1638" s="3">
        <v>123182</v>
      </c>
      <c r="G1638" s="3">
        <v>6427</v>
      </c>
      <c r="H1638" s="3">
        <v>886</v>
      </c>
      <c r="I1638" s="4">
        <v>11730.17</v>
      </c>
      <c r="J1638" s="4">
        <v>72957.87</v>
      </c>
      <c r="K1638" s="3">
        <v>459</v>
      </c>
      <c r="L1638" s="2" t="s">
        <v>2518</v>
      </c>
      <c r="M1638" s="2" t="s">
        <v>2546</v>
      </c>
      <c r="N1638" s="8">
        <f>IFERROR(G1638/F1638,0)</f>
        <v>5.2174830738257211E-2</v>
      </c>
      <c r="O1638" s="8">
        <f>IFERROR(H1638/G1638,0)</f>
        <v>0.13785592033608216</v>
      </c>
      <c r="P1638" s="4">
        <f>IFERROR(I1638/G1638,0)</f>
        <v>1.8251392562626421</v>
      </c>
      <c r="Q1638" s="4">
        <f>IFERROR(I1638/H1638,0)</f>
        <v>13.239469525959368</v>
      </c>
      <c r="R1638" s="12">
        <f>IFERROR(J1638/I1638,0)</f>
        <v>6.2196771231789478</v>
      </c>
      <c r="S1638" s="7">
        <f>Tabla_nuevas_columnas[[#This Row],[ROAS]]</f>
        <v>6.2196771231789478</v>
      </c>
      <c r="T1638" t="str">
        <f>_xlfn.CONCAT(C1638,"-",D1638)</f>
        <v>Affiliate-España</v>
      </c>
      <c r="U1638">
        <f>YEAR(A1638)</f>
        <v>2025</v>
      </c>
      <c r="V1638">
        <f>MONTH(A1638)</f>
        <v>5</v>
      </c>
      <c r="W1638" t="str">
        <f>PROPER(TEXT(A1638,"mmmm"))</f>
        <v>Mayo</v>
      </c>
      <c r="X1638" t="str">
        <f>PROPER(TEXT(A1638,"dddd"))</f>
        <v>Domingo</v>
      </c>
      <c r="Y1638" t="str" cm="1">
        <f t="array" ref="Y1638">_xlfn.IFS(R1638&gt;10,"Excelente",R1638&gt;=5,"Bueno",R1638&gt;=2,"Débil",R1638&lt;2,"Deficiente")</f>
        <v>Bueno</v>
      </c>
      <c r="Z1638" t="str">
        <f>IF(AND(R1638&lt;2,Q1638&gt;=100),"Revisar","OK")</f>
        <v>OK</v>
      </c>
      <c r="AA1638" s="55">
        <f>_xlfn.XLOOKUP(C1638,'Preguntas de negocio'!$C$114:$C$119,'Preguntas de negocio'!$D$114:$D$119,0)</f>
        <v>4.5</v>
      </c>
      <c r="AB1638" s="55">
        <f>VLOOKUP(C1638,'Preguntas de negocio'!$C$121:$D$127,2,FALSE)</f>
        <v>0.35</v>
      </c>
    </row>
    <row r="1639" spans="1:28" x14ac:dyDescent="0.3">
      <c r="A1639" s="1">
        <v>45906</v>
      </c>
      <c r="B1639" s="2" t="s">
        <v>2635</v>
      </c>
      <c r="C1639" s="2" t="s">
        <v>2521</v>
      </c>
      <c r="D1639" s="2" t="s">
        <v>2525</v>
      </c>
      <c r="E1639" s="2" t="s">
        <v>2534</v>
      </c>
      <c r="F1639" s="3">
        <v>141620</v>
      </c>
      <c r="G1639" s="3">
        <v>2087</v>
      </c>
      <c r="H1639" s="3">
        <v>246</v>
      </c>
      <c r="I1639" s="4">
        <v>3863.75</v>
      </c>
      <c r="J1639" s="4">
        <v>3873.3</v>
      </c>
      <c r="K1639" s="3">
        <v>202</v>
      </c>
      <c r="L1639" s="2" t="s">
        <v>2518</v>
      </c>
      <c r="M1639" s="2" t="s">
        <v>2526</v>
      </c>
      <c r="N1639" s="8">
        <f>IFERROR(G1639/F1639,0)</f>
        <v>1.4736619121592996E-2</v>
      </c>
      <c r="O1639" s="8">
        <f>IFERROR(H1639/G1639,0)</f>
        <v>0.11787254432199329</v>
      </c>
      <c r="P1639" s="4">
        <f>IFERROR(I1639/G1639,0)</f>
        <v>1.8513416387158601</v>
      </c>
      <c r="Q1639" s="4">
        <f>IFERROR(I1639/H1639,0)</f>
        <v>15.706300813008131</v>
      </c>
      <c r="R1639" s="12">
        <f>IFERROR(J1639/I1639,0)</f>
        <v>1.0024716920090586</v>
      </c>
      <c r="S1639" s="7">
        <f>Tabla_nuevas_columnas[[#This Row],[ROAS]]</f>
        <v>1.0024716920090586</v>
      </c>
      <c r="T1639" t="str">
        <f>_xlfn.CONCAT(C1639,"-",D1639)</f>
        <v>Paid Search-Francia</v>
      </c>
      <c r="U1639">
        <f>YEAR(A1639)</f>
        <v>2025</v>
      </c>
      <c r="V1639">
        <f>MONTH(A1639)</f>
        <v>9</v>
      </c>
      <c r="W1639" t="str">
        <f>PROPER(TEXT(A1639,"mmmm"))</f>
        <v>Septiembre</v>
      </c>
      <c r="X1639" t="str">
        <f>PROPER(TEXT(A1639,"dddd"))</f>
        <v>Sábado</v>
      </c>
      <c r="Y1639" t="str" cm="1">
        <f t="array" ref="Y1639">_xlfn.IFS(R1639&gt;10,"Excelente",R1639&gt;=5,"Bueno",R1639&gt;=2,"Débil",R1639&lt;2,"Deficiente")</f>
        <v>Deficiente</v>
      </c>
      <c r="Z1639" t="str">
        <f>IF(AND(R1639&lt;2,Q1639&gt;=100),"Revisar","OK")</f>
        <v>OK</v>
      </c>
      <c r="AA1639" s="55">
        <f>_xlfn.XLOOKUP(C1639,'Preguntas de negocio'!$C$114:$C$119,'Preguntas de negocio'!$D$114:$D$119,0)</f>
        <v>5</v>
      </c>
      <c r="AB1639" s="55">
        <f>VLOOKUP(C1639,'Preguntas de negocio'!$C$121:$D$127,2,FALSE)</f>
        <v>1.1000000000000001</v>
      </c>
    </row>
    <row r="1640" spans="1:28" x14ac:dyDescent="0.3">
      <c r="A1640" s="1">
        <v>45917</v>
      </c>
      <c r="B1640" s="2" t="s">
        <v>2620</v>
      </c>
      <c r="C1640" s="2" t="s">
        <v>2521</v>
      </c>
      <c r="D1640" s="2" t="s">
        <v>2525</v>
      </c>
      <c r="E1640" s="2" t="s">
        <v>2529</v>
      </c>
      <c r="F1640" s="3">
        <v>178042</v>
      </c>
      <c r="G1640" s="3">
        <v>7705</v>
      </c>
      <c r="H1640" s="3">
        <v>326</v>
      </c>
      <c r="I1640" s="4">
        <v>12192.09</v>
      </c>
      <c r="J1640" s="4">
        <v>7117.62</v>
      </c>
      <c r="K1640" s="3">
        <v>274</v>
      </c>
      <c r="L1640" s="2" t="s">
        <v>2536</v>
      </c>
      <c r="M1640" s="2" t="s">
        <v>2526</v>
      </c>
      <c r="N1640" s="8">
        <f>IFERROR(G1640/F1640,0)</f>
        <v>4.3276305590815647E-2</v>
      </c>
      <c r="O1640" s="8">
        <f>IFERROR(H1640/G1640,0)</f>
        <v>4.2310188189487348E-2</v>
      </c>
      <c r="P1640" s="4">
        <f>IFERROR(I1640/G1640,0)</f>
        <v>1.5823608046722908</v>
      </c>
      <c r="Q1640" s="4">
        <f>IFERROR(I1640/H1640,0)</f>
        <v>37.399049079754604</v>
      </c>
      <c r="R1640" s="12">
        <f>IFERROR(J1640/I1640,0)</f>
        <v>0.5837899818652913</v>
      </c>
      <c r="S1640" s="7">
        <f>Tabla_nuevas_columnas[[#This Row],[ROAS]]</f>
        <v>0.5837899818652913</v>
      </c>
      <c r="T1640" t="str">
        <f>_xlfn.CONCAT(C1640,"-",D1640)</f>
        <v>Paid Search-Francia</v>
      </c>
      <c r="U1640">
        <f>YEAR(A1640)</f>
        <v>2025</v>
      </c>
      <c r="V1640">
        <f>MONTH(A1640)</f>
        <v>9</v>
      </c>
      <c r="W1640" t="str">
        <f>PROPER(TEXT(A1640,"mmmm"))</f>
        <v>Septiembre</v>
      </c>
      <c r="X1640" t="str">
        <f>PROPER(TEXT(A1640,"dddd"))</f>
        <v>Miércoles</v>
      </c>
      <c r="Y1640" t="str" cm="1">
        <f t="array" ref="Y1640">_xlfn.IFS(R1640&gt;10,"Excelente",R1640&gt;=5,"Bueno",R1640&gt;=2,"Débil",R1640&lt;2,"Deficiente")</f>
        <v>Deficiente</v>
      </c>
      <c r="Z1640" t="str">
        <f>IF(AND(R1640&lt;2,Q1640&gt;=100),"Revisar","OK")</f>
        <v>OK</v>
      </c>
      <c r="AA1640" s="55">
        <f>_xlfn.XLOOKUP(C1640,'Preguntas de negocio'!$C$114:$C$119,'Preguntas de negocio'!$D$114:$D$119,0)</f>
        <v>5</v>
      </c>
      <c r="AB1640" s="55">
        <f>VLOOKUP(C1640,'Preguntas de negocio'!$C$121:$D$127,2,FALSE)</f>
        <v>1.1000000000000001</v>
      </c>
    </row>
    <row r="1641" spans="1:28" x14ac:dyDescent="0.3">
      <c r="A1641" s="1">
        <v>45668</v>
      </c>
      <c r="B1641" s="2" t="s">
        <v>2620</v>
      </c>
      <c r="C1641" s="2" t="s">
        <v>2521</v>
      </c>
      <c r="D1641" s="2" t="s">
        <v>2528</v>
      </c>
      <c r="E1641" s="2" t="s">
        <v>2529</v>
      </c>
      <c r="F1641" s="3">
        <v>88774</v>
      </c>
      <c r="G1641" s="3">
        <v>2587</v>
      </c>
      <c r="H1641" s="3">
        <v>72</v>
      </c>
      <c r="I1641" s="4">
        <v>4843.7</v>
      </c>
      <c r="J1641" s="4">
        <v>2206.5100000000002</v>
      </c>
      <c r="K1641" s="3">
        <v>37</v>
      </c>
      <c r="L1641" s="2" t="s">
        <v>2539</v>
      </c>
      <c r="M1641" s="2" t="s">
        <v>2546</v>
      </c>
      <c r="N1641" s="8">
        <f>IFERROR(G1641/F1641,0)</f>
        <v>2.914141527924843E-2</v>
      </c>
      <c r="O1641" s="8">
        <f>IFERROR(H1641/G1641,0)</f>
        <v>2.7831465017394665E-2</v>
      </c>
      <c r="P1641" s="4">
        <f>IFERROR(I1641/G1641,0)</f>
        <v>1.8723231542327019</v>
      </c>
      <c r="Q1641" s="4">
        <f>IFERROR(I1641/H1641,0)</f>
        <v>67.273611111111109</v>
      </c>
      <c r="R1641" s="12">
        <f>IFERROR(J1641/I1641,0)</f>
        <v>0.45554225075871757</v>
      </c>
      <c r="S1641" s="7">
        <f>Tabla_nuevas_columnas[[#This Row],[ROAS]]</f>
        <v>0.45554225075871757</v>
      </c>
      <c r="T1641" t="str">
        <f>_xlfn.CONCAT(C1641,"-",D1641)</f>
        <v>Paid Search-España</v>
      </c>
      <c r="U1641">
        <f>YEAR(A1641)</f>
        <v>2025</v>
      </c>
      <c r="V1641">
        <f>MONTH(A1641)</f>
        <v>1</v>
      </c>
      <c r="W1641" t="str">
        <f>PROPER(TEXT(A1641,"mmmm"))</f>
        <v>Enero</v>
      </c>
      <c r="X1641" t="str">
        <f>PROPER(TEXT(A1641,"dddd"))</f>
        <v>Sábado</v>
      </c>
      <c r="Y1641" t="str" cm="1">
        <f t="array" ref="Y1641">_xlfn.IFS(R1641&gt;10,"Excelente",R1641&gt;=5,"Bueno",R1641&gt;=2,"Débil",R1641&lt;2,"Deficiente")</f>
        <v>Deficiente</v>
      </c>
      <c r="Z1641" t="str">
        <f>IF(AND(R1641&lt;2,Q1641&gt;=100),"Revisar","OK")</f>
        <v>OK</v>
      </c>
      <c r="AA1641" s="55">
        <f>_xlfn.XLOOKUP(C1641,'Preguntas de negocio'!$C$114:$C$119,'Preguntas de negocio'!$D$114:$D$119,0)</f>
        <v>5</v>
      </c>
      <c r="AB1641" s="55">
        <f>VLOOKUP(C1641,'Preguntas de negocio'!$C$121:$D$127,2,FALSE)</f>
        <v>1.1000000000000001</v>
      </c>
    </row>
    <row r="1642" spans="1:28" x14ac:dyDescent="0.3">
      <c r="A1642" s="1">
        <v>45749</v>
      </c>
      <c r="B1642" s="2" t="s">
        <v>2637</v>
      </c>
      <c r="C1642" s="2" t="s">
        <v>2521</v>
      </c>
      <c r="D1642" s="2" t="s">
        <v>2528</v>
      </c>
      <c r="E1642" s="2" t="s">
        <v>2529</v>
      </c>
      <c r="F1642" s="3">
        <v>157435</v>
      </c>
      <c r="G1642" s="3">
        <v>12647</v>
      </c>
      <c r="H1642" s="3">
        <v>1226</v>
      </c>
      <c r="I1642" s="4">
        <v>4268</v>
      </c>
      <c r="J1642" s="4">
        <v>168110.35</v>
      </c>
      <c r="K1642" s="3">
        <v>1003</v>
      </c>
      <c r="L1642" s="2" t="s">
        <v>2518</v>
      </c>
      <c r="M1642" s="2" t="s">
        <v>2546</v>
      </c>
      <c r="N1642" s="8">
        <f>IFERROR(G1642/F1642,0)</f>
        <v>8.0331565407946143E-2</v>
      </c>
      <c r="O1642" s="8">
        <f>IFERROR(H1642/G1642,0)</f>
        <v>9.6939985767375655E-2</v>
      </c>
      <c r="P1642" s="4">
        <f>IFERROR(I1642/G1642,0)</f>
        <v>0.33747133707598642</v>
      </c>
      <c r="Q1642" s="4">
        <f>IFERROR(I1642/H1642,0)</f>
        <v>3.4812398042414356</v>
      </c>
      <c r="R1642" s="12">
        <f>IFERROR(J1642/I1642,0)</f>
        <v>39.388554358013124</v>
      </c>
      <c r="S1642" s="7">
        <f>Tabla_nuevas_columnas[[#This Row],[ROAS]]</f>
        <v>39.388554358013124</v>
      </c>
      <c r="T1642" t="str">
        <f>_xlfn.CONCAT(C1642,"-",D1642)</f>
        <v>Paid Search-España</v>
      </c>
      <c r="U1642">
        <f>YEAR(A1642)</f>
        <v>2025</v>
      </c>
      <c r="V1642">
        <f>MONTH(A1642)</f>
        <v>4</v>
      </c>
      <c r="W1642" t="str">
        <f>PROPER(TEXT(A1642,"mmmm"))</f>
        <v>Abril</v>
      </c>
      <c r="X1642" t="str">
        <f>PROPER(TEXT(A1642,"dddd"))</f>
        <v>Miércoles</v>
      </c>
      <c r="Y1642" t="str" cm="1">
        <f t="array" ref="Y1642">_xlfn.IFS(R1642&gt;10,"Excelente",R1642&gt;=5,"Bueno",R1642&gt;=2,"Débil",R1642&lt;2,"Deficiente")</f>
        <v>Excelente</v>
      </c>
      <c r="Z1642" t="str">
        <f>IF(AND(R1642&lt;2,Q1642&gt;=100),"Revisar","OK")</f>
        <v>OK</v>
      </c>
      <c r="AA1642" s="55">
        <f>_xlfn.XLOOKUP(C1642,'Preguntas de negocio'!$C$114:$C$119,'Preguntas de negocio'!$D$114:$D$119,0)</f>
        <v>5</v>
      </c>
      <c r="AB1642" s="55">
        <f>VLOOKUP(C1642,'Preguntas de negocio'!$C$121:$D$127,2,FALSE)</f>
        <v>1.1000000000000001</v>
      </c>
    </row>
    <row r="1643" spans="1:28" x14ac:dyDescent="0.3">
      <c r="A1643" s="1">
        <v>45957</v>
      </c>
      <c r="B1643" s="2" t="s">
        <v>2623</v>
      </c>
      <c r="C1643" s="2" t="s">
        <v>2521</v>
      </c>
      <c r="D1643" s="2" t="s">
        <v>2528</v>
      </c>
      <c r="E1643" s="2" t="s">
        <v>2534</v>
      </c>
      <c r="F1643" s="3">
        <v>139763</v>
      </c>
      <c r="G1643" s="3">
        <v>6259</v>
      </c>
      <c r="H1643" s="3">
        <v>359</v>
      </c>
      <c r="I1643" s="4">
        <v>8484.2999999999993</v>
      </c>
      <c r="J1643" s="4">
        <v>64103.44</v>
      </c>
      <c r="K1643" s="3">
        <v>178</v>
      </c>
      <c r="L1643" s="2" t="s">
        <v>2523</v>
      </c>
      <c r="M1643" s="2" t="s">
        <v>2546</v>
      </c>
      <c r="N1643" s="8">
        <f>IFERROR(G1643/F1643,0)</f>
        <v>4.4782954000701189E-2</v>
      </c>
      <c r="O1643" s="8">
        <f>IFERROR(H1643/G1643,0)</f>
        <v>5.7357405336315705E-2</v>
      </c>
      <c r="P1643" s="4">
        <f>IFERROR(I1643/G1643,0)</f>
        <v>1.3555360281195077</v>
      </c>
      <c r="Q1643" s="4">
        <f>IFERROR(I1643/H1643,0)</f>
        <v>23.633147632311974</v>
      </c>
      <c r="R1643" s="12">
        <f>IFERROR(J1643/I1643,0)</f>
        <v>7.5555366971936406</v>
      </c>
      <c r="S1643" s="7">
        <f>Tabla_nuevas_columnas[[#This Row],[ROAS]]</f>
        <v>7.5555366971936406</v>
      </c>
      <c r="T1643" t="str">
        <f>_xlfn.CONCAT(C1643,"-",D1643)</f>
        <v>Paid Search-España</v>
      </c>
      <c r="U1643">
        <f>YEAR(A1643)</f>
        <v>2025</v>
      </c>
      <c r="V1643">
        <f>MONTH(A1643)</f>
        <v>10</v>
      </c>
      <c r="W1643" t="str">
        <f>PROPER(TEXT(A1643,"mmmm"))</f>
        <v>Octubre</v>
      </c>
      <c r="X1643" t="str">
        <f>PROPER(TEXT(A1643,"dddd"))</f>
        <v>Lunes</v>
      </c>
      <c r="Y1643" t="str" cm="1">
        <f t="array" ref="Y1643">_xlfn.IFS(R1643&gt;10,"Excelente",R1643&gt;=5,"Bueno",R1643&gt;=2,"Débil",R1643&lt;2,"Deficiente")</f>
        <v>Bueno</v>
      </c>
      <c r="Z1643" t="str">
        <f>IF(AND(R1643&lt;2,Q1643&gt;=100),"Revisar","OK")</f>
        <v>OK</v>
      </c>
      <c r="AA1643" s="55">
        <f>_xlfn.XLOOKUP(C1643,'Preguntas de negocio'!$C$114:$C$119,'Preguntas de negocio'!$D$114:$D$119,0)</f>
        <v>5</v>
      </c>
      <c r="AB1643" s="55">
        <f>VLOOKUP(C1643,'Preguntas de negocio'!$C$121:$D$127,2,FALSE)</f>
        <v>1.1000000000000001</v>
      </c>
    </row>
    <row r="1644" spans="1:28" x14ac:dyDescent="0.3">
      <c r="A1644" s="1">
        <v>45850</v>
      </c>
      <c r="B1644" s="2" t="s">
        <v>2616</v>
      </c>
      <c r="C1644" s="2" t="s">
        <v>2533</v>
      </c>
      <c r="D1644" s="2" t="s">
        <v>2525</v>
      </c>
      <c r="E1644" s="2" t="s">
        <v>2517</v>
      </c>
      <c r="F1644" s="3">
        <v>67773</v>
      </c>
      <c r="G1644" s="3">
        <v>1335</v>
      </c>
      <c r="H1644" s="3">
        <v>119</v>
      </c>
      <c r="I1644" s="4">
        <v>2595.13</v>
      </c>
      <c r="J1644" s="4">
        <v>13373.04</v>
      </c>
      <c r="K1644" s="3">
        <v>98</v>
      </c>
      <c r="L1644" s="2" t="s">
        <v>2518</v>
      </c>
      <c r="M1644" s="2" t="s">
        <v>2537</v>
      </c>
      <c r="N1644" s="8">
        <f>IFERROR(G1644/F1644,0)</f>
        <v>1.9698109866761099E-2</v>
      </c>
      <c r="O1644" s="8">
        <f>IFERROR(H1644/G1644,0)</f>
        <v>8.9138576779026216E-2</v>
      </c>
      <c r="P1644" s="4">
        <f>IFERROR(I1644/G1644,0)</f>
        <v>1.9439176029962548</v>
      </c>
      <c r="Q1644" s="4">
        <f>IFERROR(I1644/H1644,0)</f>
        <v>21.807815126050421</v>
      </c>
      <c r="R1644" s="12">
        <f>IFERROR(J1644/I1644,0)</f>
        <v>5.1531291303325846</v>
      </c>
      <c r="S1644" s="7">
        <f>Tabla_nuevas_columnas[[#This Row],[ROAS]]</f>
        <v>5.1531291303325846</v>
      </c>
      <c r="T1644" t="str">
        <f>_xlfn.CONCAT(C1644,"-",D1644)</f>
        <v>Paid Social-Francia</v>
      </c>
      <c r="U1644">
        <f>YEAR(A1644)</f>
        <v>2025</v>
      </c>
      <c r="V1644">
        <f>MONTH(A1644)</f>
        <v>7</v>
      </c>
      <c r="W1644" t="str">
        <f>PROPER(TEXT(A1644,"mmmm"))</f>
        <v>Julio</v>
      </c>
      <c r="X1644" t="str">
        <f>PROPER(TEXT(A1644,"dddd"))</f>
        <v>Sábado</v>
      </c>
      <c r="Y1644" t="str" cm="1">
        <f t="array" ref="Y1644">_xlfn.IFS(R1644&gt;10,"Excelente",R1644&gt;=5,"Bueno",R1644&gt;=2,"Débil",R1644&lt;2,"Deficiente")</f>
        <v>Bueno</v>
      </c>
      <c r="Z1644" t="str">
        <f>IF(AND(R1644&lt;2,Q1644&gt;=100),"Revisar","OK")</f>
        <v>OK</v>
      </c>
      <c r="AA1644" s="55">
        <f>_xlfn.XLOOKUP(C1644,'Preguntas de negocio'!$C$114:$C$119,'Preguntas de negocio'!$D$114:$D$119,0)</f>
        <v>6</v>
      </c>
      <c r="AB1644" s="55">
        <f>VLOOKUP(C1644,'Preguntas de negocio'!$C$121:$D$127,2,FALSE)</f>
        <v>0.8</v>
      </c>
    </row>
    <row r="1645" spans="1:28" x14ac:dyDescent="0.3">
      <c r="A1645" s="1">
        <v>46007</v>
      </c>
      <c r="B1645" s="2" t="s">
        <v>2620</v>
      </c>
      <c r="C1645" s="2" t="s">
        <v>2527</v>
      </c>
      <c r="D1645" s="2" t="s">
        <v>2522</v>
      </c>
      <c r="E1645" s="2" t="s">
        <v>2517</v>
      </c>
      <c r="F1645" s="3">
        <v>118595</v>
      </c>
      <c r="G1645" s="3">
        <v>4660</v>
      </c>
      <c r="H1645" s="3">
        <v>87</v>
      </c>
      <c r="I1645" s="4">
        <v>8501.32</v>
      </c>
      <c r="J1645" s="4">
        <v>14293.45</v>
      </c>
      <c r="K1645" s="3">
        <v>44</v>
      </c>
      <c r="L1645" s="2" t="s">
        <v>2539</v>
      </c>
      <c r="M1645" s="2" t="s">
        <v>2537</v>
      </c>
      <c r="N1645" s="8">
        <f>IFERROR(G1645/F1645,0)</f>
        <v>3.9293393482018636E-2</v>
      </c>
      <c r="O1645" s="8">
        <f>IFERROR(H1645/G1645,0)</f>
        <v>1.8669527896995709E-2</v>
      </c>
      <c r="P1645" s="4">
        <f>IFERROR(I1645/G1645,0)</f>
        <v>1.8243175965665235</v>
      </c>
      <c r="Q1645" s="4">
        <f>IFERROR(I1645/H1645,0)</f>
        <v>97.71632183908045</v>
      </c>
      <c r="R1645" s="12">
        <f>IFERROR(J1645/I1645,0)</f>
        <v>1.6813212536406112</v>
      </c>
      <c r="S1645" s="7">
        <f>Tabla_nuevas_columnas[[#This Row],[ROAS]]</f>
        <v>1.6813212536406112</v>
      </c>
      <c r="T1645" t="str">
        <f>_xlfn.CONCAT(C1645,"-",D1645)</f>
        <v>Affiliate-Italia</v>
      </c>
      <c r="U1645">
        <f>YEAR(A1645)</f>
        <v>2025</v>
      </c>
      <c r="V1645">
        <f>MONTH(A1645)</f>
        <v>12</v>
      </c>
      <c r="W1645" t="str">
        <f>PROPER(TEXT(A1645,"mmmm"))</f>
        <v>Diciembre</v>
      </c>
      <c r="X1645" t="str">
        <f>PROPER(TEXT(A1645,"dddd"))</f>
        <v>Martes</v>
      </c>
      <c r="Y1645" t="str" cm="1">
        <f t="array" ref="Y1645">_xlfn.IFS(R1645&gt;10,"Excelente",R1645&gt;=5,"Bueno",R1645&gt;=2,"Débil",R1645&lt;2,"Deficiente")</f>
        <v>Deficiente</v>
      </c>
      <c r="Z1645" t="str">
        <f>IF(AND(R1645&lt;2,Q1645&gt;=100),"Revisar","OK")</f>
        <v>OK</v>
      </c>
      <c r="AA1645" s="55">
        <f>_xlfn.XLOOKUP(C1645,'Preguntas de negocio'!$C$114:$C$119,'Preguntas de negocio'!$D$114:$D$119,0)</f>
        <v>4.5</v>
      </c>
      <c r="AB1645" s="55">
        <f>VLOOKUP(C1645,'Preguntas de negocio'!$C$121:$D$127,2,FALSE)</f>
        <v>0.35</v>
      </c>
    </row>
    <row r="1646" spans="1:28" x14ac:dyDescent="0.3">
      <c r="A1646" s="1">
        <v>45665</v>
      </c>
      <c r="B1646" s="2" t="s">
        <v>2637</v>
      </c>
      <c r="C1646" s="2" t="s">
        <v>2533</v>
      </c>
      <c r="D1646" s="2" t="s">
        <v>2528</v>
      </c>
      <c r="E1646" s="2" t="s">
        <v>2529</v>
      </c>
      <c r="F1646" s="3">
        <v>20382</v>
      </c>
      <c r="G1646" s="3">
        <v>179</v>
      </c>
      <c r="H1646" s="3">
        <v>24</v>
      </c>
      <c r="I1646" s="4">
        <v>317.06</v>
      </c>
      <c r="J1646" s="4">
        <v>2047.64</v>
      </c>
      <c r="K1646" s="3">
        <v>11</v>
      </c>
      <c r="L1646" s="2" t="s">
        <v>2536</v>
      </c>
      <c r="M1646" s="2" t="s">
        <v>2519</v>
      </c>
      <c r="N1646" s="8">
        <f>IFERROR(G1646/F1646,0)</f>
        <v>8.7822588558532037E-3</v>
      </c>
      <c r="O1646" s="8">
        <f>IFERROR(H1646/G1646,0)</f>
        <v>0.13407821229050279</v>
      </c>
      <c r="P1646" s="4">
        <f>IFERROR(I1646/G1646,0)</f>
        <v>1.7712849162011173</v>
      </c>
      <c r="Q1646" s="4">
        <f>IFERROR(I1646/H1646,0)</f>
        <v>13.210833333333333</v>
      </c>
      <c r="R1646" s="12">
        <f>IFERROR(J1646/I1646,0)</f>
        <v>6.4582098025610302</v>
      </c>
      <c r="S1646" s="7">
        <f>Tabla_nuevas_columnas[[#This Row],[ROAS]]</f>
        <v>6.4582098025610302</v>
      </c>
      <c r="T1646" t="str">
        <f>_xlfn.CONCAT(C1646,"-",D1646)</f>
        <v>Paid Social-España</v>
      </c>
      <c r="U1646">
        <f>YEAR(A1646)</f>
        <v>2025</v>
      </c>
      <c r="V1646">
        <f>MONTH(A1646)</f>
        <v>1</v>
      </c>
      <c r="W1646" t="str">
        <f>PROPER(TEXT(A1646,"mmmm"))</f>
        <v>Enero</v>
      </c>
      <c r="X1646" t="str">
        <f>PROPER(TEXT(A1646,"dddd"))</f>
        <v>Miércoles</v>
      </c>
      <c r="Y1646" t="str" cm="1">
        <f t="array" ref="Y1646">_xlfn.IFS(R1646&gt;10,"Excelente",R1646&gt;=5,"Bueno",R1646&gt;=2,"Débil",R1646&lt;2,"Deficiente")</f>
        <v>Bueno</v>
      </c>
      <c r="Z1646" t="str">
        <f>IF(AND(R1646&lt;2,Q1646&gt;=100),"Revisar","OK")</f>
        <v>OK</v>
      </c>
      <c r="AA1646" s="55">
        <f>_xlfn.XLOOKUP(C1646,'Preguntas de negocio'!$C$114:$C$119,'Preguntas de negocio'!$D$114:$D$119,0)</f>
        <v>6</v>
      </c>
      <c r="AB1646" s="55">
        <f>VLOOKUP(C1646,'Preguntas de negocio'!$C$121:$D$127,2,FALSE)</f>
        <v>0.8</v>
      </c>
    </row>
    <row r="1647" spans="1:28" x14ac:dyDescent="0.3">
      <c r="A1647" s="1">
        <v>45951</v>
      </c>
      <c r="B1647" s="2" t="s">
        <v>2631</v>
      </c>
      <c r="C1647" s="2" t="s">
        <v>2541</v>
      </c>
      <c r="D1647" s="2" t="s">
        <v>2516</v>
      </c>
      <c r="E1647" s="2" t="s">
        <v>2517</v>
      </c>
      <c r="F1647" s="3">
        <v>129278</v>
      </c>
      <c r="G1647" s="3">
        <v>11046</v>
      </c>
      <c r="H1647" s="3">
        <v>642</v>
      </c>
      <c r="I1647" s="4">
        <v>21174.01</v>
      </c>
      <c r="J1647" s="4">
        <v>59348.53</v>
      </c>
      <c r="K1647" s="3">
        <v>421</v>
      </c>
      <c r="L1647" s="2" t="s">
        <v>2523</v>
      </c>
      <c r="M1647" s="2" t="s">
        <v>2526</v>
      </c>
      <c r="N1647" s="8">
        <f>IFERROR(G1647/F1647,0)</f>
        <v>8.5443772335586879E-2</v>
      </c>
      <c r="O1647" s="8">
        <f>IFERROR(H1647/G1647,0)</f>
        <v>5.8120586637696904E-2</v>
      </c>
      <c r="P1647" s="4">
        <f>IFERROR(I1647/G1647,0)</f>
        <v>1.916893898243708</v>
      </c>
      <c r="Q1647" s="4">
        <f>IFERROR(I1647/H1647,0)</f>
        <v>32.981323987538936</v>
      </c>
      <c r="R1647" s="12">
        <f>IFERROR(J1647/I1647,0)</f>
        <v>2.8028951530673689</v>
      </c>
      <c r="S1647" s="7">
        <f>Tabla_nuevas_columnas[[#This Row],[ROAS]]</f>
        <v>2.8028951530673689</v>
      </c>
      <c r="T1647" t="str">
        <f>_xlfn.CONCAT(C1647,"-",D1647)</f>
        <v>Display-México</v>
      </c>
      <c r="U1647">
        <f>YEAR(A1647)</f>
        <v>2025</v>
      </c>
      <c r="V1647">
        <f>MONTH(A1647)</f>
        <v>10</v>
      </c>
      <c r="W1647" t="str">
        <f>PROPER(TEXT(A1647,"mmmm"))</f>
        <v>Octubre</v>
      </c>
      <c r="X1647" t="str">
        <f>PROPER(TEXT(A1647,"dddd"))</f>
        <v>Martes</v>
      </c>
      <c r="Y1647" t="str" cm="1">
        <f t="array" ref="Y1647">_xlfn.IFS(R1647&gt;10,"Excelente",R1647&gt;=5,"Bueno",R1647&gt;=2,"Débil",R1647&lt;2,"Deficiente")</f>
        <v>Débil</v>
      </c>
      <c r="Z1647" t="str">
        <f>IF(AND(R1647&lt;2,Q1647&gt;=100),"Revisar","OK")</f>
        <v>OK</v>
      </c>
      <c r="AA1647" s="55">
        <f>_xlfn.XLOOKUP(C1647,'Preguntas de negocio'!$C$114:$C$119,'Preguntas de negocio'!$D$114:$D$119,0)</f>
        <v>5</v>
      </c>
      <c r="AB1647" s="55">
        <f>VLOOKUP(C1647,'Preguntas de negocio'!$C$121:$D$127,2,FALSE)</f>
        <v>0.5</v>
      </c>
    </row>
    <row r="1648" spans="1:28" x14ac:dyDescent="0.3">
      <c r="A1648" s="1">
        <v>45696</v>
      </c>
      <c r="B1648" s="2" t="s">
        <v>2627</v>
      </c>
      <c r="C1648" s="2" t="s">
        <v>2533</v>
      </c>
      <c r="D1648" s="2" t="s">
        <v>2528</v>
      </c>
      <c r="E1648" s="2" t="s">
        <v>2529</v>
      </c>
      <c r="F1648" s="3">
        <v>107469</v>
      </c>
      <c r="G1648" s="3">
        <v>2622</v>
      </c>
      <c r="H1648" s="3">
        <v>338</v>
      </c>
      <c r="I1648" s="4">
        <v>3303.12</v>
      </c>
      <c r="J1648" s="4">
        <v>23129.02</v>
      </c>
      <c r="K1648" s="3">
        <v>207</v>
      </c>
      <c r="L1648" s="2" t="s">
        <v>2539</v>
      </c>
      <c r="M1648" s="2" t="s">
        <v>2519</v>
      </c>
      <c r="N1648" s="8">
        <f>IFERROR(G1648/F1648,0)</f>
        <v>2.43977332998353E-2</v>
      </c>
      <c r="O1648" s="8">
        <f>IFERROR(H1648/G1648,0)</f>
        <v>0.12890922959572845</v>
      </c>
      <c r="P1648" s="4">
        <f>IFERROR(I1648/G1648,0)</f>
        <v>1.2597711670480549</v>
      </c>
      <c r="Q1648" s="4">
        <f>IFERROR(I1648/H1648,0)</f>
        <v>9.7725443786982247</v>
      </c>
      <c r="R1648" s="12">
        <f>IFERROR(J1648/I1648,0)</f>
        <v>7.002173702438907</v>
      </c>
      <c r="S1648" s="7">
        <f>Tabla_nuevas_columnas[[#This Row],[ROAS]]</f>
        <v>7.002173702438907</v>
      </c>
      <c r="T1648" t="str">
        <f>_xlfn.CONCAT(C1648,"-",D1648)</f>
        <v>Paid Social-España</v>
      </c>
      <c r="U1648">
        <f>YEAR(A1648)</f>
        <v>2025</v>
      </c>
      <c r="V1648">
        <f>MONTH(A1648)</f>
        <v>2</v>
      </c>
      <c r="W1648" t="str">
        <f>PROPER(TEXT(A1648,"mmmm"))</f>
        <v>Febrero</v>
      </c>
      <c r="X1648" t="str">
        <f>PROPER(TEXT(A1648,"dddd"))</f>
        <v>Sábado</v>
      </c>
      <c r="Y1648" t="str" cm="1">
        <f t="array" ref="Y1648">_xlfn.IFS(R1648&gt;10,"Excelente",R1648&gt;=5,"Bueno",R1648&gt;=2,"Débil",R1648&lt;2,"Deficiente")</f>
        <v>Bueno</v>
      </c>
      <c r="Z1648" t="str">
        <f>IF(AND(R1648&lt;2,Q1648&gt;=100),"Revisar","OK")</f>
        <v>OK</v>
      </c>
      <c r="AA1648" s="55">
        <f>_xlfn.XLOOKUP(C1648,'Preguntas de negocio'!$C$114:$C$119,'Preguntas de negocio'!$D$114:$D$119,0)</f>
        <v>6</v>
      </c>
      <c r="AB1648" s="55">
        <f>VLOOKUP(C1648,'Preguntas de negocio'!$C$121:$D$127,2,FALSE)</f>
        <v>0.8</v>
      </c>
    </row>
    <row r="1649" spans="1:28" x14ac:dyDescent="0.3">
      <c r="A1649" s="1">
        <v>45884</v>
      </c>
      <c r="B1649" s="2" t="s">
        <v>2640</v>
      </c>
      <c r="C1649" s="2" t="s">
        <v>2521</v>
      </c>
      <c r="D1649" s="2" t="s">
        <v>2516</v>
      </c>
      <c r="E1649" s="2" t="s">
        <v>2529</v>
      </c>
      <c r="F1649" s="3">
        <v>18515</v>
      </c>
      <c r="G1649" s="3">
        <v>1484</v>
      </c>
      <c r="H1649" s="3">
        <v>86</v>
      </c>
      <c r="I1649" s="4">
        <v>1336.04</v>
      </c>
      <c r="J1649" s="4">
        <v>6390.85</v>
      </c>
      <c r="K1649" s="3">
        <v>63</v>
      </c>
      <c r="L1649" s="2" t="s">
        <v>2536</v>
      </c>
      <c r="M1649" s="2" t="s">
        <v>2519</v>
      </c>
      <c r="N1649" s="8">
        <f>IFERROR(G1649/F1649,0)</f>
        <v>8.0151228733459354E-2</v>
      </c>
      <c r="O1649" s="8">
        <f>IFERROR(H1649/G1649,0)</f>
        <v>5.7951482479784364E-2</v>
      </c>
      <c r="P1649" s="4">
        <f>IFERROR(I1649/G1649,0)</f>
        <v>0.90029649595687333</v>
      </c>
      <c r="Q1649" s="4">
        <f>IFERROR(I1649/H1649,0)</f>
        <v>15.535348837209302</v>
      </c>
      <c r="R1649" s="12">
        <f>IFERROR(J1649/I1649,0)</f>
        <v>4.7834271428999138</v>
      </c>
      <c r="S1649" s="7">
        <f>Tabla_nuevas_columnas[[#This Row],[ROAS]]</f>
        <v>4.7834271428999138</v>
      </c>
      <c r="T1649" t="str">
        <f>_xlfn.CONCAT(C1649,"-",D1649)</f>
        <v>Paid Search-México</v>
      </c>
      <c r="U1649">
        <f>YEAR(A1649)</f>
        <v>2025</v>
      </c>
      <c r="V1649">
        <f>MONTH(A1649)</f>
        <v>8</v>
      </c>
      <c r="W1649" t="str">
        <f>PROPER(TEXT(A1649,"mmmm"))</f>
        <v>Agosto</v>
      </c>
      <c r="X1649" t="str">
        <f>PROPER(TEXT(A1649,"dddd"))</f>
        <v>Viernes</v>
      </c>
      <c r="Y1649" t="str" cm="1">
        <f t="array" ref="Y1649">_xlfn.IFS(R1649&gt;10,"Excelente",R1649&gt;=5,"Bueno",R1649&gt;=2,"Débil",R1649&lt;2,"Deficiente")</f>
        <v>Débil</v>
      </c>
      <c r="Z1649" t="str">
        <f>IF(AND(R1649&lt;2,Q1649&gt;=100),"Revisar","OK")</f>
        <v>OK</v>
      </c>
      <c r="AA1649" s="55">
        <f>_xlfn.XLOOKUP(C1649,'Preguntas de negocio'!$C$114:$C$119,'Preguntas de negocio'!$D$114:$D$119,0)</f>
        <v>5</v>
      </c>
      <c r="AB1649" s="55">
        <f>VLOOKUP(C1649,'Preguntas de negocio'!$C$121:$D$127,2,FALSE)</f>
        <v>1.1000000000000001</v>
      </c>
    </row>
    <row r="1650" spans="1:28" x14ac:dyDescent="0.3">
      <c r="A1650" s="1">
        <v>46004</v>
      </c>
      <c r="B1650" s="2" t="s">
        <v>2640</v>
      </c>
      <c r="C1650" s="2" t="s">
        <v>2543</v>
      </c>
      <c r="D1650" s="2" t="s">
        <v>2531</v>
      </c>
      <c r="E1650" s="2" t="s">
        <v>2529</v>
      </c>
      <c r="F1650" s="3">
        <v>71270</v>
      </c>
      <c r="G1650" s="3">
        <v>2427</v>
      </c>
      <c r="H1650" s="3">
        <v>83</v>
      </c>
      <c r="I1650" s="4">
        <v>2284.38</v>
      </c>
      <c r="J1650" s="4">
        <v>9875.7999999999993</v>
      </c>
      <c r="K1650" s="3">
        <v>44</v>
      </c>
      <c r="L1650" s="2" t="s">
        <v>2523</v>
      </c>
      <c r="M1650" s="2" t="s">
        <v>2546</v>
      </c>
      <c r="N1650" s="8">
        <f>IFERROR(G1650/F1650,0)</f>
        <v>3.405359898975726E-2</v>
      </c>
      <c r="O1650" s="8">
        <f>IFERROR(H1650/G1650,0)</f>
        <v>3.419859909353111E-2</v>
      </c>
      <c r="P1650" s="4">
        <f>IFERROR(I1650/G1650,0)</f>
        <v>0.94123609394313967</v>
      </c>
      <c r="Q1650" s="4">
        <f>IFERROR(I1650/H1650,0)</f>
        <v>27.522650602409641</v>
      </c>
      <c r="R1650" s="12">
        <f>IFERROR(J1650/I1650,0)</f>
        <v>4.3231861599208532</v>
      </c>
      <c r="S1650" s="7">
        <f>Tabla_nuevas_columnas[[#This Row],[ROAS]]</f>
        <v>4.3231861599208532</v>
      </c>
      <c r="T1650" t="str">
        <f>_xlfn.CONCAT(C1650,"-",D1650)</f>
        <v>Organic Social-Portugal</v>
      </c>
      <c r="U1650">
        <f>YEAR(A1650)</f>
        <v>2025</v>
      </c>
      <c r="V1650">
        <f>MONTH(A1650)</f>
        <v>12</v>
      </c>
      <c r="W1650" t="str">
        <f>PROPER(TEXT(A1650,"mmmm"))</f>
        <v>Diciembre</v>
      </c>
      <c r="X1650" t="str">
        <f>PROPER(TEXT(A1650,"dddd"))</f>
        <v>Sábado</v>
      </c>
      <c r="Y1650" t="str" cm="1">
        <f t="array" ref="Y1650">_xlfn.IFS(R1650&gt;10,"Excelente",R1650&gt;=5,"Bueno",R1650&gt;=2,"Débil",R1650&lt;2,"Deficiente")</f>
        <v>Débil</v>
      </c>
      <c r="Z1650" t="str">
        <f>IF(AND(R1650&lt;2,Q1650&gt;=100),"Revisar","OK")</f>
        <v>OK</v>
      </c>
      <c r="AA1650" s="55">
        <f>_xlfn.XLOOKUP(C1650,'Preguntas de negocio'!$C$114:$C$119,'Preguntas de negocio'!$D$114:$D$119,0)</f>
        <v>4</v>
      </c>
      <c r="AB1650" s="55">
        <f>VLOOKUP(C1650,'Preguntas de negocio'!$C$121:$D$127,2,FALSE)</f>
        <v>0.95</v>
      </c>
    </row>
    <row r="1651" spans="1:28" x14ac:dyDescent="0.3">
      <c r="A1651" s="1">
        <v>45953</v>
      </c>
      <c r="B1651" s="2" t="s">
        <v>2627</v>
      </c>
      <c r="C1651" s="2" t="s">
        <v>2543</v>
      </c>
      <c r="D1651" s="2" t="s">
        <v>2528</v>
      </c>
      <c r="E1651" s="2" t="s">
        <v>2529</v>
      </c>
      <c r="F1651" s="3">
        <v>105096</v>
      </c>
      <c r="G1651" s="3">
        <v>7790</v>
      </c>
      <c r="H1651" s="3">
        <v>739</v>
      </c>
      <c r="I1651" s="4">
        <v>15918.42</v>
      </c>
      <c r="J1651" s="4">
        <v>119560.1</v>
      </c>
      <c r="K1651" s="3">
        <v>555</v>
      </c>
      <c r="L1651" s="2" t="s">
        <v>2523</v>
      </c>
      <c r="M1651" s="2" t="s">
        <v>2526</v>
      </c>
      <c r="N1651" s="8">
        <f>IFERROR(G1651/F1651,0)</f>
        <v>7.4122706858491288E-2</v>
      </c>
      <c r="O1651" s="8">
        <f>IFERROR(H1651/G1651,0)</f>
        <v>9.4865211810012839E-2</v>
      </c>
      <c r="P1651" s="4">
        <f>IFERROR(I1651/G1651,0)</f>
        <v>2.0434428754813863</v>
      </c>
      <c r="Q1651" s="4">
        <f>IFERROR(I1651/H1651,0)</f>
        <v>21.540487144790259</v>
      </c>
      <c r="R1651" s="12">
        <f>IFERROR(J1651/I1651,0)</f>
        <v>7.510801951449956</v>
      </c>
      <c r="S1651" s="7">
        <f>Tabla_nuevas_columnas[[#This Row],[ROAS]]</f>
        <v>7.510801951449956</v>
      </c>
      <c r="T1651" t="str">
        <f>_xlfn.CONCAT(C1651,"-",D1651)</f>
        <v>Organic Social-España</v>
      </c>
      <c r="U1651">
        <f>YEAR(A1651)</f>
        <v>2025</v>
      </c>
      <c r="V1651">
        <f>MONTH(A1651)</f>
        <v>10</v>
      </c>
      <c r="W1651" t="str">
        <f>PROPER(TEXT(A1651,"mmmm"))</f>
        <v>Octubre</v>
      </c>
      <c r="X1651" t="str">
        <f>PROPER(TEXT(A1651,"dddd"))</f>
        <v>Jueves</v>
      </c>
      <c r="Y1651" t="str" cm="1">
        <f t="array" ref="Y1651">_xlfn.IFS(R1651&gt;10,"Excelente",R1651&gt;=5,"Bueno",R1651&gt;=2,"Débil",R1651&lt;2,"Deficiente")</f>
        <v>Bueno</v>
      </c>
      <c r="Z1651" t="str">
        <f>IF(AND(R1651&lt;2,Q1651&gt;=100),"Revisar","OK")</f>
        <v>OK</v>
      </c>
      <c r="AA1651" s="55">
        <f>_xlfn.XLOOKUP(C1651,'Preguntas de negocio'!$C$114:$C$119,'Preguntas de negocio'!$D$114:$D$119,0)</f>
        <v>4</v>
      </c>
      <c r="AB1651" s="55">
        <f>VLOOKUP(C1651,'Preguntas de negocio'!$C$121:$D$127,2,FALSE)</f>
        <v>0.95</v>
      </c>
    </row>
    <row r="1652" spans="1:28" x14ac:dyDescent="0.3">
      <c r="A1652" s="1">
        <v>45868</v>
      </c>
      <c r="B1652" s="2" t="s">
        <v>2628</v>
      </c>
      <c r="C1652" s="2" t="s">
        <v>2543</v>
      </c>
      <c r="D1652" s="2" t="s">
        <v>2528</v>
      </c>
      <c r="E1652" s="2" t="s">
        <v>2529</v>
      </c>
      <c r="F1652" s="3">
        <v>84955</v>
      </c>
      <c r="G1652" s="3">
        <v>6069</v>
      </c>
      <c r="H1652" s="3">
        <v>206</v>
      </c>
      <c r="I1652" s="4">
        <v>8405.56</v>
      </c>
      <c r="J1652" s="4">
        <v>9875.9599999999991</v>
      </c>
      <c r="K1652" s="3">
        <v>124</v>
      </c>
      <c r="L1652" s="2" t="s">
        <v>2536</v>
      </c>
      <c r="M1652" s="2" t="s">
        <v>2537</v>
      </c>
      <c r="N1652" s="8">
        <f>IFERROR(G1652/F1652,0)</f>
        <v>7.1437820022364776E-2</v>
      </c>
      <c r="O1652" s="8">
        <f>IFERROR(H1652/G1652,0)</f>
        <v>3.3942988960290001E-2</v>
      </c>
      <c r="P1652" s="4">
        <f>IFERROR(I1652/G1652,0)</f>
        <v>1.3849991761410445</v>
      </c>
      <c r="Q1652" s="4">
        <f>IFERROR(I1652/H1652,0)</f>
        <v>40.803689320388344</v>
      </c>
      <c r="R1652" s="12">
        <f>IFERROR(J1652/I1652,0)</f>
        <v>1.1749318308357801</v>
      </c>
      <c r="S1652" s="7">
        <f>Tabla_nuevas_columnas[[#This Row],[ROAS]]</f>
        <v>1.1749318308357801</v>
      </c>
      <c r="T1652" t="str">
        <f>_xlfn.CONCAT(C1652,"-",D1652)</f>
        <v>Organic Social-España</v>
      </c>
      <c r="U1652">
        <f>YEAR(A1652)</f>
        <v>2025</v>
      </c>
      <c r="V1652">
        <f>MONTH(A1652)</f>
        <v>7</v>
      </c>
      <c r="W1652" t="str">
        <f>PROPER(TEXT(A1652,"mmmm"))</f>
        <v>Julio</v>
      </c>
      <c r="X1652" t="str">
        <f>PROPER(TEXT(A1652,"dddd"))</f>
        <v>Miércoles</v>
      </c>
      <c r="Y1652" t="str" cm="1">
        <f t="array" ref="Y1652">_xlfn.IFS(R1652&gt;10,"Excelente",R1652&gt;=5,"Bueno",R1652&gt;=2,"Débil",R1652&lt;2,"Deficiente")</f>
        <v>Deficiente</v>
      </c>
      <c r="Z1652" t="str">
        <f>IF(AND(R1652&lt;2,Q1652&gt;=100),"Revisar","OK")</f>
        <v>OK</v>
      </c>
      <c r="AA1652" s="55">
        <f>_xlfn.XLOOKUP(C1652,'Preguntas de negocio'!$C$114:$C$119,'Preguntas de negocio'!$D$114:$D$119,0)</f>
        <v>4</v>
      </c>
      <c r="AB1652" s="55">
        <f>VLOOKUP(C1652,'Preguntas de negocio'!$C$121:$D$127,2,FALSE)</f>
        <v>0.95</v>
      </c>
    </row>
    <row r="1653" spans="1:28" x14ac:dyDescent="0.3">
      <c r="A1653" s="1">
        <v>45702</v>
      </c>
      <c r="B1653" s="2" t="s">
        <v>2628</v>
      </c>
      <c r="C1653" s="2" t="s">
        <v>2521</v>
      </c>
      <c r="D1653" s="2" t="s">
        <v>2516</v>
      </c>
      <c r="E1653" s="2" t="s">
        <v>2529</v>
      </c>
      <c r="F1653" s="3">
        <v>102907</v>
      </c>
      <c r="G1653" s="3">
        <v>6578</v>
      </c>
      <c r="H1653" s="3">
        <v>368</v>
      </c>
      <c r="I1653" s="4">
        <v>888.98</v>
      </c>
      <c r="J1653" s="4">
        <v>58956.7</v>
      </c>
      <c r="K1653" s="3">
        <v>298</v>
      </c>
      <c r="L1653" s="2" t="s">
        <v>2536</v>
      </c>
      <c r="M1653" s="2" t="s">
        <v>2526</v>
      </c>
      <c r="N1653" s="8">
        <f>IFERROR(G1653/F1653,0)</f>
        <v>6.3921793464001481E-2</v>
      </c>
      <c r="O1653" s="8">
        <f>IFERROR(H1653/G1653,0)</f>
        <v>5.5944055944055944E-2</v>
      </c>
      <c r="P1653" s="4">
        <f>IFERROR(I1653/G1653,0)</f>
        <v>0.13514442079659472</v>
      </c>
      <c r="Q1653" s="4">
        <f>IFERROR(I1653/H1653,0)</f>
        <v>2.4157065217391307</v>
      </c>
      <c r="R1653" s="12">
        <f>IFERROR(J1653/I1653,0)</f>
        <v>66.319489752300385</v>
      </c>
      <c r="S1653" s="7">
        <f>Tabla_nuevas_columnas[[#This Row],[ROAS]]</f>
        <v>66.319489752300385</v>
      </c>
      <c r="T1653" t="str">
        <f>_xlfn.CONCAT(C1653,"-",D1653)</f>
        <v>Paid Search-México</v>
      </c>
      <c r="U1653">
        <f>YEAR(A1653)</f>
        <v>2025</v>
      </c>
      <c r="V1653">
        <f>MONTH(A1653)</f>
        <v>2</v>
      </c>
      <c r="W1653" t="str">
        <f>PROPER(TEXT(A1653,"mmmm"))</f>
        <v>Febrero</v>
      </c>
      <c r="X1653" t="str">
        <f>PROPER(TEXT(A1653,"dddd"))</f>
        <v>Viernes</v>
      </c>
      <c r="Y1653" t="str" cm="1">
        <f t="array" ref="Y1653">_xlfn.IFS(R1653&gt;10,"Excelente",R1653&gt;=5,"Bueno",R1653&gt;=2,"Débil",R1653&lt;2,"Deficiente")</f>
        <v>Excelente</v>
      </c>
      <c r="Z1653" t="str">
        <f>IF(AND(R1653&lt;2,Q1653&gt;=100),"Revisar","OK")</f>
        <v>OK</v>
      </c>
      <c r="AA1653" s="55">
        <f>_xlfn.XLOOKUP(C1653,'Preguntas de negocio'!$C$114:$C$119,'Preguntas de negocio'!$D$114:$D$119,0)</f>
        <v>5</v>
      </c>
      <c r="AB1653" s="55">
        <f>VLOOKUP(C1653,'Preguntas de negocio'!$C$121:$D$127,2,FALSE)</f>
        <v>1.1000000000000001</v>
      </c>
    </row>
    <row r="1654" spans="1:28" x14ac:dyDescent="0.3">
      <c r="A1654" s="1">
        <v>45925</v>
      </c>
      <c r="B1654" s="2" t="s">
        <v>2634</v>
      </c>
      <c r="C1654" s="2" t="s">
        <v>2515</v>
      </c>
      <c r="D1654" s="2" t="s">
        <v>2528</v>
      </c>
      <c r="E1654" s="2" t="s">
        <v>2517</v>
      </c>
      <c r="F1654" s="3">
        <v>19470</v>
      </c>
      <c r="G1654" s="3">
        <v>594</v>
      </c>
      <c r="H1654" s="3">
        <v>3</v>
      </c>
      <c r="I1654" s="4">
        <v>496.55</v>
      </c>
      <c r="J1654" s="4">
        <v>432.63</v>
      </c>
      <c r="K1654" s="3">
        <v>2</v>
      </c>
      <c r="L1654" s="2" t="s">
        <v>2518</v>
      </c>
      <c r="M1654" s="2" t="s">
        <v>2524</v>
      </c>
      <c r="N1654" s="8">
        <f>IFERROR(G1654/F1654,0)</f>
        <v>3.0508474576271188E-2</v>
      </c>
      <c r="O1654" s="8">
        <f>IFERROR(H1654/G1654,0)</f>
        <v>5.0505050505050509E-3</v>
      </c>
      <c r="P1654" s="4">
        <f>IFERROR(I1654/G1654,0)</f>
        <v>0.83594276094276099</v>
      </c>
      <c r="Q1654" s="4">
        <f>IFERROR(I1654/H1654,0)</f>
        <v>165.51666666666668</v>
      </c>
      <c r="R1654" s="12">
        <f>IFERROR(J1654/I1654,0)</f>
        <v>0.87127177524921962</v>
      </c>
      <c r="S1654" s="7">
        <f>Tabla_nuevas_columnas[[#This Row],[ROAS]]</f>
        <v>0.87127177524921962</v>
      </c>
      <c r="T1654" t="str">
        <f>_xlfn.CONCAT(C1654,"-",D1654)</f>
        <v>Email-España</v>
      </c>
      <c r="U1654">
        <f>YEAR(A1654)</f>
        <v>2025</v>
      </c>
      <c r="V1654">
        <f>MONTH(A1654)</f>
        <v>9</v>
      </c>
      <c r="W1654" t="str">
        <f>PROPER(TEXT(A1654,"mmmm"))</f>
        <v>Septiembre</v>
      </c>
      <c r="X1654" t="str">
        <f>PROPER(TEXT(A1654,"dddd"))</f>
        <v>Jueves</v>
      </c>
      <c r="Y1654" t="str" cm="1">
        <f t="array" ref="Y1654">_xlfn.IFS(R1654&gt;10,"Excelente",R1654&gt;=5,"Bueno",R1654&gt;=2,"Débil",R1654&lt;2,"Deficiente")</f>
        <v>Deficiente</v>
      </c>
      <c r="Z1654" t="str">
        <f>IF(AND(R1654&lt;2,Q1654&gt;=100),"Revisar","OK")</f>
        <v>Revisar</v>
      </c>
      <c r="AA1654" s="55">
        <f>_xlfn.XLOOKUP(C1654,'Preguntas de negocio'!$C$114:$C$119,'Preguntas de negocio'!$D$114:$D$119,0)</f>
        <v>5.5</v>
      </c>
      <c r="AB1654" s="55">
        <f>VLOOKUP(C1654,'Preguntas de negocio'!$C$121:$D$127,2,FALSE)</f>
        <v>0.65</v>
      </c>
    </row>
    <row r="1655" spans="1:28" x14ac:dyDescent="0.3">
      <c r="A1655" s="1">
        <v>45677</v>
      </c>
      <c r="B1655" s="2" t="s">
        <v>2637</v>
      </c>
      <c r="C1655" s="2" t="s">
        <v>2645</v>
      </c>
      <c r="D1655" s="2" t="s">
        <v>2516</v>
      </c>
      <c r="E1655" s="2" t="s">
        <v>2529</v>
      </c>
      <c r="F1655" s="3">
        <v>176321</v>
      </c>
      <c r="G1655" s="3">
        <v>11037</v>
      </c>
      <c r="H1655" s="3">
        <v>405</v>
      </c>
      <c r="I1655" s="4">
        <v>23020.23</v>
      </c>
      <c r="J1655" s="4">
        <v>87304.1</v>
      </c>
      <c r="K1655" s="3">
        <v>284</v>
      </c>
      <c r="L1655" s="2" t="s">
        <v>2518</v>
      </c>
      <c r="M1655" s="2" t="s">
        <v>2519</v>
      </c>
      <c r="N1655" s="8">
        <f>IFERROR(G1655/F1655,0)</f>
        <v>6.2596060594030209E-2</v>
      </c>
      <c r="O1655" s="8">
        <f>IFERROR(H1655/G1655,0)</f>
        <v>3.6694754009241645E-2</v>
      </c>
      <c r="P1655" s="4">
        <f>IFERROR(I1655/G1655,0)</f>
        <v>2.0857325360152217</v>
      </c>
      <c r="Q1655" s="4">
        <f>IFERROR(I1655/H1655,0)</f>
        <v>56.840074074074074</v>
      </c>
      <c r="R1655" s="12">
        <f>IFERROR(J1655/I1655,0)</f>
        <v>3.7924946883675794</v>
      </c>
      <c r="S1655" s="7">
        <f>Tabla_nuevas_columnas[[#This Row],[ROAS]]</f>
        <v>3.7924946883675794</v>
      </c>
      <c r="T1655" t="str">
        <f>_xlfn.CONCAT(C1655,"-",D1655)</f>
        <v>Por identificar-México</v>
      </c>
      <c r="U1655">
        <f>YEAR(A1655)</f>
        <v>2025</v>
      </c>
      <c r="V1655">
        <f>MONTH(A1655)</f>
        <v>1</v>
      </c>
      <c r="W1655" t="str">
        <f>PROPER(TEXT(A1655,"mmmm"))</f>
        <v>Enero</v>
      </c>
      <c r="X1655" t="str">
        <f>PROPER(TEXT(A1655,"dddd"))</f>
        <v>Lunes</v>
      </c>
      <c r="Y1655" t="str" cm="1">
        <f t="array" ref="Y1655">_xlfn.IFS(R1655&gt;10,"Excelente",R1655&gt;=5,"Bueno",R1655&gt;=2,"Débil",R1655&lt;2,"Deficiente")</f>
        <v>Débil</v>
      </c>
      <c r="Z1655" t="str">
        <f>IF(AND(R1655&lt;2,Q1655&gt;=100),"Revisar","OK")</f>
        <v>OK</v>
      </c>
      <c r="AA1655" s="55">
        <f>_xlfn.XLOOKUP(C1655,'Preguntas de negocio'!$C$114:$C$119,'Preguntas de negocio'!$D$114:$D$119,0)</f>
        <v>0</v>
      </c>
      <c r="AB1655" s="55">
        <f>VLOOKUP(C1655,'Preguntas de negocio'!$C$121:$D$127,2,FALSE)</f>
        <v>0</v>
      </c>
    </row>
    <row r="1656" spans="1:28" x14ac:dyDescent="0.3">
      <c r="A1656" s="1">
        <v>45786</v>
      </c>
      <c r="B1656" s="2" t="s">
        <v>2636</v>
      </c>
      <c r="C1656" s="2" t="s">
        <v>2527</v>
      </c>
      <c r="D1656" s="2" t="s">
        <v>2522</v>
      </c>
      <c r="E1656" s="2" t="s">
        <v>2517</v>
      </c>
      <c r="F1656" s="3">
        <v>122990</v>
      </c>
      <c r="G1656" s="3">
        <v>6837</v>
      </c>
      <c r="H1656" s="3">
        <v>759</v>
      </c>
      <c r="I1656" s="4">
        <v>7912.84</v>
      </c>
      <c r="J1656" s="4">
        <v>143743.07999999999</v>
      </c>
      <c r="K1656" s="3">
        <v>442</v>
      </c>
      <c r="L1656" s="2" t="s">
        <v>2539</v>
      </c>
      <c r="M1656" s="2" t="s">
        <v>2537</v>
      </c>
      <c r="N1656" s="8">
        <f>IFERROR(G1656/F1656,0)</f>
        <v>5.5589885356533052E-2</v>
      </c>
      <c r="O1656" s="8">
        <f>IFERROR(H1656/G1656,0)</f>
        <v>0.11101360245721807</v>
      </c>
      <c r="P1656" s="4">
        <f>IFERROR(I1656/G1656,0)</f>
        <v>1.1573555653064209</v>
      </c>
      <c r="Q1656" s="4">
        <f>IFERROR(I1656/H1656,0)</f>
        <v>10.425349143610013</v>
      </c>
      <c r="R1656" s="12">
        <f>IFERROR(J1656/I1656,0)</f>
        <v>18.165801406321876</v>
      </c>
      <c r="S1656" s="7">
        <f>Tabla_nuevas_columnas[[#This Row],[ROAS]]</f>
        <v>18.165801406321876</v>
      </c>
      <c r="T1656" t="str">
        <f>_xlfn.CONCAT(C1656,"-",D1656)</f>
        <v>Affiliate-Italia</v>
      </c>
      <c r="U1656">
        <f>YEAR(A1656)</f>
        <v>2025</v>
      </c>
      <c r="V1656">
        <f>MONTH(A1656)</f>
        <v>5</v>
      </c>
      <c r="W1656" t="str">
        <f>PROPER(TEXT(A1656,"mmmm"))</f>
        <v>Mayo</v>
      </c>
      <c r="X1656" t="str">
        <f>PROPER(TEXT(A1656,"dddd"))</f>
        <v>Viernes</v>
      </c>
      <c r="Y1656" t="str" cm="1">
        <f t="array" ref="Y1656">_xlfn.IFS(R1656&gt;10,"Excelente",R1656&gt;=5,"Bueno",R1656&gt;=2,"Débil",R1656&lt;2,"Deficiente")</f>
        <v>Excelente</v>
      </c>
      <c r="Z1656" t="str">
        <f>IF(AND(R1656&lt;2,Q1656&gt;=100),"Revisar","OK")</f>
        <v>OK</v>
      </c>
      <c r="AA1656" s="55">
        <f>_xlfn.XLOOKUP(C1656,'Preguntas de negocio'!$C$114:$C$119,'Preguntas de negocio'!$D$114:$D$119,0)</f>
        <v>4.5</v>
      </c>
      <c r="AB1656" s="55">
        <f>VLOOKUP(C1656,'Preguntas de negocio'!$C$121:$D$127,2,FALSE)</f>
        <v>0.35</v>
      </c>
    </row>
    <row r="1657" spans="1:28" x14ac:dyDescent="0.3">
      <c r="A1657" s="1">
        <v>45909</v>
      </c>
      <c r="B1657" s="2" t="s">
        <v>2634</v>
      </c>
      <c r="C1657" s="2" t="s">
        <v>2543</v>
      </c>
      <c r="D1657" s="2" t="s">
        <v>2531</v>
      </c>
      <c r="E1657" s="2" t="s">
        <v>2529</v>
      </c>
      <c r="F1657" s="3">
        <v>130718</v>
      </c>
      <c r="G1657" s="3">
        <v>5467</v>
      </c>
      <c r="H1657" s="3">
        <v>350</v>
      </c>
      <c r="I1657" s="4">
        <v>2267.9</v>
      </c>
      <c r="J1657" s="4">
        <v>9727.36</v>
      </c>
      <c r="K1657" s="3">
        <v>238</v>
      </c>
      <c r="L1657" s="2" t="s">
        <v>2536</v>
      </c>
      <c r="M1657" s="2" t="s">
        <v>2526</v>
      </c>
      <c r="N1657" s="8">
        <f>IFERROR(G1657/F1657,0)</f>
        <v>4.1822855306843737E-2</v>
      </c>
      <c r="O1657" s="8">
        <f>IFERROR(H1657/G1657,0)</f>
        <v>6.4020486555697823E-2</v>
      </c>
      <c r="P1657" s="4">
        <f>IFERROR(I1657/G1657,0)</f>
        <v>0.41483446131333457</v>
      </c>
      <c r="Q1657" s="4">
        <f>IFERROR(I1657/H1657,0)</f>
        <v>6.4797142857142855</v>
      </c>
      <c r="R1657" s="12">
        <f>IFERROR(J1657/I1657,0)</f>
        <v>4.2891485515234358</v>
      </c>
      <c r="S1657" s="7">
        <f>Tabla_nuevas_columnas[[#This Row],[ROAS]]</f>
        <v>4.2891485515234358</v>
      </c>
      <c r="T1657" t="str">
        <f>_xlfn.CONCAT(C1657,"-",D1657)</f>
        <v>Organic Social-Portugal</v>
      </c>
      <c r="U1657">
        <f>YEAR(A1657)</f>
        <v>2025</v>
      </c>
      <c r="V1657">
        <f>MONTH(A1657)</f>
        <v>9</v>
      </c>
      <c r="W1657" t="str">
        <f>PROPER(TEXT(A1657,"mmmm"))</f>
        <v>Septiembre</v>
      </c>
      <c r="X1657" t="str">
        <f>PROPER(TEXT(A1657,"dddd"))</f>
        <v>Martes</v>
      </c>
      <c r="Y1657" t="str" cm="1">
        <f t="array" ref="Y1657">_xlfn.IFS(R1657&gt;10,"Excelente",R1657&gt;=5,"Bueno",R1657&gt;=2,"Débil",R1657&lt;2,"Deficiente")</f>
        <v>Débil</v>
      </c>
      <c r="Z1657" t="str">
        <f>IF(AND(R1657&lt;2,Q1657&gt;=100),"Revisar","OK")</f>
        <v>OK</v>
      </c>
      <c r="AA1657" s="55">
        <f>_xlfn.XLOOKUP(C1657,'Preguntas de negocio'!$C$114:$C$119,'Preguntas de negocio'!$D$114:$D$119,0)</f>
        <v>4</v>
      </c>
      <c r="AB1657" s="55">
        <f>VLOOKUP(C1657,'Preguntas de negocio'!$C$121:$D$127,2,FALSE)</f>
        <v>0.95</v>
      </c>
    </row>
    <row r="1658" spans="1:28" x14ac:dyDescent="0.3">
      <c r="A1658" s="1">
        <v>45905</v>
      </c>
      <c r="B1658" s="2" t="s">
        <v>2641</v>
      </c>
      <c r="C1658" s="2" t="s">
        <v>2515</v>
      </c>
      <c r="D1658" s="2" t="s">
        <v>2525</v>
      </c>
      <c r="E1658" s="2" t="s">
        <v>2517</v>
      </c>
      <c r="F1658" s="3">
        <v>137056</v>
      </c>
      <c r="G1658" s="3">
        <v>3460</v>
      </c>
      <c r="H1658" s="3">
        <v>230</v>
      </c>
      <c r="I1658" s="4">
        <v>3508.33</v>
      </c>
      <c r="J1658" s="4">
        <v>40684.11</v>
      </c>
      <c r="K1658" s="3">
        <v>120</v>
      </c>
      <c r="L1658" s="2" t="s">
        <v>2518</v>
      </c>
      <c r="M1658" s="2" t="s">
        <v>2526</v>
      </c>
      <c r="N1658" s="8">
        <f>IFERROR(G1658/F1658,0)</f>
        <v>2.5245155265001169E-2</v>
      </c>
      <c r="O1658" s="8">
        <f>IFERROR(H1658/G1658,0)</f>
        <v>6.6473988439306353E-2</v>
      </c>
      <c r="P1658" s="4">
        <f>IFERROR(I1658/G1658,0)</f>
        <v>1.0139682080924854</v>
      </c>
      <c r="Q1658" s="4">
        <f>IFERROR(I1658/H1658,0)</f>
        <v>15.253608695652174</v>
      </c>
      <c r="R1658" s="12">
        <f>IFERROR(J1658/I1658,0)</f>
        <v>11.5964319206004</v>
      </c>
      <c r="S1658" s="7">
        <f>Tabla_nuevas_columnas[[#This Row],[ROAS]]</f>
        <v>11.5964319206004</v>
      </c>
      <c r="T1658" t="str">
        <f>_xlfn.CONCAT(C1658,"-",D1658)</f>
        <v>Email-Francia</v>
      </c>
      <c r="U1658">
        <f>YEAR(A1658)</f>
        <v>2025</v>
      </c>
      <c r="V1658">
        <f>MONTH(A1658)</f>
        <v>9</v>
      </c>
      <c r="W1658" t="str">
        <f>PROPER(TEXT(A1658,"mmmm"))</f>
        <v>Septiembre</v>
      </c>
      <c r="X1658" t="str">
        <f>PROPER(TEXT(A1658,"dddd"))</f>
        <v>Viernes</v>
      </c>
      <c r="Y1658" t="str" cm="1">
        <f t="array" ref="Y1658">_xlfn.IFS(R1658&gt;10,"Excelente",R1658&gt;=5,"Bueno",R1658&gt;=2,"Débil",R1658&lt;2,"Deficiente")</f>
        <v>Excelente</v>
      </c>
      <c r="Z1658" t="str">
        <f>IF(AND(R1658&lt;2,Q1658&gt;=100),"Revisar","OK")</f>
        <v>OK</v>
      </c>
      <c r="AA1658" s="55">
        <f>_xlfn.XLOOKUP(C1658,'Preguntas de negocio'!$C$114:$C$119,'Preguntas de negocio'!$D$114:$D$119,0)</f>
        <v>5.5</v>
      </c>
      <c r="AB1658" s="55">
        <f>VLOOKUP(C1658,'Preguntas de negocio'!$C$121:$D$127,2,FALSE)</f>
        <v>0.65</v>
      </c>
    </row>
    <row r="1659" spans="1:28" x14ac:dyDescent="0.3">
      <c r="A1659" s="1">
        <v>45709</v>
      </c>
      <c r="B1659" s="2" t="s">
        <v>2624</v>
      </c>
      <c r="C1659" s="2" t="s">
        <v>2527</v>
      </c>
      <c r="D1659" s="2" t="s">
        <v>2516</v>
      </c>
      <c r="E1659" s="2" t="s">
        <v>2529</v>
      </c>
      <c r="F1659" s="3">
        <v>148207</v>
      </c>
      <c r="G1659" s="3">
        <v>13173</v>
      </c>
      <c r="H1659" s="3">
        <v>327</v>
      </c>
      <c r="I1659" s="4">
        <v>3704.99</v>
      </c>
      <c r="J1659" s="4">
        <v>16065.05</v>
      </c>
      <c r="K1659" s="3">
        <v>209</v>
      </c>
      <c r="L1659" s="2" t="s">
        <v>2539</v>
      </c>
      <c r="M1659" s="2" t="s">
        <v>2524</v>
      </c>
      <c r="N1659" s="8">
        <f>IFERROR(G1659/F1659,0)</f>
        <v>8.8882441450133937E-2</v>
      </c>
      <c r="O1659" s="8">
        <f>IFERROR(H1659/G1659,0)</f>
        <v>2.4823502618993395E-2</v>
      </c>
      <c r="P1659" s="4">
        <f>IFERROR(I1659/G1659,0)</f>
        <v>0.28125635770135882</v>
      </c>
      <c r="Q1659" s="4">
        <f>IFERROR(I1659/H1659,0)</f>
        <v>11.330244648318041</v>
      </c>
      <c r="R1659" s="12">
        <f>IFERROR(J1659/I1659,0)</f>
        <v>4.3360575871999654</v>
      </c>
      <c r="S1659" s="7">
        <f>Tabla_nuevas_columnas[[#This Row],[ROAS]]</f>
        <v>4.3360575871999654</v>
      </c>
      <c r="T1659" t="str">
        <f>_xlfn.CONCAT(C1659,"-",D1659)</f>
        <v>Affiliate-México</v>
      </c>
      <c r="U1659">
        <f>YEAR(A1659)</f>
        <v>2025</v>
      </c>
      <c r="V1659">
        <f>MONTH(A1659)</f>
        <v>2</v>
      </c>
      <c r="W1659" t="str">
        <f>PROPER(TEXT(A1659,"mmmm"))</f>
        <v>Febrero</v>
      </c>
      <c r="X1659" t="str">
        <f>PROPER(TEXT(A1659,"dddd"))</f>
        <v>Viernes</v>
      </c>
      <c r="Y1659" t="str" cm="1">
        <f t="array" ref="Y1659">_xlfn.IFS(R1659&gt;10,"Excelente",R1659&gt;=5,"Bueno",R1659&gt;=2,"Débil",R1659&lt;2,"Deficiente")</f>
        <v>Débil</v>
      </c>
      <c r="Z1659" t="str">
        <f>IF(AND(R1659&lt;2,Q1659&gt;=100),"Revisar","OK")</f>
        <v>OK</v>
      </c>
      <c r="AA1659" s="55">
        <f>_xlfn.XLOOKUP(C1659,'Preguntas de negocio'!$C$114:$C$119,'Preguntas de negocio'!$D$114:$D$119,0)</f>
        <v>4.5</v>
      </c>
      <c r="AB1659" s="55">
        <f>VLOOKUP(C1659,'Preguntas de negocio'!$C$121:$D$127,2,FALSE)</f>
        <v>0.35</v>
      </c>
    </row>
    <row r="1660" spans="1:28" x14ac:dyDescent="0.3">
      <c r="A1660" s="1">
        <v>45745</v>
      </c>
      <c r="B1660" s="2" t="s">
        <v>2638</v>
      </c>
      <c r="C1660" s="2" t="s">
        <v>2515</v>
      </c>
      <c r="D1660" s="2" t="s">
        <v>2531</v>
      </c>
      <c r="E1660" s="2" t="s">
        <v>2517</v>
      </c>
      <c r="F1660" s="3">
        <v>26489</v>
      </c>
      <c r="G1660" s="3">
        <v>1840</v>
      </c>
      <c r="H1660" s="3">
        <v>123</v>
      </c>
      <c r="I1660" s="4">
        <v>929.01</v>
      </c>
      <c r="J1660" s="4">
        <v>21737.73</v>
      </c>
      <c r="K1660" s="3">
        <v>65</v>
      </c>
      <c r="L1660" s="2" t="s">
        <v>2536</v>
      </c>
      <c r="M1660" s="2" t="s">
        <v>2537</v>
      </c>
      <c r="N1660" s="8">
        <f>IFERROR(G1660/F1660,0)</f>
        <v>6.9462795877534067E-2</v>
      </c>
      <c r="O1660" s="8">
        <f>IFERROR(H1660/G1660,0)</f>
        <v>6.6847826086956524E-2</v>
      </c>
      <c r="P1660" s="4">
        <f>IFERROR(I1660/G1660,0)</f>
        <v>0.50489673913043476</v>
      </c>
      <c r="Q1660" s="4">
        <f>IFERROR(I1660/H1660,0)</f>
        <v>7.5529268292682925</v>
      </c>
      <c r="R1660" s="12">
        <f>IFERROR(J1660/I1660,0)</f>
        <v>23.398811638195497</v>
      </c>
      <c r="S1660" s="7">
        <f>Tabla_nuevas_columnas[[#This Row],[ROAS]]</f>
        <v>23.398811638195497</v>
      </c>
      <c r="T1660" t="str">
        <f>_xlfn.CONCAT(C1660,"-",D1660)</f>
        <v>Email-Portugal</v>
      </c>
      <c r="U1660">
        <f>YEAR(A1660)</f>
        <v>2025</v>
      </c>
      <c r="V1660">
        <f>MONTH(A1660)</f>
        <v>3</v>
      </c>
      <c r="W1660" t="str">
        <f>PROPER(TEXT(A1660,"mmmm"))</f>
        <v>Marzo</v>
      </c>
      <c r="X1660" t="str">
        <f>PROPER(TEXT(A1660,"dddd"))</f>
        <v>Sábado</v>
      </c>
      <c r="Y1660" t="str" cm="1">
        <f t="array" ref="Y1660">_xlfn.IFS(R1660&gt;10,"Excelente",R1660&gt;=5,"Bueno",R1660&gt;=2,"Débil",R1660&lt;2,"Deficiente")</f>
        <v>Excelente</v>
      </c>
      <c r="Z1660" t="str">
        <f>IF(AND(R1660&lt;2,Q1660&gt;=100),"Revisar","OK")</f>
        <v>OK</v>
      </c>
      <c r="AA1660" s="55">
        <f>_xlfn.XLOOKUP(C1660,'Preguntas de negocio'!$C$114:$C$119,'Preguntas de negocio'!$D$114:$D$119,0)</f>
        <v>5.5</v>
      </c>
      <c r="AB1660" s="55">
        <f>VLOOKUP(C1660,'Preguntas de negocio'!$C$121:$D$127,2,FALSE)</f>
        <v>0.65</v>
      </c>
    </row>
    <row r="1661" spans="1:28" x14ac:dyDescent="0.3">
      <c r="A1661" s="1">
        <v>45963</v>
      </c>
      <c r="B1661" s="2" t="s">
        <v>2629</v>
      </c>
      <c r="C1661" s="2" t="s">
        <v>2533</v>
      </c>
      <c r="D1661" s="2" t="s">
        <v>2525</v>
      </c>
      <c r="E1661" s="2" t="s">
        <v>2517</v>
      </c>
      <c r="F1661" s="3">
        <v>31047</v>
      </c>
      <c r="G1661" s="3">
        <v>1527</v>
      </c>
      <c r="H1661" s="3">
        <v>26</v>
      </c>
      <c r="I1661" s="4">
        <v>2123.6</v>
      </c>
      <c r="J1661" s="4">
        <v>2912.84</v>
      </c>
      <c r="K1661" s="3">
        <v>15</v>
      </c>
      <c r="L1661" s="2" t="s">
        <v>2518</v>
      </c>
      <c r="M1661" s="2" t="s">
        <v>2524</v>
      </c>
      <c r="N1661" s="8">
        <f>IFERROR(G1661/F1661,0)</f>
        <v>4.9183495989950719E-2</v>
      </c>
      <c r="O1661" s="8">
        <f>IFERROR(H1661/G1661,0)</f>
        <v>1.7026850032743943E-2</v>
      </c>
      <c r="P1661" s="4">
        <f>IFERROR(I1661/G1661,0)</f>
        <v>1.3907007203667321</v>
      </c>
      <c r="Q1661" s="4">
        <f>IFERROR(I1661/H1661,0)</f>
        <v>81.676923076923075</v>
      </c>
      <c r="R1661" s="12">
        <f>IFERROR(J1661/I1661,0)</f>
        <v>1.3716519118478057</v>
      </c>
      <c r="S1661" s="7">
        <f>Tabla_nuevas_columnas[[#This Row],[ROAS]]</f>
        <v>1.3716519118478057</v>
      </c>
      <c r="T1661" t="str">
        <f>_xlfn.CONCAT(C1661,"-",D1661)</f>
        <v>Paid Social-Francia</v>
      </c>
      <c r="U1661">
        <f>YEAR(A1661)</f>
        <v>2025</v>
      </c>
      <c r="V1661">
        <f>MONTH(A1661)</f>
        <v>11</v>
      </c>
      <c r="W1661" t="str">
        <f>PROPER(TEXT(A1661,"mmmm"))</f>
        <v>Noviembre</v>
      </c>
      <c r="X1661" t="str">
        <f>PROPER(TEXT(A1661,"dddd"))</f>
        <v>Domingo</v>
      </c>
      <c r="Y1661" t="str" cm="1">
        <f t="array" ref="Y1661">_xlfn.IFS(R1661&gt;10,"Excelente",R1661&gt;=5,"Bueno",R1661&gt;=2,"Débil",R1661&lt;2,"Deficiente")</f>
        <v>Deficiente</v>
      </c>
      <c r="Z1661" t="str">
        <f>IF(AND(R1661&lt;2,Q1661&gt;=100),"Revisar","OK")</f>
        <v>OK</v>
      </c>
      <c r="AA1661" s="55">
        <f>_xlfn.XLOOKUP(C1661,'Preguntas de negocio'!$C$114:$C$119,'Preguntas de negocio'!$D$114:$D$119,0)</f>
        <v>6</v>
      </c>
      <c r="AB1661" s="55">
        <f>VLOOKUP(C1661,'Preguntas de negocio'!$C$121:$D$127,2,FALSE)</f>
        <v>0.8</v>
      </c>
    </row>
    <row r="1662" spans="1:28" x14ac:dyDescent="0.3">
      <c r="A1662" s="1">
        <v>45846</v>
      </c>
      <c r="B1662" s="2" t="s">
        <v>2618</v>
      </c>
      <c r="C1662" s="2" t="s">
        <v>2533</v>
      </c>
      <c r="D1662" s="2" t="s">
        <v>2531</v>
      </c>
      <c r="E1662" s="2" t="s">
        <v>2517</v>
      </c>
      <c r="F1662" s="3">
        <v>18855</v>
      </c>
      <c r="G1662" s="3">
        <v>625</v>
      </c>
      <c r="H1662" s="3">
        <v>68</v>
      </c>
      <c r="I1662" s="4">
        <v>1279.21</v>
      </c>
      <c r="J1662" s="4">
        <v>7861.78</v>
      </c>
      <c r="K1662" s="3">
        <v>55</v>
      </c>
      <c r="L1662" s="2" t="s">
        <v>2539</v>
      </c>
      <c r="M1662" s="2" t="s">
        <v>2526</v>
      </c>
      <c r="N1662" s="8">
        <f>IFERROR(G1662/F1662,0)</f>
        <v>3.3147706178732431E-2</v>
      </c>
      <c r="O1662" s="8">
        <f>IFERROR(H1662/G1662,0)</f>
        <v>0.10879999999999999</v>
      </c>
      <c r="P1662" s="4">
        <f>IFERROR(I1662/G1662,0)</f>
        <v>2.0467360000000001</v>
      </c>
      <c r="Q1662" s="4">
        <f>IFERROR(I1662/H1662,0)</f>
        <v>18.811911764705883</v>
      </c>
      <c r="R1662" s="12">
        <f>IFERROR(J1662/I1662,0)</f>
        <v>6.1458087413325408</v>
      </c>
      <c r="S1662" s="7">
        <f>Tabla_nuevas_columnas[[#This Row],[ROAS]]</f>
        <v>6.1458087413325408</v>
      </c>
      <c r="T1662" t="str">
        <f>_xlfn.CONCAT(C1662,"-",D1662)</f>
        <v>Paid Social-Portugal</v>
      </c>
      <c r="U1662">
        <f>YEAR(A1662)</f>
        <v>2025</v>
      </c>
      <c r="V1662">
        <f>MONTH(A1662)</f>
        <v>7</v>
      </c>
      <c r="W1662" t="str">
        <f>PROPER(TEXT(A1662,"mmmm"))</f>
        <v>Julio</v>
      </c>
      <c r="X1662" t="str">
        <f>PROPER(TEXT(A1662,"dddd"))</f>
        <v>Martes</v>
      </c>
      <c r="Y1662" t="str" cm="1">
        <f t="array" ref="Y1662">_xlfn.IFS(R1662&gt;10,"Excelente",R1662&gt;=5,"Bueno",R1662&gt;=2,"Débil",R1662&lt;2,"Deficiente")</f>
        <v>Bueno</v>
      </c>
      <c r="Z1662" t="str">
        <f>IF(AND(R1662&lt;2,Q1662&gt;=100),"Revisar","OK")</f>
        <v>OK</v>
      </c>
      <c r="AA1662" s="55">
        <f>_xlfn.XLOOKUP(C1662,'Preguntas de negocio'!$C$114:$C$119,'Preguntas de negocio'!$D$114:$D$119,0)</f>
        <v>6</v>
      </c>
      <c r="AB1662" s="55">
        <f>VLOOKUP(C1662,'Preguntas de negocio'!$C$121:$D$127,2,FALSE)</f>
        <v>0.8</v>
      </c>
    </row>
    <row r="1663" spans="1:28" x14ac:dyDescent="0.3">
      <c r="A1663" s="1">
        <v>45876</v>
      </c>
      <c r="B1663" s="2" t="s">
        <v>2620</v>
      </c>
      <c r="C1663" s="2" t="s">
        <v>2541</v>
      </c>
      <c r="D1663" s="2" t="s">
        <v>2528</v>
      </c>
      <c r="E1663" s="2" t="s">
        <v>2529</v>
      </c>
      <c r="F1663" s="3">
        <v>75070</v>
      </c>
      <c r="G1663" s="3">
        <v>984</v>
      </c>
      <c r="H1663" s="3">
        <v>94</v>
      </c>
      <c r="I1663" s="4">
        <v>1968.19</v>
      </c>
      <c r="J1663" s="4">
        <v>4807.8100000000004</v>
      </c>
      <c r="K1663" s="3">
        <v>63</v>
      </c>
      <c r="L1663" s="2" t="s">
        <v>2539</v>
      </c>
      <c r="M1663" s="2" t="s">
        <v>2537</v>
      </c>
      <c r="N1663" s="8">
        <f>IFERROR(G1663/F1663,0)</f>
        <v>1.3107766084987345E-2</v>
      </c>
      <c r="O1663" s="8">
        <f>IFERROR(H1663/G1663,0)</f>
        <v>9.5528455284552852E-2</v>
      </c>
      <c r="P1663" s="4">
        <f>IFERROR(I1663/G1663,0)</f>
        <v>2.0001930894308946</v>
      </c>
      <c r="Q1663" s="4">
        <f>IFERROR(I1663/H1663,0)</f>
        <v>20.938191489361703</v>
      </c>
      <c r="R1663" s="12">
        <f>IFERROR(J1663/I1663,0)</f>
        <v>2.4427570508944769</v>
      </c>
      <c r="S1663" s="7">
        <f>Tabla_nuevas_columnas[[#This Row],[ROAS]]</f>
        <v>2.4427570508944769</v>
      </c>
      <c r="T1663" t="str">
        <f>_xlfn.CONCAT(C1663,"-",D1663)</f>
        <v>Display-España</v>
      </c>
      <c r="U1663">
        <f>YEAR(A1663)</f>
        <v>2025</v>
      </c>
      <c r="V1663">
        <f>MONTH(A1663)</f>
        <v>8</v>
      </c>
      <c r="W1663" t="str">
        <f>PROPER(TEXT(A1663,"mmmm"))</f>
        <v>Agosto</v>
      </c>
      <c r="X1663" t="str">
        <f>PROPER(TEXT(A1663,"dddd"))</f>
        <v>Jueves</v>
      </c>
      <c r="Y1663" t="str" cm="1">
        <f t="array" ref="Y1663">_xlfn.IFS(R1663&gt;10,"Excelente",R1663&gt;=5,"Bueno",R1663&gt;=2,"Débil",R1663&lt;2,"Deficiente")</f>
        <v>Débil</v>
      </c>
      <c r="Z1663" t="str">
        <f>IF(AND(R1663&lt;2,Q1663&gt;=100),"Revisar","OK")</f>
        <v>OK</v>
      </c>
      <c r="AA1663" s="55">
        <f>_xlfn.XLOOKUP(C1663,'Preguntas de negocio'!$C$114:$C$119,'Preguntas de negocio'!$D$114:$D$119,0)</f>
        <v>5</v>
      </c>
      <c r="AB1663" s="55">
        <f>VLOOKUP(C1663,'Preguntas de negocio'!$C$121:$D$127,2,FALSE)</f>
        <v>0.5</v>
      </c>
    </row>
    <row r="1664" spans="1:28" x14ac:dyDescent="0.3">
      <c r="A1664" s="1">
        <v>45800</v>
      </c>
      <c r="B1664" s="2" t="s">
        <v>2622</v>
      </c>
      <c r="C1664" s="2" t="s">
        <v>2541</v>
      </c>
      <c r="D1664" s="2" t="s">
        <v>2525</v>
      </c>
      <c r="E1664" s="2" t="s">
        <v>2517</v>
      </c>
      <c r="F1664" s="3">
        <v>80241</v>
      </c>
      <c r="G1664" s="3">
        <v>3049</v>
      </c>
      <c r="H1664" s="3">
        <v>292</v>
      </c>
      <c r="I1664" s="4">
        <v>3202.37</v>
      </c>
      <c r="J1664" s="4">
        <v>46025.760000000002</v>
      </c>
      <c r="K1664" s="3">
        <v>217</v>
      </c>
      <c r="L1664" s="2" t="s">
        <v>2539</v>
      </c>
      <c r="M1664" s="2" t="s">
        <v>2526</v>
      </c>
      <c r="N1664" s="8">
        <f>IFERROR(G1664/F1664,0)</f>
        <v>3.7998030931817896E-2</v>
      </c>
      <c r="O1664" s="8">
        <f>IFERROR(H1664/G1664,0)</f>
        <v>9.5769104624467041E-2</v>
      </c>
      <c r="P1664" s="4">
        <f>IFERROR(I1664/G1664,0)</f>
        <v>1.0503017382748441</v>
      </c>
      <c r="Q1664" s="4">
        <f>IFERROR(I1664/H1664,0)</f>
        <v>10.967020547945205</v>
      </c>
      <c r="R1664" s="12">
        <f>IFERROR(J1664/I1664,0)</f>
        <v>14.372405437223058</v>
      </c>
      <c r="S1664" s="7">
        <f>Tabla_nuevas_columnas[[#This Row],[ROAS]]</f>
        <v>14.372405437223058</v>
      </c>
      <c r="T1664" t="str">
        <f>_xlfn.CONCAT(C1664,"-",D1664)</f>
        <v>Display-Francia</v>
      </c>
      <c r="U1664">
        <f>YEAR(A1664)</f>
        <v>2025</v>
      </c>
      <c r="V1664">
        <f>MONTH(A1664)</f>
        <v>5</v>
      </c>
      <c r="W1664" t="str">
        <f>PROPER(TEXT(A1664,"mmmm"))</f>
        <v>Mayo</v>
      </c>
      <c r="X1664" t="str">
        <f>PROPER(TEXT(A1664,"dddd"))</f>
        <v>Viernes</v>
      </c>
      <c r="Y1664" t="str" cm="1">
        <f t="array" ref="Y1664">_xlfn.IFS(R1664&gt;10,"Excelente",R1664&gt;=5,"Bueno",R1664&gt;=2,"Débil",R1664&lt;2,"Deficiente")</f>
        <v>Excelente</v>
      </c>
      <c r="Z1664" t="str">
        <f>IF(AND(R1664&lt;2,Q1664&gt;=100),"Revisar","OK")</f>
        <v>OK</v>
      </c>
      <c r="AA1664" s="55">
        <f>_xlfn.XLOOKUP(C1664,'Preguntas de negocio'!$C$114:$C$119,'Preguntas de negocio'!$D$114:$D$119,0)</f>
        <v>5</v>
      </c>
      <c r="AB1664" s="55">
        <f>VLOOKUP(C1664,'Preguntas de negocio'!$C$121:$D$127,2,FALSE)</f>
        <v>0.5</v>
      </c>
    </row>
    <row r="1665" spans="1:28" x14ac:dyDescent="0.3">
      <c r="A1665" s="1">
        <v>45996</v>
      </c>
      <c r="B1665" s="2" t="s">
        <v>2630</v>
      </c>
      <c r="C1665" s="2" t="s">
        <v>2527</v>
      </c>
      <c r="D1665" s="2" t="s">
        <v>2525</v>
      </c>
      <c r="E1665" s="2" t="s">
        <v>2517</v>
      </c>
      <c r="F1665" s="3">
        <v>120799</v>
      </c>
      <c r="G1665" s="3">
        <v>10487</v>
      </c>
      <c r="H1665" s="3">
        <v>1230</v>
      </c>
      <c r="I1665" s="4">
        <v>7788.06</v>
      </c>
      <c r="J1665" s="4">
        <v>244041</v>
      </c>
      <c r="K1665" s="3">
        <v>573</v>
      </c>
      <c r="L1665" s="2" t="s">
        <v>2518</v>
      </c>
      <c r="M1665" s="2" t="s">
        <v>2537</v>
      </c>
      <c r="N1665" s="8">
        <f>IFERROR(G1665/F1665,0)</f>
        <v>8.6813632563183474E-2</v>
      </c>
      <c r="O1665" s="8">
        <f>IFERROR(H1665/G1665,0)</f>
        <v>0.11728807094497949</v>
      </c>
      <c r="P1665" s="4">
        <f>IFERROR(I1665/G1665,0)</f>
        <v>0.74263945837703826</v>
      </c>
      <c r="Q1665" s="4">
        <f>IFERROR(I1665/H1665,0)</f>
        <v>6.3317560975609757</v>
      </c>
      <c r="R1665" s="12">
        <f>IFERROR(J1665/I1665,0)</f>
        <v>31.335274766758342</v>
      </c>
      <c r="S1665" s="7">
        <f>Tabla_nuevas_columnas[[#This Row],[ROAS]]</f>
        <v>31.335274766758342</v>
      </c>
      <c r="T1665" t="str">
        <f>_xlfn.CONCAT(C1665,"-",D1665)</f>
        <v>Affiliate-Francia</v>
      </c>
      <c r="U1665">
        <f>YEAR(A1665)</f>
        <v>2025</v>
      </c>
      <c r="V1665">
        <f>MONTH(A1665)</f>
        <v>12</v>
      </c>
      <c r="W1665" t="str">
        <f>PROPER(TEXT(A1665,"mmmm"))</f>
        <v>Diciembre</v>
      </c>
      <c r="X1665" t="str">
        <f>PROPER(TEXT(A1665,"dddd"))</f>
        <v>Viernes</v>
      </c>
      <c r="Y1665" t="str" cm="1">
        <f t="array" ref="Y1665">_xlfn.IFS(R1665&gt;10,"Excelente",R1665&gt;=5,"Bueno",R1665&gt;=2,"Débil",R1665&lt;2,"Deficiente")</f>
        <v>Excelente</v>
      </c>
      <c r="Z1665" t="str">
        <f>IF(AND(R1665&lt;2,Q1665&gt;=100),"Revisar","OK")</f>
        <v>OK</v>
      </c>
      <c r="AA1665" s="55">
        <f>_xlfn.XLOOKUP(C1665,'Preguntas de negocio'!$C$114:$C$119,'Preguntas de negocio'!$D$114:$D$119,0)</f>
        <v>4.5</v>
      </c>
      <c r="AB1665" s="55">
        <f>VLOOKUP(C1665,'Preguntas de negocio'!$C$121:$D$127,2,FALSE)</f>
        <v>0.35</v>
      </c>
    </row>
    <row r="1666" spans="1:28" x14ac:dyDescent="0.3">
      <c r="A1666" s="1">
        <v>45839</v>
      </c>
      <c r="B1666" s="2" t="s">
        <v>2634</v>
      </c>
      <c r="C1666" s="2" t="s">
        <v>2521</v>
      </c>
      <c r="D1666" s="2" t="s">
        <v>2525</v>
      </c>
      <c r="E1666" s="2" t="s">
        <v>2517</v>
      </c>
      <c r="F1666" s="3">
        <v>136766</v>
      </c>
      <c r="G1666" s="3">
        <v>10170</v>
      </c>
      <c r="H1666" s="3">
        <v>174</v>
      </c>
      <c r="I1666" s="4">
        <v>10915.04</v>
      </c>
      <c r="J1666" s="4">
        <v>33205.279999999999</v>
      </c>
      <c r="K1666" s="3">
        <v>145</v>
      </c>
      <c r="L1666" s="2" t="s">
        <v>2539</v>
      </c>
      <c r="M1666" s="2" t="s">
        <v>2645</v>
      </c>
      <c r="N1666" s="8">
        <f>IFERROR(G1666/F1666,0)</f>
        <v>7.4360586695523742E-2</v>
      </c>
      <c r="O1666" s="8">
        <f>IFERROR(H1666/G1666,0)</f>
        <v>1.7109144542772861E-2</v>
      </c>
      <c r="P1666" s="4">
        <f>IFERROR(I1666/G1666,0)</f>
        <v>1.07325860373648</v>
      </c>
      <c r="Q1666" s="4">
        <f>IFERROR(I1666/H1666,0)</f>
        <v>62.730114942528743</v>
      </c>
      <c r="R1666" s="12">
        <f>IFERROR(J1666/I1666,0)</f>
        <v>3.0421583429836261</v>
      </c>
      <c r="S1666" s="7">
        <f>Tabla_nuevas_columnas[[#This Row],[ROAS]]</f>
        <v>3.0421583429836261</v>
      </c>
      <c r="T1666" t="str">
        <f>_xlfn.CONCAT(C1666,"-",D1666)</f>
        <v>Paid Search-Francia</v>
      </c>
      <c r="U1666">
        <f>YEAR(A1666)</f>
        <v>2025</v>
      </c>
      <c r="V1666">
        <f>MONTH(A1666)</f>
        <v>7</v>
      </c>
      <c r="W1666" t="str">
        <f>PROPER(TEXT(A1666,"mmmm"))</f>
        <v>Julio</v>
      </c>
      <c r="X1666" t="str">
        <f>PROPER(TEXT(A1666,"dddd"))</f>
        <v>Martes</v>
      </c>
      <c r="Y1666" t="str" cm="1">
        <f t="array" ref="Y1666">_xlfn.IFS(R1666&gt;10,"Excelente",R1666&gt;=5,"Bueno",R1666&gt;=2,"Débil",R1666&lt;2,"Deficiente")</f>
        <v>Débil</v>
      </c>
      <c r="Z1666" t="str">
        <f>IF(AND(R1666&lt;2,Q1666&gt;=100),"Revisar","OK")</f>
        <v>OK</v>
      </c>
      <c r="AA1666" s="55">
        <f>_xlfn.XLOOKUP(C1666,'Preguntas de negocio'!$C$114:$C$119,'Preguntas de negocio'!$D$114:$D$119,0)</f>
        <v>5</v>
      </c>
      <c r="AB1666" s="55">
        <f>VLOOKUP(C1666,'Preguntas de negocio'!$C$121:$D$127,2,FALSE)</f>
        <v>1.1000000000000001</v>
      </c>
    </row>
    <row r="1667" spans="1:28" x14ac:dyDescent="0.3">
      <c r="A1667" s="1">
        <v>45769</v>
      </c>
      <c r="B1667" s="2" t="s">
        <v>2641</v>
      </c>
      <c r="C1667" s="2" t="s">
        <v>2527</v>
      </c>
      <c r="D1667" s="2" t="s">
        <v>2516</v>
      </c>
      <c r="E1667" s="2" t="s">
        <v>2529</v>
      </c>
      <c r="F1667" s="3">
        <v>101204</v>
      </c>
      <c r="G1667" s="3">
        <v>4432</v>
      </c>
      <c r="H1667" s="3">
        <v>344</v>
      </c>
      <c r="I1667" s="4">
        <v>5400.91</v>
      </c>
      <c r="J1667" s="4">
        <v>14429.54</v>
      </c>
      <c r="K1667" s="3">
        <v>302</v>
      </c>
      <c r="L1667" s="2" t="s">
        <v>2523</v>
      </c>
      <c r="M1667" s="2" t="s">
        <v>2524</v>
      </c>
      <c r="N1667" s="8">
        <f>IFERROR(G1667/F1667,0)</f>
        <v>4.3792735465001384E-2</v>
      </c>
      <c r="O1667" s="8">
        <f>IFERROR(H1667/G1667,0)</f>
        <v>7.7617328519855602E-2</v>
      </c>
      <c r="P1667" s="4">
        <f>IFERROR(I1667/G1667,0)</f>
        <v>1.2186168772563177</v>
      </c>
      <c r="Q1667" s="4">
        <f>IFERROR(I1667/H1667,0)</f>
        <v>15.70031976744186</v>
      </c>
      <c r="R1667" s="12">
        <f>IFERROR(J1667/I1667,0)</f>
        <v>2.6716868083341514</v>
      </c>
      <c r="S1667" s="7">
        <f>Tabla_nuevas_columnas[[#This Row],[ROAS]]</f>
        <v>2.6716868083341514</v>
      </c>
      <c r="T1667" t="str">
        <f>_xlfn.CONCAT(C1667,"-",D1667)</f>
        <v>Affiliate-México</v>
      </c>
      <c r="U1667">
        <f>YEAR(A1667)</f>
        <v>2025</v>
      </c>
      <c r="V1667">
        <f>MONTH(A1667)</f>
        <v>4</v>
      </c>
      <c r="W1667" t="str">
        <f>PROPER(TEXT(A1667,"mmmm"))</f>
        <v>Abril</v>
      </c>
      <c r="X1667" t="str">
        <f>PROPER(TEXT(A1667,"dddd"))</f>
        <v>Martes</v>
      </c>
      <c r="Y1667" t="str" cm="1">
        <f t="array" ref="Y1667">_xlfn.IFS(R1667&gt;10,"Excelente",R1667&gt;=5,"Bueno",R1667&gt;=2,"Débil",R1667&lt;2,"Deficiente")</f>
        <v>Débil</v>
      </c>
      <c r="Z1667" t="str">
        <f>IF(AND(R1667&lt;2,Q1667&gt;=100),"Revisar","OK")</f>
        <v>OK</v>
      </c>
      <c r="AA1667" s="55">
        <f>_xlfn.XLOOKUP(C1667,'Preguntas de negocio'!$C$114:$C$119,'Preguntas de negocio'!$D$114:$D$119,0)</f>
        <v>4.5</v>
      </c>
      <c r="AB1667" s="55">
        <f>VLOOKUP(C1667,'Preguntas de negocio'!$C$121:$D$127,2,FALSE)</f>
        <v>0.35</v>
      </c>
    </row>
    <row r="1668" spans="1:28" x14ac:dyDescent="0.3">
      <c r="A1668" s="1">
        <v>45706</v>
      </c>
      <c r="B1668" s="2" t="s">
        <v>2633</v>
      </c>
      <c r="C1668" s="2" t="s">
        <v>2543</v>
      </c>
      <c r="D1668" s="2" t="s">
        <v>2531</v>
      </c>
      <c r="E1668" s="2" t="s">
        <v>2529</v>
      </c>
      <c r="F1668" s="3">
        <v>1697</v>
      </c>
      <c r="G1668" s="3">
        <v>142</v>
      </c>
      <c r="H1668" s="3">
        <v>4</v>
      </c>
      <c r="I1668" s="4">
        <v>142.97</v>
      </c>
      <c r="J1668" s="4">
        <v>758.38</v>
      </c>
      <c r="K1668" s="3">
        <v>2</v>
      </c>
      <c r="L1668" s="2" t="s">
        <v>2518</v>
      </c>
      <c r="M1668" s="2" t="s">
        <v>2524</v>
      </c>
      <c r="N1668" s="8">
        <f>IFERROR(G1668/F1668,0)</f>
        <v>8.367707719505009E-2</v>
      </c>
      <c r="O1668" s="8">
        <f>IFERROR(H1668/G1668,0)</f>
        <v>2.8169014084507043E-2</v>
      </c>
      <c r="P1668" s="4">
        <f>IFERROR(I1668/G1668,0)</f>
        <v>1.0068309859154929</v>
      </c>
      <c r="Q1668" s="4">
        <f>IFERROR(I1668/H1668,0)</f>
        <v>35.7425</v>
      </c>
      <c r="R1668" s="12">
        <f>IFERROR(J1668/I1668,0)</f>
        <v>5.3044694691193959</v>
      </c>
      <c r="S1668" s="7">
        <f>Tabla_nuevas_columnas[[#This Row],[ROAS]]</f>
        <v>5.3044694691193959</v>
      </c>
      <c r="T1668" t="str">
        <f>_xlfn.CONCAT(C1668,"-",D1668)</f>
        <v>Organic Social-Portugal</v>
      </c>
      <c r="U1668">
        <f>YEAR(A1668)</f>
        <v>2025</v>
      </c>
      <c r="V1668">
        <f>MONTH(A1668)</f>
        <v>2</v>
      </c>
      <c r="W1668" t="str">
        <f>PROPER(TEXT(A1668,"mmmm"))</f>
        <v>Febrero</v>
      </c>
      <c r="X1668" t="str">
        <f>PROPER(TEXT(A1668,"dddd"))</f>
        <v>Martes</v>
      </c>
      <c r="Y1668" t="str" cm="1">
        <f t="array" ref="Y1668">_xlfn.IFS(R1668&gt;10,"Excelente",R1668&gt;=5,"Bueno",R1668&gt;=2,"Débil",R1668&lt;2,"Deficiente")</f>
        <v>Bueno</v>
      </c>
      <c r="Z1668" t="str">
        <f>IF(AND(R1668&lt;2,Q1668&gt;=100),"Revisar","OK")</f>
        <v>OK</v>
      </c>
      <c r="AA1668" s="55">
        <f>_xlfn.XLOOKUP(C1668,'Preguntas de negocio'!$C$114:$C$119,'Preguntas de negocio'!$D$114:$D$119,0)</f>
        <v>4</v>
      </c>
      <c r="AB1668" s="55">
        <f>VLOOKUP(C1668,'Preguntas de negocio'!$C$121:$D$127,2,FALSE)</f>
        <v>0.95</v>
      </c>
    </row>
    <row r="1669" spans="1:28" x14ac:dyDescent="0.3">
      <c r="A1669" s="1">
        <v>45954</v>
      </c>
      <c r="B1669" s="2" t="s">
        <v>2632</v>
      </c>
      <c r="C1669" s="2" t="s">
        <v>2541</v>
      </c>
      <c r="D1669" s="2" t="s">
        <v>2522</v>
      </c>
      <c r="E1669" s="2" t="s">
        <v>2517</v>
      </c>
      <c r="F1669" s="3">
        <v>154146</v>
      </c>
      <c r="G1669" s="3">
        <v>13559</v>
      </c>
      <c r="H1669" s="3">
        <v>952</v>
      </c>
      <c r="I1669" s="4">
        <v>2633.54</v>
      </c>
      <c r="J1669" s="4">
        <v>115941</v>
      </c>
      <c r="K1669" s="3">
        <v>815</v>
      </c>
      <c r="L1669" s="2" t="s">
        <v>2518</v>
      </c>
      <c r="M1669" s="2" t="s">
        <v>2546</v>
      </c>
      <c r="N1669" s="8">
        <f>IFERROR(G1669/F1669,0)</f>
        <v>8.7962061941276454E-2</v>
      </c>
      <c r="O1669" s="8">
        <f>IFERROR(H1669/G1669,0)</f>
        <v>7.0211667527103769E-2</v>
      </c>
      <c r="P1669" s="4">
        <f>IFERROR(I1669/G1669,0)</f>
        <v>0.19422818791946309</v>
      </c>
      <c r="Q1669" s="4">
        <f>IFERROR(I1669/H1669,0)</f>
        <v>2.7663235294117645</v>
      </c>
      <c r="R1669" s="12">
        <f>IFERROR(J1669/I1669,0)</f>
        <v>44.024772739354631</v>
      </c>
      <c r="S1669" s="7">
        <f>Tabla_nuevas_columnas[[#This Row],[ROAS]]</f>
        <v>44.024772739354631</v>
      </c>
      <c r="T1669" t="str">
        <f>_xlfn.CONCAT(C1669,"-",D1669)</f>
        <v>Display-Italia</v>
      </c>
      <c r="U1669">
        <f>YEAR(A1669)</f>
        <v>2025</v>
      </c>
      <c r="V1669">
        <f>MONTH(A1669)</f>
        <v>10</v>
      </c>
      <c r="W1669" t="str">
        <f>PROPER(TEXT(A1669,"mmmm"))</f>
        <v>Octubre</v>
      </c>
      <c r="X1669" t="str">
        <f>PROPER(TEXT(A1669,"dddd"))</f>
        <v>Viernes</v>
      </c>
      <c r="Y1669" t="str" cm="1">
        <f t="array" ref="Y1669">_xlfn.IFS(R1669&gt;10,"Excelente",R1669&gt;=5,"Bueno",R1669&gt;=2,"Débil",R1669&lt;2,"Deficiente")</f>
        <v>Excelente</v>
      </c>
      <c r="Z1669" t="str">
        <f>IF(AND(R1669&lt;2,Q1669&gt;=100),"Revisar","OK")</f>
        <v>OK</v>
      </c>
      <c r="AA1669" s="55">
        <f>_xlfn.XLOOKUP(C1669,'Preguntas de negocio'!$C$114:$C$119,'Preguntas de negocio'!$D$114:$D$119,0)</f>
        <v>5</v>
      </c>
      <c r="AB1669" s="55">
        <f>VLOOKUP(C1669,'Preguntas de negocio'!$C$121:$D$127,2,FALSE)</f>
        <v>0.5</v>
      </c>
    </row>
    <row r="1670" spans="1:28" x14ac:dyDescent="0.3">
      <c r="A1670" s="1">
        <v>45877</v>
      </c>
      <c r="B1670" s="2" t="s">
        <v>2622</v>
      </c>
      <c r="C1670" s="2" t="s">
        <v>2541</v>
      </c>
      <c r="D1670" s="2" t="s">
        <v>2522</v>
      </c>
      <c r="E1670" s="2" t="s">
        <v>2529</v>
      </c>
      <c r="F1670" s="3">
        <v>150754</v>
      </c>
      <c r="G1670" s="3">
        <v>11738</v>
      </c>
      <c r="H1670" s="3">
        <v>149</v>
      </c>
      <c r="I1670" s="4">
        <v>1953.69</v>
      </c>
      <c r="J1670" s="4">
        <v>23602.22</v>
      </c>
      <c r="K1670" s="3">
        <v>123</v>
      </c>
      <c r="L1670" s="2" t="s">
        <v>2539</v>
      </c>
      <c r="M1670" s="2" t="s">
        <v>2524</v>
      </c>
      <c r="N1670" s="8">
        <f>IFERROR(G1670/F1670,0)</f>
        <v>7.7861947278347513E-2</v>
      </c>
      <c r="O1670" s="8">
        <f>IFERROR(H1670/G1670,0)</f>
        <v>1.2693814959959106E-2</v>
      </c>
      <c r="P1670" s="4">
        <f>IFERROR(I1670/G1670,0)</f>
        <v>0.1664414721417618</v>
      </c>
      <c r="Q1670" s="4">
        <f>IFERROR(I1670/H1670,0)</f>
        <v>13.112013422818793</v>
      </c>
      <c r="R1670" s="12">
        <f>IFERROR(J1670/I1670,0)</f>
        <v>12.080841894056887</v>
      </c>
      <c r="S1670" s="7">
        <f>Tabla_nuevas_columnas[[#This Row],[ROAS]]</f>
        <v>12.080841894056887</v>
      </c>
      <c r="T1670" t="str">
        <f>_xlfn.CONCAT(C1670,"-",D1670)</f>
        <v>Display-Italia</v>
      </c>
      <c r="U1670">
        <f>YEAR(A1670)</f>
        <v>2025</v>
      </c>
      <c r="V1670">
        <f>MONTH(A1670)</f>
        <v>8</v>
      </c>
      <c r="W1670" t="str">
        <f>PROPER(TEXT(A1670,"mmmm"))</f>
        <v>Agosto</v>
      </c>
      <c r="X1670" t="str">
        <f>PROPER(TEXT(A1670,"dddd"))</f>
        <v>Viernes</v>
      </c>
      <c r="Y1670" t="str" cm="1">
        <f t="array" ref="Y1670">_xlfn.IFS(R1670&gt;10,"Excelente",R1670&gt;=5,"Bueno",R1670&gt;=2,"Débil",R1670&lt;2,"Deficiente")</f>
        <v>Excelente</v>
      </c>
      <c r="Z1670" t="str">
        <f>IF(AND(R1670&lt;2,Q1670&gt;=100),"Revisar","OK")</f>
        <v>OK</v>
      </c>
      <c r="AA1670" s="55">
        <f>_xlfn.XLOOKUP(C1670,'Preguntas de negocio'!$C$114:$C$119,'Preguntas de negocio'!$D$114:$D$119,0)</f>
        <v>5</v>
      </c>
      <c r="AB1670" s="55">
        <f>VLOOKUP(C1670,'Preguntas de negocio'!$C$121:$D$127,2,FALSE)</f>
        <v>0.5</v>
      </c>
    </row>
    <row r="1671" spans="1:28" x14ac:dyDescent="0.3">
      <c r="A1671" s="1">
        <v>45668</v>
      </c>
      <c r="B1671" s="2" t="s">
        <v>2635</v>
      </c>
      <c r="C1671" s="2" t="s">
        <v>2533</v>
      </c>
      <c r="D1671" s="2" t="s">
        <v>2528</v>
      </c>
      <c r="E1671" s="2" t="s">
        <v>2529</v>
      </c>
      <c r="F1671" s="3">
        <v>40340</v>
      </c>
      <c r="G1671" s="3">
        <v>1202</v>
      </c>
      <c r="H1671" s="3">
        <v>93</v>
      </c>
      <c r="I1671" s="4">
        <v>1314.69</v>
      </c>
      <c r="J1671" s="4">
        <v>19489.400000000001</v>
      </c>
      <c r="K1671" s="3">
        <v>47</v>
      </c>
      <c r="L1671" s="2" t="s">
        <v>2539</v>
      </c>
      <c r="M1671" s="2" t="s">
        <v>2537</v>
      </c>
      <c r="N1671" s="8">
        <f>IFERROR(G1671/F1671,0)</f>
        <v>2.9796727813584532E-2</v>
      </c>
      <c r="O1671" s="8">
        <f>IFERROR(H1671/G1671,0)</f>
        <v>7.7371048252911814E-2</v>
      </c>
      <c r="P1671" s="4">
        <f>IFERROR(I1671/G1671,0)</f>
        <v>1.0937520798668885</v>
      </c>
      <c r="Q1671" s="4">
        <f>IFERROR(I1671/H1671,0)</f>
        <v>14.136451612903226</v>
      </c>
      <c r="R1671" s="12">
        <f>IFERROR(J1671/I1671,0)</f>
        <v>14.824331211160047</v>
      </c>
      <c r="S1671" s="7">
        <f>Tabla_nuevas_columnas[[#This Row],[ROAS]]</f>
        <v>14.824331211160047</v>
      </c>
      <c r="T1671" t="str">
        <f>_xlfn.CONCAT(C1671,"-",D1671)</f>
        <v>Paid Social-España</v>
      </c>
      <c r="U1671">
        <f>YEAR(A1671)</f>
        <v>2025</v>
      </c>
      <c r="V1671">
        <f>MONTH(A1671)</f>
        <v>1</v>
      </c>
      <c r="W1671" t="str">
        <f>PROPER(TEXT(A1671,"mmmm"))</f>
        <v>Enero</v>
      </c>
      <c r="X1671" t="str">
        <f>PROPER(TEXT(A1671,"dddd"))</f>
        <v>Sábado</v>
      </c>
      <c r="Y1671" t="str" cm="1">
        <f t="array" ref="Y1671">_xlfn.IFS(R1671&gt;10,"Excelente",R1671&gt;=5,"Bueno",R1671&gt;=2,"Débil",R1671&lt;2,"Deficiente")</f>
        <v>Excelente</v>
      </c>
      <c r="Z1671" t="str">
        <f>IF(AND(R1671&lt;2,Q1671&gt;=100),"Revisar","OK")</f>
        <v>OK</v>
      </c>
      <c r="AA1671" s="55">
        <f>_xlfn.XLOOKUP(C1671,'Preguntas de negocio'!$C$114:$C$119,'Preguntas de negocio'!$D$114:$D$119,0)</f>
        <v>6</v>
      </c>
      <c r="AB1671" s="55">
        <f>VLOOKUP(C1671,'Preguntas de negocio'!$C$121:$D$127,2,FALSE)</f>
        <v>0.8</v>
      </c>
    </row>
    <row r="1672" spans="1:28" x14ac:dyDescent="0.3">
      <c r="A1672" s="1">
        <v>45892</v>
      </c>
      <c r="B1672" s="2" t="s">
        <v>2617</v>
      </c>
      <c r="C1672" s="2" t="s">
        <v>2543</v>
      </c>
      <c r="D1672" s="2" t="s">
        <v>2528</v>
      </c>
      <c r="E1672" s="2" t="s">
        <v>2517</v>
      </c>
      <c r="F1672" s="3">
        <v>174511</v>
      </c>
      <c r="G1672" s="3">
        <v>14130</v>
      </c>
      <c r="H1672" s="3">
        <v>1288</v>
      </c>
      <c r="I1672" s="4">
        <v>18973.89</v>
      </c>
      <c r="J1672" s="4">
        <v>91710.59</v>
      </c>
      <c r="K1672" s="3">
        <v>1031</v>
      </c>
      <c r="L1672" s="2" t="s">
        <v>2539</v>
      </c>
      <c r="M1672" s="2" t="s">
        <v>2519</v>
      </c>
      <c r="N1672" s="8">
        <f>IFERROR(G1672/F1672,0)</f>
        <v>8.0969107964540918E-2</v>
      </c>
      <c r="O1672" s="8">
        <f>IFERROR(H1672/G1672,0)</f>
        <v>9.1153573956121725E-2</v>
      </c>
      <c r="P1672" s="4">
        <f>IFERROR(I1672/G1672,0)</f>
        <v>1.3428089171974522</v>
      </c>
      <c r="Q1672" s="4">
        <f>IFERROR(I1672/H1672,0)</f>
        <v>14.73128105590062</v>
      </c>
      <c r="R1672" s="12">
        <f>IFERROR(J1672/I1672,0)</f>
        <v>4.8335154256718047</v>
      </c>
      <c r="S1672" s="7">
        <f>Tabla_nuevas_columnas[[#This Row],[ROAS]]</f>
        <v>4.8335154256718047</v>
      </c>
      <c r="T1672" t="str">
        <f>_xlfn.CONCAT(C1672,"-",D1672)</f>
        <v>Organic Social-España</v>
      </c>
      <c r="U1672">
        <f>YEAR(A1672)</f>
        <v>2025</v>
      </c>
      <c r="V1672">
        <f>MONTH(A1672)</f>
        <v>8</v>
      </c>
      <c r="W1672" t="str">
        <f>PROPER(TEXT(A1672,"mmmm"))</f>
        <v>Agosto</v>
      </c>
      <c r="X1672" t="str">
        <f>PROPER(TEXT(A1672,"dddd"))</f>
        <v>Sábado</v>
      </c>
      <c r="Y1672" t="str" cm="1">
        <f t="array" ref="Y1672">_xlfn.IFS(R1672&gt;10,"Excelente",R1672&gt;=5,"Bueno",R1672&gt;=2,"Débil",R1672&lt;2,"Deficiente")</f>
        <v>Débil</v>
      </c>
      <c r="Z1672" t="str">
        <f>IF(AND(R1672&lt;2,Q1672&gt;=100),"Revisar","OK")</f>
        <v>OK</v>
      </c>
      <c r="AA1672" s="55">
        <f>_xlfn.XLOOKUP(C1672,'Preguntas de negocio'!$C$114:$C$119,'Preguntas de negocio'!$D$114:$D$119,0)</f>
        <v>4</v>
      </c>
      <c r="AB1672" s="55">
        <f>VLOOKUP(C1672,'Preguntas de negocio'!$C$121:$D$127,2,FALSE)</f>
        <v>0.95</v>
      </c>
    </row>
    <row r="1673" spans="1:28" x14ac:dyDescent="0.3">
      <c r="A1673" s="1">
        <v>45711</v>
      </c>
      <c r="B1673" s="2" t="s">
        <v>2622</v>
      </c>
      <c r="C1673" s="2" t="s">
        <v>2533</v>
      </c>
      <c r="D1673" s="2" t="s">
        <v>2522</v>
      </c>
      <c r="E1673" s="2" t="s">
        <v>2517</v>
      </c>
      <c r="F1673" s="3">
        <v>14410</v>
      </c>
      <c r="G1673" s="3">
        <v>847</v>
      </c>
      <c r="H1673" s="3">
        <v>88</v>
      </c>
      <c r="I1673" s="4">
        <v>960.73</v>
      </c>
      <c r="J1673" s="4">
        <v>14248.2</v>
      </c>
      <c r="K1673" s="3">
        <v>49</v>
      </c>
      <c r="L1673" s="2" t="s">
        <v>2518</v>
      </c>
      <c r="M1673" s="2" t="s">
        <v>2546</v>
      </c>
      <c r="N1673" s="8">
        <f>IFERROR(G1673/F1673,0)</f>
        <v>5.8778625954198471E-2</v>
      </c>
      <c r="O1673" s="8">
        <f>IFERROR(H1673/G1673,0)</f>
        <v>0.1038961038961039</v>
      </c>
      <c r="P1673" s="4">
        <f>IFERROR(I1673/G1673,0)</f>
        <v>1.1342739079102715</v>
      </c>
      <c r="Q1673" s="4">
        <f>IFERROR(I1673/H1673,0)</f>
        <v>10.917386363636364</v>
      </c>
      <c r="R1673" s="12">
        <f>IFERROR(J1673/I1673,0)</f>
        <v>14.830597566433857</v>
      </c>
      <c r="S1673" s="7">
        <f>Tabla_nuevas_columnas[[#This Row],[ROAS]]</f>
        <v>14.830597566433857</v>
      </c>
      <c r="T1673" t="str">
        <f>_xlfn.CONCAT(C1673,"-",D1673)</f>
        <v>Paid Social-Italia</v>
      </c>
      <c r="U1673">
        <f>YEAR(A1673)</f>
        <v>2025</v>
      </c>
      <c r="V1673">
        <f>MONTH(A1673)</f>
        <v>2</v>
      </c>
      <c r="W1673" t="str">
        <f>PROPER(TEXT(A1673,"mmmm"))</f>
        <v>Febrero</v>
      </c>
      <c r="X1673" t="str">
        <f>PROPER(TEXT(A1673,"dddd"))</f>
        <v>Domingo</v>
      </c>
      <c r="Y1673" t="str" cm="1">
        <f t="array" ref="Y1673">_xlfn.IFS(R1673&gt;10,"Excelente",R1673&gt;=5,"Bueno",R1673&gt;=2,"Débil",R1673&lt;2,"Deficiente")</f>
        <v>Excelente</v>
      </c>
      <c r="Z1673" t="str">
        <f>IF(AND(R1673&lt;2,Q1673&gt;=100),"Revisar","OK")</f>
        <v>OK</v>
      </c>
      <c r="AA1673" s="55">
        <f>_xlfn.XLOOKUP(C1673,'Preguntas de negocio'!$C$114:$C$119,'Preguntas de negocio'!$D$114:$D$119,0)</f>
        <v>6</v>
      </c>
      <c r="AB1673" s="55">
        <f>VLOOKUP(C1673,'Preguntas de negocio'!$C$121:$D$127,2,FALSE)</f>
        <v>0.8</v>
      </c>
    </row>
    <row r="1674" spans="1:28" x14ac:dyDescent="0.3">
      <c r="A1674" s="1">
        <v>45833</v>
      </c>
      <c r="B1674" s="2" t="s">
        <v>2639</v>
      </c>
      <c r="C1674" s="2" t="s">
        <v>2521</v>
      </c>
      <c r="D1674" s="2" t="s">
        <v>2522</v>
      </c>
      <c r="E1674" s="2" t="s">
        <v>2529</v>
      </c>
      <c r="F1674" s="3">
        <v>10122</v>
      </c>
      <c r="G1674" s="3">
        <v>449</v>
      </c>
      <c r="H1674" s="3">
        <v>21</v>
      </c>
      <c r="I1674" s="4">
        <v>165.59</v>
      </c>
      <c r="J1674" s="4">
        <v>3870.17</v>
      </c>
      <c r="K1674" s="3">
        <v>13</v>
      </c>
      <c r="L1674" s="2" t="s">
        <v>2536</v>
      </c>
      <c r="M1674" s="2" t="s">
        <v>2524</v>
      </c>
      <c r="N1674" s="8">
        <f>IFERROR(G1674/F1674,0)</f>
        <v>4.4358822367121124E-2</v>
      </c>
      <c r="O1674" s="8">
        <f>IFERROR(H1674/G1674,0)</f>
        <v>4.6770601336302897E-2</v>
      </c>
      <c r="P1674" s="4">
        <f>IFERROR(I1674/G1674,0)</f>
        <v>0.36879732739420934</v>
      </c>
      <c r="Q1674" s="4">
        <f>IFERROR(I1674/H1674,0)</f>
        <v>7.8852380952380958</v>
      </c>
      <c r="R1674" s="12">
        <f>IFERROR(J1674/I1674,0)</f>
        <v>23.37200314028625</v>
      </c>
      <c r="S1674" s="7">
        <f>Tabla_nuevas_columnas[[#This Row],[ROAS]]</f>
        <v>23.37200314028625</v>
      </c>
      <c r="T1674" t="str">
        <f>_xlfn.CONCAT(C1674,"-",D1674)</f>
        <v>Paid Search-Italia</v>
      </c>
      <c r="U1674">
        <f>YEAR(A1674)</f>
        <v>2025</v>
      </c>
      <c r="V1674">
        <f>MONTH(A1674)</f>
        <v>6</v>
      </c>
      <c r="W1674" t="str">
        <f>PROPER(TEXT(A1674,"mmmm"))</f>
        <v>Junio</v>
      </c>
      <c r="X1674" t="str">
        <f>PROPER(TEXT(A1674,"dddd"))</f>
        <v>Miércoles</v>
      </c>
      <c r="Y1674" t="str" cm="1">
        <f t="array" ref="Y1674">_xlfn.IFS(R1674&gt;10,"Excelente",R1674&gt;=5,"Bueno",R1674&gt;=2,"Débil",R1674&lt;2,"Deficiente")</f>
        <v>Excelente</v>
      </c>
      <c r="Z1674" t="str">
        <f>IF(AND(R1674&lt;2,Q1674&gt;=100),"Revisar","OK")</f>
        <v>OK</v>
      </c>
      <c r="AA1674" s="55">
        <f>_xlfn.XLOOKUP(C1674,'Preguntas de negocio'!$C$114:$C$119,'Preguntas de negocio'!$D$114:$D$119,0)</f>
        <v>5</v>
      </c>
      <c r="AB1674" s="55">
        <f>VLOOKUP(C1674,'Preguntas de negocio'!$C$121:$D$127,2,FALSE)</f>
        <v>1.1000000000000001</v>
      </c>
    </row>
    <row r="1675" spans="1:28" x14ac:dyDescent="0.3">
      <c r="A1675" s="1">
        <v>45980</v>
      </c>
      <c r="B1675" s="2" t="s">
        <v>2635</v>
      </c>
      <c r="C1675" s="2" t="s">
        <v>2521</v>
      </c>
      <c r="D1675" s="2" t="s">
        <v>2528</v>
      </c>
      <c r="E1675" s="2" t="s">
        <v>2517</v>
      </c>
      <c r="F1675" s="3">
        <v>12799</v>
      </c>
      <c r="G1675" s="3">
        <v>142</v>
      </c>
      <c r="H1675" s="3">
        <v>7</v>
      </c>
      <c r="I1675" s="4">
        <v>187.28</v>
      </c>
      <c r="J1675" s="4">
        <v>1304.92</v>
      </c>
      <c r="K1675" s="3">
        <v>4</v>
      </c>
      <c r="L1675" s="2" t="s">
        <v>2523</v>
      </c>
      <c r="M1675" s="2" t="s">
        <v>2519</v>
      </c>
      <c r="N1675" s="8">
        <f>IFERROR(G1675/F1675,0)</f>
        <v>1.1094616766934916E-2</v>
      </c>
      <c r="O1675" s="8">
        <f>IFERROR(H1675/G1675,0)</f>
        <v>4.9295774647887321E-2</v>
      </c>
      <c r="P1675" s="4">
        <f>IFERROR(I1675/G1675,0)</f>
        <v>1.3188732394366198</v>
      </c>
      <c r="Q1675" s="4">
        <f>IFERROR(I1675/H1675,0)</f>
        <v>26.754285714285714</v>
      </c>
      <c r="R1675" s="12">
        <f>IFERROR(J1675/I1675,0)</f>
        <v>6.9677488252883384</v>
      </c>
      <c r="S1675" s="7">
        <f>Tabla_nuevas_columnas[[#This Row],[ROAS]]</f>
        <v>6.9677488252883384</v>
      </c>
      <c r="T1675" t="str">
        <f>_xlfn.CONCAT(C1675,"-",D1675)</f>
        <v>Paid Search-España</v>
      </c>
      <c r="U1675">
        <f>YEAR(A1675)</f>
        <v>2025</v>
      </c>
      <c r="V1675">
        <f>MONTH(A1675)</f>
        <v>11</v>
      </c>
      <c r="W1675" t="str">
        <f>PROPER(TEXT(A1675,"mmmm"))</f>
        <v>Noviembre</v>
      </c>
      <c r="X1675" t="str">
        <f>PROPER(TEXT(A1675,"dddd"))</f>
        <v>Miércoles</v>
      </c>
      <c r="Y1675" t="str" cm="1">
        <f t="array" ref="Y1675">_xlfn.IFS(R1675&gt;10,"Excelente",R1675&gt;=5,"Bueno",R1675&gt;=2,"Débil",R1675&lt;2,"Deficiente")</f>
        <v>Bueno</v>
      </c>
      <c r="Z1675" t="str">
        <f>IF(AND(R1675&lt;2,Q1675&gt;=100),"Revisar","OK")</f>
        <v>OK</v>
      </c>
      <c r="AA1675" s="55">
        <f>_xlfn.XLOOKUP(C1675,'Preguntas de negocio'!$C$114:$C$119,'Preguntas de negocio'!$D$114:$D$119,0)</f>
        <v>5</v>
      </c>
      <c r="AB1675" s="55">
        <f>VLOOKUP(C1675,'Preguntas de negocio'!$C$121:$D$127,2,FALSE)</f>
        <v>1.1000000000000001</v>
      </c>
    </row>
    <row r="1676" spans="1:28" x14ac:dyDescent="0.3">
      <c r="A1676" s="1">
        <v>45916</v>
      </c>
      <c r="B1676" s="2" t="s">
        <v>2633</v>
      </c>
      <c r="C1676" s="2" t="s">
        <v>2541</v>
      </c>
      <c r="D1676" s="2" t="s">
        <v>2525</v>
      </c>
      <c r="E1676" s="2" t="s">
        <v>2529</v>
      </c>
      <c r="F1676" s="3">
        <v>18706</v>
      </c>
      <c r="G1676" s="3">
        <v>1581</v>
      </c>
      <c r="H1676" s="3">
        <v>87</v>
      </c>
      <c r="I1676" s="4">
        <v>355.27</v>
      </c>
      <c r="J1676" s="4">
        <v>12333.36</v>
      </c>
      <c r="K1676" s="3">
        <v>52</v>
      </c>
      <c r="L1676" s="2" t="s">
        <v>2539</v>
      </c>
      <c r="M1676" s="2" t="s">
        <v>2546</v>
      </c>
      <c r="N1676" s="8">
        <f>IFERROR(G1676/F1676,0)</f>
        <v>8.4518336362664384E-2</v>
      </c>
      <c r="O1676" s="8">
        <f>IFERROR(H1676/G1676,0)</f>
        <v>5.5028462998102469E-2</v>
      </c>
      <c r="P1676" s="4">
        <f>IFERROR(I1676/G1676,0)</f>
        <v>0.2247122074636306</v>
      </c>
      <c r="Q1676" s="4">
        <f>IFERROR(I1676/H1676,0)</f>
        <v>4.0835632183908048</v>
      </c>
      <c r="R1676" s="12">
        <f>IFERROR(J1676/I1676,0)</f>
        <v>34.71545585047992</v>
      </c>
      <c r="S1676" s="7">
        <f>Tabla_nuevas_columnas[[#This Row],[ROAS]]</f>
        <v>34.71545585047992</v>
      </c>
      <c r="T1676" t="str">
        <f>_xlfn.CONCAT(C1676,"-",D1676)</f>
        <v>Display-Francia</v>
      </c>
      <c r="U1676">
        <f>YEAR(A1676)</f>
        <v>2025</v>
      </c>
      <c r="V1676">
        <f>MONTH(A1676)</f>
        <v>9</v>
      </c>
      <c r="W1676" t="str">
        <f>PROPER(TEXT(A1676,"mmmm"))</f>
        <v>Septiembre</v>
      </c>
      <c r="X1676" t="str">
        <f>PROPER(TEXT(A1676,"dddd"))</f>
        <v>Martes</v>
      </c>
      <c r="Y1676" t="str" cm="1">
        <f t="array" ref="Y1676">_xlfn.IFS(R1676&gt;10,"Excelente",R1676&gt;=5,"Bueno",R1676&gt;=2,"Débil",R1676&lt;2,"Deficiente")</f>
        <v>Excelente</v>
      </c>
      <c r="Z1676" t="str">
        <f>IF(AND(R1676&lt;2,Q1676&gt;=100),"Revisar","OK")</f>
        <v>OK</v>
      </c>
      <c r="AA1676" s="55">
        <f>_xlfn.XLOOKUP(C1676,'Preguntas de negocio'!$C$114:$C$119,'Preguntas de negocio'!$D$114:$D$119,0)</f>
        <v>5</v>
      </c>
      <c r="AB1676" s="55">
        <f>VLOOKUP(C1676,'Preguntas de negocio'!$C$121:$D$127,2,FALSE)</f>
        <v>0.5</v>
      </c>
    </row>
    <row r="1677" spans="1:28" x14ac:dyDescent="0.3">
      <c r="A1677" s="1">
        <v>45784</v>
      </c>
      <c r="B1677" s="2" t="s">
        <v>2630</v>
      </c>
      <c r="C1677" s="2" t="s">
        <v>2527</v>
      </c>
      <c r="D1677" s="2" t="s">
        <v>2525</v>
      </c>
      <c r="E1677" s="2" t="s">
        <v>2517</v>
      </c>
      <c r="F1677" s="3">
        <v>139562</v>
      </c>
      <c r="G1677" s="3">
        <v>1394</v>
      </c>
      <c r="H1677" s="3">
        <v>80</v>
      </c>
      <c r="I1677" s="4">
        <v>2778.08</v>
      </c>
      <c r="J1677" s="4">
        <v>16089.63</v>
      </c>
      <c r="K1677" s="3">
        <v>68</v>
      </c>
      <c r="L1677" s="2" t="s">
        <v>2536</v>
      </c>
      <c r="M1677" s="2" t="s">
        <v>2519</v>
      </c>
      <c r="N1677" s="8">
        <f>IFERROR(G1677/F1677,0)</f>
        <v>9.9883922557716283E-3</v>
      </c>
      <c r="O1677" s="8">
        <f>IFERROR(H1677/G1677,0)</f>
        <v>5.7388809182209469E-2</v>
      </c>
      <c r="P1677" s="4">
        <f>IFERROR(I1677/G1677,0)</f>
        <v>1.9928837876614061</v>
      </c>
      <c r="Q1677" s="4">
        <f>IFERROR(I1677/H1677,0)</f>
        <v>34.725999999999999</v>
      </c>
      <c r="R1677" s="12">
        <f>IFERROR(J1677/I1677,0)</f>
        <v>5.7916366699303117</v>
      </c>
      <c r="S1677" s="7">
        <f>Tabla_nuevas_columnas[[#This Row],[ROAS]]</f>
        <v>5.7916366699303117</v>
      </c>
      <c r="T1677" t="str">
        <f>_xlfn.CONCAT(C1677,"-",D1677)</f>
        <v>Affiliate-Francia</v>
      </c>
      <c r="U1677">
        <f>YEAR(A1677)</f>
        <v>2025</v>
      </c>
      <c r="V1677">
        <f>MONTH(A1677)</f>
        <v>5</v>
      </c>
      <c r="W1677" t="str">
        <f>PROPER(TEXT(A1677,"mmmm"))</f>
        <v>Mayo</v>
      </c>
      <c r="X1677" t="str">
        <f>PROPER(TEXT(A1677,"dddd"))</f>
        <v>Miércoles</v>
      </c>
      <c r="Y1677" t="str" cm="1">
        <f t="array" ref="Y1677">_xlfn.IFS(R1677&gt;10,"Excelente",R1677&gt;=5,"Bueno",R1677&gt;=2,"Débil",R1677&lt;2,"Deficiente")</f>
        <v>Bueno</v>
      </c>
      <c r="Z1677" t="str">
        <f>IF(AND(R1677&lt;2,Q1677&gt;=100),"Revisar","OK")</f>
        <v>OK</v>
      </c>
      <c r="AA1677" s="55">
        <f>_xlfn.XLOOKUP(C1677,'Preguntas de negocio'!$C$114:$C$119,'Preguntas de negocio'!$D$114:$D$119,0)</f>
        <v>4.5</v>
      </c>
      <c r="AB1677" s="55">
        <f>VLOOKUP(C1677,'Preguntas de negocio'!$C$121:$D$127,2,FALSE)</f>
        <v>0.35</v>
      </c>
    </row>
    <row r="1678" spans="1:28" x14ac:dyDescent="0.3">
      <c r="A1678" s="1">
        <v>45753</v>
      </c>
      <c r="B1678" s="2" t="s">
        <v>2625</v>
      </c>
      <c r="C1678" s="2" t="s">
        <v>2515</v>
      </c>
      <c r="D1678" s="2" t="s">
        <v>2531</v>
      </c>
      <c r="E1678" s="2" t="s">
        <v>2529</v>
      </c>
      <c r="F1678" s="3">
        <v>1045</v>
      </c>
      <c r="G1678" s="3">
        <v>57</v>
      </c>
      <c r="H1678" s="3">
        <v>5</v>
      </c>
      <c r="I1678" s="4">
        <v>16.059999999999999</v>
      </c>
      <c r="J1678" s="4">
        <v>601.88</v>
      </c>
      <c r="K1678" s="3">
        <v>3</v>
      </c>
      <c r="L1678" s="2" t="s">
        <v>2539</v>
      </c>
      <c r="M1678" s="2" t="s">
        <v>2526</v>
      </c>
      <c r="N1678" s="8">
        <f>IFERROR(G1678/F1678,0)</f>
        <v>5.4545454545454543E-2</v>
      </c>
      <c r="O1678" s="8">
        <f>IFERROR(H1678/G1678,0)</f>
        <v>8.771929824561403E-2</v>
      </c>
      <c r="P1678" s="4">
        <f>IFERROR(I1678/G1678,0)</f>
        <v>0.28175438596491226</v>
      </c>
      <c r="Q1678" s="4">
        <f>IFERROR(I1678/H1678,0)</f>
        <v>3.2119999999999997</v>
      </c>
      <c r="R1678" s="12">
        <f>IFERROR(J1678/I1678,0)</f>
        <v>37.476961394769617</v>
      </c>
      <c r="S1678" s="7">
        <f>Tabla_nuevas_columnas[[#This Row],[ROAS]]</f>
        <v>37.476961394769617</v>
      </c>
      <c r="T1678" t="str">
        <f>_xlfn.CONCAT(C1678,"-",D1678)</f>
        <v>Email-Portugal</v>
      </c>
      <c r="U1678">
        <f>YEAR(A1678)</f>
        <v>2025</v>
      </c>
      <c r="V1678">
        <f>MONTH(A1678)</f>
        <v>4</v>
      </c>
      <c r="W1678" t="str">
        <f>PROPER(TEXT(A1678,"mmmm"))</f>
        <v>Abril</v>
      </c>
      <c r="X1678" t="str">
        <f>PROPER(TEXT(A1678,"dddd"))</f>
        <v>Domingo</v>
      </c>
      <c r="Y1678" t="str" cm="1">
        <f t="array" ref="Y1678">_xlfn.IFS(R1678&gt;10,"Excelente",R1678&gt;=5,"Bueno",R1678&gt;=2,"Débil",R1678&lt;2,"Deficiente")</f>
        <v>Excelente</v>
      </c>
      <c r="Z1678" t="str">
        <f>IF(AND(R1678&lt;2,Q1678&gt;=100),"Revisar","OK")</f>
        <v>OK</v>
      </c>
      <c r="AA1678" s="55">
        <f>_xlfn.XLOOKUP(C1678,'Preguntas de negocio'!$C$114:$C$119,'Preguntas de negocio'!$D$114:$D$119,0)</f>
        <v>5.5</v>
      </c>
      <c r="AB1678" s="55">
        <f>VLOOKUP(C1678,'Preguntas de negocio'!$C$121:$D$127,2,FALSE)</f>
        <v>0.65</v>
      </c>
    </row>
    <row r="1679" spans="1:28" x14ac:dyDescent="0.3">
      <c r="A1679" s="1">
        <v>45727</v>
      </c>
      <c r="B1679" s="2" t="s">
        <v>2638</v>
      </c>
      <c r="C1679" s="2" t="s">
        <v>2521</v>
      </c>
      <c r="D1679" s="2" t="s">
        <v>2528</v>
      </c>
      <c r="E1679" s="2" t="s">
        <v>2517</v>
      </c>
      <c r="F1679" s="3">
        <v>118298</v>
      </c>
      <c r="G1679" s="3">
        <v>2597</v>
      </c>
      <c r="H1679" s="3">
        <v>168</v>
      </c>
      <c r="I1679" s="4">
        <v>1371.48</v>
      </c>
      <c r="J1679" s="4">
        <v>32389.16</v>
      </c>
      <c r="K1679" s="3">
        <v>79</v>
      </c>
      <c r="L1679" s="2" t="s">
        <v>2518</v>
      </c>
      <c r="M1679" s="2" t="s">
        <v>2546</v>
      </c>
      <c r="N1679" s="8">
        <f>IFERROR(G1679/F1679,0)</f>
        <v>2.195303386363252E-2</v>
      </c>
      <c r="O1679" s="8">
        <f>IFERROR(H1679/G1679,0)</f>
        <v>6.4690026954177901E-2</v>
      </c>
      <c r="P1679" s="4">
        <f>IFERROR(I1679/G1679,0)</f>
        <v>0.52810165575664225</v>
      </c>
      <c r="Q1679" s="4">
        <f>IFERROR(I1679/H1679,0)</f>
        <v>8.1635714285714283</v>
      </c>
      <c r="R1679" s="12">
        <f>IFERROR(J1679/I1679,0)</f>
        <v>23.61621022544988</v>
      </c>
      <c r="S1679" s="7">
        <f>Tabla_nuevas_columnas[[#This Row],[ROAS]]</f>
        <v>23.61621022544988</v>
      </c>
      <c r="T1679" t="str">
        <f>_xlfn.CONCAT(C1679,"-",D1679)</f>
        <v>Paid Search-España</v>
      </c>
      <c r="U1679">
        <f>YEAR(A1679)</f>
        <v>2025</v>
      </c>
      <c r="V1679">
        <f>MONTH(A1679)</f>
        <v>3</v>
      </c>
      <c r="W1679" t="str">
        <f>PROPER(TEXT(A1679,"mmmm"))</f>
        <v>Marzo</v>
      </c>
      <c r="X1679" t="str">
        <f>PROPER(TEXT(A1679,"dddd"))</f>
        <v>Martes</v>
      </c>
      <c r="Y1679" t="str" cm="1">
        <f t="array" ref="Y1679">_xlfn.IFS(R1679&gt;10,"Excelente",R1679&gt;=5,"Bueno",R1679&gt;=2,"Débil",R1679&lt;2,"Deficiente")</f>
        <v>Excelente</v>
      </c>
      <c r="Z1679" t="str">
        <f>IF(AND(R1679&lt;2,Q1679&gt;=100),"Revisar","OK")</f>
        <v>OK</v>
      </c>
      <c r="AA1679" s="55">
        <f>_xlfn.XLOOKUP(C1679,'Preguntas de negocio'!$C$114:$C$119,'Preguntas de negocio'!$D$114:$D$119,0)</f>
        <v>5</v>
      </c>
      <c r="AB1679" s="55">
        <f>VLOOKUP(C1679,'Preguntas de negocio'!$C$121:$D$127,2,FALSE)</f>
        <v>1.1000000000000001</v>
      </c>
    </row>
    <row r="1680" spans="1:28" x14ac:dyDescent="0.3">
      <c r="A1680" s="1">
        <v>45834</v>
      </c>
      <c r="B1680" s="2" t="s">
        <v>2622</v>
      </c>
      <c r="C1680" s="2" t="s">
        <v>2541</v>
      </c>
      <c r="D1680" s="2" t="s">
        <v>2528</v>
      </c>
      <c r="E1680" s="2" t="s">
        <v>2529</v>
      </c>
      <c r="F1680" s="3">
        <v>141228</v>
      </c>
      <c r="G1680" s="3">
        <v>7146</v>
      </c>
      <c r="H1680" s="3">
        <v>763</v>
      </c>
      <c r="I1680" s="4">
        <v>10618.99</v>
      </c>
      <c r="J1680" s="4">
        <v>88142.19</v>
      </c>
      <c r="K1680" s="3">
        <v>452</v>
      </c>
      <c r="L1680" s="2" t="s">
        <v>2536</v>
      </c>
      <c r="M1680" s="2" t="s">
        <v>2537</v>
      </c>
      <c r="N1680" s="8">
        <f>IFERROR(G1680/F1680,0)</f>
        <v>5.0599031353555951E-2</v>
      </c>
      <c r="O1680" s="8">
        <f>IFERROR(H1680/G1680,0)</f>
        <v>0.10677301987125665</v>
      </c>
      <c r="P1680" s="4">
        <f>IFERROR(I1680/G1680,0)</f>
        <v>1.4860047579065212</v>
      </c>
      <c r="Q1680" s="4">
        <f>IFERROR(I1680/H1680,0)</f>
        <v>13.917418086500655</v>
      </c>
      <c r="R1680" s="12">
        <f>IFERROR(J1680/I1680,0)</f>
        <v>8.3004306435922821</v>
      </c>
      <c r="S1680" s="7">
        <f>Tabla_nuevas_columnas[[#This Row],[ROAS]]</f>
        <v>8.3004306435922821</v>
      </c>
      <c r="T1680" t="str">
        <f>_xlfn.CONCAT(C1680,"-",D1680)</f>
        <v>Display-España</v>
      </c>
      <c r="U1680">
        <f>YEAR(A1680)</f>
        <v>2025</v>
      </c>
      <c r="V1680">
        <f>MONTH(A1680)</f>
        <v>6</v>
      </c>
      <c r="W1680" t="str">
        <f>PROPER(TEXT(A1680,"mmmm"))</f>
        <v>Junio</v>
      </c>
      <c r="X1680" t="str">
        <f>PROPER(TEXT(A1680,"dddd"))</f>
        <v>Jueves</v>
      </c>
      <c r="Y1680" t="str" cm="1">
        <f t="array" ref="Y1680">_xlfn.IFS(R1680&gt;10,"Excelente",R1680&gt;=5,"Bueno",R1680&gt;=2,"Débil",R1680&lt;2,"Deficiente")</f>
        <v>Bueno</v>
      </c>
      <c r="Z1680" t="str">
        <f>IF(AND(R1680&lt;2,Q1680&gt;=100),"Revisar","OK")</f>
        <v>OK</v>
      </c>
      <c r="AA1680" s="55">
        <f>_xlfn.XLOOKUP(C1680,'Preguntas de negocio'!$C$114:$C$119,'Preguntas de negocio'!$D$114:$D$119,0)</f>
        <v>5</v>
      </c>
      <c r="AB1680" s="55">
        <f>VLOOKUP(C1680,'Preguntas de negocio'!$C$121:$D$127,2,FALSE)</f>
        <v>0.5</v>
      </c>
    </row>
    <row r="1681" spans="1:28" x14ac:dyDescent="0.3">
      <c r="A1681" s="1">
        <v>45819</v>
      </c>
      <c r="B1681" s="2" t="s">
        <v>2622</v>
      </c>
      <c r="C1681" s="2" t="s">
        <v>2533</v>
      </c>
      <c r="D1681" s="2" t="s">
        <v>2531</v>
      </c>
      <c r="E1681" s="2" t="s">
        <v>2529</v>
      </c>
      <c r="F1681" s="3">
        <v>127234</v>
      </c>
      <c r="G1681" s="3">
        <v>3025</v>
      </c>
      <c r="H1681" s="3">
        <v>172</v>
      </c>
      <c r="I1681" s="4">
        <v>4569.9399999999996</v>
      </c>
      <c r="J1681" s="4">
        <v>10814.74</v>
      </c>
      <c r="K1681" s="3">
        <v>128</v>
      </c>
      <c r="L1681" s="2" t="s">
        <v>2536</v>
      </c>
      <c r="M1681" s="2" t="s">
        <v>2524</v>
      </c>
      <c r="N1681" s="8">
        <f>IFERROR(G1681/F1681,0)</f>
        <v>2.3775091563575775E-2</v>
      </c>
      <c r="O1681" s="8">
        <f>IFERROR(H1681/G1681,0)</f>
        <v>5.6859504132231405E-2</v>
      </c>
      <c r="P1681" s="4">
        <f>IFERROR(I1681/G1681,0)</f>
        <v>1.5107239669421486</v>
      </c>
      <c r="Q1681" s="4">
        <f>IFERROR(I1681/H1681,0)</f>
        <v>26.569418604651162</v>
      </c>
      <c r="R1681" s="12">
        <f>IFERROR(J1681/I1681,0)</f>
        <v>2.3664949649229534</v>
      </c>
      <c r="S1681" s="7">
        <f>Tabla_nuevas_columnas[[#This Row],[ROAS]]</f>
        <v>2.3664949649229534</v>
      </c>
      <c r="T1681" t="str">
        <f>_xlfn.CONCAT(C1681,"-",D1681)</f>
        <v>Paid Social-Portugal</v>
      </c>
      <c r="U1681">
        <f>YEAR(A1681)</f>
        <v>2025</v>
      </c>
      <c r="V1681">
        <f>MONTH(A1681)</f>
        <v>6</v>
      </c>
      <c r="W1681" t="str">
        <f>PROPER(TEXT(A1681,"mmmm"))</f>
        <v>Junio</v>
      </c>
      <c r="X1681" t="str">
        <f>PROPER(TEXT(A1681,"dddd"))</f>
        <v>Miércoles</v>
      </c>
      <c r="Y1681" t="str" cm="1">
        <f t="array" ref="Y1681">_xlfn.IFS(R1681&gt;10,"Excelente",R1681&gt;=5,"Bueno",R1681&gt;=2,"Débil",R1681&lt;2,"Deficiente")</f>
        <v>Débil</v>
      </c>
      <c r="Z1681" t="str">
        <f>IF(AND(R1681&lt;2,Q1681&gt;=100),"Revisar","OK")</f>
        <v>OK</v>
      </c>
      <c r="AA1681" s="55">
        <f>_xlfn.XLOOKUP(C1681,'Preguntas de negocio'!$C$114:$C$119,'Preguntas de negocio'!$D$114:$D$119,0)</f>
        <v>6</v>
      </c>
      <c r="AB1681" s="55">
        <f>VLOOKUP(C1681,'Preguntas de negocio'!$C$121:$D$127,2,FALSE)</f>
        <v>0.8</v>
      </c>
    </row>
    <row r="1682" spans="1:28" x14ac:dyDescent="0.3">
      <c r="A1682" s="1">
        <v>45956</v>
      </c>
      <c r="B1682" s="2" t="s">
        <v>2641</v>
      </c>
      <c r="C1682" s="2" t="s">
        <v>2527</v>
      </c>
      <c r="D1682" s="2" t="s">
        <v>2516</v>
      </c>
      <c r="E1682" s="2" t="s">
        <v>2529</v>
      </c>
      <c r="F1682" s="3">
        <v>139892</v>
      </c>
      <c r="G1682" s="3">
        <v>4626</v>
      </c>
      <c r="H1682" s="3">
        <v>624</v>
      </c>
      <c r="I1682" s="4">
        <v>5658.42</v>
      </c>
      <c r="J1682" s="4">
        <v>126598.12</v>
      </c>
      <c r="K1682" s="3">
        <v>345</v>
      </c>
      <c r="L1682" s="2" t="s">
        <v>2518</v>
      </c>
      <c r="M1682" s="2" t="s">
        <v>2546</v>
      </c>
      <c r="N1682" s="8">
        <f>IFERROR(G1682/F1682,0)</f>
        <v>3.3068367025991481E-2</v>
      </c>
      <c r="O1682" s="8">
        <f>IFERROR(H1682/G1682,0)</f>
        <v>0.13488975356679636</v>
      </c>
      <c r="P1682" s="4">
        <f>IFERROR(I1682/G1682,0)</f>
        <v>1.223177691309987</v>
      </c>
      <c r="Q1682" s="4">
        <f>IFERROR(I1682/H1682,0)</f>
        <v>9.0679807692307701</v>
      </c>
      <c r="R1682" s="12">
        <f>IFERROR(J1682/I1682,0)</f>
        <v>22.37340458997388</v>
      </c>
      <c r="S1682" s="7">
        <f>Tabla_nuevas_columnas[[#This Row],[ROAS]]</f>
        <v>22.37340458997388</v>
      </c>
      <c r="T1682" t="str">
        <f>_xlfn.CONCAT(C1682,"-",D1682)</f>
        <v>Affiliate-México</v>
      </c>
      <c r="U1682">
        <f>YEAR(A1682)</f>
        <v>2025</v>
      </c>
      <c r="V1682">
        <f>MONTH(A1682)</f>
        <v>10</v>
      </c>
      <c r="W1682" t="str">
        <f>PROPER(TEXT(A1682,"mmmm"))</f>
        <v>Octubre</v>
      </c>
      <c r="X1682" t="str">
        <f>PROPER(TEXT(A1682,"dddd"))</f>
        <v>Domingo</v>
      </c>
      <c r="Y1682" t="str" cm="1">
        <f t="array" ref="Y1682">_xlfn.IFS(R1682&gt;10,"Excelente",R1682&gt;=5,"Bueno",R1682&gt;=2,"Débil",R1682&lt;2,"Deficiente")</f>
        <v>Excelente</v>
      </c>
      <c r="Z1682" t="str">
        <f>IF(AND(R1682&lt;2,Q1682&gt;=100),"Revisar","OK")</f>
        <v>OK</v>
      </c>
      <c r="AA1682" s="55">
        <f>_xlfn.XLOOKUP(C1682,'Preguntas de negocio'!$C$114:$C$119,'Preguntas de negocio'!$D$114:$D$119,0)</f>
        <v>4.5</v>
      </c>
      <c r="AB1682" s="55">
        <f>VLOOKUP(C1682,'Preguntas de negocio'!$C$121:$D$127,2,FALSE)</f>
        <v>0.35</v>
      </c>
    </row>
    <row r="1683" spans="1:28" x14ac:dyDescent="0.3">
      <c r="A1683" s="1">
        <v>45684</v>
      </c>
      <c r="B1683" s="2" t="s">
        <v>2629</v>
      </c>
      <c r="C1683" s="2" t="s">
        <v>2521</v>
      </c>
      <c r="D1683" s="2" t="s">
        <v>2528</v>
      </c>
      <c r="E1683" s="2" t="s">
        <v>2529</v>
      </c>
      <c r="F1683" s="3">
        <v>4195</v>
      </c>
      <c r="G1683" s="3">
        <v>66</v>
      </c>
      <c r="H1683" s="3">
        <v>6</v>
      </c>
      <c r="I1683" s="4">
        <v>107.39</v>
      </c>
      <c r="J1683" s="4">
        <v>742.25</v>
      </c>
      <c r="K1683" s="3">
        <v>5</v>
      </c>
      <c r="L1683" s="2" t="s">
        <v>2539</v>
      </c>
      <c r="M1683" s="2" t="s">
        <v>2546</v>
      </c>
      <c r="N1683" s="8">
        <f>IFERROR(G1683/F1683,0)</f>
        <v>1.5733015494636474E-2</v>
      </c>
      <c r="O1683" s="8">
        <f>IFERROR(H1683/G1683,0)</f>
        <v>9.0909090909090912E-2</v>
      </c>
      <c r="P1683" s="4">
        <f>IFERROR(I1683/G1683,0)</f>
        <v>1.6271212121212122</v>
      </c>
      <c r="Q1683" s="4">
        <f>IFERROR(I1683/H1683,0)</f>
        <v>17.898333333333333</v>
      </c>
      <c r="R1683" s="12">
        <f>IFERROR(J1683/I1683,0)</f>
        <v>6.9117236241735727</v>
      </c>
      <c r="S1683" s="7">
        <f>Tabla_nuevas_columnas[[#This Row],[ROAS]]</f>
        <v>6.9117236241735727</v>
      </c>
      <c r="T1683" t="str">
        <f>_xlfn.CONCAT(C1683,"-",D1683)</f>
        <v>Paid Search-España</v>
      </c>
      <c r="U1683">
        <f>YEAR(A1683)</f>
        <v>2025</v>
      </c>
      <c r="V1683">
        <f>MONTH(A1683)</f>
        <v>1</v>
      </c>
      <c r="W1683" t="str">
        <f>PROPER(TEXT(A1683,"mmmm"))</f>
        <v>Enero</v>
      </c>
      <c r="X1683" t="str">
        <f>PROPER(TEXT(A1683,"dddd"))</f>
        <v>Lunes</v>
      </c>
      <c r="Y1683" t="str" cm="1">
        <f t="array" ref="Y1683">_xlfn.IFS(R1683&gt;10,"Excelente",R1683&gt;=5,"Bueno",R1683&gt;=2,"Débil",R1683&lt;2,"Deficiente")</f>
        <v>Bueno</v>
      </c>
      <c r="Z1683" t="str">
        <f>IF(AND(R1683&lt;2,Q1683&gt;=100),"Revisar","OK")</f>
        <v>OK</v>
      </c>
      <c r="AA1683" s="55">
        <f>_xlfn.XLOOKUP(C1683,'Preguntas de negocio'!$C$114:$C$119,'Preguntas de negocio'!$D$114:$D$119,0)</f>
        <v>5</v>
      </c>
      <c r="AB1683" s="55">
        <f>VLOOKUP(C1683,'Preguntas de negocio'!$C$121:$D$127,2,FALSE)</f>
        <v>1.1000000000000001</v>
      </c>
    </row>
    <row r="1684" spans="1:28" x14ac:dyDescent="0.3">
      <c r="A1684" s="1">
        <v>45964</v>
      </c>
      <c r="B1684" s="2" t="s">
        <v>2627</v>
      </c>
      <c r="C1684" s="2" t="s">
        <v>2521</v>
      </c>
      <c r="D1684" s="2" t="s">
        <v>2528</v>
      </c>
      <c r="E1684" s="2" t="s">
        <v>2517</v>
      </c>
      <c r="F1684" s="3">
        <v>23227</v>
      </c>
      <c r="G1684" s="3">
        <v>1609</v>
      </c>
      <c r="H1684" s="3">
        <v>169</v>
      </c>
      <c r="I1684" s="4">
        <v>2068.5500000000002</v>
      </c>
      <c r="J1684" s="4">
        <v>35208.660000000003</v>
      </c>
      <c r="K1684" s="3">
        <v>77</v>
      </c>
      <c r="L1684" s="2" t="s">
        <v>2523</v>
      </c>
      <c r="M1684" s="2" t="s">
        <v>2546</v>
      </c>
      <c r="N1684" s="8">
        <f>IFERROR(G1684/F1684,0)</f>
        <v>6.927282903517458E-2</v>
      </c>
      <c r="O1684" s="8">
        <f>IFERROR(H1684/G1684,0)</f>
        <v>0.10503418272218769</v>
      </c>
      <c r="P1684" s="4">
        <f>IFERROR(I1684/G1684,0)</f>
        <v>1.2856121814791797</v>
      </c>
      <c r="Q1684" s="4">
        <f>IFERROR(I1684/H1684,0)</f>
        <v>12.239940828402368</v>
      </c>
      <c r="R1684" s="12">
        <f>IFERROR(J1684/I1684,0)</f>
        <v>17.020937371588793</v>
      </c>
      <c r="S1684" s="7">
        <f>Tabla_nuevas_columnas[[#This Row],[ROAS]]</f>
        <v>17.020937371588793</v>
      </c>
      <c r="T1684" t="str">
        <f>_xlfn.CONCAT(C1684,"-",D1684)</f>
        <v>Paid Search-España</v>
      </c>
      <c r="U1684">
        <f>YEAR(A1684)</f>
        <v>2025</v>
      </c>
      <c r="V1684">
        <f>MONTH(A1684)</f>
        <v>11</v>
      </c>
      <c r="W1684" t="str">
        <f>PROPER(TEXT(A1684,"mmmm"))</f>
        <v>Noviembre</v>
      </c>
      <c r="X1684" t="str">
        <f>PROPER(TEXT(A1684,"dddd"))</f>
        <v>Lunes</v>
      </c>
      <c r="Y1684" t="str" cm="1">
        <f t="array" ref="Y1684">_xlfn.IFS(R1684&gt;10,"Excelente",R1684&gt;=5,"Bueno",R1684&gt;=2,"Débil",R1684&lt;2,"Deficiente")</f>
        <v>Excelente</v>
      </c>
      <c r="Z1684" t="str">
        <f>IF(AND(R1684&lt;2,Q1684&gt;=100),"Revisar","OK")</f>
        <v>OK</v>
      </c>
      <c r="AA1684" s="55">
        <f>_xlfn.XLOOKUP(C1684,'Preguntas de negocio'!$C$114:$C$119,'Preguntas de negocio'!$D$114:$D$119,0)</f>
        <v>5</v>
      </c>
      <c r="AB1684" s="55">
        <f>VLOOKUP(C1684,'Preguntas de negocio'!$C$121:$D$127,2,FALSE)</f>
        <v>1.1000000000000001</v>
      </c>
    </row>
    <row r="1685" spans="1:28" x14ac:dyDescent="0.3">
      <c r="A1685" s="1">
        <v>45933</v>
      </c>
      <c r="B1685" s="2" t="s">
        <v>2641</v>
      </c>
      <c r="C1685" s="2" t="s">
        <v>2541</v>
      </c>
      <c r="D1685" s="2" t="s">
        <v>2528</v>
      </c>
      <c r="E1685" s="2" t="s">
        <v>2534</v>
      </c>
      <c r="F1685" s="3">
        <v>26333</v>
      </c>
      <c r="G1685" s="3">
        <v>2286</v>
      </c>
      <c r="H1685" s="3">
        <v>286</v>
      </c>
      <c r="I1685" s="4">
        <v>2857.63</v>
      </c>
      <c r="J1685" s="4">
        <v>13204.82</v>
      </c>
      <c r="K1685" s="3">
        <v>210</v>
      </c>
      <c r="L1685" s="2" t="s">
        <v>2523</v>
      </c>
      <c r="M1685" s="2" t="s">
        <v>2546</v>
      </c>
      <c r="N1685" s="8">
        <f>IFERROR(G1685/F1685,0)</f>
        <v>8.6811225458550106E-2</v>
      </c>
      <c r="O1685" s="8">
        <f>IFERROR(H1685/G1685,0)</f>
        <v>0.12510936132983377</v>
      </c>
      <c r="P1685" s="4">
        <f>IFERROR(I1685/G1685,0)</f>
        <v>1.2500568678915136</v>
      </c>
      <c r="Q1685" s="4">
        <f>IFERROR(I1685/H1685,0)</f>
        <v>9.9917132867132867</v>
      </c>
      <c r="R1685" s="12">
        <f>IFERROR(J1685/I1685,0)</f>
        <v>4.6208991366971928</v>
      </c>
      <c r="S1685" s="7">
        <f>Tabla_nuevas_columnas[[#This Row],[ROAS]]</f>
        <v>4.6208991366971928</v>
      </c>
      <c r="T1685" t="str">
        <f>_xlfn.CONCAT(C1685,"-",D1685)</f>
        <v>Display-España</v>
      </c>
      <c r="U1685">
        <f>YEAR(A1685)</f>
        <v>2025</v>
      </c>
      <c r="V1685">
        <f>MONTH(A1685)</f>
        <v>10</v>
      </c>
      <c r="W1685" t="str">
        <f>PROPER(TEXT(A1685,"mmmm"))</f>
        <v>Octubre</v>
      </c>
      <c r="X1685" t="str">
        <f>PROPER(TEXT(A1685,"dddd"))</f>
        <v>Viernes</v>
      </c>
      <c r="Y1685" t="str" cm="1">
        <f t="array" ref="Y1685">_xlfn.IFS(R1685&gt;10,"Excelente",R1685&gt;=5,"Bueno",R1685&gt;=2,"Débil",R1685&lt;2,"Deficiente")</f>
        <v>Débil</v>
      </c>
      <c r="Z1685" t="str">
        <f>IF(AND(R1685&lt;2,Q1685&gt;=100),"Revisar","OK")</f>
        <v>OK</v>
      </c>
      <c r="AA1685" s="55">
        <f>_xlfn.XLOOKUP(C1685,'Preguntas de negocio'!$C$114:$C$119,'Preguntas de negocio'!$D$114:$D$119,0)</f>
        <v>5</v>
      </c>
      <c r="AB1685" s="55">
        <f>VLOOKUP(C1685,'Preguntas de negocio'!$C$121:$D$127,2,FALSE)</f>
        <v>0.5</v>
      </c>
    </row>
    <row r="1686" spans="1:28" x14ac:dyDescent="0.3">
      <c r="A1686" s="1">
        <v>45743</v>
      </c>
      <c r="B1686" s="2" t="s">
        <v>2632</v>
      </c>
      <c r="C1686" s="2" t="s">
        <v>2541</v>
      </c>
      <c r="D1686" s="2" t="s">
        <v>2528</v>
      </c>
      <c r="E1686" s="2" t="s">
        <v>2517</v>
      </c>
      <c r="F1686" s="3">
        <v>99851</v>
      </c>
      <c r="G1686" s="3">
        <v>8765</v>
      </c>
      <c r="H1686" s="3">
        <v>822</v>
      </c>
      <c r="I1686" s="4">
        <v>1123.72</v>
      </c>
      <c r="J1686" s="4">
        <v>38184.92</v>
      </c>
      <c r="K1686" s="3">
        <v>462</v>
      </c>
      <c r="L1686" s="2" t="s">
        <v>2536</v>
      </c>
      <c r="M1686" s="2" t="s">
        <v>2537</v>
      </c>
      <c r="N1686" s="8">
        <f>IFERROR(G1686/F1686,0)</f>
        <v>8.7780793382139385E-2</v>
      </c>
      <c r="O1686" s="8">
        <f>IFERROR(H1686/G1686,0)</f>
        <v>9.3782087849401022E-2</v>
      </c>
      <c r="P1686" s="4">
        <f>IFERROR(I1686/G1686,0)</f>
        <v>0.12820536223616658</v>
      </c>
      <c r="Q1686" s="4">
        <f>IFERROR(I1686/H1686,0)</f>
        <v>1.3670559610705597</v>
      </c>
      <c r="R1686" s="12">
        <f>IFERROR(J1686/I1686,0)</f>
        <v>33.980813725839177</v>
      </c>
      <c r="S1686" s="7">
        <f>Tabla_nuevas_columnas[[#This Row],[ROAS]]</f>
        <v>33.980813725839177</v>
      </c>
      <c r="T1686" t="str">
        <f>_xlfn.CONCAT(C1686,"-",D1686)</f>
        <v>Display-España</v>
      </c>
      <c r="U1686">
        <f>YEAR(A1686)</f>
        <v>2025</v>
      </c>
      <c r="V1686">
        <f>MONTH(A1686)</f>
        <v>3</v>
      </c>
      <c r="W1686" t="str">
        <f>PROPER(TEXT(A1686,"mmmm"))</f>
        <v>Marzo</v>
      </c>
      <c r="X1686" t="str">
        <f>PROPER(TEXT(A1686,"dddd"))</f>
        <v>Jueves</v>
      </c>
      <c r="Y1686" t="str" cm="1">
        <f t="array" ref="Y1686">_xlfn.IFS(R1686&gt;10,"Excelente",R1686&gt;=5,"Bueno",R1686&gt;=2,"Débil",R1686&lt;2,"Deficiente")</f>
        <v>Excelente</v>
      </c>
      <c r="Z1686" t="str">
        <f>IF(AND(R1686&lt;2,Q1686&gt;=100),"Revisar","OK")</f>
        <v>OK</v>
      </c>
      <c r="AA1686" s="55">
        <f>_xlfn.XLOOKUP(C1686,'Preguntas de negocio'!$C$114:$C$119,'Preguntas de negocio'!$D$114:$D$119,0)</f>
        <v>5</v>
      </c>
      <c r="AB1686" s="55">
        <f>VLOOKUP(C1686,'Preguntas de negocio'!$C$121:$D$127,2,FALSE)</f>
        <v>0.5</v>
      </c>
    </row>
    <row r="1687" spans="1:28" x14ac:dyDescent="0.3">
      <c r="A1687" s="1">
        <v>45998</v>
      </c>
      <c r="B1687" s="2" t="s">
        <v>2625</v>
      </c>
      <c r="C1687" s="2" t="s">
        <v>2541</v>
      </c>
      <c r="D1687" s="2" t="s">
        <v>2528</v>
      </c>
      <c r="E1687" s="2" t="s">
        <v>2529</v>
      </c>
      <c r="F1687" s="3">
        <v>63444</v>
      </c>
      <c r="G1687" s="3">
        <v>2372</v>
      </c>
      <c r="H1687" s="3">
        <v>66</v>
      </c>
      <c r="I1687" s="4">
        <v>4733.28</v>
      </c>
      <c r="J1687" s="4">
        <v>8771.9</v>
      </c>
      <c r="K1687" s="3">
        <v>44</v>
      </c>
      <c r="L1687" s="2" t="s">
        <v>2518</v>
      </c>
      <c r="M1687" s="2" t="s">
        <v>2519</v>
      </c>
      <c r="N1687" s="8">
        <f>IFERROR(G1687/F1687,0)</f>
        <v>3.7387302187756134E-2</v>
      </c>
      <c r="O1687" s="8">
        <f>IFERROR(H1687/G1687,0)</f>
        <v>2.7824620573355819E-2</v>
      </c>
      <c r="P1687" s="4">
        <f>IFERROR(I1687/G1687,0)</f>
        <v>1.9954806070826305</v>
      </c>
      <c r="Q1687" s="4">
        <f>IFERROR(I1687/H1687,0)</f>
        <v>71.716363636363639</v>
      </c>
      <c r="R1687" s="12">
        <f>IFERROR(J1687/I1687,0)</f>
        <v>1.853239191427509</v>
      </c>
      <c r="S1687" s="7">
        <f>Tabla_nuevas_columnas[[#This Row],[ROAS]]</f>
        <v>1.853239191427509</v>
      </c>
      <c r="T1687" t="str">
        <f>_xlfn.CONCAT(C1687,"-",D1687)</f>
        <v>Display-España</v>
      </c>
      <c r="U1687">
        <f>YEAR(A1687)</f>
        <v>2025</v>
      </c>
      <c r="V1687">
        <f>MONTH(A1687)</f>
        <v>12</v>
      </c>
      <c r="W1687" t="str">
        <f>PROPER(TEXT(A1687,"mmmm"))</f>
        <v>Diciembre</v>
      </c>
      <c r="X1687" t="str">
        <f>PROPER(TEXT(A1687,"dddd"))</f>
        <v>Domingo</v>
      </c>
      <c r="Y1687" t="str" cm="1">
        <f t="array" ref="Y1687">_xlfn.IFS(R1687&gt;10,"Excelente",R1687&gt;=5,"Bueno",R1687&gt;=2,"Débil",R1687&lt;2,"Deficiente")</f>
        <v>Deficiente</v>
      </c>
      <c r="Z1687" t="str">
        <f>IF(AND(R1687&lt;2,Q1687&gt;=100),"Revisar","OK")</f>
        <v>OK</v>
      </c>
      <c r="AA1687" s="55">
        <f>_xlfn.XLOOKUP(C1687,'Preguntas de negocio'!$C$114:$C$119,'Preguntas de negocio'!$D$114:$D$119,0)</f>
        <v>5</v>
      </c>
      <c r="AB1687" s="55">
        <f>VLOOKUP(C1687,'Preguntas de negocio'!$C$121:$D$127,2,FALSE)</f>
        <v>0.5</v>
      </c>
    </row>
    <row r="1688" spans="1:28" x14ac:dyDescent="0.3">
      <c r="A1688" s="1">
        <v>45670</v>
      </c>
      <c r="B1688" s="2" t="s">
        <v>2635</v>
      </c>
      <c r="C1688" s="2" t="s">
        <v>2527</v>
      </c>
      <c r="D1688" s="2" t="s">
        <v>2522</v>
      </c>
      <c r="E1688" s="2" t="s">
        <v>2517</v>
      </c>
      <c r="F1688" s="3">
        <v>123358</v>
      </c>
      <c r="G1688" s="3">
        <v>4880</v>
      </c>
      <c r="H1688" s="3">
        <v>325</v>
      </c>
      <c r="I1688" s="4">
        <v>1291.0899999999999</v>
      </c>
      <c r="J1688" s="4">
        <v>11770.39</v>
      </c>
      <c r="K1688" s="3">
        <v>242</v>
      </c>
      <c r="L1688" s="2" t="s">
        <v>2536</v>
      </c>
      <c r="M1688" s="2" t="s">
        <v>2537</v>
      </c>
      <c r="N1688" s="8">
        <f>IFERROR(G1688/F1688,0)</f>
        <v>3.9559655636440282E-2</v>
      </c>
      <c r="O1688" s="8">
        <f>IFERROR(H1688/G1688,0)</f>
        <v>6.6598360655737709E-2</v>
      </c>
      <c r="P1688" s="4">
        <f>IFERROR(I1688/G1688,0)</f>
        <v>0.26456762295081965</v>
      </c>
      <c r="Q1688" s="4">
        <f>IFERROR(I1688/H1688,0)</f>
        <v>3.9725846153846152</v>
      </c>
      <c r="R1688" s="12">
        <f>IFERROR(J1688/I1688,0)</f>
        <v>9.1166301342276679</v>
      </c>
      <c r="S1688" s="7">
        <f>Tabla_nuevas_columnas[[#This Row],[ROAS]]</f>
        <v>9.1166301342276679</v>
      </c>
      <c r="T1688" t="str">
        <f>_xlfn.CONCAT(C1688,"-",D1688)</f>
        <v>Affiliate-Italia</v>
      </c>
      <c r="U1688">
        <f>YEAR(A1688)</f>
        <v>2025</v>
      </c>
      <c r="V1688">
        <f>MONTH(A1688)</f>
        <v>1</v>
      </c>
      <c r="W1688" t="str">
        <f>PROPER(TEXT(A1688,"mmmm"))</f>
        <v>Enero</v>
      </c>
      <c r="X1688" t="str">
        <f>PROPER(TEXT(A1688,"dddd"))</f>
        <v>Lunes</v>
      </c>
      <c r="Y1688" t="str" cm="1">
        <f t="array" ref="Y1688">_xlfn.IFS(R1688&gt;10,"Excelente",R1688&gt;=5,"Bueno",R1688&gt;=2,"Débil",R1688&lt;2,"Deficiente")</f>
        <v>Bueno</v>
      </c>
      <c r="Z1688" t="str">
        <f>IF(AND(R1688&lt;2,Q1688&gt;=100),"Revisar","OK")</f>
        <v>OK</v>
      </c>
      <c r="AA1688" s="55">
        <f>_xlfn.XLOOKUP(C1688,'Preguntas de negocio'!$C$114:$C$119,'Preguntas de negocio'!$D$114:$D$119,0)</f>
        <v>4.5</v>
      </c>
      <c r="AB1688" s="55">
        <f>VLOOKUP(C1688,'Preguntas de negocio'!$C$121:$D$127,2,FALSE)</f>
        <v>0.35</v>
      </c>
    </row>
    <row r="1689" spans="1:28" x14ac:dyDescent="0.3">
      <c r="A1689" s="1">
        <v>45812</v>
      </c>
      <c r="B1689" s="2" t="s">
        <v>2644</v>
      </c>
      <c r="C1689" s="2" t="s">
        <v>2543</v>
      </c>
      <c r="D1689" s="2" t="s">
        <v>2528</v>
      </c>
      <c r="E1689" s="2" t="s">
        <v>2529</v>
      </c>
      <c r="F1689" s="3">
        <v>161895</v>
      </c>
      <c r="G1689" s="3">
        <v>9629</v>
      </c>
      <c r="H1689" s="3">
        <v>1143</v>
      </c>
      <c r="I1689" s="4">
        <v>2884.55</v>
      </c>
      <c r="J1689" s="4">
        <v>33193.589999999997</v>
      </c>
      <c r="K1689" s="3">
        <v>989</v>
      </c>
      <c r="L1689" s="2" t="s">
        <v>2536</v>
      </c>
      <c r="M1689" s="2" t="s">
        <v>2526</v>
      </c>
      <c r="N1689" s="8">
        <f>IFERROR(G1689/F1689,0)</f>
        <v>5.9476821396584209E-2</v>
      </c>
      <c r="O1689" s="8">
        <f>IFERROR(H1689/G1689,0)</f>
        <v>0.11870391525599751</v>
      </c>
      <c r="P1689" s="4">
        <f>IFERROR(I1689/G1689,0)</f>
        <v>0.29956901028144151</v>
      </c>
      <c r="Q1689" s="4">
        <f>IFERROR(I1689/H1689,0)</f>
        <v>2.5236657917760281</v>
      </c>
      <c r="R1689" s="12">
        <f>IFERROR(J1689/I1689,0)</f>
        <v>11.507372033766098</v>
      </c>
      <c r="S1689" s="7">
        <f>Tabla_nuevas_columnas[[#This Row],[ROAS]]</f>
        <v>11.507372033766098</v>
      </c>
      <c r="T1689" t="str">
        <f>_xlfn.CONCAT(C1689,"-",D1689)</f>
        <v>Organic Social-España</v>
      </c>
      <c r="U1689">
        <f>YEAR(A1689)</f>
        <v>2025</v>
      </c>
      <c r="V1689">
        <f>MONTH(A1689)</f>
        <v>6</v>
      </c>
      <c r="W1689" t="str">
        <f>PROPER(TEXT(A1689,"mmmm"))</f>
        <v>Junio</v>
      </c>
      <c r="X1689" t="str">
        <f>PROPER(TEXT(A1689,"dddd"))</f>
        <v>Miércoles</v>
      </c>
      <c r="Y1689" t="str" cm="1">
        <f t="array" ref="Y1689">_xlfn.IFS(R1689&gt;10,"Excelente",R1689&gt;=5,"Bueno",R1689&gt;=2,"Débil",R1689&lt;2,"Deficiente")</f>
        <v>Excelente</v>
      </c>
      <c r="Z1689" t="str">
        <f>IF(AND(R1689&lt;2,Q1689&gt;=100),"Revisar","OK")</f>
        <v>OK</v>
      </c>
      <c r="AA1689" s="55">
        <f>_xlfn.XLOOKUP(C1689,'Preguntas de negocio'!$C$114:$C$119,'Preguntas de negocio'!$D$114:$D$119,0)</f>
        <v>4</v>
      </c>
      <c r="AB1689" s="55">
        <f>VLOOKUP(C1689,'Preguntas de negocio'!$C$121:$D$127,2,FALSE)</f>
        <v>0.95</v>
      </c>
    </row>
    <row r="1690" spans="1:28" x14ac:dyDescent="0.3">
      <c r="A1690" s="1">
        <v>45723</v>
      </c>
      <c r="B1690" s="2" t="s">
        <v>2630</v>
      </c>
      <c r="C1690" s="2" t="s">
        <v>2533</v>
      </c>
      <c r="D1690" s="2" t="s">
        <v>2516</v>
      </c>
      <c r="E1690" s="2" t="s">
        <v>2529</v>
      </c>
      <c r="F1690" s="3">
        <v>93118</v>
      </c>
      <c r="G1690" s="3">
        <v>4502</v>
      </c>
      <c r="H1690" s="3">
        <v>189</v>
      </c>
      <c r="I1690" s="4">
        <v>2101.59</v>
      </c>
      <c r="J1690" s="4">
        <v>9058.67</v>
      </c>
      <c r="K1690" s="3">
        <v>157</v>
      </c>
      <c r="L1690" s="2" t="s">
        <v>2536</v>
      </c>
      <c r="M1690" s="2" t="s">
        <v>2526</v>
      </c>
      <c r="N1690" s="8">
        <f>IFERROR(G1690/F1690,0)</f>
        <v>4.8347258317403725E-2</v>
      </c>
      <c r="O1690" s="8">
        <f>IFERROR(H1690/G1690,0)</f>
        <v>4.1981341625944024E-2</v>
      </c>
      <c r="P1690" s="4">
        <f>IFERROR(I1690/G1690,0)</f>
        <v>0.46681252776543763</v>
      </c>
      <c r="Q1690" s="4">
        <f>IFERROR(I1690/H1690,0)</f>
        <v>11.119523809523811</v>
      </c>
      <c r="R1690" s="12">
        <f>IFERROR(J1690/I1690,0)</f>
        <v>4.3103888008603004</v>
      </c>
      <c r="S1690" s="7">
        <f>Tabla_nuevas_columnas[[#This Row],[ROAS]]</f>
        <v>4.3103888008603004</v>
      </c>
      <c r="T1690" t="str">
        <f>_xlfn.CONCAT(C1690,"-",D1690)</f>
        <v>Paid Social-México</v>
      </c>
      <c r="U1690">
        <f>YEAR(A1690)</f>
        <v>2025</v>
      </c>
      <c r="V1690">
        <f>MONTH(A1690)</f>
        <v>3</v>
      </c>
      <c r="W1690" t="str">
        <f>PROPER(TEXT(A1690,"mmmm"))</f>
        <v>Marzo</v>
      </c>
      <c r="X1690" t="str">
        <f>PROPER(TEXT(A1690,"dddd"))</f>
        <v>Viernes</v>
      </c>
      <c r="Y1690" t="str" cm="1">
        <f t="array" ref="Y1690">_xlfn.IFS(R1690&gt;10,"Excelente",R1690&gt;=5,"Bueno",R1690&gt;=2,"Débil",R1690&lt;2,"Deficiente")</f>
        <v>Débil</v>
      </c>
      <c r="Z1690" t="str">
        <f>IF(AND(R1690&lt;2,Q1690&gt;=100),"Revisar","OK")</f>
        <v>OK</v>
      </c>
      <c r="AA1690" s="55">
        <f>_xlfn.XLOOKUP(C1690,'Preguntas de negocio'!$C$114:$C$119,'Preguntas de negocio'!$D$114:$D$119,0)</f>
        <v>6</v>
      </c>
      <c r="AB1690" s="55">
        <f>VLOOKUP(C1690,'Preguntas de negocio'!$C$121:$D$127,2,FALSE)</f>
        <v>0.8</v>
      </c>
    </row>
    <row r="1691" spans="1:28" x14ac:dyDescent="0.3">
      <c r="A1691" s="1">
        <v>45707</v>
      </c>
      <c r="B1691" s="2" t="s">
        <v>2618</v>
      </c>
      <c r="C1691" s="2" t="s">
        <v>2527</v>
      </c>
      <c r="D1691" s="2" t="s">
        <v>2525</v>
      </c>
      <c r="E1691" s="2" t="s">
        <v>2517</v>
      </c>
      <c r="F1691" s="3">
        <v>56356</v>
      </c>
      <c r="G1691" s="3">
        <v>2188</v>
      </c>
      <c r="H1691" s="3">
        <v>286</v>
      </c>
      <c r="I1691" s="4">
        <v>4505.33</v>
      </c>
      <c r="J1691" s="4">
        <v>50748.61</v>
      </c>
      <c r="K1691" s="3">
        <v>147</v>
      </c>
      <c r="L1691" s="2" t="s">
        <v>2536</v>
      </c>
      <c r="M1691" s="2" t="s">
        <v>2519</v>
      </c>
      <c r="N1691" s="8">
        <f>IFERROR(G1691/F1691,0)</f>
        <v>3.882461494783164E-2</v>
      </c>
      <c r="O1691" s="8">
        <f>IFERROR(H1691/G1691,0)</f>
        <v>0.13071297989031078</v>
      </c>
      <c r="P1691" s="4">
        <f>IFERROR(I1691/G1691,0)</f>
        <v>2.0591087751371115</v>
      </c>
      <c r="Q1691" s="4">
        <f>IFERROR(I1691/H1691,0)</f>
        <v>15.752902097902098</v>
      </c>
      <c r="R1691" s="12">
        <f>IFERROR(J1691/I1691,0)</f>
        <v>11.264127156057381</v>
      </c>
      <c r="S1691" s="7">
        <f>Tabla_nuevas_columnas[[#This Row],[ROAS]]</f>
        <v>11.264127156057381</v>
      </c>
      <c r="T1691" t="str">
        <f>_xlfn.CONCAT(C1691,"-",D1691)</f>
        <v>Affiliate-Francia</v>
      </c>
      <c r="U1691">
        <f>YEAR(A1691)</f>
        <v>2025</v>
      </c>
      <c r="V1691">
        <f>MONTH(A1691)</f>
        <v>2</v>
      </c>
      <c r="W1691" t="str">
        <f>PROPER(TEXT(A1691,"mmmm"))</f>
        <v>Febrero</v>
      </c>
      <c r="X1691" t="str">
        <f>PROPER(TEXT(A1691,"dddd"))</f>
        <v>Miércoles</v>
      </c>
      <c r="Y1691" t="str" cm="1">
        <f t="array" ref="Y1691">_xlfn.IFS(R1691&gt;10,"Excelente",R1691&gt;=5,"Bueno",R1691&gt;=2,"Débil",R1691&lt;2,"Deficiente")</f>
        <v>Excelente</v>
      </c>
      <c r="Z1691" t="str">
        <f>IF(AND(R1691&lt;2,Q1691&gt;=100),"Revisar","OK")</f>
        <v>OK</v>
      </c>
      <c r="AA1691" s="55">
        <f>_xlfn.XLOOKUP(C1691,'Preguntas de negocio'!$C$114:$C$119,'Preguntas de negocio'!$D$114:$D$119,0)</f>
        <v>4.5</v>
      </c>
      <c r="AB1691" s="55">
        <f>VLOOKUP(C1691,'Preguntas de negocio'!$C$121:$D$127,2,FALSE)</f>
        <v>0.35</v>
      </c>
    </row>
    <row r="1692" spans="1:28" x14ac:dyDescent="0.3">
      <c r="A1692" s="1">
        <v>45786</v>
      </c>
      <c r="B1692" s="2" t="s">
        <v>2620</v>
      </c>
      <c r="C1692" s="2" t="s">
        <v>2541</v>
      </c>
      <c r="D1692" s="2" t="s">
        <v>2522</v>
      </c>
      <c r="E1692" s="2" t="s">
        <v>2529</v>
      </c>
      <c r="F1692" s="3">
        <v>58071</v>
      </c>
      <c r="G1692" s="3">
        <v>4374</v>
      </c>
      <c r="H1692" s="3">
        <v>365</v>
      </c>
      <c r="I1692" s="4">
        <v>3925.64</v>
      </c>
      <c r="J1692" s="4">
        <v>32178.39</v>
      </c>
      <c r="K1692" s="3">
        <v>180</v>
      </c>
      <c r="L1692" s="2" t="s">
        <v>2518</v>
      </c>
      <c r="M1692" s="2" t="s">
        <v>2519</v>
      </c>
      <c r="N1692" s="8">
        <f>IFERROR(G1692/F1692,0)</f>
        <v>7.5321589089218377E-2</v>
      </c>
      <c r="O1692" s="8">
        <f>IFERROR(H1692/G1692,0)</f>
        <v>8.3447645176040239E-2</v>
      </c>
      <c r="P1692" s="4">
        <f>IFERROR(I1692/G1692,0)</f>
        <v>0.89749428440786461</v>
      </c>
      <c r="Q1692" s="4">
        <f>IFERROR(I1692/H1692,0)</f>
        <v>10.755178082191781</v>
      </c>
      <c r="R1692" s="12">
        <f>IFERROR(J1692/I1692,0)</f>
        <v>8.196979346042939</v>
      </c>
      <c r="S1692" s="7">
        <f>Tabla_nuevas_columnas[[#This Row],[ROAS]]</f>
        <v>8.196979346042939</v>
      </c>
      <c r="T1692" t="str">
        <f>_xlfn.CONCAT(C1692,"-",D1692)</f>
        <v>Display-Italia</v>
      </c>
      <c r="U1692">
        <f>YEAR(A1692)</f>
        <v>2025</v>
      </c>
      <c r="V1692">
        <f>MONTH(A1692)</f>
        <v>5</v>
      </c>
      <c r="W1692" t="str">
        <f>PROPER(TEXT(A1692,"mmmm"))</f>
        <v>Mayo</v>
      </c>
      <c r="X1692" t="str">
        <f>PROPER(TEXT(A1692,"dddd"))</f>
        <v>Viernes</v>
      </c>
      <c r="Y1692" t="str" cm="1">
        <f t="array" ref="Y1692">_xlfn.IFS(R1692&gt;10,"Excelente",R1692&gt;=5,"Bueno",R1692&gt;=2,"Débil",R1692&lt;2,"Deficiente")</f>
        <v>Bueno</v>
      </c>
      <c r="Z1692" t="str">
        <f>IF(AND(R1692&lt;2,Q1692&gt;=100),"Revisar","OK")</f>
        <v>OK</v>
      </c>
      <c r="AA1692" s="55">
        <f>_xlfn.XLOOKUP(C1692,'Preguntas de negocio'!$C$114:$C$119,'Preguntas de negocio'!$D$114:$D$119,0)</f>
        <v>5</v>
      </c>
      <c r="AB1692" s="55">
        <f>VLOOKUP(C1692,'Preguntas de negocio'!$C$121:$D$127,2,FALSE)</f>
        <v>0.5</v>
      </c>
    </row>
    <row r="1693" spans="1:28" x14ac:dyDescent="0.3">
      <c r="A1693" s="1">
        <v>45811</v>
      </c>
      <c r="B1693" s="2" t="s">
        <v>2638</v>
      </c>
      <c r="C1693" s="2" t="s">
        <v>2533</v>
      </c>
      <c r="D1693" s="2" t="s">
        <v>2522</v>
      </c>
      <c r="E1693" s="2" t="s">
        <v>2517</v>
      </c>
      <c r="F1693" s="3">
        <v>58427</v>
      </c>
      <c r="G1693" s="3">
        <v>3771</v>
      </c>
      <c r="H1693" s="3">
        <v>507</v>
      </c>
      <c r="I1693" s="4">
        <v>4728.2</v>
      </c>
      <c r="J1693" s="4">
        <v>44661.55</v>
      </c>
      <c r="K1693" s="3">
        <v>342</v>
      </c>
      <c r="L1693" s="2" t="s">
        <v>2539</v>
      </c>
      <c r="M1693" s="2" t="s">
        <v>2524</v>
      </c>
      <c r="N1693" s="8">
        <f>IFERROR(G1693/F1693,0)</f>
        <v>6.4542078148801071E-2</v>
      </c>
      <c r="O1693" s="8">
        <f>IFERROR(H1693/G1693,0)</f>
        <v>0.13444709626093873</v>
      </c>
      <c r="P1693" s="4">
        <f>IFERROR(I1693/G1693,0)</f>
        <v>1.2538318748342614</v>
      </c>
      <c r="Q1693" s="4">
        <f>IFERROR(I1693/H1693,0)</f>
        <v>9.3258382642998026</v>
      </c>
      <c r="R1693" s="12">
        <f>IFERROR(J1693/I1693,0)</f>
        <v>9.4457827503066714</v>
      </c>
      <c r="S1693" s="7">
        <f>Tabla_nuevas_columnas[[#This Row],[ROAS]]</f>
        <v>9.4457827503066714</v>
      </c>
      <c r="T1693" t="str">
        <f>_xlfn.CONCAT(C1693,"-",D1693)</f>
        <v>Paid Social-Italia</v>
      </c>
      <c r="U1693">
        <f>YEAR(A1693)</f>
        <v>2025</v>
      </c>
      <c r="V1693">
        <f>MONTH(A1693)</f>
        <v>6</v>
      </c>
      <c r="W1693" t="str">
        <f>PROPER(TEXT(A1693,"mmmm"))</f>
        <v>Junio</v>
      </c>
      <c r="X1693" t="str">
        <f>PROPER(TEXT(A1693,"dddd"))</f>
        <v>Martes</v>
      </c>
      <c r="Y1693" t="str" cm="1">
        <f t="array" ref="Y1693">_xlfn.IFS(R1693&gt;10,"Excelente",R1693&gt;=5,"Bueno",R1693&gt;=2,"Débil",R1693&lt;2,"Deficiente")</f>
        <v>Bueno</v>
      </c>
      <c r="Z1693" t="str">
        <f>IF(AND(R1693&lt;2,Q1693&gt;=100),"Revisar","OK")</f>
        <v>OK</v>
      </c>
      <c r="AA1693" s="55">
        <f>_xlfn.XLOOKUP(C1693,'Preguntas de negocio'!$C$114:$C$119,'Preguntas de negocio'!$D$114:$D$119,0)</f>
        <v>6</v>
      </c>
      <c r="AB1693" s="55">
        <f>VLOOKUP(C1693,'Preguntas de negocio'!$C$121:$D$127,2,FALSE)</f>
        <v>0.8</v>
      </c>
    </row>
    <row r="1694" spans="1:28" x14ac:dyDescent="0.3">
      <c r="A1694" s="1">
        <v>45933</v>
      </c>
      <c r="B1694" s="2" t="s">
        <v>2633</v>
      </c>
      <c r="C1694" s="2" t="s">
        <v>2515</v>
      </c>
      <c r="D1694" s="2" t="s">
        <v>2528</v>
      </c>
      <c r="E1694" s="2" t="s">
        <v>2517</v>
      </c>
      <c r="F1694" s="3">
        <v>176407</v>
      </c>
      <c r="G1694" s="3">
        <v>7991</v>
      </c>
      <c r="H1694" s="3">
        <v>1116</v>
      </c>
      <c r="I1694" s="4">
        <v>10936.21</v>
      </c>
      <c r="J1694" s="4">
        <v>208030.1</v>
      </c>
      <c r="K1694" s="3">
        <v>746</v>
      </c>
      <c r="L1694" s="2" t="s">
        <v>2536</v>
      </c>
      <c r="M1694" s="2" t="s">
        <v>2537</v>
      </c>
      <c r="N1694" s="8">
        <f>IFERROR(G1694/F1694,0)</f>
        <v>4.5298655949026968E-2</v>
      </c>
      <c r="O1694" s="8">
        <f>IFERROR(H1694/G1694,0)</f>
        <v>0.13965711425353522</v>
      </c>
      <c r="P1694" s="4">
        <f>IFERROR(I1694/G1694,0)</f>
        <v>1.3685658866224502</v>
      </c>
      <c r="Q1694" s="4">
        <f>IFERROR(I1694/H1694,0)</f>
        <v>9.7994713261648734</v>
      </c>
      <c r="R1694" s="12">
        <f>IFERROR(J1694/I1694,0)</f>
        <v>19.022138382492656</v>
      </c>
      <c r="S1694" s="7">
        <f>Tabla_nuevas_columnas[[#This Row],[ROAS]]</f>
        <v>19.022138382492656</v>
      </c>
      <c r="T1694" t="str">
        <f>_xlfn.CONCAT(C1694,"-",D1694)</f>
        <v>Email-España</v>
      </c>
      <c r="U1694">
        <f>YEAR(A1694)</f>
        <v>2025</v>
      </c>
      <c r="V1694">
        <f>MONTH(A1694)</f>
        <v>10</v>
      </c>
      <c r="W1694" t="str">
        <f>PROPER(TEXT(A1694,"mmmm"))</f>
        <v>Octubre</v>
      </c>
      <c r="X1694" t="str">
        <f>PROPER(TEXT(A1694,"dddd"))</f>
        <v>Viernes</v>
      </c>
      <c r="Y1694" t="str" cm="1">
        <f t="array" ref="Y1694">_xlfn.IFS(R1694&gt;10,"Excelente",R1694&gt;=5,"Bueno",R1694&gt;=2,"Débil",R1694&lt;2,"Deficiente")</f>
        <v>Excelente</v>
      </c>
      <c r="Z1694" t="str">
        <f>IF(AND(R1694&lt;2,Q1694&gt;=100),"Revisar","OK")</f>
        <v>OK</v>
      </c>
      <c r="AA1694" s="55">
        <f>_xlfn.XLOOKUP(C1694,'Preguntas de negocio'!$C$114:$C$119,'Preguntas de negocio'!$D$114:$D$119,0)</f>
        <v>5.5</v>
      </c>
      <c r="AB1694" s="55">
        <f>VLOOKUP(C1694,'Preguntas de negocio'!$C$121:$D$127,2,FALSE)</f>
        <v>0.65</v>
      </c>
    </row>
    <row r="1695" spans="1:28" x14ac:dyDescent="0.3">
      <c r="A1695" s="1">
        <v>45809</v>
      </c>
      <c r="B1695" s="2" t="s">
        <v>2638</v>
      </c>
      <c r="C1695" s="2" t="s">
        <v>2543</v>
      </c>
      <c r="D1695" s="2" t="s">
        <v>2528</v>
      </c>
      <c r="E1695" s="2" t="s">
        <v>2529</v>
      </c>
      <c r="F1695" s="3">
        <v>33358</v>
      </c>
      <c r="G1695" s="3">
        <v>964</v>
      </c>
      <c r="H1695" s="3">
        <v>58</v>
      </c>
      <c r="I1695" s="4">
        <v>1755.87</v>
      </c>
      <c r="J1695" s="4">
        <v>2721.23</v>
      </c>
      <c r="K1695" s="3">
        <v>39</v>
      </c>
      <c r="L1695" s="2" t="s">
        <v>2518</v>
      </c>
      <c r="M1695" s="2" t="s">
        <v>2546</v>
      </c>
      <c r="N1695" s="8">
        <f>IFERROR(G1695/F1695,0)</f>
        <v>2.8898615024881589E-2</v>
      </c>
      <c r="O1695" s="8">
        <f>IFERROR(H1695/G1695,0)</f>
        <v>6.0165975103734441E-2</v>
      </c>
      <c r="P1695" s="4">
        <f>IFERROR(I1695/G1695,0)</f>
        <v>1.8214419087136928</v>
      </c>
      <c r="Q1695" s="4">
        <f>IFERROR(I1695/H1695,0)</f>
        <v>30.273620689655171</v>
      </c>
      <c r="R1695" s="12">
        <f>IFERROR(J1695/I1695,0)</f>
        <v>1.5497901325268957</v>
      </c>
      <c r="S1695" s="7">
        <f>Tabla_nuevas_columnas[[#This Row],[ROAS]]</f>
        <v>1.5497901325268957</v>
      </c>
      <c r="T1695" t="str">
        <f>_xlfn.CONCAT(C1695,"-",D1695)</f>
        <v>Organic Social-España</v>
      </c>
      <c r="U1695">
        <f>YEAR(A1695)</f>
        <v>2025</v>
      </c>
      <c r="V1695">
        <f>MONTH(A1695)</f>
        <v>6</v>
      </c>
      <c r="W1695" t="str">
        <f>PROPER(TEXT(A1695,"mmmm"))</f>
        <v>Junio</v>
      </c>
      <c r="X1695" t="str">
        <f>PROPER(TEXT(A1695,"dddd"))</f>
        <v>Domingo</v>
      </c>
      <c r="Y1695" t="str" cm="1">
        <f t="array" ref="Y1695">_xlfn.IFS(R1695&gt;10,"Excelente",R1695&gt;=5,"Bueno",R1695&gt;=2,"Débil",R1695&lt;2,"Deficiente")</f>
        <v>Deficiente</v>
      </c>
      <c r="Z1695" t="str">
        <f>IF(AND(R1695&lt;2,Q1695&gt;=100),"Revisar","OK")</f>
        <v>OK</v>
      </c>
      <c r="AA1695" s="55">
        <f>_xlfn.XLOOKUP(C1695,'Preguntas de negocio'!$C$114:$C$119,'Preguntas de negocio'!$D$114:$D$119,0)</f>
        <v>4</v>
      </c>
      <c r="AB1695" s="55">
        <f>VLOOKUP(C1695,'Preguntas de negocio'!$C$121:$D$127,2,FALSE)</f>
        <v>0.95</v>
      </c>
    </row>
    <row r="1696" spans="1:28" x14ac:dyDescent="0.3">
      <c r="A1696" s="1">
        <v>45788</v>
      </c>
      <c r="B1696" s="2" t="s">
        <v>2617</v>
      </c>
      <c r="C1696" s="2" t="s">
        <v>2533</v>
      </c>
      <c r="D1696" s="2" t="s">
        <v>2525</v>
      </c>
      <c r="E1696" s="2" t="s">
        <v>2517</v>
      </c>
      <c r="F1696" s="3">
        <v>41459</v>
      </c>
      <c r="G1696" s="3">
        <v>1945</v>
      </c>
      <c r="H1696" s="3">
        <v>63</v>
      </c>
      <c r="I1696" s="4">
        <v>2951.7</v>
      </c>
      <c r="J1696" s="4">
        <v>12222.5</v>
      </c>
      <c r="K1696" s="3">
        <v>55</v>
      </c>
      <c r="L1696" s="2" t="s">
        <v>2518</v>
      </c>
      <c r="M1696" s="2" t="s">
        <v>2519</v>
      </c>
      <c r="N1696" s="8">
        <f>IFERROR(G1696/F1696,0)</f>
        <v>4.6913818471260763E-2</v>
      </c>
      <c r="O1696" s="8">
        <f>IFERROR(H1696/G1696,0)</f>
        <v>3.2390745501285345E-2</v>
      </c>
      <c r="P1696" s="4">
        <f>IFERROR(I1696/G1696,0)</f>
        <v>1.5175835475578405</v>
      </c>
      <c r="Q1696" s="4">
        <f>IFERROR(I1696/H1696,0)</f>
        <v>46.852380952380948</v>
      </c>
      <c r="R1696" s="12">
        <f>IFERROR(J1696/I1696,0)</f>
        <v>4.1408340956059222</v>
      </c>
      <c r="S1696" s="7">
        <f>Tabla_nuevas_columnas[[#This Row],[ROAS]]</f>
        <v>4.1408340956059222</v>
      </c>
      <c r="T1696" t="str">
        <f>_xlfn.CONCAT(C1696,"-",D1696)</f>
        <v>Paid Social-Francia</v>
      </c>
      <c r="U1696">
        <f>YEAR(A1696)</f>
        <v>2025</v>
      </c>
      <c r="V1696">
        <f>MONTH(A1696)</f>
        <v>5</v>
      </c>
      <c r="W1696" t="str">
        <f>PROPER(TEXT(A1696,"mmmm"))</f>
        <v>Mayo</v>
      </c>
      <c r="X1696" t="str">
        <f>PROPER(TEXT(A1696,"dddd"))</f>
        <v>Domingo</v>
      </c>
      <c r="Y1696" t="str" cm="1">
        <f t="array" ref="Y1696">_xlfn.IFS(R1696&gt;10,"Excelente",R1696&gt;=5,"Bueno",R1696&gt;=2,"Débil",R1696&lt;2,"Deficiente")</f>
        <v>Débil</v>
      </c>
      <c r="Z1696" t="str">
        <f>IF(AND(R1696&lt;2,Q1696&gt;=100),"Revisar","OK")</f>
        <v>OK</v>
      </c>
      <c r="AA1696" s="55">
        <f>_xlfn.XLOOKUP(C1696,'Preguntas de negocio'!$C$114:$C$119,'Preguntas de negocio'!$D$114:$D$119,0)</f>
        <v>6</v>
      </c>
      <c r="AB1696" s="55">
        <f>VLOOKUP(C1696,'Preguntas de negocio'!$C$121:$D$127,2,FALSE)</f>
        <v>0.8</v>
      </c>
    </row>
    <row r="1697" spans="1:28" x14ac:dyDescent="0.3">
      <c r="A1697" s="1">
        <v>45658</v>
      </c>
      <c r="B1697" s="2" t="s">
        <v>2625</v>
      </c>
      <c r="C1697" s="2" t="s">
        <v>2515</v>
      </c>
      <c r="D1697" s="2" t="s">
        <v>2525</v>
      </c>
      <c r="E1697" s="2" t="s">
        <v>2517</v>
      </c>
      <c r="F1697" s="3">
        <v>134323</v>
      </c>
      <c r="G1697" s="3">
        <v>1574</v>
      </c>
      <c r="H1697" s="3">
        <v>60</v>
      </c>
      <c r="I1697" s="4">
        <v>177.69</v>
      </c>
      <c r="J1697" s="4">
        <v>12122.03</v>
      </c>
      <c r="K1697" s="3">
        <v>28</v>
      </c>
      <c r="L1697" s="2" t="s">
        <v>2536</v>
      </c>
      <c r="M1697" s="2" t="s">
        <v>2519</v>
      </c>
      <c r="N1697" s="8">
        <f>IFERROR(G1697/F1697,0)</f>
        <v>1.1718022974471982E-2</v>
      </c>
      <c r="O1697" s="8">
        <f>IFERROR(H1697/G1697,0)</f>
        <v>3.8119440914866583E-2</v>
      </c>
      <c r="P1697" s="4">
        <f>IFERROR(I1697/G1697,0)</f>
        <v>0.11289072426937738</v>
      </c>
      <c r="Q1697" s="4">
        <f>IFERROR(I1697/H1697,0)</f>
        <v>2.9615</v>
      </c>
      <c r="R1697" s="12">
        <f>IFERROR(J1697/I1697,0)</f>
        <v>68.220102425572634</v>
      </c>
      <c r="S1697" s="7">
        <f>Tabla_nuevas_columnas[[#This Row],[ROAS]]</f>
        <v>68.220102425572634</v>
      </c>
      <c r="T1697" t="str">
        <f>_xlfn.CONCAT(C1697,"-",D1697)</f>
        <v>Email-Francia</v>
      </c>
      <c r="U1697">
        <f>YEAR(A1697)</f>
        <v>2025</v>
      </c>
      <c r="V1697">
        <f>MONTH(A1697)</f>
        <v>1</v>
      </c>
      <c r="W1697" t="str">
        <f>PROPER(TEXT(A1697,"mmmm"))</f>
        <v>Enero</v>
      </c>
      <c r="X1697" t="str">
        <f>PROPER(TEXT(A1697,"dddd"))</f>
        <v>Miércoles</v>
      </c>
      <c r="Y1697" t="str" cm="1">
        <f t="array" ref="Y1697">_xlfn.IFS(R1697&gt;10,"Excelente",R1697&gt;=5,"Bueno",R1697&gt;=2,"Débil",R1697&lt;2,"Deficiente")</f>
        <v>Excelente</v>
      </c>
      <c r="Z1697" t="str">
        <f>IF(AND(R1697&lt;2,Q1697&gt;=100),"Revisar","OK")</f>
        <v>OK</v>
      </c>
      <c r="AA1697" s="55">
        <f>_xlfn.XLOOKUP(C1697,'Preguntas de negocio'!$C$114:$C$119,'Preguntas de negocio'!$D$114:$D$119,0)</f>
        <v>5.5</v>
      </c>
      <c r="AB1697" s="55">
        <f>VLOOKUP(C1697,'Preguntas de negocio'!$C$121:$D$127,2,FALSE)</f>
        <v>0.65</v>
      </c>
    </row>
    <row r="1698" spans="1:28" x14ac:dyDescent="0.3">
      <c r="A1698" s="1">
        <v>45893</v>
      </c>
      <c r="B1698" s="2" t="s">
        <v>2620</v>
      </c>
      <c r="C1698" s="2" t="s">
        <v>2521</v>
      </c>
      <c r="D1698" s="2" t="s">
        <v>2516</v>
      </c>
      <c r="E1698" s="2" t="s">
        <v>2529</v>
      </c>
      <c r="F1698" s="3">
        <v>96925</v>
      </c>
      <c r="G1698" s="3">
        <v>7251</v>
      </c>
      <c r="H1698" s="3">
        <v>324</v>
      </c>
      <c r="I1698" s="4">
        <v>2361.02</v>
      </c>
      <c r="J1698" s="4">
        <v>38712.78</v>
      </c>
      <c r="K1698" s="3">
        <v>186</v>
      </c>
      <c r="L1698" s="2" t="s">
        <v>2518</v>
      </c>
      <c r="M1698" s="2" t="s">
        <v>2526</v>
      </c>
      <c r="N1698" s="8">
        <f>IFERROR(G1698/F1698,0)</f>
        <v>7.4810420428166102E-2</v>
      </c>
      <c r="O1698" s="8">
        <f>IFERROR(H1698/G1698,0)</f>
        <v>4.4683491932147289E-2</v>
      </c>
      <c r="P1698" s="4">
        <f>IFERROR(I1698/G1698,0)</f>
        <v>0.32561301889394567</v>
      </c>
      <c r="Q1698" s="4">
        <f>IFERROR(I1698/H1698,0)</f>
        <v>7.2870987654320984</v>
      </c>
      <c r="R1698" s="12">
        <f>IFERROR(J1698/I1698,0)</f>
        <v>16.39663365833411</v>
      </c>
      <c r="S1698" s="7">
        <f>Tabla_nuevas_columnas[[#This Row],[ROAS]]</f>
        <v>16.39663365833411</v>
      </c>
      <c r="T1698" t="str">
        <f>_xlfn.CONCAT(C1698,"-",D1698)</f>
        <v>Paid Search-México</v>
      </c>
      <c r="U1698">
        <f>YEAR(A1698)</f>
        <v>2025</v>
      </c>
      <c r="V1698">
        <f>MONTH(A1698)</f>
        <v>8</v>
      </c>
      <c r="W1698" t="str">
        <f>PROPER(TEXT(A1698,"mmmm"))</f>
        <v>Agosto</v>
      </c>
      <c r="X1698" t="str">
        <f>PROPER(TEXT(A1698,"dddd"))</f>
        <v>Domingo</v>
      </c>
      <c r="Y1698" t="str" cm="1">
        <f t="array" ref="Y1698">_xlfn.IFS(R1698&gt;10,"Excelente",R1698&gt;=5,"Bueno",R1698&gt;=2,"Débil",R1698&lt;2,"Deficiente")</f>
        <v>Excelente</v>
      </c>
      <c r="Z1698" t="str">
        <f>IF(AND(R1698&lt;2,Q1698&gt;=100),"Revisar","OK")</f>
        <v>OK</v>
      </c>
      <c r="AA1698" s="55">
        <f>_xlfn.XLOOKUP(C1698,'Preguntas de negocio'!$C$114:$C$119,'Preguntas de negocio'!$D$114:$D$119,0)</f>
        <v>5</v>
      </c>
      <c r="AB1698" s="55">
        <f>VLOOKUP(C1698,'Preguntas de negocio'!$C$121:$D$127,2,FALSE)</f>
        <v>1.1000000000000001</v>
      </c>
    </row>
    <row r="1699" spans="1:28" x14ac:dyDescent="0.3">
      <c r="A1699" s="1">
        <v>45898</v>
      </c>
      <c r="B1699" s="2" t="s">
        <v>2617</v>
      </c>
      <c r="C1699" s="2" t="s">
        <v>2527</v>
      </c>
      <c r="D1699" s="2" t="s">
        <v>2528</v>
      </c>
      <c r="E1699" s="2" t="s">
        <v>2529</v>
      </c>
      <c r="F1699" s="3">
        <v>84359</v>
      </c>
      <c r="G1699" s="3">
        <v>5061</v>
      </c>
      <c r="H1699" s="3">
        <v>633</v>
      </c>
      <c r="I1699" s="4">
        <v>10614.4</v>
      </c>
      <c r="J1699" s="4">
        <v>28661.53</v>
      </c>
      <c r="K1699" s="3">
        <v>562</v>
      </c>
      <c r="L1699" s="2" t="s">
        <v>2539</v>
      </c>
      <c r="M1699" s="2" t="s">
        <v>2546</v>
      </c>
      <c r="N1699" s="8">
        <f>IFERROR(G1699/F1699,0)</f>
        <v>5.999359878614019E-2</v>
      </c>
      <c r="O1699" s="8">
        <f>IFERROR(H1699/G1699,0)</f>
        <v>0.12507409602845287</v>
      </c>
      <c r="P1699" s="4">
        <f>IFERROR(I1699/G1699,0)</f>
        <v>2.0972930250938551</v>
      </c>
      <c r="Q1699" s="4">
        <f>IFERROR(I1699/H1699,0)</f>
        <v>16.768404423380726</v>
      </c>
      <c r="R1699" s="12">
        <f>IFERROR(J1699/I1699,0)</f>
        <v>2.7002496608381068</v>
      </c>
      <c r="S1699" s="7">
        <f>Tabla_nuevas_columnas[[#This Row],[ROAS]]</f>
        <v>2.7002496608381068</v>
      </c>
      <c r="T1699" t="str">
        <f>_xlfn.CONCAT(C1699,"-",D1699)</f>
        <v>Affiliate-España</v>
      </c>
      <c r="U1699">
        <f>YEAR(A1699)</f>
        <v>2025</v>
      </c>
      <c r="V1699">
        <f>MONTH(A1699)</f>
        <v>8</v>
      </c>
      <c r="W1699" t="str">
        <f>PROPER(TEXT(A1699,"mmmm"))</f>
        <v>Agosto</v>
      </c>
      <c r="X1699" t="str">
        <f>PROPER(TEXT(A1699,"dddd"))</f>
        <v>Viernes</v>
      </c>
      <c r="Y1699" t="str" cm="1">
        <f t="array" ref="Y1699">_xlfn.IFS(R1699&gt;10,"Excelente",R1699&gt;=5,"Bueno",R1699&gt;=2,"Débil",R1699&lt;2,"Deficiente")</f>
        <v>Débil</v>
      </c>
      <c r="Z1699" t="str">
        <f>IF(AND(R1699&lt;2,Q1699&gt;=100),"Revisar","OK")</f>
        <v>OK</v>
      </c>
      <c r="AA1699" s="55">
        <f>_xlfn.XLOOKUP(C1699,'Preguntas de negocio'!$C$114:$C$119,'Preguntas de negocio'!$D$114:$D$119,0)</f>
        <v>4.5</v>
      </c>
      <c r="AB1699" s="55">
        <f>VLOOKUP(C1699,'Preguntas de negocio'!$C$121:$D$127,2,FALSE)</f>
        <v>0.35</v>
      </c>
    </row>
    <row r="1700" spans="1:28" x14ac:dyDescent="0.3">
      <c r="A1700" s="1">
        <v>45731</v>
      </c>
      <c r="B1700" s="2" t="s">
        <v>2631</v>
      </c>
      <c r="C1700" s="2" t="s">
        <v>2541</v>
      </c>
      <c r="D1700" s="2" t="s">
        <v>2528</v>
      </c>
      <c r="E1700" s="2" t="s">
        <v>2529</v>
      </c>
      <c r="F1700" s="3">
        <v>170105</v>
      </c>
      <c r="G1700" s="3">
        <v>7698</v>
      </c>
      <c r="H1700" s="3">
        <v>341</v>
      </c>
      <c r="I1700" s="4">
        <v>12745.51</v>
      </c>
      <c r="J1700" s="4">
        <v>70127.520000000004</v>
      </c>
      <c r="K1700" s="3">
        <v>164</v>
      </c>
      <c r="L1700" s="2" t="s">
        <v>2536</v>
      </c>
      <c r="M1700" s="2" t="s">
        <v>2519</v>
      </c>
      <c r="N1700" s="8">
        <f>IFERROR(G1700/F1700,0)</f>
        <v>4.5254401693071926E-2</v>
      </c>
      <c r="O1700" s="8">
        <f>IFERROR(H1700/G1700,0)</f>
        <v>4.42972200571577E-2</v>
      </c>
      <c r="P1700" s="4">
        <f>IFERROR(I1700/G1700,0)</f>
        <v>1.6556910885944403</v>
      </c>
      <c r="Q1700" s="4">
        <f>IFERROR(I1700/H1700,0)</f>
        <v>37.376862170087975</v>
      </c>
      <c r="R1700" s="12">
        <f>IFERROR(J1700/I1700,0)</f>
        <v>5.5021352617510013</v>
      </c>
      <c r="S1700" s="7">
        <f>Tabla_nuevas_columnas[[#This Row],[ROAS]]</f>
        <v>5.5021352617510013</v>
      </c>
      <c r="T1700" t="str">
        <f>_xlfn.CONCAT(C1700,"-",D1700)</f>
        <v>Display-España</v>
      </c>
      <c r="U1700">
        <f>YEAR(A1700)</f>
        <v>2025</v>
      </c>
      <c r="V1700">
        <f>MONTH(A1700)</f>
        <v>3</v>
      </c>
      <c r="W1700" t="str">
        <f>PROPER(TEXT(A1700,"mmmm"))</f>
        <v>Marzo</v>
      </c>
      <c r="X1700" t="str">
        <f>PROPER(TEXT(A1700,"dddd"))</f>
        <v>Sábado</v>
      </c>
      <c r="Y1700" t="str" cm="1">
        <f t="array" ref="Y1700">_xlfn.IFS(R1700&gt;10,"Excelente",R1700&gt;=5,"Bueno",R1700&gt;=2,"Débil",R1700&lt;2,"Deficiente")</f>
        <v>Bueno</v>
      </c>
      <c r="Z1700" t="str">
        <f>IF(AND(R1700&lt;2,Q1700&gt;=100),"Revisar","OK")</f>
        <v>OK</v>
      </c>
      <c r="AA1700" s="55">
        <f>_xlfn.XLOOKUP(C1700,'Preguntas de negocio'!$C$114:$C$119,'Preguntas de negocio'!$D$114:$D$119,0)</f>
        <v>5</v>
      </c>
      <c r="AB1700" s="55">
        <f>VLOOKUP(C1700,'Preguntas de negocio'!$C$121:$D$127,2,FALSE)</f>
        <v>0.5</v>
      </c>
    </row>
    <row r="1701" spans="1:28" x14ac:dyDescent="0.3">
      <c r="A1701" s="1">
        <v>45930</v>
      </c>
      <c r="B1701" s="2" t="s">
        <v>2633</v>
      </c>
      <c r="C1701" s="2" t="s">
        <v>2527</v>
      </c>
      <c r="D1701" s="2" t="s">
        <v>2531</v>
      </c>
      <c r="E1701" s="2" t="s">
        <v>2529</v>
      </c>
      <c r="F1701" s="3">
        <v>55036</v>
      </c>
      <c r="G1701" s="3">
        <v>4880</v>
      </c>
      <c r="H1701" s="3">
        <v>437</v>
      </c>
      <c r="I1701" s="4">
        <v>2174.38</v>
      </c>
      <c r="J1701" s="4">
        <v>74826.22</v>
      </c>
      <c r="K1701" s="3">
        <v>329</v>
      </c>
      <c r="L1701" s="2" t="s">
        <v>2523</v>
      </c>
      <c r="M1701" s="2" t="s">
        <v>2546</v>
      </c>
      <c r="N1701" s="8">
        <f>IFERROR(G1701/F1701,0)</f>
        <v>8.8669234682753104E-2</v>
      </c>
      <c r="O1701" s="8">
        <f>IFERROR(H1701/G1701,0)</f>
        <v>8.9549180327868849E-2</v>
      </c>
      <c r="P1701" s="4">
        <f>IFERROR(I1701/G1701,0)</f>
        <v>0.44556967213114756</v>
      </c>
      <c r="Q1701" s="4">
        <f>IFERROR(I1701/H1701,0)</f>
        <v>4.9756979405034327</v>
      </c>
      <c r="R1701" s="12">
        <f>IFERROR(J1701/I1701,0)</f>
        <v>34.41266935862177</v>
      </c>
      <c r="S1701" s="7">
        <f>Tabla_nuevas_columnas[[#This Row],[ROAS]]</f>
        <v>34.41266935862177</v>
      </c>
      <c r="T1701" t="str">
        <f>_xlfn.CONCAT(C1701,"-",D1701)</f>
        <v>Affiliate-Portugal</v>
      </c>
      <c r="U1701">
        <f>YEAR(A1701)</f>
        <v>2025</v>
      </c>
      <c r="V1701">
        <f>MONTH(A1701)</f>
        <v>9</v>
      </c>
      <c r="W1701" t="str">
        <f>PROPER(TEXT(A1701,"mmmm"))</f>
        <v>Septiembre</v>
      </c>
      <c r="X1701" t="str">
        <f>PROPER(TEXT(A1701,"dddd"))</f>
        <v>Martes</v>
      </c>
      <c r="Y1701" t="str" cm="1">
        <f t="array" ref="Y1701">_xlfn.IFS(R1701&gt;10,"Excelente",R1701&gt;=5,"Bueno",R1701&gt;=2,"Débil",R1701&lt;2,"Deficiente")</f>
        <v>Excelente</v>
      </c>
      <c r="Z1701" t="str">
        <f>IF(AND(R1701&lt;2,Q1701&gt;=100),"Revisar","OK")</f>
        <v>OK</v>
      </c>
      <c r="AA1701" s="55">
        <f>_xlfn.XLOOKUP(C1701,'Preguntas de negocio'!$C$114:$C$119,'Preguntas de negocio'!$D$114:$D$119,0)</f>
        <v>4.5</v>
      </c>
      <c r="AB1701" s="55">
        <f>VLOOKUP(C1701,'Preguntas de negocio'!$C$121:$D$127,2,FALSE)</f>
        <v>0.35</v>
      </c>
    </row>
    <row r="1702" spans="1:28" x14ac:dyDescent="0.3">
      <c r="A1702" s="1">
        <v>45818</v>
      </c>
      <c r="B1702" s="2" t="s">
        <v>2623</v>
      </c>
      <c r="C1702" s="2" t="s">
        <v>2541</v>
      </c>
      <c r="D1702" s="2" t="s">
        <v>2516</v>
      </c>
      <c r="E1702" s="2" t="s">
        <v>2529</v>
      </c>
      <c r="F1702" s="3">
        <v>38955</v>
      </c>
      <c r="G1702" s="3">
        <v>310</v>
      </c>
      <c r="H1702" s="3">
        <v>36</v>
      </c>
      <c r="I1702" s="4">
        <v>639.95000000000005</v>
      </c>
      <c r="J1702" s="4">
        <v>2953.84</v>
      </c>
      <c r="K1702" s="3">
        <v>24</v>
      </c>
      <c r="L1702" s="2" t="s">
        <v>2536</v>
      </c>
      <c r="M1702" s="2" t="s">
        <v>2526</v>
      </c>
      <c r="N1702" s="8">
        <f>IFERROR(G1702/F1702,0)</f>
        <v>7.9579001411885508E-3</v>
      </c>
      <c r="O1702" s="8">
        <f>IFERROR(H1702/G1702,0)</f>
        <v>0.11612903225806452</v>
      </c>
      <c r="P1702" s="4">
        <f>IFERROR(I1702/G1702,0)</f>
        <v>2.0643548387096775</v>
      </c>
      <c r="Q1702" s="4">
        <f>IFERROR(I1702/H1702,0)</f>
        <v>17.776388888888889</v>
      </c>
      <c r="R1702" s="12">
        <f>IFERROR(J1702/I1702,0)</f>
        <v>4.6157356043440894</v>
      </c>
      <c r="S1702" s="7">
        <f>Tabla_nuevas_columnas[[#This Row],[ROAS]]</f>
        <v>4.6157356043440894</v>
      </c>
      <c r="T1702" t="str">
        <f>_xlfn.CONCAT(C1702,"-",D1702)</f>
        <v>Display-México</v>
      </c>
      <c r="U1702">
        <f>YEAR(A1702)</f>
        <v>2025</v>
      </c>
      <c r="V1702">
        <f>MONTH(A1702)</f>
        <v>6</v>
      </c>
      <c r="W1702" t="str">
        <f>PROPER(TEXT(A1702,"mmmm"))</f>
        <v>Junio</v>
      </c>
      <c r="X1702" t="str">
        <f>PROPER(TEXT(A1702,"dddd"))</f>
        <v>Martes</v>
      </c>
      <c r="Y1702" t="str" cm="1">
        <f t="array" ref="Y1702">_xlfn.IFS(R1702&gt;10,"Excelente",R1702&gt;=5,"Bueno",R1702&gt;=2,"Débil",R1702&lt;2,"Deficiente")</f>
        <v>Débil</v>
      </c>
      <c r="Z1702" t="str">
        <f>IF(AND(R1702&lt;2,Q1702&gt;=100),"Revisar","OK")</f>
        <v>OK</v>
      </c>
      <c r="AA1702" s="55">
        <f>_xlfn.XLOOKUP(C1702,'Preguntas de negocio'!$C$114:$C$119,'Preguntas de negocio'!$D$114:$D$119,0)</f>
        <v>5</v>
      </c>
      <c r="AB1702" s="55">
        <f>VLOOKUP(C1702,'Preguntas de negocio'!$C$121:$D$127,2,FALSE)</f>
        <v>0.5</v>
      </c>
    </row>
    <row r="1703" spans="1:28" x14ac:dyDescent="0.3">
      <c r="A1703" s="1">
        <v>45976</v>
      </c>
      <c r="B1703" s="2" t="s">
        <v>2640</v>
      </c>
      <c r="C1703" s="2" t="s">
        <v>2541</v>
      </c>
      <c r="D1703" s="2" t="s">
        <v>2528</v>
      </c>
      <c r="E1703" s="2" t="s">
        <v>2517</v>
      </c>
      <c r="F1703" s="3">
        <v>27542</v>
      </c>
      <c r="G1703" s="3">
        <v>1825</v>
      </c>
      <c r="H1703" s="3">
        <v>95</v>
      </c>
      <c r="I1703" s="4">
        <v>243.51</v>
      </c>
      <c r="J1703" s="4">
        <v>10176.469999999999</v>
      </c>
      <c r="K1703" s="3">
        <v>75</v>
      </c>
      <c r="L1703" s="2" t="s">
        <v>2536</v>
      </c>
      <c r="M1703" s="2" t="s">
        <v>2546</v>
      </c>
      <c r="N1703" s="8">
        <f>IFERROR(G1703/F1703,0)</f>
        <v>6.6262435552973634E-2</v>
      </c>
      <c r="O1703" s="8">
        <f>IFERROR(H1703/G1703,0)</f>
        <v>5.2054794520547946E-2</v>
      </c>
      <c r="P1703" s="4">
        <f>IFERROR(I1703/G1703,0)</f>
        <v>0.13343013698630138</v>
      </c>
      <c r="Q1703" s="4">
        <f>IFERROR(I1703/H1703,0)</f>
        <v>2.5632631578947369</v>
      </c>
      <c r="R1703" s="12">
        <f>IFERROR(J1703/I1703,0)</f>
        <v>41.790768346269147</v>
      </c>
      <c r="S1703" s="7">
        <f>Tabla_nuevas_columnas[[#This Row],[ROAS]]</f>
        <v>41.790768346269147</v>
      </c>
      <c r="T1703" t="str">
        <f>_xlfn.CONCAT(C1703,"-",D1703)</f>
        <v>Display-España</v>
      </c>
      <c r="U1703">
        <f>YEAR(A1703)</f>
        <v>2025</v>
      </c>
      <c r="V1703">
        <f>MONTH(A1703)</f>
        <v>11</v>
      </c>
      <c r="W1703" t="str">
        <f>PROPER(TEXT(A1703,"mmmm"))</f>
        <v>Noviembre</v>
      </c>
      <c r="X1703" t="str">
        <f>PROPER(TEXT(A1703,"dddd"))</f>
        <v>Sábado</v>
      </c>
      <c r="Y1703" t="str" cm="1">
        <f t="array" ref="Y1703">_xlfn.IFS(R1703&gt;10,"Excelente",R1703&gt;=5,"Bueno",R1703&gt;=2,"Débil",R1703&lt;2,"Deficiente")</f>
        <v>Excelente</v>
      </c>
      <c r="Z1703" t="str">
        <f>IF(AND(R1703&lt;2,Q1703&gt;=100),"Revisar","OK")</f>
        <v>OK</v>
      </c>
      <c r="AA1703" s="55">
        <f>_xlfn.XLOOKUP(C1703,'Preguntas de negocio'!$C$114:$C$119,'Preguntas de negocio'!$D$114:$D$119,0)</f>
        <v>5</v>
      </c>
      <c r="AB1703" s="55">
        <f>VLOOKUP(C1703,'Preguntas de negocio'!$C$121:$D$127,2,FALSE)</f>
        <v>0.5</v>
      </c>
    </row>
    <row r="1704" spans="1:28" x14ac:dyDescent="0.3">
      <c r="A1704" s="1">
        <v>45767</v>
      </c>
      <c r="B1704" s="2" t="s">
        <v>2625</v>
      </c>
      <c r="C1704" s="2" t="s">
        <v>2543</v>
      </c>
      <c r="D1704" s="2" t="s">
        <v>2516</v>
      </c>
      <c r="E1704" s="2" t="s">
        <v>2529</v>
      </c>
      <c r="F1704" s="3">
        <v>68320</v>
      </c>
      <c r="G1704" s="3">
        <v>1288</v>
      </c>
      <c r="H1704" s="3">
        <v>15</v>
      </c>
      <c r="I1704" s="4">
        <v>562.63</v>
      </c>
      <c r="J1704" s="4">
        <v>1280.8399999999999</v>
      </c>
      <c r="K1704" s="3">
        <v>7</v>
      </c>
      <c r="L1704" s="2" t="s">
        <v>2523</v>
      </c>
      <c r="M1704" s="2" t="s">
        <v>2524</v>
      </c>
      <c r="N1704" s="8">
        <f>IFERROR(G1704/F1704,0)</f>
        <v>1.8852459016393444E-2</v>
      </c>
      <c r="O1704" s="8">
        <f>IFERROR(H1704/G1704,0)</f>
        <v>1.1645962732919254E-2</v>
      </c>
      <c r="P1704" s="4">
        <f>IFERROR(I1704/G1704,0)</f>
        <v>0.4368245341614907</v>
      </c>
      <c r="Q1704" s="4">
        <f>IFERROR(I1704/H1704,0)</f>
        <v>37.508666666666663</v>
      </c>
      <c r="R1704" s="12">
        <f>IFERROR(J1704/I1704,0)</f>
        <v>2.2765227591845441</v>
      </c>
      <c r="S1704" s="7">
        <f>Tabla_nuevas_columnas[[#This Row],[ROAS]]</f>
        <v>2.2765227591845441</v>
      </c>
      <c r="T1704" t="str">
        <f>_xlfn.CONCAT(C1704,"-",D1704)</f>
        <v>Organic Social-México</v>
      </c>
      <c r="U1704">
        <f>YEAR(A1704)</f>
        <v>2025</v>
      </c>
      <c r="V1704">
        <f>MONTH(A1704)</f>
        <v>4</v>
      </c>
      <c r="W1704" t="str">
        <f>PROPER(TEXT(A1704,"mmmm"))</f>
        <v>Abril</v>
      </c>
      <c r="X1704" t="str">
        <f>PROPER(TEXT(A1704,"dddd"))</f>
        <v>Domingo</v>
      </c>
      <c r="Y1704" t="str" cm="1">
        <f t="array" ref="Y1704">_xlfn.IFS(R1704&gt;10,"Excelente",R1704&gt;=5,"Bueno",R1704&gt;=2,"Débil",R1704&lt;2,"Deficiente")</f>
        <v>Débil</v>
      </c>
      <c r="Z1704" t="str">
        <f>IF(AND(R1704&lt;2,Q1704&gt;=100),"Revisar","OK")</f>
        <v>OK</v>
      </c>
      <c r="AA1704" s="55">
        <f>_xlfn.XLOOKUP(C1704,'Preguntas de negocio'!$C$114:$C$119,'Preguntas de negocio'!$D$114:$D$119,0)</f>
        <v>4</v>
      </c>
      <c r="AB1704" s="55">
        <f>VLOOKUP(C1704,'Preguntas de negocio'!$C$121:$D$127,2,FALSE)</f>
        <v>0.95</v>
      </c>
    </row>
    <row r="1705" spans="1:28" x14ac:dyDescent="0.3">
      <c r="A1705" s="1">
        <v>45779</v>
      </c>
      <c r="B1705" s="2" t="s">
        <v>2627</v>
      </c>
      <c r="C1705" s="2" t="s">
        <v>2515</v>
      </c>
      <c r="D1705" s="2" t="s">
        <v>2516</v>
      </c>
      <c r="E1705" s="2" t="s">
        <v>2529</v>
      </c>
      <c r="F1705" s="3">
        <v>89511</v>
      </c>
      <c r="G1705" s="3">
        <v>1980</v>
      </c>
      <c r="H1705" s="3">
        <v>74</v>
      </c>
      <c r="I1705" s="4">
        <v>2050.7199999999998</v>
      </c>
      <c r="J1705" s="4">
        <v>7692.95</v>
      </c>
      <c r="K1705" s="3">
        <v>64</v>
      </c>
      <c r="L1705" s="2" t="s">
        <v>2523</v>
      </c>
      <c r="M1705" s="2" t="s">
        <v>2524</v>
      </c>
      <c r="N1705" s="8">
        <f>IFERROR(G1705/F1705,0)</f>
        <v>2.2120186345812247E-2</v>
      </c>
      <c r="O1705" s="8">
        <f>IFERROR(H1705/G1705,0)</f>
        <v>3.7373737373737372E-2</v>
      </c>
      <c r="P1705" s="4">
        <f>IFERROR(I1705/G1705,0)</f>
        <v>1.0357171717171716</v>
      </c>
      <c r="Q1705" s="4">
        <f>IFERROR(I1705/H1705,0)</f>
        <v>27.712432432432429</v>
      </c>
      <c r="R1705" s="12">
        <f>IFERROR(J1705/I1705,0)</f>
        <v>3.7513409924319268</v>
      </c>
      <c r="S1705" s="7">
        <f>Tabla_nuevas_columnas[[#This Row],[ROAS]]</f>
        <v>3.7513409924319268</v>
      </c>
      <c r="T1705" t="str">
        <f>_xlfn.CONCAT(C1705,"-",D1705)</f>
        <v>Email-México</v>
      </c>
      <c r="U1705">
        <f>YEAR(A1705)</f>
        <v>2025</v>
      </c>
      <c r="V1705">
        <f>MONTH(A1705)</f>
        <v>5</v>
      </c>
      <c r="W1705" t="str">
        <f>PROPER(TEXT(A1705,"mmmm"))</f>
        <v>Mayo</v>
      </c>
      <c r="X1705" t="str">
        <f>PROPER(TEXT(A1705,"dddd"))</f>
        <v>Viernes</v>
      </c>
      <c r="Y1705" t="str" cm="1">
        <f t="array" ref="Y1705">_xlfn.IFS(R1705&gt;10,"Excelente",R1705&gt;=5,"Bueno",R1705&gt;=2,"Débil",R1705&lt;2,"Deficiente")</f>
        <v>Débil</v>
      </c>
      <c r="Z1705" t="str">
        <f>IF(AND(R1705&lt;2,Q1705&gt;=100),"Revisar","OK")</f>
        <v>OK</v>
      </c>
      <c r="AA1705" s="55">
        <f>_xlfn.XLOOKUP(C1705,'Preguntas de negocio'!$C$114:$C$119,'Preguntas de negocio'!$D$114:$D$119,0)</f>
        <v>5.5</v>
      </c>
      <c r="AB1705" s="55">
        <f>VLOOKUP(C1705,'Preguntas de negocio'!$C$121:$D$127,2,FALSE)</f>
        <v>0.65</v>
      </c>
    </row>
    <row r="1706" spans="1:28" x14ac:dyDescent="0.3">
      <c r="A1706" s="1">
        <v>46018</v>
      </c>
      <c r="B1706" s="2" t="s">
        <v>2639</v>
      </c>
      <c r="C1706" s="2" t="s">
        <v>2533</v>
      </c>
      <c r="D1706" s="2" t="s">
        <v>2531</v>
      </c>
      <c r="E1706" s="2" t="s">
        <v>2529</v>
      </c>
      <c r="F1706" s="3">
        <v>20489</v>
      </c>
      <c r="G1706" s="3">
        <v>511</v>
      </c>
      <c r="H1706" s="3">
        <v>20</v>
      </c>
      <c r="I1706" s="4">
        <v>601.01</v>
      </c>
      <c r="J1706" s="4">
        <v>1475.16</v>
      </c>
      <c r="K1706" s="3">
        <v>16</v>
      </c>
      <c r="L1706" s="2" t="s">
        <v>2536</v>
      </c>
      <c r="M1706" s="2" t="s">
        <v>2524</v>
      </c>
      <c r="N1706" s="8">
        <f>IFERROR(G1706/F1706,0)</f>
        <v>2.494021182097711E-2</v>
      </c>
      <c r="O1706" s="8">
        <f>IFERROR(H1706/G1706,0)</f>
        <v>3.9138943248532287E-2</v>
      </c>
      <c r="P1706" s="4">
        <f>IFERROR(I1706/G1706,0)</f>
        <v>1.1761448140900195</v>
      </c>
      <c r="Q1706" s="4">
        <f>IFERROR(I1706/H1706,0)</f>
        <v>30.0505</v>
      </c>
      <c r="R1706" s="12">
        <f>IFERROR(J1706/I1706,0)</f>
        <v>2.4544683116753467</v>
      </c>
      <c r="S1706" s="7">
        <f>Tabla_nuevas_columnas[[#This Row],[ROAS]]</f>
        <v>2.4544683116753467</v>
      </c>
      <c r="T1706" t="str">
        <f>_xlfn.CONCAT(C1706,"-",D1706)</f>
        <v>Paid Social-Portugal</v>
      </c>
      <c r="U1706">
        <f>YEAR(A1706)</f>
        <v>2025</v>
      </c>
      <c r="V1706">
        <f>MONTH(A1706)</f>
        <v>12</v>
      </c>
      <c r="W1706" t="str">
        <f>PROPER(TEXT(A1706,"mmmm"))</f>
        <v>Diciembre</v>
      </c>
      <c r="X1706" t="str">
        <f>PROPER(TEXT(A1706,"dddd"))</f>
        <v>Sábado</v>
      </c>
      <c r="Y1706" t="str" cm="1">
        <f t="array" ref="Y1706">_xlfn.IFS(R1706&gt;10,"Excelente",R1706&gt;=5,"Bueno",R1706&gt;=2,"Débil",R1706&lt;2,"Deficiente")</f>
        <v>Débil</v>
      </c>
      <c r="Z1706" t="str">
        <f>IF(AND(R1706&lt;2,Q1706&gt;=100),"Revisar","OK")</f>
        <v>OK</v>
      </c>
      <c r="AA1706" s="55">
        <f>_xlfn.XLOOKUP(C1706,'Preguntas de negocio'!$C$114:$C$119,'Preguntas de negocio'!$D$114:$D$119,0)</f>
        <v>6</v>
      </c>
      <c r="AB1706" s="55">
        <f>VLOOKUP(C1706,'Preguntas de negocio'!$C$121:$D$127,2,FALSE)</f>
        <v>0.8</v>
      </c>
    </row>
    <row r="1707" spans="1:28" x14ac:dyDescent="0.3">
      <c r="A1707" s="1">
        <v>45739</v>
      </c>
      <c r="B1707" s="2" t="s">
        <v>2644</v>
      </c>
      <c r="C1707" s="2" t="s">
        <v>2533</v>
      </c>
      <c r="D1707" s="2" t="s">
        <v>2528</v>
      </c>
      <c r="E1707" s="2" t="s">
        <v>2529</v>
      </c>
      <c r="F1707" s="3">
        <v>79949</v>
      </c>
      <c r="G1707" s="3">
        <v>80141</v>
      </c>
      <c r="H1707" s="3">
        <v>146</v>
      </c>
      <c r="I1707" s="4">
        <v>5485.13</v>
      </c>
      <c r="J1707" s="4">
        <v>19925.189999999999</v>
      </c>
      <c r="K1707" s="3">
        <v>127</v>
      </c>
      <c r="L1707" s="2" t="s">
        <v>2539</v>
      </c>
      <c r="M1707" s="2" t="s">
        <v>2519</v>
      </c>
      <c r="N1707" s="8">
        <f>IFERROR(G1707/F1707,0)</f>
        <v>1.0024015309759973</v>
      </c>
      <c r="O1707" s="8">
        <f>IFERROR(H1707/G1707,0)</f>
        <v>1.8217890967170362E-3</v>
      </c>
      <c r="P1707" s="4">
        <f>IFERROR(I1707/G1707,0)</f>
        <v>6.8443493342982997E-2</v>
      </c>
      <c r="Q1707" s="4">
        <f>IFERROR(I1707/H1707,0)</f>
        <v>37.569383561643839</v>
      </c>
      <c r="R1707" s="12">
        <f>IFERROR(J1707/I1707,0)</f>
        <v>3.6325830016790848</v>
      </c>
      <c r="S1707" s="7">
        <f>Tabla_nuevas_columnas[[#This Row],[ROAS]]</f>
        <v>3.6325830016790848</v>
      </c>
      <c r="T1707" t="str">
        <f>_xlfn.CONCAT(C1707,"-",D1707)</f>
        <v>Paid Social-España</v>
      </c>
      <c r="U1707">
        <f>YEAR(A1707)</f>
        <v>2025</v>
      </c>
      <c r="V1707">
        <f>MONTH(A1707)</f>
        <v>3</v>
      </c>
      <c r="W1707" t="str">
        <f>PROPER(TEXT(A1707,"mmmm"))</f>
        <v>Marzo</v>
      </c>
      <c r="X1707" t="str">
        <f>PROPER(TEXT(A1707,"dddd"))</f>
        <v>Domingo</v>
      </c>
      <c r="Y1707" t="str" cm="1">
        <f t="array" ref="Y1707">_xlfn.IFS(R1707&gt;10,"Excelente",R1707&gt;=5,"Bueno",R1707&gt;=2,"Débil",R1707&lt;2,"Deficiente")</f>
        <v>Débil</v>
      </c>
      <c r="Z1707" t="str">
        <f>IF(AND(R1707&lt;2,Q1707&gt;=100),"Revisar","OK")</f>
        <v>OK</v>
      </c>
      <c r="AA1707" s="55">
        <f>_xlfn.XLOOKUP(C1707,'Preguntas de negocio'!$C$114:$C$119,'Preguntas de negocio'!$D$114:$D$119,0)</f>
        <v>6</v>
      </c>
      <c r="AB1707" s="55">
        <f>VLOOKUP(C1707,'Preguntas de negocio'!$C$121:$D$127,2,FALSE)</f>
        <v>0.8</v>
      </c>
    </row>
    <row r="1708" spans="1:28" x14ac:dyDescent="0.3">
      <c r="A1708" s="1">
        <v>45733</v>
      </c>
      <c r="B1708" s="2" t="s">
        <v>2621</v>
      </c>
      <c r="C1708" s="2" t="s">
        <v>2541</v>
      </c>
      <c r="D1708" s="2" t="s">
        <v>2525</v>
      </c>
      <c r="E1708" s="2" t="s">
        <v>2529</v>
      </c>
      <c r="F1708" s="3">
        <v>85085</v>
      </c>
      <c r="G1708" s="3">
        <v>6266</v>
      </c>
      <c r="H1708" s="3">
        <v>700</v>
      </c>
      <c r="I1708" s="4">
        <v>5126.92</v>
      </c>
      <c r="J1708" s="4">
        <v>17932.77</v>
      </c>
      <c r="K1708" s="3">
        <v>548</v>
      </c>
      <c r="L1708" s="2" t="s">
        <v>2518</v>
      </c>
      <c r="M1708" s="2" t="s">
        <v>2519</v>
      </c>
      <c r="N1708" s="8">
        <f>IFERROR(G1708/F1708,0)</f>
        <v>7.3644003055767765E-2</v>
      </c>
      <c r="O1708" s="8">
        <f>IFERROR(H1708/G1708,0)</f>
        <v>0.11171401212894989</v>
      </c>
      <c r="P1708" s="4">
        <f>IFERROR(I1708/G1708,0)</f>
        <v>0.81821257580593676</v>
      </c>
      <c r="Q1708" s="4">
        <f>IFERROR(I1708/H1708,0)</f>
        <v>7.3241714285714288</v>
      </c>
      <c r="R1708" s="12">
        <f>IFERROR(J1708/I1708,0)</f>
        <v>3.4977666903325972</v>
      </c>
      <c r="S1708" s="7">
        <f>Tabla_nuevas_columnas[[#This Row],[ROAS]]</f>
        <v>3.4977666903325972</v>
      </c>
      <c r="T1708" t="str">
        <f>_xlfn.CONCAT(C1708,"-",D1708)</f>
        <v>Display-Francia</v>
      </c>
      <c r="U1708">
        <f>YEAR(A1708)</f>
        <v>2025</v>
      </c>
      <c r="V1708">
        <f>MONTH(A1708)</f>
        <v>3</v>
      </c>
      <c r="W1708" t="str">
        <f>PROPER(TEXT(A1708,"mmmm"))</f>
        <v>Marzo</v>
      </c>
      <c r="X1708" t="str">
        <f>PROPER(TEXT(A1708,"dddd"))</f>
        <v>Lunes</v>
      </c>
      <c r="Y1708" t="str" cm="1">
        <f t="array" ref="Y1708">_xlfn.IFS(R1708&gt;10,"Excelente",R1708&gt;=5,"Bueno",R1708&gt;=2,"Débil",R1708&lt;2,"Deficiente")</f>
        <v>Débil</v>
      </c>
      <c r="Z1708" t="str">
        <f>IF(AND(R1708&lt;2,Q1708&gt;=100),"Revisar","OK")</f>
        <v>OK</v>
      </c>
      <c r="AA1708" s="55">
        <f>_xlfn.XLOOKUP(C1708,'Preguntas de negocio'!$C$114:$C$119,'Preguntas de negocio'!$D$114:$D$119,0)</f>
        <v>5</v>
      </c>
      <c r="AB1708" s="55">
        <f>VLOOKUP(C1708,'Preguntas de negocio'!$C$121:$D$127,2,FALSE)</f>
        <v>0.5</v>
      </c>
    </row>
    <row r="1709" spans="1:28" x14ac:dyDescent="0.3">
      <c r="A1709" s="1">
        <v>45659</v>
      </c>
      <c r="B1709" s="2" t="s">
        <v>2644</v>
      </c>
      <c r="C1709" s="2" t="s">
        <v>2515</v>
      </c>
      <c r="D1709" s="2" t="s">
        <v>2528</v>
      </c>
      <c r="E1709" s="2" t="s">
        <v>2517</v>
      </c>
      <c r="F1709" s="3">
        <v>63958</v>
      </c>
      <c r="G1709" s="3">
        <v>1582</v>
      </c>
      <c r="H1709" s="3">
        <v>214</v>
      </c>
      <c r="I1709" s="4">
        <v>1336.7</v>
      </c>
      <c r="J1709" s="4">
        <v>20203.12</v>
      </c>
      <c r="K1709" s="3">
        <v>100</v>
      </c>
      <c r="L1709" s="2" t="s">
        <v>2539</v>
      </c>
      <c r="M1709" s="2" t="s">
        <v>2524</v>
      </c>
      <c r="N1709" s="8">
        <f>IFERROR(G1709/F1709,0)</f>
        <v>2.4734982332155476E-2</v>
      </c>
      <c r="O1709" s="8">
        <f>IFERROR(H1709/G1709,0)</f>
        <v>0.13527180783817952</v>
      </c>
      <c r="P1709" s="4">
        <f>IFERROR(I1709/G1709,0)</f>
        <v>0.84494310998735778</v>
      </c>
      <c r="Q1709" s="4">
        <f>IFERROR(I1709/H1709,0)</f>
        <v>6.2462616822429906</v>
      </c>
      <c r="R1709" s="12">
        <f>IFERROR(J1709/I1709,0)</f>
        <v>15.114176703822846</v>
      </c>
      <c r="S1709" s="7">
        <f>Tabla_nuevas_columnas[[#This Row],[ROAS]]</f>
        <v>15.114176703822846</v>
      </c>
      <c r="T1709" t="str">
        <f>_xlfn.CONCAT(C1709,"-",D1709)</f>
        <v>Email-España</v>
      </c>
      <c r="U1709">
        <f>YEAR(A1709)</f>
        <v>2025</v>
      </c>
      <c r="V1709">
        <f>MONTH(A1709)</f>
        <v>1</v>
      </c>
      <c r="W1709" t="str">
        <f>PROPER(TEXT(A1709,"mmmm"))</f>
        <v>Enero</v>
      </c>
      <c r="X1709" t="str">
        <f>PROPER(TEXT(A1709,"dddd"))</f>
        <v>Jueves</v>
      </c>
      <c r="Y1709" t="str" cm="1">
        <f t="array" ref="Y1709">_xlfn.IFS(R1709&gt;10,"Excelente",R1709&gt;=5,"Bueno",R1709&gt;=2,"Débil",R1709&lt;2,"Deficiente")</f>
        <v>Excelente</v>
      </c>
      <c r="Z1709" t="str">
        <f>IF(AND(R1709&lt;2,Q1709&gt;=100),"Revisar","OK")</f>
        <v>OK</v>
      </c>
      <c r="AA1709" s="55">
        <f>_xlfn.XLOOKUP(C1709,'Preguntas de negocio'!$C$114:$C$119,'Preguntas de negocio'!$D$114:$D$119,0)</f>
        <v>5.5</v>
      </c>
      <c r="AB1709" s="55">
        <f>VLOOKUP(C1709,'Preguntas de negocio'!$C$121:$D$127,2,FALSE)</f>
        <v>0.65</v>
      </c>
    </row>
    <row r="1710" spans="1:28" x14ac:dyDescent="0.3">
      <c r="A1710" s="1">
        <v>45916</v>
      </c>
      <c r="B1710" s="2" t="s">
        <v>2633</v>
      </c>
      <c r="C1710" s="2" t="s">
        <v>2541</v>
      </c>
      <c r="D1710" s="2" t="s">
        <v>2531</v>
      </c>
      <c r="E1710" s="2" t="s">
        <v>2529</v>
      </c>
      <c r="F1710" s="3">
        <v>161238</v>
      </c>
      <c r="G1710" s="3">
        <v>161852</v>
      </c>
      <c r="H1710" s="3">
        <v>256</v>
      </c>
      <c r="I1710" s="4">
        <v>5213.91</v>
      </c>
      <c r="J1710" s="4">
        <v>24852.43</v>
      </c>
      <c r="K1710" s="3">
        <v>227</v>
      </c>
      <c r="L1710" s="2" t="s">
        <v>2539</v>
      </c>
      <c r="M1710" s="2" t="s">
        <v>2524</v>
      </c>
      <c r="N1710" s="8">
        <f>IFERROR(G1710/F1710,0)</f>
        <v>1.0038080353266601</v>
      </c>
      <c r="O1710" s="8">
        <f>IFERROR(H1710/G1710,0)</f>
        <v>1.5816919160714727E-3</v>
      </c>
      <c r="P1710" s="4">
        <f>IFERROR(I1710/G1710,0)</f>
        <v>3.2214059758297706E-2</v>
      </c>
      <c r="Q1710" s="4">
        <f>IFERROR(I1710/H1710,0)</f>
        <v>20.366835937499999</v>
      </c>
      <c r="R1710" s="12">
        <f>IFERROR(J1710/I1710,0)</f>
        <v>4.7665629057655385</v>
      </c>
      <c r="S1710" s="7">
        <f>Tabla_nuevas_columnas[[#This Row],[ROAS]]</f>
        <v>4.7665629057655385</v>
      </c>
      <c r="T1710" t="str">
        <f>_xlfn.CONCAT(C1710,"-",D1710)</f>
        <v>Display-Portugal</v>
      </c>
      <c r="U1710">
        <f>YEAR(A1710)</f>
        <v>2025</v>
      </c>
      <c r="V1710">
        <f>MONTH(A1710)</f>
        <v>9</v>
      </c>
      <c r="W1710" t="str">
        <f>PROPER(TEXT(A1710,"mmmm"))</f>
        <v>Septiembre</v>
      </c>
      <c r="X1710" t="str">
        <f>PROPER(TEXT(A1710,"dddd"))</f>
        <v>Martes</v>
      </c>
      <c r="Y1710" t="str" cm="1">
        <f t="array" ref="Y1710">_xlfn.IFS(R1710&gt;10,"Excelente",R1710&gt;=5,"Bueno",R1710&gt;=2,"Débil",R1710&lt;2,"Deficiente")</f>
        <v>Débil</v>
      </c>
      <c r="Z1710" t="str">
        <f>IF(AND(R1710&lt;2,Q1710&gt;=100),"Revisar","OK")</f>
        <v>OK</v>
      </c>
      <c r="AA1710" s="55">
        <f>_xlfn.XLOOKUP(C1710,'Preguntas de negocio'!$C$114:$C$119,'Preguntas de negocio'!$D$114:$D$119,0)</f>
        <v>5</v>
      </c>
      <c r="AB1710" s="55">
        <f>VLOOKUP(C1710,'Preguntas de negocio'!$C$121:$D$127,2,FALSE)</f>
        <v>0.5</v>
      </c>
    </row>
    <row r="1711" spans="1:28" x14ac:dyDescent="0.3">
      <c r="A1711" s="1">
        <v>46006</v>
      </c>
      <c r="B1711" s="2" t="s">
        <v>2636</v>
      </c>
      <c r="C1711" s="2" t="s">
        <v>2515</v>
      </c>
      <c r="D1711" s="2" t="s">
        <v>2525</v>
      </c>
      <c r="E1711" s="2" t="s">
        <v>2529</v>
      </c>
      <c r="F1711" s="3">
        <v>111304</v>
      </c>
      <c r="G1711" s="3">
        <v>8163</v>
      </c>
      <c r="H1711" s="3">
        <v>715</v>
      </c>
      <c r="I1711" s="4">
        <v>13104.11</v>
      </c>
      <c r="J1711" s="4">
        <v>37182.57</v>
      </c>
      <c r="K1711" s="3">
        <v>598</v>
      </c>
      <c r="L1711" s="2" t="s">
        <v>2539</v>
      </c>
      <c r="M1711" s="2" t="s">
        <v>2524</v>
      </c>
      <c r="N1711" s="8">
        <f>IFERROR(G1711/F1711,0)</f>
        <v>7.3339682311507226E-2</v>
      </c>
      <c r="O1711" s="8">
        <f>IFERROR(H1711/G1711,0)</f>
        <v>8.7590346686267306E-2</v>
      </c>
      <c r="P1711" s="4">
        <f>IFERROR(I1711/G1711,0)</f>
        <v>1.6053056474335416</v>
      </c>
      <c r="Q1711" s="4">
        <f>IFERROR(I1711/H1711,0)</f>
        <v>18.327426573426575</v>
      </c>
      <c r="R1711" s="12">
        <f>IFERROR(J1711/I1711,0)</f>
        <v>2.8374738917789912</v>
      </c>
      <c r="S1711" s="7">
        <f>Tabla_nuevas_columnas[[#This Row],[ROAS]]</f>
        <v>2.8374738917789912</v>
      </c>
      <c r="T1711" t="str">
        <f>_xlfn.CONCAT(C1711,"-",D1711)</f>
        <v>Email-Francia</v>
      </c>
      <c r="U1711">
        <f>YEAR(A1711)</f>
        <v>2025</v>
      </c>
      <c r="V1711">
        <f>MONTH(A1711)</f>
        <v>12</v>
      </c>
      <c r="W1711" t="str">
        <f>PROPER(TEXT(A1711,"mmmm"))</f>
        <v>Diciembre</v>
      </c>
      <c r="X1711" t="str">
        <f>PROPER(TEXT(A1711,"dddd"))</f>
        <v>Lunes</v>
      </c>
      <c r="Y1711" t="str" cm="1">
        <f t="array" ref="Y1711">_xlfn.IFS(R1711&gt;10,"Excelente",R1711&gt;=5,"Bueno",R1711&gt;=2,"Débil",R1711&lt;2,"Deficiente")</f>
        <v>Débil</v>
      </c>
      <c r="Z1711" t="str">
        <f>IF(AND(R1711&lt;2,Q1711&gt;=100),"Revisar","OK")</f>
        <v>OK</v>
      </c>
      <c r="AA1711" s="55">
        <f>_xlfn.XLOOKUP(C1711,'Preguntas de negocio'!$C$114:$C$119,'Preguntas de negocio'!$D$114:$D$119,0)</f>
        <v>5.5</v>
      </c>
      <c r="AB1711" s="55">
        <f>VLOOKUP(C1711,'Preguntas de negocio'!$C$121:$D$127,2,FALSE)</f>
        <v>0.65</v>
      </c>
    </row>
    <row r="1712" spans="1:28" x14ac:dyDescent="0.3">
      <c r="A1712" s="1">
        <v>45723</v>
      </c>
      <c r="B1712" s="2" t="s">
        <v>2636</v>
      </c>
      <c r="C1712" s="2" t="s">
        <v>2543</v>
      </c>
      <c r="D1712" s="2" t="s">
        <v>2528</v>
      </c>
      <c r="E1712" s="2" t="s">
        <v>2517</v>
      </c>
      <c r="F1712" s="3">
        <v>71000</v>
      </c>
      <c r="G1712" s="3">
        <v>6041</v>
      </c>
      <c r="H1712" s="3">
        <v>595</v>
      </c>
      <c r="I1712" s="4">
        <v>10482.06</v>
      </c>
      <c r="J1712" s="4">
        <v>21993.18</v>
      </c>
      <c r="K1712" s="3">
        <v>295</v>
      </c>
      <c r="L1712" s="2" t="s">
        <v>2539</v>
      </c>
      <c r="M1712" s="2" t="s">
        <v>2537</v>
      </c>
      <c r="N1712" s="8">
        <f>IFERROR(G1712/F1712,0)</f>
        <v>8.5084507042253524E-2</v>
      </c>
      <c r="O1712" s="8">
        <f>IFERROR(H1712/G1712,0)</f>
        <v>9.8493626882966395E-2</v>
      </c>
      <c r="P1712" s="4">
        <f>IFERROR(I1712/G1712,0)</f>
        <v>1.7351531203443138</v>
      </c>
      <c r="Q1712" s="4">
        <f>IFERROR(I1712/H1712,0)</f>
        <v>17.616907563025208</v>
      </c>
      <c r="R1712" s="12">
        <f>IFERROR(J1712/I1712,0)</f>
        <v>2.0981734506385195</v>
      </c>
      <c r="S1712" s="7">
        <f>Tabla_nuevas_columnas[[#This Row],[ROAS]]</f>
        <v>2.0981734506385195</v>
      </c>
      <c r="T1712" t="str">
        <f>_xlfn.CONCAT(C1712,"-",D1712)</f>
        <v>Organic Social-España</v>
      </c>
      <c r="U1712">
        <f>YEAR(A1712)</f>
        <v>2025</v>
      </c>
      <c r="V1712">
        <f>MONTH(A1712)</f>
        <v>3</v>
      </c>
      <c r="W1712" t="str">
        <f>PROPER(TEXT(A1712,"mmmm"))</f>
        <v>Marzo</v>
      </c>
      <c r="X1712" t="str">
        <f>PROPER(TEXT(A1712,"dddd"))</f>
        <v>Viernes</v>
      </c>
      <c r="Y1712" t="str" cm="1">
        <f t="array" ref="Y1712">_xlfn.IFS(R1712&gt;10,"Excelente",R1712&gt;=5,"Bueno",R1712&gt;=2,"Débil",R1712&lt;2,"Deficiente")</f>
        <v>Débil</v>
      </c>
      <c r="Z1712" t="str">
        <f>IF(AND(R1712&lt;2,Q1712&gt;=100),"Revisar","OK")</f>
        <v>OK</v>
      </c>
      <c r="AA1712" s="55">
        <f>_xlfn.XLOOKUP(C1712,'Preguntas de negocio'!$C$114:$C$119,'Preguntas de negocio'!$D$114:$D$119,0)</f>
        <v>4</v>
      </c>
      <c r="AB1712" s="55">
        <f>VLOOKUP(C1712,'Preguntas de negocio'!$C$121:$D$127,2,FALSE)</f>
        <v>0.95</v>
      </c>
    </row>
    <row r="1713" spans="1:28" x14ac:dyDescent="0.3">
      <c r="A1713" s="1">
        <v>45726</v>
      </c>
      <c r="B1713" s="2" t="s">
        <v>2633</v>
      </c>
      <c r="C1713" s="2" t="s">
        <v>2515</v>
      </c>
      <c r="D1713" s="2" t="s">
        <v>2522</v>
      </c>
      <c r="E1713" s="2" t="s">
        <v>2529</v>
      </c>
      <c r="F1713" s="3">
        <v>158940</v>
      </c>
      <c r="G1713" s="3">
        <v>3126</v>
      </c>
      <c r="H1713" s="3">
        <v>232</v>
      </c>
      <c r="I1713" s="4">
        <v>2547.5500000000002</v>
      </c>
      <c r="J1713" s="4">
        <v>14925.51</v>
      </c>
      <c r="K1713" s="3">
        <v>178</v>
      </c>
      <c r="L1713" s="2" t="s">
        <v>2536</v>
      </c>
      <c r="M1713" s="2" t="s">
        <v>2524</v>
      </c>
      <c r="N1713" s="8">
        <f>IFERROR(G1713/F1713,0)</f>
        <v>1.9667799169497922E-2</v>
      </c>
      <c r="O1713" s="8">
        <f>IFERROR(H1713/G1713,0)</f>
        <v>7.4216250799744088E-2</v>
      </c>
      <c r="P1713" s="4">
        <f>IFERROR(I1713/G1713,0)</f>
        <v>0.81495521433141405</v>
      </c>
      <c r="Q1713" s="4">
        <f>IFERROR(I1713/H1713,0)</f>
        <v>10.980818965517242</v>
      </c>
      <c r="R1713" s="12">
        <f>IFERROR(J1713/I1713,0)</f>
        <v>5.8587701909677925</v>
      </c>
      <c r="S1713" s="7">
        <f>Tabla_nuevas_columnas[[#This Row],[ROAS]]</f>
        <v>5.8587701909677925</v>
      </c>
      <c r="T1713" t="str">
        <f>_xlfn.CONCAT(C1713,"-",D1713)</f>
        <v>Email-Italia</v>
      </c>
      <c r="U1713">
        <f>YEAR(A1713)</f>
        <v>2025</v>
      </c>
      <c r="V1713">
        <f>MONTH(A1713)</f>
        <v>3</v>
      </c>
      <c r="W1713" t="str">
        <f>PROPER(TEXT(A1713,"mmmm"))</f>
        <v>Marzo</v>
      </c>
      <c r="X1713" t="str">
        <f>PROPER(TEXT(A1713,"dddd"))</f>
        <v>Lunes</v>
      </c>
      <c r="Y1713" t="str" cm="1">
        <f t="array" ref="Y1713">_xlfn.IFS(R1713&gt;10,"Excelente",R1713&gt;=5,"Bueno",R1713&gt;=2,"Débil",R1713&lt;2,"Deficiente")</f>
        <v>Bueno</v>
      </c>
      <c r="Z1713" t="str">
        <f>IF(AND(R1713&lt;2,Q1713&gt;=100),"Revisar","OK")</f>
        <v>OK</v>
      </c>
      <c r="AA1713" s="55">
        <f>_xlfn.XLOOKUP(C1713,'Preguntas de negocio'!$C$114:$C$119,'Preguntas de negocio'!$D$114:$D$119,0)</f>
        <v>5.5</v>
      </c>
      <c r="AB1713" s="55">
        <f>VLOOKUP(C1713,'Preguntas de negocio'!$C$121:$D$127,2,FALSE)</f>
        <v>0.65</v>
      </c>
    </row>
    <row r="1714" spans="1:28" x14ac:dyDescent="0.3">
      <c r="A1714" s="1">
        <v>45910</v>
      </c>
      <c r="B1714" s="2" t="s">
        <v>2616</v>
      </c>
      <c r="C1714" s="2" t="s">
        <v>2543</v>
      </c>
      <c r="D1714" s="2" t="s">
        <v>2528</v>
      </c>
      <c r="E1714" s="2" t="s">
        <v>2517</v>
      </c>
      <c r="F1714" s="3">
        <v>134119</v>
      </c>
      <c r="G1714" s="3">
        <v>1770</v>
      </c>
      <c r="H1714" s="3">
        <v>205</v>
      </c>
      <c r="I1714" s="4">
        <v>3370.63</v>
      </c>
      <c r="J1714" s="4">
        <v>8382.23</v>
      </c>
      <c r="K1714" s="3">
        <v>120</v>
      </c>
      <c r="L1714" s="2" t="s">
        <v>2536</v>
      </c>
      <c r="M1714" s="2" t="s">
        <v>2526</v>
      </c>
      <c r="N1714" s="8">
        <f>IFERROR(G1714/F1714,0)</f>
        <v>1.3197235291047502E-2</v>
      </c>
      <c r="O1714" s="8">
        <f>IFERROR(H1714/G1714,0)</f>
        <v>0.11581920903954802</v>
      </c>
      <c r="P1714" s="4">
        <f>IFERROR(I1714/G1714,0)</f>
        <v>1.9043107344632768</v>
      </c>
      <c r="Q1714" s="4">
        <f>IFERROR(I1714/H1714,0)</f>
        <v>16.442097560975611</v>
      </c>
      <c r="R1714" s="12">
        <f>IFERROR(J1714/I1714,0)</f>
        <v>2.4868437057760713</v>
      </c>
      <c r="S1714" s="7">
        <f>Tabla_nuevas_columnas[[#This Row],[ROAS]]</f>
        <v>2.4868437057760713</v>
      </c>
      <c r="T1714" t="str">
        <f>_xlfn.CONCAT(C1714,"-",D1714)</f>
        <v>Organic Social-España</v>
      </c>
      <c r="U1714">
        <f>YEAR(A1714)</f>
        <v>2025</v>
      </c>
      <c r="V1714">
        <f>MONTH(A1714)</f>
        <v>9</v>
      </c>
      <c r="W1714" t="str">
        <f>PROPER(TEXT(A1714,"mmmm"))</f>
        <v>Septiembre</v>
      </c>
      <c r="X1714" t="str">
        <f>PROPER(TEXT(A1714,"dddd"))</f>
        <v>Miércoles</v>
      </c>
      <c r="Y1714" t="str" cm="1">
        <f t="array" ref="Y1714">_xlfn.IFS(R1714&gt;10,"Excelente",R1714&gt;=5,"Bueno",R1714&gt;=2,"Débil",R1714&lt;2,"Deficiente")</f>
        <v>Débil</v>
      </c>
      <c r="Z1714" t="str">
        <f>IF(AND(R1714&lt;2,Q1714&gt;=100),"Revisar","OK")</f>
        <v>OK</v>
      </c>
      <c r="AA1714" s="55">
        <f>_xlfn.XLOOKUP(C1714,'Preguntas de negocio'!$C$114:$C$119,'Preguntas de negocio'!$D$114:$D$119,0)</f>
        <v>4</v>
      </c>
      <c r="AB1714" s="55">
        <f>VLOOKUP(C1714,'Preguntas de negocio'!$C$121:$D$127,2,FALSE)</f>
        <v>0.95</v>
      </c>
    </row>
    <row r="1715" spans="1:28" x14ac:dyDescent="0.3">
      <c r="A1715" s="1">
        <v>45754</v>
      </c>
      <c r="B1715" s="2" t="s">
        <v>2634</v>
      </c>
      <c r="C1715" s="2" t="s">
        <v>2533</v>
      </c>
      <c r="D1715" s="2" t="s">
        <v>2528</v>
      </c>
      <c r="E1715" s="2" t="s">
        <v>2529</v>
      </c>
      <c r="F1715" s="3">
        <v>13902</v>
      </c>
      <c r="G1715" s="3">
        <v>888</v>
      </c>
      <c r="H1715" s="3">
        <v>60</v>
      </c>
      <c r="I1715" s="4">
        <v>1196.96</v>
      </c>
      <c r="J1715" s="4">
        <v>7104.14</v>
      </c>
      <c r="K1715" s="3">
        <v>40</v>
      </c>
      <c r="L1715" s="2" t="s">
        <v>2518</v>
      </c>
      <c r="M1715" s="2" t="s">
        <v>2524</v>
      </c>
      <c r="N1715" s="8">
        <f>IFERROR(G1715/F1715,0)</f>
        <v>6.3875701337936991E-2</v>
      </c>
      <c r="O1715" s="8">
        <f>IFERROR(H1715/G1715,0)</f>
        <v>6.7567567567567571E-2</v>
      </c>
      <c r="P1715" s="4">
        <f>IFERROR(I1715/G1715,0)</f>
        <v>1.3479279279279279</v>
      </c>
      <c r="Q1715" s="4">
        <f>IFERROR(I1715/H1715,0)</f>
        <v>19.949333333333335</v>
      </c>
      <c r="R1715" s="12">
        <f>IFERROR(J1715/I1715,0)</f>
        <v>5.9351523860446465</v>
      </c>
      <c r="S1715" s="7">
        <f>Tabla_nuevas_columnas[[#This Row],[ROAS]]</f>
        <v>5.9351523860446465</v>
      </c>
      <c r="T1715" t="str">
        <f>_xlfn.CONCAT(C1715,"-",D1715)</f>
        <v>Paid Social-España</v>
      </c>
      <c r="U1715">
        <f>YEAR(A1715)</f>
        <v>2025</v>
      </c>
      <c r="V1715">
        <f>MONTH(A1715)</f>
        <v>4</v>
      </c>
      <c r="W1715" t="str">
        <f>PROPER(TEXT(A1715,"mmmm"))</f>
        <v>Abril</v>
      </c>
      <c r="X1715" t="str">
        <f>PROPER(TEXT(A1715,"dddd"))</f>
        <v>Lunes</v>
      </c>
      <c r="Y1715" t="str" cm="1">
        <f t="array" ref="Y1715">_xlfn.IFS(R1715&gt;10,"Excelente",R1715&gt;=5,"Bueno",R1715&gt;=2,"Débil",R1715&lt;2,"Deficiente")</f>
        <v>Bueno</v>
      </c>
      <c r="Z1715" t="str">
        <f>IF(AND(R1715&lt;2,Q1715&gt;=100),"Revisar","OK")</f>
        <v>OK</v>
      </c>
      <c r="AA1715" s="55">
        <f>_xlfn.XLOOKUP(C1715,'Preguntas de negocio'!$C$114:$C$119,'Preguntas de negocio'!$D$114:$D$119,0)</f>
        <v>6</v>
      </c>
      <c r="AB1715" s="55">
        <f>VLOOKUP(C1715,'Preguntas de negocio'!$C$121:$D$127,2,FALSE)</f>
        <v>0.8</v>
      </c>
    </row>
    <row r="1716" spans="1:28" x14ac:dyDescent="0.3">
      <c r="A1716" s="1">
        <v>45684</v>
      </c>
      <c r="B1716" s="2" t="s">
        <v>2638</v>
      </c>
      <c r="C1716" s="2" t="s">
        <v>2515</v>
      </c>
      <c r="D1716" s="2" t="s">
        <v>2531</v>
      </c>
      <c r="E1716" s="2" t="s">
        <v>2529</v>
      </c>
      <c r="F1716" s="3">
        <v>173555</v>
      </c>
      <c r="G1716" s="3">
        <v>8407</v>
      </c>
      <c r="H1716" s="3">
        <v>602</v>
      </c>
      <c r="I1716" s="4">
        <v>16612.59</v>
      </c>
      <c r="J1716" s="4">
        <v>102311.14</v>
      </c>
      <c r="K1716" s="3">
        <v>277</v>
      </c>
      <c r="L1716" s="2" t="s">
        <v>2518</v>
      </c>
      <c r="M1716" s="2" t="s">
        <v>2537</v>
      </c>
      <c r="N1716" s="8">
        <f>IFERROR(G1716/F1716,0)</f>
        <v>4.8439975800178621E-2</v>
      </c>
      <c r="O1716" s="8">
        <f>IFERROR(H1716/G1716,0)</f>
        <v>7.1606994171523733E-2</v>
      </c>
      <c r="P1716" s="4">
        <f>IFERROR(I1716/G1716,0)</f>
        <v>1.976042583561318</v>
      </c>
      <c r="Q1716" s="4">
        <f>IFERROR(I1716/H1716,0)</f>
        <v>27.595664451827243</v>
      </c>
      <c r="R1716" s="12">
        <f>IFERROR(J1716/I1716,0)</f>
        <v>6.1586507582502188</v>
      </c>
      <c r="S1716" s="7">
        <f>Tabla_nuevas_columnas[[#This Row],[ROAS]]</f>
        <v>6.1586507582502188</v>
      </c>
      <c r="T1716" t="str">
        <f>_xlfn.CONCAT(C1716,"-",D1716)</f>
        <v>Email-Portugal</v>
      </c>
      <c r="U1716">
        <f>YEAR(A1716)</f>
        <v>2025</v>
      </c>
      <c r="V1716">
        <f>MONTH(A1716)</f>
        <v>1</v>
      </c>
      <c r="W1716" t="str">
        <f>PROPER(TEXT(A1716,"mmmm"))</f>
        <v>Enero</v>
      </c>
      <c r="X1716" t="str">
        <f>PROPER(TEXT(A1716,"dddd"))</f>
        <v>Lunes</v>
      </c>
      <c r="Y1716" t="str" cm="1">
        <f t="array" ref="Y1716">_xlfn.IFS(R1716&gt;10,"Excelente",R1716&gt;=5,"Bueno",R1716&gt;=2,"Débil",R1716&lt;2,"Deficiente")</f>
        <v>Bueno</v>
      </c>
      <c r="Z1716" t="str">
        <f>IF(AND(R1716&lt;2,Q1716&gt;=100),"Revisar","OK")</f>
        <v>OK</v>
      </c>
      <c r="AA1716" s="55">
        <f>_xlfn.XLOOKUP(C1716,'Preguntas de negocio'!$C$114:$C$119,'Preguntas de negocio'!$D$114:$D$119,0)</f>
        <v>5.5</v>
      </c>
      <c r="AB1716" s="55">
        <f>VLOOKUP(C1716,'Preguntas de negocio'!$C$121:$D$127,2,FALSE)</f>
        <v>0.65</v>
      </c>
    </row>
    <row r="1717" spans="1:28" x14ac:dyDescent="0.3">
      <c r="A1717" s="1">
        <v>45965</v>
      </c>
      <c r="B1717" s="2" t="s">
        <v>2632</v>
      </c>
      <c r="C1717" s="2" t="s">
        <v>2521</v>
      </c>
      <c r="D1717" s="2" t="s">
        <v>2528</v>
      </c>
      <c r="E1717" s="2" t="s">
        <v>2517</v>
      </c>
      <c r="F1717" s="3">
        <v>110256</v>
      </c>
      <c r="G1717" s="3">
        <v>6225</v>
      </c>
      <c r="H1717" s="3">
        <v>847</v>
      </c>
      <c r="I1717" s="4">
        <v>1365.63</v>
      </c>
      <c r="J1717" s="4">
        <v>146779.74</v>
      </c>
      <c r="K1717" s="3">
        <v>419</v>
      </c>
      <c r="L1717" s="2" t="s">
        <v>2539</v>
      </c>
      <c r="M1717" s="2" t="s">
        <v>2537</v>
      </c>
      <c r="N1717" s="8">
        <f>IFERROR(G1717/F1717,0)</f>
        <v>5.6459512407488026E-2</v>
      </c>
      <c r="O1717" s="8">
        <f>IFERROR(H1717/G1717,0)</f>
        <v>0.13606425702811245</v>
      </c>
      <c r="P1717" s="4">
        <f>IFERROR(I1717/G1717,0)</f>
        <v>0.21937831325301207</v>
      </c>
      <c r="Q1717" s="4">
        <f>IFERROR(I1717/H1717,0)</f>
        <v>1.6123140495867769</v>
      </c>
      <c r="R1717" s="12">
        <f>IFERROR(J1717/I1717,0)</f>
        <v>107.48133828342961</v>
      </c>
      <c r="S1717" s="7">
        <f>Tabla_nuevas_columnas[[#This Row],[ROAS]]</f>
        <v>107.48133828342961</v>
      </c>
      <c r="T1717" t="str">
        <f>_xlfn.CONCAT(C1717,"-",D1717)</f>
        <v>Paid Search-España</v>
      </c>
      <c r="U1717">
        <f>YEAR(A1717)</f>
        <v>2025</v>
      </c>
      <c r="V1717">
        <f>MONTH(A1717)</f>
        <v>11</v>
      </c>
      <c r="W1717" t="str">
        <f>PROPER(TEXT(A1717,"mmmm"))</f>
        <v>Noviembre</v>
      </c>
      <c r="X1717" t="str">
        <f>PROPER(TEXT(A1717,"dddd"))</f>
        <v>Martes</v>
      </c>
      <c r="Y1717" t="str" cm="1">
        <f t="array" ref="Y1717">_xlfn.IFS(R1717&gt;10,"Excelente",R1717&gt;=5,"Bueno",R1717&gt;=2,"Débil",R1717&lt;2,"Deficiente")</f>
        <v>Excelente</v>
      </c>
      <c r="Z1717" t="str">
        <f>IF(AND(R1717&lt;2,Q1717&gt;=100),"Revisar","OK")</f>
        <v>OK</v>
      </c>
      <c r="AA1717" s="55">
        <f>_xlfn.XLOOKUP(C1717,'Preguntas de negocio'!$C$114:$C$119,'Preguntas de negocio'!$D$114:$D$119,0)</f>
        <v>5</v>
      </c>
      <c r="AB1717" s="55">
        <f>VLOOKUP(C1717,'Preguntas de negocio'!$C$121:$D$127,2,FALSE)</f>
        <v>1.1000000000000001</v>
      </c>
    </row>
    <row r="1718" spans="1:28" x14ac:dyDescent="0.3">
      <c r="A1718" s="1">
        <v>45818</v>
      </c>
      <c r="B1718" s="2" t="s">
        <v>2624</v>
      </c>
      <c r="C1718" s="2" t="s">
        <v>2541</v>
      </c>
      <c r="D1718" s="2" t="s">
        <v>2525</v>
      </c>
      <c r="E1718" s="2" t="s">
        <v>2517</v>
      </c>
      <c r="F1718" s="3">
        <v>37623</v>
      </c>
      <c r="G1718" s="3">
        <v>2251</v>
      </c>
      <c r="H1718" s="3">
        <v>25</v>
      </c>
      <c r="I1718" s="4">
        <v>2238.0500000000002</v>
      </c>
      <c r="J1718" s="4">
        <v>3473.93</v>
      </c>
      <c r="K1718" s="3">
        <v>13</v>
      </c>
      <c r="L1718" s="2" t="s">
        <v>2536</v>
      </c>
      <c r="M1718" s="2" t="s">
        <v>2537</v>
      </c>
      <c r="N1718" s="8">
        <f>IFERROR(G1718/F1718,0)</f>
        <v>5.9830422879621509E-2</v>
      </c>
      <c r="O1718" s="8">
        <f>IFERROR(H1718/G1718,0)</f>
        <v>1.1106175033318524E-2</v>
      </c>
      <c r="P1718" s="4">
        <f>IFERROR(I1718/G1718,0)</f>
        <v>0.99424700133274113</v>
      </c>
      <c r="Q1718" s="4">
        <f>IFERROR(I1718/H1718,0)</f>
        <v>89.522000000000006</v>
      </c>
      <c r="R1718" s="12">
        <f>IFERROR(J1718/I1718,0)</f>
        <v>1.5522128638770356</v>
      </c>
      <c r="S1718" s="7">
        <f>Tabla_nuevas_columnas[[#This Row],[ROAS]]</f>
        <v>1.5522128638770356</v>
      </c>
      <c r="T1718" t="str">
        <f>_xlfn.CONCAT(C1718,"-",D1718)</f>
        <v>Display-Francia</v>
      </c>
      <c r="U1718">
        <f>YEAR(A1718)</f>
        <v>2025</v>
      </c>
      <c r="V1718">
        <f>MONTH(A1718)</f>
        <v>6</v>
      </c>
      <c r="W1718" t="str">
        <f>PROPER(TEXT(A1718,"mmmm"))</f>
        <v>Junio</v>
      </c>
      <c r="X1718" t="str">
        <f>PROPER(TEXT(A1718,"dddd"))</f>
        <v>Martes</v>
      </c>
      <c r="Y1718" t="str" cm="1">
        <f t="array" ref="Y1718">_xlfn.IFS(R1718&gt;10,"Excelente",R1718&gt;=5,"Bueno",R1718&gt;=2,"Débil",R1718&lt;2,"Deficiente")</f>
        <v>Deficiente</v>
      </c>
      <c r="Z1718" t="str">
        <f>IF(AND(R1718&lt;2,Q1718&gt;=100),"Revisar","OK")</f>
        <v>OK</v>
      </c>
      <c r="AA1718" s="55">
        <f>_xlfn.XLOOKUP(C1718,'Preguntas de negocio'!$C$114:$C$119,'Preguntas de negocio'!$D$114:$D$119,0)</f>
        <v>5</v>
      </c>
      <c r="AB1718" s="55">
        <f>VLOOKUP(C1718,'Preguntas de negocio'!$C$121:$D$127,2,FALSE)</f>
        <v>0.5</v>
      </c>
    </row>
    <row r="1719" spans="1:28" x14ac:dyDescent="0.3">
      <c r="A1719" s="1">
        <v>45680</v>
      </c>
      <c r="B1719" s="2" t="s">
        <v>2627</v>
      </c>
      <c r="C1719" s="2" t="s">
        <v>2515</v>
      </c>
      <c r="D1719" s="2" t="s">
        <v>2528</v>
      </c>
      <c r="E1719" s="2" t="s">
        <v>2529</v>
      </c>
      <c r="F1719" s="3">
        <v>162744</v>
      </c>
      <c r="G1719" s="3">
        <v>4537</v>
      </c>
      <c r="H1719" s="3">
        <v>606</v>
      </c>
      <c r="I1719" s="4">
        <v>3385.13</v>
      </c>
      <c r="J1719" s="4">
        <v>39174.6</v>
      </c>
      <c r="K1719" s="3">
        <v>382</v>
      </c>
      <c r="L1719" s="2" t="s">
        <v>2523</v>
      </c>
      <c r="M1719" s="2" t="s">
        <v>2526</v>
      </c>
      <c r="N1719" s="8">
        <f>IFERROR(G1719/F1719,0)</f>
        <v>2.7878139900702946E-2</v>
      </c>
      <c r="O1719" s="8">
        <f>IFERROR(H1719/G1719,0)</f>
        <v>0.13356843729336565</v>
      </c>
      <c r="P1719" s="4">
        <f>IFERROR(I1719/G1719,0)</f>
        <v>0.746116376460216</v>
      </c>
      <c r="Q1719" s="4">
        <f>IFERROR(I1719/H1719,0)</f>
        <v>5.5860231023102314</v>
      </c>
      <c r="R1719" s="12">
        <f>IFERROR(J1719/I1719,0)</f>
        <v>11.572554082117968</v>
      </c>
      <c r="S1719" s="7">
        <f>Tabla_nuevas_columnas[[#This Row],[ROAS]]</f>
        <v>11.572554082117968</v>
      </c>
      <c r="T1719" t="str">
        <f>_xlfn.CONCAT(C1719,"-",D1719)</f>
        <v>Email-España</v>
      </c>
      <c r="U1719">
        <f>YEAR(A1719)</f>
        <v>2025</v>
      </c>
      <c r="V1719">
        <f>MONTH(A1719)</f>
        <v>1</v>
      </c>
      <c r="W1719" t="str">
        <f>PROPER(TEXT(A1719,"mmmm"))</f>
        <v>Enero</v>
      </c>
      <c r="X1719" t="str">
        <f>PROPER(TEXT(A1719,"dddd"))</f>
        <v>Jueves</v>
      </c>
      <c r="Y1719" t="str" cm="1">
        <f t="array" ref="Y1719">_xlfn.IFS(R1719&gt;10,"Excelente",R1719&gt;=5,"Bueno",R1719&gt;=2,"Débil",R1719&lt;2,"Deficiente")</f>
        <v>Excelente</v>
      </c>
      <c r="Z1719" t="str">
        <f>IF(AND(R1719&lt;2,Q1719&gt;=100),"Revisar","OK")</f>
        <v>OK</v>
      </c>
      <c r="AA1719" s="55">
        <f>_xlfn.XLOOKUP(C1719,'Preguntas de negocio'!$C$114:$C$119,'Preguntas de negocio'!$D$114:$D$119,0)</f>
        <v>5.5</v>
      </c>
      <c r="AB1719" s="55">
        <f>VLOOKUP(C1719,'Preguntas de negocio'!$C$121:$D$127,2,FALSE)</f>
        <v>0.65</v>
      </c>
    </row>
    <row r="1720" spans="1:28" x14ac:dyDescent="0.3">
      <c r="A1720" s="1">
        <v>45779</v>
      </c>
      <c r="B1720" s="2" t="s">
        <v>2644</v>
      </c>
      <c r="C1720" s="2" t="s">
        <v>2521</v>
      </c>
      <c r="D1720" s="2" t="s">
        <v>2525</v>
      </c>
      <c r="E1720" s="2" t="s">
        <v>2529</v>
      </c>
      <c r="F1720" s="3">
        <v>5807</v>
      </c>
      <c r="G1720" s="3">
        <v>300</v>
      </c>
      <c r="H1720" s="3">
        <v>29</v>
      </c>
      <c r="I1720" s="4">
        <v>286.5</v>
      </c>
      <c r="J1720" s="4">
        <v>1562.21</v>
      </c>
      <c r="K1720" s="3">
        <v>14</v>
      </c>
      <c r="L1720" s="2" t="s">
        <v>2539</v>
      </c>
      <c r="M1720" s="2" t="s">
        <v>2524</v>
      </c>
      <c r="N1720" s="8">
        <f>IFERROR(G1720/F1720,0)</f>
        <v>5.1661787497847424E-2</v>
      </c>
      <c r="O1720" s="8">
        <f>IFERROR(H1720/G1720,0)</f>
        <v>9.6666666666666665E-2</v>
      </c>
      <c r="P1720" s="4">
        <f>IFERROR(I1720/G1720,0)</f>
        <v>0.95499999999999996</v>
      </c>
      <c r="Q1720" s="4">
        <f>IFERROR(I1720/H1720,0)</f>
        <v>9.8793103448275854</v>
      </c>
      <c r="R1720" s="12">
        <f>IFERROR(J1720/I1720,0)</f>
        <v>5.4527399650959865</v>
      </c>
      <c r="S1720" s="7">
        <f>Tabla_nuevas_columnas[[#This Row],[ROAS]]</f>
        <v>5.4527399650959865</v>
      </c>
      <c r="T1720" t="str">
        <f>_xlfn.CONCAT(C1720,"-",D1720)</f>
        <v>Paid Search-Francia</v>
      </c>
      <c r="U1720">
        <f>YEAR(A1720)</f>
        <v>2025</v>
      </c>
      <c r="V1720">
        <f>MONTH(A1720)</f>
        <v>5</v>
      </c>
      <c r="W1720" t="str">
        <f>PROPER(TEXT(A1720,"mmmm"))</f>
        <v>Mayo</v>
      </c>
      <c r="X1720" t="str">
        <f>PROPER(TEXT(A1720,"dddd"))</f>
        <v>Viernes</v>
      </c>
      <c r="Y1720" t="str" cm="1">
        <f t="array" ref="Y1720">_xlfn.IFS(R1720&gt;10,"Excelente",R1720&gt;=5,"Bueno",R1720&gt;=2,"Débil",R1720&lt;2,"Deficiente")</f>
        <v>Bueno</v>
      </c>
      <c r="Z1720" t="str">
        <f>IF(AND(R1720&lt;2,Q1720&gt;=100),"Revisar","OK")</f>
        <v>OK</v>
      </c>
      <c r="AA1720" s="55">
        <f>_xlfn.XLOOKUP(C1720,'Preguntas de negocio'!$C$114:$C$119,'Preguntas de negocio'!$D$114:$D$119,0)</f>
        <v>5</v>
      </c>
      <c r="AB1720" s="55">
        <f>VLOOKUP(C1720,'Preguntas de negocio'!$C$121:$D$127,2,FALSE)</f>
        <v>1.1000000000000001</v>
      </c>
    </row>
    <row r="1721" spans="1:28" x14ac:dyDescent="0.3">
      <c r="A1721" s="1">
        <v>45988</v>
      </c>
      <c r="B1721" s="2" t="s">
        <v>2617</v>
      </c>
      <c r="C1721" s="2" t="s">
        <v>2543</v>
      </c>
      <c r="D1721" s="2" t="s">
        <v>2522</v>
      </c>
      <c r="E1721" s="2" t="s">
        <v>2534</v>
      </c>
      <c r="F1721" s="3">
        <v>20878</v>
      </c>
      <c r="G1721" s="3">
        <v>1089</v>
      </c>
      <c r="H1721" s="3">
        <v>82</v>
      </c>
      <c r="I1721" s="4">
        <v>191.2</v>
      </c>
      <c r="J1721" s="4">
        <v>14734.74</v>
      </c>
      <c r="K1721" s="3">
        <v>63</v>
      </c>
      <c r="L1721" s="2" t="s">
        <v>2518</v>
      </c>
      <c r="M1721" s="2" t="s">
        <v>2537</v>
      </c>
      <c r="N1721" s="8">
        <f>IFERROR(G1721/F1721,0)</f>
        <v>5.2160168598524764E-2</v>
      </c>
      <c r="O1721" s="8">
        <f>IFERROR(H1721/G1721,0)</f>
        <v>7.5298438934802578E-2</v>
      </c>
      <c r="P1721" s="4">
        <f>IFERROR(I1721/G1721,0)</f>
        <v>0.17557392102846647</v>
      </c>
      <c r="Q1721" s="4">
        <f>IFERROR(I1721/H1721,0)</f>
        <v>2.3317073170731706</v>
      </c>
      <c r="R1721" s="12">
        <f>IFERROR(J1721/I1721,0)</f>
        <v>77.064539748953976</v>
      </c>
      <c r="S1721" s="7">
        <f>Tabla_nuevas_columnas[[#This Row],[ROAS]]</f>
        <v>77.064539748953976</v>
      </c>
      <c r="T1721" t="str">
        <f>_xlfn.CONCAT(C1721,"-",D1721)</f>
        <v>Organic Social-Italia</v>
      </c>
      <c r="U1721">
        <f>YEAR(A1721)</f>
        <v>2025</v>
      </c>
      <c r="V1721">
        <f>MONTH(A1721)</f>
        <v>11</v>
      </c>
      <c r="W1721" t="str">
        <f>PROPER(TEXT(A1721,"mmmm"))</f>
        <v>Noviembre</v>
      </c>
      <c r="X1721" t="str">
        <f>PROPER(TEXT(A1721,"dddd"))</f>
        <v>Jueves</v>
      </c>
      <c r="Y1721" t="str" cm="1">
        <f t="array" ref="Y1721">_xlfn.IFS(R1721&gt;10,"Excelente",R1721&gt;=5,"Bueno",R1721&gt;=2,"Débil",R1721&lt;2,"Deficiente")</f>
        <v>Excelente</v>
      </c>
      <c r="Z1721" t="str">
        <f>IF(AND(R1721&lt;2,Q1721&gt;=100),"Revisar","OK")</f>
        <v>OK</v>
      </c>
      <c r="AA1721" s="55">
        <f>_xlfn.XLOOKUP(C1721,'Preguntas de negocio'!$C$114:$C$119,'Preguntas de negocio'!$D$114:$D$119,0)</f>
        <v>4</v>
      </c>
      <c r="AB1721" s="55">
        <f>VLOOKUP(C1721,'Preguntas de negocio'!$C$121:$D$127,2,FALSE)</f>
        <v>0.95</v>
      </c>
    </row>
    <row r="1722" spans="1:28" x14ac:dyDescent="0.3">
      <c r="A1722" s="1">
        <v>45879</v>
      </c>
      <c r="B1722" s="2" t="s">
        <v>2622</v>
      </c>
      <c r="C1722" s="2" t="s">
        <v>2533</v>
      </c>
      <c r="D1722" s="2" t="s">
        <v>2528</v>
      </c>
      <c r="E1722" s="2" t="s">
        <v>2534</v>
      </c>
      <c r="F1722" s="3">
        <v>172286</v>
      </c>
      <c r="G1722" s="3">
        <v>9270</v>
      </c>
      <c r="H1722" s="3">
        <v>1220</v>
      </c>
      <c r="I1722" s="4">
        <v>6995.42</v>
      </c>
      <c r="J1722" s="4">
        <v>100829.39</v>
      </c>
      <c r="K1722" s="3">
        <v>767</v>
      </c>
      <c r="L1722" s="2" t="s">
        <v>2523</v>
      </c>
      <c r="M1722" s="2" t="s">
        <v>2526</v>
      </c>
      <c r="N1722" s="8">
        <f>IFERROR(G1722/F1722,0)</f>
        <v>5.3805880918937114E-2</v>
      </c>
      <c r="O1722" s="8">
        <f>IFERROR(H1722/G1722,0)</f>
        <v>0.13160733549083065</v>
      </c>
      <c r="P1722" s="4">
        <f>IFERROR(I1722/G1722,0)</f>
        <v>0.75462998921251345</v>
      </c>
      <c r="Q1722" s="4">
        <f>IFERROR(I1722/H1722,0)</f>
        <v>5.7339508196721312</v>
      </c>
      <c r="R1722" s="12">
        <f>IFERROR(J1722/I1722,0)</f>
        <v>14.413629203107176</v>
      </c>
      <c r="S1722" s="7">
        <f>Tabla_nuevas_columnas[[#This Row],[ROAS]]</f>
        <v>14.413629203107176</v>
      </c>
      <c r="T1722" t="str">
        <f>_xlfn.CONCAT(C1722,"-",D1722)</f>
        <v>Paid Social-España</v>
      </c>
      <c r="U1722">
        <f>YEAR(A1722)</f>
        <v>2025</v>
      </c>
      <c r="V1722">
        <f>MONTH(A1722)</f>
        <v>8</v>
      </c>
      <c r="W1722" t="str">
        <f>PROPER(TEXT(A1722,"mmmm"))</f>
        <v>Agosto</v>
      </c>
      <c r="X1722" t="str">
        <f>PROPER(TEXT(A1722,"dddd"))</f>
        <v>Domingo</v>
      </c>
      <c r="Y1722" t="str" cm="1">
        <f t="array" ref="Y1722">_xlfn.IFS(R1722&gt;10,"Excelente",R1722&gt;=5,"Bueno",R1722&gt;=2,"Débil",R1722&lt;2,"Deficiente")</f>
        <v>Excelente</v>
      </c>
      <c r="Z1722" t="str">
        <f>IF(AND(R1722&lt;2,Q1722&gt;=100),"Revisar","OK")</f>
        <v>OK</v>
      </c>
      <c r="AA1722" s="55">
        <f>_xlfn.XLOOKUP(C1722,'Preguntas de negocio'!$C$114:$C$119,'Preguntas de negocio'!$D$114:$D$119,0)</f>
        <v>6</v>
      </c>
      <c r="AB1722" s="55">
        <f>VLOOKUP(C1722,'Preguntas de negocio'!$C$121:$D$127,2,FALSE)</f>
        <v>0.8</v>
      </c>
    </row>
    <row r="1723" spans="1:28" x14ac:dyDescent="0.3">
      <c r="A1723" s="1">
        <v>45785</v>
      </c>
      <c r="B1723" s="2" t="s">
        <v>2625</v>
      </c>
      <c r="C1723" s="2" t="s">
        <v>2521</v>
      </c>
      <c r="D1723" s="2" t="s">
        <v>2528</v>
      </c>
      <c r="E1723" s="2" t="s">
        <v>2534</v>
      </c>
      <c r="F1723" s="3">
        <v>107450</v>
      </c>
      <c r="G1723" s="3">
        <v>565</v>
      </c>
      <c r="H1723" s="3">
        <v>6</v>
      </c>
      <c r="I1723" s="4">
        <v>930.25</v>
      </c>
      <c r="J1723" s="4">
        <v>632.48</v>
      </c>
      <c r="K1723" s="3">
        <v>4</v>
      </c>
      <c r="L1723" s="2" t="s">
        <v>2539</v>
      </c>
      <c r="M1723" s="2" t="s">
        <v>2526</v>
      </c>
      <c r="N1723" s="8">
        <f>IFERROR(G1723/F1723,0)</f>
        <v>5.258259655653792E-3</v>
      </c>
      <c r="O1723" s="8">
        <f>IFERROR(H1723/G1723,0)</f>
        <v>1.0619469026548672E-2</v>
      </c>
      <c r="P1723" s="4">
        <f>IFERROR(I1723/G1723,0)</f>
        <v>1.6464601769911504</v>
      </c>
      <c r="Q1723" s="4">
        <f>IFERROR(I1723/H1723,0)</f>
        <v>155.04166666666666</v>
      </c>
      <c r="R1723" s="12">
        <f>IFERROR(J1723/I1723,0)</f>
        <v>0.67990325181402855</v>
      </c>
      <c r="S1723" s="7">
        <f>Tabla_nuevas_columnas[[#This Row],[ROAS]]</f>
        <v>0.67990325181402855</v>
      </c>
      <c r="T1723" t="str">
        <f>_xlfn.CONCAT(C1723,"-",D1723)</f>
        <v>Paid Search-España</v>
      </c>
      <c r="U1723">
        <f>YEAR(A1723)</f>
        <v>2025</v>
      </c>
      <c r="V1723">
        <f>MONTH(A1723)</f>
        <v>5</v>
      </c>
      <c r="W1723" t="str">
        <f>PROPER(TEXT(A1723,"mmmm"))</f>
        <v>Mayo</v>
      </c>
      <c r="X1723" t="str">
        <f>PROPER(TEXT(A1723,"dddd"))</f>
        <v>Jueves</v>
      </c>
      <c r="Y1723" t="str" cm="1">
        <f t="array" ref="Y1723">_xlfn.IFS(R1723&gt;10,"Excelente",R1723&gt;=5,"Bueno",R1723&gt;=2,"Débil",R1723&lt;2,"Deficiente")</f>
        <v>Deficiente</v>
      </c>
      <c r="Z1723" t="str">
        <f>IF(AND(R1723&lt;2,Q1723&gt;=100),"Revisar","OK")</f>
        <v>Revisar</v>
      </c>
      <c r="AA1723" s="55">
        <f>_xlfn.XLOOKUP(C1723,'Preguntas de negocio'!$C$114:$C$119,'Preguntas de negocio'!$D$114:$D$119,0)</f>
        <v>5</v>
      </c>
      <c r="AB1723" s="55">
        <f>VLOOKUP(C1723,'Preguntas de negocio'!$C$121:$D$127,2,FALSE)</f>
        <v>1.1000000000000001</v>
      </c>
    </row>
    <row r="1724" spans="1:28" x14ac:dyDescent="0.3">
      <c r="A1724" s="1">
        <v>45675</v>
      </c>
      <c r="B1724" s="2" t="s">
        <v>2629</v>
      </c>
      <c r="C1724" s="2" t="s">
        <v>2541</v>
      </c>
      <c r="D1724" s="2" t="s">
        <v>2528</v>
      </c>
      <c r="E1724" s="2" t="s">
        <v>2529</v>
      </c>
      <c r="F1724" s="3">
        <v>66156</v>
      </c>
      <c r="G1724" s="3">
        <v>5816</v>
      </c>
      <c r="H1724" s="3">
        <v>772</v>
      </c>
      <c r="I1724" s="4">
        <v>2044.42</v>
      </c>
      <c r="J1724" s="4">
        <v>82965.960000000006</v>
      </c>
      <c r="K1724" s="3">
        <v>638</v>
      </c>
      <c r="L1724" s="2" t="s">
        <v>2536</v>
      </c>
      <c r="M1724" s="2" t="s">
        <v>2526</v>
      </c>
      <c r="N1724" s="8">
        <f>IFERROR(G1724/F1724,0)</f>
        <v>8.7913416772477174E-2</v>
      </c>
      <c r="O1724" s="8">
        <f>IFERROR(H1724/G1724,0)</f>
        <v>0.1327372764786795</v>
      </c>
      <c r="P1724" s="4">
        <f>IFERROR(I1724/G1724,0)</f>
        <v>0.35151650618982122</v>
      </c>
      <c r="Q1724" s="4">
        <f>IFERROR(I1724/H1724,0)</f>
        <v>2.6482124352331606</v>
      </c>
      <c r="R1724" s="12">
        <f>IFERROR(J1724/I1724,0)</f>
        <v>40.581661302472099</v>
      </c>
      <c r="S1724" s="7">
        <f>Tabla_nuevas_columnas[[#This Row],[ROAS]]</f>
        <v>40.581661302472099</v>
      </c>
      <c r="T1724" t="str">
        <f>_xlfn.CONCAT(C1724,"-",D1724)</f>
        <v>Display-España</v>
      </c>
      <c r="U1724">
        <f>YEAR(A1724)</f>
        <v>2025</v>
      </c>
      <c r="V1724">
        <f>MONTH(A1724)</f>
        <v>1</v>
      </c>
      <c r="W1724" t="str">
        <f>PROPER(TEXT(A1724,"mmmm"))</f>
        <v>Enero</v>
      </c>
      <c r="X1724" t="str">
        <f>PROPER(TEXT(A1724,"dddd"))</f>
        <v>Sábado</v>
      </c>
      <c r="Y1724" t="str" cm="1">
        <f t="array" ref="Y1724">_xlfn.IFS(R1724&gt;10,"Excelente",R1724&gt;=5,"Bueno",R1724&gt;=2,"Débil",R1724&lt;2,"Deficiente")</f>
        <v>Excelente</v>
      </c>
      <c r="Z1724" t="str">
        <f>IF(AND(R1724&lt;2,Q1724&gt;=100),"Revisar","OK")</f>
        <v>OK</v>
      </c>
      <c r="AA1724" s="55">
        <f>_xlfn.XLOOKUP(C1724,'Preguntas de negocio'!$C$114:$C$119,'Preguntas de negocio'!$D$114:$D$119,0)</f>
        <v>5</v>
      </c>
      <c r="AB1724" s="55">
        <f>VLOOKUP(C1724,'Preguntas de negocio'!$C$121:$D$127,2,FALSE)</f>
        <v>0.5</v>
      </c>
    </row>
    <row r="1725" spans="1:28" x14ac:dyDescent="0.3">
      <c r="A1725" s="1">
        <v>45947</v>
      </c>
      <c r="B1725" s="2" t="s">
        <v>2622</v>
      </c>
      <c r="C1725" s="2" t="s">
        <v>2543</v>
      </c>
      <c r="D1725" s="2" t="s">
        <v>2528</v>
      </c>
      <c r="E1725" s="2" t="s">
        <v>2529</v>
      </c>
      <c r="F1725" s="3">
        <v>3493</v>
      </c>
      <c r="G1725" s="3">
        <v>104</v>
      </c>
      <c r="H1725" s="3">
        <v>11</v>
      </c>
      <c r="I1725" s="4">
        <v>69.33</v>
      </c>
      <c r="J1725" s="4">
        <v>1212.42</v>
      </c>
      <c r="K1725" s="3">
        <v>9</v>
      </c>
      <c r="L1725" s="2" t="s">
        <v>2523</v>
      </c>
      <c r="M1725" s="2" t="s">
        <v>2524</v>
      </c>
      <c r="N1725" s="8">
        <f>IFERROR(G1725/F1725,0)</f>
        <v>2.9773833381047811E-2</v>
      </c>
      <c r="O1725" s="8">
        <f>IFERROR(H1725/G1725,0)</f>
        <v>0.10576923076923077</v>
      </c>
      <c r="P1725" s="4">
        <f>IFERROR(I1725/G1725,0)</f>
        <v>0.66663461538461533</v>
      </c>
      <c r="Q1725" s="4">
        <f>IFERROR(I1725/H1725,0)</f>
        <v>6.3027272727272727</v>
      </c>
      <c r="R1725" s="12">
        <f>IFERROR(J1725/I1725,0)</f>
        <v>17.487667676330595</v>
      </c>
      <c r="S1725" s="7">
        <f>Tabla_nuevas_columnas[[#This Row],[ROAS]]</f>
        <v>17.487667676330595</v>
      </c>
      <c r="T1725" t="str">
        <f>_xlfn.CONCAT(C1725,"-",D1725)</f>
        <v>Organic Social-España</v>
      </c>
      <c r="U1725">
        <f>YEAR(A1725)</f>
        <v>2025</v>
      </c>
      <c r="V1725">
        <f>MONTH(A1725)</f>
        <v>10</v>
      </c>
      <c r="W1725" t="str">
        <f>PROPER(TEXT(A1725,"mmmm"))</f>
        <v>Octubre</v>
      </c>
      <c r="X1725" t="str">
        <f>PROPER(TEXT(A1725,"dddd"))</f>
        <v>Viernes</v>
      </c>
      <c r="Y1725" t="str" cm="1">
        <f t="array" ref="Y1725">_xlfn.IFS(R1725&gt;10,"Excelente",R1725&gt;=5,"Bueno",R1725&gt;=2,"Débil",R1725&lt;2,"Deficiente")</f>
        <v>Excelente</v>
      </c>
      <c r="Z1725" t="str">
        <f>IF(AND(R1725&lt;2,Q1725&gt;=100),"Revisar","OK")</f>
        <v>OK</v>
      </c>
      <c r="AA1725" s="55">
        <f>_xlfn.XLOOKUP(C1725,'Preguntas de negocio'!$C$114:$C$119,'Preguntas de negocio'!$D$114:$D$119,0)</f>
        <v>4</v>
      </c>
      <c r="AB1725" s="55">
        <f>VLOOKUP(C1725,'Preguntas de negocio'!$C$121:$D$127,2,FALSE)</f>
        <v>0.95</v>
      </c>
    </row>
    <row r="1726" spans="1:28" x14ac:dyDescent="0.3">
      <c r="A1726" s="1">
        <v>45764</v>
      </c>
      <c r="B1726" s="2" t="s">
        <v>2630</v>
      </c>
      <c r="C1726" s="2" t="s">
        <v>2533</v>
      </c>
      <c r="D1726" s="2" t="s">
        <v>2528</v>
      </c>
      <c r="E1726" s="2" t="s">
        <v>2517</v>
      </c>
      <c r="F1726" s="3">
        <v>160153</v>
      </c>
      <c r="G1726" s="3">
        <v>8582</v>
      </c>
      <c r="H1726" s="3">
        <v>153</v>
      </c>
      <c r="I1726" s="4">
        <v>10778.68</v>
      </c>
      <c r="J1726" s="4">
        <v>29127.03</v>
      </c>
      <c r="K1726" s="3">
        <v>78</v>
      </c>
      <c r="L1726" s="2" t="s">
        <v>2518</v>
      </c>
      <c r="M1726" s="2" t="s">
        <v>2546</v>
      </c>
      <c r="N1726" s="8">
        <f>IFERROR(G1726/F1726,0)</f>
        <v>5.3586258140653001E-2</v>
      </c>
      <c r="O1726" s="8">
        <f>IFERROR(H1726/G1726,0)</f>
        <v>1.7828012118387321E-2</v>
      </c>
      <c r="P1726" s="4">
        <f>IFERROR(I1726/G1726,0)</f>
        <v>1.2559636448380331</v>
      </c>
      <c r="Q1726" s="4">
        <f>IFERROR(I1726/H1726,0)</f>
        <v>70.448888888888888</v>
      </c>
      <c r="R1726" s="12">
        <f>IFERROR(J1726/I1726,0)</f>
        <v>2.7022817265193879</v>
      </c>
      <c r="S1726" s="7">
        <f>Tabla_nuevas_columnas[[#This Row],[ROAS]]</f>
        <v>2.7022817265193879</v>
      </c>
      <c r="T1726" t="str">
        <f>_xlfn.CONCAT(C1726,"-",D1726)</f>
        <v>Paid Social-España</v>
      </c>
      <c r="U1726">
        <f>YEAR(A1726)</f>
        <v>2025</v>
      </c>
      <c r="V1726">
        <f>MONTH(A1726)</f>
        <v>4</v>
      </c>
      <c r="W1726" t="str">
        <f>PROPER(TEXT(A1726,"mmmm"))</f>
        <v>Abril</v>
      </c>
      <c r="X1726" t="str">
        <f>PROPER(TEXT(A1726,"dddd"))</f>
        <v>Jueves</v>
      </c>
      <c r="Y1726" t="str" cm="1">
        <f t="array" ref="Y1726">_xlfn.IFS(R1726&gt;10,"Excelente",R1726&gt;=5,"Bueno",R1726&gt;=2,"Débil",R1726&lt;2,"Deficiente")</f>
        <v>Débil</v>
      </c>
      <c r="Z1726" t="str">
        <f>IF(AND(R1726&lt;2,Q1726&gt;=100),"Revisar","OK")</f>
        <v>OK</v>
      </c>
      <c r="AA1726" s="55">
        <f>_xlfn.XLOOKUP(C1726,'Preguntas de negocio'!$C$114:$C$119,'Preguntas de negocio'!$D$114:$D$119,0)</f>
        <v>6</v>
      </c>
      <c r="AB1726" s="55">
        <f>VLOOKUP(C1726,'Preguntas de negocio'!$C$121:$D$127,2,FALSE)</f>
        <v>0.8</v>
      </c>
    </row>
    <row r="1727" spans="1:28" x14ac:dyDescent="0.3">
      <c r="A1727" s="1">
        <v>45838</v>
      </c>
      <c r="B1727" s="2" t="s">
        <v>2631</v>
      </c>
      <c r="C1727" s="2" t="s">
        <v>2527</v>
      </c>
      <c r="D1727" s="2" t="s">
        <v>2528</v>
      </c>
      <c r="E1727" s="2" t="s">
        <v>2517</v>
      </c>
      <c r="F1727" s="3">
        <v>36280</v>
      </c>
      <c r="G1727" s="3">
        <v>2113</v>
      </c>
      <c r="H1727" s="3">
        <v>107</v>
      </c>
      <c r="I1727" s="4">
        <v>3075.35</v>
      </c>
      <c r="J1727" s="4">
        <v>17404.29</v>
      </c>
      <c r="K1727" s="3">
        <v>93</v>
      </c>
      <c r="L1727" s="2" t="s">
        <v>2523</v>
      </c>
      <c r="M1727" s="2" t="s">
        <v>2524</v>
      </c>
      <c r="N1727" s="8">
        <f>IFERROR(G1727/F1727,0)</f>
        <v>5.8241455347298784E-2</v>
      </c>
      <c r="O1727" s="8">
        <f>IFERROR(H1727/G1727,0)</f>
        <v>5.0638902035021298E-2</v>
      </c>
      <c r="P1727" s="4">
        <f>IFERROR(I1727/G1727,0)</f>
        <v>1.455442498816848</v>
      </c>
      <c r="Q1727" s="4">
        <f>IFERROR(I1727/H1727,0)</f>
        <v>28.741588785046726</v>
      </c>
      <c r="R1727" s="12">
        <f>IFERROR(J1727/I1727,0)</f>
        <v>5.659287560765442</v>
      </c>
      <c r="S1727" s="7">
        <f>Tabla_nuevas_columnas[[#This Row],[ROAS]]</f>
        <v>5.659287560765442</v>
      </c>
      <c r="T1727" t="str">
        <f>_xlfn.CONCAT(C1727,"-",D1727)</f>
        <v>Affiliate-España</v>
      </c>
      <c r="U1727">
        <f>YEAR(A1727)</f>
        <v>2025</v>
      </c>
      <c r="V1727">
        <f>MONTH(A1727)</f>
        <v>6</v>
      </c>
      <c r="W1727" t="str">
        <f>PROPER(TEXT(A1727,"mmmm"))</f>
        <v>Junio</v>
      </c>
      <c r="X1727" t="str">
        <f>PROPER(TEXT(A1727,"dddd"))</f>
        <v>Lunes</v>
      </c>
      <c r="Y1727" t="str" cm="1">
        <f t="array" ref="Y1727">_xlfn.IFS(R1727&gt;10,"Excelente",R1727&gt;=5,"Bueno",R1727&gt;=2,"Débil",R1727&lt;2,"Deficiente")</f>
        <v>Bueno</v>
      </c>
      <c r="Z1727" t="str">
        <f>IF(AND(R1727&lt;2,Q1727&gt;=100),"Revisar","OK")</f>
        <v>OK</v>
      </c>
      <c r="AA1727" s="55">
        <f>_xlfn.XLOOKUP(C1727,'Preguntas de negocio'!$C$114:$C$119,'Preguntas de negocio'!$D$114:$D$119,0)</f>
        <v>4.5</v>
      </c>
      <c r="AB1727" s="55">
        <f>VLOOKUP(C1727,'Preguntas de negocio'!$C$121:$D$127,2,FALSE)</f>
        <v>0.35</v>
      </c>
    </row>
    <row r="1728" spans="1:28" x14ac:dyDescent="0.3">
      <c r="A1728" s="1">
        <v>45828</v>
      </c>
      <c r="B1728" s="2" t="s">
        <v>2634</v>
      </c>
      <c r="C1728" s="2" t="s">
        <v>2527</v>
      </c>
      <c r="D1728" s="2" t="s">
        <v>2528</v>
      </c>
      <c r="E1728" s="2" t="s">
        <v>2529</v>
      </c>
      <c r="F1728" s="3">
        <v>15095</v>
      </c>
      <c r="G1728" s="3">
        <v>1116</v>
      </c>
      <c r="H1728" s="3">
        <v>63</v>
      </c>
      <c r="I1728" s="4">
        <v>118.9</v>
      </c>
      <c r="J1728" s="4">
        <v>9937.09</v>
      </c>
      <c r="K1728" s="3">
        <v>50</v>
      </c>
      <c r="L1728" s="2" t="s">
        <v>2523</v>
      </c>
      <c r="M1728" s="2" t="s">
        <v>2526</v>
      </c>
      <c r="N1728" s="8">
        <f>IFERROR(G1728/F1728,0)</f>
        <v>7.3931765485260023E-2</v>
      </c>
      <c r="O1728" s="8">
        <f>IFERROR(H1728/G1728,0)</f>
        <v>5.6451612903225805E-2</v>
      </c>
      <c r="P1728" s="4">
        <f>IFERROR(I1728/G1728,0)</f>
        <v>0.10654121863799283</v>
      </c>
      <c r="Q1728" s="4">
        <f>IFERROR(I1728/H1728,0)</f>
        <v>1.8873015873015875</v>
      </c>
      <c r="R1728" s="12">
        <f>IFERROR(J1728/I1728,0)</f>
        <v>83.575189234650963</v>
      </c>
      <c r="S1728" s="7">
        <f>Tabla_nuevas_columnas[[#This Row],[ROAS]]</f>
        <v>83.575189234650963</v>
      </c>
      <c r="T1728" t="str">
        <f>_xlfn.CONCAT(C1728,"-",D1728)</f>
        <v>Affiliate-España</v>
      </c>
      <c r="U1728">
        <f>YEAR(A1728)</f>
        <v>2025</v>
      </c>
      <c r="V1728">
        <f>MONTH(A1728)</f>
        <v>6</v>
      </c>
      <c r="W1728" t="str">
        <f>PROPER(TEXT(A1728,"mmmm"))</f>
        <v>Junio</v>
      </c>
      <c r="X1728" t="str">
        <f>PROPER(TEXT(A1728,"dddd"))</f>
        <v>Viernes</v>
      </c>
      <c r="Y1728" t="str" cm="1">
        <f t="array" ref="Y1728">_xlfn.IFS(R1728&gt;10,"Excelente",R1728&gt;=5,"Bueno",R1728&gt;=2,"Débil",R1728&lt;2,"Deficiente")</f>
        <v>Excelente</v>
      </c>
      <c r="Z1728" t="str">
        <f>IF(AND(R1728&lt;2,Q1728&gt;=100),"Revisar","OK")</f>
        <v>OK</v>
      </c>
      <c r="AA1728" s="55">
        <f>_xlfn.XLOOKUP(C1728,'Preguntas de negocio'!$C$114:$C$119,'Preguntas de negocio'!$D$114:$D$119,0)</f>
        <v>4.5</v>
      </c>
      <c r="AB1728" s="55">
        <f>VLOOKUP(C1728,'Preguntas de negocio'!$C$121:$D$127,2,FALSE)</f>
        <v>0.35</v>
      </c>
    </row>
    <row r="1729" spans="1:28" x14ac:dyDescent="0.3">
      <c r="A1729" s="1">
        <v>45714</v>
      </c>
      <c r="B1729" s="2" t="s">
        <v>2618</v>
      </c>
      <c r="C1729" s="2" t="s">
        <v>2515</v>
      </c>
      <c r="D1729" s="2" t="s">
        <v>2528</v>
      </c>
      <c r="E1729" s="2" t="s">
        <v>2529</v>
      </c>
      <c r="F1729" s="3">
        <v>143160</v>
      </c>
      <c r="G1729" s="3">
        <v>9648</v>
      </c>
      <c r="H1729" s="3">
        <v>787</v>
      </c>
      <c r="I1729" s="4">
        <v>7430.46</v>
      </c>
      <c r="J1729" s="4">
        <v>165462.25</v>
      </c>
      <c r="K1729" s="3">
        <v>529</v>
      </c>
      <c r="L1729" s="2" t="s">
        <v>2536</v>
      </c>
      <c r="M1729" s="2" t="s">
        <v>2537</v>
      </c>
      <c r="N1729" s="8">
        <f>IFERROR(G1729/F1729,0)</f>
        <v>6.7393126571668058E-2</v>
      </c>
      <c r="O1729" s="8">
        <f>IFERROR(H1729/G1729,0)</f>
        <v>8.1571310116086232E-2</v>
      </c>
      <c r="P1729" s="4">
        <f>IFERROR(I1729/G1729,0)</f>
        <v>0.77015547263681594</v>
      </c>
      <c r="Q1729" s="4">
        <f>IFERROR(I1729/H1729,0)</f>
        <v>9.4414993646759839</v>
      </c>
      <c r="R1729" s="12">
        <f>IFERROR(J1729/I1729,0)</f>
        <v>22.268103186074619</v>
      </c>
      <c r="S1729" s="7">
        <f>Tabla_nuevas_columnas[[#This Row],[ROAS]]</f>
        <v>22.268103186074619</v>
      </c>
      <c r="T1729" t="str">
        <f>_xlfn.CONCAT(C1729,"-",D1729)</f>
        <v>Email-España</v>
      </c>
      <c r="U1729">
        <f>YEAR(A1729)</f>
        <v>2025</v>
      </c>
      <c r="V1729">
        <f>MONTH(A1729)</f>
        <v>2</v>
      </c>
      <c r="W1729" t="str">
        <f>PROPER(TEXT(A1729,"mmmm"))</f>
        <v>Febrero</v>
      </c>
      <c r="X1729" t="str">
        <f>PROPER(TEXT(A1729,"dddd"))</f>
        <v>Miércoles</v>
      </c>
      <c r="Y1729" t="str" cm="1">
        <f t="array" ref="Y1729">_xlfn.IFS(R1729&gt;10,"Excelente",R1729&gt;=5,"Bueno",R1729&gt;=2,"Débil",R1729&lt;2,"Deficiente")</f>
        <v>Excelente</v>
      </c>
      <c r="Z1729" t="str">
        <f>IF(AND(R1729&lt;2,Q1729&gt;=100),"Revisar","OK")</f>
        <v>OK</v>
      </c>
      <c r="AA1729" s="55">
        <f>_xlfn.XLOOKUP(C1729,'Preguntas de negocio'!$C$114:$C$119,'Preguntas de negocio'!$D$114:$D$119,0)</f>
        <v>5.5</v>
      </c>
      <c r="AB1729" s="55">
        <f>VLOOKUP(C1729,'Preguntas de negocio'!$C$121:$D$127,2,FALSE)</f>
        <v>0.65</v>
      </c>
    </row>
    <row r="1730" spans="1:28" x14ac:dyDescent="0.3">
      <c r="A1730" s="1">
        <v>45665</v>
      </c>
      <c r="B1730" s="2" t="s">
        <v>2637</v>
      </c>
      <c r="C1730" s="2" t="s">
        <v>2541</v>
      </c>
      <c r="D1730" s="2" t="s">
        <v>2531</v>
      </c>
      <c r="E1730" s="2" t="s">
        <v>2517</v>
      </c>
      <c r="F1730" s="3">
        <v>87666</v>
      </c>
      <c r="G1730" s="3">
        <v>924</v>
      </c>
      <c r="H1730" s="3">
        <v>72</v>
      </c>
      <c r="I1730" s="4">
        <v>264.01</v>
      </c>
      <c r="J1730" s="4">
        <v>13539.19</v>
      </c>
      <c r="K1730" s="3">
        <v>43</v>
      </c>
      <c r="L1730" s="2" t="s">
        <v>2518</v>
      </c>
      <c r="M1730" s="2" t="s">
        <v>2526</v>
      </c>
      <c r="N1730" s="8">
        <f>IFERROR(G1730/F1730,0)</f>
        <v>1.0540004106495107E-2</v>
      </c>
      <c r="O1730" s="8">
        <f>IFERROR(H1730/G1730,0)</f>
        <v>7.792207792207792E-2</v>
      </c>
      <c r="P1730" s="4">
        <f>IFERROR(I1730/G1730,0)</f>
        <v>0.28572510822510822</v>
      </c>
      <c r="Q1730" s="4">
        <f>IFERROR(I1730/H1730,0)</f>
        <v>3.6668055555555554</v>
      </c>
      <c r="R1730" s="12">
        <f>IFERROR(J1730/I1730,0)</f>
        <v>51.282868073179053</v>
      </c>
      <c r="S1730" s="7">
        <f>Tabla_nuevas_columnas[[#This Row],[ROAS]]</f>
        <v>51.282868073179053</v>
      </c>
      <c r="T1730" t="str">
        <f>_xlfn.CONCAT(C1730,"-",D1730)</f>
        <v>Display-Portugal</v>
      </c>
      <c r="U1730">
        <f>YEAR(A1730)</f>
        <v>2025</v>
      </c>
      <c r="V1730">
        <f>MONTH(A1730)</f>
        <v>1</v>
      </c>
      <c r="W1730" t="str">
        <f>PROPER(TEXT(A1730,"mmmm"))</f>
        <v>Enero</v>
      </c>
      <c r="X1730" t="str">
        <f>PROPER(TEXT(A1730,"dddd"))</f>
        <v>Miércoles</v>
      </c>
      <c r="Y1730" t="str" cm="1">
        <f t="array" ref="Y1730">_xlfn.IFS(R1730&gt;10,"Excelente",R1730&gt;=5,"Bueno",R1730&gt;=2,"Débil",R1730&lt;2,"Deficiente")</f>
        <v>Excelente</v>
      </c>
      <c r="Z1730" t="str">
        <f>IF(AND(R1730&lt;2,Q1730&gt;=100),"Revisar","OK")</f>
        <v>OK</v>
      </c>
      <c r="AA1730" s="55">
        <f>_xlfn.XLOOKUP(C1730,'Preguntas de negocio'!$C$114:$C$119,'Preguntas de negocio'!$D$114:$D$119,0)</f>
        <v>5</v>
      </c>
      <c r="AB1730" s="55">
        <f>VLOOKUP(C1730,'Preguntas de negocio'!$C$121:$D$127,2,FALSE)</f>
        <v>0.5</v>
      </c>
    </row>
    <row r="1731" spans="1:28" x14ac:dyDescent="0.3">
      <c r="A1731" s="1">
        <v>45742</v>
      </c>
      <c r="B1731" s="2" t="s">
        <v>2642</v>
      </c>
      <c r="C1731" s="2" t="s">
        <v>2533</v>
      </c>
      <c r="D1731" s="2" t="s">
        <v>2525</v>
      </c>
      <c r="E1731" s="2" t="s">
        <v>2517</v>
      </c>
      <c r="F1731" s="3">
        <v>127806</v>
      </c>
      <c r="G1731" s="3">
        <v>5253</v>
      </c>
      <c r="H1731" s="3">
        <v>313</v>
      </c>
      <c r="I1731" s="4">
        <v>6909.33</v>
      </c>
      <c r="J1731" s="4">
        <v>14525.96</v>
      </c>
      <c r="K1731" s="3">
        <v>194</v>
      </c>
      <c r="L1731" s="2" t="s">
        <v>2523</v>
      </c>
      <c r="M1731" s="2" t="s">
        <v>2537</v>
      </c>
      <c r="N1731" s="8">
        <f>IFERROR(G1731/F1731,0)</f>
        <v>4.1101356743814842E-2</v>
      </c>
      <c r="O1731" s="8">
        <f>IFERROR(H1731/G1731,0)</f>
        <v>5.9584999048162952E-2</v>
      </c>
      <c r="P1731" s="4">
        <f>IFERROR(I1731/G1731,0)</f>
        <v>1.3153112507138778</v>
      </c>
      <c r="Q1731" s="4">
        <f>IFERROR(I1731/H1731,0)</f>
        <v>22.074536741214057</v>
      </c>
      <c r="R1731" s="12">
        <f>IFERROR(J1731/I1731,0)</f>
        <v>2.1023688259208924</v>
      </c>
      <c r="S1731" s="7">
        <f>Tabla_nuevas_columnas[[#This Row],[ROAS]]</f>
        <v>2.1023688259208924</v>
      </c>
      <c r="T1731" t="str">
        <f>_xlfn.CONCAT(C1731,"-",D1731)</f>
        <v>Paid Social-Francia</v>
      </c>
      <c r="U1731">
        <f>YEAR(A1731)</f>
        <v>2025</v>
      </c>
      <c r="V1731">
        <f>MONTH(A1731)</f>
        <v>3</v>
      </c>
      <c r="W1731" t="str">
        <f>PROPER(TEXT(A1731,"mmmm"))</f>
        <v>Marzo</v>
      </c>
      <c r="X1731" t="str">
        <f>PROPER(TEXT(A1731,"dddd"))</f>
        <v>Miércoles</v>
      </c>
      <c r="Y1731" t="str" cm="1">
        <f t="array" ref="Y1731">_xlfn.IFS(R1731&gt;10,"Excelente",R1731&gt;=5,"Bueno",R1731&gt;=2,"Débil",R1731&lt;2,"Deficiente")</f>
        <v>Débil</v>
      </c>
      <c r="Z1731" t="str">
        <f>IF(AND(R1731&lt;2,Q1731&gt;=100),"Revisar","OK")</f>
        <v>OK</v>
      </c>
      <c r="AA1731" s="55">
        <f>_xlfn.XLOOKUP(C1731,'Preguntas de negocio'!$C$114:$C$119,'Preguntas de negocio'!$D$114:$D$119,0)</f>
        <v>6</v>
      </c>
      <c r="AB1731" s="55">
        <f>VLOOKUP(C1731,'Preguntas de negocio'!$C$121:$D$127,2,FALSE)</f>
        <v>0.8</v>
      </c>
    </row>
    <row r="1732" spans="1:28" x14ac:dyDescent="0.3">
      <c r="A1732" s="1">
        <v>45697</v>
      </c>
      <c r="B1732" s="2" t="s">
        <v>2641</v>
      </c>
      <c r="C1732" s="2" t="s">
        <v>2521</v>
      </c>
      <c r="D1732" s="2" t="s">
        <v>2528</v>
      </c>
      <c r="E1732" s="2" t="s">
        <v>2529</v>
      </c>
      <c r="F1732" s="3">
        <v>74047</v>
      </c>
      <c r="G1732" s="3">
        <v>6354</v>
      </c>
      <c r="H1732" s="3">
        <v>738</v>
      </c>
      <c r="I1732" s="4">
        <v>12247.42</v>
      </c>
      <c r="J1732" s="4">
        <v>160987.62</v>
      </c>
      <c r="K1732" s="3">
        <v>340</v>
      </c>
      <c r="L1732" s="2" t="s">
        <v>2523</v>
      </c>
      <c r="M1732" s="2" t="s">
        <v>2546</v>
      </c>
      <c r="N1732" s="8">
        <f>IFERROR(G1732/F1732,0)</f>
        <v>8.5810363687927937E-2</v>
      </c>
      <c r="O1732" s="8">
        <f>IFERROR(H1732/G1732,0)</f>
        <v>0.11614730878186968</v>
      </c>
      <c r="P1732" s="4">
        <f>IFERROR(I1732/G1732,0)</f>
        <v>1.927513377400063</v>
      </c>
      <c r="Q1732" s="4">
        <f>IFERROR(I1732/H1732,0)</f>
        <v>16.595420054200542</v>
      </c>
      <c r="R1732" s="12">
        <f>IFERROR(J1732/I1732,0)</f>
        <v>13.144614947474651</v>
      </c>
      <c r="S1732" s="7">
        <f>Tabla_nuevas_columnas[[#This Row],[ROAS]]</f>
        <v>13.144614947474651</v>
      </c>
      <c r="T1732" t="str">
        <f>_xlfn.CONCAT(C1732,"-",D1732)</f>
        <v>Paid Search-España</v>
      </c>
      <c r="U1732">
        <f>YEAR(A1732)</f>
        <v>2025</v>
      </c>
      <c r="V1732">
        <f>MONTH(A1732)</f>
        <v>2</v>
      </c>
      <c r="W1732" t="str">
        <f>PROPER(TEXT(A1732,"mmmm"))</f>
        <v>Febrero</v>
      </c>
      <c r="X1732" t="str">
        <f>PROPER(TEXT(A1732,"dddd"))</f>
        <v>Domingo</v>
      </c>
      <c r="Y1732" t="str" cm="1">
        <f t="array" ref="Y1732">_xlfn.IFS(R1732&gt;10,"Excelente",R1732&gt;=5,"Bueno",R1732&gt;=2,"Débil",R1732&lt;2,"Deficiente")</f>
        <v>Excelente</v>
      </c>
      <c r="Z1732" t="str">
        <f>IF(AND(R1732&lt;2,Q1732&gt;=100),"Revisar","OK")</f>
        <v>OK</v>
      </c>
      <c r="AA1732" s="55">
        <f>_xlfn.XLOOKUP(C1732,'Preguntas de negocio'!$C$114:$C$119,'Preguntas de negocio'!$D$114:$D$119,0)</f>
        <v>5</v>
      </c>
      <c r="AB1732" s="55">
        <f>VLOOKUP(C1732,'Preguntas de negocio'!$C$121:$D$127,2,FALSE)</f>
        <v>1.1000000000000001</v>
      </c>
    </row>
    <row r="1733" spans="1:28" x14ac:dyDescent="0.3">
      <c r="A1733" s="1">
        <v>45715</v>
      </c>
      <c r="B1733" s="2" t="s">
        <v>2634</v>
      </c>
      <c r="C1733" s="2" t="s">
        <v>2515</v>
      </c>
      <c r="D1733" s="2" t="s">
        <v>2522</v>
      </c>
      <c r="E1733" s="2" t="s">
        <v>2529</v>
      </c>
      <c r="F1733" s="3">
        <v>137650</v>
      </c>
      <c r="G1733" s="3">
        <v>7641</v>
      </c>
      <c r="H1733" s="3">
        <v>924</v>
      </c>
      <c r="I1733" s="4">
        <v>5783.98</v>
      </c>
      <c r="J1733" s="4">
        <v>139695.4</v>
      </c>
      <c r="K1733" s="3">
        <v>626</v>
      </c>
      <c r="L1733" s="2" t="s">
        <v>2518</v>
      </c>
      <c r="M1733" s="2" t="s">
        <v>2537</v>
      </c>
      <c r="N1733" s="8">
        <f>IFERROR(G1733/F1733,0)</f>
        <v>5.5510352342898653E-2</v>
      </c>
      <c r="O1733" s="8">
        <f>IFERROR(H1733/G1733,0)</f>
        <v>0.12092658029053789</v>
      </c>
      <c r="P1733" s="4">
        <f>IFERROR(I1733/G1733,0)</f>
        <v>0.75696636565894515</v>
      </c>
      <c r="Q1733" s="4">
        <f>IFERROR(I1733/H1733,0)</f>
        <v>6.2597186147186141</v>
      </c>
      <c r="R1733" s="12">
        <f>IFERROR(J1733/I1733,0)</f>
        <v>24.152123624217236</v>
      </c>
      <c r="S1733" s="7">
        <f>Tabla_nuevas_columnas[[#This Row],[ROAS]]</f>
        <v>24.152123624217236</v>
      </c>
      <c r="T1733" t="str">
        <f>_xlfn.CONCAT(C1733,"-",D1733)</f>
        <v>Email-Italia</v>
      </c>
      <c r="U1733">
        <f>YEAR(A1733)</f>
        <v>2025</v>
      </c>
      <c r="V1733">
        <f>MONTH(A1733)</f>
        <v>2</v>
      </c>
      <c r="W1733" t="str">
        <f>PROPER(TEXT(A1733,"mmmm"))</f>
        <v>Febrero</v>
      </c>
      <c r="X1733" t="str">
        <f>PROPER(TEXT(A1733,"dddd"))</f>
        <v>Jueves</v>
      </c>
      <c r="Y1733" t="str" cm="1">
        <f t="array" ref="Y1733">_xlfn.IFS(R1733&gt;10,"Excelente",R1733&gt;=5,"Bueno",R1733&gt;=2,"Débil",R1733&lt;2,"Deficiente")</f>
        <v>Excelente</v>
      </c>
      <c r="Z1733" t="str">
        <f>IF(AND(R1733&lt;2,Q1733&gt;=100),"Revisar","OK")</f>
        <v>OK</v>
      </c>
      <c r="AA1733" s="55">
        <f>_xlfn.XLOOKUP(C1733,'Preguntas de negocio'!$C$114:$C$119,'Preguntas de negocio'!$D$114:$D$119,0)</f>
        <v>5.5</v>
      </c>
      <c r="AB1733" s="55">
        <f>VLOOKUP(C1733,'Preguntas de negocio'!$C$121:$D$127,2,FALSE)</f>
        <v>0.65</v>
      </c>
    </row>
    <row r="1734" spans="1:28" x14ac:dyDescent="0.3">
      <c r="A1734" s="1">
        <v>45696</v>
      </c>
      <c r="B1734" s="2" t="s">
        <v>2617</v>
      </c>
      <c r="C1734" s="2" t="s">
        <v>2521</v>
      </c>
      <c r="D1734" s="2" t="s">
        <v>2528</v>
      </c>
      <c r="E1734" s="2" t="s">
        <v>2534</v>
      </c>
      <c r="F1734" s="3">
        <v>27096</v>
      </c>
      <c r="G1734" s="3">
        <v>827</v>
      </c>
      <c r="H1734" s="3">
        <v>60</v>
      </c>
      <c r="I1734" s="4">
        <v>395.45</v>
      </c>
      <c r="J1734" s="4">
        <v>9264.81</v>
      </c>
      <c r="K1734" s="3">
        <v>43</v>
      </c>
      <c r="L1734" s="2" t="s">
        <v>2539</v>
      </c>
      <c r="M1734" s="2" t="s">
        <v>2546</v>
      </c>
      <c r="N1734" s="8">
        <f>IFERROR(G1734/F1734,0)</f>
        <v>3.0521110126956009E-2</v>
      </c>
      <c r="O1734" s="8">
        <f>IFERROR(H1734/G1734,0)</f>
        <v>7.2551390568319232E-2</v>
      </c>
      <c r="P1734" s="4">
        <f>IFERROR(I1734/G1734,0)</f>
        <v>0.47817412333736398</v>
      </c>
      <c r="Q1734" s="4">
        <f>IFERROR(I1734/H1734,0)</f>
        <v>6.5908333333333333</v>
      </c>
      <c r="R1734" s="12">
        <f>IFERROR(J1734/I1734,0)</f>
        <v>23.428524465798457</v>
      </c>
      <c r="S1734" s="7">
        <f>Tabla_nuevas_columnas[[#This Row],[ROAS]]</f>
        <v>23.428524465798457</v>
      </c>
      <c r="T1734" t="str">
        <f>_xlfn.CONCAT(C1734,"-",D1734)</f>
        <v>Paid Search-España</v>
      </c>
      <c r="U1734">
        <f>YEAR(A1734)</f>
        <v>2025</v>
      </c>
      <c r="V1734">
        <f>MONTH(A1734)</f>
        <v>2</v>
      </c>
      <c r="W1734" t="str">
        <f>PROPER(TEXT(A1734,"mmmm"))</f>
        <v>Febrero</v>
      </c>
      <c r="X1734" t="str">
        <f>PROPER(TEXT(A1734,"dddd"))</f>
        <v>Sábado</v>
      </c>
      <c r="Y1734" t="str" cm="1">
        <f t="array" ref="Y1734">_xlfn.IFS(R1734&gt;10,"Excelente",R1734&gt;=5,"Bueno",R1734&gt;=2,"Débil",R1734&lt;2,"Deficiente")</f>
        <v>Excelente</v>
      </c>
      <c r="Z1734" t="str">
        <f>IF(AND(R1734&lt;2,Q1734&gt;=100),"Revisar","OK")</f>
        <v>OK</v>
      </c>
      <c r="AA1734" s="55">
        <f>_xlfn.XLOOKUP(C1734,'Preguntas de negocio'!$C$114:$C$119,'Preguntas de negocio'!$D$114:$D$119,0)</f>
        <v>5</v>
      </c>
      <c r="AB1734" s="55">
        <f>VLOOKUP(C1734,'Preguntas de negocio'!$C$121:$D$127,2,FALSE)</f>
        <v>1.1000000000000001</v>
      </c>
    </row>
    <row r="1735" spans="1:28" x14ac:dyDescent="0.3">
      <c r="A1735" s="1">
        <v>45680</v>
      </c>
      <c r="B1735" s="2" t="s">
        <v>2636</v>
      </c>
      <c r="C1735" s="2" t="s">
        <v>2541</v>
      </c>
      <c r="D1735" s="2" t="s">
        <v>2528</v>
      </c>
      <c r="E1735" s="2" t="s">
        <v>2529</v>
      </c>
      <c r="F1735" s="3">
        <v>47702</v>
      </c>
      <c r="G1735" s="3">
        <v>1835</v>
      </c>
      <c r="H1735" s="3">
        <v>12</v>
      </c>
      <c r="I1735" s="4">
        <v>363.17</v>
      </c>
      <c r="J1735" s="4">
        <v>1811.29</v>
      </c>
      <c r="K1735" s="3">
        <v>10</v>
      </c>
      <c r="L1735" s="2" t="s">
        <v>2539</v>
      </c>
      <c r="M1735" s="2" t="s">
        <v>2546</v>
      </c>
      <c r="N1735" s="8">
        <f>IFERROR(G1735/F1735,0)</f>
        <v>3.8467988763573852E-2</v>
      </c>
      <c r="O1735" s="8">
        <f>IFERROR(H1735/G1735,0)</f>
        <v>6.5395095367847414E-3</v>
      </c>
      <c r="P1735" s="4">
        <f>IFERROR(I1735/G1735,0)</f>
        <v>0.19791280653950954</v>
      </c>
      <c r="Q1735" s="4">
        <f>IFERROR(I1735/H1735,0)</f>
        <v>30.264166666666668</v>
      </c>
      <c r="R1735" s="12">
        <f>IFERROR(J1735/I1735,0)</f>
        <v>4.9874438967976422</v>
      </c>
      <c r="S1735" s="7">
        <f>Tabla_nuevas_columnas[[#This Row],[ROAS]]</f>
        <v>4.9874438967976422</v>
      </c>
      <c r="T1735" t="str">
        <f>_xlfn.CONCAT(C1735,"-",D1735)</f>
        <v>Display-España</v>
      </c>
      <c r="U1735">
        <f>YEAR(A1735)</f>
        <v>2025</v>
      </c>
      <c r="V1735">
        <f>MONTH(A1735)</f>
        <v>1</v>
      </c>
      <c r="W1735" t="str">
        <f>PROPER(TEXT(A1735,"mmmm"))</f>
        <v>Enero</v>
      </c>
      <c r="X1735" t="str">
        <f>PROPER(TEXT(A1735,"dddd"))</f>
        <v>Jueves</v>
      </c>
      <c r="Y1735" t="str" cm="1">
        <f t="array" ref="Y1735">_xlfn.IFS(R1735&gt;10,"Excelente",R1735&gt;=5,"Bueno",R1735&gt;=2,"Débil",R1735&lt;2,"Deficiente")</f>
        <v>Débil</v>
      </c>
      <c r="Z1735" t="str">
        <f>IF(AND(R1735&lt;2,Q1735&gt;=100),"Revisar","OK")</f>
        <v>OK</v>
      </c>
      <c r="AA1735" s="55">
        <f>_xlfn.XLOOKUP(C1735,'Preguntas de negocio'!$C$114:$C$119,'Preguntas de negocio'!$D$114:$D$119,0)</f>
        <v>5</v>
      </c>
      <c r="AB1735" s="55">
        <f>VLOOKUP(C1735,'Preguntas de negocio'!$C$121:$D$127,2,FALSE)</f>
        <v>0.5</v>
      </c>
    </row>
    <row r="1736" spans="1:28" x14ac:dyDescent="0.3">
      <c r="A1736" s="1">
        <v>45847</v>
      </c>
      <c r="B1736" s="2" t="s">
        <v>2629</v>
      </c>
      <c r="C1736" s="2" t="s">
        <v>2521</v>
      </c>
      <c r="D1736" s="2" t="s">
        <v>2522</v>
      </c>
      <c r="E1736" s="2" t="s">
        <v>2529</v>
      </c>
      <c r="F1736" s="3">
        <v>147670</v>
      </c>
      <c r="G1736" s="3">
        <v>11953</v>
      </c>
      <c r="H1736" s="3">
        <v>493</v>
      </c>
      <c r="I1736" s="4">
        <v>21518.48</v>
      </c>
      <c r="J1736" s="4">
        <v>7704.74</v>
      </c>
      <c r="K1736" s="3">
        <v>352</v>
      </c>
      <c r="L1736" s="2" t="s">
        <v>2536</v>
      </c>
      <c r="M1736" s="2" t="s">
        <v>2546</v>
      </c>
      <c r="N1736" s="8">
        <f>IFERROR(G1736/F1736,0)</f>
        <v>8.0943996749509042E-2</v>
      </c>
      <c r="O1736" s="8">
        <f>IFERROR(H1736/G1736,0)</f>
        <v>4.1244875763406678E-2</v>
      </c>
      <c r="P1736" s="4">
        <f>IFERROR(I1736/G1736,0)</f>
        <v>1.8002576758972642</v>
      </c>
      <c r="Q1736" s="4">
        <f>IFERROR(I1736/H1736,0)</f>
        <v>43.648032454361051</v>
      </c>
      <c r="R1736" s="12">
        <f>IFERROR(J1736/I1736,0)</f>
        <v>0.35805224160814331</v>
      </c>
      <c r="S1736" s="7">
        <f>Tabla_nuevas_columnas[[#This Row],[ROAS]]</f>
        <v>0.35805224160814331</v>
      </c>
      <c r="T1736" t="str">
        <f>_xlfn.CONCAT(C1736,"-",D1736)</f>
        <v>Paid Search-Italia</v>
      </c>
      <c r="U1736">
        <f>YEAR(A1736)</f>
        <v>2025</v>
      </c>
      <c r="V1736">
        <f>MONTH(A1736)</f>
        <v>7</v>
      </c>
      <c r="W1736" t="str">
        <f>PROPER(TEXT(A1736,"mmmm"))</f>
        <v>Julio</v>
      </c>
      <c r="X1736" t="str">
        <f>PROPER(TEXT(A1736,"dddd"))</f>
        <v>Miércoles</v>
      </c>
      <c r="Y1736" t="str" cm="1">
        <f t="array" ref="Y1736">_xlfn.IFS(R1736&gt;10,"Excelente",R1736&gt;=5,"Bueno",R1736&gt;=2,"Débil",R1736&lt;2,"Deficiente")</f>
        <v>Deficiente</v>
      </c>
      <c r="Z1736" t="str">
        <f>IF(AND(R1736&lt;2,Q1736&gt;=100),"Revisar","OK")</f>
        <v>OK</v>
      </c>
      <c r="AA1736" s="55">
        <f>_xlfn.XLOOKUP(C1736,'Preguntas de negocio'!$C$114:$C$119,'Preguntas de negocio'!$D$114:$D$119,0)</f>
        <v>5</v>
      </c>
      <c r="AB1736" s="55">
        <f>VLOOKUP(C1736,'Preguntas de negocio'!$C$121:$D$127,2,FALSE)</f>
        <v>1.1000000000000001</v>
      </c>
    </row>
    <row r="1737" spans="1:28" x14ac:dyDescent="0.3">
      <c r="A1737" s="1">
        <v>45959</v>
      </c>
      <c r="B1737" s="2" t="s">
        <v>2634</v>
      </c>
      <c r="C1737" s="2" t="s">
        <v>2533</v>
      </c>
      <c r="D1737" s="2" t="s">
        <v>2528</v>
      </c>
      <c r="E1737" s="2" t="s">
        <v>2517</v>
      </c>
      <c r="F1737" s="3">
        <v>147726</v>
      </c>
      <c r="G1737" s="3">
        <v>2516</v>
      </c>
      <c r="H1737" s="3">
        <v>265</v>
      </c>
      <c r="I1737" s="4">
        <v>4783.37</v>
      </c>
      <c r="J1737" s="4">
        <v>36378.480000000003</v>
      </c>
      <c r="K1737" s="3">
        <v>236</v>
      </c>
      <c r="L1737" s="2" t="s">
        <v>2518</v>
      </c>
      <c r="M1737" s="2" t="s">
        <v>2524</v>
      </c>
      <c r="N1737" s="8">
        <f>IFERROR(G1737/F1737,0)</f>
        <v>1.7031531348577773E-2</v>
      </c>
      <c r="O1737" s="8">
        <f>IFERROR(H1737/G1737,0)</f>
        <v>0.10532591414944356</v>
      </c>
      <c r="P1737" s="4">
        <f>IFERROR(I1737/G1737,0)</f>
        <v>1.9011804451510332</v>
      </c>
      <c r="Q1737" s="4">
        <f>IFERROR(I1737/H1737,0)</f>
        <v>18.050452830188679</v>
      </c>
      <c r="R1737" s="12">
        <f>IFERROR(J1737/I1737,0)</f>
        <v>7.6051988451656474</v>
      </c>
      <c r="S1737" s="7">
        <f>Tabla_nuevas_columnas[[#This Row],[ROAS]]</f>
        <v>7.6051988451656474</v>
      </c>
      <c r="T1737" t="str">
        <f>_xlfn.CONCAT(C1737,"-",D1737)</f>
        <v>Paid Social-España</v>
      </c>
      <c r="U1737">
        <f>YEAR(A1737)</f>
        <v>2025</v>
      </c>
      <c r="V1737">
        <f>MONTH(A1737)</f>
        <v>10</v>
      </c>
      <c r="W1737" t="str">
        <f>PROPER(TEXT(A1737,"mmmm"))</f>
        <v>Octubre</v>
      </c>
      <c r="X1737" t="str">
        <f>PROPER(TEXT(A1737,"dddd"))</f>
        <v>Miércoles</v>
      </c>
      <c r="Y1737" t="str" cm="1">
        <f t="array" ref="Y1737">_xlfn.IFS(R1737&gt;10,"Excelente",R1737&gt;=5,"Bueno",R1737&gt;=2,"Débil",R1737&lt;2,"Deficiente")</f>
        <v>Bueno</v>
      </c>
      <c r="Z1737" t="str">
        <f>IF(AND(R1737&lt;2,Q1737&gt;=100),"Revisar","OK")</f>
        <v>OK</v>
      </c>
      <c r="AA1737" s="55">
        <f>_xlfn.XLOOKUP(C1737,'Preguntas de negocio'!$C$114:$C$119,'Preguntas de negocio'!$D$114:$D$119,0)</f>
        <v>6</v>
      </c>
      <c r="AB1737" s="55">
        <f>VLOOKUP(C1737,'Preguntas de negocio'!$C$121:$D$127,2,FALSE)</f>
        <v>0.8</v>
      </c>
    </row>
    <row r="1738" spans="1:28" x14ac:dyDescent="0.3">
      <c r="A1738" s="1">
        <v>45900</v>
      </c>
      <c r="B1738" s="2" t="s">
        <v>2639</v>
      </c>
      <c r="C1738" s="2" t="s">
        <v>2541</v>
      </c>
      <c r="D1738" s="2" t="s">
        <v>2528</v>
      </c>
      <c r="E1738" s="2" t="s">
        <v>2517</v>
      </c>
      <c r="F1738" s="3">
        <v>78481</v>
      </c>
      <c r="G1738" s="3">
        <v>2599</v>
      </c>
      <c r="H1738" s="3">
        <v>153</v>
      </c>
      <c r="I1738" s="4">
        <v>4713.8599999999997</v>
      </c>
      <c r="J1738" s="4">
        <v>10484.18</v>
      </c>
      <c r="K1738" s="3">
        <v>122</v>
      </c>
      <c r="L1738" s="2" t="s">
        <v>2539</v>
      </c>
      <c r="M1738" s="2" t="s">
        <v>2519</v>
      </c>
      <c r="N1738" s="8">
        <f>IFERROR(G1738/F1738,0)</f>
        <v>3.3116295663918653E-2</v>
      </c>
      <c r="O1738" s="8">
        <f>IFERROR(H1738/G1738,0)</f>
        <v>5.8868795690650247E-2</v>
      </c>
      <c r="P1738" s="4">
        <f>IFERROR(I1738/G1738,0)</f>
        <v>1.8137206617929973</v>
      </c>
      <c r="Q1738" s="4">
        <f>IFERROR(I1738/H1738,0)</f>
        <v>30.809542483660127</v>
      </c>
      <c r="R1738" s="12">
        <f>IFERROR(J1738/I1738,0)</f>
        <v>2.2241178142753499</v>
      </c>
      <c r="S1738" s="7">
        <f>Tabla_nuevas_columnas[[#This Row],[ROAS]]</f>
        <v>2.2241178142753499</v>
      </c>
      <c r="T1738" t="str">
        <f>_xlfn.CONCAT(C1738,"-",D1738)</f>
        <v>Display-España</v>
      </c>
      <c r="U1738">
        <f>YEAR(A1738)</f>
        <v>2025</v>
      </c>
      <c r="V1738">
        <f>MONTH(A1738)</f>
        <v>8</v>
      </c>
      <c r="W1738" t="str">
        <f>PROPER(TEXT(A1738,"mmmm"))</f>
        <v>Agosto</v>
      </c>
      <c r="X1738" t="str">
        <f>PROPER(TEXT(A1738,"dddd"))</f>
        <v>Domingo</v>
      </c>
      <c r="Y1738" t="str" cm="1">
        <f t="array" ref="Y1738">_xlfn.IFS(R1738&gt;10,"Excelente",R1738&gt;=5,"Bueno",R1738&gt;=2,"Débil",R1738&lt;2,"Deficiente")</f>
        <v>Débil</v>
      </c>
      <c r="Z1738" t="str">
        <f>IF(AND(R1738&lt;2,Q1738&gt;=100),"Revisar","OK")</f>
        <v>OK</v>
      </c>
      <c r="AA1738" s="55">
        <f>_xlfn.XLOOKUP(C1738,'Preguntas de negocio'!$C$114:$C$119,'Preguntas de negocio'!$D$114:$D$119,0)</f>
        <v>5</v>
      </c>
      <c r="AB1738" s="55">
        <f>VLOOKUP(C1738,'Preguntas de negocio'!$C$121:$D$127,2,FALSE)</f>
        <v>0.5</v>
      </c>
    </row>
    <row r="1739" spans="1:28" x14ac:dyDescent="0.3">
      <c r="A1739" s="1">
        <v>45687</v>
      </c>
      <c r="B1739" s="2" t="s">
        <v>2622</v>
      </c>
      <c r="C1739" s="2" t="s">
        <v>2521</v>
      </c>
      <c r="D1739" s="2" t="s">
        <v>2525</v>
      </c>
      <c r="E1739" s="2" t="s">
        <v>2529</v>
      </c>
      <c r="F1739" s="3">
        <v>62597</v>
      </c>
      <c r="G1739" s="3">
        <v>5016</v>
      </c>
      <c r="H1739" s="3">
        <v>620</v>
      </c>
      <c r="I1739" s="4">
        <v>7294.12</v>
      </c>
      <c r="J1739" s="4">
        <v>54392.639999999999</v>
      </c>
      <c r="K1739" s="3">
        <v>491</v>
      </c>
      <c r="L1739" s="2" t="s">
        <v>2536</v>
      </c>
      <c r="M1739" s="2" t="s">
        <v>2546</v>
      </c>
      <c r="N1739" s="8">
        <f>IFERROR(G1739/F1739,0)</f>
        <v>8.0131635701391438E-2</v>
      </c>
      <c r="O1739" s="8">
        <f>IFERROR(H1739/G1739,0)</f>
        <v>0.12360446570972887</v>
      </c>
      <c r="P1739" s="4">
        <f>IFERROR(I1739/G1739,0)</f>
        <v>1.4541706539074959</v>
      </c>
      <c r="Q1739" s="4">
        <f>IFERROR(I1739/H1739,0)</f>
        <v>11.764709677419354</v>
      </c>
      <c r="R1739" s="12">
        <f>IFERROR(J1739/I1739,0)</f>
        <v>7.4570530783699747</v>
      </c>
      <c r="S1739" s="7">
        <f>Tabla_nuevas_columnas[[#This Row],[ROAS]]</f>
        <v>7.4570530783699747</v>
      </c>
      <c r="T1739" t="str">
        <f>_xlfn.CONCAT(C1739,"-",D1739)</f>
        <v>Paid Search-Francia</v>
      </c>
      <c r="U1739">
        <f>YEAR(A1739)</f>
        <v>2025</v>
      </c>
      <c r="V1739">
        <f>MONTH(A1739)</f>
        <v>1</v>
      </c>
      <c r="W1739" t="str">
        <f>PROPER(TEXT(A1739,"mmmm"))</f>
        <v>Enero</v>
      </c>
      <c r="X1739" t="str">
        <f>PROPER(TEXT(A1739,"dddd"))</f>
        <v>Jueves</v>
      </c>
      <c r="Y1739" t="str" cm="1">
        <f t="array" ref="Y1739">_xlfn.IFS(R1739&gt;10,"Excelente",R1739&gt;=5,"Bueno",R1739&gt;=2,"Débil",R1739&lt;2,"Deficiente")</f>
        <v>Bueno</v>
      </c>
      <c r="Z1739" t="str">
        <f>IF(AND(R1739&lt;2,Q1739&gt;=100),"Revisar","OK")</f>
        <v>OK</v>
      </c>
      <c r="AA1739" s="55">
        <f>_xlfn.XLOOKUP(C1739,'Preguntas de negocio'!$C$114:$C$119,'Preguntas de negocio'!$D$114:$D$119,0)</f>
        <v>5</v>
      </c>
      <c r="AB1739" s="55">
        <f>VLOOKUP(C1739,'Preguntas de negocio'!$C$121:$D$127,2,FALSE)</f>
        <v>1.1000000000000001</v>
      </c>
    </row>
    <row r="1740" spans="1:28" x14ac:dyDescent="0.3">
      <c r="A1740" s="1">
        <v>45886</v>
      </c>
      <c r="B1740" s="2" t="s">
        <v>2633</v>
      </c>
      <c r="C1740" s="2" t="s">
        <v>2527</v>
      </c>
      <c r="D1740" s="2" t="s">
        <v>2525</v>
      </c>
      <c r="E1740" s="2" t="s">
        <v>2517</v>
      </c>
      <c r="F1740" s="3">
        <v>51934</v>
      </c>
      <c r="G1740" s="3">
        <v>3978</v>
      </c>
      <c r="H1740" s="3">
        <v>479</v>
      </c>
      <c r="I1740" s="4">
        <v>6005.07</v>
      </c>
      <c r="J1740" s="4">
        <v>79987.27</v>
      </c>
      <c r="K1740" s="3">
        <v>274</v>
      </c>
      <c r="L1740" s="2" t="s">
        <v>2523</v>
      </c>
      <c r="M1740" s="2" t="s">
        <v>2526</v>
      </c>
      <c r="N1740" s="8">
        <f>IFERROR(G1740/F1740,0)</f>
        <v>7.6597219547887702E-2</v>
      </c>
      <c r="O1740" s="8">
        <f>IFERROR(H1740/G1740,0)</f>
        <v>0.120412267471091</v>
      </c>
      <c r="P1740" s="4">
        <f>IFERROR(I1740/G1740,0)</f>
        <v>1.5095701357466063</v>
      </c>
      <c r="Q1740" s="4">
        <f>IFERROR(I1740/H1740,0)</f>
        <v>12.536680584551148</v>
      </c>
      <c r="R1740" s="12">
        <f>IFERROR(J1740/I1740,0)</f>
        <v>13.319956303590134</v>
      </c>
      <c r="S1740" s="7">
        <f>Tabla_nuevas_columnas[[#This Row],[ROAS]]</f>
        <v>13.319956303590134</v>
      </c>
      <c r="T1740" t="str">
        <f>_xlfn.CONCAT(C1740,"-",D1740)</f>
        <v>Affiliate-Francia</v>
      </c>
      <c r="U1740">
        <f>YEAR(A1740)</f>
        <v>2025</v>
      </c>
      <c r="V1740">
        <f>MONTH(A1740)</f>
        <v>8</v>
      </c>
      <c r="W1740" t="str">
        <f>PROPER(TEXT(A1740,"mmmm"))</f>
        <v>Agosto</v>
      </c>
      <c r="X1740" t="str">
        <f>PROPER(TEXT(A1740,"dddd"))</f>
        <v>Domingo</v>
      </c>
      <c r="Y1740" t="str" cm="1">
        <f t="array" ref="Y1740">_xlfn.IFS(R1740&gt;10,"Excelente",R1740&gt;=5,"Bueno",R1740&gt;=2,"Débil",R1740&lt;2,"Deficiente")</f>
        <v>Excelente</v>
      </c>
      <c r="Z1740" t="str">
        <f>IF(AND(R1740&lt;2,Q1740&gt;=100),"Revisar","OK")</f>
        <v>OK</v>
      </c>
      <c r="AA1740" s="55">
        <f>_xlfn.XLOOKUP(C1740,'Preguntas de negocio'!$C$114:$C$119,'Preguntas de negocio'!$D$114:$D$119,0)</f>
        <v>4.5</v>
      </c>
      <c r="AB1740" s="55">
        <f>VLOOKUP(C1740,'Preguntas de negocio'!$C$121:$D$127,2,FALSE)</f>
        <v>0.35</v>
      </c>
    </row>
    <row r="1741" spans="1:28" x14ac:dyDescent="0.3">
      <c r="A1741" s="1">
        <v>45834</v>
      </c>
      <c r="B1741" s="2" t="s">
        <v>2626</v>
      </c>
      <c r="C1741" s="2" t="s">
        <v>2515</v>
      </c>
      <c r="D1741" s="2" t="s">
        <v>2528</v>
      </c>
      <c r="E1741" s="2" t="s">
        <v>2529</v>
      </c>
      <c r="F1741" s="3">
        <v>65123</v>
      </c>
      <c r="G1741" s="3">
        <v>4674</v>
      </c>
      <c r="H1741" s="3">
        <v>380</v>
      </c>
      <c r="I1741" s="4">
        <v>6109.13</v>
      </c>
      <c r="J1741" s="4">
        <v>76086.97</v>
      </c>
      <c r="K1741" s="3">
        <v>212</v>
      </c>
      <c r="L1741" s="2" t="s">
        <v>2523</v>
      </c>
      <c r="M1741" s="2" t="s">
        <v>2526</v>
      </c>
      <c r="N1741" s="8">
        <f>IFERROR(G1741/F1741,0)</f>
        <v>7.1771877831180997E-2</v>
      </c>
      <c r="O1741" s="8">
        <f>IFERROR(H1741/G1741,0)</f>
        <v>8.1300813008130079E-2</v>
      </c>
      <c r="P1741" s="4">
        <f>IFERROR(I1741/G1741,0)</f>
        <v>1.3070453572956782</v>
      </c>
      <c r="Q1741" s="4">
        <f>IFERROR(I1741/H1741,0)</f>
        <v>16.076657894736844</v>
      </c>
      <c r="R1741" s="12">
        <f>IFERROR(J1741/I1741,0)</f>
        <v>12.454632656368419</v>
      </c>
      <c r="S1741" s="7">
        <f>Tabla_nuevas_columnas[[#This Row],[ROAS]]</f>
        <v>12.454632656368419</v>
      </c>
      <c r="T1741" t="str">
        <f>_xlfn.CONCAT(C1741,"-",D1741)</f>
        <v>Email-España</v>
      </c>
      <c r="U1741">
        <f>YEAR(A1741)</f>
        <v>2025</v>
      </c>
      <c r="V1741">
        <f>MONTH(A1741)</f>
        <v>6</v>
      </c>
      <c r="W1741" t="str">
        <f>PROPER(TEXT(A1741,"mmmm"))</f>
        <v>Junio</v>
      </c>
      <c r="X1741" t="str">
        <f>PROPER(TEXT(A1741,"dddd"))</f>
        <v>Jueves</v>
      </c>
      <c r="Y1741" t="str" cm="1">
        <f t="array" ref="Y1741">_xlfn.IFS(R1741&gt;10,"Excelente",R1741&gt;=5,"Bueno",R1741&gt;=2,"Débil",R1741&lt;2,"Deficiente")</f>
        <v>Excelente</v>
      </c>
      <c r="Z1741" t="str">
        <f>IF(AND(R1741&lt;2,Q1741&gt;=100),"Revisar","OK")</f>
        <v>OK</v>
      </c>
      <c r="AA1741" s="55">
        <f>_xlfn.XLOOKUP(C1741,'Preguntas de negocio'!$C$114:$C$119,'Preguntas de negocio'!$D$114:$D$119,0)</f>
        <v>5.5</v>
      </c>
      <c r="AB1741" s="55">
        <f>VLOOKUP(C1741,'Preguntas de negocio'!$C$121:$D$127,2,FALSE)</f>
        <v>0.65</v>
      </c>
    </row>
    <row r="1742" spans="1:28" x14ac:dyDescent="0.3">
      <c r="A1742" s="1">
        <v>45785</v>
      </c>
      <c r="B1742" s="2" t="s">
        <v>2634</v>
      </c>
      <c r="C1742" s="2" t="s">
        <v>2515</v>
      </c>
      <c r="D1742" s="2" t="s">
        <v>2528</v>
      </c>
      <c r="E1742" s="2" t="s">
        <v>2517</v>
      </c>
      <c r="F1742" s="3">
        <v>132492</v>
      </c>
      <c r="G1742" s="3">
        <v>7639</v>
      </c>
      <c r="H1742" s="3">
        <v>337</v>
      </c>
      <c r="I1742" s="4">
        <v>2256.1799999999998</v>
      </c>
      <c r="J1742" s="4">
        <v>54184.43</v>
      </c>
      <c r="K1742" s="3">
        <v>182</v>
      </c>
      <c r="L1742" s="2" t="s">
        <v>2539</v>
      </c>
      <c r="M1742" s="2" t="s">
        <v>2519</v>
      </c>
      <c r="N1742" s="8">
        <f>IFERROR(G1742/F1742,0)</f>
        <v>5.7656311324457324E-2</v>
      </c>
      <c r="O1742" s="8">
        <f>IFERROR(H1742/G1742,0)</f>
        <v>4.4115721953135227E-2</v>
      </c>
      <c r="P1742" s="4">
        <f>IFERROR(I1742/G1742,0)</f>
        <v>0.29535017672470215</v>
      </c>
      <c r="Q1742" s="4">
        <f>IFERROR(I1742/H1742,0)</f>
        <v>6.6948961424332341</v>
      </c>
      <c r="R1742" s="12">
        <f>IFERROR(J1742/I1742,0)</f>
        <v>24.016004928684769</v>
      </c>
      <c r="S1742" s="7">
        <f>Tabla_nuevas_columnas[[#This Row],[ROAS]]</f>
        <v>24.016004928684769</v>
      </c>
      <c r="T1742" t="str">
        <f>_xlfn.CONCAT(C1742,"-",D1742)</f>
        <v>Email-España</v>
      </c>
      <c r="U1742">
        <f>YEAR(A1742)</f>
        <v>2025</v>
      </c>
      <c r="V1742">
        <f>MONTH(A1742)</f>
        <v>5</v>
      </c>
      <c r="W1742" t="str">
        <f>PROPER(TEXT(A1742,"mmmm"))</f>
        <v>Mayo</v>
      </c>
      <c r="X1742" t="str">
        <f>PROPER(TEXT(A1742,"dddd"))</f>
        <v>Jueves</v>
      </c>
      <c r="Y1742" t="str" cm="1">
        <f t="array" ref="Y1742">_xlfn.IFS(R1742&gt;10,"Excelente",R1742&gt;=5,"Bueno",R1742&gt;=2,"Débil",R1742&lt;2,"Deficiente")</f>
        <v>Excelente</v>
      </c>
      <c r="Z1742" t="str">
        <f>IF(AND(R1742&lt;2,Q1742&gt;=100),"Revisar","OK")</f>
        <v>OK</v>
      </c>
      <c r="AA1742" s="55">
        <f>_xlfn.XLOOKUP(C1742,'Preguntas de negocio'!$C$114:$C$119,'Preguntas de negocio'!$D$114:$D$119,0)</f>
        <v>5.5</v>
      </c>
      <c r="AB1742" s="55">
        <f>VLOOKUP(C1742,'Preguntas de negocio'!$C$121:$D$127,2,FALSE)</f>
        <v>0.65</v>
      </c>
    </row>
    <row r="1743" spans="1:28" x14ac:dyDescent="0.3">
      <c r="A1743" s="1">
        <v>45876</v>
      </c>
      <c r="B1743" s="2" t="s">
        <v>2630</v>
      </c>
      <c r="C1743" s="2" t="s">
        <v>2527</v>
      </c>
      <c r="D1743" s="2" t="s">
        <v>2528</v>
      </c>
      <c r="E1743" s="2" t="s">
        <v>2529</v>
      </c>
      <c r="F1743" s="3">
        <v>11461</v>
      </c>
      <c r="G1743" s="3">
        <v>204</v>
      </c>
      <c r="H1743" s="3">
        <v>14</v>
      </c>
      <c r="I1743" s="4">
        <v>251.08</v>
      </c>
      <c r="J1743" s="4">
        <v>2607.5500000000002</v>
      </c>
      <c r="K1743" s="3">
        <v>10</v>
      </c>
      <c r="L1743" s="2" t="s">
        <v>2523</v>
      </c>
      <c r="M1743" s="2" t="s">
        <v>2526</v>
      </c>
      <c r="N1743" s="8">
        <f>IFERROR(G1743/F1743,0)</f>
        <v>1.7799493935956721E-2</v>
      </c>
      <c r="O1743" s="8">
        <f>IFERROR(H1743/G1743,0)</f>
        <v>6.8627450980392163E-2</v>
      </c>
      <c r="P1743" s="4">
        <f>IFERROR(I1743/G1743,0)</f>
        <v>1.2307843137254904</v>
      </c>
      <c r="Q1743" s="4">
        <f>IFERROR(I1743/H1743,0)</f>
        <v>17.934285714285714</v>
      </c>
      <c r="R1743" s="12">
        <f>IFERROR(J1743/I1743,0)</f>
        <v>10.38533535128246</v>
      </c>
      <c r="S1743" s="7">
        <f>Tabla_nuevas_columnas[[#This Row],[ROAS]]</f>
        <v>10.38533535128246</v>
      </c>
      <c r="T1743" t="str">
        <f>_xlfn.CONCAT(C1743,"-",D1743)</f>
        <v>Affiliate-España</v>
      </c>
      <c r="U1743">
        <f>YEAR(A1743)</f>
        <v>2025</v>
      </c>
      <c r="V1743">
        <f>MONTH(A1743)</f>
        <v>8</v>
      </c>
      <c r="W1743" t="str">
        <f>PROPER(TEXT(A1743,"mmmm"))</f>
        <v>Agosto</v>
      </c>
      <c r="X1743" t="str">
        <f>PROPER(TEXT(A1743,"dddd"))</f>
        <v>Jueves</v>
      </c>
      <c r="Y1743" t="str" cm="1">
        <f t="array" ref="Y1743">_xlfn.IFS(R1743&gt;10,"Excelente",R1743&gt;=5,"Bueno",R1743&gt;=2,"Débil",R1743&lt;2,"Deficiente")</f>
        <v>Excelente</v>
      </c>
      <c r="Z1743" t="str">
        <f>IF(AND(R1743&lt;2,Q1743&gt;=100),"Revisar","OK")</f>
        <v>OK</v>
      </c>
      <c r="AA1743" s="55">
        <f>_xlfn.XLOOKUP(C1743,'Preguntas de negocio'!$C$114:$C$119,'Preguntas de negocio'!$D$114:$D$119,0)</f>
        <v>4.5</v>
      </c>
      <c r="AB1743" s="55">
        <f>VLOOKUP(C1743,'Preguntas de negocio'!$C$121:$D$127,2,FALSE)</f>
        <v>0.35</v>
      </c>
    </row>
    <row r="1744" spans="1:28" x14ac:dyDescent="0.3">
      <c r="A1744" s="1">
        <v>45813</v>
      </c>
      <c r="B1744" s="2" t="s">
        <v>2619</v>
      </c>
      <c r="C1744" s="2" t="s">
        <v>2527</v>
      </c>
      <c r="D1744" s="2" t="s">
        <v>2528</v>
      </c>
      <c r="E1744" s="2" t="s">
        <v>2517</v>
      </c>
      <c r="F1744" s="3">
        <v>59892</v>
      </c>
      <c r="G1744" s="3">
        <v>5217</v>
      </c>
      <c r="H1744" s="3">
        <v>608</v>
      </c>
      <c r="I1744" s="4">
        <v>10943.23</v>
      </c>
      <c r="J1744" s="4">
        <v>64142.42</v>
      </c>
      <c r="K1744" s="3">
        <v>368</v>
      </c>
      <c r="L1744" s="2" t="s">
        <v>2523</v>
      </c>
      <c r="M1744" s="2" t="s">
        <v>2546</v>
      </c>
      <c r="N1744" s="8">
        <f>IFERROR(G1744/F1744,0)</f>
        <v>8.7106792226006813E-2</v>
      </c>
      <c r="O1744" s="8">
        <f>IFERROR(H1744/G1744,0)</f>
        <v>0.1165420739888825</v>
      </c>
      <c r="P1744" s="4">
        <f>IFERROR(I1744/G1744,0)</f>
        <v>2.0976097373969713</v>
      </c>
      <c r="Q1744" s="4">
        <f>IFERROR(I1744/H1744,0)</f>
        <v>17.998733552631577</v>
      </c>
      <c r="R1744" s="12">
        <f>IFERROR(J1744/I1744,0)</f>
        <v>5.8613791357761835</v>
      </c>
      <c r="S1744" s="7">
        <f>Tabla_nuevas_columnas[[#This Row],[ROAS]]</f>
        <v>5.8613791357761835</v>
      </c>
      <c r="T1744" t="str">
        <f>_xlfn.CONCAT(C1744,"-",D1744)</f>
        <v>Affiliate-España</v>
      </c>
      <c r="U1744">
        <f>YEAR(A1744)</f>
        <v>2025</v>
      </c>
      <c r="V1744">
        <f>MONTH(A1744)</f>
        <v>6</v>
      </c>
      <c r="W1744" t="str">
        <f>PROPER(TEXT(A1744,"mmmm"))</f>
        <v>Junio</v>
      </c>
      <c r="X1744" t="str">
        <f>PROPER(TEXT(A1744,"dddd"))</f>
        <v>Jueves</v>
      </c>
      <c r="Y1744" t="str" cm="1">
        <f t="array" ref="Y1744">_xlfn.IFS(R1744&gt;10,"Excelente",R1744&gt;=5,"Bueno",R1744&gt;=2,"Débil",R1744&lt;2,"Deficiente")</f>
        <v>Bueno</v>
      </c>
      <c r="Z1744" t="str">
        <f>IF(AND(R1744&lt;2,Q1744&gt;=100),"Revisar","OK")</f>
        <v>OK</v>
      </c>
      <c r="AA1744" s="55">
        <f>_xlfn.XLOOKUP(C1744,'Preguntas de negocio'!$C$114:$C$119,'Preguntas de negocio'!$D$114:$D$119,0)</f>
        <v>4.5</v>
      </c>
      <c r="AB1744" s="55">
        <f>VLOOKUP(C1744,'Preguntas de negocio'!$C$121:$D$127,2,FALSE)</f>
        <v>0.35</v>
      </c>
    </row>
    <row r="1745" spans="1:28" x14ac:dyDescent="0.3">
      <c r="A1745" s="1">
        <v>45773</v>
      </c>
      <c r="B1745" s="2" t="s">
        <v>2624</v>
      </c>
      <c r="C1745" s="2" t="s">
        <v>2645</v>
      </c>
      <c r="D1745" s="2" t="s">
        <v>2531</v>
      </c>
      <c r="E1745" s="2" t="s">
        <v>2517</v>
      </c>
      <c r="F1745" s="3">
        <v>100417</v>
      </c>
      <c r="G1745" s="3">
        <v>5269</v>
      </c>
      <c r="H1745" s="3">
        <v>624</v>
      </c>
      <c r="I1745" s="4">
        <v>9251.64</v>
      </c>
      <c r="J1745" s="4">
        <v>41214.949999999997</v>
      </c>
      <c r="K1745" s="3">
        <v>344</v>
      </c>
      <c r="L1745" s="2" t="s">
        <v>2539</v>
      </c>
      <c r="M1745" s="2" t="s">
        <v>2546</v>
      </c>
      <c r="N1745" s="8">
        <f>IFERROR(G1745/F1745,0)</f>
        <v>5.2471195116364756E-2</v>
      </c>
      <c r="O1745" s="8">
        <f>IFERROR(H1745/G1745,0)</f>
        <v>0.11842854431580944</v>
      </c>
      <c r="P1745" s="4">
        <f>IFERROR(I1745/G1745,0)</f>
        <v>1.7558625925223001</v>
      </c>
      <c r="Q1745" s="4">
        <f>IFERROR(I1745/H1745,0)</f>
        <v>14.826346153846153</v>
      </c>
      <c r="R1745" s="12">
        <f>IFERROR(J1745/I1745,0)</f>
        <v>4.454880432009892</v>
      </c>
      <c r="S1745" s="7">
        <f>Tabla_nuevas_columnas[[#This Row],[ROAS]]</f>
        <v>4.454880432009892</v>
      </c>
      <c r="T1745" t="str">
        <f>_xlfn.CONCAT(C1745,"-",D1745)</f>
        <v>Por identificar-Portugal</v>
      </c>
      <c r="U1745">
        <f>YEAR(A1745)</f>
        <v>2025</v>
      </c>
      <c r="V1745">
        <f>MONTH(A1745)</f>
        <v>4</v>
      </c>
      <c r="W1745" t="str">
        <f>PROPER(TEXT(A1745,"mmmm"))</f>
        <v>Abril</v>
      </c>
      <c r="X1745" t="str">
        <f>PROPER(TEXT(A1745,"dddd"))</f>
        <v>Sábado</v>
      </c>
      <c r="Y1745" t="str" cm="1">
        <f t="array" ref="Y1745">_xlfn.IFS(R1745&gt;10,"Excelente",R1745&gt;=5,"Bueno",R1745&gt;=2,"Débil",R1745&lt;2,"Deficiente")</f>
        <v>Débil</v>
      </c>
      <c r="Z1745" t="str">
        <f>IF(AND(R1745&lt;2,Q1745&gt;=100),"Revisar","OK")</f>
        <v>OK</v>
      </c>
      <c r="AA1745" s="55">
        <f>_xlfn.XLOOKUP(C1745,'Preguntas de negocio'!$C$114:$C$119,'Preguntas de negocio'!$D$114:$D$119,0)</f>
        <v>0</v>
      </c>
      <c r="AB1745" s="55">
        <f>VLOOKUP(C1745,'Preguntas de negocio'!$C$121:$D$127,2,FALSE)</f>
        <v>0</v>
      </c>
    </row>
    <row r="1746" spans="1:28" x14ac:dyDescent="0.3">
      <c r="A1746" s="1">
        <v>45731</v>
      </c>
      <c r="B1746" s="2" t="s">
        <v>2615</v>
      </c>
      <c r="C1746" s="2" t="s">
        <v>2541</v>
      </c>
      <c r="D1746" s="2" t="s">
        <v>2528</v>
      </c>
      <c r="E1746" s="2" t="s">
        <v>2517</v>
      </c>
      <c r="F1746" s="3">
        <v>102092</v>
      </c>
      <c r="G1746" s="3">
        <v>5843</v>
      </c>
      <c r="H1746" s="3">
        <v>656</v>
      </c>
      <c r="I1746" s="4">
        <v>3221.96</v>
      </c>
      <c r="J1746" s="4">
        <v>67843.3</v>
      </c>
      <c r="K1746" s="3">
        <v>360</v>
      </c>
      <c r="L1746" s="2" t="s">
        <v>2536</v>
      </c>
      <c r="M1746" s="2" t="s">
        <v>2537</v>
      </c>
      <c r="N1746" s="8">
        <f>IFERROR(G1746/F1746,0)</f>
        <v>5.7232692081651847E-2</v>
      </c>
      <c r="O1746" s="8">
        <f>IFERROR(H1746/G1746,0)</f>
        <v>0.11227109361629301</v>
      </c>
      <c r="P1746" s="4">
        <f>IFERROR(I1746/G1746,0)</f>
        <v>0.55142221461577956</v>
      </c>
      <c r="Q1746" s="4">
        <f>IFERROR(I1746/H1746,0)</f>
        <v>4.9115243902439021</v>
      </c>
      <c r="R1746" s="12">
        <f>IFERROR(J1746/I1746,0)</f>
        <v>21.056530807334667</v>
      </c>
      <c r="S1746" s="7">
        <f>Tabla_nuevas_columnas[[#This Row],[ROAS]]</f>
        <v>21.056530807334667</v>
      </c>
      <c r="T1746" t="str">
        <f>_xlfn.CONCAT(C1746,"-",D1746)</f>
        <v>Display-España</v>
      </c>
      <c r="U1746">
        <f>YEAR(A1746)</f>
        <v>2025</v>
      </c>
      <c r="V1746">
        <f>MONTH(A1746)</f>
        <v>3</v>
      </c>
      <c r="W1746" t="str">
        <f>PROPER(TEXT(A1746,"mmmm"))</f>
        <v>Marzo</v>
      </c>
      <c r="X1746" t="str">
        <f>PROPER(TEXT(A1746,"dddd"))</f>
        <v>Sábado</v>
      </c>
      <c r="Y1746" t="str" cm="1">
        <f t="array" ref="Y1746">_xlfn.IFS(R1746&gt;10,"Excelente",R1746&gt;=5,"Bueno",R1746&gt;=2,"Débil",R1746&lt;2,"Deficiente")</f>
        <v>Excelente</v>
      </c>
      <c r="Z1746" t="str">
        <f>IF(AND(R1746&lt;2,Q1746&gt;=100),"Revisar","OK")</f>
        <v>OK</v>
      </c>
      <c r="AA1746" s="55">
        <f>_xlfn.XLOOKUP(C1746,'Preguntas de negocio'!$C$114:$C$119,'Preguntas de negocio'!$D$114:$D$119,0)</f>
        <v>5</v>
      </c>
      <c r="AB1746" s="55">
        <f>VLOOKUP(C1746,'Preguntas de negocio'!$C$121:$D$127,2,FALSE)</f>
        <v>0.5</v>
      </c>
    </row>
    <row r="1747" spans="1:28" x14ac:dyDescent="0.3">
      <c r="A1747" s="1">
        <v>45936</v>
      </c>
      <c r="B1747" s="2" t="s">
        <v>2622</v>
      </c>
      <c r="C1747" s="2" t="s">
        <v>2527</v>
      </c>
      <c r="D1747" s="2" t="s">
        <v>2528</v>
      </c>
      <c r="E1747" s="2" t="s">
        <v>2529</v>
      </c>
      <c r="F1747" s="3">
        <v>49388</v>
      </c>
      <c r="G1747" s="3">
        <v>652</v>
      </c>
      <c r="H1747" s="3">
        <v>19</v>
      </c>
      <c r="I1747" s="4">
        <v>1364.07</v>
      </c>
      <c r="J1747" s="4">
        <v>3981.32</v>
      </c>
      <c r="K1747" s="3">
        <v>15</v>
      </c>
      <c r="L1747" s="2" t="s">
        <v>2539</v>
      </c>
      <c r="M1747" s="2" t="s">
        <v>2546</v>
      </c>
      <c r="N1747" s="8">
        <f>IFERROR(G1747/F1747,0)</f>
        <v>1.3201587430144974E-2</v>
      </c>
      <c r="O1747" s="8">
        <f>IFERROR(H1747/G1747,0)</f>
        <v>2.9141104294478526E-2</v>
      </c>
      <c r="P1747" s="4">
        <f>IFERROR(I1747/G1747,0)</f>
        <v>2.0921319018404909</v>
      </c>
      <c r="Q1747" s="4">
        <f>IFERROR(I1747/H1747,0)</f>
        <v>71.793157894736837</v>
      </c>
      <c r="R1747" s="12">
        <f>IFERROR(J1747/I1747,0)</f>
        <v>2.9187065179939449</v>
      </c>
      <c r="S1747" s="7">
        <f>Tabla_nuevas_columnas[[#This Row],[ROAS]]</f>
        <v>2.9187065179939449</v>
      </c>
      <c r="T1747" t="str">
        <f>_xlfn.CONCAT(C1747,"-",D1747)</f>
        <v>Affiliate-España</v>
      </c>
      <c r="U1747">
        <f>YEAR(A1747)</f>
        <v>2025</v>
      </c>
      <c r="V1747">
        <f>MONTH(A1747)</f>
        <v>10</v>
      </c>
      <c r="W1747" t="str">
        <f>PROPER(TEXT(A1747,"mmmm"))</f>
        <v>Octubre</v>
      </c>
      <c r="X1747" t="str">
        <f>PROPER(TEXT(A1747,"dddd"))</f>
        <v>Lunes</v>
      </c>
      <c r="Y1747" t="str" cm="1">
        <f t="array" ref="Y1747">_xlfn.IFS(R1747&gt;10,"Excelente",R1747&gt;=5,"Bueno",R1747&gt;=2,"Débil",R1747&lt;2,"Deficiente")</f>
        <v>Débil</v>
      </c>
      <c r="Z1747" t="str">
        <f>IF(AND(R1747&lt;2,Q1747&gt;=100),"Revisar","OK")</f>
        <v>OK</v>
      </c>
      <c r="AA1747" s="55">
        <f>_xlfn.XLOOKUP(C1747,'Preguntas de negocio'!$C$114:$C$119,'Preguntas de negocio'!$D$114:$D$119,0)</f>
        <v>4.5</v>
      </c>
      <c r="AB1747" s="55">
        <f>VLOOKUP(C1747,'Preguntas de negocio'!$C$121:$D$127,2,FALSE)</f>
        <v>0.35</v>
      </c>
    </row>
    <row r="1748" spans="1:28" x14ac:dyDescent="0.3">
      <c r="A1748" s="1">
        <v>45682</v>
      </c>
      <c r="B1748" s="2" t="s">
        <v>2638</v>
      </c>
      <c r="C1748" s="2" t="s">
        <v>2541</v>
      </c>
      <c r="D1748" s="2" t="s">
        <v>2528</v>
      </c>
      <c r="E1748" s="2" t="s">
        <v>2529</v>
      </c>
      <c r="F1748" s="3">
        <v>178964</v>
      </c>
      <c r="G1748" s="3">
        <v>4222</v>
      </c>
      <c r="H1748" s="3">
        <v>579</v>
      </c>
      <c r="I1748" s="4">
        <v>5335.65</v>
      </c>
      <c r="J1748" s="4">
        <v>116716.25</v>
      </c>
      <c r="K1748" s="3">
        <v>301</v>
      </c>
      <c r="L1748" s="2" t="s">
        <v>2518</v>
      </c>
      <c r="M1748" s="2" t="s">
        <v>2537</v>
      </c>
      <c r="N1748" s="8">
        <f>IFERROR(G1748/F1748,0)</f>
        <v>2.359133680516752E-2</v>
      </c>
      <c r="O1748" s="8">
        <f>IFERROR(H1748/G1748,0)</f>
        <v>0.13713879677877783</v>
      </c>
      <c r="P1748" s="4">
        <f>IFERROR(I1748/G1748,0)</f>
        <v>1.263773093320701</v>
      </c>
      <c r="Q1748" s="4">
        <f>IFERROR(I1748/H1748,0)</f>
        <v>9.2152849740932634</v>
      </c>
      <c r="R1748" s="12">
        <f>IFERROR(J1748/I1748,0)</f>
        <v>21.874795010917133</v>
      </c>
      <c r="S1748" s="7">
        <f>Tabla_nuevas_columnas[[#This Row],[ROAS]]</f>
        <v>21.874795010917133</v>
      </c>
      <c r="T1748" t="str">
        <f>_xlfn.CONCAT(C1748,"-",D1748)</f>
        <v>Display-España</v>
      </c>
      <c r="U1748">
        <f>YEAR(A1748)</f>
        <v>2025</v>
      </c>
      <c r="V1748">
        <f>MONTH(A1748)</f>
        <v>1</v>
      </c>
      <c r="W1748" t="str">
        <f>PROPER(TEXT(A1748,"mmmm"))</f>
        <v>Enero</v>
      </c>
      <c r="X1748" t="str">
        <f>PROPER(TEXT(A1748,"dddd"))</f>
        <v>Sábado</v>
      </c>
      <c r="Y1748" t="str" cm="1">
        <f t="array" ref="Y1748">_xlfn.IFS(R1748&gt;10,"Excelente",R1748&gt;=5,"Bueno",R1748&gt;=2,"Débil",R1748&lt;2,"Deficiente")</f>
        <v>Excelente</v>
      </c>
      <c r="Z1748" t="str">
        <f>IF(AND(R1748&lt;2,Q1748&gt;=100),"Revisar","OK")</f>
        <v>OK</v>
      </c>
      <c r="AA1748" s="55">
        <f>_xlfn.XLOOKUP(C1748,'Preguntas de negocio'!$C$114:$C$119,'Preguntas de negocio'!$D$114:$D$119,0)</f>
        <v>5</v>
      </c>
      <c r="AB1748" s="55">
        <f>VLOOKUP(C1748,'Preguntas de negocio'!$C$121:$D$127,2,FALSE)</f>
        <v>0.5</v>
      </c>
    </row>
    <row r="1749" spans="1:28" x14ac:dyDescent="0.3">
      <c r="A1749" s="1">
        <v>46022</v>
      </c>
      <c r="B1749" s="2" t="s">
        <v>2631</v>
      </c>
      <c r="C1749" s="2" t="s">
        <v>2521</v>
      </c>
      <c r="D1749" s="2" t="s">
        <v>2525</v>
      </c>
      <c r="E1749" s="2" t="s">
        <v>2529</v>
      </c>
      <c r="F1749" s="3">
        <v>75126</v>
      </c>
      <c r="G1749" s="3">
        <v>1891</v>
      </c>
      <c r="H1749" s="3">
        <v>30</v>
      </c>
      <c r="I1749" s="4">
        <v>1829.86</v>
      </c>
      <c r="J1749" s="4">
        <v>5022.1099999999997</v>
      </c>
      <c r="K1749" s="3">
        <v>17</v>
      </c>
      <c r="L1749" s="2" t="s">
        <v>2518</v>
      </c>
      <c r="M1749" s="2" t="s">
        <v>2519</v>
      </c>
      <c r="N1749" s="8">
        <f>IFERROR(G1749/F1749,0)</f>
        <v>2.5171045976093497E-2</v>
      </c>
      <c r="O1749" s="8">
        <f>IFERROR(H1749/G1749,0)</f>
        <v>1.5864621893178214E-2</v>
      </c>
      <c r="P1749" s="4">
        <f>IFERROR(I1749/G1749,0)</f>
        <v>0.96766790058170271</v>
      </c>
      <c r="Q1749" s="4">
        <f>IFERROR(I1749/H1749,0)</f>
        <v>60.995333333333328</v>
      </c>
      <c r="R1749" s="12">
        <f>IFERROR(J1749/I1749,0)</f>
        <v>2.7445323685965044</v>
      </c>
      <c r="S1749" s="7">
        <f>Tabla_nuevas_columnas[[#This Row],[ROAS]]</f>
        <v>2.7445323685965044</v>
      </c>
      <c r="T1749" t="str">
        <f>_xlfn.CONCAT(C1749,"-",D1749)</f>
        <v>Paid Search-Francia</v>
      </c>
      <c r="U1749">
        <f>YEAR(A1749)</f>
        <v>2025</v>
      </c>
      <c r="V1749">
        <f>MONTH(A1749)</f>
        <v>12</v>
      </c>
      <c r="W1749" t="str">
        <f>PROPER(TEXT(A1749,"mmmm"))</f>
        <v>Diciembre</v>
      </c>
      <c r="X1749" t="str">
        <f>PROPER(TEXT(A1749,"dddd"))</f>
        <v>Miércoles</v>
      </c>
      <c r="Y1749" t="str" cm="1">
        <f t="array" ref="Y1749">_xlfn.IFS(R1749&gt;10,"Excelente",R1749&gt;=5,"Bueno",R1749&gt;=2,"Débil",R1749&lt;2,"Deficiente")</f>
        <v>Débil</v>
      </c>
      <c r="Z1749" t="str">
        <f>IF(AND(R1749&lt;2,Q1749&gt;=100),"Revisar","OK")</f>
        <v>OK</v>
      </c>
      <c r="AA1749" s="55">
        <f>_xlfn.XLOOKUP(C1749,'Preguntas de negocio'!$C$114:$C$119,'Preguntas de negocio'!$D$114:$D$119,0)</f>
        <v>5</v>
      </c>
      <c r="AB1749" s="55">
        <f>VLOOKUP(C1749,'Preguntas de negocio'!$C$121:$D$127,2,FALSE)</f>
        <v>1.1000000000000001</v>
      </c>
    </row>
    <row r="1750" spans="1:28" x14ac:dyDescent="0.3">
      <c r="A1750" s="1">
        <v>45981</v>
      </c>
      <c r="B1750" s="2" t="s">
        <v>2634</v>
      </c>
      <c r="C1750" s="2" t="s">
        <v>2533</v>
      </c>
      <c r="D1750" s="2" t="s">
        <v>2525</v>
      </c>
      <c r="E1750" s="2" t="s">
        <v>2529</v>
      </c>
      <c r="F1750" s="3">
        <v>141857</v>
      </c>
      <c r="G1750" s="3">
        <v>5244</v>
      </c>
      <c r="H1750" s="3">
        <v>191</v>
      </c>
      <c r="I1750" s="4">
        <v>4697.51</v>
      </c>
      <c r="J1750" s="4">
        <v>38988.93</v>
      </c>
      <c r="K1750" s="3">
        <v>158</v>
      </c>
      <c r="L1750" s="2" t="s">
        <v>2518</v>
      </c>
      <c r="M1750" s="2" t="s">
        <v>2546</v>
      </c>
      <c r="N1750" s="8">
        <f>IFERROR(G1750/F1750,0)</f>
        <v>3.696680459899758E-2</v>
      </c>
      <c r="O1750" s="8">
        <f>IFERROR(H1750/G1750,0)</f>
        <v>3.6422578184591915E-2</v>
      </c>
      <c r="P1750" s="4">
        <f>IFERROR(I1750/G1750,0)</f>
        <v>0.89578756674294435</v>
      </c>
      <c r="Q1750" s="4">
        <f>IFERROR(I1750/H1750,0)</f>
        <v>24.594293193717277</v>
      </c>
      <c r="R1750" s="12">
        <f>IFERROR(J1750/I1750,0)</f>
        <v>8.299914209868632</v>
      </c>
      <c r="S1750" s="7">
        <f>Tabla_nuevas_columnas[[#This Row],[ROAS]]</f>
        <v>8.299914209868632</v>
      </c>
      <c r="T1750" t="str">
        <f>_xlfn.CONCAT(C1750,"-",D1750)</f>
        <v>Paid Social-Francia</v>
      </c>
      <c r="U1750">
        <f>YEAR(A1750)</f>
        <v>2025</v>
      </c>
      <c r="V1750">
        <f>MONTH(A1750)</f>
        <v>11</v>
      </c>
      <c r="W1750" t="str">
        <f>PROPER(TEXT(A1750,"mmmm"))</f>
        <v>Noviembre</v>
      </c>
      <c r="X1750" t="str">
        <f>PROPER(TEXT(A1750,"dddd"))</f>
        <v>Jueves</v>
      </c>
      <c r="Y1750" t="str" cm="1">
        <f t="array" ref="Y1750">_xlfn.IFS(R1750&gt;10,"Excelente",R1750&gt;=5,"Bueno",R1750&gt;=2,"Débil",R1750&lt;2,"Deficiente")</f>
        <v>Bueno</v>
      </c>
      <c r="Z1750" t="str">
        <f>IF(AND(R1750&lt;2,Q1750&gt;=100),"Revisar","OK")</f>
        <v>OK</v>
      </c>
      <c r="AA1750" s="55">
        <f>_xlfn.XLOOKUP(C1750,'Preguntas de negocio'!$C$114:$C$119,'Preguntas de negocio'!$D$114:$D$119,0)</f>
        <v>6</v>
      </c>
      <c r="AB1750" s="55">
        <f>VLOOKUP(C1750,'Preguntas de negocio'!$C$121:$D$127,2,FALSE)</f>
        <v>0.8</v>
      </c>
    </row>
    <row r="1751" spans="1:28" x14ac:dyDescent="0.3">
      <c r="A1751" s="1">
        <v>45733</v>
      </c>
      <c r="B1751" s="2" t="s">
        <v>2618</v>
      </c>
      <c r="C1751" s="2" t="s">
        <v>2541</v>
      </c>
      <c r="D1751" s="2" t="s">
        <v>2525</v>
      </c>
      <c r="E1751" s="2" t="s">
        <v>2529</v>
      </c>
      <c r="F1751" s="3">
        <v>177929</v>
      </c>
      <c r="G1751" s="3">
        <v>13233</v>
      </c>
      <c r="H1751" s="3">
        <v>989</v>
      </c>
      <c r="I1751" s="4">
        <v>9525.44</v>
      </c>
      <c r="J1751" s="4">
        <v>92152.4</v>
      </c>
      <c r="K1751" s="3">
        <v>449</v>
      </c>
      <c r="L1751" s="2" t="s">
        <v>2523</v>
      </c>
      <c r="M1751" s="2" t="s">
        <v>2537</v>
      </c>
      <c r="N1751" s="8">
        <f>IFERROR(G1751/F1751,0)</f>
        <v>7.437236200956561E-2</v>
      </c>
      <c r="O1751" s="8">
        <f>IFERROR(H1751/G1751,0)</f>
        <v>7.4737398926925117E-2</v>
      </c>
      <c r="P1751" s="4">
        <f>IFERROR(I1751/G1751,0)</f>
        <v>0.71982468072243633</v>
      </c>
      <c r="Q1751" s="4">
        <f>IFERROR(I1751/H1751,0)</f>
        <v>9.6313852376137525</v>
      </c>
      <c r="R1751" s="12">
        <f>IFERROR(J1751/I1751,0)</f>
        <v>9.6743457520072553</v>
      </c>
      <c r="S1751" s="7">
        <f>Tabla_nuevas_columnas[[#This Row],[ROAS]]</f>
        <v>9.6743457520072553</v>
      </c>
      <c r="T1751" t="str">
        <f>_xlfn.CONCAT(C1751,"-",D1751)</f>
        <v>Display-Francia</v>
      </c>
      <c r="U1751">
        <f>YEAR(A1751)</f>
        <v>2025</v>
      </c>
      <c r="V1751">
        <f>MONTH(A1751)</f>
        <v>3</v>
      </c>
      <c r="W1751" t="str">
        <f>PROPER(TEXT(A1751,"mmmm"))</f>
        <v>Marzo</v>
      </c>
      <c r="X1751" t="str">
        <f>PROPER(TEXT(A1751,"dddd"))</f>
        <v>Lunes</v>
      </c>
      <c r="Y1751" t="str" cm="1">
        <f t="array" ref="Y1751">_xlfn.IFS(R1751&gt;10,"Excelente",R1751&gt;=5,"Bueno",R1751&gt;=2,"Débil",R1751&lt;2,"Deficiente")</f>
        <v>Bueno</v>
      </c>
      <c r="Z1751" t="str">
        <f>IF(AND(R1751&lt;2,Q1751&gt;=100),"Revisar","OK")</f>
        <v>OK</v>
      </c>
      <c r="AA1751" s="55">
        <f>_xlfn.XLOOKUP(C1751,'Preguntas de negocio'!$C$114:$C$119,'Preguntas de negocio'!$D$114:$D$119,0)</f>
        <v>5</v>
      </c>
      <c r="AB1751" s="55">
        <f>VLOOKUP(C1751,'Preguntas de negocio'!$C$121:$D$127,2,FALSE)</f>
        <v>0.5</v>
      </c>
    </row>
    <row r="1752" spans="1:28" x14ac:dyDescent="0.3">
      <c r="A1752" s="1">
        <v>45845</v>
      </c>
      <c r="B1752" s="2" t="s">
        <v>2640</v>
      </c>
      <c r="C1752" s="2" t="s">
        <v>2543</v>
      </c>
      <c r="D1752" s="2" t="s">
        <v>2522</v>
      </c>
      <c r="E1752" s="2" t="s">
        <v>2517</v>
      </c>
      <c r="F1752" s="3">
        <v>86565</v>
      </c>
      <c r="G1752" s="3">
        <v>1242</v>
      </c>
      <c r="H1752" s="3">
        <v>162</v>
      </c>
      <c r="I1752" s="4">
        <v>1753.32</v>
      </c>
      <c r="J1752" s="4">
        <v>22439.1</v>
      </c>
      <c r="K1752" s="3">
        <v>130</v>
      </c>
      <c r="L1752" s="2" t="s">
        <v>2518</v>
      </c>
      <c r="M1752" s="2" t="s">
        <v>2546</v>
      </c>
      <c r="N1752" s="8">
        <f>IFERROR(G1752/F1752,0)</f>
        <v>1.4347600069312077E-2</v>
      </c>
      <c r="O1752" s="8">
        <f>IFERROR(H1752/G1752,0)</f>
        <v>0.13043478260869565</v>
      </c>
      <c r="P1752" s="4">
        <f>IFERROR(I1752/G1752,0)</f>
        <v>1.4116908212560386</v>
      </c>
      <c r="Q1752" s="4">
        <f>IFERROR(I1752/H1752,0)</f>
        <v>10.822962962962963</v>
      </c>
      <c r="R1752" s="12">
        <f>IFERROR(J1752/I1752,0)</f>
        <v>12.798063103141468</v>
      </c>
      <c r="S1752" s="7">
        <f>Tabla_nuevas_columnas[[#This Row],[ROAS]]</f>
        <v>12.798063103141468</v>
      </c>
      <c r="T1752" t="str">
        <f>_xlfn.CONCAT(C1752,"-",D1752)</f>
        <v>Organic Social-Italia</v>
      </c>
      <c r="U1752">
        <f>YEAR(A1752)</f>
        <v>2025</v>
      </c>
      <c r="V1752">
        <f>MONTH(A1752)</f>
        <v>7</v>
      </c>
      <c r="W1752" t="str">
        <f>PROPER(TEXT(A1752,"mmmm"))</f>
        <v>Julio</v>
      </c>
      <c r="X1752" t="str">
        <f>PROPER(TEXT(A1752,"dddd"))</f>
        <v>Lunes</v>
      </c>
      <c r="Y1752" t="str" cm="1">
        <f t="array" ref="Y1752">_xlfn.IFS(R1752&gt;10,"Excelente",R1752&gt;=5,"Bueno",R1752&gt;=2,"Débil",R1752&lt;2,"Deficiente")</f>
        <v>Excelente</v>
      </c>
      <c r="Z1752" t="str">
        <f>IF(AND(R1752&lt;2,Q1752&gt;=100),"Revisar","OK")</f>
        <v>OK</v>
      </c>
      <c r="AA1752" s="55">
        <f>_xlfn.XLOOKUP(C1752,'Preguntas de negocio'!$C$114:$C$119,'Preguntas de negocio'!$D$114:$D$119,0)</f>
        <v>4</v>
      </c>
      <c r="AB1752" s="55">
        <f>VLOOKUP(C1752,'Preguntas de negocio'!$C$121:$D$127,2,FALSE)</f>
        <v>0.95</v>
      </c>
    </row>
    <row r="1753" spans="1:28" x14ac:dyDescent="0.3">
      <c r="A1753" s="1">
        <v>45864</v>
      </c>
      <c r="B1753" s="2" t="s">
        <v>2642</v>
      </c>
      <c r="C1753" s="2" t="s">
        <v>2543</v>
      </c>
      <c r="D1753" s="2" t="s">
        <v>2528</v>
      </c>
      <c r="E1753" s="2" t="s">
        <v>2517</v>
      </c>
      <c r="F1753" s="3">
        <v>7855</v>
      </c>
      <c r="G1753" s="3">
        <v>649</v>
      </c>
      <c r="H1753" s="3">
        <v>33</v>
      </c>
      <c r="I1753" s="4">
        <v>633.92999999999995</v>
      </c>
      <c r="J1753" s="4">
        <v>4191.26</v>
      </c>
      <c r="K1753" s="3">
        <v>21</v>
      </c>
      <c r="L1753" s="2" t="s">
        <v>2523</v>
      </c>
      <c r="M1753" s="2" t="s">
        <v>2537</v>
      </c>
      <c r="N1753" s="8">
        <f>IFERROR(G1753/F1753,0)</f>
        <v>8.2622533418204969E-2</v>
      </c>
      <c r="O1753" s="8">
        <f>IFERROR(H1753/G1753,0)</f>
        <v>5.0847457627118647E-2</v>
      </c>
      <c r="P1753" s="4">
        <f>IFERROR(I1753/G1753,0)</f>
        <v>0.97677966101694913</v>
      </c>
      <c r="Q1753" s="4">
        <f>IFERROR(I1753/H1753,0)</f>
        <v>19.209999999999997</v>
      </c>
      <c r="R1753" s="12">
        <f>IFERROR(J1753/I1753,0)</f>
        <v>6.611550171154545</v>
      </c>
      <c r="S1753" s="7">
        <f>Tabla_nuevas_columnas[[#This Row],[ROAS]]</f>
        <v>6.611550171154545</v>
      </c>
      <c r="T1753" t="str">
        <f>_xlfn.CONCAT(C1753,"-",D1753)</f>
        <v>Organic Social-España</v>
      </c>
      <c r="U1753">
        <f>YEAR(A1753)</f>
        <v>2025</v>
      </c>
      <c r="V1753">
        <f>MONTH(A1753)</f>
        <v>7</v>
      </c>
      <c r="W1753" t="str">
        <f>PROPER(TEXT(A1753,"mmmm"))</f>
        <v>Julio</v>
      </c>
      <c r="X1753" t="str">
        <f>PROPER(TEXT(A1753,"dddd"))</f>
        <v>Sábado</v>
      </c>
      <c r="Y1753" t="str" cm="1">
        <f t="array" ref="Y1753">_xlfn.IFS(R1753&gt;10,"Excelente",R1753&gt;=5,"Bueno",R1753&gt;=2,"Débil",R1753&lt;2,"Deficiente")</f>
        <v>Bueno</v>
      </c>
      <c r="Z1753" t="str">
        <f>IF(AND(R1753&lt;2,Q1753&gt;=100),"Revisar","OK")</f>
        <v>OK</v>
      </c>
      <c r="AA1753" s="55">
        <f>_xlfn.XLOOKUP(C1753,'Preguntas de negocio'!$C$114:$C$119,'Preguntas de negocio'!$D$114:$D$119,0)</f>
        <v>4</v>
      </c>
      <c r="AB1753" s="55">
        <f>VLOOKUP(C1753,'Preguntas de negocio'!$C$121:$D$127,2,FALSE)</f>
        <v>0.95</v>
      </c>
    </row>
    <row r="1754" spans="1:28" x14ac:dyDescent="0.3">
      <c r="A1754" s="1">
        <v>45810</v>
      </c>
      <c r="B1754" s="2" t="s">
        <v>2620</v>
      </c>
      <c r="C1754" s="2" t="s">
        <v>2541</v>
      </c>
      <c r="D1754" s="2" t="s">
        <v>2531</v>
      </c>
      <c r="E1754" s="2" t="s">
        <v>2529</v>
      </c>
      <c r="F1754" s="3">
        <v>179102</v>
      </c>
      <c r="G1754" s="3">
        <v>12322</v>
      </c>
      <c r="H1754" s="3">
        <v>1326</v>
      </c>
      <c r="I1754" s="4">
        <v>24258.639999999999</v>
      </c>
      <c r="J1754" s="4">
        <v>191459.43</v>
      </c>
      <c r="K1754" s="3">
        <v>598</v>
      </c>
      <c r="L1754" s="2" t="s">
        <v>2518</v>
      </c>
      <c r="M1754" s="2" t="s">
        <v>2537</v>
      </c>
      <c r="N1754" s="8">
        <f>IFERROR(G1754/F1754,0)</f>
        <v>6.8798785049859854E-2</v>
      </c>
      <c r="O1754" s="8">
        <f>IFERROR(H1754/G1754,0)</f>
        <v>0.10761240058432073</v>
      </c>
      <c r="P1754" s="4">
        <f>IFERROR(I1754/G1754,0)</f>
        <v>1.9687258561921765</v>
      </c>
      <c r="Q1754" s="4">
        <f>IFERROR(I1754/H1754,0)</f>
        <v>18.294600301659123</v>
      </c>
      <c r="R1754" s="12">
        <f>IFERROR(J1754/I1754,0)</f>
        <v>7.8924222462594766</v>
      </c>
      <c r="S1754" s="7">
        <f>Tabla_nuevas_columnas[[#This Row],[ROAS]]</f>
        <v>7.8924222462594766</v>
      </c>
      <c r="T1754" t="str">
        <f>_xlfn.CONCAT(C1754,"-",D1754)</f>
        <v>Display-Portugal</v>
      </c>
      <c r="U1754">
        <f>YEAR(A1754)</f>
        <v>2025</v>
      </c>
      <c r="V1754">
        <f>MONTH(A1754)</f>
        <v>6</v>
      </c>
      <c r="W1754" t="str">
        <f>PROPER(TEXT(A1754,"mmmm"))</f>
        <v>Junio</v>
      </c>
      <c r="X1754" t="str">
        <f>PROPER(TEXT(A1754,"dddd"))</f>
        <v>Lunes</v>
      </c>
      <c r="Y1754" t="str" cm="1">
        <f t="array" ref="Y1754">_xlfn.IFS(R1754&gt;10,"Excelente",R1754&gt;=5,"Bueno",R1754&gt;=2,"Débil",R1754&lt;2,"Deficiente")</f>
        <v>Bueno</v>
      </c>
      <c r="Z1754" t="str">
        <f>IF(AND(R1754&lt;2,Q1754&gt;=100),"Revisar","OK")</f>
        <v>OK</v>
      </c>
      <c r="AA1754" s="55">
        <f>_xlfn.XLOOKUP(C1754,'Preguntas de negocio'!$C$114:$C$119,'Preguntas de negocio'!$D$114:$D$119,0)</f>
        <v>5</v>
      </c>
      <c r="AB1754" s="55">
        <f>VLOOKUP(C1754,'Preguntas de negocio'!$C$121:$D$127,2,FALSE)</f>
        <v>0.5</v>
      </c>
    </row>
    <row r="1755" spans="1:28" x14ac:dyDescent="0.3">
      <c r="A1755" s="1">
        <v>45887</v>
      </c>
      <c r="B1755" s="2" t="s">
        <v>2634</v>
      </c>
      <c r="C1755" s="2" t="s">
        <v>2541</v>
      </c>
      <c r="D1755" s="2" t="s">
        <v>2528</v>
      </c>
      <c r="E1755" s="2" t="s">
        <v>2517</v>
      </c>
      <c r="F1755" s="3">
        <v>136783</v>
      </c>
      <c r="G1755" s="3">
        <v>5272</v>
      </c>
      <c r="H1755" s="3">
        <v>245</v>
      </c>
      <c r="I1755" s="4">
        <v>7627.22</v>
      </c>
      <c r="J1755" s="4">
        <v>14292.61</v>
      </c>
      <c r="K1755" s="3">
        <v>209</v>
      </c>
      <c r="L1755" s="2" t="s">
        <v>2536</v>
      </c>
      <c r="M1755" s="2" t="s">
        <v>2526</v>
      </c>
      <c r="N1755" s="8">
        <f>IFERROR(G1755/F1755,0)</f>
        <v>3.8542801371515466E-2</v>
      </c>
      <c r="O1755" s="8">
        <f>IFERROR(H1755/G1755,0)</f>
        <v>4.647192716236722E-2</v>
      </c>
      <c r="P1755" s="4">
        <f>IFERROR(I1755/G1755,0)</f>
        <v>1.4467412746585737</v>
      </c>
      <c r="Q1755" s="4">
        <f>IFERROR(I1755/H1755,0)</f>
        <v>31.131510204081632</v>
      </c>
      <c r="R1755" s="12">
        <f>IFERROR(J1755/I1755,0)</f>
        <v>1.873895075794326</v>
      </c>
      <c r="S1755" s="7">
        <f>Tabla_nuevas_columnas[[#This Row],[ROAS]]</f>
        <v>1.873895075794326</v>
      </c>
      <c r="T1755" t="str">
        <f>_xlfn.CONCAT(C1755,"-",D1755)</f>
        <v>Display-España</v>
      </c>
      <c r="U1755">
        <f>YEAR(A1755)</f>
        <v>2025</v>
      </c>
      <c r="V1755">
        <f>MONTH(A1755)</f>
        <v>8</v>
      </c>
      <c r="W1755" t="str">
        <f>PROPER(TEXT(A1755,"mmmm"))</f>
        <v>Agosto</v>
      </c>
      <c r="X1755" t="str">
        <f>PROPER(TEXT(A1755,"dddd"))</f>
        <v>Lunes</v>
      </c>
      <c r="Y1755" t="str" cm="1">
        <f t="array" ref="Y1755">_xlfn.IFS(R1755&gt;10,"Excelente",R1755&gt;=5,"Bueno",R1755&gt;=2,"Débil",R1755&lt;2,"Deficiente")</f>
        <v>Deficiente</v>
      </c>
      <c r="Z1755" t="str">
        <f>IF(AND(R1755&lt;2,Q1755&gt;=100),"Revisar","OK")</f>
        <v>OK</v>
      </c>
      <c r="AA1755" s="55">
        <f>_xlfn.XLOOKUP(C1755,'Preguntas de negocio'!$C$114:$C$119,'Preguntas de negocio'!$D$114:$D$119,0)</f>
        <v>5</v>
      </c>
      <c r="AB1755" s="55">
        <f>VLOOKUP(C1755,'Preguntas de negocio'!$C$121:$D$127,2,FALSE)</f>
        <v>0.5</v>
      </c>
    </row>
    <row r="1756" spans="1:28" x14ac:dyDescent="0.3">
      <c r="A1756" s="1">
        <v>45800</v>
      </c>
      <c r="B1756" s="2" t="s">
        <v>2620</v>
      </c>
      <c r="C1756" s="2" t="s">
        <v>2527</v>
      </c>
      <c r="D1756" s="2" t="s">
        <v>2528</v>
      </c>
      <c r="E1756" s="2" t="s">
        <v>2529</v>
      </c>
      <c r="F1756" s="3">
        <v>32172</v>
      </c>
      <c r="G1756" s="3">
        <v>636</v>
      </c>
      <c r="H1756" s="3">
        <v>71</v>
      </c>
      <c r="I1756" s="4">
        <v>1101.44</v>
      </c>
      <c r="J1756" s="4">
        <v>13528.45</v>
      </c>
      <c r="K1756" s="3">
        <v>49</v>
      </c>
      <c r="L1756" s="2" t="s">
        <v>2536</v>
      </c>
      <c r="M1756" s="2" t="s">
        <v>2524</v>
      </c>
      <c r="N1756" s="8">
        <f>IFERROR(G1756/F1756,0)</f>
        <v>1.9768743006340919E-2</v>
      </c>
      <c r="O1756" s="8">
        <f>IFERROR(H1756/G1756,0)</f>
        <v>0.11163522012578617</v>
      </c>
      <c r="P1756" s="4">
        <f>IFERROR(I1756/G1756,0)</f>
        <v>1.7318238993710693</v>
      </c>
      <c r="Q1756" s="4">
        <f>IFERROR(I1756/H1756,0)</f>
        <v>15.513239436619719</v>
      </c>
      <c r="R1756" s="12">
        <f>IFERROR(J1756/I1756,0)</f>
        <v>12.282511984311446</v>
      </c>
      <c r="S1756" s="7">
        <f>Tabla_nuevas_columnas[[#This Row],[ROAS]]</f>
        <v>12.282511984311446</v>
      </c>
      <c r="T1756" t="str">
        <f>_xlfn.CONCAT(C1756,"-",D1756)</f>
        <v>Affiliate-España</v>
      </c>
      <c r="U1756">
        <f>YEAR(A1756)</f>
        <v>2025</v>
      </c>
      <c r="V1756">
        <f>MONTH(A1756)</f>
        <v>5</v>
      </c>
      <c r="W1756" t="str">
        <f>PROPER(TEXT(A1756,"mmmm"))</f>
        <v>Mayo</v>
      </c>
      <c r="X1756" t="str">
        <f>PROPER(TEXT(A1756,"dddd"))</f>
        <v>Viernes</v>
      </c>
      <c r="Y1756" t="str" cm="1">
        <f t="array" ref="Y1756">_xlfn.IFS(R1756&gt;10,"Excelente",R1756&gt;=5,"Bueno",R1756&gt;=2,"Débil",R1756&lt;2,"Deficiente")</f>
        <v>Excelente</v>
      </c>
      <c r="Z1756" t="str">
        <f>IF(AND(R1756&lt;2,Q1756&gt;=100),"Revisar","OK")</f>
        <v>OK</v>
      </c>
      <c r="AA1756" s="55">
        <f>_xlfn.XLOOKUP(C1756,'Preguntas de negocio'!$C$114:$C$119,'Preguntas de negocio'!$D$114:$D$119,0)</f>
        <v>4.5</v>
      </c>
      <c r="AB1756" s="55">
        <f>VLOOKUP(C1756,'Preguntas de negocio'!$C$121:$D$127,2,FALSE)</f>
        <v>0.35</v>
      </c>
    </row>
    <row r="1757" spans="1:28" x14ac:dyDescent="0.3">
      <c r="A1757" s="1">
        <v>45964</v>
      </c>
      <c r="B1757" s="2" t="s">
        <v>2622</v>
      </c>
      <c r="C1757" s="2" t="s">
        <v>2541</v>
      </c>
      <c r="D1757" s="2" t="s">
        <v>2525</v>
      </c>
      <c r="E1757" s="2" t="s">
        <v>2517</v>
      </c>
      <c r="F1757" s="3">
        <v>81445</v>
      </c>
      <c r="G1757" s="3">
        <v>6354</v>
      </c>
      <c r="H1757" s="3">
        <v>856</v>
      </c>
      <c r="I1757" s="4">
        <v>4659.68</v>
      </c>
      <c r="J1757" s="4">
        <v>160667.25</v>
      </c>
      <c r="K1757" s="3">
        <v>392</v>
      </c>
      <c r="L1757" s="2" t="s">
        <v>2539</v>
      </c>
      <c r="M1757" s="2" t="s">
        <v>2537</v>
      </c>
      <c r="N1757" s="8">
        <f>IFERROR(G1757/F1757,0)</f>
        <v>7.8015838909693658E-2</v>
      </c>
      <c r="O1757" s="8">
        <f>IFERROR(H1757/G1757,0)</f>
        <v>0.13471828769279195</v>
      </c>
      <c r="P1757" s="4">
        <f>IFERROR(I1757/G1757,0)</f>
        <v>0.73334592382751029</v>
      </c>
      <c r="Q1757" s="4">
        <f>IFERROR(I1757/H1757,0)</f>
        <v>5.4435514018691595</v>
      </c>
      <c r="R1757" s="12">
        <f>IFERROR(J1757/I1757,0)</f>
        <v>34.480318390962466</v>
      </c>
      <c r="S1757" s="7">
        <f>Tabla_nuevas_columnas[[#This Row],[ROAS]]</f>
        <v>34.480318390962466</v>
      </c>
      <c r="T1757" t="str">
        <f>_xlfn.CONCAT(C1757,"-",D1757)</f>
        <v>Display-Francia</v>
      </c>
      <c r="U1757">
        <f>YEAR(A1757)</f>
        <v>2025</v>
      </c>
      <c r="V1757">
        <f>MONTH(A1757)</f>
        <v>11</v>
      </c>
      <c r="W1757" t="str">
        <f>PROPER(TEXT(A1757,"mmmm"))</f>
        <v>Noviembre</v>
      </c>
      <c r="X1757" t="str">
        <f>PROPER(TEXT(A1757,"dddd"))</f>
        <v>Lunes</v>
      </c>
      <c r="Y1757" t="str" cm="1">
        <f t="array" ref="Y1757">_xlfn.IFS(R1757&gt;10,"Excelente",R1757&gt;=5,"Bueno",R1757&gt;=2,"Débil",R1757&lt;2,"Deficiente")</f>
        <v>Excelente</v>
      </c>
      <c r="Z1757" t="str">
        <f>IF(AND(R1757&lt;2,Q1757&gt;=100),"Revisar","OK")</f>
        <v>OK</v>
      </c>
      <c r="AA1757" s="55">
        <f>_xlfn.XLOOKUP(C1757,'Preguntas de negocio'!$C$114:$C$119,'Preguntas de negocio'!$D$114:$D$119,0)</f>
        <v>5</v>
      </c>
      <c r="AB1757" s="55">
        <f>VLOOKUP(C1757,'Preguntas de negocio'!$C$121:$D$127,2,FALSE)</f>
        <v>0.5</v>
      </c>
    </row>
    <row r="1758" spans="1:28" x14ac:dyDescent="0.3">
      <c r="A1758" s="1">
        <v>45841</v>
      </c>
      <c r="B1758" s="2" t="s">
        <v>2636</v>
      </c>
      <c r="C1758" s="2" t="s">
        <v>2533</v>
      </c>
      <c r="D1758" s="2" t="s">
        <v>2531</v>
      </c>
      <c r="E1758" s="2" t="s">
        <v>2517</v>
      </c>
      <c r="F1758" s="3">
        <v>159005</v>
      </c>
      <c r="G1758" s="3">
        <v>10666</v>
      </c>
      <c r="H1758" s="3">
        <v>807</v>
      </c>
      <c r="I1758" s="4">
        <v>16460.810000000001</v>
      </c>
      <c r="J1758" s="4">
        <v>67452.5</v>
      </c>
      <c r="K1758" s="3">
        <v>638</v>
      </c>
      <c r="L1758" s="2" t="s">
        <v>2536</v>
      </c>
      <c r="M1758" s="2" t="s">
        <v>2526</v>
      </c>
      <c r="N1758" s="8">
        <f>IFERROR(G1758/F1758,0)</f>
        <v>6.707965158328355E-2</v>
      </c>
      <c r="O1758" s="8">
        <f>IFERROR(H1758/G1758,0)</f>
        <v>7.56609788111757E-2</v>
      </c>
      <c r="P1758" s="4">
        <f>IFERROR(I1758/G1758,0)</f>
        <v>1.5432973935870993</v>
      </c>
      <c r="Q1758" s="4">
        <f>IFERROR(I1758/H1758,0)</f>
        <v>20.39753407682776</v>
      </c>
      <c r="R1758" s="12">
        <f>IFERROR(J1758/I1758,0)</f>
        <v>4.0977631112928217</v>
      </c>
      <c r="S1758" s="7">
        <f>Tabla_nuevas_columnas[[#This Row],[ROAS]]</f>
        <v>4.0977631112928217</v>
      </c>
      <c r="T1758" t="str">
        <f>_xlfn.CONCAT(C1758,"-",D1758)</f>
        <v>Paid Social-Portugal</v>
      </c>
      <c r="U1758">
        <f>YEAR(A1758)</f>
        <v>2025</v>
      </c>
      <c r="V1758">
        <f>MONTH(A1758)</f>
        <v>7</v>
      </c>
      <c r="W1758" t="str">
        <f>PROPER(TEXT(A1758,"mmmm"))</f>
        <v>Julio</v>
      </c>
      <c r="X1758" t="str">
        <f>PROPER(TEXT(A1758,"dddd"))</f>
        <v>Jueves</v>
      </c>
      <c r="Y1758" t="str" cm="1">
        <f t="array" ref="Y1758">_xlfn.IFS(R1758&gt;10,"Excelente",R1758&gt;=5,"Bueno",R1758&gt;=2,"Débil",R1758&lt;2,"Deficiente")</f>
        <v>Débil</v>
      </c>
      <c r="Z1758" t="str">
        <f>IF(AND(R1758&lt;2,Q1758&gt;=100),"Revisar","OK")</f>
        <v>OK</v>
      </c>
      <c r="AA1758" s="55">
        <f>_xlfn.XLOOKUP(C1758,'Preguntas de negocio'!$C$114:$C$119,'Preguntas de negocio'!$D$114:$D$119,0)</f>
        <v>6</v>
      </c>
      <c r="AB1758" s="55">
        <f>VLOOKUP(C1758,'Preguntas de negocio'!$C$121:$D$127,2,FALSE)</f>
        <v>0.8</v>
      </c>
    </row>
    <row r="1759" spans="1:28" x14ac:dyDescent="0.3">
      <c r="A1759" s="1">
        <v>46003</v>
      </c>
      <c r="B1759" s="2" t="s">
        <v>2625</v>
      </c>
      <c r="C1759" s="2" t="s">
        <v>2521</v>
      </c>
      <c r="D1759" s="2" t="s">
        <v>2522</v>
      </c>
      <c r="E1759" s="2" t="s">
        <v>2517</v>
      </c>
      <c r="F1759" s="3">
        <v>172622</v>
      </c>
      <c r="G1759" s="3">
        <v>12451</v>
      </c>
      <c r="H1759" s="3">
        <v>1400</v>
      </c>
      <c r="I1759" s="4">
        <v>9068.3799999999992</v>
      </c>
      <c r="J1759" s="4">
        <v>112979.69</v>
      </c>
      <c r="K1759" s="3">
        <v>1109</v>
      </c>
      <c r="L1759" s="2" t="s">
        <v>2536</v>
      </c>
      <c r="M1759" s="2" t="s">
        <v>2546</v>
      </c>
      <c r="N1759" s="8">
        <f>IFERROR(G1759/F1759,0)</f>
        <v>7.2128697385037827E-2</v>
      </c>
      <c r="O1759" s="8">
        <f>IFERROR(H1759/G1759,0)</f>
        <v>0.11244076780981448</v>
      </c>
      <c r="P1759" s="4">
        <f>IFERROR(I1759/G1759,0)</f>
        <v>0.72832543570797514</v>
      </c>
      <c r="Q1759" s="4">
        <f>IFERROR(I1759/H1759,0)</f>
        <v>6.4774142857142856</v>
      </c>
      <c r="R1759" s="12">
        <f>IFERROR(J1759/I1759,0)</f>
        <v>12.458640903888016</v>
      </c>
      <c r="S1759" s="7">
        <f>Tabla_nuevas_columnas[[#This Row],[ROAS]]</f>
        <v>12.458640903888016</v>
      </c>
      <c r="T1759" t="str">
        <f>_xlfn.CONCAT(C1759,"-",D1759)</f>
        <v>Paid Search-Italia</v>
      </c>
      <c r="U1759">
        <f>YEAR(A1759)</f>
        <v>2025</v>
      </c>
      <c r="V1759">
        <f>MONTH(A1759)</f>
        <v>12</v>
      </c>
      <c r="W1759" t="str">
        <f>PROPER(TEXT(A1759,"mmmm"))</f>
        <v>Diciembre</v>
      </c>
      <c r="X1759" t="str">
        <f>PROPER(TEXT(A1759,"dddd"))</f>
        <v>Viernes</v>
      </c>
      <c r="Y1759" t="str" cm="1">
        <f t="array" ref="Y1759">_xlfn.IFS(R1759&gt;10,"Excelente",R1759&gt;=5,"Bueno",R1759&gt;=2,"Débil",R1759&lt;2,"Deficiente")</f>
        <v>Excelente</v>
      </c>
      <c r="Z1759" t="str">
        <f>IF(AND(R1759&lt;2,Q1759&gt;=100),"Revisar","OK")</f>
        <v>OK</v>
      </c>
      <c r="AA1759" s="55">
        <f>_xlfn.XLOOKUP(C1759,'Preguntas de negocio'!$C$114:$C$119,'Preguntas de negocio'!$D$114:$D$119,0)</f>
        <v>5</v>
      </c>
      <c r="AB1759" s="55">
        <f>VLOOKUP(C1759,'Preguntas de negocio'!$C$121:$D$127,2,FALSE)</f>
        <v>1.1000000000000001</v>
      </c>
    </row>
    <row r="1760" spans="1:28" x14ac:dyDescent="0.3">
      <c r="A1760" s="1">
        <v>45853</v>
      </c>
      <c r="B1760" s="2" t="s">
        <v>2639</v>
      </c>
      <c r="C1760" s="2" t="s">
        <v>2521</v>
      </c>
      <c r="D1760" s="2" t="s">
        <v>2528</v>
      </c>
      <c r="E1760" s="2" t="s">
        <v>2517</v>
      </c>
      <c r="F1760" s="3">
        <v>97138</v>
      </c>
      <c r="G1760" s="3">
        <v>7880</v>
      </c>
      <c r="H1760" s="3">
        <v>354</v>
      </c>
      <c r="I1760" s="4">
        <v>6258.9</v>
      </c>
      <c r="J1760" s="4">
        <v>74907.87</v>
      </c>
      <c r="K1760" s="3">
        <v>270</v>
      </c>
      <c r="L1760" s="2" t="s">
        <v>2518</v>
      </c>
      <c r="M1760" s="2" t="s">
        <v>2546</v>
      </c>
      <c r="N1760" s="8">
        <f>IFERROR(G1760/F1760,0)</f>
        <v>8.1121703143980733E-2</v>
      </c>
      <c r="O1760" s="8">
        <f>IFERROR(H1760/G1760,0)</f>
        <v>4.4923857868020306E-2</v>
      </c>
      <c r="P1760" s="4">
        <f>IFERROR(I1760/G1760,0)</f>
        <v>0.79427664974619283</v>
      </c>
      <c r="Q1760" s="4">
        <f>IFERROR(I1760/H1760,0)</f>
        <v>17.680508474576271</v>
      </c>
      <c r="R1760" s="12">
        <f>IFERROR(J1760/I1760,0)</f>
        <v>11.968216459761299</v>
      </c>
      <c r="S1760" s="7">
        <f>Tabla_nuevas_columnas[[#This Row],[ROAS]]</f>
        <v>11.968216459761299</v>
      </c>
      <c r="T1760" t="str">
        <f>_xlfn.CONCAT(C1760,"-",D1760)</f>
        <v>Paid Search-España</v>
      </c>
      <c r="U1760">
        <f>YEAR(A1760)</f>
        <v>2025</v>
      </c>
      <c r="V1760">
        <f>MONTH(A1760)</f>
        <v>7</v>
      </c>
      <c r="W1760" t="str">
        <f>PROPER(TEXT(A1760,"mmmm"))</f>
        <v>Julio</v>
      </c>
      <c r="X1760" t="str">
        <f>PROPER(TEXT(A1760,"dddd"))</f>
        <v>Martes</v>
      </c>
      <c r="Y1760" t="str" cm="1">
        <f t="array" ref="Y1760">_xlfn.IFS(R1760&gt;10,"Excelente",R1760&gt;=5,"Bueno",R1760&gt;=2,"Débil",R1760&lt;2,"Deficiente")</f>
        <v>Excelente</v>
      </c>
      <c r="Z1760" t="str">
        <f>IF(AND(R1760&lt;2,Q1760&gt;=100),"Revisar","OK")</f>
        <v>OK</v>
      </c>
      <c r="AA1760" s="55">
        <f>_xlfn.XLOOKUP(C1760,'Preguntas de negocio'!$C$114:$C$119,'Preguntas de negocio'!$D$114:$D$119,0)</f>
        <v>5</v>
      </c>
      <c r="AB1760" s="55">
        <f>VLOOKUP(C1760,'Preguntas de negocio'!$C$121:$D$127,2,FALSE)</f>
        <v>1.1000000000000001</v>
      </c>
    </row>
    <row r="1761" spans="1:28" x14ac:dyDescent="0.3">
      <c r="A1761" s="1">
        <v>45903</v>
      </c>
      <c r="B1761" s="2" t="s">
        <v>2639</v>
      </c>
      <c r="C1761" s="2" t="s">
        <v>2527</v>
      </c>
      <c r="D1761" s="2" t="s">
        <v>2528</v>
      </c>
      <c r="E1761" s="2" t="s">
        <v>2517</v>
      </c>
      <c r="F1761" s="3">
        <v>54196</v>
      </c>
      <c r="G1761" s="3">
        <v>3954</v>
      </c>
      <c r="H1761" s="3">
        <v>434</v>
      </c>
      <c r="I1761" s="4">
        <v>6382.16</v>
      </c>
      <c r="J1761" s="4">
        <v>53810.61</v>
      </c>
      <c r="K1761" s="3">
        <v>331</v>
      </c>
      <c r="L1761" s="2" t="s">
        <v>2523</v>
      </c>
      <c r="M1761" s="2" t="s">
        <v>2537</v>
      </c>
      <c r="N1761" s="8">
        <f>IFERROR(G1761/F1761,0)</f>
        <v>7.2957413831279058E-2</v>
      </c>
      <c r="O1761" s="8">
        <f>IFERROR(H1761/G1761,0)</f>
        <v>0.10976226605968639</v>
      </c>
      <c r="P1761" s="4">
        <f>IFERROR(I1761/G1761,0)</f>
        <v>1.6141021750126454</v>
      </c>
      <c r="Q1761" s="4">
        <f>IFERROR(I1761/H1761,0)</f>
        <v>14.705437788018433</v>
      </c>
      <c r="R1761" s="12">
        <f>IFERROR(J1761/I1761,0)</f>
        <v>8.4314103689033182</v>
      </c>
      <c r="S1761" s="7">
        <f>Tabla_nuevas_columnas[[#This Row],[ROAS]]</f>
        <v>8.4314103689033182</v>
      </c>
      <c r="T1761" t="str">
        <f>_xlfn.CONCAT(C1761,"-",D1761)</f>
        <v>Affiliate-España</v>
      </c>
      <c r="U1761">
        <f>YEAR(A1761)</f>
        <v>2025</v>
      </c>
      <c r="V1761">
        <f>MONTH(A1761)</f>
        <v>9</v>
      </c>
      <c r="W1761" t="str">
        <f>PROPER(TEXT(A1761,"mmmm"))</f>
        <v>Septiembre</v>
      </c>
      <c r="X1761" t="str">
        <f>PROPER(TEXT(A1761,"dddd"))</f>
        <v>Miércoles</v>
      </c>
      <c r="Y1761" t="str" cm="1">
        <f t="array" ref="Y1761">_xlfn.IFS(R1761&gt;10,"Excelente",R1761&gt;=5,"Bueno",R1761&gt;=2,"Débil",R1761&lt;2,"Deficiente")</f>
        <v>Bueno</v>
      </c>
      <c r="Z1761" t="str">
        <f>IF(AND(R1761&lt;2,Q1761&gt;=100),"Revisar","OK")</f>
        <v>OK</v>
      </c>
      <c r="AA1761" s="55">
        <f>_xlfn.XLOOKUP(C1761,'Preguntas de negocio'!$C$114:$C$119,'Preguntas de negocio'!$D$114:$D$119,0)</f>
        <v>4.5</v>
      </c>
      <c r="AB1761" s="55">
        <f>VLOOKUP(C1761,'Preguntas de negocio'!$C$121:$D$127,2,FALSE)</f>
        <v>0.35</v>
      </c>
    </row>
    <row r="1762" spans="1:28" x14ac:dyDescent="0.3">
      <c r="A1762" s="1">
        <v>45996</v>
      </c>
      <c r="B1762" s="2" t="s">
        <v>2641</v>
      </c>
      <c r="C1762" s="2" t="s">
        <v>2515</v>
      </c>
      <c r="D1762" s="2" t="s">
        <v>2531</v>
      </c>
      <c r="E1762" s="2" t="s">
        <v>2529</v>
      </c>
      <c r="F1762" s="3">
        <v>97664</v>
      </c>
      <c r="G1762" s="3">
        <v>5523</v>
      </c>
      <c r="H1762" s="3">
        <v>85</v>
      </c>
      <c r="I1762" s="4">
        <v>8944.33</v>
      </c>
      <c r="J1762" s="4">
        <v>9054.4500000000007</v>
      </c>
      <c r="K1762" s="3">
        <v>75</v>
      </c>
      <c r="L1762" s="2" t="s">
        <v>2536</v>
      </c>
      <c r="M1762" s="2" t="s">
        <v>2645</v>
      </c>
      <c r="N1762" s="8">
        <f>IFERROR(G1762/F1762,0)</f>
        <v>5.6551032110091742E-2</v>
      </c>
      <c r="O1762" s="8">
        <f>IFERROR(H1762/G1762,0)</f>
        <v>1.5390186492848091E-2</v>
      </c>
      <c r="P1762" s="4">
        <f>IFERROR(I1762/G1762,0)</f>
        <v>1.6194694912185406</v>
      </c>
      <c r="Q1762" s="4">
        <f>IFERROR(I1762/H1762,0)</f>
        <v>105.22741176470588</v>
      </c>
      <c r="R1762" s="12">
        <f>IFERROR(J1762/I1762,0)</f>
        <v>1.0123117103237471</v>
      </c>
      <c r="S1762" s="7">
        <f>Tabla_nuevas_columnas[[#This Row],[ROAS]]</f>
        <v>1.0123117103237471</v>
      </c>
      <c r="T1762" t="str">
        <f>_xlfn.CONCAT(C1762,"-",D1762)</f>
        <v>Email-Portugal</v>
      </c>
      <c r="U1762">
        <f>YEAR(A1762)</f>
        <v>2025</v>
      </c>
      <c r="V1762">
        <f>MONTH(A1762)</f>
        <v>12</v>
      </c>
      <c r="W1762" t="str">
        <f>PROPER(TEXT(A1762,"mmmm"))</f>
        <v>Diciembre</v>
      </c>
      <c r="X1762" t="str">
        <f>PROPER(TEXT(A1762,"dddd"))</f>
        <v>Viernes</v>
      </c>
      <c r="Y1762" t="str" cm="1">
        <f t="array" ref="Y1762">_xlfn.IFS(R1762&gt;10,"Excelente",R1762&gt;=5,"Bueno",R1762&gt;=2,"Débil",R1762&lt;2,"Deficiente")</f>
        <v>Deficiente</v>
      </c>
      <c r="Z1762" t="str">
        <f>IF(AND(R1762&lt;2,Q1762&gt;=100),"Revisar","OK")</f>
        <v>Revisar</v>
      </c>
      <c r="AA1762" s="55">
        <f>_xlfn.XLOOKUP(C1762,'Preguntas de negocio'!$C$114:$C$119,'Preguntas de negocio'!$D$114:$D$119,0)</f>
        <v>5.5</v>
      </c>
      <c r="AB1762" s="55">
        <f>VLOOKUP(C1762,'Preguntas de negocio'!$C$121:$D$127,2,FALSE)</f>
        <v>0.65</v>
      </c>
    </row>
    <row r="1763" spans="1:28" x14ac:dyDescent="0.3">
      <c r="A1763" s="1">
        <v>46019</v>
      </c>
      <c r="B1763" s="2" t="s">
        <v>2633</v>
      </c>
      <c r="C1763" s="2" t="s">
        <v>2527</v>
      </c>
      <c r="D1763" s="2" t="s">
        <v>2525</v>
      </c>
      <c r="E1763" s="2" t="s">
        <v>2529</v>
      </c>
      <c r="F1763" s="3">
        <v>42471</v>
      </c>
      <c r="G1763" s="3">
        <v>1116</v>
      </c>
      <c r="H1763" s="3">
        <v>26</v>
      </c>
      <c r="I1763" s="4">
        <v>2010.77</v>
      </c>
      <c r="J1763" s="4">
        <v>525.9</v>
      </c>
      <c r="K1763" s="3">
        <v>14</v>
      </c>
      <c r="L1763" s="2" t="s">
        <v>2536</v>
      </c>
      <c r="M1763" s="2" t="s">
        <v>2524</v>
      </c>
      <c r="N1763" s="8">
        <f>IFERROR(G1763/F1763,0)</f>
        <v>2.6276753549480822E-2</v>
      </c>
      <c r="O1763" s="8">
        <f>IFERROR(H1763/G1763,0)</f>
        <v>2.3297491039426525E-2</v>
      </c>
      <c r="P1763" s="4">
        <f>IFERROR(I1763/G1763,0)</f>
        <v>1.8017652329749103</v>
      </c>
      <c r="Q1763" s="4">
        <f>IFERROR(I1763/H1763,0)</f>
        <v>77.337307692307689</v>
      </c>
      <c r="R1763" s="12">
        <f>IFERROR(J1763/I1763,0)</f>
        <v>0.26154159849211994</v>
      </c>
      <c r="S1763" s="7">
        <f>Tabla_nuevas_columnas[[#This Row],[ROAS]]</f>
        <v>0.26154159849211994</v>
      </c>
      <c r="T1763" t="str">
        <f>_xlfn.CONCAT(C1763,"-",D1763)</f>
        <v>Affiliate-Francia</v>
      </c>
      <c r="U1763">
        <f>YEAR(A1763)</f>
        <v>2025</v>
      </c>
      <c r="V1763">
        <f>MONTH(A1763)</f>
        <v>12</v>
      </c>
      <c r="W1763" t="str">
        <f>PROPER(TEXT(A1763,"mmmm"))</f>
        <v>Diciembre</v>
      </c>
      <c r="X1763" t="str">
        <f>PROPER(TEXT(A1763,"dddd"))</f>
        <v>Domingo</v>
      </c>
      <c r="Y1763" t="str" cm="1">
        <f t="array" ref="Y1763">_xlfn.IFS(R1763&gt;10,"Excelente",R1763&gt;=5,"Bueno",R1763&gt;=2,"Débil",R1763&lt;2,"Deficiente")</f>
        <v>Deficiente</v>
      </c>
      <c r="Z1763" t="str">
        <f>IF(AND(R1763&lt;2,Q1763&gt;=100),"Revisar","OK")</f>
        <v>OK</v>
      </c>
      <c r="AA1763" s="55">
        <f>_xlfn.XLOOKUP(C1763,'Preguntas de negocio'!$C$114:$C$119,'Preguntas de negocio'!$D$114:$D$119,0)</f>
        <v>4.5</v>
      </c>
      <c r="AB1763" s="55">
        <f>VLOOKUP(C1763,'Preguntas de negocio'!$C$121:$D$127,2,FALSE)</f>
        <v>0.35</v>
      </c>
    </row>
    <row r="1764" spans="1:28" x14ac:dyDescent="0.3">
      <c r="A1764" s="1">
        <v>45797</v>
      </c>
      <c r="B1764" s="2" t="s">
        <v>2628</v>
      </c>
      <c r="C1764" s="2" t="s">
        <v>2515</v>
      </c>
      <c r="D1764" s="2" t="s">
        <v>2528</v>
      </c>
      <c r="E1764" s="2" t="s">
        <v>2517</v>
      </c>
      <c r="F1764" s="3">
        <v>90932</v>
      </c>
      <c r="G1764" s="3">
        <v>1302</v>
      </c>
      <c r="H1764" s="3">
        <v>172</v>
      </c>
      <c r="I1764" s="4">
        <v>635.32000000000005</v>
      </c>
      <c r="J1764" s="4">
        <v>17159.52</v>
      </c>
      <c r="K1764" s="3">
        <v>107</v>
      </c>
      <c r="L1764" s="2" t="s">
        <v>2518</v>
      </c>
      <c r="M1764" s="2" t="s">
        <v>2519</v>
      </c>
      <c r="N1764" s="8">
        <f>IFERROR(G1764/F1764,0)</f>
        <v>1.431839176527515E-2</v>
      </c>
      <c r="O1764" s="8">
        <f>IFERROR(H1764/G1764,0)</f>
        <v>0.13210445468509985</v>
      </c>
      <c r="P1764" s="4">
        <f>IFERROR(I1764/G1764,0)</f>
        <v>0.48795698924731185</v>
      </c>
      <c r="Q1764" s="4">
        <f>IFERROR(I1764/H1764,0)</f>
        <v>3.6937209302325584</v>
      </c>
      <c r="R1764" s="12">
        <f>IFERROR(J1764/I1764,0)</f>
        <v>27.009255178492726</v>
      </c>
      <c r="S1764" s="7">
        <f>Tabla_nuevas_columnas[[#This Row],[ROAS]]</f>
        <v>27.009255178492726</v>
      </c>
      <c r="T1764" t="str">
        <f>_xlfn.CONCAT(C1764,"-",D1764)</f>
        <v>Email-España</v>
      </c>
      <c r="U1764">
        <f>YEAR(A1764)</f>
        <v>2025</v>
      </c>
      <c r="V1764">
        <f>MONTH(A1764)</f>
        <v>5</v>
      </c>
      <c r="W1764" t="str">
        <f>PROPER(TEXT(A1764,"mmmm"))</f>
        <v>Mayo</v>
      </c>
      <c r="X1764" t="str">
        <f>PROPER(TEXT(A1764,"dddd"))</f>
        <v>Martes</v>
      </c>
      <c r="Y1764" t="str" cm="1">
        <f t="array" ref="Y1764">_xlfn.IFS(R1764&gt;10,"Excelente",R1764&gt;=5,"Bueno",R1764&gt;=2,"Débil",R1764&lt;2,"Deficiente")</f>
        <v>Excelente</v>
      </c>
      <c r="Z1764" t="str">
        <f>IF(AND(R1764&lt;2,Q1764&gt;=100),"Revisar","OK")</f>
        <v>OK</v>
      </c>
      <c r="AA1764" s="55">
        <f>_xlfn.XLOOKUP(C1764,'Preguntas de negocio'!$C$114:$C$119,'Preguntas de negocio'!$D$114:$D$119,0)</f>
        <v>5.5</v>
      </c>
      <c r="AB1764" s="55">
        <f>VLOOKUP(C1764,'Preguntas de negocio'!$C$121:$D$127,2,FALSE)</f>
        <v>0.65</v>
      </c>
    </row>
    <row r="1765" spans="1:28" x14ac:dyDescent="0.3">
      <c r="A1765" s="1">
        <v>45970</v>
      </c>
      <c r="B1765" s="2" t="s">
        <v>2625</v>
      </c>
      <c r="C1765" s="2" t="s">
        <v>2533</v>
      </c>
      <c r="D1765" s="2" t="s">
        <v>2528</v>
      </c>
      <c r="E1765" s="2" t="s">
        <v>2529</v>
      </c>
      <c r="F1765" s="3">
        <v>64603</v>
      </c>
      <c r="G1765" s="3">
        <v>3827</v>
      </c>
      <c r="H1765" s="3">
        <v>156</v>
      </c>
      <c r="I1765" s="4">
        <v>3961.49</v>
      </c>
      <c r="J1765" s="4">
        <v>17807.47</v>
      </c>
      <c r="K1765" s="3">
        <v>70</v>
      </c>
      <c r="L1765" s="2" t="s">
        <v>2539</v>
      </c>
      <c r="M1765" s="2" t="s">
        <v>2537</v>
      </c>
      <c r="N1765" s="8">
        <f>IFERROR(G1765/F1765,0)</f>
        <v>5.9238735043264247E-2</v>
      </c>
      <c r="O1765" s="8">
        <f>IFERROR(H1765/G1765,0)</f>
        <v>4.0762999738698721E-2</v>
      </c>
      <c r="P1765" s="4">
        <f>IFERROR(I1765/G1765,0)</f>
        <v>1.035142409197805</v>
      </c>
      <c r="Q1765" s="4">
        <f>IFERROR(I1765/H1765,0)</f>
        <v>25.394166666666667</v>
      </c>
      <c r="R1765" s="12">
        <f>IFERROR(J1765/I1765,0)</f>
        <v>4.4951445037094633</v>
      </c>
      <c r="S1765" s="7">
        <f>Tabla_nuevas_columnas[[#This Row],[ROAS]]</f>
        <v>4.4951445037094633</v>
      </c>
      <c r="T1765" t="str">
        <f>_xlfn.CONCAT(C1765,"-",D1765)</f>
        <v>Paid Social-España</v>
      </c>
      <c r="U1765">
        <f>YEAR(A1765)</f>
        <v>2025</v>
      </c>
      <c r="V1765">
        <f>MONTH(A1765)</f>
        <v>11</v>
      </c>
      <c r="W1765" t="str">
        <f>PROPER(TEXT(A1765,"mmmm"))</f>
        <v>Noviembre</v>
      </c>
      <c r="X1765" t="str">
        <f>PROPER(TEXT(A1765,"dddd"))</f>
        <v>Domingo</v>
      </c>
      <c r="Y1765" t="str" cm="1">
        <f t="array" ref="Y1765">_xlfn.IFS(R1765&gt;10,"Excelente",R1765&gt;=5,"Bueno",R1765&gt;=2,"Débil",R1765&lt;2,"Deficiente")</f>
        <v>Débil</v>
      </c>
      <c r="Z1765" t="str">
        <f>IF(AND(R1765&lt;2,Q1765&gt;=100),"Revisar","OK")</f>
        <v>OK</v>
      </c>
      <c r="AA1765" s="55">
        <f>_xlfn.XLOOKUP(C1765,'Preguntas de negocio'!$C$114:$C$119,'Preguntas de negocio'!$D$114:$D$119,0)</f>
        <v>6</v>
      </c>
      <c r="AB1765" s="55">
        <f>VLOOKUP(C1765,'Preguntas de negocio'!$C$121:$D$127,2,FALSE)</f>
        <v>0.8</v>
      </c>
    </row>
    <row r="1766" spans="1:28" x14ac:dyDescent="0.3">
      <c r="A1766" s="1">
        <v>45879</v>
      </c>
      <c r="B1766" s="2" t="s">
        <v>2644</v>
      </c>
      <c r="C1766" s="2" t="s">
        <v>2521</v>
      </c>
      <c r="D1766" s="2" t="s">
        <v>2531</v>
      </c>
      <c r="E1766" s="2" t="s">
        <v>2529</v>
      </c>
      <c r="F1766" s="3">
        <v>95785</v>
      </c>
      <c r="G1766" s="3">
        <v>7858</v>
      </c>
      <c r="H1766" s="3">
        <v>877</v>
      </c>
      <c r="I1766" s="4">
        <v>7858.81</v>
      </c>
      <c r="J1766" s="4">
        <v>69761.100000000006</v>
      </c>
      <c r="K1766" s="3">
        <v>550</v>
      </c>
      <c r="L1766" s="2" t="s">
        <v>2523</v>
      </c>
      <c r="M1766" s="2" t="s">
        <v>2519</v>
      </c>
      <c r="N1766" s="8">
        <f>IFERROR(G1766/F1766,0)</f>
        <v>8.2037897374327928E-2</v>
      </c>
      <c r="O1766" s="8">
        <f>IFERROR(H1766/G1766,0)</f>
        <v>0.11160600661745991</v>
      </c>
      <c r="P1766" s="4">
        <f>IFERROR(I1766/G1766,0)</f>
        <v>1.0001030796640367</v>
      </c>
      <c r="Q1766" s="4">
        <f>IFERROR(I1766/H1766,0)</f>
        <v>8.9610148232611184</v>
      </c>
      <c r="R1766" s="12">
        <f>IFERROR(J1766/I1766,0)</f>
        <v>8.8768019585662472</v>
      </c>
      <c r="S1766" s="7">
        <f>Tabla_nuevas_columnas[[#This Row],[ROAS]]</f>
        <v>8.8768019585662472</v>
      </c>
      <c r="T1766" t="str">
        <f>_xlfn.CONCAT(C1766,"-",D1766)</f>
        <v>Paid Search-Portugal</v>
      </c>
      <c r="U1766">
        <f>YEAR(A1766)</f>
        <v>2025</v>
      </c>
      <c r="V1766">
        <f>MONTH(A1766)</f>
        <v>8</v>
      </c>
      <c r="W1766" t="str">
        <f>PROPER(TEXT(A1766,"mmmm"))</f>
        <v>Agosto</v>
      </c>
      <c r="X1766" t="str">
        <f>PROPER(TEXT(A1766,"dddd"))</f>
        <v>Domingo</v>
      </c>
      <c r="Y1766" t="str" cm="1">
        <f t="array" ref="Y1766">_xlfn.IFS(R1766&gt;10,"Excelente",R1766&gt;=5,"Bueno",R1766&gt;=2,"Débil",R1766&lt;2,"Deficiente")</f>
        <v>Bueno</v>
      </c>
      <c r="Z1766" t="str">
        <f>IF(AND(R1766&lt;2,Q1766&gt;=100),"Revisar","OK")</f>
        <v>OK</v>
      </c>
      <c r="AA1766" s="55">
        <f>_xlfn.XLOOKUP(C1766,'Preguntas de negocio'!$C$114:$C$119,'Preguntas de negocio'!$D$114:$D$119,0)</f>
        <v>5</v>
      </c>
      <c r="AB1766" s="55">
        <f>VLOOKUP(C1766,'Preguntas de negocio'!$C$121:$D$127,2,FALSE)</f>
        <v>1.1000000000000001</v>
      </c>
    </row>
    <row r="1767" spans="1:28" x14ac:dyDescent="0.3">
      <c r="A1767" s="1">
        <v>45932</v>
      </c>
      <c r="B1767" s="2" t="s">
        <v>2632</v>
      </c>
      <c r="C1767" s="2" t="s">
        <v>2543</v>
      </c>
      <c r="D1767" s="2" t="s">
        <v>2522</v>
      </c>
      <c r="E1767" s="2" t="s">
        <v>2517</v>
      </c>
      <c r="F1767" s="3">
        <v>10851</v>
      </c>
      <c r="G1767" s="3">
        <v>423</v>
      </c>
      <c r="H1767" s="3">
        <v>8</v>
      </c>
      <c r="I1767" s="4">
        <v>397.49</v>
      </c>
      <c r="J1767" s="4">
        <v>418.72</v>
      </c>
      <c r="K1767" s="3">
        <v>6</v>
      </c>
      <c r="L1767" s="2" t="s">
        <v>2536</v>
      </c>
      <c r="M1767" s="2" t="s">
        <v>2526</v>
      </c>
      <c r="N1767" s="8">
        <f>IFERROR(G1767/F1767,0)</f>
        <v>3.8982582250483823E-2</v>
      </c>
      <c r="O1767" s="8">
        <f>IFERROR(H1767/G1767,0)</f>
        <v>1.8912529550827423E-2</v>
      </c>
      <c r="P1767" s="4">
        <f>IFERROR(I1767/G1767,0)</f>
        <v>0.93969267139479906</v>
      </c>
      <c r="Q1767" s="4">
        <f>IFERROR(I1767/H1767,0)</f>
        <v>49.686250000000001</v>
      </c>
      <c r="R1767" s="12">
        <f>IFERROR(J1767/I1767,0)</f>
        <v>1.0534101486829859</v>
      </c>
      <c r="S1767" s="7">
        <f>Tabla_nuevas_columnas[[#This Row],[ROAS]]</f>
        <v>1.0534101486829859</v>
      </c>
      <c r="T1767" t="str">
        <f>_xlfn.CONCAT(C1767,"-",D1767)</f>
        <v>Organic Social-Italia</v>
      </c>
      <c r="U1767">
        <f>YEAR(A1767)</f>
        <v>2025</v>
      </c>
      <c r="V1767">
        <f>MONTH(A1767)</f>
        <v>10</v>
      </c>
      <c r="W1767" t="str">
        <f>PROPER(TEXT(A1767,"mmmm"))</f>
        <v>Octubre</v>
      </c>
      <c r="X1767" t="str">
        <f>PROPER(TEXT(A1767,"dddd"))</f>
        <v>Jueves</v>
      </c>
      <c r="Y1767" t="str" cm="1">
        <f t="array" ref="Y1767">_xlfn.IFS(R1767&gt;10,"Excelente",R1767&gt;=5,"Bueno",R1767&gt;=2,"Débil",R1767&lt;2,"Deficiente")</f>
        <v>Deficiente</v>
      </c>
      <c r="Z1767" t="str">
        <f>IF(AND(R1767&lt;2,Q1767&gt;=100),"Revisar","OK")</f>
        <v>OK</v>
      </c>
      <c r="AA1767" s="55">
        <f>_xlfn.XLOOKUP(C1767,'Preguntas de negocio'!$C$114:$C$119,'Preguntas de negocio'!$D$114:$D$119,0)</f>
        <v>4</v>
      </c>
      <c r="AB1767" s="55">
        <f>VLOOKUP(C1767,'Preguntas de negocio'!$C$121:$D$127,2,FALSE)</f>
        <v>0.95</v>
      </c>
    </row>
    <row r="1768" spans="1:28" x14ac:dyDescent="0.3">
      <c r="A1768" s="1">
        <v>45664</v>
      </c>
      <c r="B1768" s="2" t="s">
        <v>2635</v>
      </c>
      <c r="C1768" s="2" t="s">
        <v>2541</v>
      </c>
      <c r="D1768" s="2" t="s">
        <v>2528</v>
      </c>
      <c r="E1768" s="2" t="s">
        <v>2517</v>
      </c>
      <c r="F1768" s="3">
        <v>11652</v>
      </c>
      <c r="G1768" s="3">
        <v>806</v>
      </c>
      <c r="H1768" s="3">
        <v>44</v>
      </c>
      <c r="I1768" s="4">
        <v>515.67999999999995</v>
      </c>
      <c r="J1768" s="4">
        <v>5721.09</v>
      </c>
      <c r="K1768" s="3">
        <v>35</v>
      </c>
      <c r="L1768" s="2" t="s">
        <v>2523</v>
      </c>
      <c r="M1768" s="2" t="s">
        <v>2546</v>
      </c>
      <c r="N1768" s="8">
        <f>IFERROR(G1768/F1768,0)</f>
        <v>6.9172674219018196E-2</v>
      </c>
      <c r="O1768" s="8">
        <f>IFERROR(H1768/G1768,0)</f>
        <v>5.4590570719602979E-2</v>
      </c>
      <c r="P1768" s="4">
        <f>IFERROR(I1768/G1768,0)</f>
        <v>0.63980148883374688</v>
      </c>
      <c r="Q1768" s="4">
        <f>IFERROR(I1768/H1768,0)</f>
        <v>11.719999999999999</v>
      </c>
      <c r="R1768" s="12">
        <f>IFERROR(J1768/I1768,0)</f>
        <v>11.094263884579586</v>
      </c>
      <c r="S1768" s="7">
        <f>Tabla_nuevas_columnas[[#This Row],[ROAS]]</f>
        <v>11.094263884579586</v>
      </c>
      <c r="T1768" t="str">
        <f>_xlfn.CONCAT(C1768,"-",D1768)</f>
        <v>Display-España</v>
      </c>
      <c r="U1768">
        <f>YEAR(A1768)</f>
        <v>2025</v>
      </c>
      <c r="V1768">
        <f>MONTH(A1768)</f>
        <v>1</v>
      </c>
      <c r="W1768" t="str">
        <f>PROPER(TEXT(A1768,"mmmm"))</f>
        <v>Enero</v>
      </c>
      <c r="X1768" t="str">
        <f>PROPER(TEXT(A1768,"dddd"))</f>
        <v>Martes</v>
      </c>
      <c r="Y1768" t="str" cm="1">
        <f t="array" ref="Y1768">_xlfn.IFS(R1768&gt;10,"Excelente",R1768&gt;=5,"Bueno",R1768&gt;=2,"Débil",R1768&lt;2,"Deficiente")</f>
        <v>Excelente</v>
      </c>
      <c r="Z1768" t="str">
        <f>IF(AND(R1768&lt;2,Q1768&gt;=100),"Revisar","OK")</f>
        <v>OK</v>
      </c>
      <c r="AA1768" s="55">
        <f>_xlfn.XLOOKUP(C1768,'Preguntas de negocio'!$C$114:$C$119,'Preguntas de negocio'!$D$114:$D$119,0)</f>
        <v>5</v>
      </c>
      <c r="AB1768" s="55">
        <f>VLOOKUP(C1768,'Preguntas de negocio'!$C$121:$D$127,2,FALSE)</f>
        <v>0.5</v>
      </c>
    </row>
    <row r="1769" spans="1:28" x14ac:dyDescent="0.3">
      <c r="A1769" s="1">
        <v>45756</v>
      </c>
      <c r="B1769" s="2" t="s">
        <v>2634</v>
      </c>
      <c r="C1769" s="2" t="s">
        <v>2527</v>
      </c>
      <c r="D1769" s="2" t="s">
        <v>2528</v>
      </c>
      <c r="E1769" s="2" t="s">
        <v>2529</v>
      </c>
      <c r="F1769" s="3">
        <v>72154</v>
      </c>
      <c r="G1769" s="3">
        <v>73029</v>
      </c>
      <c r="H1769" s="3">
        <v>545</v>
      </c>
      <c r="I1769" s="4">
        <v>9586.16</v>
      </c>
      <c r="J1769" s="4">
        <v>38129.86</v>
      </c>
      <c r="K1769" s="3">
        <v>304</v>
      </c>
      <c r="L1769" s="2" t="s">
        <v>2523</v>
      </c>
      <c r="M1769" s="2" t="s">
        <v>2519</v>
      </c>
      <c r="N1769" s="8">
        <f>IFERROR(G1769/F1769,0)</f>
        <v>1.0121268398148404</v>
      </c>
      <c r="O1769" s="8">
        <f>IFERROR(H1769/G1769,0)</f>
        <v>7.462788755152063E-3</v>
      </c>
      <c r="P1769" s="4">
        <f>IFERROR(I1769/G1769,0)</f>
        <v>0.13126511385887799</v>
      </c>
      <c r="Q1769" s="4">
        <f>IFERROR(I1769/H1769,0)</f>
        <v>17.589284403669726</v>
      </c>
      <c r="R1769" s="12">
        <f>IFERROR(J1769/I1769,0)</f>
        <v>3.9775947824780729</v>
      </c>
      <c r="S1769" s="7">
        <f>Tabla_nuevas_columnas[[#This Row],[ROAS]]</f>
        <v>3.9775947824780729</v>
      </c>
      <c r="T1769" t="str">
        <f>_xlfn.CONCAT(C1769,"-",D1769)</f>
        <v>Affiliate-España</v>
      </c>
      <c r="U1769">
        <f>YEAR(A1769)</f>
        <v>2025</v>
      </c>
      <c r="V1769">
        <f>MONTH(A1769)</f>
        <v>4</v>
      </c>
      <c r="W1769" t="str">
        <f>PROPER(TEXT(A1769,"mmmm"))</f>
        <v>Abril</v>
      </c>
      <c r="X1769" t="str">
        <f>PROPER(TEXT(A1769,"dddd"))</f>
        <v>Miércoles</v>
      </c>
      <c r="Y1769" t="str" cm="1">
        <f t="array" ref="Y1769">_xlfn.IFS(R1769&gt;10,"Excelente",R1769&gt;=5,"Bueno",R1769&gt;=2,"Débil",R1769&lt;2,"Deficiente")</f>
        <v>Débil</v>
      </c>
      <c r="Z1769" t="str">
        <f>IF(AND(R1769&lt;2,Q1769&gt;=100),"Revisar","OK")</f>
        <v>OK</v>
      </c>
      <c r="AA1769" s="55">
        <f>_xlfn.XLOOKUP(C1769,'Preguntas de negocio'!$C$114:$C$119,'Preguntas de negocio'!$D$114:$D$119,0)</f>
        <v>4.5</v>
      </c>
      <c r="AB1769" s="55">
        <f>VLOOKUP(C1769,'Preguntas de negocio'!$C$121:$D$127,2,FALSE)</f>
        <v>0.35</v>
      </c>
    </row>
    <row r="1770" spans="1:28" x14ac:dyDescent="0.3">
      <c r="A1770" s="1">
        <v>45672</v>
      </c>
      <c r="B1770" s="2" t="s">
        <v>2639</v>
      </c>
      <c r="C1770" s="2" t="s">
        <v>2541</v>
      </c>
      <c r="D1770" s="2" t="s">
        <v>2528</v>
      </c>
      <c r="E1770" s="2" t="s">
        <v>2529</v>
      </c>
      <c r="F1770" s="3">
        <v>66037</v>
      </c>
      <c r="G1770" s="3">
        <v>2416</v>
      </c>
      <c r="H1770" s="3">
        <v>55</v>
      </c>
      <c r="I1770" s="4">
        <v>593.58000000000004</v>
      </c>
      <c r="J1770" s="4">
        <v>1279.83</v>
      </c>
      <c r="K1770" s="3">
        <v>36</v>
      </c>
      <c r="L1770" s="2" t="s">
        <v>2536</v>
      </c>
      <c r="M1770" s="2" t="s">
        <v>2526</v>
      </c>
      <c r="N1770" s="8">
        <f>IFERROR(G1770/F1770,0)</f>
        <v>3.658555052470585E-2</v>
      </c>
      <c r="O1770" s="8">
        <f>IFERROR(H1770/G1770,0)</f>
        <v>2.2764900662251654E-2</v>
      </c>
      <c r="P1770" s="4">
        <f>IFERROR(I1770/G1770,0)</f>
        <v>0.24568708609271525</v>
      </c>
      <c r="Q1770" s="4">
        <f>IFERROR(I1770/H1770,0)</f>
        <v>10.792363636363637</v>
      </c>
      <c r="R1770" s="12">
        <f>IFERROR(J1770/I1770,0)</f>
        <v>2.1561204892348123</v>
      </c>
      <c r="S1770" s="7">
        <f>Tabla_nuevas_columnas[[#This Row],[ROAS]]</f>
        <v>2.1561204892348123</v>
      </c>
      <c r="T1770" t="str">
        <f>_xlfn.CONCAT(C1770,"-",D1770)</f>
        <v>Display-España</v>
      </c>
      <c r="U1770">
        <f>YEAR(A1770)</f>
        <v>2025</v>
      </c>
      <c r="V1770">
        <f>MONTH(A1770)</f>
        <v>1</v>
      </c>
      <c r="W1770" t="str">
        <f>PROPER(TEXT(A1770,"mmmm"))</f>
        <v>Enero</v>
      </c>
      <c r="X1770" t="str">
        <f>PROPER(TEXT(A1770,"dddd"))</f>
        <v>Miércoles</v>
      </c>
      <c r="Y1770" t="str" cm="1">
        <f t="array" ref="Y1770">_xlfn.IFS(R1770&gt;10,"Excelente",R1770&gt;=5,"Bueno",R1770&gt;=2,"Débil",R1770&lt;2,"Deficiente")</f>
        <v>Débil</v>
      </c>
      <c r="Z1770" t="str">
        <f>IF(AND(R1770&lt;2,Q1770&gt;=100),"Revisar","OK")</f>
        <v>OK</v>
      </c>
      <c r="AA1770" s="55">
        <f>_xlfn.XLOOKUP(C1770,'Preguntas de negocio'!$C$114:$C$119,'Preguntas de negocio'!$D$114:$D$119,0)</f>
        <v>5</v>
      </c>
      <c r="AB1770" s="55">
        <f>VLOOKUP(C1770,'Preguntas de negocio'!$C$121:$D$127,2,FALSE)</f>
        <v>0.5</v>
      </c>
    </row>
    <row r="1771" spans="1:28" x14ac:dyDescent="0.3">
      <c r="A1771" s="1">
        <v>45808</v>
      </c>
      <c r="B1771" s="2" t="s">
        <v>2638</v>
      </c>
      <c r="C1771" s="2" t="s">
        <v>2527</v>
      </c>
      <c r="D1771" s="2" t="s">
        <v>2531</v>
      </c>
      <c r="E1771" s="2" t="s">
        <v>2529</v>
      </c>
      <c r="F1771" s="3">
        <v>70344</v>
      </c>
      <c r="G1771" s="3">
        <v>4111</v>
      </c>
      <c r="H1771" s="3">
        <v>338</v>
      </c>
      <c r="I1771" s="4">
        <v>3361.51</v>
      </c>
      <c r="J1771" s="4">
        <v>56576.27</v>
      </c>
      <c r="K1771" s="3">
        <v>162</v>
      </c>
      <c r="L1771" s="2" t="s">
        <v>2523</v>
      </c>
      <c r="M1771" s="2" t="s">
        <v>2537</v>
      </c>
      <c r="N1771" s="8">
        <f>IFERROR(G1771/F1771,0)</f>
        <v>5.8441373820084158E-2</v>
      </c>
      <c r="O1771" s="8">
        <f>IFERROR(H1771/G1771,0)</f>
        <v>8.2218438336171248E-2</v>
      </c>
      <c r="P1771" s="4">
        <f>IFERROR(I1771/G1771,0)</f>
        <v>0.81768669423497942</v>
      </c>
      <c r="Q1771" s="4">
        <f>IFERROR(I1771/H1771,0)</f>
        <v>9.9452958579881656</v>
      </c>
      <c r="R1771" s="12">
        <f>IFERROR(J1771/I1771,0)</f>
        <v>16.830611838132267</v>
      </c>
      <c r="S1771" s="7">
        <f>Tabla_nuevas_columnas[[#This Row],[ROAS]]</f>
        <v>16.830611838132267</v>
      </c>
      <c r="T1771" t="str">
        <f>_xlfn.CONCAT(C1771,"-",D1771)</f>
        <v>Affiliate-Portugal</v>
      </c>
      <c r="U1771">
        <f>YEAR(A1771)</f>
        <v>2025</v>
      </c>
      <c r="V1771">
        <f>MONTH(A1771)</f>
        <v>5</v>
      </c>
      <c r="W1771" t="str">
        <f>PROPER(TEXT(A1771,"mmmm"))</f>
        <v>Mayo</v>
      </c>
      <c r="X1771" t="str">
        <f>PROPER(TEXT(A1771,"dddd"))</f>
        <v>Sábado</v>
      </c>
      <c r="Y1771" t="str" cm="1">
        <f t="array" ref="Y1771">_xlfn.IFS(R1771&gt;10,"Excelente",R1771&gt;=5,"Bueno",R1771&gt;=2,"Débil",R1771&lt;2,"Deficiente")</f>
        <v>Excelente</v>
      </c>
      <c r="Z1771" t="str">
        <f>IF(AND(R1771&lt;2,Q1771&gt;=100),"Revisar","OK")</f>
        <v>OK</v>
      </c>
      <c r="AA1771" s="55">
        <f>_xlfn.XLOOKUP(C1771,'Preguntas de negocio'!$C$114:$C$119,'Preguntas de negocio'!$D$114:$D$119,0)</f>
        <v>4.5</v>
      </c>
      <c r="AB1771" s="55">
        <f>VLOOKUP(C1771,'Preguntas de negocio'!$C$121:$D$127,2,FALSE)</f>
        <v>0.35</v>
      </c>
    </row>
    <row r="1772" spans="1:28" x14ac:dyDescent="0.3">
      <c r="A1772" s="1">
        <v>45989</v>
      </c>
      <c r="B1772" s="2" t="s">
        <v>2639</v>
      </c>
      <c r="C1772" s="2" t="s">
        <v>2515</v>
      </c>
      <c r="D1772" s="2" t="s">
        <v>2528</v>
      </c>
      <c r="E1772" s="2" t="s">
        <v>2517</v>
      </c>
      <c r="F1772" s="3">
        <v>84877</v>
      </c>
      <c r="G1772" s="3">
        <v>4421</v>
      </c>
      <c r="H1772" s="3">
        <v>74</v>
      </c>
      <c r="I1772" s="4">
        <v>8776.5499999999993</v>
      </c>
      <c r="J1772" s="4">
        <v>15209.49</v>
      </c>
      <c r="K1772" s="3">
        <v>43</v>
      </c>
      <c r="L1772" s="2" t="s">
        <v>2539</v>
      </c>
      <c r="M1772" s="2" t="s">
        <v>2537</v>
      </c>
      <c r="N1772" s="8">
        <f>IFERROR(G1772/F1772,0)</f>
        <v>5.2087137858312614E-2</v>
      </c>
      <c r="O1772" s="8">
        <f>IFERROR(H1772/G1772,0)</f>
        <v>1.6738294503505995E-2</v>
      </c>
      <c r="P1772" s="4">
        <f>IFERROR(I1772/G1772,0)</f>
        <v>1.9851956570911558</v>
      </c>
      <c r="Q1772" s="4">
        <f>IFERROR(I1772/H1772,0)</f>
        <v>118.60202702702702</v>
      </c>
      <c r="R1772" s="12">
        <f>IFERROR(J1772/I1772,0)</f>
        <v>1.732969105172306</v>
      </c>
      <c r="S1772" s="7">
        <f>Tabla_nuevas_columnas[[#This Row],[ROAS]]</f>
        <v>1.732969105172306</v>
      </c>
      <c r="T1772" t="str">
        <f>_xlfn.CONCAT(C1772,"-",D1772)</f>
        <v>Email-España</v>
      </c>
      <c r="U1772">
        <f>YEAR(A1772)</f>
        <v>2025</v>
      </c>
      <c r="V1772">
        <f>MONTH(A1772)</f>
        <v>11</v>
      </c>
      <c r="W1772" t="str">
        <f>PROPER(TEXT(A1772,"mmmm"))</f>
        <v>Noviembre</v>
      </c>
      <c r="X1772" t="str">
        <f>PROPER(TEXT(A1772,"dddd"))</f>
        <v>Viernes</v>
      </c>
      <c r="Y1772" t="str" cm="1">
        <f t="array" ref="Y1772">_xlfn.IFS(R1772&gt;10,"Excelente",R1772&gt;=5,"Bueno",R1772&gt;=2,"Débil",R1772&lt;2,"Deficiente")</f>
        <v>Deficiente</v>
      </c>
      <c r="Z1772" t="str">
        <f>IF(AND(R1772&lt;2,Q1772&gt;=100),"Revisar","OK")</f>
        <v>Revisar</v>
      </c>
      <c r="AA1772" s="55">
        <f>_xlfn.XLOOKUP(C1772,'Preguntas de negocio'!$C$114:$C$119,'Preguntas de negocio'!$D$114:$D$119,0)</f>
        <v>5.5</v>
      </c>
      <c r="AB1772" s="55">
        <f>VLOOKUP(C1772,'Preguntas de negocio'!$C$121:$D$127,2,FALSE)</f>
        <v>0.65</v>
      </c>
    </row>
    <row r="1773" spans="1:28" x14ac:dyDescent="0.3">
      <c r="A1773" s="1">
        <v>45865</v>
      </c>
      <c r="B1773" s="2" t="s">
        <v>2616</v>
      </c>
      <c r="C1773" s="2" t="s">
        <v>2543</v>
      </c>
      <c r="D1773" s="2" t="s">
        <v>2531</v>
      </c>
      <c r="E1773" s="2" t="s">
        <v>2517</v>
      </c>
      <c r="F1773" s="3">
        <v>13545</v>
      </c>
      <c r="G1773" s="3">
        <v>253</v>
      </c>
      <c r="H1773" s="3">
        <v>29</v>
      </c>
      <c r="I1773" s="4">
        <v>424.78</v>
      </c>
      <c r="J1773" s="4">
        <v>3750.25</v>
      </c>
      <c r="K1773" s="3">
        <v>16</v>
      </c>
      <c r="L1773" s="2" t="s">
        <v>2518</v>
      </c>
      <c r="M1773" s="2" t="s">
        <v>2526</v>
      </c>
      <c r="N1773" s="8">
        <f>IFERROR(G1773/F1773,0)</f>
        <v>1.8678479143595422E-2</v>
      </c>
      <c r="O1773" s="8">
        <f>IFERROR(H1773/G1773,0)</f>
        <v>0.11462450592885376</v>
      </c>
      <c r="P1773" s="4">
        <f>IFERROR(I1773/G1773,0)</f>
        <v>1.6789723320158101</v>
      </c>
      <c r="Q1773" s="4">
        <f>IFERROR(I1773/H1773,0)</f>
        <v>14.64758620689655</v>
      </c>
      <c r="R1773" s="12">
        <f>IFERROR(J1773/I1773,0)</f>
        <v>8.8286877913272761</v>
      </c>
      <c r="S1773" s="7">
        <f>Tabla_nuevas_columnas[[#This Row],[ROAS]]</f>
        <v>8.8286877913272761</v>
      </c>
      <c r="T1773" t="str">
        <f>_xlfn.CONCAT(C1773,"-",D1773)</f>
        <v>Organic Social-Portugal</v>
      </c>
      <c r="U1773">
        <f>YEAR(A1773)</f>
        <v>2025</v>
      </c>
      <c r="V1773">
        <f>MONTH(A1773)</f>
        <v>7</v>
      </c>
      <c r="W1773" t="str">
        <f>PROPER(TEXT(A1773,"mmmm"))</f>
        <v>Julio</v>
      </c>
      <c r="X1773" t="str">
        <f>PROPER(TEXT(A1773,"dddd"))</f>
        <v>Domingo</v>
      </c>
      <c r="Y1773" t="str" cm="1">
        <f t="array" ref="Y1773">_xlfn.IFS(R1773&gt;10,"Excelente",R1773&gt;=5,"Bueno",R1773&gt;=2,"Débil",R1773&lt;2,"Deficiente")</f>
        <v>Bueno</v>
      </c>
      <c r="Z1773" t="str">
        <f>IF(AND(R1773&lt;2,Q1773&gt;=100),"Revisar","OK")</f>
        <v>OK</v>
      </c>
      <c r="AA1773" s="55">
        <f>_xlfn.XLOOKUP(C1773,'Preguntas de negocio'!$C$114:$C$119,'Preguntas de negocio'!$D$114:$D$119,0)</f>
        <v>4</v>
      </c>
      <c r="AB1773" s="55">
        <f>VLOOKUP(C1773,'Preguntas de negocio'!$C$121:$D$127,2,FALSE)</f>
        <v>0.95</v>
      </c>
    </row>
    <row r="1774" spans="1:28" x14ac:dyDescent="0.3">
      <c r="A1774" s="1">
        <v>46019</v>
      </c>
      <c r="B1774" s="2" t="s">
        <v>2626</v>
      </c>
      <c r="C1774" s="2" t="s">
        <v>2521</v>
      </c>
      <c r="D1774" s="2" t="s">
        <v>2528</v>
      </c>
      <c r="E1774" s="2" t="s">
        <v>2529</v>
      </c>
      <c r="F1774" s="3">
        <v>150469</v>
      </c>
      <c r="G1774" s="3">
        <v>2089</v>
      </c>
      <c r="H1774" s="3">
        <v>215</v>
      </c>
      <c r="I1774" s="4">
        <v>4146.28</v>
      </c>
      <c r="J1774" s="4">
        <v>7867.52</v>
      </c>
      <c r="K1774" s="3">
        <v>164</v>
      </c>
      <c r="L1774" s="2" t="s">
        <v>2536</v>
      </c>
      <c r="M1774" s="2" t="s">
        <v>2524</v>
      </c>
      <c r="N1774" s="8">
        <f>IFERROR(G1774/F1774,0)</f>
        <v>1.3883258345572842E-2</v>
      </c>
      <c r="O1774" s="8">
        <f>IFERROR(H1774/G1774,0)</f>
        <v>0.10292005744375299</v>
      </c>
      <c r="P1774" s="4">
        <f>IFERROR(I1774/G1774,0)</f>
        <v>1.9848157012924843</v>
      </c>
      <c r="Q1774" s="4">
        <f>IFERROR(I1774/H1774,0)</f>
        <v>19.285023255813954</v>
      </c>
      <c r="R1774" s="12">
        <f>IFERROR(J1774/I1774,0)</f>
        <v>1.8974888333638831</v>
      </c>
      <c r="S1774" s="7">
        <f>Tabla_nuevas_columnas[[#This Row],[ROAS]]</f>
        <v>1.8974888333638831</v>
      </c>
      <c r="T1774" t="str">
        <f>_xlfn.CONCAT(C1774,"-",D1774)</f>
        <v>Paid Search-España</v>
      </c>
      <c r="U1774">
        <f>YEAR(A1774)</f>
        <v>2025</v>
      </c>
      <c r="V1774">
        <f>MONTH(A1774)</f>
        <v>12</v>
      </c>
      <c r="W1774" t="str">
        <f>PROPER(TEXT(A1774,"mmmm"))</f>
        <v>Diciembre</v>
      </c>
      <c r="X1774" t="str">
        <f>PROPER(TEXT(A1774,"dddd"))</f>
        <v>Domingo</v>
      </c>
      <c r="Y1774" t="str" cm="1">
        <f t="array" ref="Y1774">_xlfn.IFS(R1774&gt;10,"Excelente",R1774&gt;=5,"Bueno",R1774&gt;=2,"Débil",R1774&lt;2,"Deficiente")</f>
        <v>Deficiente</v>
      </c>
      <c r="Z1774" t="str">
        <f>IF(AND(R1774&lt;2,Q1774&gt;=100),"Revisar","OK")</f>
        <v>OK</v>
      </c>
      <c r="AA1774" s="55">
        <f>_xlfn.XLOOKUP(C1774,'Preguntas de negocio'!$C$114:$C$119,'Preguntas de negocio'!$D$114:$D$119,0)</f>
        <v>5</v>
      </c>
      <c r="AB1774" s="55">
        <f>VLOOKUP(C1774,'Preguntas de negocio'!$C$121:$D$127,2,FALSE)</f>
        <v>1.1000000000000001</v>
      </c>
    </row>
    <row r="1775" spans="1:28" x14ac:dyDescent="0.3">
      <c r="A1775" s="1">
        <v>45944</v>
      </c>
      <c r="B1775" s="2" t="s">
        <v>2627</v>
      </c>
      <c r="C1775" s="2" t="s">
        <v>2521</v>
      </c>
      <c r="D1775" s="2" t="s">
        <v>2525</v>
      </c>
      <c r="E1775" s="2" t="s">
        <v>2529</v>
      </c>
      <c r="F1775" s="3">
        <v>7356</v>
      </c>
      <c r="G1775" s="3">
        <v>162</v>
      </c>
      <c r="H1775" s="3">
        <v>8</v>
      </c>
      <c r="I1775" s="4">
        <v>60.24</v>
      </c>
      <c r="J1775" s="4">
        <v>760.64</v>
      </c>
      <c r="K1775" s="3">
        <v>6</v>
      </c>
      <c r="L1775" s="2" t="s">
        <v>2536</v>
      </c>
      <c r="M1775" s="2" t="s">
        <v>2526</v>
      </c>
      <c r="N1775" s="8">
        <f>IFERROR(G1775/F1775,0)</f>
        <v>2.2022838499184339E-2</v>
      </c>
      <c r="O1775" s="8">
        <f>IFERROR(H1775/G1775,0)</f>
        <v>4.9382716049382713E-2</v>
      </c>
      <c r="P1775" s="4">
        <f>IFERROR(I1775/G1775,0)</f>
        <v>0.37185185185185188</v>
      </c>
      <c r="Q1775" s="4">
        <f>IFERROR(I1775/H1775,0)</f>
        <v>7.53</v>
      </c>
      <c r="R1775" s="12">
        <f>IFERROR(J1775/I1775,0)</f>
        <v>12.626826029216467</v>
      </c>
      <c r="S1775" s="7">
        <f>Tabla_nuevas_columnas[[#This Row],[ROAS]]</f>
        <v>12.626826029216467</v>
      </c>
      <c r="T1775" t="str">
        <f>_xlfn.CONCAT(C1775,"-",D1775)</f>
        <v>Paid Search-Francia</v>
      </c>
      <c r="U1775">
        <f>YEAR(A1775)</f>
        <v>2025</v>
      </c>
      <c r="V1775">
        <f>MONTH(A1775)</f>
        <v>10</v>
      </c>
      <c r="W1775" t="str">
        <f>PROPER(TEXT(A1775,"mmmm"))</f>
        <v>Octubre</v>
      </c>
      <c r="X1775" t="str">
        <f>PROPER(TEXT(A1775,"dddd"))</f>
        <v>Martes</v>
      </c>
      <c r="Y1775" t="str" cm="1">
        <f t="array" ref="Y1775">_xlfn.IFS(R1775&gt;10,"Excelente",R1775&gt;=5,"Bueno",R1775&gt;=2,"Débil",R1775&lt;2,"Deficiente")</f>
        <v>Excelente</v>
      </c>
      <c r="Z1775" t="str">
        <f>IF(AND(R1775&lt;2,Q1775&gt;=100),"Revisar","OK")</f>
        <v>OK</v>
      </c>
      <c r="AA1775" s="55">
        <f>_xlfn.XLOOKUP(C1775,'Preguntas de negocio'!$C$114:$C$119,'Preguntas de negocio'!$D$114:$D$119,0)</f>
        <v>5</v>
      </c>
      <c r="AB1775" s="55">
        <f>VLOOKUP(C1775,'Preguntas de negocio'!$C$121:$D$127,2,FALSE)</f>
        <v>1.1000000000000001</v>
      </c>
    </row>
    <row r="1776" spans="1:28" x14ac:dyDescent="0.3">
      <c r="A1776" s="1">
        <v>45882</v>
      </c>
      <c r="B1776" s="2" t="s">
        <v>2634</v>
      </c>
      <c r="C1776" s="2" t="s">
        <v>2515</v>
      </c>
      <c r="D1776" s="2" t="s">
        <v>2525</v>
      </c>
      <c r="E1776" s="2" t="s">
        <v>2529</v>
      </c>
      <c r="F1776" s="3">
        <v>144729</v>
      </c>
      <c r="G1776" s="3">
        <v>7786</v>
      </c>
      <c r="H1776" s="3">
        <v>730</v>
      </c>
      <c r="I1776" s="4">
        <v>2415.6799999999998</v>
      </c>
      <c r="J1776" s="4">
        <v>61879.08</v>
      </c>
      <c r="K1776" s="3">
        <v>623</v>
      </c>
      <c r="L1776" s="2" t="s">
        <v>2518</v>
      </c>
      <c r="M1776" s="2" t="s">
        <v>2537</v>
      </c>
      <c r="N1776" s="8">
        <f>IFERROR(G1776/F1776,0)</f>
        <v>5.379709664269082E-2</v>
      </c>
      <c r="O1776" s="8">
        <f>IFERROR(H1776/G1776,0)</f>
        <v>9.375802722835859E-2</v>
      </c>
      <c r="P1776" s="4">
        <f>IFERROR(I1776/G1776,0)</f>
        <v>0.31025944002054967</v>
      </c>
      <c r="Q1776" s="4">
        <f>IFERROR(I1776/H1776,0)</f>
        <v>3.3091506849315064</v>
      </c>
      <c r="R1776" s="12">
        <f>IFERROR(J1776/I1776,0)</f>
        <v>25.615594780765665</v>
      </c>
      <c r="S1776" s="7">
        <f>Tabla_nuevas_columnas[[#This Row],[ROAS]]</f>
        <v>25.615594780765665</v>
      </c>
      <c r="T1776" t="str">
        <f>_xlfn.CONCAT(C1776,"-",D1776)</f>
        <v>Email-Francia</v>
      </c>
      <c r="U1776">
        <f>YEAR(A1776)</f>
        <v>2025</v>
      </c>
      <c r="V1776">
        <f>MONTH(A1776)</f>
        <v>8</v>
      </c>
      <c r="W1776" t="str">
        <f>PROPER(TEXT(A1776,"mmmm"))</f>
        <v>Agosto</v>
      </c>
      <c r="X1776" t="str">
        <f>PROPER(TEXT(A1776,"dddd"))</f>
        <v>Miércoles</v>
      </c>
      <c r="Y1776" t="str" cm="1">
        <f t="array" ref="Y1776">_xlfn.IFS(R1776&gt;10,"Excelente",R1776&gt;=5,"Bueno",R1776&gt;=2,"Débil",R1776&lt;2,"Deficiente")</f>
        <v>Excelente</v>
      </c>
      <c r="Z1776" t="str">
        <f>IF(AND(R1776&lt;2,Q1776&gt;=100),"Revisar","OK")</f>
        <v>OK</v>
      </c>
      <c r="AA1776" s="55">
        <f>_xlfn.XLOOKUP(C1776,'Preguntas de negocio'!$C$114:$C$119,'Preguntas de negocio'!$D$114:$D$119,0)</f>
        <v>5.5</v>
      </c>
      <c r="AB1776" s="55">
        <f>VLOOKUP(C1776,'Preguntas de negocio'!$C$121:$D$127,2,FALSE)</f>
        <v>0.65</v>
      </c>
    </row>
    <row r="1777" spans="1:28" x14ac:dyDescent="0.3">
      <c r="A1777" s="1">
        <v>45792</v>
      </c>
      <c r="B1777" s="2" t="s">
        <v>2625</v>
      </c>
      <c r="C1777" s="2" t="s">
        <v>2515</v>
      </c>
      <c r="D1777" s="2" t="s">
        <v>2528</v>
      </c>
      <c r="E1777" s="2" t="s">
        <v>2529</v>
      </c>
      <c r="F1777" s="3">
        <v>46391</v>
      </c>
      <c r="G1777" s="3">
        <v>4052</v>
      </c>
      <c r="H1777" s="3">
        <v>566</v>
      </c>
      <c r="I1777" s="4">
        <v>7701.91</v>
      </c>
      <c r="J1777" s="4">
        <v>56826.89</v>
      </c>
      <c r="K1777" s="3">
        <v>407</v>
      </c>
      <c r="L1777" s="2" t="s">
        <v>2523</v>
      </c>
      <c r="M1777" s="2" t="s">
        <v>2524</v>
      </c>
      <c r="N1777" s="8">
        <f>IFERROR(G1777/F1777,0)</f>
        <v>8.7344528033454771E-2</v>
      </c>
      <c r="O1777" s="8">
        <f>IFERROR(H1777/G1777,0)</f>
        <v>0.13968410661401776</v>
      </c>
      <c r="P1777" s="4">
        <f>IFERROR(I1777/G1777,0)</f>
        <v>1.9007675222112537</v>
      </c>
      <c r="Q1777" s="4">
        <f>IFERROR(I1777/H1777,0)</f>
        <v>13.607614840989399</v>
      </c>
      <c r="R1777" s="12">
        <f>IFERROR(J1777/I1777,0)</f>
        <v>7.3782853863522169</v>
      </c>
      <c r="S1777" s="7">
        <f>Tabla_nuevas_columnas[[#This Row],[ROAS]]</f>
        <v>7.3782853863522169</v>
      </c>
      <c r="T1777" t="str">
        <f>_xlfn.CONCAT(C1777,"-",D1777)</f>
        <v>Email-España</v>
      </c>
      <c r="U1777">
        <f>YEAR(A1777)</f>
        <v>2025</v>
      </c>
      <c r="V1777">
        <f>MONTH(A1777)</f>
        <v>5</v>
      </c>
      <c r="W1777" t="str">
        <f>PROPER(TEXT(A1777,"mmmm"))</f>
        <v>Mayo</v>
      </c>
      <c r="X1777" t="str">
        <f>PROPER(TEXT(A1777,"dddd"))</f>
        <v>Jueves</v>
      </c>
      <c r="Y1777" t="str" cm="1">
        <f t="array" ref="Y1777">_xlfn.IFS(R1777&gt;10,"Excelente",R1777&gt;=5,"Bueno",R1777&gt;=2,"Débil",R1777&lt;2,"Deficiente")</f>
        <v>Bueno</v>
      </c>
      <c r="Z1777" t="str">
        <f>IF(AND(R1777&lt;2,Q1777&gt;=100),"Revisar","OK")</f>
        <v>OK</v>
      </c>
      <c r="AA1777" s="55">
        <f>_xlfn.XLOOKUP(C1777,'Preguntas de negocio'!$C$114:$C$119,'Preguntas de negocio'!$D$114:$D$119,0)</f>
        <v>5.5</v>
      </c>
      <c r="AB1777" s="55">
        <f>VLOOKUP(C1777,'Preguntas de negocio'!$C$121:$D$127,2,FALSE)</f>
        <v>0.65</v>
      </c>
    </row>
    <row r="1778" spans="1:28" x14ac:dyDescent="0.3">
      <c r="A1778" s="1">
        <v>45793</v>
      </c>
      <c r="B1778" s="2" t="s">
        <v>2635</v>
      </c>
      <c r="C1778" s="2" t="s">
        <v>2533</v>
      </c>
      <c r="D1778" s="2" t="s">
        <v>2528</v>
      </c>
      <c r="E1778" s="2" t="s">
        <v>2529</v>
      </c>
      <c r="F1778" s="3">
        <v>147529</v>
      </c>
      <c r="G1778" s="3">
        <v>6475</v>
      </c>
      <c r="H1778" s="3">
        <v>572</v>
      </c>
      <c r="I1778" s="4">
        <v>3302.13</v>
      </c>
      <c r="J1778" s="4">
        <v>29813.23</v>
      </c>
      <c r="K1778" s="3">
        <v>420</v>
      </c>
      <c r="L1778" s="2" t="s">
        <v>2539</v>
      </c>
      <c r="M1778" s="2" t="s">
        <v>2524</v>
      </c>
      <c r="N1778" s="8">
        <f>IFERROR(G1778/F1778,0)</f>
        <v>4.388967592812261E-2</v>
      </c>
      <c r="O1778" s="8">
        <f>IFERROR(H1778/G1778,0)</f>
        <v>8.8339768339768338E-2</v>
      </c>
      <c r="P1778" s="4">
        <f>IFERROR(I1778/G1778,0)</f>
        <v>0.5099814671814672</v>
      </c>
      <c r="Q1778" s="4">
        <f>IFERROR(I1778/H1778,0)</f>
        <v>5.7729545454545459</v>
      </c>
      <c r="R1778" s="12">
        <f>IFERROR(J1778/I1778,0)</f>
        <v>9.0284846447595939</v>
      </c>
      <c r="S1778" s="7">
        <f>Tabla_nuevas_columnas[[#This Row],[ROAS]]</f>
        <v>9.0284846447595939</v>
      </c>
      <c r="T1778" t="str">
        <f>_xlfn.CONCAT(C1778,"-",D1778)</f>
        <v>Paid Social-España</v>
      </c>
      <c r="U1778">
        <f>YEAR(A1778)</f>
        <v>2025</v>
      </c>
      <c r="V1778">
        <f>MONTH(A1778)</f>
        <v>5</v>
      </c>
      <c r="W1778" t="str">
        <f>PROPER(TEXT(A1778,"mmmm"))</f>
        <v>Mayo</v>
      </c>
      <c r="X1778" t="str">
        <f>PROPER(TEXT(A1778,"dddd"))</f>
        <v>Viernes</v>
      </c>
      <c r="Y1778" t="str" cm="1">
        <f t="array" ref="Y1778">_xlfn.IFS(R1778&gt;10,"Excelente",R1778&gt;=5,"Bueno",R1778&gt;=2,"Débil",R1778&lt;2,"Deficiente")</f>
        <v>Bueno</v>
      </c>
      <c r="Z1778" t="str">
        <f>IF(AND(R1778&lt;2,Q1778&gt;=100),"Revisar","OK")</f>
        <v>OK</v>
      </c>
      <c r="AA1778" s="55">
        <f>_xlfn.XLOOKUP(C1778,'Preguntas de negocio'!$C$114:$C$119,'Preguntas de negocio'!$D$114:$D$119,0)</f>
        <v>6</v>
      </c>
      <c r="AB1778" s="55">
        <f>VLOOKUP(C1778,'Preguntas de negocio'!$C$121:$D$127,2,FALSE)</f>
        <v>0.8</v>
      </c>
    </row>
    <row r="1779" spans="1:28" x14ac:dyDescent="0.3">
      <c r="A1779" s="1">
        <v>45766</v>
      </c>
      <c r="B1779" s="2" t="s">
        <v>2637</v>
      </c>
      <c r="C1779" s="2" t="s">
        <v>2527</v>
      </c>
      <c r="D1779" s="2" t="s">
        <v>2525</v>
      </c>
      <c r="E1779" s="2" t="s">
        <v>2517</v>
      </c>
      <c r="F1779" s="3">
        <v>11759</v>
      </c>
      <c r="G1779" s="3">
        <v>678</v>
      </c>
      <c r="H1779" s="3">
        <v>43</v>
      </c>
      <c r="I1779" s="4">
        <v>218.78</v>
      </c>
      <c r="J1779" s="4">
        <v>6826.64</v>
      </c>
      <c r="K1779" s="3">
        <v>30</v>
      </c>
      <c r="L1779" s="2" t="s">
        <v>2523</v>
      </c>
      <c r="M1779" s="2" t="s">
        <v>2524</v>
      </c>
      <c r="N1779" s="8">
        <f>IFERROR(G1779/F1779,0)</f>
        <v>5.7657964112594606E-2</v>
      </c>
      <c r="O1779" s="8">
        <f>IFERROR(H1779/G1779,0)</f>
        <v>6.3421828908554578E-2</v>
      </c>
      <c r="P1779" s="4">
        <f>IFERROR(I1779/G1779,0)</f>
        <v>0.32268436578171089</v>
      </c>
      <c r="Q1779" s="4">
        <f>IFERROR(I1779/H1779,0)</f>
        <v>5.0879069767441862</v>
      </c>
      <c r="R1779" s="12">
        <f>IFERROR(J1779/I1779,0)</f>
        <v>31.20321784440991</v>
      </c>
      <c r="S1779" s="7">
        <f>Tabla_nuevas_columnas[[#This Row],[ROAS]]</f>
        <v>31.20321784440991</v>
      </c>
      <c r="T1779" t="str">
        <f>_xlfn.CONCAT(C1779,"-",D1779)</f>
        <v>Affiliate-Francia</v>
      </c>
      <c r="U1779">
        <f>YEAR(A1779)</f>
        <v>2025</v>
      </c>
      <c r="V1779">
        <f>MONTH(A1779)</f>
        <v>4</v>
      </c>
      <c r="W1779" t="str">
        <f>PROPER(TEXT(A1779,"mmmm"))</f>
        <v>Abril</v>
      </c>
      <c r="X1779" t="str">
        <f>PROPER(TEXT(A1779,"dddd"))</f>
        <v>Sábado</v>
      </c>
      <c r="Y1779" t="str" cm="1">
        <f t="array" ref="Y1779">_xlfn.IFS(R1779&gt;10,"Excelente",R1779&gt;=5,"Bueno",R1779&gt;=2,"Débil",R1779&lt;2,"Deficiente")</f>
        <v>Excelente</v>
      </c>
      <c r="Z1779" t="str">
        <f>IF(AND(R1779&lt;2,Q1779&gt;=100),"Revisar","OK")</f>
        <v>OK</v>
      </c>
      <c r="AA1779" s="55">
        <f>_xlfn.XLOOKUP(C1779,'Preguntas de negocio'!$C$114:$C$119,'Preguntas de negocio'!$D$114:$D$119,0)</f>
        <v>4.5</v>
      </c>
      <c r="AB1779" s="55">
        <f>VLOOKUP(C1779,'Preguntas de negocio'!$C$121:$D$127,2,FALSE)</f>
        <v>0.35</v>
      </c>
    </row>
    <row r="1780" spans="1:28" x14ac:dyDescent="0.3">
      <c r="A1780" s="1">
        <v>45844</v>
      </c>
      <c r="B1780" s="2" t="s">
        <v>2623</v>
      </c>
      <c r="C1780" s="2" t="s">
        <v>2515</v>
      </c>
      <c r="D1780" s="2" t="s">
        <v>2528</v>
      </c>
      <c r="E1780" s="2" t="s">
        <v>2529</v>
      </c>
      <c r="F1780" s="3">
        <v>10749</v>
      </c>
      <c r="G1780" s="3">
        <v>747</v>
      </c>
      <c r="H1780" s="3">
        <v>43</v>
      </c>
      <c r="I1780" s="4">
        <v>1070.3499999999999</v>
      </c>
      <c r="J1780" s="4">
        <v>2908.08</v>
      </c>
      <c r="K1780" s="3">
        <v>26</v>
      </c>
      <c r="L1780" s="2" t="s">
        <v>2539</v>
      </c>
      <c r="M1780" s="2" t="s">
        <v>2526</v>
      </c>
      <c r="N1780" s="8">
        <f>IFERROR(G1780/F1780,0)</f>
        <v>6.9494836728998047E-2</v>
      </c>
      <c r="O1780" s="8">
        <f>IFERROR(H1780/G1780,0)</f>
        <v>5.7563587684069613E-2</v>
      </c>
      <c r="P1780" s="4">
        <f>IFERROR(I1780/G1780,0)</f>
        <v>1.4328647925033466</v>
      </c>
      <c r="Q1780" s="4">
        <f>IFERROR(I1780/H1780,0)</f>
        <v>24.891860465116277</v>
      </c>
      <c r="R1780" s="12">
        <f>IFERROR(J1780/I1780,0)</f>
        <v>2.7169430560097165</v>
      </c>
      <c r="S1780" s="7">
        <f>Tabla_nuevas_columnas[[#This Row],[ROAS]]</f>
        <v>2.7169430560097165</v>
      </c>
      <c r="T1780" t="str">
        <f>_xlfn.CONCAT(C1780,"-",D1780)</f>
        <v>Email-España</v>
      </c>
      <c r="U1780">
        <f>YEAR(A1780)</f>
        <v>2025</v>
      </c>
      <c r="V1780">
        <f>MONTH(A1780)</f>
        <v>7</v>
      </c>
      <c r="W1780" t="str">
        <f>PROPER(TEXT(A1780,"mmmm"))</f>
        <v>Julio</v>
      </c>
      <c r="X1780" t="str">
        <f>PROPER(TEXT(A1780,"dddd"))</f>
        <v>Domingo</v>
      </c>
      <c r="Y1780" t="str" cm="1">
        <f t="array" ref="Y1780">_xlfn.IFS(R1780&gt;10,"Excelente",R1780&gt;=5,"Bueno",R1780&gt;=2,"Débil",R1780&lt;2,"Deficiente")</f>
        <v>Débil</v>
      </c>
      <c r="Z1780" t="str">
        <f>IF(AND(R1780&lt;2,Q1780&gt;=100),"Revisar","OK")</f>
        <v>OK</v>
      </c>
      <c r="AA1780" s="55">
        <f>_xlfn.XLOOKUP(C1780,'Preguntas de negocio'!$C$114:$C$119,'Preguntas de negocio'!$D$114:$D$119,0)</f>
        <v>5.5</v>
      </c>
      <c r="AB1780" s="55">
        <f>VLOOKUP(C1780,'Preguntas de negocio'!$C$121:$D$127,2,FALSE)</f>
        <v>0.65</v>
      </c>
    </row>
    <row r="1781" spans="1:28" x14ac:dyDescent="0.3">
      <c r="A1781" s="1">
        <v>45721</v>
      </c>
      <c r="B1781" s="2" t="s">
        <v>2631</v>
      </c>
      <c r="C1781" s="2" t="s">
        <v>2527</v>
      </c>
      <c r="D1781" s="2" t="s">
        <v>2516</v>
      </c>
      <c r="E1781" s="2" t="s">
        <v>2529</v>
      </c>
      <c r="F1781" s="3">
        <v>74153</v>
      </c>
      <c r="G1781" s="3">
        <v>1066</v>
      </c>
      <c r="H1781" s="3">
        <v>125</v>
      </c>
      <c r="I1781" s="4">
        <v>263.64999999999998</v>
      </c>
      <c r="J1781" s="4">
        <v>8715.89</v>
      </c>
      <c r="K1781" s="3">
        <v>111</v>
      </c>
      <c r="L1781" s="2" t="s">
        <v>2523</v>
      </c>
      <c r="M1781" s="2" t="s">
        <v>2546</v>
      </c>
      <c r="N1781" s="8">
        <f>IFERROR(G1781/F1781,0)</f>
        <v>1.4375682710072418E-2</v>
      </c>
      <c r="O1781" s="8">
        <f>IFERROR(H1781/G1781,0)</f>
        <v>0.11726078799249531</v>
      </c>
      <c r="P1781" s="4">
        <f>IFERROR(I1781/G1781,0)</f>
        <v>0.2473264540337711</v>
      </c>
      <c r="Q1781" s="4">
        <f>IFERROR(I1781/H1781,0)</f>
        <v>2.1092</v>
      </c>
      <c r="R1781" s="12">
        <f>IFERROR(J1781/I1781,0)</f>
        <v>33.058562488147167</v>
      </c>
      <c r="S1781" s="7">
        <f>Tabla_nuevas_columnas[[#This Row],[ROAS]]</f>
        <v>33.058562488147167</v>
      </c>
      <c r="T1781" t="str">
        <f>_xlfn.CONCAT(C1781,"-",D1781)</f>
        <v>Affiliate-México</v>
      </c>
      <c r="U1781">
        <f>YEAR(A1781)</f>
        <v>2025</v>
      </c>
      <c r="V1781">
        <f>MONTH(A1781)</f>
        <v>3</v>
      </c>
      <c r="W1781" t="str">
        <f>PROPER(TEXT(A1781,"mmmm"))</f>
        <v>Marzo</v>
      </c>
      <c r="X1781" t="str">
        <f>PROPER(TEXT(A1781,"dddd"))</f>
        <v>Miércoles</v>
      </c>
      <c r="Y1781" t="str" cm="1">
        <f t="array" ref="Y1781">_xlfn.IFS(R1781&gt;10,"Excelente",R1781&gt;=5,"Bueno",R1781&gt;=2,"Débil",R1781&lt;2,"Deficiente")</f>
        <v>Excelente</v>
      </c>
      <c r="Z1781" t="str">
        <f>IF(AND(R1781&lt;2,Q1781&gt;=100),"Revisar","OK")</f>
        <v>OK</v>
      </c>
      <c r="AA1781" s="55">
        <f>_xlfn.XLOOKUP(C1781,'Preguntas de negocio'!$C$114:$C$119,'Preguntas de negocio'!$D$114:$D$119,0)</f>
        <v>4.5</v>
      </c>
      <c r="AB1781" s="55">
        <f>VLOOKUP(C1781,'Preguntas de negocio'!$C$121:$D$127,2,FALSE)</f>
        <v>0.35</v>
      </c>
    </row>
    <row r="1782" spans="1:28" x14ac:dyDescent="0.3">
      <c r="A1782" s="1">
        <v>45695</v>
      </c>
      <c r="B1782" s="2" t="s">
        <v>2633</v>
      </c>
      <c r="C1782" s="2" t="s">
        <v>2515</v>
      </c>
      <c r="D1782" s="2" t="s">
        <v>2528</v>
      </c>
      <c r="E1782" s="2" t="s">
        <v>2529</v>
      </c>
      <c r="F1782" s="3">
        <v>45452</v>
      </c>
      <c r="G1782" s="3">
        <v>3858</v>
      </c>
      <c r="H1782" s="3">
        <v>66</v>
      </c>
      <c r="I1782" s="4">
        <v>5607.9</v>
      </c>
      <c r="J1782" s="4">
        <v>13285.37</v>
      </c>
      <c r="K1782" s="3">
        <v>58</v>
      </c>
      <c r="L1782" s="2" t="s">
        <v>2518</v>
      </c>
      <c r="M1782" s="2" t="s">
        <v>2519</v>
      </c>
      <c r="N1782" s="8">
        <f>IFERROR(G1782/F1782,0)</f>
        <v>8.4880753322186045E-2</v>
      </c>
      <c r="O1782" s="8">
        <f>IFERROR(H1782/G1782,0)</f>
        <v>1.7107309486780714E-2</v>
      </c>
      <c r="P1782" s="4">
        <f>IFERROR(I1782/G1782,0)</f>
        <v>1.4535769828926903</v>
      </c>
      <c r="Q1782" s="4">
        <f>IFERROR(I1782/H1782,0)</f>
        <v>84.968181818181819</v>
      </c>
      <c r="R1782" s="12">
        <f>IFERROR(J1782/I1782,0)</f>
        <v>2.3690454537349099</v>
      </c>
      <c r="S1782" s="7">
        <f>Tabla_nuevas_columnas[[#This Row],[ROAS]]</f>
        <v>2.3690454537349099</v>
      </c>
      <c r="T1782" t="str">
        <f>_xlfn.CONCAT(C1782,"-",D1782)</f>
        <v>Email-España</v>
      </c>
      <c r="U1782">
        <f>YEAR(A1782)</f>
        <v>2025</v>
      </c>
      <c r="V1782">
        <f>MONTH(A1782)</f>
        <v>2</v>
      </c>
      <c r="W1782" t="str">
        <f>PROPER(TEXT(A1782,"mmmm"))</f>
        <v>Febrero</v>
      </c>
      <c r="X1782" t="str">
        <f>PROPER(TEXT(A1782,"dddd"))</f>
        <v>Viernes</v>
      </c>
      <c r="Y1782" t="str" cm="1">
        <f t="array" ref="Y1782">_xlfn.IFS(R1782&gt;10,"Excelente",R1782&gt;=5,"Bueno",R1782&gt;=2,"Débil",R1782&lt;2,"Deficiente")</f>
        <v>Débil</v>
      </c>
      <c r="Z1782" t="str">
        <f>IF(AND(R1782&lt;2,Q1782&gt;=100),"Revisar","OK")</f>
        <v>OK</v>
      </c>
      <c r="AA1782" s="55">
        <f>_xlfn.XLOOKUP(C1782,'Preguntas de negocio'!$C$114:$C$119,'Preguntas de negocio'!$D$114:$D$119,0)</f>
        <v>5.5</v>
      </c>
      <c r="AB1782" s="55">
        <f>VLOOKUP(C1782,'Preguntas de negocio'!$C$121:$D$127,2,FALSE)</f>
        <v>0.65</v>
      </c>
    </row>
    <row r="1783" spans="1:28" x14ac:dyDescent="0.3">
      <c r="A1783" s="1">
        <v>45685</v>
      </c>
      <c r="B1783" s="2" t="s">
        <v>2627</v>
      </c>
      <c r="C1783" s="2" t="s">
        <v>2515</v>
      </c>
      <c r="D1783" s="2" t="s">
        <v>2525</v>
      </c>
      <c r="E1783" s="2" t="s">
        <v>2534</v>
      </c>
      <c r="F1783" s="3">
        <v>79615</v>
      </c>
      <c r="G1783" s="3">
        <v>5249</v>
      </c>
      <c r="H1783" s="3">
        <v>215</v>
      </c>
      <c r="I1783" s="4">
        <v>2127.0100000000002</v>
      </c>
      <c r="J1783" s="4">
        <v>15654.98</v>
      </c>
      <c r="K1783" s="3">
        <v>146</v>
      </c>
      <c r="L1783" s="2" t="s">
        <v>2539</v>
      </c>
      <c r="M1783" s="2" t="s">
        <v>2546</v>
      </c>
      <c r="N1783" s="8">
        <f>IFERROR(G1783/F1783,0)</f>
        <v>6.5929787100420773E-2</v>
      </c>
      <c r="O1783" s="8">
        <f>IFERROR(H1783/G1783,0)</f>
        <v>4.0960182891979426E-2</v>
      </c>
      <c r="P1783" s="4">
        <f>IFERROR(I1783/G1783,0)</f>
        <v>0.40522194703753101</v>
      </c>
      <c r="Q1783" s="4">
        <f>IFERROR(I1783/H1783,0)</f>
        <v>9.8930697674418617</v>
      </c>
      <c r="R1783" s="12">
        <f>IFERROR(J1783/I1783,0)</f>
        <v>7.3600876347548896</v>
      </c>
      <c r="S1783" s="7">
        <f>Tabla_nuevas_columnas[[#This Row],[ROAS]]</f>
        <v>7.3600876347548896</v>
      </c>
      <c r="T1783" t="str">
        <f>_xlfn.CONCAT(C1783,"-",D1783)</f>
        <v>Email-Francia</v>
      </c>
      <c r="U1783">
        <f>YEAR(A1783)</f>
        <v>2025</v>
      </c>
      <c r="V1783">
        <f>MONTH(A1783)</f>
        <v>1</v>
      </c>
      <c r="W1783" t="str">
        <f>PROPER(TEXT(A1783,"mmmm"))</f>
        <v>Enero</v>
      </c>
      <c r="X1783" t="str">
        <f>PROPER(TEXT(A1783,"dddd"))</f>
        <v>Martes</v>
      </c>
      <c r="Y1783" t="str" cm="1">
        <f t="array" ref="Y1783">_xlfn.IFS(R1783&gt;10,"Excelente",R1783&gt;=5,"Bueno",R1783&gt;=2,"Débil",R1783&lt;2,"Deficiente")</f>
        <v>Bueno</v>
      </c>
      <c r="Z1783" t="str">
        <f>IF(AND(R1783&lt;2,Q1783&gt;=100),"Revisar","OK")</f>
        <v>OK</v>
      </c>
      <c r="AA1783" s="55">
        <f>_xlfn.XLOOKUP(C1783,'Preguntas de negocio'!$C$114:$C$119,'Preguntas de negocio'!$D$114:$D$119,0)</f>
        <v>5.5</v>
      </c>
      <c r="AB1783" s="55">
        <f>VLOOKUP(C1783,'Preguntas de negocio'!$C$121:$D$127,2,FALSE)</f>
        <v>0.65</v>
      </c>
    </row>
    <row r="1784" spans="1:28" x14ac:dyDescent="0.3">
      <c r="A1784" s="1">
        <v>45839</v>
      </c>
      <c r="B1784" s="2" t="s">
        <v>2636</v>
      </c>
      <c r="C1784" s="2" t="s">
        <v>2521</v>
      </c>
      <c r="D1784" s="2" t="s">
        <v>2528</v>
      </c>
      <c r="E1784" s="2" t="s">
        <v>2529</v>
      </c>
      <c r="F1784" s="3">
        <v>17910</v>
      </c>
      <c r="G1784" s="3">
        <v>250</v>
      </c>
      <c r="H1784" s="3">
        <v>2</v>
      </c>
      <c r="I1784" s="4">
        <v>202.26</v>
      </c>
      <c r="J1784" s="4">
        <v>237.55</v>
      </c>
      <c r="K1784" s="3">
        <v>1</v>
      </c>
      <c r="L1784" s="2" t="s">
        <v>2539</v>
      </c>
      <c r="M1784" s="2" t="s">
        <v>2537</v>
      </c>
      <c r="N1784" s="8">
        <f>IFERROR(G1784/F1784,0)</f>
        <v>1.3958682300390842E-2</v>
      </c>
      <c r="O1784" s="8">
        <f>IFERROR(H1784/G1784,0)</f>
        <v>8.0000000000000002E-3</v>
      </c>
      <c r="P1784" s="4">
        <f>IFERROR(I1784/G1784,0)</f>
        <v>0.80903999999999998</v>
      </c>
      <c r="Q1784" s="4">
        <f>IFERROR(I1784/H1784,0)</f>
        <v>101.13</v>
      </c>
      <c r="R1784" s="12">
        <f>IFERROR(J1784/I1784,0)</f>
        <v>1.1744783941461487</v>
      </c>
      <c r="S1784" s="7">
        <f>Tabla_nuevas_columnas[[#This Row],[ROAS]]</f>
        <v>1.1744783941461487</v>
      </c>
      <c r="T1784" t="str">
        <f>_xlfn.CONCAT(C1784,"-",D1784)</f>
        <v>Paid Search-España</v>
      </c>
      <c r="U1784">
        <f>YEAR(A1784)</f>
        <v>2025</v>
      </c>
      <c r="V1784">
        <f>MONTH(A1784)</f>
        <v>7</v>
      </c>
      <c r="W1784" t="str">
        <f>PROPER(TEXT(A1784,"mmmm"))</f>
        <v>Julio</v>
      </c>
      <c r="X1784" t="str">
        <f>PROPER(TEXT(A1784,"dddd"))</f>
        <v>Martes</v>
      </c>
      <c r="Y1784" t="str" cm="1">
        <f t="array" ref="Y1784">_xlfn.IFS(R1784&gt;10,"Excelente",R1784&gt;=5,"Bueno",R1784&gt;=2,"Débil",R1784&lt;2,"Deficiente")</f>
        <v>Deficiente</v>
      </c>
      <c r="Z1784" t="str">
        <f>IF(AND(R1784&lt;2,Q1784&gt;=100),"Revisar","OK")</f>
        <v>Revisar</v>
      </c>
      <c r="AA1784" s="55">
        <f>_xlfn.XLOOKUP(C1784,'Preguntas de negocio'!$C$114:$C$119,'Preguntas de negocio'!$D$114:$D$119,0)</f>
        <v>5</v>
      </c>
      <c r="AB1784" s="55">
        <f>VLOOKUP(C1784,'Preguntas de negocio'!$C$121:$D$127,2,FALSE)</f>
        <v>1.1000000000000001</v>
      </c>
    </row>
    <row r="1785" spans="1:28" x14ac:dyDescent="0.3">
      <c r="A1785" s="1">
        <v>45710</v>
      </c>
      <c r="B1785" s="2" t="s">
        <v>2634</v>
      </c>
      <c r="C1785" s="2" t="s">
        <v>2527</v>
      </c>
      <c r="D1785" s="2" t="s">
        <v>2531</v>
      </c>
      <c r="E1785" s="2" t="s">
        <v>2529</v>
      </c>
      <c r="F1785" s="3">
        <v>24544</v>
      </c>
      <c r="G1785" s="3">
        <v>934</v>
      </c>
      <c r="H1785" s="3">
        <v>76</v>
      </c>
      <c r="I1785" s="4">
        <v>1307.1500000000001</v>
      </c>
      <c r="J1785" s="4">
        <v>9350.6</v>
      </c>
      <c r="K1785" s="3">
        <v>66</v>
      </c>
      <c r="L1785" s="2" t="s">
        <v>2523</v>
      </c>
      <c r="M1785" s="2" t="s">
        <v>2524</v>
      </c>
      <c r="N1785" s="8">
        <f>IFERROR(G1785/F1785,0)</f>
        <v>3.8054106910039111E-2</v>
      </c>
      <c r="O1785" s="8">
        <f>IFERROR(H1785/G1785,0)</f>
        <v>8.137044967880086E-2</v>
      </c>
      <c r="P1785" s="4">
        <f>IFERROR(I1785/G1785,0)</f>
        <v>1.3995182012847966</v>
      </c>
      <c r="Q1785" s="4">
        <f>IFERROR(I1785/H1785,0)</f>
        <v>17.19934210526316</v>
      </c>
      <c r="R1785" s="12">
        <f>IFERROR(J1785/I1785,0)</f>
        <v>7.1534253911180814</v>
      </c>
      <c r="S1785" s="7">
        <f>Tabla_nuevas_columnas[[#This Row],[ROAS]]</f>
        <v>7.1534253911180814</v>
      </c>
      <c r="T1785" t="str">
        <f>_xlfn.CONCAT(C1785,"-",D1785)</f>
        <v>Affiliate-Portugal</v>
      </c>
      <c r="U1785">
        <f>YEAR(A1785)</f>
        <v>2025</v>
      </c>
      <c r="V1785">
        <f>MONTH(A1785)</f>
        <v>2</v>
      </c>
      <c r="W1785" t="str">
        <f>PROPER(TEXT(A1785,"mmmm"))</f>
        <v>Febrero</v>
      </c>
      <c r="X1785" t="str">
        <f>PROPER(TEXT(A1785,"dddd"))</f>
        <v>Sábado</v>
      </c>
      <c r="Y1785" t="str" cm="1">
        <f t="array" ref="Y1785">_xlfn.IFS(R1785&gt;10,"Excelente",R1785&gt;=5,"Bueno",R1785&gt;=2,"Débil",R1785&lt;2,"Deficiente")</f>
        <v>Bueno</v>
      </c>
      <c r="Z1785" t="str">
        <f>IF(AND(R1785&lt;2,Q1785&gt;=100),"Revisar","OK")</f>
        <v>OK</v>
      </c>
      <c r="AA1785" s="55">
        <f>_xlfn.XLOOKUP(C1785,'Preguntas de negocio'!$C$114:$C$119,'Preguntas de negocio'!$D$114:$D$119,0)</f>
        <v>4.5</v>
      </c>
      <c r="AB1785" s="55">
        <f>VLOOKUP(C1785,'Preguntas de negocio'!$C$121:$D$127,2,FALSE)</f>
        <v>0.35</v>
      </c>
    </row>
    <row r="1786" spans="1:28" x14ac:dyDescent="0.3">
      <c r="A1786" s="1">
        <v>46008</v>
      </c>
      <c r="B1786" s="2" t="s">
        <v>2643</v>
      </c>
      <c r="C1786" s="2" t="s">
        <v>2541</v>
      </c>
      <c r="D1786" s="2" t="s">
        <v>2525</v>
      </c>
      <c r="E1786" s="2" t="s">
        <v>2529</v>
      </c>
      <c r="F1786" s="3">
        <v>126646</v>
      </c>
      <c r="G1786" s="3">
        <v>8908</v>
      </c>
      <c r="H1786" s="3">
        <v>191</v>
      </c>
      <c r="I1786" s="4">
        <v>5105.7700000000004</v>
      </c>
      <c r="J1786" s="4">
        <v>17217.29</v>
      </c>
      <c r="K1786" s="3">
        <v>142</v>
      </c>
      <c r="L1786" s="2" t="s">
        <v>2518</v>
      </c>
      <c r="M1786" s="2" t="s">
        <v>2526</v>
      </c>
      <c r="N1786" s="8">
        <f>IFERROR(G1786/F1786,0)</f>
        <v>7.0337791955529583E-2</v>
      </c>
      <c r="O1786" s="8">
        <f>IFERROR(H1786/G1786,0)</f>
        <v>2.1441400987876065E-2</v>
      </c>
      <c r="P1786" s="4">
        <f>IFERROR(I1786/G1786,0)</f>
        <v>0.57316681634485855</v>
      </c>
      <c r="Q1786" s="4">
        <f>IFERROR(I1786/H1786,0)</f>
        <v>26.731780104712044</v>
      </c>
      <c r="R1786" s="12">
        <f>IFERROR(J1786/I1786,0)</f>
        <v>3.3721240870622844</v>
      </c>
      <c r="S1786" s="7">
        <f>Tabla_nuevas_columnas[[#This Row],[ROAS]]</f>
        <v>3.3721240870622844</v>
      </c>
      <c r="T1786" t="str">
        <f>_xlfn.CONCAT(C1786,"-",D1786)</f>
        <v>Display-Francia</v>
      </c>
      <c r="U1786">
        <f>YEAR(A1786)</f>
        <v>2025</v>
      </c>
      <c r="V1786">
        <f>MONTH(A1786)</f>
        <v>12</v>
      </c>
      <c r="W1786" t="str">
        <f>PROPER(TEXT(A1786,"mmmm"))</f>
        <v>Diciembre</v>
      </c>
      <c r="X1786" t="str">
        <f>PROPER(TEXT(A1786,"dddd"))</f>
        <v>Miércoles</v>
      </c>
      <c r="Y1786" t="str" cm="1">
        <f t="array" ref="Y1786">_xlfn.IFS(R1786&gt;10,"Excelente",R1786&gt;=5,"Bueno",R1786&gt;=2,"Débil",R1786&lt;2,"Deficiente")</f>
        <v>Débil</v>
      </c>
      <c r="Z1786" t="str">
        <f>IF(AND(R1786&lt;2,Q1786&gt;=100),"Revisar","OK")</f>
        <v>OK</v>
      </c>
      <c r="AA1786" s="55">
        <f>_xlfn.XLOOKUP(C1786,'Preguntas de negocio'!$C$114:$C$119,'Preguntas de negocio'!$D$114:$D$119,0)</f>
        <v>5</v>
      </c>
      <c r="AB1786" s="55">
        <f>VLOOKUP(C1786,'Preguntas de negocio'!$C$121:$D$127,2,FALSE)</f>
        <v>0.5</v>
      </c>
    </row>
    <row r="1787" spans="1:28" x14ac:dyDescent="0.3">
      <c r="A1787" s="1">
        <v>45833</v>
      </c>
      <c r="B1787" s="2" t="s">
        <v>2637</v>
      </c>
      <c r="C1787" s="2" t="s">
        <v>2515</v>
      </c>
      <c r="D1787" s="2" t="s">
        <v>2528</v>
      </c>
      <c r="E1787" s="2" t="s">
        <v>2517</v>
      </c>
      <c r="F1787" s="3">
        <v>28619</v>
      </c>
      <c r="G1787" s="3">
        <v>2304</v>
      </c>
      <c r="H1787" s="3">
        <v>153</v>
      </c>
      <c r="I1787" s="4">
        <v>4577.62</v>
      </c>
      <c r="J1787" s="4">
        <v>8727.06</v>
      </c>
      <c r="K1787" s="3">
        <v>112</v>
      </c>
      <c r="L1787" s="2" t="s">
        <v>2518</v>
      </c>
      <c r="M1787" s="2" t="s">
        <v>2526</v>
      </c>
      <c r="N1787" s="8">
        <f>IFERROR(G1787/F1787,0)</f>
        <v>8.0505957580628257E-2</v>
      </c>
      <c r="O1787" s="8">
        <f>IFERROR(H1787/G1787,0)</f>
        <v>6.640625E-2</v>
      </c>
      <c r="P1787" s="4">
        <f>IFERROR(I1787/G1787,0)</f>
        <v>1.986814236111111</v>
      </c>
      <c r="Q1787" s="4">
        <f>IFERROR(I1787/H1787,0)</f>
        <v>29.919084967320259</v>
      </c>
      <c r="R1787" s="12">
        <f>IFERROR(J1787/I1787,0)</f>
        <v>1.9064623101087463</v>
      </c>
      <c r="S1787" s="7">
        <f>Tabla_nuevas_columnas[[#This Row],[ROAS]]</f>
        <v>1.9064623101087463</v>
      </c>
      <c r="T1787" t="str">
        <f>_xlfn.CONCAT(C1787,"-",D1787)</f>
        <v>Email-España</v>
      </c>
      <c r="U1787">
        <f>YEAR(A1787)</f>
        <v>2025</v>
      </c>
      <c r="V1787">
        <f>MONTH(A1787)</f>
        <v>6</v>
      </c>
      <c r="W1787" t="str">
        <f>PROPER(TEXT(A1787,"mmmm"))</f>
        <v>Junio</v>
      </c>
      <c r="X1787" t="str">
        <f>PROPER(TEXT(A1787,"dddd"))</f>
        <v>Miércoles</v>
      </c>
      <c r="Y1787" t="str" cm="1">
        <f t="array" ref="Y1787">_xlfn.IFS(R1787&gt;10,"Excelente",R1787&gt;=5,"Bueno",R1787&gt;=2,"Débil",R1787&lt;2,"Deficiente")</f>
        <v>Deficiente</v>
      </c>
      <c r="Z1787" t="str">
        <f>IF(AND(R1787&lt;2,Q1787&gt;=100),"Revisar","OK")</f>
        <v>OK</v>
      </c>
      <c r="AA1787" s="55">
        <f>_xlfn.XLOOKUP(C1787,'Preguntas de negocio'!$C$114:$C$119,'Preguntas de negocio'!$D$114:$D$119,0)</f>
        <v>5.5</v>
      </c>
      <c r="AB1787" s="55">
        <f>VLOOKUP(C1787,'Preguntas de negocio'!$C$121:$D$127,2,FALSE)</f>
        <v>0.65</v>
      </c>
    </row>
    <row r="1788" spans="1:28" x14ac:dyDescent="0.3">
      <c r="A1788" s="1">
        <v>45983</v>
      </c>
      <c r="B1788" s="2" t="s">
        <v>2626</v>
      </c>
      <c r="C1788" s="2" t="s">
        <v>2541</v>
      </c>
      <c r="D1788" s="2" t="s">
        <v>2522</v>
      </c>
      <c r="E1788" s="2" t="s">
        <v>2529</v>
      </c>
      <c r="F1788" s="3">
        <v>126780</v>
      </c>
      <c r="G1788" s="3">
        <v>9423</v>
      </c>
      <c r="H1788" s="3">
        <v>794</v>
      </c>
      <c r="I1788" s="4">
        <v>14223.2</v>
      </c>
      <c r="J1788" s="4">
        <v>135883.66</v>
      </c>
      <c r="K1788" s="3">
        <v>611</v>
      </c>
      <c r="L1788" s="2" t="s">
        <v>2518</v>
      </c>
      <c r="M1788" s="2" t="s">
        <v>2519</v>
      </c>
      <c r="N1788" s="8">
        <f>IFERROR(G1788/F1788,0)</f>
        <v>7.4325603407477514E-2</v>
      </c>
      <c r="O1788" s="8">
        <f>IFERROR(H1788/G1788,0)</f>
        <v>8.4261912342141573E-2</v>
      </c>
      <c r="P1788" s="4">
        <f>IFERROR(I1788/G1788,0)</f>
        <v>1.5094131380664333</v>
      </c>
      <c r="Q1788" s="4">
        <f>IFERROR(I1788/H1788,0)</f>
        <v>17.913350125944586</v>
      </c>
      <c r="R1788" s="12">
        <f>IFERROR(J1788/I1788,0)</f>
        <v>9.5536630294167271</v>
      </c>
      <c r="S1788" s="7">
        <f>Tabla_nuevas_columnas[[#This Row],[ROAS]]</f>
        <v>9.5536630294167271</v>
      </c>
      <c r="T1788" t="str">
        <f>_xlfn.CONCAT(C1788,"-",D1788)</f>
        <v>Display-Italia</v>
      </c>
      <c r="U1788">
        <f>YEAR(A1788)</f>
        <v>2025</v>
      </c>
      <c r="V1788">
        <f>MONTH(A1788)</f>
        <v>11</v>
      </c>
      <c r="W1788" t="str">
        <f>PROPER(TEXT(A1788,"mmmm"))</f>
        <v>Noviembre</v>
      </c>
      <c r="X1788" t="str">
        <f>PROPER(TEXT(A1788,"dddd"))</f>
        <v>Sábado</v>
      </c>
      <c r="Y1788" t="str" cm="1">
        <f t="array" ref="Y1788">_xlfn.IFS(R1788&gt;10,"Excelente",R1788&gt;=5,"Bueno",R1788&gt;=2,"Débil",R1788&lt;2,"Deficiente")</f>
        <v>Bueno</v>
      </c>
      <c r="Z1788" t="str">
        <f>IF(AND(R1788&lt;2,Q1788&gt;=100),"Revisar","OK")</f>
        <v>OK</v>
      </c>
      <c r="AA1788" s="55">
        <f>_xlfn.XLOOKUP(C1788,'Preguntas de negocio'!$C$114:$C$119,'Preguntas de negocio'!$D$114:$D$119,0)</f>
        <v>5</v>
      </c>
      <c r="AB1788" s="55">
        <f>VLOOKUP(C1788,'Preguntas de negocio'!$C$121:$D$127,2,FALSE)</f>
        <v>0.5</v>
      </c>
    </row>
    <row r="1789" spans="1:28" x14ac:dyDescent="0.3">
      <c r="A1789" s="1">
        <v>45877</v>
      </c>
      <c r="B1789" s="2" t="s">
        <v>2635</v>
      </c>
      <c r="C1789" s="2" t="s">
        <v>2521</v>
      </c>
      <c r="D1789" s="2" t="s">
        <v>2528</v>
      </c>
      <c r="E1789" s="2" t="s">
        <v>2517</v>
      </c>
      <c r="F1789" s="3">
        <v>70764</v>
      </c>
      <c r="G1789" s="3">
        <v>2336</v>
      </c>
      <c r="H1789" s="3">
        <v>228</v>
      </c>
      <c r="I1789" s="4">
        <v>942.98</v>
      </c>
      <c r="J1789" s="4">
        <v>41745.86</v>
      </c>
      <c r="K1789" s="3">
        <v>116</v>
      </c>
      <c r="L1789" s="2" t="s">
        <v>2539</v>
      </c>
      <c r="M1789" s="2" t="s">
        <v>2519</v>
      </c>
      <c r="N1789" s="8">
        <f>IFERROR(G1789/F1789,0)</f>
        <v>3.3011135605675201E-2</v>
      </c>
      <c r="O1789" s="8">
        <f>IFERROR(H1789/G1789,0)</f>
        <v>9.7602739726027399E-2</v>
      </c>
      <c r="P1789" s="4">
        <f>IFERROR(I1789/G1789,0)</f>
        <v>0.40367294520547947</v>
      </c>
      <c r="Q1789" s="4">
        <f>IFERROR(I1789/H1789,0)</f>
        <v>4.1358771929824565</v>
      </c>
      <c r="R1789" s="12">
        <f>IFERROR(J1789/I1789,0)</f>
        <v>44.270143587350738</v>
      </c>
      <c r="S1789" s="7">
        <f>Tabla_nuevas_columnas[[#This Row],[ROAS]]</f>
        <v>44.270143587350738</v>
      </c>
      <c r="T1789" t="str">
        <f>_xlfn.CONCAT(C1789,"-",D1789)</f>
        <v>Paid Search-España</v>
      </c>
      <c r="U1789">
        <f>YEAR(A1789)</f>
        <v>2025</v>
      </c>
      <c r="V1789">
        <f>MONTH(A1789)</f>
        <v>8</v>
      </c>
      <c r="W1789" t="str">
        <f>PROPER(TEXT(A1789,"mmmm"))</f>
        <v>Agosto</v>
      </c>
      <c r="X1789" t="str">
        <f>PROPER(TEXT(A1789,"dddd"))</f>
        <v>Viernes</v>
      </c>
      <c r="Y1789" t="str" cm="1">
        <f t="array" ref="Y1789">_xlfn.IFS(R1789&gt;10,"Excelente",R1789&gt;=5,"Bueno",R1789&gt;=2,"Débil",R1789&lt;2,"Deficiente")</f>
        <v>Excelente</v>
      </c>
      <c r="Z1789" t="str">
        <f>IF(AND(R1789&lt;2,Q1789&gt;=100),"Revisar","OK")</f>
        <v>OK</v>
      </c>
      <c r="AA1789" s="55">
        <f>_xlfn.XLOOKUP(C1789,'Preguntas de negocio'!$C$114:$C$119,'Preguntas de negocio'!$D$114:$D$119,0)</f>
        <v>5</v>
      </c>
      <c r="AB1789" s="55">
        <f>VLOOKUP(C1789,'Preguntas de negocio'!$C$121:$D$127,2,FALSE)</f>
        <v>1.1000000000000001</v>
      </c>
    </row>
    <row r="1790" spans="1:28" x14ac:dyDescent="0.3">
      <c r="A1790" s="1">
        <v>45944</v>
      </c>
      <c r="B1790" s="2" t="s">
        <v>2633</v>
      </c>
      <c r="C1790" s="2" t="s">
        <v>2533</v>
      </c>
      <c r="D1790" s="2" t="s">
        <v>2528</v>
      </c>
      <c r="E1790" s="2" t="s">
        <v>2517</v>
      </c>
      <c r="F1790" s="3">
        <v>118667</v>
      </c>
      <c r="G1790" s="3">
        <v>4655</v>
      </c>
      <c r="H1790" s="3">
        <v>231</v>
      </c>
      <c r="I1790" s="4">
        <v>4241.1099999999997</v>
      </c>
      <c r="J1790" s="4">
        <v>44804.83</v>
      </c>
      <c r="K1790" s="3">
        <v>205</v>
      </c>
      <c r="L1790" s="2" t="s">
        <v>2518</v>
      </c>
      <c r="M1790" s="2" t="s">
        <v>2537</v>
      </c>
      <c r="N1790" s="8">
        <f>IFERROR(G1790/F1790,0)</f>
        <v>3.9227417900511513E-2</v>
      </c>
      <c r="O1790" s="8">
        <f>IFERROR(H1790/G1790,0)</f>
        <v>4.9624060150375938E-2</v>
      </c>
      <c r="P1790" s="4">
        <f>IFERROR(I1790/G1790,0)</f>
        <v>0.91108700322234148</v>
      </c>
      <c r="Q1790" s="4">
        <f>IFERROR(I1790/H1790,0)</f>
        <v>18.359783549783547</v>
      </c>
      <c r="R1790" s="12">
        <f>IFERROR(J1790/I1790,0)</f>
        <v>10.564411203670739</v>
      </c>
      <c r="S1790" s="7">
        <f>Tabla_nuevas_columnas[[#This Row],[ROAS]]</f>
        <v>10.564411203670739</v>
      </c>
      <c r="T1790" t="str">
        <f>_xlfn.CONCAT(C1790,"-",D1790)</f>
        <v>Paid Social-España</v>
      </c>
      <c r="U1790">
        <f>YEAR(A1790)</f>
        <v>2025</v>
      </c>
      <c r="V1790">
        <f>MONTH(A1790)</f>
        <v>10</v>
      </c>
      <c r="W1790" t="str">
        <f>PROPER(TEXT(A1790,"mmmm"))</f>
        <v>Octubre</v>
      </c>
      <c r="X1790" t="str">
        <f>PROPER(TEXT(A1790,"dddd"))</f>
        <v>Martes</v>
      </c>
      <c r="Y1790" t="str" cm="1">
        <f t="array" ref="Y1790">_xlfn.IFS(R1790&gt;10,"Excelente",R1790&gt;=5,"Bueno",R1790&gt;=2,"Débil",R1790&lt;2,"Deficiente")</f>
        <v>Excelente</v>
      </c>
      <c r="Z1790" t="str">
        <f>IF(AND(R1790&lt;2,Q1790&gt;=100),"Revisar","OK")</f>
        <v>OK</v>
      </c>
      <c r="AA1790" s="55">
        <f>_xlfn.XLOOKUP(C1790,'Preguntas de negocio'!$C$114:$C$119,'Preguntas de negocio'!$D$114:$D$119,0)</f>
        <v>6</v>
      </c>
      <c r="AB1790" s="55">
        <f>VLOOKUP(C1790,'Preguntas de negocio'!$C$121:$D$127,2,FALSE)</f>
        <v>0.8</v>
      </c>
    </row>
    <row r="1791" spans="1:28" x14ac:dyDescent="0.3">
      <c r="A1791" s="1">
        <v>45763</v>
      </c>
      <c r="B1791" s="2" t="s">
        <v>2636</v>
      </c>
      <c r="C1791" s="2" t="s">
        <v>2543</v>
      </c>
      <c r="D1791" s="2" t="s">
        <v>2522</v>
      </c>
      <c r="E1791" s="2" t="s">
        <v>2529</v>
      </c>
      <c r="F1791" s="3">
        <v>48889</v>
      </c>
      <c r="G1791" s="3">
        <v>2667</v>
      </c>
      <c r="H1791" s="3">
        <v>56</v>
      </c>
      <c r="I1791" s="4">
        <v>374.14</v>
      </c>
      <c r="J1791" s="4">
        <v>9864.67</v>
      </c>
      <c r="K1791" s="3">
        <v>47</v>
      </c>
      <c r="L1791" s="2" t="s">
        <v>2523</v>
      </c>
      <c r="M1791" s="2" t="s">
        <v>2526</v>
      </c>
      <c r="N1791" s="8">
        <f>IFERROR(G1791/F1791,0)</f>
        <v>5.4552148745116491E-2</v>
      </c>
      <c r="O1791" s="8">
        <f>IFERROR(H1791/G1791,0)</f>
        <v>2.0997375328083989E-2</v>
      </c>
      <c r="P1791" s="4">
        <f>IFERROR(I1791/G1791,0)</f>
        <v>0.14028496437945256</v>
      </c>
      <c r="Q1791" s="4">
        <f>IFERROR(I1791/H1791,0)</f>
        <v>6.6810714285714283</v>
      </c>
      <c r="R1791" s="12">
        <f>IFERROR(J1791/I1791,0)</f>
        <v>26.366253274175442</v>
      </c>
      <c r="S1791" s="7">
        <f>Tabla_nuevas_columnas[[#This Row],[ROAS]]</f>
        <v>26.366253274175442</v>
      </c>
      <c r="T1791" t="str">
        <f>_xlfn.CONCAT(C1791,"-",D1791)</f>
        <v>Organic Social-Italia</v>
      </c>
      <c r="U1791">
        <f>YEAR(A1791)</f>
        <v>2025</v>
      </c>
      <c r="V1791">
        <f>MONTH(A1791)</f>
        <v>4</v>
      </c>
      <c r="W1791" t="str">
        <f>PROPER(TEXT(A1791,"mmmm"))</f>
        <v>Abril</v>
      </c>
      <c r="X1791" t="str">
        <f>PROPER(TEXT(A1791,"dddd"))</f>
        <v>Miércoles</v>
      </c>
      <c r="Y1791" t="str" cm="1">
        <f t="array" ref="Y1791">_xlfn.IFS(R1791&gt;10,"Excelente",R1791&gt;=5,"Bueno",R1791&gt;=2,"Débil",R1791&lt;2,"Deficiente")</f>
        <v>Excelente</v>
      </c>
      <c r="Z1791" t="str">
        <f>IF(AND(R1791&lt;2,Q1791&gt;=100),"Revisar","OK")</f>
        <v>OK</v>
      </c>
      <c r="AA1791" s="55">
        <f>_xlfn.XLOOKUP(C1791,'Preguntas de negocio'!$C$114:$C$119,'Preguntas de negocio'!$D$114:$D$119,0)</f>
        <v>4</v>
      </c>
      <c r="AB1791" s="55">
        <f>VLOOKUP(C1791,'Preguntas de negocio'!$C$121:$D$127,2,FALSE)</f>
        <v>0.95</v>
      </c>
    </row>
    <row r="1792" spans="1:28" x14ac:dyDescent="0.3">
      <c r="A1792" s="1">
        <v>46020</v>
      </c>
      <c r="B1792" s="2" t="s">
        <v>2628</v>
      </c>
      <c r="C1792" s="2" t="s">
        <v>2521</v>
      </c>
      <c r="D1792" s="2" t="s">
        <v>2531</v>
      </c>
      <c r="E1792" s="2" t="s">
        <v>2517</v>
      </c>
      <c r="F1792" s="3">
        <v>115130</v>
      </c>
      <c r="G1792" s="3">
        <v>7384</v>
      </c>
      <c r="H1792" s="3">
        <v>372</v>
      </c>
      <c r="I1792" s="4">
        <v>6867.44</v>
      </c>
      <c r="J1792" s="4">
        <v>63344.39</v>
      </c>
      <c r="K1792" s="3">
        <v>231</v>
      </c>
      <c r="L1792" s="2" t="s">
        <v>2518</v>
      </c>
      <c r="M1792" s="2" t="s">
        <v>2546</v>
      </c>
      <c r="N1792" s="8">
        <f>IFERROR(G1792/F1792,0)</f>
        <v>6.4136193867801616E-2</v>
      </c>
      <c r="O1792" s="8">
        <f>IFERROR(H1792/G1792,0)</f>
        <v>5.0379198266522207E-2</v>
      </c>
      <c r="P1792" s="4">
        <f>IFERROR(I1792/G1792,0)</f>
        <v>0.93004333694474539</v>
      </c>
      <c r="Q1792" s="4">
        <f>IFERROR(I1792/H1792,0)</f>
        <v>18.460860215053764</v>
      </c>
      <c r="R1792" s="12">
        <f>IFERROR(J1792/I1792,0)</f>
        <v>9.2238723600060588</v>
      </c>
      <c r="S1792" s="7">
        <f>Tabla_nuevas_columnas[[#This Row],[ROAS]]</f>
        <v>9.2238723600060588</v>
      </c>
      <c r="T1792" t="str">
        <f>_xlfn.CONCAT(C1792,"-",D1792)</f>
        <v>Paid Search-Portugal</v>
      </c>
      <c r="U1792">
        <f>YEAR(A1792)</f>
        <v>2025</v>
      </c>
      <c r="V1792">
        <f>MONTH(A1792)</f>
        <v>12</v>
      </c>
      <c r="W1792" t="str">
        <f>PROPER(TEXT(A1792,"mmmm"))</f>
        <v>Diciembre</v>
      </c>
      <c r="X1792" t="str">
        <f>PROPER(TEXT(A1792,"dddd"))</f>
        <v>Lunes</v>
      </c>
      <c r="Y1792" t="str" cm="1">
        <f t="array" ref="Y1792">_xlfn.IFS(R1792&gt;10,"Excelente",R1792&gt;=5,"Bueno",R1792&gt;=2,"Débil",R1792&lt;2,"Deficiente")</f>
        <v>Bueno</v>
      </c>
      <c r="Z1792" t="str">
        <f>IF(AND(R1792&lt;2,Q1792&gt;=100),"Revisar","OK")</f>
        <v>OK</v>
      </c>
      <c r="AA1792" s="55">
        <f>_xlfn.XLOOKUP(C1792,'Preguntas de negocio'!$C$114:$C$119,'Preguntas de negocio'!$D$114:$D$119,0)</f>
        <v>5</v>
      </c>
      <c r="AB1792" s="55">
        <f>VLOOKUP(C1792,'Preguntas de negocio'!$C$121:$D$127,2,FALSE)</f>
        <v>1.1000000000000001</v>
      </c>
    </row>
    <row r="1793" spans="1:28" x14ac:dyDescent="0.3">
      <c r="A1793" s="1">
        <v>45811</v>
      </c>
      <c r="B1793" s="2" t="s">
        <v>2616</v>
      </c>
      <c r="C1793" s="2" t="s">
        <v>2541</v>
      </c>
      <c r="D1793" s="2" t="s">
        <v>2528</v>
      </c>
      <c r="E1793" s="2" t="s">
        <v>2529</v>
      </c>
      <c r="F1793" s="3">
        <v>41080</v>
      </c>
      <c r="G1793" s="3">
        <v>2746</v>
      </c>
      <c r="H1793" s="3">
        <v>19</v>
      </c>
      <c r="I1793" s="4">
        <v>5692.78</v>
      </c>
      <c r="J1793" s="4">
        <v>392.69</v>
      </c>
      <c r="K1793" s="3">
        <v>9</v>
      </c>
      <c r="L1793" s="2" t="s">
        <v>2536</v>
      </c>
      <c r="M1793" s="2" t="s">
        <v>2546</v>
      </c>
      <c r="N1793" s="8">
        <f>IFERROR(G1793/F1793,0)</f>
        <v>6.6845180136319376E-2</v>
      </c>
      <c r="O1793" s="8">
        <f>IFERROR(H1793/G1793,0)</f>
        <v>6.9191551347414417E-3</v>
      </c>
      <c r="P1793" s="4">
        <f>IFERROR(I1793/G1793,0)</f>
        <v>2.0731172614712308</v>
      </c>
      <c r="Q1793" s="4">
        <f>IFERROR(I1793/H1793,0)</f>
        <v>299.62</v>
      </c>
      <c r="R1793" s="12">
        <f>IFERROR(J1793/I1793,0)</f>
        <v>6.8980357575736284E-2</v>
      </c>
      <c r="S1793" s="7">
        <f>Tabla_nuevas_columnas[[#This Row],[ROAS]]</f>
        <v>6.8980357575736284E-2</v>
      </c>
      <c r="T1793" t="str">
        <f>_xlfn.CONCAT(C1793,"-",D1793)</f>
        <v>Display-España</v>
      </c>
      <c r="U1793">
        <f>YEAR(A1793)</f>
        <v>2025</v>
      </c>
      <c r="V1793">
        <f>MONTH(A1793)</f>
        <v>6</v>
      </c>
      <c r="W1793" t="str">
        <f>PROPER(TEXT(A1793,"mmmm"))</f>
        <v>Junio</v>
      </c>
      <c r="X1793" t="str">
        <f>PROPER(TEXT(A1793,"dddd"))</f>
        <v>Martes</v>
      </c>
      <c r="Y1793" t="str" cm="1">
        <f t="array" ref="Y1793">_xlfn.IFS(R1793&gt;10,"Excelente",R1793&gt;=5,"Bueno",R1793&gt;=2,"Débil",R1793&lt;2,"Deficiente")</f>
        <v>Deficiente</v>
      </c>
      <c r="Z1793" t="str">
        <f>IF(AND(R1793&lt;2,Q1793&gt;=100),"Revisar","OK")</f>
        <v>Revisar</v>
      </c>
      <c r="AA1793" s="55">
        <f>_xlfn.XLOOKUP(C1793,'Preguntas de negocio'!$C$114:$C$119,'Preguntas de negocio'!$D$114:$D$119,0)</f>
        <v>5</v>
      </c>
      <c r="AB1793" s="55">
        <f>VLOOKUP(C1793,'Preguntas de negocio'!$C$121:$D$127,2,FALSE)</f>
        <v>0.5</v>
      </c>
    </row>
    <row r="1794" spans="1:28" x14ac:dyDescent="0.3">
      <c r="A1794" s="1">
        <v>45727</v>
      </c>
      <c r="B1794" s="2" t="s">
        <v>2620</v>
      </c>
      <c r="C1794" s="2" t="s">
        <v>2541</v>
      </c>
      <c r="D1794" s="2" t="s">
        <v>2525</v>
      </c>
      <c r="E1794" s="2" t="s">
        <v>2517</v>
      </c>
      <c r="F1794" s="3">
        <v>165228</v>
      </c>
      <c r="G1794" s="3">
        <v>6505</v>
      </c>
      <c r="H1794" s="3">
        <v>508</v>
      </c>
      <c r="I1794" s="4">
        <v>9112.89</v>
      </c>
      <c r="J1794" s="4">
        <v>110448.03</v>
      </c>
      <c r="K1794" s="3">
        <v>311</v>
      </c>
      <c r="L1794" s="2" t="s">
        <v>2536</v>
      </c>
      <c r="M1794" s="2" t="s">
        <v>2524</v>
      </c>
      <c r="N1794" s="8">
        <f>IFERROR(G1794/F1794,0)</f>
        <v>3.936984046287554E-2</v>
      </c>
      <c r="O1794" s="8">
        <f>IFERROR(H1794/G1794,0)</f>
        <v>7.809377401998463E-2</v>
      </c>
      <c r="P1794" s="4">
        <f>IFERROR(I1794/G1794,0)</f>
        <v>1.4009054573405073</v>
      </c>
      <c r="Q1794" s="4">
        <f>IFERROR(I1794/H1794,0)</f>
        <v>17.938759842519683</v>
      </c>
      <c r="R1794" s="12">
        <f>IFERROR(J1794/I1794,0)</f>
        <v>12.119978404216445</v>
      </c>
      <c r="S1794" s="7">
        <f>Tabla_nuevas_columnas[[#This Row],[ROAS]]</f>
        <v>12.119978404216445</v>
      </c>
      <c r="T1794" t="str">
        <f>_xlfn.CONCAT(C1794,"-",D1794)</f>
        <v>Display-Francia</v>
      </c>
      <c r="U1794">
        <f>YEAR(A1794)</f>
        <v>2025</v>
      </c>
      <c r="V1794">
        <f>MONTH(A1794)</f>
        <v>3</v>
      </c>
      <c r="W1794" t="str">
        <f>PROPER(TEXT(A1794,"mmmm"))</f>
        <v>Marzo</v>
      </c>
      <c r="X1794" t="str">
        <f>PROPER(TEXT(A1794,"dddd"))</f>
        <v>Martes</v>
      </c>
      <c r="Y1794" t="str" cm="1">
        <f t="array" ref="Y1794">_xlfn.IFS(R1794&gt;10,"Excelente",R1794&gt;=5,"Bueno",R1794&gt;=2,"Débil",R1794&lt;2,"Deficiente")</f>
        <v>Excelente</v>
      </c>
      <c r="Z1794" t="str">
        <f>IF(AND(R1794&lt;2,Q1794&gt;=100),"Revisar","OK")</f>
        <v>OK</v>
      </c>
      <c r="AA1794" s="55">
        <f>_xlfn.XLOOKUP(C1794,'Preguntas de negocio'!$C$114:$C$119,'Preguntas de negocio'!$D$114:$D$119,0)</f>
        <v>5</v>
      </c>
      <c r="AB1794" s="55">
        <f>VLOOKUP(C1794,'Preguntas de negocio'!$C$121:$D$127,2,FALSE)</f>
        <v>0.5</v>
      </c>
    </row>
    <row r="1795" spans="1:28" x14ac:dyDescent="0.3">
      <c r="A1795" s="1">
        <v>45916</v>
      </c>
      <c r="B1795" s="2" t="s">
        <v>2636</v>
      </c>
      <c r="C1795" s="2" t="s">
        <v>2541</v>
      </c>
      <c r="D1795" s="2" t="s">
        <v>2528</v>
      </c>
      <c r="E1795" s="2" t="s">
        <v>2529</v>
      </c>
      <c r="F1795" s="3">
        <v>112826</v>
      </c>
      <c r="G1795" s="3">
        <v>5729</v>
      </c>
      <c r="H1795" s="3">
        <v>585</v>
      </c>
      <c r="I1795" s="4">
        <v>718.93</v>
      </c>
      <c r="J1795" s="4">
        <v>16510.23</v>
      </c>
      <c r="K1795" s="3">
        <v>267</v>
      </c>
      <c r="L1795" s="2" t="s">
        <v>2518</v>
      </c>
      <c r="M1795" s="2" t="s">
        <v>2524</v>
      </c>
      <c r="N1795" s="8">
        <f>IFERROR(G1795/F1795,0)</f>
        <v>5.0777303103894493E-2</v>
      </c>
      <c r="O1795" s="8">
        <f>IFERROR(H1795/G1795,0)</f>
        <v>0.1021120614417874</v>
      </c>
      <c r="P1795" s="4">
        <f>IFERROR(I1795/G1795,0)</f>
        <v>0.12548961424332344</v>
      </c>
      <c r="Q1795" s="4">
        <f>IFERROR(I1795/H1795,0)</f>
        <v>1.2289401709401708</v>
      </c>
      <c r="R1795" s="12">
        <f>IFERROR(J1795/I1795,0)</f>
        <v>22.965003546937812</v>
      </c>
      <c r="S1795" s="7">
        <f>Tabla_nuevas_columnas[[#This Row],[ROAS]]</f>
        <v>22.965003546937812</v>
      </c>
      <c r="T1795" t="str">
        <f>_xlfn.CONCAT(C1795,"-",D1795)</f>
        <v>Display-España</v>
      </c>
      <c r="U1795">
        <f>YEAR(A1795)</f>
        <v>2025</v>
      </c>
      <c r="V1795">
        <f>MONTH(A1795)</f>
        <v>9</v>
      </c>
      <c r="W1795" t="str">
        <f>PROPER(TEXT(A1795,"mmmm"))</f>
        <v>Septiembre</v>
      </c>
      <c r="X1795" t="str">
        <f>PROPER(TEXT(A1795,"dddd"))</f>
        <v>Martes</v>
      </c>
      <c r="Y1795" t="str" cm="1">
        <f t="array" ref="Y1795">_xlfn.IFS(R1795&gt;10,"Excelente",R1795&gt;=5,"Bueno",R1795&gt;=2,"Débil",R1795&lt;2,"Deficiente")</f>
        <v>Excelente</v>
      </c>
      <c r="Z1795" t="str">
        <f>IF(AND(R1795&lt;2,Q1795&gt;=100),"Revisar","OK")</f>
        <v>OK</v>
      </c>
      <c r="AA1795" s="55">
        <f>_xlfn.XLOOKUP(C1795,'Preguntas de negocio'!$C$114:$C$119,'Preguntas de negocio'!$D$114:$D$119,0)</f>
        <v>5</v>
      </c>
      <c r="AB1795" s="55">
        <f>VLOOKUP(C1795,'Preguntas de negocio'!$C$121:$D$127,2,FALSE)</f>
        <v>0.5</v>
      </c>
    </row>
    <row r="1796" spans="1:28" x14ac:dyDescent="0.3">
      <c r="A1796" s="1">
        <v>45797</v>
      </c>
      <c r="B1796" s="2" t="s">
        <v>2626</v>
      </c>
      <c r="C1796" s="2" t="s">
        <v>2515</v>
      </c>
      <c r="D1796" s="2" t="s">
        <v>2525</v>
      </c>
      <c r="E1796" s="2" t="s">
        <v>2529</v>
      </c>
      <c r="F1796" s="3">
        <v>134931</v>
      </c>
      <c r="G1796" s="3">
        <v>10889</v>
      </c>
      <c r="H1796" s="3">
        <v>442</v>
      </c>
      <c r="I1796" s="4">
        <v>12321.9</v>
      </c>
      <c r="J1796" s="4">
        <v>20768.240000000002</v>
      </c>
      <c r="K1796" s="3">
        <v>372</v>
      </c>
      <c r="L1796" s="2" t="s">
        <v>2518</v>
      </c>
      <c r="M1796" s="2" t="s">
        <v>2537</v>
      </c>
      <c r="N1796" s="8">
        <f>IFERROR(G1796/F1796,0)</f>
        <v>8.0700506184642515E-2</v>
      </c>
      <c r="O1796" s="8">
        <f>IFERROR(H1796/G1796,0)</f>
        <v>4.0591422536504732E-2</v>
      </c>
      <c r="P1796" s="4">
        <f>IFERROR(I1796/G1796,0)</f>
        <v>1.1315915143723023</v>
      </c>
      <c r="Q1796" s="4">
        <f>IFERROR(I1796/H1796,0)</f>
        <v>27.877601809954751</v>
      </c>
      <c r="R1796" s="12">
        <f>IFERROR(J1796/I1796,0)</f>
        <v>1.6854738311461708</v>
      </c>
      <c r="S1796" s="7">
        <f>Tabla_nuevas_columnas[[#This Row],[ROAS]]</f>
        <v>1.6854738311461708</v>
      </c>
      <c r="T1796" t="str">
        <f>_xlfn.CONCAT(C1796,"-",D1796)</f>
        <v>Email-Francia</v>
      </c>
      <c r="U1796">
        <f>YEAR(A1796)</f>
        <v>2025</v>
      </c>
      <c r="V1796">
        <f>MONTH(A1796)</f>
        <v>5</v>
      </c>
      <c r="W1796" t="str">
        <f>PROPER(TEXT(A1796,"mmmm"))</f>
        <v>Mayo</v>
      </c>
      <c r="X1796" t="str">
        <f>PROPER(TEXT(A1796,"dddd"))</f>
        <v>Martes</v>
      </c>
      <c r="Y1796" t="str" cm="1">
        <f t="array" ref="Y1796">_xlfn.IFS(R1796&gt;10,"Excelente",R1796&gt;=5,"Bueno",R1796&gt;=2,"Débil",R1796&lt;2,"Deficiente")</f>
        <v>Deficiente</v>
      </c>
      <c r="Z1796" t="str">
        <f>IF(AND(R1796&lt;2,Q1796&gt;=100),"Revisar","OK")</f>
        <v>OK</v>
      </c>
      <c r="AA1796" s="55">
        <f>_xlfn.XLOOKUP(C1796,'Preguntas de negocio'!$C$114:$C$119,'Preguntas de negocio'!$D$114:$D$119,0)</f>
        <v>5.5</v>
      </c>
      <c r="AB1796" s="55">
        <f>VLOOKUP(C1796,'Preguntas de negocio'!$C$121:$D$127,2,FALSE)</f>
        <v>0.65</v>
      </c>
    </row>
    <row r="1797" spans="1:28" x14ac:dyDescent="0.3">
      <c r="A1797" s="1">
        <v>45859</v>
      </c>
      <c r="B1797" s="2" t="s">
        <v>2616</v>
      </c>
      <c r="C1797" s="2" t="s">
        <v>2527</v>
      </c>
      <c r="D1797" s="2" t="s">
        <v>2528</v>
      </c>
      <c r="E1797" s="2" t="s">
        <v>2529</v>
      </c>
      <c r="F1797" s="3">
        <v>135732</v>
      </c>
      <c r="G1797" s="3">
        <v>10013</v>
      </c>
      <c r="H1797" s="3">
        <v>407</v>
      </c>
      <c r="I1797" s="4">
        <v>3419.13</v>
      </c>
      <c r="J1797" s="4">
        <v>11069.38</v>
      </c>
      <c r="K1797" s="3">
        <v>294</v>
      </c>
      <c r="L1797" s="2" t="s">
        <v>2536</v>
      </c>
      <c r="M1797" s="2" t="s">
        <v>2546</v>
      </c>
      <c r="N1797" s="8">
        <f>IFERROR(G1797/F1797,0)</f>
        <v>7.3770371025255646E-2</v>
      </c>
      <c r="O1797" s="8">
        <f>IFERROR(H1797/G1797,0)</f>
        <v>4.0647158693698192E-2</v>
      </c>
      <c r="P1797" s="4">
        <f>IFERROR(I1797/G1797,0)</f>
        <v>0.34146909018276245</v>
      </c>
      <c r="Q1797" s="4">
        <f>IFERROR(I1797/H1797,0)</f>
        <v>8.4008108108108104</v>
      </c>
      <c r="R1797" s="12">
        <f>IFERROR(J1797/I1797,0)</f>
        <v>3.2374843893037113</v>
      </c>
      <c r="S1797" s="7">
        <f>Tabla_nuevas_columnas[[#This Row],[ROAS]]</f>
        <v>3.2374843893037113</v>
      </c>
      <c r="T1797" t="str">
        <f>_xlfn.CONCAT(C1797,"-",D1797)</f>
        <v>Affiliate-España</v>
      </c>
      <c r="U1797">
        <f>YEAR(A1797)</f>
        <v>2025</v>
      </c>
      <c r="V1797">
        <f>MONTH(A1797)</f>
        <v>7</v>
      </c>
      <c r="W1797" t="str">
        <f>PROPER(TEXT(A1797,"mmmm"))</f>
        <v>Julio</v>
      </c>
      <c r="X1797" t="str">
        <f>PROPER(TEXT(A1797,"dddd"))</f>
        <v>Lunes</v>
      </c>
      <c r="Y1797" t="str" cm="1">
        <f t="array" ref="Y1797">_xlfn.IFS(R1797&gt;10,"Excelente",R1797&gt;=5,"Bueno",R1797&gt;=2,"Débil",R1797&lt;2,"Deficiente")</f>
        <v>Débil</v>
      </c>
      <c r="Z1797" t="str">
        <f>IF(AND(R1797&lt;2,Q1797&gt;=100),"Revisar","OK")</f>
        <v>OK</v>
      </c>
      <c r="AA1797" s="55">
        <f>_xlfn.XLOOKUP(C1797,'Preguntas de negocio'!$C$114:$C$119,'Preguntas de negocio'!$D$114:$D$119,0)</f>
        <v>4.5</v>
      </c>
      <c r="AB1797" s="55">
        <f>VLOOKUP(C1797,'Preguntas de negocio'!$C$121:$D$127,2,FALSE)</f>
        <v>0.35</v>
      </c>
    </row>
    <row r="1798" spans="1:28" x14ac:dyDescent="0.3">
      <c r="A1798" s="1">
        <v>45667</v>
      </c>
      <c r="B1798" s="2" t="s">
        <v>2617</v>
      </c>
      <c r="C1798" s="2" t="s">
        <v>2541</v>
      </c>
      <c r="D1798" s="2" t="s">
        <v>2528</v>
      </c>
      <c r="E1798" s="2" t="s">
        <v>2517</v>
      </c>
      <c r="F1798" s="3">
        <v>97859</v>
      </c>
      <c r="G1798" s="3">
        <v>6860</v>
      </c>
      <c r="H1798" s="3">
        <v>200</v>
      </c>
      <c r="I1798" s="4">
        <v>10942.62</v>
      </c>
      <c r="J1798" s="4">
        <v>34323.25</v>
      </c>
      <c r="K1798" s="3">
        <v>160</v>
      </c>
      <c r="L1798" s="2" t="s">
        <v>2539</v>
      </c>
      <c r="M1798" s="2" t="s">
        <v>2519</v>
      </c>
      <c r="N1798" s="8">
        <f>IFERROR(G1798/F1798,0)</f>
        <v>7.0100859399748625E-2</v>
      </c>
      <c r="O1798" s="8">
        <f>IFERROR(H1798/G1798,0)</f>
        <v>2.9154518950437316E-2</v>
      </c>
      <c r="P1798" s="4">
        <f>IFERROR(I1798/G1798,0)</f>
        <v>1.5951341107871722</v>
      </c>
      <c r="Q1798" s="4">
        <f>IFERROR(I1798/H1798,0)</f>
        <v>54.713100000000004</v>
      </c>
      <c r="R1798" s="12">
        <f>IFERROR(J1798/I1798,0)</f>
        <v>3.1366574001473135</v>
      </c>
      <c r="S1798" s="7">
        <f>Tabla_nuevas_columnas[[#This Row],[ROAS]]</f>
        <v>3.1366574001473135</v>
      </c>
      <c r="T1798" t="str">
        <f>_xlfn.CONCAT(C1798,"-",D1798)</f>
        <v>Display-España</v>
      </c>
      <c r="U1798">
        <f>YEAR(A1798)</f>
        <v>2025</v>
      </c>
      <c r="V1798">
        <f>MONTH(A1798)</f>
        <v>1</v>
      </c>
      <c r="W1798" t="str">
        <f>PROPER(TEXT(A1798,"mmmm"))</f>
        <v>Enero</v>
      </c>
      <c r="X1798" t="str">
        <f>PROPER(TEXT(A1798,"dddd"))</f>
        <v>Viernes</v>
      </c>
      <c r="Y1798" t="str" cm="1">
        <f t="array" ref="Y1798">_xlfn.IFS(R1798&gt;10,"Excelente",R1798&gt;=5,"Bueno",R1798&gt;=2,"Débil",R1798&lt;2,"Deficiente")</f>
        <v>Débil</v>
      </c>
      <c r="Z1798" t="str">
        <f>IF(AND(R1798&lt;2,Q1798&gt;=100),"Revisar","OK")</f>
        <v>OK</v>
      </c>
      <c r="AA1798" s="55">
        <f>_xlfn.XLOOKUP(C1798,'Preguntas de negocio'!$C$114:$C$119,'Preguntas de negocio'!$D$114:$D$119,0)</f>
        <v>5</v>
      </c>
      <c r="AB1798" s="55">
        <f>VLOOKUP(C1798,'Preguntas de negocio'!$C$121:$D$127,2,FALSE)</f>
        <v>0.5</v>
      </c>
    </row>
    <row r="1799" spans="1:28" x14ac:dyDescent="0.3">
      <c r="A1799" s="1">
        <v>45787</v>
      </c>
      <c r="B1799" s="2" t="s">
        <v>2629</v>
      </c>
      <c r="C1799" s="2" t="s">
        <v>2541</v>
      </c>
      <c r="D1799" s="2" t="s">
        <v>2522</v>
      </c>
      <c r="E1799" s="2" t="s">
        <v>2529</v>
      </c>
      <c r="F1799" s="3">
        <v>42268</v>
      </c>
      <c r="G1799" s="3">
        <v>3621</v>
      </c>
      <c r="H1799" s="3">
        <v>45</v>
      </c>
      <c r="I1799" s="4">
        <v>1117.83</v>
      </c>
      <c r="J1799" s="4">
        <v>9084.07</v>
      </c>
      <c r="K1799" s="3">
        <v>30</v>
      </c>
      <c r="L1799" s="2" t="s">
        <v>2523</v>
      </c>
      <c r="M1799" s="2" t="s">
        <v>2537</v>
      </c>
      <c r="N1799" s="8">
        <f>IFERROR(G1799/F1799,0)</f>
        <v>8.5667644553799563E-2</v>
      </c>
      <c r="O1799" s="8">
        <f>IFERROR(H1799/G1799,0)</f>
        <v>1.2427506213753107E-2</v>
      </c>
      <c r="P1799" s="4">
        <f>IFERROR(I1799/G1799,0)</f>
        <v>0.30870753935376966</v>
      </c>
      <c r="Q1799" s="4">
        <f>IFERROR(I1799/H1799,0)</f>
        <v>24.840666666666664</v>
      </c>
      <c r="R1799" s="12">
        <f>IFERROR(J1799/I1799,0)</f>
        <v>8.1265219219380409</v>
      </c>
      <c r="S1799" s="7">
        <f>Tabla_nuevas_columnas[[#This Row],[ROAS]]</f>
        <v>8.1265219219380409</v>
      </c>
      <c r="T1799" t="str">
        <f>_xlfn.CONCAT(C1799,"-",D1799)</f>
        <v>Display-Italia</v>
      </c>
      <c r="U1799">
        <f>YEAR(A1799)</f>
        <v>2025</v>
      </c>
      <c r="V1799">
        <f>MONTH(A1799)</f>
        <v>5</v>
      </c>
      <c r="W1799" t="str">
        <f>PROPER(TEXT(A1799,"mmmm"))</f>
        <v>Mayo</v>
      </c>
      <c r="X1799" t="str">
        <f>PROPER(TEXT(A1799,"dddd"))</f>
        <v>Sábado</v>
      </c>
      <c r="Y1799" t="str" cm="1">
        <f t="array" ref="Y1799">_xlfn.IFS(R1799&gt;10,"Excelente",R1799&gt;=5,"Bueno",R1799&gt;=2,"Débil",R1799&lt;2,"Deficiente")</f>
        <v>Bueno</v>
      </c>
      <c r="Z1799" t="str">
        <f>IF(AND(R1799&lt;2,Q1799&gt;=100),"Revisar","OK")</f>
        <v>OK</v>
      </c>
      <c r="AA1799" s="55">
        <f>_xlfn.XLOOKUP(C1799,'Preguntas de negocio'!$C$114:$C$119,'Preguntas de negocio'!$D$114:$D$119,0)</f>
        <v>5</v>
      </c>
      <c r="AB1799" s="55">
        <f>VLOOKUP(C1799,'Preguntas de negocio'!$C$121:$D$127,2,FALSE)</f>
        <v>0.5</v>
      </c>
    </row>
    <row r="1800" spans="1:28" x14ac:dyDescent="0.3">
      <c r="A1800" s="1">
        <v>45784</v>
      </c>
      <c r="B1800" s="2" t="s">
        <v>2623</v>
      </c>
      <c r="C1800" s="2" t="s">
        <v>2533</v>
      </c>
      <c r="D1800" s="2" t="s">
        <v>2528</v>
      </c>
      <c r="E1800" s="2" t="s">
        <v>2529</v>
      </c>
      <c r="F1800" s="3">
        <v>60910</v>
      </c>
      <c r="G1800" s="3">
        <v>4426</v>
      </c>
      <c r="H1800" s="3">
        <v>71</v>
      </c>
      <c r="I1800" s="4">
        <v>2179.3200000000002</v>
      </c>
      <c r="J1800" s="4">
        <v>4649.97</v>
      </c>
      <c r="K1800" s="3">
        <v>36</v>
      </c>
      <c r="L1800" s="2" t="s">
        <v>2539</v>
      </c>
      <c r="M1800" s="2" t="s">
        <v>2546</v>
      </c>
      <c r="N1800" s="8">
        <f>IFERROR(G1800/F1800,0)</f>
        <v>7.2664587095714994E-2</v>
      </c>
      <c r="O1800" s="8">
        <f>IFERROR(H1800/G1800,0)</f>
        <v>1.6041572525982827E-2</v>
      </c>
      <c r="P1800" s="4">
        <f>IFERROR(I1800/G1800,0)</f>
        <v>0.49239042024401269</v>
      </c>
      <c r="Q1800" s="4">
        <f>IFERROR(I1800/H1800,0)</f>
        <v>30.694647887323946</v>
      </c>
      <c r="R1800" s="12">
        <f>IFERROR(J1800/I1800,0)</f>
        <v>2.1336793128131712</v>
      </c>
      <c r="S1800" s="7">
        <f>Tabla_nuevas_columnas[[#This Row],[ROAS]]</f>
        <v>2.1336793128131712</v>
      </c>
      <c r="T1800" t="str">
        <f>_xlfn.CONCAT(C1800,"-",D1800)</f>
        <v>Paid Social-España</v>
      </c>
      <c r="U1800">
        <f>YEAR(A1800)</f>
        <v>2025</v>
      </c>
      <c r="V1800">
        <f>MONTH(A1800)</f>
        <v>5</v>
      </c>
      <c r="W1800" t="str">
        <f>PROPER(TEXT(A1800,"mmmm"))</f>
        <v>Mayo</v>
      </c>
      <c r="X1800" t="str">
        <f>PROPER(TEXT(A1800,"dddd"))</f>
        <v>Miércoles</v>
      </c>
      <c r="Y1800" t="str" cm="1">
        <f t="array" ref="Y1800">_xlfn.IFS(R1800&gt;10,"Excelente",R1800&gt;=5,"Bueno",R1800&gt;=2,"Débil",R1800&lt;2,"Deficiente")</f>
        <v>Débil</v>
      </c>
      <c r="Z1800" t="str">
        <f>IF(AND(R1800&lt;2,Q1800&gt;=100),"Revisar","OK")</f>
        <v>OK</v>
      </c>
      <c r="AA1800" s="55">
        <f>_xlfn.XLOOKUP(C1800,'Preguntas de negocio'!$C$114:$C$119,'Preguntas de negocio'!$D$114:$D$119,0)</f>
        <v>6</v>
      </c>
      <c r="AB1800" s="55">
        <f>VLOOKUP(C1800,'Preguntas de negocio'!$C$121:$D$127,2,FALSE)</f>
        <v>0.8</v>
      </c>
    </row>
    <row r="1801" spans="1:28" x14ac:dyDescent="0.3">
      <c r="A1801" s="1">
        <v>45960</v>
      </c>
      <c r="B1801" s="2" t="s">
        <v>2626</v>
      </c>
      <c r="C1801" s="2" t="s">
        <v>2533</v>
      </c>
      <c r="D1801" s="2" t="s">
        <v>2528</v>
      </c>
      <c r="E1801" s="2" t="s">
        <v>2529</v>
      </c>
      <c r="F1801" s="3">
        <v>160354</v>
      </c>
      <c r="G1801" s="3">
        <v>13002</v>
      </c>
      <c r="H1801" s="3">
        <v>1646</v>
      </c>
      <c r="I1801" s="4">
        <v>13289.46</v>
      </c>
      <c r="J1801" s="4">
        <v>94181.96</v>
      </c>
      <c r="K1801" s="3">
        <v>1425</v>
      </c>
      <c r="L1801" s="2" t="s">
        <v>2539</v>
      </c>
      <c r="M1801" s="2" t="s">
        <v>2546</v>
      </c>
      <c r="N1801" s="8">
        <f>IFERROR(G1801/F1801,0)</f>
        <v>8.1083103633211515E-2</v>
      </c>
      <c r="O1801" s="8">
        <f>IFERROR(H1801/G1801,0)</f>
        <v>0.12659590832179665</v>
      </c>
      <c r="P1801" s="4">
        <f>IFERROR(I1801/G1801,0)</f>
        <v>1.0221089063221043</v>
      </c>
      <c r="Q1801" s="4">
        <f>IFERROR(I1801/H1801,0)</f>
        <v>8.0737910085054665</v>
      </c>
      <c r="R1801" s="12">
        <f>IFERROR(J1801/I1801,0)</f>
        <v>7.0869666638072584</v>
      </c>
      <c r="S1801" s="7">
        <f>Tabla_nuevas_columnas[[#This Row],[ROAS]]</f>
        <v>7.0869666638072584</v>
      </c>
      <c r="T1801" t="str">
        <f>_xlfn.CONCAT(C1801,"-",D1801)</f>
        <v>Paid Social-España</v>
      </c>
      <c r="U1801">
        <f>YEAR(A1801)</f>
        <v>2025</v>
      </c>
      <c r="V1801">
        <f>MONTH(A1801)</f>
        <v>10</v>
      </c>
      <c r="W1801" t="str">
        <f>PROPER(TEXT(A1801,"mmmm"))</f>
        <v>Octubre</v>
      </c>
      <c r="X1801" t="str">
        <f>PROPER(TEXT(A1801,"dddd"))</f>
        <v>Jueves</v>
      </c>
      <c r="Y1801" t="str" cm="1">
        <f t="array" ref="Y1801">_xlfn.IFS(R1801&gt;10,"Excelente",R1801&gt;=5,"Bueno",R1801&gt;=2,"Débil",R1801&lt;2,"Deficiente")</f>
        <v>Bueno</v>
      </c>
      <c r="Z1801" t="str">
        <f>IF(AND(R1801&lt;2,Q1801&gt;=100),"Revisar","OK")</f>
        <v>OK</v>
      </c>
      <c r="AA1801" s="55">
        <f>_xlfn.XLOOKUP(C1801,'Preguntas de negocio'!$C$114:$C$119,'Preguntas de negocio'!$D$114:$D$119,0)</f>
        <v>6</v>
      </c>
      <c r="AB1801" s="55">
        <f>VLOOKUP(C1801,'Preguntas de negocio'!$C$121:$D$127,2,FALSE)</f>
        <v>0.8</v>
      </c>
    </row>
    <row r="1802" spans="1:28" x14ac:dyDescent="0.3">
      <c r="A1802" s="1">
        <v>46016</v>
      </c>
      <c r="B1802" s="2" t="s">
        <v>2632</v>
      </c>
      <c r="C1802" s="2" t="s">
        <v>2533</v>
      </c>
      <c r="D1802" s="2" t="s">
        <v>2528</v>
      </c>
      <c r="E1802" s="2" t="s">
        <v>2517</v>
      </c>
      <c r="F1802" s="3">
        <v>120771</v>
      </c>
      <c r="G1802" s="3">
        <v>9939</v>
      </c>
      <c r="H1802" s="3">
        <v>454</v>
      </c>
      <c r="I1802" s="4">
        <v>12548.96</v>
      </c>
      <c r="J1802" s="4">
        <v>92492.11</v>
      </c>
      <c r="K1802" s="3">
        <v>277</v>
      </c>
      <c r="L1802" s="2" t="s">
        <v>2536</v>
      </c>
      <c r="M1802" s="2" t="s">
        <v>2524</v>
      </c>
      <c r="N1802" s="8">
        <f>IFERROR(G1802/F1802,0)</f>
        <v>8.2296246615495436E-2</v>
      </c>
      <c r="O1802" s="8">
        <f>IFERROR(H1802/G1802,0)</f>
        <v>4.5678639702183318E-2</v>
      </c>
      <c r="P1802" s="4">
        <f>IFERROR(I1802/G1802,0)</f>
        <v>1.2625978468658818</v>
      </c>
      <c r="Q1802" s="4">
        <f>IFERROR(I1802/H1802,0)</f>
        <v>27.640881057268722</v>
      </c>
      <c r="R1802" s="12">
        <f>IFERROR(J1802/I1802,0)</f>
        <v>7.3705000255001218</v>
      </c>
      <c r="S1802" s="7">
        <f>Tabla_nuevas_columnas[[#This Row],[ROAS]]</f>
        <v>7.3705000255001218</v>
      </c>
      <c r="T1802" t="str">
        <f>_xlfn.CONCAT(C1802,"-",D1802)</f>
        <v>Paid Social-España</v>
      </c>
      <c r="U1802">
        <f>YEAR(A1802)</f>
        <v>2025</v>
      </c>
      <c r="V1802">
        <f>MONTH(A1802)</f>
        <v>12</v>
      </c>
      <c r="W1802" t="str">
        <f>PROPER(TEXT(A1802,"mmmm"))</f>
        <v>Diciembre</v>
      </c>
      <c r="X1802" t="str">
        <f>PROPER(TEXT(A1802,"dddd"))</f>
        <v>Jueves</v>
      </c>
      <c r="Y1802" t="str" cm="1">
        <f t="array" ref="Y1802">_xlfn.IFS(R1802&gt;10,"Excelente",R1802&gt;=5,"Bueno",R1802&gt;=2,"Débil",R1802&lt;2,"Deficiente")</f>
        <v>Bueno</v>
      </c>
      <c r="Z1802" t="str">
        <f>IF(AND(R1802&lt;2,Q1802&gt;=100),"Revisar","OK")</f>
        <v>OK</v>
      </c>
      <c r="AA1802" s="55">
        <f>_xlfn.XLOOKUP(C1802,'Preguntas de negocio'!$C$114:$C$119,'Preguntas de negocio'!$D$114:$D$119,0)</f>
        <v>6</v>
      </c>
      <c r="AB1802" s="55">
        <f>VLOOKUP(C1802,'Preguntas de negocio'!$C$121:$D$127,2,FALSE)</f>
        <v>0.8</v>
      </c>
    </row>
    <row r="1803" spans="1:28" x14ac:dyDescent="0.3">
      <c r="A1803" s="1">
        <v>45769</v>
      </c>
      <c r="B1803" s="2" t="s">
        <v>2638</v>
      </c>
      <c r="C1803" s="2" t="s">
        <v>2521</v>
      </c>
      <c r="D1803" s="2" t="s">
        <v>2528</v>
      </c>
      <c r="E1803" s="2" t="s">
        <v>2529</v>
      </c>
      <c r="F1803" s="3">
        <v>82713</v>
      </c>
      <c r="G1803" s="3">
        <v>6216</v>
      </c>
      <c r="H1803" s="3">
        <v>147</v>
      </c>
      <c r="I1803" s="4">
        <v>8090.35</v>
      </c>
      <c r="J1803" s="4">
        <v>22804.69</v>
      </c>
      <c r="K1803" s="3">
        <v>98</v>
      </c>
      <c r="L1803" s="2" t="s">
        <v>2539</v>
      </c>
      <c r="M1803" s="2" t="s">
        <v>2546</v>
      </c>
      <c r="N1803" s="8">
        <f>IFERROR(G1803/F1803,0)</f>
        <v>7.5151427224257369E-2</v>
      </c>
      <c r="O1803" s="8">
        <f>IFERROR(H1803/G1803,0)</f>
        <v>2.364864864864865E-2</v>
      </c>
      <c r="P1803" s="4">
        <f>IFERROR(I1803/G1803,0)</f>
        <v>1.3015363577863579</v>
      </c>
      <c r="Q1803" s="4">
        <f>IFERROR(I1803/H1803,0)</f>
        <v>55.03639455782313</v>
      </c>
      <c r="R1803" s="12">
        <f>IFERROR(J1803/I1803,0)</f>
        <v>2.8187519699394956</v>
      </c>
      <c r="S1803" s="7">
        <f>Tabla_nuevas_columnas[[#This Row],[ROAS]]</f>
        <v>2.8187519699394956</v>
      </c>
      <c r="T1803" t="str">
        <f>_xlfn.CONCAT(C1803,"-",D1803)</f>
        <v>Paid Search-España</v>
      </c>
      <c r="U1803">
        <f>YEAR(A1803)</f>
        <v>2025</v>
      </c>
      <c r="V1803">
        <f>MONTH(A1803)</f>
        <v>4</v>
      </c>
      <c r="W1803" t="str">
        <f>PROPER(TEXT(A1803,"mmmm"))</f>
        <v>Abril</v>
      </c>
      <c r="X1803" t="str">
        <f>PROPER(TEXT(A1803,"dddd"))</f>
        <v>Martes</v>
      </c>
      <c r="Y1803" t="str" cm="1">
        <f t="array" ref="Y1803">_xlfn.IFS(R1803&gt;10,"Excelente",R1803&gt;=5,"Bueno",R1803&gt;=2,"Débil",R1803&lt;2,"Deficiente")</f>
        <v>Débil</v>
      </c>
      <c r="Z1803" t="str">
        <f>IF(AND(R1803&lt;2,Q1803&gt;=100),"Revisar","OK")</f>
        <v>OK</v>
      </c>
      <c r="AA1803" s="55">
        <f>_xlfn.XLOOKUP(C1803,'Preguntas de negocio'!$C$114:$C$119,'Preguntas de negocio'!$D$114:$D$119,0)</f>
        <v>5</v>
      </c>
      <c r="AB1803" s="55">
        <f>VLOOKUP(C1803,'Preguntas de negocio'!$C$121:$D$127,2,FALSE)</f>
        <v>1.1000000000000001</v>
      </c>
    </row>
    <row r="1804" spans="1:28" x14ac:dyDescent="0.3">
      <c r="A1804" s="1">
        <v>46009</v>
      </c>
      <c r="B1804" s="2" t="s">
        <v>2615</v>
      </c>
      <c r="C1804" s="2" t="s">
        <v>2543</v>
      </c>
      <c r="D1804" s="2" t="s">
        <v>2528</v>
      </c>
      <c r="E1804" s="2" t="s">
        <v>2529</v>
      </c>
      <c r="F1804" s="3">
        <v>103509</v>
      </c>
      <c r="G1804" s="3">
        <v>4912</v>
      </c>
      <c r="H1804" s="3">
        <v>476</v>
      </c>
      <c r="I1804" s="4">
        <v>6582.7</v>
      </c>
      <c r="J1804" s="4">
        <v>20151.060000000001</v>
      </c>
      <c r="K1804" s="3">
        <v>301</v>
      </c>
      <c r="L1804" s="2" t="s">
        <v>2518</v>
      </c>
      <c r="M1804" s="2" t="s">
        <v>2526</v>
      </c>
      <c r="N1804" s="8">
        <f>IFERROR(G1804/F1804,0)</f>
        <v>4.7454810692789999E-2</v>
      </c>
      <c r="O1804" s="8">
        <f>IFERROR(H1804/G1804,0)</f>
        <v>9.6905537459283389E-2</v>
      </c>
      <c r="P1804" s="4">
        <f>IFERROR(I1804/G1804,0)</f>
        <v>1.3401262214983714</v>
      </c>
      <c r="Q1804" s="4">
        <f>IFERROR(I1804/H1804,0)</f>
        <v>13.829201680672268</v>
      </c>
      <c r="R1804" s="12">
        <f>IFERROR(J1804/I1804,0)</f>
        <v>3.0612150029623106</v>
      </c>
      <c r="S1804" s="7">
        <f>Tabla_nuevas_columnas[[#This Row],[ROAS]]</f>
        <v>3.0612150029623106</v>
      </c>
      <c r="T1804" t="str">
        <f>_xlfn.CONCAT(C1804,"-",D1804)</f>
        <v>Organic Social-España</v>
      </c>
      <c r="U1804">
        <f>YEAR(A1804)</f>
        <v>2025</v>
      </c>
      <c r="V1804">
        <f>MONTH(A1804)</f>
        <v>12</v>
      </c>
      <c r="W1804" t="str">
        <f>PROPER(TEXT(A1804,"mmmm"))</f>
        <v>Diciembre</v>
      </c>
      <c r="X1804" t="str">
        <f>PROPER(TEXT(A1804,"dddd"))</f>
        <v>Jueves</v>
      </c>
      <c r="Y1804" t="str" cm="1">
        <f t="array" ref="Y1804">_xlfn.IFS(R1804&gt;10,"Excelente",R1804&gt;=5,"Bueno",R1804&gt;=2,"Débil",R1804&lt;2,"Deficiente")</f>
        <v>Débil</v>
      </c>
      <c r="Z1804" t="str">
        <f>IF(AND(R1804&lt;2,Q1804&gt;=100),"Revisar","OK")</f>
        <v>OK</v>
      </c>
      <c r="AA1804" s="55">
        <f>_xlfn.XLOOKUP(C1804,'Preguntas de negocio'!$C$114:$C$119,'Preguntas de negocio'!$D$114:$D$119,0)</f>
        <v>4</v>
      </c>
      <c r="AB1804" s="55">
        <f>VLOOKUP(C1804,'Preguntas de negocio'!$C$121:$D$127,2,FALSE)</f>
        <v>0.95</v>
      </c>
    </row>
    <row r="1805" spans="1:28" x14ac:dyDescent="0.3">
      <c r="A1805" s="1">
        <v>45993</v>
      </c>
      <c r="B1805" s="2" t="s">
        <v>2630</v>
      </c>
      <c r="C1805" s="2" t="s">
        <v>2527</v>
      </c>
      <c r="D1805" s="2" t="s">
        <v>2531</v>
      </c>
      <c r="E1805" s="2" t="s">
        <v>2517</v>
      </c>
      <c r="F1805" s="3">
        <v>32140</v>
      </c>
      <c r="G1805" s="3">
        <v>1259</v>
      </c>
      <c r="H1805" s="3">
        <v>43</v>
      </c>
      <c r="I1805" s="4">
        <v>1932.05</v>
      </c>
      <c r="J1805" s="4">
        <v>7121.66</v>
      </c>
      <c r="K1805" s="3">
        <v>28</v>
      </c>
      <c r="L1805" s="2" t="s">
        <v>2539</v>
      </c>
      <c r="M1805" s="2" t="s">
        <v>2526</v>
      </c>
      <c r="N1805" s="8">
        <f>IFERROR(G1805/F1805,0)</f>
        <v>3.9172370877411322E-2</v>
      </c>
      <c r="O1805" s="8">
        <f>IFERROR(H1805/G1805,0)</f>
        <v>3.415409054805401E-2</v>
      </c>
      <c r="P1805" s="4">
        <f>IFERROR(I1805/G1805,0)</f>
        <v>1.5345909451945989</v>
      </c>
      <c r="Q1805" s="4">
        <f>IFERROR(I1805/H1805,0)</f>
        <v>44.931395348837206</v>
      </c>
      <c r="R1805" s="12">
        <f>IFERROR(J1805/I1805,0)</f>
        <v>3.6860640252581454</v>
      </c>
      <c r="S1805" s="7">
        <f>Tabla_nuevas_columnas[[#This Row],[ROAS]]</f>
        <v>3.6860640252581454</v>
      </c>
      <c r="T1805" t="str">
        <f>_xlfn.CONCAT(C1805,"-",D1805)</f>
        <v>Affiliate-Portugal</v>
      </c>
      <c r="U1805">
        <f>YEAR(A1805)</f>
        <v>2025</v>
      </c>
      <c r="V1805">
        <f>MONTH(A1805)</f>
        <v>12</v>
      </c>
      <c r="W1805" t="str">
        <f>PROPER(TEXT(A1805,"mmmm"))</f>
        <v>Diciembre</v>
      </c>
      <c r="X1805" t="str">
        <f>PROPER(TEXT(A1805,"dddd"))</f>
        <v>Martes</v>
      </c>
      <c r="Y1805" t="str" cm="1">
        <f t="array" ref="Y1805">_xlfn.IFS(R1805&gt;10,"Excelente",R1805&gt;=5,"Bueno",R1805&gt;=2,"Débil",R1805&lt;2,"Deficiente")</f>
        <v>Débil</v>
      </c>
      <c r="Z1805" t="str">
        <f>IF(AND(R1805&lt;2,Q1805&gt;=100),"Revisar","OK")</f>
        <v>OK</v>
      </c>
      <c r="AA1805" s="55">
        <f>_xlfn.XLOOKUP(C1805,'Preguntas de negocio'!$C$114:$C$119,'Preguntas de negocio'!$D$114:$D$119,0)</f>
        <v>4.5</v>
      </c>
      <c r="AB1805" s="55">
        <f>VLOOKUP(C1805,'Preguntas de negocio'!$C$121:$D$127,2,FALSE)</f>
        <v>0.35</v>
      </c>
    </row>
    <row r="1806" spans="1:28" x14ac:dyDescent="0.3">
      <c r="A1806" s="1">
        <v>45982</v>
      </c>
      <c r="B1806" s="2" t="s">
        <v>2629</v>
      </c>
      <c r="C1806" s="2" t="s">
        <v>2527</v>
      </c>
      <c r="D1806" s="2" t="s">
        <v>2531</v>
      </c>
      <c r="E1806" s="2" t="s">
        <v>2534</v>
      </c>
      <c r="F1806" s="3">
        <v>5454</v>
      </c>
      <c r="G1806" s="3">
        <v>266</v>
      </c>
      <c r="H1806" s="3">
        <v>2</v>
      </c>
      <c r="I1806" s="4">
        <v>133.44999999999999</v>
      </c>
      <c r="J1806" s="4">
        <v>419.21</v>
      </c>
      <c r="K1806" s="3">
        <v>1</v>
      </c>
      <c r="L1806" s="2" t="s">
        <v>2539</v>
      </c>
      <c r="M1806" s="2" t="s">
        <v>2526</v>
      </c>
      <c r="N1806" s="8">
        <f>IFERROR(G1806/F1806,0)</f>
        <v>4.8771543821048771E-2</v>
      </c>
      <c r="O1806" s="8">
        <f>IFERROR(H1806/G1806,0)</f>
        <v>7.5187969924812026E-3</v>
      </c>
      <c r="P1806" s="4">
        <f>IFERROR(I1806/G1806,0)</f>
        <v>0.50169172932330819</v>
      </c>
      <c r="Q1806" s="4">
        <f>IFERROR(I1806/H1806,0)</f>
        <v>66.724999999999994</v>
      </c>
      <c r="R1806" s="12">
        <f>IFERROR(J1806/I1806,0)</f>
        <v>3.1413263394529789</v>
      </c>
      <c r="S1806" s="7">
        <f>Tabla_nuevas_columnas[[#This Row],[ROAS]]</f>
        <v>3.1413263394529789</v>
      </c>
      <c r="T1806" t="str">
        <f>_xlfn.CONCAT(C1806,"-",D1806)</f>
        <v>Affiliate-Portugal</v>
      </c>
      <c r="U1806">
        <f>YEAR(A1806)</f>
        <v>2025</v>
      </c>
      <c r="V1806">
        <f>MONTH(A1806)</f>
        <v>11</v>
      </c>
      <c r="W1806" t="str">
        <f>PROPER(TEXT(A1806,"mmmm"))</f>
        <v>Noviembre</v>
      </c>
      <c r="X1806" t="str">
        <f>PROPER(TEXT(A1806,"dddd"))</f>
        <v>Viernes</v>
      </c>
      <c r="Y1806" t="str" cm="1">
        <f t="array" ref="Y1806">_xlfn.IFS(R1806&gt;10,"Excelente",R1806&gt;=5,"Bueno",R1806&gt;=2,"Débil",R1806&lt;2,"Deficiente")</f>
        <v>Débil</v>
      </c>
      <c r="Z1806" t="str">
        <f>IF(AND(R1806&lt;2,Q1806&gt;=100),"Revisar","OK")</f>
        <v>OK</v>
      </c>
      <c r="AA1806" s="55">
        <f>_xlfn.XLOOKUP(C1806,'Preguntas de negocio'!$C$114:$C$119,'Preguntas de negocio'!$D$114:$D$119,0)</f>
        <v>4.5</v>
      </c>
      <c r="AB1806" s="55">
        <f>VLOOKUP(C1806,'Preguntas de negocio'!$C$121:$D$127,2,FALSE)</f>
        <v>0.35</v>
      </c>
    </row>
    <row r="1807" spans="1:28" x14ac:dyDescent="0.3">
      <c r="A1807" s="1">
        <v>45718</v>
      </c>
      <c r="B1807" s="2" t="s">
        <v>2629</v>
      </c>
      <c r="C1807" s="2" t="s">
        <v>2527</v>
      </c>
      <c r="D1807" s="2" t="s">
        <v>2528</v>
      </c>
      <c r="E1807" s="2" t="s">
        <v>2529</v>
      </c>
      <c r="F1807" s="3">
        <v>45667</v>
      </c>
      <c r="G1807" s="3">
        <v>2666</v>
      </c>
      <c r="H1807" s="3">
        <v>317</v>
      </c>
      <c r="I1807" s="4">
        <v>1083.77</v>
      </c>
      <c r="J1807" s="4">
        <v>48036.36</v>
      </c>
      <c r="K1807" s="3">
        <v>225</v>
      </c>
      <c r="L1807" s="2" t="s">
        <v>2539</v>
      </c>
      <c r="M1807" s="2" t="s">
        <v>2526</v>
      </c>
      <c r="N1807" s="8">
        <f>IFERROR(G1807/F1807,0)</f>
        <v>5.8379135918715921E-2</v>
      </c>
      <c r="O1807" s="8">
        <f>IFERROR(H1807/G1807,0)</f>
        <v>0.11890472618154539</v>
      </c>
      <c r="P1807" s="4">
        <f>IFERROR(I1807/G1807,0)</f>
        <v>0.40651537884471117</v>
      </c>
      <c r="Q1807" s="4">
        <f>IFERROR(I1807/H1807,0)</f>
        <v>3.4188328075709777</v>
      </c>
      <c r="R1807" s="12">
        <f>IFERROR(J1807/I1807,0)</f>
        <v>44.32338964909529</v>
      </c>
      <c r="S1807" s="7">
        <f>Tabla_nuevas_columnas[[#This Row],[ROAS]]</f>
        <v>44.32338964909529</v>
      </c>
      <c r="T1807" t="str">
        <f>_xlfn.CONCAT(C1807,"-",D1807)</f>
        <v>Affiliate-España</v>
      </c>
      <c r="U1807">
        <f>YEAR(A1807)</f>
        <v>2025</v>
      </c>
      <c r="V1807">
        <f>MONTH(A1807)</f>
        <v>3</v>
      </c>
      <c r="W1807" t="str">
        <f>PROPER(TEXT(A1807,"mmmm"))</f>
        <v>Marzo</v>
      </c>
      <c r="X1807" t="str">
        <f>PROPER(TEXT(A1807,"dddd"))</f>
        <v>Domingo</v>
      </c>
      <c r="Y1807" t="str" cm="1">
        <f t="array" ref="Y1807">_xlfn.IFS(R1807&gt;10,"Excelente",R1807&gt;=5,"Bueno",R1807&gt;=2,"Débil",R1807&lt;2,"Deficiente")</f>
        <v>Excelente</v>
      </c>
      <c r="Z1807" t="str">
        <f>IF(AND(R1807&lt;2,Q1807&gt;=100),"Revisar","OK")</f>
        <v>OK</v>
      </c>
      <c r="AA1807" s="55">
        <f>_xlfn.XLOOKUP(C1807,'Preguntas de negocio'!$C$114:$C$119,'Preguntas de negocio'!$D$114:$D$119,0)</f>
        <v>4.5</v>
      </c>
      <c r="AB1807" s="55">
        <f>VLOOKUP(C1807,'Preguntas de negocio'!$C$121:$D$127,2,FALSE)</f>
        <v>0.35</v>
      </c>
    </row>
    <row r="1808" spans="1:28" x14ac:dyDescent="0.3">
      <c r="A1808" s="1">
        <v>45983</v>
      </c>
      <c r="B1808" s="2" t="s">
        <v>2630</v>
      </c>
      <c r="C1808" s="2" t="s">
        <v>2527</v>
      </c>
      <c r="D1808" s="2" t="s">
        <v>2516</v>
      </c>
      <c r="E1808" s="2" t="s">
        <v>2517</v>
      </c>
      <c r="F1808" s="3">
        <v>76502</v>
      </c>
      <c r="G1808" s="3">
        <v>1199</v>
      </c>
      <c r="H1808" s="3">
        <v>108</v>
      </c>
      <c r="I1808" s="4">
        <v>1313.8</v>
      </c>
      <c r="J1808" s="4">
        <v>19299.580000000002</v>
      </c>
      <c r="K1808" s="3">
        <v>58</v>
      </c>
      <c r="L1808" s="2" t="s">
        <v>2539</v>
      </c>
      <c r="M1808" s="2" t="s">
        <v>2546</v>
      </c>
      <c r="N1808" s="8">
        <f>IFERROR(G1808/F1808,0)</f>
        <v>1.5672792868160309E-2</v>
      </c>
      <c r="O1808" s="8">
        <f>IFERROR(H1808/G1808,0)</f>
        <v>9.0075062552126772E-2</v>
      </c>
      <c r="P1808" s="4">
        <f>IFERROR(I1808/G1808,0)</f>
        <v>1.0957464553794829</v>
      </c>
      <c r="Q1808" s="4">
        <f>IFERROR(I1808/H1808,0)</f>
        <v>12.164814814814815</v>
      </c>
      <c r="R1808" s="12">
        <f>IFERROR(J1808/I1808,0)</f>
        <v>14.689891916577867</v>
      </c>
      <c r="S1808" s="7">
        <f>Tabla_nuevas_columnas[[#This Row],[ROAS]]</f>
        <v>14.689891916577867</v>
      </c>
      <c r="T1808" t="str">
        <f>_xlfn.CONCAT(C1808,"-",D1808)</f>
        <v>Affiliate-México</v>
      </c>
      <c r="U1808">
        <f>YEAR(A1808)</f>
        <v>2025</v>
      </c>
      <c r="V1808">
        <f>MONTH(A1808)</f>
        <v>11</v>
      </c>
      <c r="W1808" t="str">
        <f>PROPER(TEXT(A1808,"mmmm"))</f>
        <v>Noviembre</v>
      </c>
      <c r="X1808" t="str">
        <f>PROPER(TEXT(A1808,"dddd"))</f>
        <v>Sábado</v>
      </c>
      <c r="Y1808" t="str" cm="1">
        <f t="array" ref="Y1808">_xlfn.IFS(R1808&gt;10,"Excelente",R1808&gt;=5,"Bueno",R1808&gt;=2,"Débil",R1808&lt;2,"Deficiente")</f>
        <v>Excelente</v>
      </c>
      <c r="Z1808" t="str">
        <f>IF(AND(R1808&lt;2,Q1808&gt;=100),"Revisar","OK")</f>
        <v>OK</v>
      </c>
      <c r="AA1808" s="55">
        <f>_xlfn.XLOOKUP(C1808,'Preguntas de negocio'!$C$114:$C$119,'Preguntas de negocio'!$D$114:$D$119,0)</f>
        <v>4.5</v>
      </c>
      <c r="AB1808" s="55">
        <f>VLOOKUP(C1808,'Preguntas de negocio'!$C$121:$D$127,2,FALSE)</f>
        <v>0.35</v>
      </c>
    </row>
    <row r="1809" spans="1:28" x14ac:dyDescent="0.3">
      <c r="A1809" s="1">
        <v>45701</v>
      </c>
      <c r="B1809" s="2" t="s">
        <v>2644</v>
      </c>
      <c r="C1809" s="2" t="s">
        <v>2515</v>
      </c>
      <c r="D1809" s="2" t="s">
        <v>2516</v>
      </c>
      <c r="E1809" s="2" t="s">
        <v>2534</v>
      </c>
      <c r="F1809" s="3">
        <v>109487</v>
      </c>
      <c r="G1809" s="3">
        <v>4072</v>
      </c>
      <c r="H1809" s="3">
        <v>524</v>
      </c>
      <c r="I1809" s="4">
        <v>7935.09</v>
      </c>
      <c r="J1809" s="4">
        <v>20676.3</v>
      </c>
      <c r="K1809" s="3">
        <v>273</v>
      </c>
      <c r="L1809" s="2" t="s">
        <v>2536</v>
      </c>
      <c r="M1809" s="2" t="s">
        <v>2526</v>
      </c>
      <c r="N1809" s="8">
        <f>IFERROR(G1809/F1809,0)</f>
        <v>3.719163005653639E-2</v>
      </c>
      <c r="O1809" s="8">
        <f>IFERROR(H1809/G1809,0)</f>
        <v>0.12868369351669942</v>
      </c>
      <c r="P1809" s="4">
        <f>IFERROR(I1809/G1809,0)</f>
        <v>1.9486959724950885</v>
      </c>
      <c r="Q1809" s="4">
        <f>IFERROR(I1809/H1809,0)</f>
        <v>15.143301526717558</v>
      </c>
      <c r="R1809" s="12">
        <f>IFERROR(J1809/I1809,0)</f>
        <v>2.6056793306692172</v>
      </c>
      <c r="S1809" s="7">
        <f>Tabla_nuevas_columnas[[#This Row],[ROAS]]</f>
        <v>2.6056793306692172</v>
      </c>
      <c r="T1809" t="str">
        <f>_xlfn.CONCAT(C1809,"-",D1809)</f>
        <v>Email-México</v>
      </c>
      <c r="U1809">
        <f>YEAR(A1809)</f>
        <v>2025</v>
      </c>
      <c r="V1809">
        <f>MONTH(A1809)</f>
        <v>2</v>
      </c>
      <c r="W1809" t="str">
        <f>PROPER(TEXT(A1809,"mmmm"))</f>
        <v>Febrero</v>
      </c>
      <c r="X1809" t="str">
        <f>PROPER(TEXT(A1809,"dddd"))</f>
        <v>Jueves</v>
      </c>
      <c r="Y1809" t="str" cm="1">
        <f t="array" ref="Y1809">_xlfn.IFS(R1809&gt;10,"Excelente",R1809&gt;=5,"Bueno",R1809&gt;=2,"Débil",R1809&lt;2,"Deficiente")</f>
        <v>Débil</v>
      </c>
      <c r="Z1809" t="str">
        <f>IF(AND(R1809&lt;2,Q1809&gt;=100),"Revisar","OK")</f>
        <v>OK</v>
      </c>
      <c r="AA1809" s="55">
        <f>_xlfn.XLOOKUP(C1809,'Preguntas de negocio'!$C$114:$C$119,'Preguntas de negocio'!$D$114:$D$119,0)</f>
        <v>5.5</v>
      </c>
      <c r="AB1809" s="55">
        <f>VLOOKUP(C1809,'Preguntas de negocio'!$C$121:$D$127,2,FALSE)</f>
        <v>0.65</v>
      </c>
    </row>
    <row r="1810" spans="1:28" x14ac:dyDescent="0.3">
      <c r="A1810" s="1">
        <v>45660</v>
      </c>
      <c r="B1810" s="2" t="s">
        <v>2617</v>
      </c>
      <c r="C1810" s="2" t="s">
        <v>2533</v>
      </c>
      <c r="D1810" s="2" t="s">
        <v>2528</v>
      </c>
      <c r="E1810" s="2" t="s">
        <v>2517</v>
      </c>
      <c r="F1810" s="3">
        <v>40177</v>
      </c>
      <c r="G1810" s="3">
        <v>1228</v>
      </c>
      <c r="H1810" s="3">
        <v>167</v>
      </c>
      <c r="I1810" s="4">
        <v>2377.66</v>
      </c>
      <c r="J1810" s="4">
        <v>13197.06</v>
      </c>
      <c r="K1810" s="3">
        <v>119</v>
      </c>
      <c r="L1810" s="2" t="s">
        <v>2536</v>
      </c>
      <c r="M1810" s="2" t="s">
        <v>2519</v>
      </c>
      <c r="N1810" s="8">
        <f>IFERROR(G1810/F1810,0)</f>
        <v>3.0564750976927096E-2</v>
      </c>
      <c r="O1810" s="8">
        <f>IFERROR(H1810/G1810,0)</f>
        <v>0.13599348534201955</v>
      </c>
      <c r="P1810" s="4">
        <f>IFERROR(I1810/G1810,0)</f>
        <v>1.9362052117263842</v>
      </c>
      <c r="Q1810" s="4">
        <f>IFERROR(I1810/H1810,0)</f>
        <v>14.237485029940119</v>
      </c>
      <c r="R1810" s="12">
        <f>IFERROR(J1810/I1810,0)</f>
        <v>5.5504403489144787</v>
      </c>
      <c r="S1810" s="7">
        <f>Tabla_nuevas_columnas[[#This Row],[ROAS]]</f>
        <v>5.5504403489144787</v>
      </c>
      <c r="T1810" t="str">
        <f>_xlfn.CONCAT(C1810,"-",D1810)</f>
        <v>Paid Social-España</v>
      </c>
      <c r="U1810">
        <f>YEAR(A1810)</f>
        <v>2025</v>
      </c>
      <c r="V1810">
        <f>MONTH(A1810)</f>
        <v>1</v>
      </c>
      <c r="W1810" t="str">
        <f>PROPER(TEXT(A1810,"mmmm"))</f>
        <v>Enero</v>
      </c>
      <c r="X1810" t="str">
        <f>PROPER(TEXT(A1810,"dddd"))</f>
        <v>Viernes</v>
      </c>
      <c r="Y1810" t="str" cm="1">
        <f t="array" ref="Y1810">_xlfn.IFS(R1810&gt;10,"Excelente",R1810&gt;=5,"Bueno",R1810&gt;=2,"Débil",R1810&lt;2,"Deficiente")</f>
        <v>Bueno</v>
      </c>
      <c r="Z1810" t="str">
        <f>IF(AND(R1810&lt;2,Q1810&gt;=100),"Revisar","OK")</f>
        <v>OK</v>
      </c>
      <c r="AA1810" s="55">
        <f>_xlfn.XLOOKUP(C1810,'Preguntas de negocio'!$C$114:$C$119,'Preguntas de negocio'!$D$114:$D$119,0)</f>
        <v>6</v>
      </c>
      <c r="AB1810" s="55">
        <f>VLOOKUP(C1810,'Preguntas de negocio'!$C$121:$D$127,2,FALSE)</f>
        <v>0.8</v>
      </c>
    </row>
    <row r="1811" spans="1:28" x14ac:dyDescent="0.3">
      <c r="A1811" s="1">
        <v>45738</v>
      </c>
      <c r="B1811" s="2" t="s">
        <v>2640</v>
      </c>
      <c r="C1811" s="2" t="s">
        <v>2541</v>
      </c>
      <c r="D1811" s="2" t="s">
        <v>2528</v>
      </c>
      <c r="E1811" s="2" t="s">
        <v>2529</v>
      </c>
      <c r="F1811" s="3">
        <v>145027</v>
      </c>
      <c r="G1811" s="3">
        <v>10461</v>
      </c>
      <c r="H1811" s="3">
        <v>292</v>
      </c>
      <c r="I1811" s="4">
        <v>14532.19</v>
      </c>
      <c r="J1811" s="4">
        <v>54028.79</v>
      </c>
      <c r="K1811" s="3">
        <v>166</v>
      </c>
      <c r="L1811" s="2" t="s">
        <v>2518</v>
      </c>
      <c r="M1811" s="2" t="s">
        <v>2546</v>
      </c>
      <c r="N1811" s="8">
        <f>IFERROR(G1811/F1811,0)</f>
        <v>7.2131396222772315E-2</v>
      </c>
      <c r="O1811" s="8">
        <f>IFERROR(H1811/G1811,0)</f>
        <v>2.7913201414778703E-2</v>
      </c>
      <c r="P1811" s="4">
        <f>IFERROR(I1811/G1811,0)</f>
        <v>1.3891778988624415</v>
      </c>
      <c r="Q1811" s="4">
        <f>IFERROR(I1811/H1811,0)</f>
        <v>49.76777397260274</v>
      </c>
      <c r="R1811" s="12">
        <f>IFERROR(J1811/I1811,0)</f>
        <v>3.7178697773701002</v>
      </c>
      <c r="S1811" s="7">
        <f>Tabla_nuevas_columnas[[#This Row],[ROAS]]</f>
        <v>3.7178697773701002</v>
      </c>
      <c r="T1811" t="str">
        <f>_xlfn.CONCAT(C1811,"-",D1811)</f>
        <v>Display-España</v>
      </c>
      <c r="U1811">
        <f>YEAR(A1811)</f>
        <v>2025</v>
      </c>
      <c r="V1811">
        <f>MONTH(A1811)</f>
        <v>3</v>
      </c>
      <c r="W1811" t="str">
        <f>PROPER(TEXT(A1811,"mmmm"))</f>
        <v>Marzo</v>
      </c>
      <c r="X1811" t="str">
        <f>PROPER(TEXT(A1811,"dddd"))</f>
        <v>Sábado</v>
      </c>
      <c r="Y1811" t="str" cm="1">
        <f t="array" ref="Y1811">_xlfn.IFS(R1811&gt;10,"Excelente",R1811&gt;=5,"Bueno",R1811&gt;=2,"Débil",R1811&lt;2,"Deficiente")</f>
        <v>Débil</v>
      </c>
      <c r="Z1811" t="str">
        <f>IF(AND(R1811&lt;2,Q1811&gt;=100),"Revisar","OK")</f>
        <v>OK</v>
      </c>
      <c r="AA1811" s="55">
        <f>_xlfn.XLOOKUP(C1811,'Preguntas de negocio'!$C$114:$C$119,'Preguntas de negocio'!$D$114:$D$119,0)</f>
        <v>5</v>
      </c>
      <c r="AB1811" s="55">
        <f>VLOOKUP(C1811,'Preguntas de negocio'!$C$121:$D$127,2,FALSE)</f>
        <v>0.5</v>
      </c>
    </row>
    <row r="1812" spans="1:28" x14ac:dyDescent="0.3">
      <c r="A1812" s="1">
        <v>45673</v>
      </c>
      <c r="B1812" s="2" t="s">
        <v>2635</v>
      </c>
      <c r="C1812" s="2" t="s">
        <v>2521</v>
      </c>
      <c r="D1812" s="2" t="s">
        <v>2522</v>
      </c>
      <c r="E1812" s="2" t="s">
        <v>2529</v>
      </c>
      <c r="F1812" s="3">
        <v>1790</v>
      </c>
      <c r="G1812" s="3">
        <v>124</v>
      </c>
      <c r="H1812" s="3">
        <v>7</v>
      </c>
      <c r="I1812" s="4">
        <v>60.51</v>
      </c>
      <c r="J1812" s="4">
        <v>1073.8</v>
      </c>
      <c r="K1812" s="3">
        <v>5</v>
      </c>
      <c r="L1812" s="2" t="s">
        <v>2539</v>
      </c>
      <c r="M1812" s="2" t="s">
        <v>2546</v>
      </c>
      <c r="N1812" s="8">
        <f>IFERROR(G1812/F1812,0)</f>
        <v>6.9273743016759773E-2</v>
      </c>
      <c r="O1812" s="8">
        <f>IFERROR(H1812/G1812,0)</f>
        <v>5.6451612903225805E-2</v>
      </c>
      <c r="P1812" s="4">
        <f>IFERROR(I1812/G1812,0)</f>
        <v>0.48798387096774193</v>
      </c>
      <c r="Q1812" s="4">
        <f>IFERROR(I1812/H1812,0)</f>
        <v>8.6442857142857132</v>
      </c>
      <c r="R1812" s="12">
        <f>IFERROR(J1812/I1812,0)</f>
        <v>17.745827136010575</v>
      </c>
      <c r="S1812" s="7">
        <f>Tabla_nuevas_columnas[[#This Row],[ROAS]]</f>
        <v>17.745827136010575</v>
      </c>
      <c r="T1812" t="str">
        <f>_xlfn.CONCAT(C1812,"-",D1812)</f>
        <v>Paid Search-Italia</v>
      </c>
      <c r="U1812">
        <f>YEAR(A1812)</f>
        <v>2025</v>
      </c>
      <c r="V1812">
        <f>MONTH(A1812)</f>
        <v>1</v>
      </c>
      <c r="W1812" t="str">
        <f>PROPER(TEXT(A1812,"mmmm"))</f>
        <v>Enero</v>
      </c>
      <c r="X1812" t="str">
        <f>PROPER(TEXT(A1812,"dddd"))</f>
        <v>Jueves</v>
      </c>
      <c r="Y1812" t="str" cm="1">
        <f t="array" ref="Y1812">_xlfn.IFS(R1812&gt;10,"Excelente",R1812&gt;=5,"Bueno",R1812&gt;=2,"Débil",R1812&lt;2,"Deficiente")</f>
        <v>Excelente</v>
      </c>
      <c r="Z1812" t="str">
        <f>IF(AND(R1812&lt;2,Q1812&gt;=100),"Revisar","OK")</f>
        <v>OK</v>
      </c>
      <c r="AA1812" s="55">
        <f>_xlfn.XLOOKUP(C1812,'Preguntas de negocio'!$C$114:$C$119,'Preguntas de negocio'!$D$114:$D$119,0)</f>
        <v>5</v>
      </c>
      <c r="AB1812" s="55">
        <f>VLOOKUP(C1812,'Preguntas de negocio'!$C$121:$D$127,2,FALSE)</f>
        <v>1.1000000000000001</v>
      </c>
    </row>
    <row r="1813" spans="1:28" x14ac:dyDescent="0.3">
      <c r="A1813" s="1">
        <v>45997</v>
      </c>
      <c r="B1813" s="2" t="s">
        <v>2631</v>
      </c>
      <c r="C1813" s="2" t="s">
        <v>2515</v>
      </c>
      <c r="D1813" s="2" t="s">
        <v>2528</v>
      </c>
      <c r="E1813" s="2" t="s">
        <v>2529</v>
      </c>
      <c r="F1813" s="3">
        <v>98657</v>
      </c>
      <c r="G1813" s="3">
        <v>8242</v>
      </c>
      <c r="H1813" s="3">
        <v>61</v>
      </c>
      <c r="I1813" s="4">
        <v>17053.27</v>
      </c>
      <c r="J1813" s="4">
        <v>12471.91</v>
      </c>
      <c r="K1813" s="3">
        <v>54</v>
      </c>
      <c r="L1813" s="2" t="s">
        <v>2536</v>
      </c>
      <c r="M1813" s="2" t="s">
        <v>2524</v>
      </c>
      <c r="N1813" s="8">
        <f>IFERROR(G1813/F1813,0)</f>
        <v>8.3541968638819339E-2</v>
      </c>
      <c r="O1813" s="8">
        <f>IFERROR(H1813/G1813,0)</f>
        <v>7.4011162339238049E-3</v>
      </c>
      <c r="P1813" s="4">
        <f>IFERROR(I1813/G1813,0)</f>
        <v>2.0690694006309149</v>
      </c>
      <c r="Q1813" s="4">
        <f>IFERROR(I1813/H1813,0)</f>
        <v>279.56180327868856</v>
      </c>
      <c r="R1813" s="12">
        <f>IFERROR(J1813/I1813,0)</f>
        <v>0.73135005778950313</v>
      </c>
      <c r="S1813" s="7">
        <f>Tabla_nuevas_columnas[[#This Row],[ROAS]]</f>
        <v>0.73135005778950313</v>
      </c>
      <c r="T1813" t="str">
        <f>_xlfn.CONCAT(C1813,"-",D1813)</f>
        <v>Email-España</v>
      </c>
      <c r="U1813">
        <f>YEAR(A1813)</f>
        <v>2025</v>
      </c>
      <c r="V1813">
        <f>MONTH(A1813)</f>
        <v>12</v>
      </c>
      <c r="W1813" t="str">
        <f>PROPER(TEXT(A1813,"mmmm"))</f>
        <v>Diciembre</v>
      </c>
      <c r="X1813" t="str">
        <f>PROPER(TEXT(A1813,"dddd"))</f>
        <v>Sábado</v>
      </c>
      <c r="Y1813" t="str" cm="1">
        <f t="array" ref="Y1813">_xlfn.IFS(R1813&gt;10,"Excelente",R1813&gt;=5,"Bueno",R1813&gt;=2,"Débil",R1813&lt;2,"Deficiente")</f>
        <v>Deficiente</v>
      </c>
      <c r="Z1813" t="str">
        <f>IF(AND(R1813&lt;2,Q1813&gt;=100),"Revisar","OK")</f>
        <v>Revisar</v>
      </c>
      <c r="AA1813" s="55">
        <f>_xlfn.XLOOKUP(C1813,'Preguntas de negocio'!$C$114:$C$119,'Preguntas de negocio'!$D$114:$D$119,0)</f>
        <v>5.5</v>
      </c>
      <c r="AB1813" s="55">
        <f>VLOOKUP(C1813,'Preguntas de negocio'!$C$121:$D$127,2,FALSE)</f>
        <v>0.65</v>
      </c>
    </row>
    <row r="1814" spans="1:28" x14ac:dyDescent="0.3">
      <c r="A1814" s="1">
        <v>45729</v>
      </c>
      <c r="B1814" s="2" t="s">
        <v>2627</v>
      </c>
      <c r="C1814" s="2" t="s">
        <v>2521</v>
      </c>
      <c r="D1814" s="2" t="s">
        <v>2525</v>
      </c>
      <c r="E1814" s="2" t="s">
        <v>2517</v>
      </c>
      <c r="F1814" s="3">
        <v>26958</v>
      </c>
      <c r="G1814" s="3">
        <v>2171</v>
      </c>
      <c r="H1814" s="3">
        <v>119</v>
      </c>
      <c r="I1814" s="4">
        <v>3432.61</v>
      </c>
      <c r="J1814" s="4">
        <v>7566.82</v>
      </c>
      <c r="K1814" s="3">
        <v>101</v>
      </c>
      <c r="L1814" s="2" t="s">
        <v>2539</v>
      </c>
      <c r="M1814" s="2" t="s">
        <v>2519</v>
      </c>
      <c r="N1814" s="8">
        <f>IFERROR(G1814/F1814,0)</f>
        <v>8.0532680465909931E-2</v>
      </c>
      <c r="O1814" s="8">
        <f>IFERROR(H1814/G1814,0)</f>
        <v>5.4813450023030862E-2</v>
      </c>
      <c r="P1814" s="4">
        <f>IFERROR(I1814/G1814,0)</f>
        <v>1.5811192998618149</v>
      </c>
      <c r="Q1814" s="4">
        <f>IFERROR(I1814/H1814,0)</f>
        <v>28.845462184873952</v>
      </c>
      <c r="R1814" s="12">
        <f>IFERROR(J1814/I1814,0)</f>
        <v>2.2043925759116241</v>
      </c>
      <c r="S1814" s="7">
        <f>Tabla_nuevas_columnas[[#This Row],[ROAS]]</f>
        <v>2.2043925759116241</v>
      </c>
      <c r="T1814" t="str">
        <f>_xlfn.CONCAT(C1814,"-",D1814)</f>
        <v>Paid Search-Francia</v>
      </c>
      <c r="U1814">
        <f>YEAR(A1814)</f>
        <v>2025</v>
      </c>
      <c r="V1814">
        <f>MONTH(A1814)</f>
        <v>3</v>
      </c>
      <c r="W1814" t="str">
        <f>PROPER(TEXT(A1814,"mmmm"))</f>
        <v>Marzo</v>
      </c>
      <c r="X1814" t="str">
        <f>PROPER(TEXT(A1814,"dddd"))</f>
        <v>Jueves</v>
      </c>
      <c r="Y1814" t="str" cm="1">
        <f t="array" ref="Y1814">_xlfn.IFS(R1814&gt;10,"Excelente",R1814&gt;=5,"Bueno",R1814&gt;=2,"Débil",R1814&lt;2,"Deficiente")</f>
        <v>Débil</v>
      </c>
      <c r="Z1814" t="str">
        <f>IF(AND(R1814&lt;2,Q1814&gt;=100),"Revisar","OK")</f>
        <v>OK</v>
      </c>
      <c r="AA1814" s="55">
        <f>_xlfn.XLOOKUP(C1814,'Preguntas de negocio'!$C$114:$C$119,'Preguntas de negocio'!$D$114:$D$119,0)</f>
        <v>5</v>
      </c>
      <c r="AB1814" s="55">
        <f>VLOOKUP(C1814,'Preguntas de negocio'!$C$121:$D$127,2,FALSE)</f>
        <v>1.1000000000000001</v>
      </c>
    </row>
    <row r="1815" spans="1:28" x14ac:dyDescent="0.3">
      <c r="A1815" s="1">
        <v>45716</v>
      </c>
      <c r="B1815" s="2" t="s">
        <v>2633</v>
      </c>
      <c r="C1815" s="2" t="s">
        <v>2541</v>
      </c>
      <c r="D1815" s="2" t="s">
        <v>2516</v>
      </c>
      <c r="E1815" s="2" t="s">
        <v>2529</v>
      </c>
      <c r="F1815" s="3">
        <v>40464</v>
      </c>
      <c r="G1815" s="3">
        <v>346</v>
      </c>
      <c r="H1815" s="3">
        <v>38</v>
      </c>
      <c r="I1815" s="4">
        <v>684.03</v>
      </c>
      <c r="J1815" s="4">
        <v>2469.0700000000002</v>
      </c>
      <c r="K1815" s="3">
        <v>19</v>
      </c>
      <c r="L1815" s="2" t="s">
        <v>2539</v>
      </c>
      <c r="M1815" s="2" t="s">
        <v>2546</v>
      </c>
      <c r="N1815" s="8">
        <f>IFERROR(G1815/F1815,0)</f>
        <v>8.5508105970739431E-3</v>
      </c>
      <c r="O1815" s="8">
        <f>IFERROR(H1815/G1815,0)</f>
        <v>0.10982658959537572</v>
      </c>
      <c r="P1815" s="4">
        <f>IFERROR(I1815/G1815,0)</f>
        <v>1.9769653179190751</v>
      </c>
      <c r="Q1815" s="4">
        <f>IFERROR(I1815/H1815,0)</f>
        <v>18.000789473684211</v>
      </c>
      <c r="R1815" s="12">
        <f>IFERROR(J1815/I1815,0)</f>
        <v>3.6095931464994231</v>
      </c>
      <c r="S1815" s="7">
        <f>Tabla_nuevas_columnas[[#This Row],[ROAS]]</f>
        <v>3.6095931464994231</v>
      </c>
      <c r="T1815" t="str">
        <f>_xlfn.CONCAT(C1815,"-",D1815)</f>
        <v>Display-México</v>
      </c>
      <c r="U1815">
        <f>YEAR(A1815)</f>
        <v>2025</v>
      </c>
      <c r="V1815">
        <f>MONTH(A1815)</f>
        <v>2</v>
      </c>
      <c r="W1815" t="str">
        <f>PROPER(TEXT(A1815,"mmmm"))</f>
        <v>Febrero</v>
      </c>
      <c r="X1815" t="str">
        <f>PROPER(TEXT(A1815,"dddd"))</f>
        <v>Viernes</v>
      </c>
      <c r="Y1815" t="str" cm="1">
        <f t="array" ref="Y1815">_xlfn.IFS(R1815&gt;10,"Excelente",R1815&gt;=5,"Bueno",R1815&gt;=2,"Débil",R1815&lt;2,"Deficiente")</f>
        <v>Débil</v>
      </c>
      <c r="Z1815" t="str">
        <f>IF(AND(R1815&lt;2,Q1815&gt;=100),"Revisar","OK")</f>
        <v>OK</v>
      </c>
      <c r="AA1815" s="55">
        <f>_xlfn.XLOOKUP(C1815,'Preguntas de negocio'!$C$114:$C$119,'Preguntas de negocio'!$D$114:$D$119,0)</f>
        <v>5</v>
      </c>
      <c r="AB1815" s="55">
        <f>VLOOKUP(C1815,'Preguntas de negocio'!$C$121:$D$127,2,FALSE)</f>
        <v>0.5</v>
      </c>
    </row>
    <row r="1816" spans="1:28" x14ac:dyDescent="0.3">
      <c r="A1816" s="1">
        <v>45681</v>
      </c>
      <c r="B1816" s="2" t="s">
        <v>2639</v>
      </c>
      <c r="C1816" s="2" t="s">
        <v>2533</v>
      </c>
      <c r="D1816" s="2" t="s">
        <v>2525</v>
      </c>
      <c r="E1816" s="2" t="s">
        <v>2529</v>
      </c>
      <c r="F1816" s="3">
        <v>16309</v>
      </c>
      <c r="G1816" s="3">
        <v>348</v>
      </c>
      <c r="H1816" s="3">
        <v>47</v>
      </c>
      <c r="I1816" s="4">
        <v>613.04999999999995</v>
      </c>
      <c r="J1816" s="4">
        <v>6296.08</v>
      </c>
      <c r="K1816" s="3">
        <v>41</v>
      </c>
      <c r="L1816" s="2" t="s">
        <v>2518</v>
      </c>
      <c r="M1816" s="2" t="s">
        <v>2546</v>
      </c>
      <c r="N1816" s="8">
        <f>IFERROR(G1816/F1816,0)</f>
        <v>2.1337911582561774E-2</v>
      </c>
      <c r="O1816" s="8">
        <f>IFERROR(H1816/G1816,0)</f>
        <v>0.13505747126436782</v>
      </c>
      <c r="P1816" s="4">
        <f>IFERROR(I1816/G1816,0)</f>
        <v>1.7616379310344825</v>
      </c>
      <c r="Q1816" s="4">
        <f>IFERROR(I1816/H1816,0)</f>
        <v>13.043617021276594</v>
      </c>
      <c r="R1816" s="12">
        <f>IFERROR(J1816/I1816,0)</f>
        <v>10.27009216214012</v>
      </c>
      <c r="S1816" s="7">
        <f>Tabla_nuevas_columnas[[#This Row],[ROAS]]</f>
        <v>10.27009216214012</v>
      </c>
      <c r="T1816" t="str">
        <f>_xlfn.CONCAT(C1816,"-",D1816)</f>
        <v>Paid Social-Francia</v>
      </c>
      <c r="U1816">
        <f>YEAR(A1816)</f>
        <v>2025</v>
      </c>
      <c r="V1816">
        <f>MONTH(A1816)</f>
        <v>1</v>
      </c>
      <c r="W1816" t="str">
        <f>PROPER(TEXT(A1816,"mmmm"))</f>
        <v>Enero</v>
      </c>
      <c r="X1816" t="str">
        <f>PROPER(TEXT(A1816,"dddd"))</f>
        <v>Viernes</v>
      </c>
      <c r="Y1816" t="str" cm="1">
        <f t="array" ref="Y1816">_xlfn.IFS(R1816&gt;10,"Excelente",R1816&gt;=5,"Bueno",R1816&gt;=2,"Débil",R1816&lt;2,"Deficiente")</f>
        <v>Excelente</v>
      </c>
      <c r="Z1816" t="str">
        <f>IF(AND(R1816&lt;2,Q1816&gt;=100),"Revisar","OK")</f>
        <v>OK</v>
      </c>
      <c r="AA1816" s="55">
        <f>_xlfn.XLOOKUP(C1816,'Preguntas de negocio'!$C$114:$C$119,'Preguntas de negocio'!$D$114:$D$119,0)</f>
        <v>6</v>
      </c>
      <c r="AB1816" s="55">
        <f>VLOOKUP(C1816,'Preguntas de negocio'!$C$121:$D$127,2,FALSE)</f>
        <v>0.8</v>
      </c>
    </row>
    <row r="1817" spans="1:28" x14ac:dyDescent="0.3">
      <c r="A1817" s="1">
        <v>45851</v>
      </c>
      <c r="B1817" s="2" t="s">
        <v>2622</v>
      </c>
      <c r="C1817" s="2" t="s">
        <v>2527</v>
      </c>
      <c r="D1817" s="2" t="s">
        <v>2516</v>
      </c>
      <c r="E1817" s="2" t="s">
        <v>2534</v>
      </c>
      <c r="F1817" s="3">
        <v>43720</v>
      </c>
      <c r="G1817" s="3">
        <v>398</v>
      </c>
      <c r="H1817" s="3">
        <v>52</v>
      </c>
      <c r="I1817" s="4">
        <v>165.78</v>
      </c>
      <c r="J1817" s="4">
        <v>8094.14</v>
      </c>
      <c r="K1817" s="3">
        <v>29</v>
      </c>
      <c r="L1817" s="2" t="s">
        <v>2523</v>
      </c>
      <c r="M1817" s="2" t="s">
        <v>2546</v>
      </c>
      <c r="N1817" s="8">
        <f>IFERROR(G1817/F1817,0)</f>
        <v>9.1033851784080508E-3</v>
      </c>
      <c r="O1817" s="8">
        <f>IFERROR(H1817/G1817,0)</f>
        <v>0.1306532663316583</v>
      </c>
      <c r="P1817" s="4">
        <f>IFERROR(I1817/G1817,0)</f>
        <v>0.4165326633165829</v>
      </c>
      <c r="Q1817" s="4">
        <f>IFERROR(I1817/H1817,0)</f>
        <v>3.188076923076923</v>
      </c>
      <c r="R1817" s="12">
        <f>IFERROR(J1817/I1817,0)</f>
        <v>48.8245868017855</v>
      </c>
      <c r="S1817" s="7">
        <f>Tabla_nuevas_columnas[[#This Row],[ROAS]]</f>
        <v>48.8245868017855</v>
      </c>
      <c r="T1817" t="str">
        <f>_xlfn.CONCAT(C1817,"-",D1817)</f>
        <v>Affiliate-México</v>
      </c>
      <c r="U1817">
        <f>YEAR(A1817)</f>
        <v>2025</v>
      </c>
      <c r="V1817">
        <f>MONTH(A1817)</f>
        <v>7</v>
      </c>
      <c r="W1817" t="str">
        <f>PROPER(TEXT(A1817,"mmmm"))</f>
        <v>Julio</v>
      </c>
      <c r="X1817" t="str">
        <f>PROPER(TEXT(A1817,"dddd"))</f>
        <v>Domingo</v>
      </c>
      <c r="Y1817" t="str" cm="1">
        <f t="array" ref="Y1817">_xlfn.IFS(R1817&gt;10,"Excelente",R1817&gt;=5,"Bueno",R1817&gt;=2,"Débil",R1817&lt;2,"Deficiente")</f>
        <v>Excelente</v>
      </c>
      <c r="Z1817" t="str">
        <f>IF(AND(R1817&lt;2,Q1817&gt;=100),"Revisar","OK")</f>
        <v>OK</v>
      </c>
      <c r="AA1817" s="55">
        <f>_xlfn.XLOOKUP(C1817,'Preguntas de negocio'!$C$114:$C$119,'Preguntas de negocio'!$D$114:$D$119,0)</f>
        <v>4.5</v>
      </c>
      <c r="AB1817" s="55">
        <f>VLOOKUP(C1817,'Preguntas de negocio'!$C$121:$D$127,2,FALSE)</f>
        <v>0.35</v>
      </c>
    </row>
    <row r="1818" spans="1:28" x14ac:dyDescent="0.3">
      <c r="A1818" s="1">
        <v>45736</v>
      </c>
      <c r="B1818" s="2" t="s">
        <v>2640</v>
      </c>
      <c r="C1818" s="2" t="s">
        <v>2515</v>
      </c>
      <c r="D1818" s="2" t="s">
        <v>2528</v>
      </c>
      <c r="E1818" s="2" t="s">
        <v>2517</v>
      </c>
      <c r="F1818" s="3">
        <v>17126</v>
      </c>
      <c r="G1818" s="3">
        <v>1484</v>
      </c>
      <c r="H1818" s="3">
        <v>145</v>
      </c>
      <c r="I1818" s="4">
        <v>915.11</v>
      </c>
      <c r="J1818" s="4">
        <v>5807.89</v>
      </c>
      <c r="K1818" s="3">
        <v>82</v>
      </c>
      <c r="L1818" s="2" t="s">
        <v>2523</v>
      </c>
      <c r="M1818" s="2" t="s">
        <v>2537</v>
      </c>
      <c r="N1818" s="8">
        <f>IFERROR(G1818/F1818,0)</f>
        <v>8.6651874343104049E-2</v>
      </c>
      <c r="O1818" s="8">
        <f>IFERROR(H1818/G1818,0)</f>
        <v>9.7708894878706196E-2</v>
      </c>
      <c r="P1818" s="4">
        <f>IFERROR(I1818/G1818,0)</f>
        <v>0.61665094339622639</v>
      </c>
      <c r="Q1818" s="4">
        <f>IFERROR(I1818/H1818,0)</f>
        <v>6.3111034482758619</v>
      </c>
      <c r="R1818" s="12">
        <f>IFERROR(J1818/I1818,0)</f>
        <v>6.346657778846259</v>
      </c>
      <c r="S1818" s="7">
        <f>Tabla_nuevas_columnas[[#This Row],[ROAS]]</f>
        <v>6.346657778846259</v>
      </c>
      <c r="T1818" t="str">
        <f>_xlfn.CONCAT(C1818,"-",D1818)</f>
        <v>Email-España</v>
      </c>
      <c r="U1818">
        <f>YEAR(A1818)</f>
        <v>2025</v>
      </c>
      <c r="V1818">
        <f>MONTH(A1818)</f>
        <v>3</v>
      </c>
      <c r="W1818" t="str">
        <f>PROPER(TEXT(A1818,"mmmm"))</f>
        <v>Marzo</v>
      </c>
      <c r="X1818" t="str">
        <f>PROPER(TEXT(A1818,"dddd"))</f>
        <v>Jueves</v>
      </c>
      <c r="Y1818" t="str" cm="1">
        <f t="array" ref="Y1818">_xlfn.IFS(R1818&gt;10,"Excelente",R1818&gt;=5,"Bueno",R1818&gt;=2,"Débil",R1818&lt;2,"Deficiente")</f>
        <v>Bueno</v>
      </c>
      <c r="Z1818" t="str">
        <f>IF(AND(R1818&lt;2,Q1818&gt;=100),"Revisar","OK")</f>
        <v>OK</v>
      </c>
      <c r="AA1818" s="55">
        <f>_xlfn.XLOOKUP(C1818,'Preguntas de negocio'!$C$114:$C$119,'Preguntas de negocio'!$D$114:$D$119,0)</f>
        <v>5.5</v>
      </c>
      <c r="AB1818" s="55">
        <f>VLOOKUP(C1818,'Preguntas de negocio'!$C$121:$D$127,2,FALSE)</f>
        <v>0.65</v>
      </c>
    </row>
    <row r="1819" spans="1:28" x14ac:dyDescent="0.3">
      <c r="A1819" s="1">
        <v>45951</v>
      </c>
      <c r="B1819" s="2" t="s">
        <v>2640</v>
      </c>
      <c r="C1819" s="2" t="s">
        <v>2541</v>
      </c>
      <c r="D1819" s="2" t="s">
        <v>2528</v>
      </c>
      <c r="E1819" s="2" t="s">
        <v>2529</v>
      </c>
      <c r="F1819" s="3">
        <v>149731</v>
      </c>
      <c r="G1819" s="3">
        <v>7766</v>
      </c>
      <c r="H1819" s="3">
        <v>137</v>
      </c>
      <c r="I1819" s="4">
        <v>14779.22</v>
      </c>
      <c r="J1819" s="4">
        <v>20507.400000000001</v>
      </c>
      <c r="K1819" s="3">
        <v>81</v>
      </c>
      <c r="L1819" s="2" t="s">
        <v>2518</v>
      </c>
      <c r="M1819" s="2" t="s">
        <v>2546</v>
      </c>
      <c r="N1819" s="8">
        <f>IFERROR(G1819/F1819,0)</f>
        <v>5.1866346982254841E-2</v>
      </c>
      <c r="O1819" s="8">
        <f>IFERROR(H1819/G1819,0)</f>
        <v>1.7640999227401494E-2</v>
      </c>
      <c r="P1819" s="4">
        <f>IFERROR(I1819/G1819,0)</f>
        <v>1.9030672160700488</v>
      </c>
      <c r="Q1819" s="4">
        <f>IFERROR(I1819/H1819,0)</f>
        <v>107.87751824817518</v>
      </c>
      <c r="R1819" s="12">
        <f>IFERROR(J1819/I1819,0)</f>
        <v>1.3875833772012327</v>
      </c>
      <c r="S1819" s="7">
        <f>Tabla_nuevas_columnas[[#This Row],[ROAS]]</f>
        <v>1.3875833772012327</v>
      </c>
      <c r="T1819" t="str">
        <f>_xlfn.CONCAT(C1819,"-",D1819)</f>
        <v>Display-España</v>
      </c>
      <c r="U1819">
        <f>YEAR(A1819)</f>
        <v>2025</v>
      </c>
      <c r="V1819">
        <f>MONTH(A1819)</f>
        <v>10</v>
      </c>
      <c r="W1819" t="str">
        <f>PROPER(TEXT(A1819,"mmmm"))</f>
        <v>Octubre</v>
      </c>
      <c r="X1819" t="str">
        <f>PROPER(TEXT(A1819,"dddd"))</f>
        <v>Martes</v>
      </c>
      <c r="Y1819" t="str" cm="1">
        <f t="array" ref="Y1819">_xlfn.IFS(R1819&gt;10,"Excelente",R1819&gt;=5,"Bueno",R1819&gt;=2,"Débil",R1819&lt;2,"Deficiente")</f>
        <v>Deficiente</v>
      </c>
      <c r="Z1819" t="str">
        <f>IF(AND(R1819&lt;2,Q1819&gt;=100),"Revisar","OK")</f>
        <v>Revisar</v>
      </c>
      <c r="AA1819" s="55">
        <f>_xlfn.XLOOKUP(C1819,'Preguntas de negocio'!$C$114:$C$119,'Preguntas de negocio'!$D$114:$D$119,0)</f>
        <v>5</v>
      </c>
      <c r="AB1819" s="55">
        <f>VLOOKUP(C1819,'Preguntas de negocio'!$C$121:$D$127,2,FALSE)</f>
        <v>0.5</v>
      </c>
    </row>
    <row r="1820" spans="1:28" x14ac:dyDescent="0.3">
      <c r="A1820" s="1">
        <v>45694</v>
      </c>
      <c r="B1820" s="2" t="s">
        <v>2634</v>
      </c>
      <c r="C1820" s="2" t="s">
        <v>2541</v>
      </c>
      <c r="D1820" s="2" t="s">
        <v>2516</v>
      </c>
      <c r="E1820" s="2" t="s">
        <v>2529</v>
      </c>
      <c r="F1820" s="3">
        <v>89065</v>
      </c>
      <c r="G1820" s="3">
        <v>978</v>
      </c>
      <c r="H1820" s="3">
        <v>73</v>
      </c>
      <c r="I1820" s="4">
        <v>723.14</v>
      </c>
      <c r="J1820" s="4">
        <v>5774.03</v>
      </c>
      <c r="K1820" s="3">
        <v>60</v>
      </c>
      <c r="L1820" s="2" t="s">
        <v>2518</v>
      </c>
      <c r="M1820" s="2" t="s">
        <v>2526</v>
      </c>
      <c r="N1820" s="8">
        <f>IFERROR(G1820/F1820,0)</f>
        <v>1.0980744400157189E-2</v>
      </c>
      <c r="O1820" s="8">
        <f>IFERROR(H1820/G1820,0)</f>
        <v>7.4642126789366048E-2</v>
      </c>
      <c r="P1820" s="4">
        <f>IFERROR(I1820/G1820,0)</f>
        <v>0.73940695296523518</v>
      </c>
      <c r="Q1820" s="4">
        <f>IFERROR(I1820/H1820,0)</f>
        <v>9.9060273972602744</v>
      </c>
      <c r="R1820" s="12">
        <f>IFERROR(J1820/I1820,0)</f>
        <v>7.9846641037696706</v>
      </c>
      <c r="S1820" s="7">
        <f>Tabla_nuevas_columnas[[#This Row],[ROAS]]</f>
        <v>7.9846641037696706</v>
      </c>
      <c r="T1820" t="str">
        <f>_xlfn.CONCAT(C1820,"-",D1820)</f>
        <v>Display-México</v>
      </c>
      <c r="U1820">
        <f>YEAR(A1820)</f>
        <v>2025</v>
      </c>
      <c r="V1820">
        <f>MONTH(A1820)</f>
        <v>2</v>
      </c>
      <c r="W1820" t="str">
        <f>PROPER(TEXT(A1820,"mmmm"))</f>
        <v>Febrero</v>
      </c>
      <c r="X1820" t="str">
        <f>PROPER(TEXT(A1820,"dddd"))</f>
        <v>Jueves</v>
      </c>
      <c r="Y1820" t="str" cm="1">
        <f t="array" ref="Y1820">_xlfn.IFS(R1820&gt;10,"Excelente",R1820&gt;=5,"Bueno",R1820&gt;=2,"Débil",R1820&lt;2,"Deficiente")</f>
        <v>Bueno</v>
      </c>
      <c r="Z1820" t="str">
        <f>IF(AND(R1820&lt;2,Q1820&gt;=100),"Revisar","OK")</f>
        <v>OK</v>
      </c>
      <c r="AA1820" s="55">
        <f>_xlfn.XLOOKUP(C1820,'Preguntas de negocio'!$C$114:$C$119,'Preguntas de negocio'!$D$114:$D$119,0)</f>
        <v>5</v>
      </c>
      <c r="AB1820" s="55">
        <f>VLOOKUP(C1820,'Preguntas de negocio'!$C$121:$D$127,2,FALSE)</f>
        <v>0.5</v>
      </c>
    </row>
    <row r="1821" spans="1:28" x14ac:dyDescent="0.3">
      <c r="A1821" s="1">
        <v>45823</v>
      </c>
      <c r="B1821" s="2" t="s">
        <v>2620</v>
      </c>
      <c r="C1821" s="2" t="s">
        <v>2515</v>
      </c>
      <c r="D1821" s="2" t="s">
        <v>2528</v>
      </c>
      <c r="E1821" s="2" t="s">
        <v>2517</v>
      </c>
      <c r="F1821" s="3">
        <v>139245</v>
      </c>
      <c r="G1821" s="3">
        <v>6131</v>
      </c>
      <c r="H1821" s="3">
        <v>277</v>
      </c>
      <c r="I1821" s="4">
        <v>1509.48</v>
      </c>
      <c r="J1821" s="4">
        <v>57779.83</v>
      </c>
      <c r="K1821" s="3">
        <v>199</v>
      </c>
      <c r="L1821" s="2" t="s">
        <v>2539</v>
      </c>
      <c r="M1821" s="2" t="s">
        <v>2519</v>
      </c>
      <c r="N1821" s="8">
        <f>IFERROR(G1821/F1821,0)</f>
        <v>4.4030306294660489E-2</v>
      </c>
      <c r="O1821" s="8">
        <f>IFERROR(H1821/G1821,0)</f>
        <v>4.5180231609851573E-2</v>
      </c>
      <c r="P1821" s="4">
        <f>IFERROR(I1821/G1821,0)</f>
        <v>0.24620453433371392</v>
      </c>
      <c r="Q1821" s="4">
        <f>IFERROR(I1821/H1821,0)</f>
        <v>5.4493862815884473</v>
      </c>
      <c r="R1821" s="12">
        <f>IFERROR(J1821/I1821,0)</f>
        <v>38.277969896918144</v>
      </c>
      <c r="S1821" s="7">
        <f>Tabla_nuevas_columnas[[#This Row],[ROAS]]</f>
        <v>38.277969896918144</v>
      </c>
      <c r="T1821" t="str">
        <f>_xlfn.CONCAT(C1821,"-",D1821)</f>
        <v>Email-España</v>
      </c>
      <c r="U1821">
        <f>YEAR(A1821)</f>
        <v>2025</v>
      </c>
      <c r="V1821">
        <f>MONTH(A1821)</f>
        <v>6</v>
      </c>
      <c r="W1821" t="str">
        <f>PROPER(TEXT(A1821,"mmmm"))</f>
        <v>Junio</v>
      </c>
      <c r="X1821" t="str">
        <f>PROPER(TEXT(A1821,"dddd"))</f>
        <v>Domingo</v>
      </c>
      <c r="Y1821" t="str" cm="1">
        <f t="array" ref="Y1821">_xlfn.IFS(R1821&gt;10,"Excelente",R1821&gt;=5,"Bueno",R1821&gt;=2,"Débil",R1821&lt;2,"Deficiente")</f>
        <v>Excelente</v>
      </c>
      <c r="Z1821" t="str">
        <f>IF(AND(R1821&lt;2,Q1821&gt;=100),"Revisar","OK")</f>
        <v>OK</v>
      </c>
      <c r="AA1821" s="55">
        <f>_xlfn.XLOOKUP(C1821,'Preguntas de negocio'!$C$114:$C$119,'Preguntas de negocio'!$D$114:$D$119,0)</f>
        <v>5.5</v>
      </c>
      <c r="AB1821" s="55">
        <f>VLOOKUP(C1821,'Preguntas de negocio'!$C$121:$D$127,2,FALSE)</f>
        <v>0.65</v>
      </c>
    </row>
    <row r="1822" spans="1:28" x14ac:dyDescent="0.3">
      <c r="A1822" s="1">
        <v>45912</v>
      </c>
      <c r="B1822" s="2" t="s">
        <v>2624</v>
      </c>
      <c r="C1822" s="2" t="s">
        <v>2527</v>
      </c>
      <c r="D1822" s="2" t="s">
        <v>2528</v>
      </c>
      <c r="E1822" s="2" t="s">
        <v>2529</v>
      </c>
      <c r="F1822" s="3">
        <v>44691</v>
      </c>
      <c r="G1822" s="3">
        <v>3406</v>
      </c>
      <c r="H1822" s="3">
        <v>262</v>
      </c>
      <c r="I1822" s="4">
        <v>2630.13</v>
      </c>
      <c r="J1822" s="4">
        <v>14022.01</v>
      </c>
      <c r="K1822" s="3">
        <v>222</v>
      </c>
      <c r="L1822" s="2" t="s">
        <v>2536</v>
      </c>
      <c r="M1822" s="2" t="s">
        <v>2519</v>
      </c>
      <c r="N1822" s="8">
        <f>IFERROR(G1822/F1822,0)</f>
        <v>7.621221274977065E-2</v>
      </c>
      <c r="O1822" s="8">
        <f>IFERROR(H1822/G1822,0)</f>
        <v>7.6923076923076927E-2</v>
      </c>
      <c r="P1822" s="4">
        <f>IFERROR(I1822/G1822,0)</f>
        <v>0.77220493247210809</v>
      </c>
      <c r="Q1822" s="4">
        <f>IFERROR(I1822/H1822,0)</f>
        <v>10.038664122137405</v>
      </c>
      <c r="R1822" s="12">
        <f>IFERROR(J1822/I1822,0)</f>
        <v>5.3312992133468686</v>
      </c>
      <c r="S1822" s="7">
        <f>Tabla_nuevas_columnas[[#This Row],[ROAS]]</f>
        <v>5.3312992133468686</v>
      </c>
      <c r="T1822" t="str">
        <f>_xlfn.CONCAT(C1822,"-",D1822)</f>
        <v>Affiliate-España</v>
      </c>
      <c r="U1822">
        <f>YEAR(A1822)</f>
        <v>2025</v>
      </c>
      <c r="V1822">
        <f>MONTH(A1822)</f>
        <v>9</v>
      </c>
      <c r="W1822" t="str">
        <f>PROPER(TEXT(A1822,"mmmm"))</f>
        <v>Septiembre</v>
      </c>
      <c r="X1822" t="str">
        <f>PROPER(TEXT(A1822,"dddd"))</f>
        <v>Viernes</v>
      </c>
      <c r="Y1822" t="str" cm="1">
        <f t="array" ref="Y1822">_xlfn.IFS(R1822&gt;10,"Excelente",R1822&gt;=5,"Bueno",R1822&gt;=2,"Débil",R1822&lt;2,"Deficiente")</f>
        <v>Bueno</v>
      </c>
      <c r="Z1822" t="str">
        <f>IF(AND(R1822&lt;2,Q1822&gt;=100),"Revisar","OK")</f>
        <v>OK</v>
      </c>
      <c r="AA1822" s="55">
        <f>_xlfn.XLOOKUP(C1822,'Preguntas de negocio'!$C$114:$C$119,'Preguntas de negocio'!$D$114:$D$119,0)</f>
        <v>4.5</v>
      </c>
      <c r="AB1822" s="55">
        <f>VLOOKUP(C1822,'Preguntas de negocio'!$C$121:$D$127,2,FALSE)</f>
        <v>0.35</v>
      </c>
    </row>
    <row r="1823" spans="1:28" x14ac:dyDescent="0.3">
      <c r="A1823" s="1">
        <v>45992</v>
      </c>
      <c r="B1823" s="2" t="s">
        <v>2633</v>
      </c>
      <c r="C1823" s="2" t="s">
        <v>2527</v>
      </c>
      <c r="D1823" s="2" t="s">
        <v>2528</v>
      </c>
      <c r="E1823" s="2" t="s">
        <v>2534</v>
      </c>
      <c r="F1823" s="3">
        <v>119134</v>
      </c>
      <c r="G1823" s="3">
        <v>3132</v>
      </c>
      <c r="H1823" s="3">
        <v>278</v>
      </c>
      <c r="I1823" s="4">
        <v>611.01</v>
      </c>
      <c r="J1823" s="4">
        <v>45579.34</v>
      </c>
      <c r="K1823" s="3">
        <v>200</v>
      </c>
      <c r="L1823" s="2" t="s">
        <v>2518</v>
      </c>
      <c r="M1823" s="2" t="s">
        <v>2537</v>
      </c>
      <c r="N1823" s="8">
        <f>IFERROR(G1823/F1823,0)</f>
        <v>2.6289724176137796E-2</v>
      </c>
      <c r="O1823" s="8">
        <f>IFERROR(H1823/G1823,0)</f>
        <v>8.8761174968071524E-2</v>
      </c>
      <c r="P1823" s="4">
        <f>IFERROR(I1823/G1823,0)</f>
        <v>0.19508620689655173</v>
      </c>
      <c r="Q1823" s="4">
        <f>IFERROR(I1823/H1823,0)</f>
        <v>2.1978776978417267</v>
      </c>
      <c r="R1823" s="12">
        <f>IFERROR(J1823/I1823,0)</f>
        <v>74.596716911343506</v>
      </c>
      <c r="S1823" s="7">
        <f>Tabla_nuevas_columnas[[#This Row],[ROAS]]</f>
        <v>74.596716911343506</v>
      </c>
      <c r="T1823" t="str">
        <f>_xlfn.CONCAT(C1823,"-",D1823)</f>
        <v>Affiliate-España</v>
      </c>
      <c r="U1823">
        <f>YEAR(A1823)</f>
        <v>2025</v>
      </c>
      <c r="V1823">
        <f>MONTH(A1823)</f>
        <v>12</v>
      </c>
      <c r="W1823" t="str">
        <f>PROPER(TEXT(A1823,"mmmm"))</f>
        <v>Diciembre</v>
      </c>
      <c r="X1823" t="str">
        <f>PROPER(TEXT(A1823,"dddd"))</f>
        <v>Lunes</v>
      </c>
      <c r="Y1823" t="str" cm="1">
        <f t="array" ref="Y1823">_xlfn.IFS(R1823&gt;10,"Excelente",R1823&gt;=5,"Bueno",R1823&gt;=2,"Débil",R1823&lt;2,"Deficiente")</f>
        <v>Excelente</v>
      </c>
      <c r="Z1823" t="str">
        <f>IF(AND(R1823&lt;2,Q1823&gt;=100),"Revisar","OK")</f>
        <v>OK</v>
      </c>
      <c r="AA1823" s="55">
        <f>_xlfn.XLOOKUP(C1823,'Preguntas de negocio'!$C$114:$C$119,'Preguntas de negocio'!$D$114:$D$119,0)</f>
        <v>4.5</v>
      </c>
      <c r="AB1823" s="55">
        <f>VLOOKUP(C1823,'Preguntas de negocio'!$C$121:$D$127,2,FALSE)</f>
        <v>0.35</v>
      </c>
    </row>
    <row r="1824" spans="1:28" x14ac:dyDescent="0.3">
      <c r="A1824" s="1">
        <v>45726</v>
      </c>
      <c r="B1824" s="2" t="s">
        <v>2632</v>
      </c>
      <c r="C1824" s="2" t="s">
        <v>2543</v>
      </c>
      <c r="D1824" s="2" t="s">
        <v>2528</v>
      </c>
      <c r="E1824" s="2" t="s">
        <v>2517</v>
      </c>
      <c r="F1824" s="3">
        <v>80048</v>
      </c>
      <c r="G1824" s="3">
        <v>2177</v>
      </c>
      <c r="H1824" s="3">
        <v>292</v>
      </c>
      <c r="I1824" s="4">
        <v>3831.29</v>
      </c>
      <c r="J1824" s="4">
        <v>9155.19</v>
      </c>
      <c r="K1824" s="3">
        <v>257</v>
      </c>
      <c r="L1824" s="2" t="s">
        <v>2539</v>
      </c>
      <c r="M1824" s="2" t="s">
        <v>2524</v>
      </c>
      <c r="N1824" s="8">
        <f>IFERROR(G1824/F1824,0)</f>
        <v>2.7196182290625624E-2</v>
      </c>
      <c r="O1824" s="8">
        <f>IFERROR(H1824/G1824,0)</f>
        <v>0.13412953605879652</v>
      </c>
      <c r="P1824" s="4">
        <f>IFERROR(I1824/G1824,0)</f>
        <v>1.7598943500229673</v>
      </c>
      <c r="Q1824" s="4">
        <f>IFERROR(I1824/H1824,0)</f>
        <v>13.120856164383561</v>
      </c>
      <c r="R1824" s="12">
        <f>IFERROR(J1824/I1824,0)</f>
        <v>2.3895841870492709</v>
      </c>
      <c r="S1824" s="7">
        <f>Tabla_nuevas_columnas[[#This Row],[ROAS]]</f>
        <v>2.3895841870492709</v>
      </c>
      <c r="T1824" t="str">
        <f>_xlfn.CONCAT(C1824,"-",D1824)</f>
        <v>Organic Social-España</v>
      </c>
      <c r="U1824">
        <f>YEAR(A1824)</f>
        <v>2025</v>
      </c>
      <c r="V1824">
        <f>MONTH(A1824)</f>
        <v>3</v>
      </c>
      <c r="W1824" t="str">
        <f>PROPER(TEXT(A1824,"mmmm"))</f>
        <v>Marzo</v>
      </c>
      <c r="X1824" t="str">
        <f>PROPER(TEXT(A1824,"dddd"))</f>
        <v>Lunes</v>
      </c>
      <c r="Y1824" t="str" cm="1">
        <f t="array" ref="Y1824">_xlfn.IFS(R1824&gt;10,"Excelente",R1824&gt;=5,"Bueno",R1824&gt;=2,"Débil",R1824&lt;2,"Deficiente")</f>
        <v>Débil</v>
      </c>
      <c r="Z1824" t="str">
        <f>IF(AND(R1824&lt;2,Q1824&gt;=100),"Revisar","OK")</f>
        <v>OK</v>
      </c>
      <c r="AA1824" s="55">
        <f>_xlfn.XLOOKUP(C1824,'Preguntas de negocio'!$C$114:$C$119,'Preguntas de negocio'!$D$114:$D$119,0)</f>
        <v>4</v>
      </c>
      <c r="AB1824" s="55">
        <f>VLOOKUP(C1824,'Preguntas de negocio'!$C$121:$D$127,2,FALSE)</f>
        <v>0.95</v>
      </c>
    </row>
    <row r="1825" spans="1:28" x14ac:dyDescent="0.3">
      <c r="A1825" s="1">
        <v>45792</v>
      </c>
      <c r="B1825" s="2" t="s">
        <v>2638</v>
      </c>
      <c r="C1825" s="2" t="s">
        <v>2521</v>
      </c>
      <c r="D1825" s="2" t="s">
        <v>2516</v>
      </c>
      <c r="E1825" s="2" t="s">
        <v>2529</v>
      </c>
      <c r="F1825" s="3">
        <v>144130</v>
      </c>
      <c r="G1825" s="3">
        <v>4243</v>
      </c>
      <c r="H1825" s="3">
        <v>38</v>
      </c>
      <c r="I1825" s="4">
        <v>2684.92</v>
      </c>
      <c r="J1825" s="4">
        <v>8087.33</v>
      </c>
      <c r="K1825" s="3">
        <v>31</v>
      </c>
      <c r="L1825" s="2" t="s">
        <v>2523</v>
      </c>
      <c r="M1825" s="2" t="s">
        <v>2526</v>
      </c>
      <c r="N1825" s="8">
        <f>IFERROR(G1825/F1825,0)</f>
        <v>2.9438701172552557E-2</v>
      </c>
      <c r="O1825" s="8">
        <f>IFERROR(H1825/G1825,0)</f>
        <v>8.9559274098515197E-3</v>
      </c>
      <c r="P1825" s="4">
        <f>IFERROR(I1825/G1825,0)</f>
        <v>0.63278812161206699</v>
      </c>
      <c r="Q1825" s="4">
        <f>IFERROR(I1825/H1825,0)</f>
        <v>70.655789473684209</v>
      </c>
      <c r="R1825" s="12">
        <f>IFERROR(J1825/I1825,0)</f>
        <v>3.0121307152540857</v>
      </c>
      <c r="S1825" s="7">
        <f>Tabla_nuevas_columnas[[#This Row],[ROAS]]</f>
        <v>3.0121307152540857</v>
      </c>
      <c r="T1825" t="str">
        <f>_xlfn.CONCAT(C1825,"-",D1825)</f>
        <v>Paid Search-México</v>
      </c>
      <c r="U1825">
        <f>YEAR(A1825)</f>
        <v>2025</v>
      </c>
      <c r="V1825">
        <f>MONTH(A1825)</f>
        <v>5</v>
      </c>
      <c r="W1825" t="str">
        <f>PROPER(TEXT(A1825,"mmmm"))</f>
        <v>Mayo</v>
      </c>
      <c r="X1825" t="str">
        <f>PROPER(TEXT(A1825,"dddd"))</f>
        <v>Jueves</v>
      </c>
      <c r="Y1825" t="str" cm="1">
        <f t="array" ref="Y1825">_xlfn.IFS(R1825&gt;10,"Excelente",R1825&gt;=5,"Bueno",R1825&gt;=2,"Débil",R1825&lt;2,"Deficiente")</f>
        <v>Débil</v>
      </c>
      <c r="Z1825" t="str">
        <f>IF(AND(R1825&lt;2,Q1825&gt;=100),"Revisar","OK")</f>
        <v>OK</v>
      </c>
      <c r="AA1825" s="55">
        <f>_xlfn.XLOOKUP(C1825,'Preguntas de negocio'!$C$114:$C$119,'Preguntas de negocio'!$D$114:$D$119,0)</f>
        <v>5</v>
      </c>
      <c r="AB1825" s="55">
        <f>VLOOKUP(C1825,'Preguntas de negocio'!$C$121:$D$127,2,FALSE)</f>
        <v>1.1000000000000001</v>
      </c>
    </row>
    <row r="1826" spans="1:28" x14ac:dyDescent="0.3">
      <c r="A1826" s="1">
        <v>45707</v>
      </c>
      <c r="B1826" s="2" t="s">
        <v>2623</v>
      </c>
      <c r="C1826" s="2" t="s">
        <v>2527</v>
      </c>
      <c r="D1826" s="2" t="s">
        <v>2645</v>
      </c>
      <c r="E1826" s="2" t="s">
        <v>2517</v>
      </c>
      <c r="F1826" s="3">
        <v>27620</v>
      </c>
      <c r="G1826" s="3">
        <v>1741</v>
      </c>
      <c r="H1826" s="3">
        <v>107</v>
      </c>
      <c r="I1826" s="4">
        <v>410.57</v>
      </c>
      <c r="J1826" s="4">
        <v>11658.12</v>
      </c>
      <c r="K1826" s="3">
        <v>64</v>
      </c>
      <c r="L1826" s="2" t="s">
        <v>2536</v>
      </c>
      <c r="M1826" s="2" t="s">
        <v>2524</v>
      </c>
      <c r="N1826" s="8">
        <f>IFERROR(G1826/F1826,0)</f>
        <v>6.3034033309196241E-2</v>
      </c>
      <c r="O1826" s="8">
        <f>IFERROR(H1826/G1826,0)</f>
        <v>6.1458931648477884E-2</v>
      </c>
      <c r="P1826" s="4">
        <f>IFERROR(I1826/G1826,0)</f>
        <v>0.23582423894313612</v>
      </c>
      <c r="Q1826" s="4">
        <f>IFERROR(I1826/H1826,0)</f>
        <v>3.8371028037383179</v>
      </c>
      <c r="R1826" s="12">
        <f>IFERROR(J1826/I1826,0)</f>
        <v>28.394963100080378</v>
      </c>
      <c r="S1826" s="7">
        <f>Tabla_nuevas_columnas[[#This Row],[ROAS]]</f>
        <v>28.394963100080378</v>
      </c>
      <c r="T1826" t="str">
        <f>_xlfn.CONCAT(C1826,"-",D1826)</f>
        <v>Affiliate-Por identificar</v>
      </c>
      <c r="U1826">
        <f>YEAR(A1826)</f>
        <v>2025</v>
      </c>
      <c r="V1826">
        <f>MONTH(A1826)</f>
        <v>2</v>
      </c>
      <c r="W1826" t="str">
        <f>PROPER(TEXT(A1826,"mmmm"))</f>
        <v>Febrero</v>
      </c>
      <c r="X1826" t="str">
        <f>PROPER(TEXT(A1826,"dddd"))</f>
        <v>Miércoles</v>
      </c>
      <c r="Y1826" t="str" cm="1">
        <f t="array" ref="Y1826">_xlfn.IFS(R1826&gt;10,"Excelente",R1826&gt;=5,"Bueno",R1826&gt;=2,"Débil",R1826&lt;2,"Deficiente")</f>
        <v>Excelente</v>
      </c>
      <c r="Z1826" t="str">
        <f>IF(AND(R1826&lt;2,Q1826&gt;=100),"Revisar","OK")</f>
        <v>OK</v>
      </c>
      <c r="AA1826" s="55">
        <f>_xlfn.XLOOKUP(C1826,'Preguntas de negocio'!$C$114:$C$119,'Preguntas de negocio'!$D$114:$D$119,0)</f>
        <v>4.5</v>
      </c>
      <c r="AB1826" s="55">
        <f>VLOOKUP(C1826,'Preguntas de negocio'!$C$121:$D$127,2,FALSE)</f>
        <v>0.35</v>
      </c>
    </row>
    <row r="1827" spans="1:28" x14ac:dyDescent="0.3">
      <c r="A1827" s="1">
        <v>45973</v>
      </c>
      <c r="B1827" s="2" t="s">
        <v>2634</v>
      </c>
      <c r="C1827" s="2" t="s">
        <v>2527</v>
      </c>
      <c r="D1827" s="2" t="s">
        <v>2528</v>
      </c>
      <c r="E1827" s="2" t="s">
        <v>2529</v>
      </c>
      <c r="F1827" s="3">
        <v>31708</v>
      </c>
      <c r="G1827" s="3">
        <v>1919</v>
      </c>
      <c r="H1827" s="3">
        <v>180</v>
      </c>
      <c r="I1827" s="4">
        <v>2963.09</v>
      </c>
      <c r="J1827" s="4">
        <v>2949.81</v>
      </c>
      <c r="K1827" s="3">
        <v>86</v>
      </c>
      <c r="L1827" s="2" t="s">
        <v>2518</v>
      </c>
      <c r="M1827" s="2" t="s">
        <v>2519</v>
      </c>
      <c r="N1827" s="8">
        <f>IFERROR(G1827/F1827,0)</f>
        <v>6.0521004162987259E-2</v>
      </c>
      <c r="O1827" s="8">
        <f>IFERROR(H1827/G1827,0)</f>
        <v>9.3798853569567478E-2</v>
      </c>
      <c r="P1827" s="4">
        <f>IFERROR(I1827/G1827,0)</f>
        <v>1.5440802501302762</v>
      </c>
      <c r="Q1827" s="4">
        <f>IFERROR(I1827/H1827,0)</f>
        <v>16.461611111111111</v>
      </c>
      <c r="R1827" s="12">
        <f>IFERROR(J1827/I1827,0)</f>
        <v>0.99551819215751114</v>
      </c>
      <c r="S1827" s="7">
        <f>Tabla_nuevas_columnas[[#This Row],[ROAS]]</f>
        <v>0.99551819215751114</v>
      </c>
      <c r="T1827" t="str">
        <f>_xlfn.CONCAT(C1827,"-",D1827)</f>
        <v>Affiliate-España</v>
      </c>
      <c r="U1827">
        <f>YEAR(A1827)</f>
        <v>2025</v>
      </c>
      <c r="V1827">
        <f>MONTH(A1827)</f>
        <v>11</v>
      </c>
      <c r="W1827" t="str">
        <f>PROPER(TEXT(A1827,"mmmm"))</f>
        <v>Noviembre</v>
      </c>
      <c r="X1827" t="str">
        <f>PROPER(TEXT(A1827,"dddd"))</f>
        <v>Miércoles</v>
      </c>
      <c r="Y1827" t="str" cm="1">
        <f t="array" ref="Y1827">_xlfn.IFS(R1827&gt;10,"Excelente",R1827&gt;=5,"Bueno",R1827&gt;=2,"Débil",R1827&lt;2,"Deficiente")</f>
        <v>Deficiente</v>
      </c>
      <c r="Z1827" t="str">
        <f>IF(AND(R1827&lt;2,Q1827&gt;=100),"Revisar","OK")</f>
        <v>OK</v>
      </c>
      <c r="AA1827" s="55">
        <f>_xlfn.XLOOKUP(C1827,'Preguntas de negocio'!$C$114:$C$119,'Preguntas de negocio'!$D$114:$D$119,0)</f>
        <v>4.5</v>
      </c>
      <c r="AB1827" s="55">
        <f>VLOOKUP(C1827,'Preguntas de negocio'!$C$121:$D$127,2,FALSE)</f>
        <v>0.35</v>
      </c>
    </row>
    <row r="1828" spans="1:28" x14ac:dyDescent="0.3">
      <c r="A1828" s="1">
        <v>45727</v>
      </c>
      <c r="B1828" s="2" t="s">
        <v>2628</v>
      </c>
      <c r="C1828" s="2" t="s">
        <v>2543</v>
      </c>
      <c r="D1828" s="2" t="s">
        <v>2528</v>
      </c>
      <c r="E1828" s="2" t="s">
        <v>2529</v>
      </c>
      <c r="F1828" s="3">
        <v>15432</v>
      </c>
      <c r="G1828" s="3">
        <v>872</v>
      </c>
      <c r="H1828" s="3">
        <v>74</v>
      </c>
      <c r="I1828" s="4">
        <v>1473.67</v>
      </c>
      <c r="J1828" s="4">
        <v>1155.6199999999999</v>
      </c>
      <c r="K1828" s="3">
        <v>33</v>
      </c>
      <c r="L1828" s="2" t="s">
        <v>2518</v>
      </c>
      <c r="M1828" s="2" t="s">
        <v>2546</v>
      </c>
      <c r="N1828" s="8">
        <f>IFERROR(G1828/F1828,0)</f>
        <v>5.6505961638154481E-2</v>
      </c>
      <c r="O1828" s="8">
        <f>IFERROR(H1828/G1828,0)</f>
        <v>8.4862385321100922E-2</v>
      </c>
      <c r="P1828" s="4">
        <f>IFERROR(I1828/G1828,0)</f>
        <v>1.6899885321100918</v>
      </c>
      <c r="Q1828" s="4">
        <f>IFERROR(I1828/H1828,0)</f>
        <v>19.914459459459461</v>
      </c>
      <c r="R1828" s="12">
        <f>IFERROR(J1828/I1828,0)</f>
        <v>0.78417827600480416</v>
      </c>
      <c r="S1828" s="7">
        <f>Tabla_nuevas_columnas[[#This Row],[ROAS]]</f>
        <v>0.78417827600480416</v>
      </c>
      <c r="T1828" t="str">
        <f>_xlfn.CONCAT(C1828,"-",D1828)</f>
        <v>Organic Social-España</v>
      </c>
      <c r="U1828">
        <f>YEAR(A1828)</f>
        <v>2025</v>
      </c>
      <c r="V1828">
        <f>MONTH(A1828)</f>
        <v>3</v>
      </c>
      <c r="W1828" t="str">
        <f>PROPER(TEXT(A1828,"mmmm"))</f>
        <v>Marzo</v>
      </c>
      <c r="X1828" t="str">
        <f>PROPER(TEXT(A1828,"dddd"))</f>
        <v>Martes</v>
      </c>
      <c r="Y1828" t="str" cm="1">
        <f t="array" ref="Y1828">_xlfn.IFS(R1828&gt;10,"Excelente",R1828&gt;=5,"Bueno",R1828&gt;=2,"Débil",R1828&lt;2,"Deficiente")</f>
        <v>Deficiente</v>
      </c>
      <c r="Z1828" t="str">
        <f>IF(AND(R1828&lt;2,Q1828&gt;=100),"Revisar","OK")</f>
        <v>OK</v>
      </c>
      <c r="AA1828" s="55">
        <f>_xlfn.XLOOKUP(C1828,'Preguntas de negocio'!$C$114:$C$119,'Preguntas de negocio'!$D$114:$D$119,0)</f>
        <v>4</v>
      </c>
      <c r="AB1828" s="55">
        <f>VLOOKUP(C1828,'Preguntas de negocio'!$C$121:$D$127,2,FALSE)</f>
        <v>0.95</v>
      </c>
    </row>
    <row r="1829" spans="1:28" x14ac:dyDescent="0.3">
      <c r="A1829" s="1">
        <v>45760</v>
      </c>
      <c r="B1829" s="2" t="s">
        <v>2620</v>
      </c>
      <c r="C1829" s="2" t="s">
        <v>2541</v>
      </c>
      <c r="D1829" s="2" t="s">
        <v>2516</v>
      </c>
      <c r="E1829" s="2" t="s">
        <v>2517</v>
      </c>
      <c r="F1829" s="3">
        <v>103017</v>
      </c>
      <c r="G1829" s="3">
        <v>2685</v>
      </c>
      <c r="H1829" s="3">
        <v>163</v>
      </c>
      <c r="I1829" s="4">
        <v>789.5</v>
      </c>
      <c r="J1829" s="4">
        <v>27544.91</v>
      </c>
      <c r="K1829" s="3">
        <v>124</v>
      </c>
      <c r="L1829" s="2" t="s">
        <v>2518</v>
      </c>
      <c r="M1829" s="2" t="s">
        <v>2524</v>
      </c>
      <c r="N1829" s="8">
        <f>IFERROR(G1829/F1829,0)</f>
        <v>2.6063659396022017E-2</v>
      </c>
      <c r="O1829" s="8">
        <f>IFERROR(H1829/G1829,0)</f>
        <v>6.0707635009310985E-2</v>
      </c>
      <c r="P1829" s="4">
        <f>IFERROR(I1829/G1829,0)</f>
        <v>0.29404096834264432</v>
      </c>
      <c r="Q1829" s="4">
        <f>IFERROR(I1829/H1829,0)</f>
        <v>4.8435582822085887</v>
      </c>
      <c r="R1829" s="12">
        <f>IFERROR(J1829/I1829,0)</f>
        <v>34.889056364787841</v>
      </c>
      <c r="S1829" s="7">
        <f>Tabla_nuevas_columnas[[#This Row],[ROAS]]</f>
        <v>34.889056364787841</v>
      </c>
      <c r="T1829" t="str">
        <f>_xlfn.CONCAT(C1829,"-",D1829)</f>
        <v>Display-México</v>
      </c>
      <c r="U1829">
        <f>YEAR(A1829)</f>
        <v>2025</v>
      </c>
      <c r="V1829">
        <f>MONTH(A1829)</f>
        <v>4</v>
      </c>
      <c r="W1829" t="str">
        <f>PROPER(TEXT(A1829,"mmmm"))</f>
        <v>Abril</v>
      </c>
      <c r="X1829" t="str">
        <f>PROPER(TEXT(A1829,"dddd"))</f>
        <v>Domingo</v>
      </c>
      <c r="Y1829" t="str" cm="1">
        <f t="array" ref="Y1829">_xlfn.IFS(R1829&gt;10,"Excelente",R1829&gt;=5,"Bueno",R1829&gt;=2,"Débil",R1829&lt;2,"Deficiente")</f>
        <v>Excelente</v>
      </c>
      <c r="Z1829" t="str">
        <f>IF(AND(R1829&lt;2,Q1829&gt;=100),"Revisar","OK")</f>
        <v>OK</v>
      </c>
      <c r="AA1829" s="55">
        <f>_xlfn.XLOOKUP(C1829,'Preguntas de negocio'!$C$114:$C$119,'Preguntas de negocio'!$D$114:$D$119,0)</f>
        <v>5</v>
      </c>
      <c r="AB1829" s="55">
        <f>VLOOKUP(C1829,'Preguntas de negocio'!$C$121:$D$127,2,FALSE)</f>
        <v>0.5</v>
      </c>
    </row>
    <row r="1830" spans="1:28" x14ac:dyDescent="0.3">
      <c r="A1830" s="1">
        <v>45907</v>
      </c>
      <c r="B1830" s="2" t="s">
        <v>2635</v>
      </c>
      <c r="C1830" s="2" t="s">
        <v>2541</v>
      </c>
      <c r="D1830" s="2" t="s">
        <v>2528</v>
      </c>
      <c r="E1830" s="2" t="s">
        <v>2517</v>
      </c>
      <c r="F1830" s="3">
        <v>82771</v>
      </c>
      <c r="G1830" s="3">
        <v>4626</v>
      </c>
      <c r="H1830" s="3">
        <v>184</v>
      </c>
      <c r="I1830" s="4">
        <v>7231.41</v>
      </c>
      <c r="J1830" s="4">
        <v>29883.53</v>
      </c>
      <c r="K1830" s="3">
        <v>162</v>
      </c>
      <c r="L1830" s="2" t="s">
        <v>2536</v>
      </c>
      <c r="M1830" s="2" t="s">
        <v>2519</v>
      </c>
      <c r="N1830" s="8">
        <f>IFERROR(G1830/F1830,0)</f>
        <v>5.5889139916154205E-2</v>
      </c>
      <c r="O1830" s="8">
        <f>IFERROR(H1830/G1830,0)</f>
        <v>3.9775183744055337E-2</v>
      </c>
      <c r="P1830" s="4">
        <f>IFERROR(I1830/G1830,0)</f>
        <v>1.5632101167315176</v>
      </c>
      <c r="Q1830" s="4">
        <f>IFERROR(I1830/H1830,0)</f>
        <v>39.301141304347823</v>
      </c>
      <c r="R1830" s="12">
        <f>IFERROR(J1830/I1830,0)</f>
        <v>4.1324624105119199</v>
      </c>
      <c r="S1830" s="7">
        <f>Tabla_nuevas_columnas[[#This Row],[ROAS]]</f>
        <v>4.1324624105119199</v>
      </c>
      <c r="T1830" t="str">
        <f>_xlfn.CONCAT(C1830,"-",D1830)</f>
        <v>Display-España</v>
      </c>
      <c r="U1830">
        <f>YEAR(A1830)</f>
        <v>2025</v>
      </c>
      <c r="V1830">
        <f>MONTH(A1830)</f>
        <v>9</v>
      </c>
      <c r="W1830" t="str">
        <f>PROPER(TEXT(A1830,"mmmm"))</f>
        <v>Septiembre</v>
      </c>
      <c r="X1830" t="str">
        <f>PROPER(TEXT(A1830,"dddd"))</f>
        <v>Domingo</v>
      </c>
      <c r="Y1830" t="str" cm="1">
        <f t="array" ref="Y1830">_xlfn.IFS(R1830&gt;10,"Excelente",R1830&gt;=5,"Bueno",R1830&gt;=2,"Débil",R1830&lt;2,"Deficiente")</f>
        <v>Débil</v>
      </c>
      <c r="Z1830" t="str">
        <f>IF(AND(R1830&lt;2,Q1830&gt;=100),"Revisar","OK")</f>
        <v>OK</v>
      </c>
      <c r="AA1830" s="55">
        <f>_xlfn.XLOOKUP(C1830,'Preguntas de negocio'!$C$114:$C$119,'Preguntas de negocio'!$D$114:$D$119,0)</f>
        <v>5</v>
      </c>
      <c r="AB1830" s="55">
        <f>VLOOKUP(C1830,'Preguntas de negocio'!$C$121:$D$127,2,FALSE)</f>
        <v>0.5</v>
      </c>
    </row>
    <row r="1831" spans="1:28" x14ac:dyDescent="0.3">
      <c r="A1831" s="1">
        <v>45843</v>
      </c>
      <c r="B1831" s="2" t="s">
        <v>2628</v>
      </c>
      <c r="C1831" s="2" t="s">
        <v>2533</v>
      </c>
      <c r="D1831" s="2" t="s">
        <v>2528</v>
      </c>
      <c r="E1831" s="2" t="s">
        <v>2529</v>
      </c>
      <c r="F1831" s="3">
        <v>122318</v>
      </c>
      <c r="G1831" s="3">
        <v>10376</v>
      </c>
      <c r="H1831" s="3">
        <v>1285</v>
      </c>
      <c r="I1831" s="4">
        <v>15263.31</v>
      </c>
      <c r="J1831" s="4">
        <v>143302.43</v>
      </c>
      <c r="K1831" s="3">
        <v>689</v>
      </c>
      <c r="L1831" s="2" t="s">
        <v>2523</v>
      </c>
      <c r="M1831" s="2" t="s">
        <v>2519</v>
      </c>
      <c r="N1831" s="8">
        <f>IFERROR(G1831/F1831,0)</f>
        <v>8.4828071093379545E-2</v>
      </c>
      <c r="O1831" s="8">
        <f>IFERROR(H1831/G1831,0)</f>
        <v>0.12384348496530455</v>
      </c>
      <c r="P1831" s="4">
        <f>IFERROR(I1831/G1831,0)</f>
        <v>1.4710206245181188</v>
      </c>
      <c r="Q1831" s="4">
        <f>IFERROR(I1831/H1831,0)</f>
        <v>11.878062256809338</v>
      </c>
      <c r="R1831" s="12">
        <f>IFERROR(J1831/I1831,0)</f>
        <v>9.3886863334361941</v>
      </c>
      <c r="S1831" s="7">
        <f>Tabla_nuevas_columnas[[#This Row],[ROAS]]</f>
        <v>9.3886863334361941</v>
      </c>
      <c r="T1831" t="str">
        <f>_xlfn.CONCAT(C1831,"-",D1831)</f>
        <v>Paid Social-España</v>
      </c>
      <c r="U1831">
        <f>YEAR(A1831)</f>
        <v>2025</v>
      </c>
      <c r="V1831">
        <f>MONTH(A1831)</f>
        <v>7</v>
      </c>
      <c r="W1831" t="str">
        <f>PROPER(TEXT(A1831,"mmmm"))</f>
        <v>Julio</v>
      </c>
      <c r="X1831" t="str">
        <f>PROPER(TEXT(A1831,"dddd"))</f>
        <v>Sábado</v>
      </c>
      <c r="Y1831" t="str" cm="1">
        <f t="array" ref="Y1831">_xlfn.IFS(R1831&gt;10,"Excelente",R1831&gt;=5,"Bueno",R1831&gt;=2,"Débil",R1831&lt;2,"Deficiente")</f>
        <v>Bueno</v>
      </c>
      <c r="Z1831" t="str">
        <f>IF(AND(R1831&lt;2,Q1831&gt;=100),"Revisar","OK")</f>
        <v>OK</v>
      </c>
      <c r="AA1831" s="55">
        <f>_xlfn.XLOOKUP(C1831,'Preguntas de negocio'!$C$114:$C$119,'Preguntas de negocio'!$D$114:$D$119,0)</f>
        <v>6</v>
      </c>
      <c r="AB1831" s="55">
        <f>VLOOKUP(C1831,'Preguntas de negocio'!$C$121:$D$127,2,FALSE)</f>
        <v>0.8</v>
      </c>
    </row>
    <row r="1832" spans="1:28" x14ac:dyDescent="0.3">
      <c r="A1832" s="1">
        <v>45871</v>
      </c>
      <c r="B1832" s="2" t="s">
        <v>2625</v>
      </c>
      <c r="C1832" s="2" t="s">
        <v>2543</v>
      </c>
      <c r="D1832" s="2" t="s">
        <v>2525</v>
      </c>
      <c r="E1832" s="2" t="s">
        <v>2517</v>
      </c>
      <c r="F1832" s="3">
        <v>143509</v>
      </c>
      <c r="G1832" s="3">
        <v>7560</v>
      </c>
      <c r="H1832" s="3">
        <v>529</v>
      </c>
      <c r="I1832" s="4">
        <v>7404.78</v>
      </c>
      <c r="J1832" s="4">
        <v>57905.71</v>
      </c>
      <c r="K1832" s="3">
        <v>472</v>
      </c>
      <c r="L1832" s="2" t="s">
        <v>2523</v>
      </c>
      <c r="M1832" s="2" t="s">
        <v>2519</v>
      </c>
      <c r="N1832" s="8">
        <f>IFERROR(G1832/F1832,0)</f>
        <v>5.2679622880794932E-2</v>
      </c>
      <c r="O1832" s="8">
        <f>IFERROR(H1832/G1832,0)</f>
        <v>6.9973544973544979E-2</v>
      </c>
      <c r="P1832" s="4">
        <f>IFERROR(I1832/G1832,0)</f>
        <v>0.97946825396825399</v>
      </c>
      <c r="Q1832" s="4">
        <f>IFERROR(I1832/H1832,0)</f>
        <v>13.997693761814745</v>
      </c>
      <c r="R1832" s="12">
        <f>IFERROR(J1832/I1832,0)</f>
        <v>7.8200446198266524</v>
      </c>
      <c r="S1832" s="7">
        <f>Tabla_nuevas_columnas[[#This Row],[ROAS]]</f>
        <v>7.8200446198266524</v>
      </c>
      <c r="T1832" t="str">
        <f>_xlfn.CONCAT(C1832,"-",D1832)</f>
        <v>Organic Social-Francia</v>
      </c>
      <c r="U1832">
        <f>YEAR(A1832)</f>
        <v>2025</v>
      </c>
      <c r="V1832">
        <f>MONTH(A1832)</f>
        <v>8</v>
      </c>
      <c r="W1832" t="str">
        <f>PROPER(TEXT(A1832,"mmmm"))</f>
        <v>Agosto</v>
      </c>
      <c r="X1832" t="str">
        <f>PROPER(TEXT(A1832,"dddd"))</f>
        <v>Sábado</v>
      </c>
      <c r="Y1832" t="str" cm="1">
        <f t="array" ref="Y1832">_xlfn.IFS(R1832&gt;10,"Excelente",R1832&gt;=5,"Bueno",R1832&gt;=2,"Débil",R1832&lt;2,"Deficiente")</f>
        <v>Bueno</v>
      </c>
      <c r="Z1832" t="str">
        <f>IF(AND(R1832&lt;2,Q1832&gt;=100),"Revisar","OK")</f>
        <v>OK</v>
      </c>
      <c r="AA1832" s="55">
        <f>_xlfn.XLOOKUP(C1832,'Preguntas de negocio'!$C$114:$C$119,'Preguntas de negocio'!$D$114:$D$119,0)</f>
        <v>4</v>
      </c>
      <c r="AB1832" s="55">
        <f>VLOOKUP(C1832,'Preguntas de negocio'!$C$121:$D$127,2,FALSE)</f>
        <v>0.95</v>
      </c>
    </row>
    <row r="1833" spans="1:28" x14ac:dyDescent="0.3">
      <c r="A1833" s="1">
        <v>45795</v>
      </c>
      <c r="B1833" s="2" t="s">
        <v>2616</v>
      </c>
      <c r="C1833" s="2" t="s">
        <v>2533</v>
      </c>
      <c r="D1833" s="2" t="s">
        <v>2516</v>
      </c>
      <c r="E1833" s="2" t="s">
        <v>2529</v>
      </c>
      <c r="F1833" s="3">
        <v>104385</v>
      </c>
      <c r="G1833" s="3">
        <v>1278</v>
      </c>
      <c r="H1833" s="3">
        <v>165</v>
      </c>
      <c r="I1833" s="4">
        <v>1350.77</v>
      </c>
      <c r="J1833" s="4">
        <v>33313.96</v>
      </c>
      <c r="K1833" s="3">
        <v>106</v>
      </c>
      <c r="L1833" s="2" t="s">
        <v>2518</v>
      </c>
      <c r="M1833" s="2" t="s">
        <v>2524</v>
      </c>
      <c r="N1833" s="8">
        <f>IFERROR(G1833/F1833,0)</f>
        <v>1.2243138381951429E-2</v>
      </c>
      <c r="O1833" s="8">
        <f>IFERROR(H1833/G1833,0)</f>
        <v>0.12910798122065728</v>
      </c>
      <c r="P1833" s="4">
        <f>IFERROR(I1833/G1833,0)</f>
        <v>1.0569405320813772</v>
      </c>
      <c r="Q1833" s="4">
        <f>IFERROR(I1833/H1833,0)</f>
        <v>8.1864848484848487</v>
      </c>
      <c r="R1833" s="12">
        <f>IFERROR(J1833/I1833,0)</f>
        <v>24.662940396958771</v>
      </c>
      <c r="S1833" s="7">
        <f>Tabla_nuevas_columnas[[#This Row],[ROAS]]</f>
        <v>24.662940396958771</v>
      </c>
      <c r="T1833" t="str">
        <f>_xlfn.CONCAT(C1833,"-",D1833)</f>
        <v>Paid Social-México</v>
      </c>
      <c r="U1833">
        <f>YEAR(A1833)</f>
        <v>2025</v>
      </c>
      <c r="V1833">
        <f>MONTH(A1833)</f>
        <v>5</v>
      </c>
      <c r="W1833" t="str">
        <f>PROPER(TEXT(A1833,"mmmm"))</f>
        <v>Mayo</v>
      </c>
      <c r="X1833" t="str">
        <f>PROPER(TEXT(A1833,"dddd"))</f>
        <v>Domingo</v>
      </c>
      <c r="Y1833" t="str" cm="1">
        <f t="array" ref="Y1833">_xlfn.IFS(R1833&gt;10,"Excelente",R1833&gt;=5,"Bueno",R1833&gt;=2,"Débil",R1833&lt;2,"Deficiente")</f>
        <v>Excelente</v>
      </c>
      <c r="Z1833" t="str">
        <f>IF(AND(R1833&lt;2,Q1833&gt;=100),"Revisar","OK")</f>
        <v>OK</v>
      </c>
      <c r="AA1833" s="55">
        <f>_xlfn.XLOOKUP(C1833,'Preguntas de negocio'!$C$114:$C$119,'Preguntas de negocio'!$D$114:$D$119,0)</f>
        <v>6</v>
      </c>
      <c r="AB1833" s="55">
        <f>VLOOKUP(C1833,'Preguntas de negocio'!$C$121:$D$127,2,FALSE)</f>
        <v>0.8</v>
      </c>
    </row>
    <row r="1834" spans="1:28" x14ac:dyDescent="0.3">
      <c r="A1834" s="1">
        <v>45960</v>
      </c>
      <c r="B1834" s="2" t="s">
        <v>2621</v>
      </c>
      <c r="C1834" s="2" t="s">
        <v>2521</v>
      </c>
      <c r="D1834" s="2" t="s">
        <v>2528</v>
      </c>
      <c r="E1834" s="2" t="s">
        <v>2517</v>
      </c>
      <c r="F1834" s="3">
        <v>25281</v>
      </c>
      <c r="G1834" s="3">
        <v>660</v>
      </c>
      <c r="H1834" s="3">
        <v>69</v>
      </c>
      <c r="I1834" s="4">
        <v>375.16</v>
      </c>
      <c r="J1834" s="4">
        <v>4135.01</v>
      </c>
      <c r="K1834" s="3">
        <v>49</v>
      </c>
      <c r="L1834" s="2" t="s">
        <v>2536</v>
      </c>
      <c r="M1834" s="2" t="s">
        <v>2524</v>
      </c>
      <c r="N1834" s="8">
        <f>IFERROR(G1834/F1834,0)</f>
        <v>2.6106562240417706E-2</v>
      </c>
      <c r="O1834" s="8">
        <f>IFERROR(H1834/G1834,0)</f>
        <v>0.10454545454545454</v>
      </c>
      <c r="P1834" s="4">
        <f>IFERROR(I1834/G1834,0)</f>
        <v>0.5684242424242425</v>
      </c>
      <c r="Q1834" s="4">
        <f>IFERROR(I1834/H1834,0)</f>
        <v>5.4371014492753629</v>
      </c>
      <c r="R1834" s="12">
        <f>IFERROR(J1834/I1834,0)</f>
        <v>11.021990617336602</v>
      </c>
      <c r="S1834" s="7">
        <f>Tabla_nuevas_columnas[[#This Row],[ROAS]]</f>
        <v>11.021990617336602</v>
      </c>
      <c r="T1834" t="str">
        <f>_xlfn.CONCAT(C1834,"-",D1834)</f>
        <v>Paid Search-España</v>
      </c>
      <c r="U1834">
        <f>YEAR(A1834)</f>
        <v>2025</v>
      </c>
      <c r="V1834">
        <f>MONTH(A1834)</f>
        <v>10</v>
      </c>
      <c r="W1834" t="str">
        <f>PROPER(TEXT(A1834,"mmmm"))</f>
        <v>Octubre</v>
      </c>
      <c r="X1834" t="str">
        <f>PROPER(TEXT(A1834,"dddd"))</f>
        <v>Jueves</v>
      </c>
      <c r="Y1834" t="str" cm="1">
        <f t="array" ref="Y1834">_xlfn.IFS(R1834&gt;10,"Excelente",R1834&gt;=5,"Bueno",R1834&gt;=2,"Débil",R1834&lt;2,"Deficiente")</f>
        <v>Excelente</v>
      </c>
      <c r="Z1834" t="str">
        <f>IF(AND(R1834&lt;2,Q1834&gt;=100),"Revisar","OK")</f>
        <v>OK</v>
      </c>
      <c r="AA1834" s="55">
        <f>_xlfn.XLOOKUP(C1834,'Preguntas de negocio'!$C$114:$C$119,'Preguntas de negocio'!$D$114:$D$119,0)</f>
        <v>5</v>
      </c>
      <c r="AB1834" s="55">
        <f>VLOOKUP(C1834,'Preguntas de negocio'!$C$121:$D$127,2,FALSE)</f>
        <v>1.1000000000000001</v>
      </c>
    </row>
    <row r="1835" spans="1:28" x14ac:dyDescent="0.3">
      <c r="A1835" s="1">
        <v>45716</v>
      </c>
      <c r="B1835" s="2" t="s">
        <v>2627</v>
      </c>
      <c r="C1835" s="2" t="s">
        <v>2527</v>
      </c>
      <c r="D1835" s="2" t="s">
        <v>2525</v>
      </c>
      <c r="E1835" s="2" t="s">
        <v>2517</v>
      </c>
      <c r="F1835" s="3">
        <v>118475</v>
      </c>
      <c r="G1835" s="3">
        <v>9672</v>
      </c>
      <c r="H1835" s="3">
        <v>288</v>
      </c>
      <c r="I1835" s="4">
        <v>17048.98</v>
      </c>
      <c r="J1835" s="4">
        <v>39606.400000000001</v>
      </c>
      <c r="K1835" s="3">
        <v>158</v>
      </c>
      <c r="L1835" s="2" t="s">
        <v>2536</v>
      </c>
      <c r="M1835" s="2" t="s">
        <v>2519</v>
      </c>
      <c r="N1835" s="8">
        <f>IFERROR(G1835/F1835,0)</f>
        <v>8.1637476260814523E-2</v>
      </c>
      <c r="O1835" s="8">
        <f>IFERROR(H1835/G1835,0)</f>
        <v>2.9776674937965261E-2</v>
      </c>
      <c r="P1835" s="4">
        <f>IFERROR(I1835/G1835,0)</f>
        <v>1.7627150537634408</v>
      </c>
      <c r="Q1835" s="4">
        <f>IFERROR(I1835/H1835,0)</f>
        <v>59.197847222222222</v>
      </c>
      <c r="R1835" s="12">
        <f>IFERROR(J1835/I1835,0)</f>
        <v>2.3230949886738093</v>
      </c>
      <c r="S1835" s="7">
        <f>Tabla_nuevas_columnas[[#This Row],[ROAS]]</f>
        <v>2.3230949886738093</v>
      </c>
      <c r="T1835" t="str">
        <f>_xlfn.CONCAT(C1835,"-",D1835)</f>
        <v>Affiliate-Francia</v>
      </c>
      <c r="U1835">
        <f>YEAR(A1835)</f>
        <v>2025</v>
      </c>
      <c r="V1835">
        <f>MONTH(A1835)</f>
        <v>2</v>
      </c>
      <c r="W1835" t="str">
        <f>PROPER(TEXT(A1835,"mmmm"))</f>
        <v>Febrero</v>
      </c>
      <c r="X1835" t="str">
        <f>PROPER(TEXT(A1835,"dddd"))</f>
        <v>Viernes</v>
      </c>
      <c r="Y1835" t="str" cm="1">
        <f t="array" ref="Y1835">_xlfn.IFS(R1835&gt;10,"Excelente",R1835&gt;=5,"Bueno",R1835&gt;=2,"Débil",R1835&lt;2,"Deficiente")</f>
        <v>Débil</v>
      </c>
      <c r="Z1835" t="str">
        <f>IF(AND(R1835&lt;2,Q1835&gt;=100),"Revisar","OK")</f>
        <v>OK</v>
      </c>
      <c r="AA1835" s="55">
        <f>_xlfn.XLOOKUP(C1835,'Preguntas de negocio'!$C$114:$C$119,'Preguntas de negocio'!$D$114:$D$119,0)</f>
        <v>4.5</v>
      </c>
      <c r="AB1835" s="55">
        <f>VLOOKUP(C1835,'Preguntas de negocio'!$C$121:$D$127,2,FALSE)</f>
        <v>0.35</v>
      </c>
    </row>
    <row r="1836" spans="1:28" x14ac:dyDescent="0.3">
      <c r="A1836" s="1">
        <v>45773</v>
      </c>
      <c r="B1836" s="2" t="s">
        <v>2621</v>
      </c>
      <c r="C1836" s="2" t="s">
        <v>2515</v>
      </c>
      <c r="D1836" s="2" t="s">
        <v>2528</v>
      </c>
      <c r="E1836" s="2" t="s">
        <v>2529</v>
      </c>
      <c r="F1836" s="3">
        <v>145644</v>
      </c>
      <c r="G1836" s="3">
        <v>10729</v>
      </c>
      <c r="H1836" s="3">
        <v>1421</v>
      </c>
      <c r="I1836" s="4">
        <v>1453.02</v>
      </c>
      <c r="J1836" s="4">
        <v>250329.44</v>
      </c>
      <c r="K1836" s="3">
        <v>1263</v>
      </c>
      <c r="L1836" s="2" t="s">
        <v>2536</v>
      </c>
      <c r="M1836" s="2" t="s">
        <v>2537</v>
      </c>
      <c r="N1836" s="8">
        <f>IFERROR(G1836/F1836,0)</f>
        <v>7.3665925132514895E-2</v>
      </c>
      <c r="O1836" s="8">
        <f>IFERROR(H1836/G1836,0)</f>
        <v>0.13244477584117811</v>
      </c>
      <c r="P1836" s="4">
        <f>IFERROR(I1836/G1836,0)</f>
        <v>0.1354292105508435</v>
      </c>
      <c r="Q1836" s="4">
        <f>IFERROR(I1836/H1836,0)</f>
        <v>1.022533427163969</v>
      </c>
      <c r="R1836" s="12">
        <f>IFERROR(J1836/I1836,0)</f>
        <v>172.28217092675945</v>
      </c>
      <c r="S1836" s="7">
        <f>Tabla_nuevas_columnas[[#This Row],[ROAS]]</f>
        <v>172.28217092675945</v>
      </c>
      <c r="T1836" t="str">
        <f>_xlfn.CONCAT(C1836,"-",D1836)</f>
        <v>Email-España</v>
      </c>
      <c r="U1836">
        <f>YEAR(A1836)</f>
        <v>2025</v>
      </c>
      <c r="V1836">
        <f>MONTH(A1836)</f>
        <v>4</v>
      </c>
      <c r="W1836" t="str">
        <f>PROPER(TEXT(A1836,"mmmm"))</f>
        <v>Abril</v>
      </c>
      <c r="X1836" t="str">
        <f>PROPER(TEXT(A1836,"dddd"))</f>
        <v>Sábado</v>
      </c>
      <c r="Y1836" t="str" cm="1">
        <f t="array" ref="Y1836">_xlfn.IFS(R1836&gt;10,"Excelente",R1836&gt;=5,"Bueno",R1836&gt;=2,"Débil",R1836&lt;2,"Deficiente")</f>
        <v>Excelente</v>
      </c>
      <c r="Z1836" t="str">
        <f>IF(AND(R1836&lt;2,Q1836&gt;=100),"Revisar","OK")</f>
        <v>OK</v>
      </c>
      <c r="AA1836" s="55">
        <f>_xlfn.XLOOKUP(C1836,'Preguntas de negocio'!$C$114:$C$119,'Preguntas de negocio'!$D$114:$D$119,0)</f>
        <v>5.5</v>
      </c>
      <c r="AB1836" s="55">
        <f>VLOOKUP(C1836,'Preguntas de negocio'!$C$121:$D$127,2,FALSE)</f>
        <v>0.65</v>
      </c>
    </row>
    <row r="1837" spans="1:28" x14ac:dyDescent="0.3">
      <c r="A1837" s="1">
        <v>45945</v>
      </c>
      <c r="B1837" s="2" t="s">
        <v>2636</v>
      </c>
      <c r="C1837" s="2" t="s">
        <v>2515</v>
      </c>
      <c r="D1837" s="2" t="s">
        <v>2528</v>
      </c>
      <c r="E1837" s="2" t="s">
        <v>2529</v>
      </c>
      <c r="F1837" s="3">
        <v>111755</v>
      </c>
      <c r="G1837" s="3">
        <v>4484</v>
      </c>
      <c r="H1837" s="3">
        <v>518</v>
      </c>
      <c r="I1837" s="4">
        <v>4645.1099999999997</v>
      </c>
      <c r="J1837" s="4">
        <v>66062.97</v>
      </c>
      <c r="K1837" s="3">
        <v>285</v>
      </c>
      <c r="L1837" s="2" t="s">
        <v>2523</v>
      </c>
      <c r="M1837" s="2" t="s">
        <v>2537</v>
      </c>
      <c r="N1837" s="8">
        <f>IFERROR(G1837/F1837,0)</f>
        <v>4.0123484407856472E-2</v>
      </c>
      <c r="O1837" s="8">
        <f>IFERROR(H1837/G1837,0)</f>
        <v>0.11552185548617305</v>
      </c>
      <c r="P1837" s="4">
        <f>IFERROR(I1837/G1837,0)</f>
        <v>1.0359299732381801</v>
      </c>
      <c r="Q1837" s="4">
        <f>IFERROR(I1837/H1837,0)</f>
        <v>8.9673938223938219</v>
      </c>
      <c r="R1837" s="12">
        <f>IFERROR(J1837/I1837,0)</f>
        <v>14.22204641009578</v>
      </c>
      <c r="S1837" s="7">
        <f>Tabla_nuevas_columnas[[#This Row],[ROAS]]</f>
        <v>14.22204641009578</v>
      </c>
      <c r="T1837" t="str">
        <f>_xlfn.CONCAT(C1837,"-",D1837)</f>
        <v>Email-España</v>
      </c>
      <c r="U1837">
        <f>YEAR(A1837)</f>
        <v>2025</v>
      </c>
      <c r="V1837">
        <f>MONTH(A1837)</f>
        <v>10</v>
      </c>
      <c r="W1837" t="str">
        <f>PROPER(TEXT(A1837,"mmmm"))</f>
        <v>Octubre</v>
      </c>
      <c r="X1837" t="str">
        <f>PROPER(TEXT(A1837,"dddd"))</f>
        <v>Miércoles</v>
      </c>
      <c r="Y1837" t="str" cm="1">
        <f t="array" ref="Y1837">_xlfn.IFS(R1837&gt;10,"Excelente",R1837&gt;=5,"Bueno",R1837&gt;=2,"Débil",R1837&lt;2,"Deficiente")</f>
        <v>Excelente</v>
      </c>
      <c r="Z1837" t="str">
        <f>IF(AND(R1837&lt;2,Q1837&gt;=100),"Revisar","OK")</f>
        <v>OK</v>
      </c>
      <c r="AA1837" s="55">
        <f>_xlfn.XLOOKUP(C1837,'Preguntas de negocio'!$C$114:$C$119,'Preguntas de negocio'!$D$114:$D$119,0)</f>
        <v>5.5</v>
      </c>
      <c r="AB1837" s="55">
        <f>VLOOKUP(C1837,'Preguntas de negocio'!$C$121:$D$127,2,FALSE)</f>
        <v>0.65</v>
      </c>
    </row>
    <row r="1838" spans="1:28" x14ac:dyDescent="0.3">
      <c r="A1838" s="1">
        <v>45967</v>
      </c>
      <c r="B1838" s="2" t="s">
        <v>2628</v>
      </c>
      <c r="C1838" s="2" t="s">
        <v>2543</v>
      </c>
      <c r="D1838" s="2" t="s">
        <v>2522</v>
      </c>
      <c r="E1838" s="2" t="s">
        <v>2529</v>
      </c>
      <c r="F1838" s="3">
        <v>25795</v>
      </c>
      <c r="G1838" s="3">
        <v>538</v>
      </c>
      <c r="H1838" s="3">
        <v>32</v>
      </c>
      <c r="I1838" s="4">
        <v>854.29</v>
      </c>
      <c r="J1838" s="4">
        <v>4547.2299999999996</v>
      </c>
      <c r="K1838" s="3">
        <v>20</v>
      </c>
      <c r="L1838" s="2" t="s">
        <v>2536</v>
      </c>
      <c r="M1838" s="2" t="s">
        <v>2519</v>
      </c>
      <c r="N1838" s="8">
        <f>IFERROR(G1838/F1838,0)</f>
        <v>2.0856755185113394E-2</v>
      </c>
      <c r="O1838" s="8">
        <f>IFERROR(H1838/G1838,0)</f>
        <v>5.9479553903345722E-2</v>
      </c>
      <c r="P1838" s="4">
        <f>IFERROR(I1838/G1838,0)</f>
        <v>1.587899628252788</v>
      </c>
      <c r="Q1838" s="4">
        <f>IFERROR(I1838/H1838,0)</f>
        <v>26.696562499999999</v>
      </c>
      <c r="R1838" s="12">
        <f>IFERROR(J1838/I1838,0)</f>
        <v>5.3228177785061277</v>
      </c>
      <c r="S1838" s="7">
        <f>Tabla_nuevas_columnas[[#This Row],[ROAS]]</f>
        <v>5.3228177785061277</v>
      </c>
      <c r="T1838" t="str">
        <f>_xlfn.CONCAT(C1838,"-",D1838)</f>
        <v>Organic Social-Italia</v>
      </c>
      <c r="U1838">
        <f>YEAR(A1838)</f>
        <v>2025</v>
      </c>
      <c r="V1838">
        <f>MONTH(A1838)</f>
        <v>11</v>
      </c>
      <c r="W1838" t="str">
        <f>PROPER(TEXT(A1838,"mmmm"))</f>
        <v>Noviembre</v>
      </c>
      <c r="X1838" t="str">
        <f>PROPER(TEXT(A1838,"dddd"))</f>
        <v>Jueves</v>
      </c>
      <c r="Y1838" t="str" cm="1">
        <f t="array" ref="Y1838">_xlfn.IFS(R1838&gt;10,"Excelente",R1838&gt;=5,"Bueno",R1838&gt;=2,"Débil",R1838&lt;2,"Deficiente")</f>
        <v>Bueno</v>
      </c>
      <c r="Z1838" t="str">
        <f>IF(AND(R1838&lt;2,Q1838&gt;=100),"Revisar","OK")</f>
        <v>OK</v>
      </c>
      <c r="AA1838" s="55">
        <f>_xlfn.XLOOKUP(C1838,'Preguntas de negocio'!$C$114:$C$119,'Preguntas de negocio'!$D$114:$D$119,0)</f>
        <v>4</v>
      </c>
      <c r="AB1838" s="55">
        <f>VLOOKUP(C1838,'Preguntas de negocio'!$C$121:$D$127,2,FALSE)</f>
        <v>0.95</v>
      </c>
    </row>
    <row r="1839" spans="1:28" x14ac:dyDescent="0.3">
      <c r="A1839" s="1">
        <v>45785</v>
      </c>
      <c r="B1839" s="2" t="s">
        <v>2640</v>
      </c>
      <c r="C1839" s="2" t="s">
        <v>2541</v>
      </c>
      <c r="D1839" s="2" t="s">
        <v>2528</v>
      </c>
      <c r="E1839" s="2" t="s">
        <v>2529</v>
      </c>
      <c r="F1839" s="3">
        <v>169372</v>
      </c>
      <c r="G1839" s="3">
        <v>5683</v>
      </c>
      <c r="H1839" s="3">
        <v>120</v>
      </c>
      <c r="I1839" s="4">
        <v>11345.02</v>
      </c>
      <c r="J1839" s="4">
        <v>8349.73</v>
      </c>
      <c r="K1839" s="3">
        <v>56</v>
      </c>
      <c r="L1839" s="2" t="s">
        <v>2536</v>
      </c>
      <c r="M1839" s="2" t="s">
        <v>2526</v>
      </c>
      <c r="N1839" s="8">
        <f>IFERROR(G1839/F1839,0)</f>
        <v>3.3553361830763052E-2</v>
      </c>
      <c r="O1839" s="8">
        <f>IFERROR(H1839/G1839,0)</f>
        <v>2.1115607953545664E-2</v>
      </c>
      <c r="P1839" s="4">
        <f>IFERROR(I1839/G1839,0)</f>
        <v>1.9963082878761218</v>
      </c>
      <c r="Q1839" s="4">
        <f>IFERROR(I1839/H1839,0)</f>
        <v>94.541833333333344</v>
      </c>
      <c r="R1839" s="12">
        <f>IFERROR(J1839/I1839,0)</f>
        <v>0.73598195507808706</v>
      </c>
      <c r="S1839" s="7">
        <f>Tabla_nuevas_columnas[[#This Row],[ROAS]]</f>
        <v>0.73598195507808706</v>
      </c>
      <c r="T1839" t="str">
        <f>_xlfn.CONCAT(C1839,"-",D1839)</f>
        <v>Display-España</v>
      </c>
      <c r="U1839">
        <f>YEAR(A1839)</f>
        <v>2025</v>
      </c>
      <c r="V1839">
        <f>MONTH(A1839)</f>
        <v>5</v>
      </c>
      <c r="W1839" t="str">
        <f>PROPER(TEXT(A1839,"mmmm"))</f>
        <v>Mayo</v>
      </c>
      <c r="X1839" t="str">
        <f>PROPER(TEXT(A1839,"dddd"))</f>
        <v>Jueves</v>
      </c>
      <c r="Y1839" t="str" cm="1">
        <f t="array" ref="Y1839">_xlfn.IFS(R1839&gt;10,"Excelente",R1839&gt;=5,"Bueno",R1839&gt;=2,"Débil",R1839&lt;2,"Deficiente")</f>
        <v>Deficiente</v>
      </c>
      <c r="Z1839" t="str">
        <f>IF(AND(R1839&lt;2,Q1839&gt;=100),"Revisar","OK")</f>
        <v>OK</v>
      </c>
      <c r="AA1839" s="55">
        <f>_xlfn.XLOOKUP(C1839,'Preguntas de negocio'!$C$114:$C$119,'Preguntas de negocio'!$D$114:$D$119,0)</f>
        <v>5</v>
      </c>
      <c r="AB1839" s="55">
        <f>VLOOKUP(C1839,'Preguntas de negocio'!$C$121:$D$127,2,FALSE)</f>
        <v>0.5</v>
      </c>
    </row>
    <row r="1840" spans="1:28" x14ac:dyDescent="0.3">
      <c r="A1840" s="1">
        <v>46022</v>
      </c>
      <c r="B1840" s="2" t="s">
        <v>2641</v>
      </c>
      <c r="C1840" s="2" t="s">
        <v>2543</v>
      </c>
      <c r="D1840" s="2" t="s">
        <v>2522</v>
      </c>
      <c r="E1840" s="2" t="s">
        <v>2529</v>
      </c>
      <c r="F1840" s="3">
        <v>50581</v>
      </c>
      <c r="G1840" s="3">
        <v>2820</v>
      </c>
      <c r="H1840" s="3">
        <v>330</v>
      </c>
      <c r="I1840" s="4">
        <v>3644.68</v>
      </c>
      <c r="J1840" s="4">
        <v>36594.050000000003</v>
      </c>
      <c r="K1840" s="3">
        <v>231</v>
      </c>
      <c r="L1840" s="2" t="s">
        <v>2536</v>
      </c>
      <c r="M1840" s="2" t="s">
        <v>2524</v>
      </c>
      <c r="N1840" s="8">
        <f>IFERROR(G1840/F1840,0)</f>
        <v>5.5752159901939463E-2</v>
      </c>
      <c r="O1840" s="8">
        <f>IFERROR(H1840/G1840,0)</f>
        <v>0.11702127659574468</v>
      </c>
      <c r="P1840" s="4">
        <f>IFERROR(I1840/G1840,0)</f>
        <v>1.2924397163120567</v>
      </c>
      <c r="Q1840" s="4">
        <f>IFERROR(I1840/H1840,0)</f>
        <v>11.044484848484847</v>
      </c>
      <c r="R1840" s="12">
        <f>IFERROR(J1840/I1840,0)</f>
        <v>10.040401352107731</v>
      </c>
      <c r="S1840" s="7">
        <f>Tabla_nuevas_columnas[[#This Row],[ROAS]]</f>
        <v>10.040401352107731</v>
      </c>
      <c r="T1840" t="str">
        <f>_xlfn.CONCAT(C1840,"-",D1840)</f>
        <v>Organic Social-Italia</v>
      </c>
      <c r="U1840">
        <f>YEAR(A1840)</f>
        <v>2025</v>
      </c>
      <c r="V1840">
        <f>MONTH(A1840)</f>
        <v>12</v>
      </c>
      <c r="W1840" t="str">
        <f>PROPER(TEXT(A1840,"mmmm"))</f>
        <v>Diciembre</v>
      </c>
      <c r="X1840" t="str">
        <f>PROPER(TEXT(A1840,"dddd"))</f>
        <v>Miércoles</v>
      </c>
      <c r="Y1840" t="str" cm="1">
        <f t="array" ref="Y1840">_xlfn.IFS(R1840&gt;10,"Excelente",R1840&gt;=5,"Bueno",R1840&gt;=2,"Débil",R1840&lt;2,"Deficiente")</f>
        <v>Excelente</v>
      </c>
      <c r="Z1840" t="str">
        <f>IF(AND(R1840&lt;2,Q1840&gt;=100),"Revisar","OK")</f>
        <v>OK</v>
      </c>
      <c r="AA1840" s="55">
        <f>_xlfn.XLOOKUP(C1840,'Preguntas de negocio'!$C$114:$C$119,'Preguntas de negocio'!$D$114:$D$119,0)</f>
        <v>4</v>
      </c>
      <c r="AB1840" s="55">
        <f>VLOOKUP(C1840,'Preguntas de negocio'!$C$121:$D$127,2,FALSE)</f>
        <v>0.95</v>
      </c>
    </row>
    <row r="1841" spans="1:28" x14ac:dyDescent="0.3">
      <c r="A1841" s="1">
        <v>45899</v>
      </c>
      <c r="B1841" s="2" t="s">
        <v>2618</v>
      </c>
      <c r="C1841" s="2" t="s">
        <v>2543</v>
      </c>
      <c r="D1841" s="2" t="s">
        <v>2528</v>
      </c>
      <c r="E1841" s="2" t="s">
        <v>2529</v>
      </c>
      <c r="F1841" s="3">
        <v>157479</v>
      </c>
      <c r="G1841" s="3">
        <v>11320</v>
      </c>
      <c r="H1841" s="3">
        <v>580</v>
      </c>
      <c r="I1841" s="4">
        <v>21510.639999999999</v>
      </c>
      <c r="J1841" s="4">
        <v>110852.74</v>
      </c>
      <c r="K1841" s="3">
        <v>369</v>
      </c>
      <c r="L1841" s="2" t="s">
        <v>2539</v>
      </c>
      <c r="M1841" s="2" t="s">
        <v>2546</v>
      </c>
      <c r="N1841" s="8">
        <f>IFERROR(G1841/F1841,0)</f>
        <v>7.1882600219711837E-2</v>
      </c>
      <c r="O1841" s="8">
        <f>IFERROR(H1841/G1841,0)</f>
        <v>5.1236749116607777E-2</v>
      </c>
      <c r="P1841" s="4">
        <f>IFERROR(I1841/G1841,0)</f>
        <v>1.9002332155477031</v>
      </c>
      <c r="Q1841" s="4">
        <f>IFERROR(I1841/H1841,0)</f>
        <v>37.087310344827586</v>
      </c>
      <c r="R1841" s="12">
        <f>IFERROR(J1841/I1841,0)</f>
        <v>5.1533910660026852</v>
      </c>
      <c r="S1841" s="7">
        <f>Tabla_nuevas_columnas[[#This Row],[ROAS]]</f>
        <v>5.1533910660026852</v>
      </c>
      <c r="T1841" t="str">
        <f>_xlfn.CONCAT(C1841,"-",D1841)</f>
        <v>Organic Social-España</v>
      </c>
      <c r="U1841">
        <f>YEAR(A1841)</f>
        <v>2025</v>
      </c>
      <c r="V1841">
        <f>MONTH(A1841)</f>
        <v>8</v>
      </c>
      <c r="W1841" t="str">
        <f>PROPER(TEXT(A1841,"mmmm"))</f>
        <v>Agosto</v>
      </c>
      <c r="X1841" t="str">
        <f>PROPER(TEXT(A1841,"dddd"))</f>
        <v>Sábado</v>
      </c>
      <c r="Y1841" t="str" cm="1">
        <f t="array" ref="Y1841">_xlfn.IFS(R1841&gt;10,"Excelente",R1841&gt;=5,"Bueno",R1841&gt;=2,"Débil",R1841&lt;2,"Deficiente")</f>
        <v>Bueno</v>
      </c>
      <c r="Z1841" t="str">
        <f>IF(AND(R1841&lt;2,Q1841&gt;=100),"Revisar","OK")</f>
        <v>OK</v>
      </c>
      <c r="AA1841" s="55">
        <f>_xlfn.XLOOKUP(C1841,'Preguntas de negocio'!$C$114:$C$119,'Preguntas de negocio'!$D$114:$D$119,0)</f>
        <v>4</v>
      </c>
      <c r="AB1841" s="55">
        <f>VLOOKUP(C1841,'Preguntas de negocio'!$C$121:$D$127,2,FALSE)</f>
        <v>0.95</v>
      </c>
    </row>
    <row r="1842" spans="1:28" x14ac:dyDescent="0.3">
      <c r="A1842" s="1">
        <v>46000</v>
      </c>
      <c r="B1842" s="2" t="s">
        <v>2623</v>
      </c>
      <c r="C1842" s="2" t="s">
        <v>2515</v>
      </c>
      <c r="D1842" s="2" t="s">
        <v>2528</v>
      </c>
      <c r="E1842" s="2" t="s">
        <v>2517</v>
      </c>
      <c r="F1842" s="3">
        <v>178936</v>
      </c>
      <c r="G1842" s="3">
        <v>12867</v>
      </c>
      <c r="H1842" s="3">
        <v>1207</v>
      </c>
      <c r="I1842" s="4">
        <v>15102.35</v>
      </c>
      <c r="J1842" s="4">
        <v>94161.79</v>
      </c>
      <c r="K1842" s="3">
        <v>571</v>
      </c>
      <c r="L1842" s="2" t="s">
        <v>2518</v>
      </c>
      <c r="M1842" s="2" t="s">
        <v>2526</v>
      </c>
      <c r="N1842" s="8">
        <f>IFERROR(G1842/F1842,0)</f>
        <v>7.1908391827245496E-2</v>
      </c>
      <c r="O1842" s="8">
        <f>IFERROR(H1842/G1842,0)</f>
        <v>9.3805859951814716E-2</v>
      </c>
      <c r="P1842" s="4">
        <f>IFERROR(I1842/G1842,0)</f>
        <v>1.1737273645760473</v>
      </c>
      <c r="Q1842" s="4">
        <f>IFERROR(I1842/H1842,0)</f>
        <v>12.512303231151616</v>
      </c>
      <c r="R1842" s="12">
        <f>IFERROR(J1842/I1842,0)</f>
        <v>6.2349097988061457</v>
      </c>
      <c r="S1842" s="7">
        <f>Tabla_nuevas_columnas[[#This Row],[ROAS]]</f>
        <v>6.2349097988061457</v>
      </c>
      <c r="T1842" t="str">
        <f>_xlfn.CONCAT(C1842,"-",D1842)</f>
        <v>Email-España</v>
      </c>
      <c r="U1842">
        <f>YEAR(A1842)</f>
        <v>2025</v>
      </c>
      <c r="V1842">
        <f>MONTH(A1842)</f>
        <v>12</v>
      </c>
      <c r="W1842" t="str">
        <f>PROPER(TEXT(A1842,"mmmm"))</f>
        <v>Diciembre</v>
      </c>
      <c r="X1842" t="str">
        <f>PROPER(TEXT(A1842,"dddd"))</f>
        <v>Martes</v>
      </c>
      <c r="Y1842" t="str" cm="1">
        <f t="array" ref="Y1842">_xlfn.IFS(R1842&gt;10,"Excelente",R1842&gt;=5,"Bueno",R1842&gt;=2,"Débil",R1842&lt;2,"Deficiente")</f>
        <v>Bueno</v>
      </c>
      <c r="Z1842" t="str">
        <f>IF(AND(R1842&lt;2,Q1842&gt;=100),"Revisar","OK")</f>
        <v>OK</v>
      </c>
      <c r="AA1842" s="55">
        <f>_xlfn.XLOOKUP(C1842,'Preguntas de negocio'!$C$114:$C$119,'Preguntas de negocio'!$D$114:$D$119,0)</f>
        <v>5.5</v>
      </c>
      <c r="AB1842" s="55">
        <f>VLOOKUP(C1842,'Preguntas de negocio'!$C$121:$D$127,2,FALSE)</f>
        <v>0.65</v>
      </c>
    </row>
    <row r="1843" spans="1:28" x14ac:dyDescent="0.3">
      <c r="A1843" s="1">
        <v>45859</v>
      </c>
      <c r="B1843" s="2" t="s">
        <v>2617</v>
      </c>
      <c r="C1843" s="2" t="s">
        <v>2533</v>
      </c>
      <c r="D1843" s="2" t="s">
        <v>2528</v>
      </c>
      <c r="E1843" s="2" t="s">
        <v>2529</v>
      </c>
      <c r="F1843" s="3">
        <v>37674</v>
      </c>
      <c r="G1843" s="3">
        <v>2366</v>
      </c>
      <c r="H1843" s="3">
        <v>237</v>
      </c>
      <c r="I1843" s="4">
        <v>1886.28</v>
      </c>
      <c r="J1843" s="4">
        <v>11793.92</v>
      </c>
      <c r="K1843" s="3">
        <v>197</v>
      </c>
      <c r="L1843" s="2" t="s">
        <v>2539</v>
      </c>
      <c r="M1843" s="2" t="s">
        <v>2526</v>
      </c>
      <c r="N1843" s="8">
        <f>IFERROR(G1843/F1843,0)</f>
        <v>6.280193236714976E-2</v>
      </c>
      <c r="O1843" s="8">
        <f>IFERROR(H1843/G1843,0)</f>
        <v>0.10016906170752325</v>
      </c>
      <c r="P1843" s="4">
        <f>IFERROR(I1843/G1843,0)</f>
        <v>0.79724429416737108</v>
      </c>
      <c r="Q1843" s="4">
        <f>IFERROR(I1843/H1843,0)</f>
        <v>7.9589873417721515</v>
      </c>
      <c r="R1843" s="12">
        <f>IFERROR(J1843/I1843,0)</f>
        <v>6.252475772419789</v>
      </c>
      <c r="S1843" s="7">
        <f>Tabla_nuevas_columnas[[#This Row],[ROAS]]</f>
        <v>6.252475772419789</v>
      </c>
      <c r="T1843" t="str">
        <f>_xlfn.CONCAT(C1843,"-",D1843)</f>
        <v>Paid Social-España</v>
      </c>
      <c r="U1843">
        <f>YEAR(A1843)</f>
        <v>2025</v>
      </c>
      <c r="V1843">
        <f>MONTH(A1843)</f>
        <v>7</v>
      </c>
      <c r="W1843" t="str">
        <f>PROPER(TEXT(A1843,"mmmm"))</f>
        <v>Julio</v>
      </c>
      <c r="X1843" t="str">
        <f>PROPER(TEXT(A1843,"dddd"))</f>
        <v>Lunes</v>
      </c>
      <c r="Y1843" t="str" cm="1">
        <f t="array" ref="Y1843">_xlfn.IFS(R1843&gt;10,"Excelente",R1843&gt;=5,"Bueno",R1843&gt;=2,"Débil",R1843&lt;2,"Deficiente")</f>
        <v>Bueno</v>
      </c>
      <c r="Z1843" t="str">
        <f>IF(AND(R1843&lt;2,Q1843&gt;=100),"Revisar","OK")</f>
        <v>OK</v>
      </c>
      <c r="AA1843" s="55">
        <f>_xlfn.XLOOKUP(C1843,'Preguntas de negocio'!$C$114:$C$119,'Preguntas de negocio'!$D$114:$D$119,0)</f>
        <v>6</v>
      </c>
      <c r="AB1843" s="55">
        <f>VLOOKUP(C1843,'Preguntas de negocio'!$C$121:$D$127,2,FALSE)</f>
        <v>0.8</v>
      </c>
    </row>
    <row r="1844" spans="1:28" x14ac:dyDescent="0.3">
      <c r="A1844" s="1">
        <v>45767</v>
      </c>
      <c r="B1844" s="2" t="s">
        <v>2630</v>
      </c>
      <c r="C1844" s="2" t="s">
        <v>2527</v>
      </c>
      <c r="D1844" s="2" t="s">
        <v>2516</v>
      </c>
      <c r="E1844" s="2" t="s">
        <v>2517</v>
      </c>
      <c r="F1844" s="3">
        <v>137270</v>
      </c>
      <c r="G1844" s="3">
        <v>11403</v>
      </c>
      <c r="H1844" s="3">
        <v>1431</v>
      </c>
      <c r="I1844" s="4">
        <v>9931.2000000000007</v>
      </c>
      <c r="J1844" s="4">
        <v>52877.94</v>
      </c>
      <c r="K1844" s="3">
        <v>644</v>
      </c>
      <c r="L1844" s="2" t="s">
        <v>2518</v>
      </c>
      <c r="M1844" s="2" t="s">
        <v>2526</v>
      </c>
      <c r="N1844" s="8">
        <f>IFERROR(G1844/F1844,0)</f>
        <v>8.3069862315145335E-2</v>
      </c>
      <c r="O1844" s="8">
        <f>IFERROR(H1844/G1844,0)</f>
        <v>0.1254932912391476</v>
      </c>
      <c r="P1844" s="4">
        <f>IFERROR(I1844/G1844,0)</f>
        <v>0.87092870297290192</v>
      </c>
      <c r="Q1844" s="4">
        <f>IFERROR(I1844/H1844,0)</f>
        <v>6.9400419287211745</v>
      </c>
      <c r="R1844" s="12">
        <f>IFERROR(J1844/I1844,0)</f>
        <v>5.3244260512324795</v>
      </c>
      <c r="S1844" s="7">
        <f>Tabla_nuevas_columnas[[#This Row],[ROAS]]</f>
        <v>5.3244260512324795</v>
      </c>
      <c r="T1844" t="str">
        <f>_xlfn.CONCAT(C1844,"-",D1844)</f>
        <v>Affiliate-México</v>
      </c>
      <c r="U1844">
        <f>YEAR(A1844)</f>
        <v>2025</v>
      </c>
      <c r="V1844">
        <f>MONTH(A1844)</f>
        <v>4</v>
      </c>
      <c r="W1844" t="str">
        <f>PROPER(TEXT(A1844,"mmmm"))</f>
        <v>Abril</v>
      </c>
      <c r="X1844" t="str">
        <f>PROPER(TEXT(A1844,"dddd"))</f>
        <v>Domingo</v>
      </c>
      <c r="Y1844" t="str" cm="1">
        <f t="array" ref="Y1844">_xlfn.IFS(R1844&gt;10,"Excelente",R1844&gt;=5,"Bueno",R1844&gt;=2,"Débil",R1844&lt;2,"Deficiente")</f>
        <v>Bueno</v>
      </c>
      <c r="Z1844" t="str">
        <f>IF(AND(R1844&lt;2,Q1844&gt;=100),"Revisar","OK")</f>
        <v>OK</v>
      </c>
      <c r="AA1844" s="55">
        <f>_xlfn.XLOOKUP(C1844,'Preguntas de negocio'!$C$114:$C$119,'Preguntas de negocio'!$D$114:$D$119,0)</f>
        <v>4.5</v>
      </c>
      <c r="AB1844" s="55">
        <f>VLOOKUP(C1844,'Preguntas de negocio'!$C$121:$D$127,2,FALSE)</f>
        <v>0.35</v>
      </c>
    </row>
    <row r="1845" spans="1:28" x14ac:dyDescent="0.3">
      <c r="A1845" s="1">
        <v>45810</v>
      </c>
      <c r="B1845" s="2" t="s">
        <v>2618</v>
      </c>
      <c r="C1845" s="2" t="s">
        <v>2533</v>
      </c>
      <c r="D1845" s="2" t="s">
        <v>2522</v>
      </c>
      <c r="E1845" s="2" t="s">
        <v>2517</v>
      </c>
      <c r="F1845" s="3">
        <v>146091</v>
      </c>
      <c r="G1845" s="3">
        <v>7753</v>
      </c>
      <c r="H1845" s="3">
        <v>380</v>
      </c>
      <c r="I1845" s="4">
        <v>5213.29</v>
      </c>
      <c r="J1845" s="4">
        <v>17244.330000000002</v>
      </c>
      <c r="K1845" s="3">
        <v>268</v>
      </c>
      <c r="L1845" s="2" t="s">
        <v>2539</v>
      </c>
      <c r="M1845" s="2" t="s">
        <v>2524</v>
      </c>
      <c r="N1845" s="8">
        <f>IFERROR(G1845/F1845,0)</f>
        <v>5.3069662059948938E-2</v>
      </c>
      <c r="O1845" s="8">
        <f>IFERROR(H1845/G1845,0)</f>
        <v>4.9013285179930352E-2</v>
      </c>
      <c r="P1845" s="4">
        <f>IFERROR(I1845/G1845,0)</f>
        <v>0.67242228814652394</v>
      </c>
      <c r="Q1845" s="4">
        <f>IFERROR(I1845/H1845,0)</f>
        <v>13.719184210526315</v>
      </c>
      <c r="R1845" s="12">
        <f>IFERROR(J1845/I1845,0)</f>
        <v>3.3077634277011256</v>
      </c>
      <c r="S1845" s="7">
        <f>Tabla_nuevas_columnas[[#This Row],[ROAS]]</f>
        <v>3.3077634277011256</v>
      </c>
      <c r="T1845" t="str">
        <f>_xlfn.CONCAT(C1845,"-",D1845)</f>
        <v>Paid Social-Italia</v>
      </c>
      <c r="U1845">
        <f>YEAR(A1845)</f>
        <v>2025</v>
      </c>
      <c r="V1845">
        <f>MONTH(A1845)</f>
        <v>6</v>
      </c>
      <c r="W1845" t="str">
        <f>PROPER(TEXT(A1845,"mmmm"))</f>
        <v>Junio</v>
      </c>
      <c r="X1845" t="str">
        <f>PROPER(TEXT(A1845,"dddd"))</f>
        <v>Lunes</v>
      </c>
      <c r="Y1845" t="str" cm="1">
        <f t="array" ref="Y1845">_xlfn.IFS(R1845&gt;10,"Excelente",R1845&gt;=5,"Bueno",R1845&gt;=2,"Débil",R1845&lt;2,"Deficiente")</f>
        <v>Débil</v>
      </c>
      <c r="Z1845" t="str">
        <f>IF(AND(R1845&lt;2,Q1845&gt;=100),"Revisar","OK")</f>
        <v>OK</v>
      </c>
      <c r="AA1845" s="55">
        <f>_xlfn.XLOOKUP(C1845,'Preguntas de negocio'!$C$114:$C$119,'Preguntas de negocio'!$D$114:$D$119,0)</f>
        <v>6</v>
      </c>
      <c r="AB1845" s="55">
        <f>VLOOKUP(C1845,'Preguntas de negocio'!$C$121:$D$127,2,FALSE)</f>
        <v>0.8</v>
      </c>
    </row>
    <row r="1846" spans="1:28" x14ac:dyDescent="0.3">
      <c r="A1846" s="1">
        <v>45998</v>
      </c>
      <c r="B1846" s="2" t="s">
        <v>2638</v>
      </c>
      <c r="C1846" s="2" t="s">
        <v>2527</v>
      </c>
      <c r="D1846" s="2" t="s">
        <v>2516</v>
      </c>
      <c r="E1846" s="2" t="s">
        <v>2529</v>
      </c>
      <c r="F1846" s="3">
        <v>118399</v>
      </c>
      <c r="G1846" s="3">
        <v>4829</v>
      </c>
      <c r="H1846" s="3">
        <v>550</v>
      </c>
      <c r="I1846" s="4">
        <v>8532.07</v>
      </c>
      <c r="J1846" s="4">
        <v>54040.98</v>
      </c>
      <c r="K1846" s="3">
        <v>384</v>
      </c>
      <c r="L1846" s="2" t="s">
        <v>2523</v>
      </c>
      <c r="M1846" s="2" t="s">
        <v>2526</v>
      </c>
      <c r="N1846" s="8">
        <f>IFERROR(G1846/F1846,0)</f>
        <v>4.0785817447782501E-2</v>
      </c>
      <c r="O1846" s="8">
        <f>IFERROR(H1846/G1846,0)</f>
        <v>0.11389521640091116</v>
      </c>
      <c r="P1846" s="4">
        <f>IFERROR(I1846/G1846,0)</f>
        <v>1.7668399254504037</v>
      </c>
      <c r="Q1846" s="4">
        <f>IFERROR(I1846/H1846,0)</f>
        <v>15.512854545454545</v>
      </c>
      <c r="R1846" s="12">
        <f>IFERROR(J1846/I1846,0)</f>
        <v>6.3338650526777212</v>
      </c>
      <c r="S1846" s="7">
        <f>Tabla_nuevas_columnas[[#This Row],[ROAS]]</f>
        <v>6.3338650526777212</v>
      </c>
      <c r="T1846" t="str">
        <f>_xlfn.CONCAT(C1846,"-",D1846)</f>
        <v>Affiliate-México</v>
      </c>
      <c r="U1846">
        <f>YEAR(A1846)</f>
        <v>2025</v>
      </c>
      <c r="V1846">
        <f>MONTH(A1846)</f>
        <v>12</v>
      </c>
      <c r="W1846" t="str">
        <f>PROPER(TEXT(A1846,"mmmm"))</f>
        <v>Diciembre</v>
      </c>
      <c r="X1846" t="str">
        <f>PROPER(TEXT(A1846,"dddd"))</f>
        <v>Domingo</v>
      </c>
      <c r="Y1846" t="str" cm="1">
        <f t="array" ref="Y1846">_xlfn.IFS(R1846&gt;10,"Excelente",R1846&gt;=5,"Bueno",R1846&gt;=2,"Débil",R1846&lt;2,"Deficiente")</f>
        <v>Bueno</v>
      </c>
      <c r="Z1846" t="str">
        <f>IF(AND(R1846&lt;2,Q1846&gt;=100),"Revisar","OK")</f>
        <v>OK</v>
      </c>
      <c r="AA1846" s="55">
        <f>_xlfn.XLOOKUP(C1846,'Preguntas de negocio'!$C$114:$C$119,'Preguntas de negocio'!$D$114:$D$119,0)</f>
        <v>4.5</v>
      </c>
      <c r="AB1846" s="55">
        <f>VLOOKUP(C1846,'Preguntas de negocio'!$C$121:$D$127,2,FALSE)</f>
        <v>0.35</v>
      </c>
    </row>
    <row r="1847" spans="1:28" x14ac:dyDescent="0.3">
      <c r="A1847" s="1">
        <v>45914</v>
      </c>
      <c r="B1847" s="2" t="s">
        <v>2625</v>
      </c>
      <c r="C1847" s="2" t="s">
        <v>2521</v>
      </c>
      <c r="D1847" s="2" t="s">
        <v>2525</v>
      </c>
      <c r="E1847" s="2" t="s">
        <v>2517</v>
      </c>
      <c r="F1847" s="3">
        <v>54632</v>
      </c>
      <c r="G1847" s="3">
        <v>1658</v>
      </c>
      <c r="H1847" s="3">
        <v>217</v>
      </c>
      <c r="I1847" s="4">
        <v>1870.33</v>
      </c>
      <c r="J1847" s="4">
        <v>31200.34</v>
      </c>
      <c r="K1847" s="3">
        <v>191</v>
      </c>
      <c r="L1847" s="2" t="s">
        <v>2523</v>
      </c>
      <c r="M1847" s="2" t="s">
        <v>2537</v>
      </c>
      <c r="N1847" s="8">
        <f>IFERROR(G1847/F1847,0)</f>
        <v>3.0348513691609312E-2</v>
      </c>
      <c r="O1847" s="8">
        <f>IFERROR(H1847/G1847,0)</f>
        <v>0.13088057901085645</v>
      </c>
      <c r="P1847" s="4">
        <f>IFERROR(I1847/G1847,0)</f>
        <v>1.1280639324487334</v>
      </c>
      <c r="Q1847" s="4">
        <f>IFERROR(I1847/H1847,0)</f>
        <v>8.6190322580645162</v>
      </c>
      <c r="R1847" s="12">
        <f>IFERROR(J1847/I1847,0)</f>
        <v>16.681729962092252</v>
      </c>
      <c r="S1847" s="7">
        <f>Tabla_nuevas_columnas[[#This Row],[ROAS]]</f>
        <v>16.681729962092252</v>
      </c>
      <c r="T1847" t="str">
        <f>_xlfn.CONCAT(C1847,"-",D1847)</f>
        <v>Paid Search-Francia</v>
      </c>
      <c r="U1847">
        <f>YEAR(A1847)</f>
        <v>2025</v>
      </c>
      <c r="V1847">
        <f>MONTH(A1847)</f>
        <v>9</v>
      </c>
      <c r="W1847" t="str">
        <f>PROPER(TEXT(A1847,"mmmm"))</f>
        <v>Septiembre</v>
      </c>
      <c r="X1847" t="str">
        <f>PROPER(TEXT(A1847,"dddd"))</f>
        <v>Domingo</v>
      </c>
      <c r="Y1847" t="str" cm="1">
        <f t="array" ref="Y1847">_xlfn.IFS(R1847&gt;10,"Excelente",R1847&gt;=5,"Bueno",R1847&gt;=2,"Débil",R1847&lt;2,"Deficiente")</f>
        <v>Excelente</v>
      </c>
      <c r="Z1847" t="str">
        <f>IF(AND(R1847&lt;2,Q1847&gt;=100),"Revisar","OK")</f>
        <v>OK</v>
      </c>
      <c r="AA1847" s="55">
        <f>_xlfn.XLOOKUP(C1847,'Preguntas de negocio'!$C$114:$C$119,'Preguntas de negocio'!$D$114:$D$119,0)</f>
        <v>5</v>
      </c>
      <c r="AB1847" s="55">
        <f>VLOOKUP(C1847,'Preguntas de negocio'!$C$121:$D$127,2,FALSE)</f>
        <v>1.1000000000000001</v>
      </c>
    </row>
    <row r="1848" spans="1:28" x14ac:dyDescent="0.3">
      <c r="A1848" s="1">
        <v>45848</v>
      </c>
      <c r="B1848" s="2" t="s">
        <v>2620</v>
      </c>
      <c r="C1848" s="2" t="s">
        <v>2527</v>
      </c>
      <c r="D1848" s="2" t="s">
        <v>2528</v>
      </c>
      <c r="E1848" s="2" t="s">
        <v>2517</v>
      </c>
      <c r="F1848" s="3">
        <v>77155</v>
      </c>
      <c r="G1848" s="3">
        <v>4533</v>
      </c>
      <c r="H1848" s="3">
        <v>481</v>
      </c>
      <c r="I1848" s="4">
        <v>1916.34</v>
      </c>
      <c r="J1848" s="4">
        <v>70290.28</v>
      </c>
      <c r="K1848" s="3">
        <v>284</v>
      </c>
      <c r="L1848" s="2" t="s">
        <v>2539</v>
      </c>
      <c r="M1848" s="2" t="s">
        <v>2537</v>
      </c>
      <c r="N1848" s="8">
        <f>IFERROR(G1848/F1848,0)</f>
        <v>5.8751863132655048E-2</v>
      </c>
      <c r="O1848" s="8">
        <f>IFERROR(H1848/G1848,0)</f>
        <v>0.10611074343701743</v>
      </c>
      <c r="P1848" s="4">
        <f>IFERROR(I1848/G1848,0)</f>
        <v>0.42275314361350097</v>
      </c>
      <c r="Q1848" s="4">
        <f>IFERROR(I1848/H1848,0)</f>
        <v>3.9840748440748439</v>
      </c>
      <c r="R1848" s="12">
        <f>IFERROR(J1848/I1848,0)</f>
        <v>36.679441017773463</v>
      </c>
      <c r="S1848" s="7">
        <f>Tabla_nuevas_columnas[[#This Row],[ROAS]]</f>
        <v>36.679441017773463</v>
      </c>
      <c r="T1848" t="str">
        <f>_xlfn.CONCAT(C1848,"-",D1848)</f>
        <v>Affiliate-España</v>
      </c>
      <c r="U1848">
        <f>YEAR(A1848)</f>
        <v>2025</v>
      </c>
      <c r="V1848">
        <f>MONTH(A1848)</f>
        <v>7</v>
      </c>
      <c r="W1848" t="str">
        <f>PROPER(TEXT(A1848,"mmmm"))</f>
        <v>Julio</v>
      </c>
      <c r="X1848" t="str">
        <f>PROPER(TEXT(A1848,"dddd"))</f>
        <v>Jueves</v>
      </c>
      <c r="Y1848" t="str" cm="1">
        <f t="array" ref="Y1848">_xlfn.IFS(R1848&gt;10,"Excelente",R1848&gt;=5,"Bueno",R1848&gt;=2,"Débil",R1848&lt;2,"Deficiente")</f>
        <v>Excelente</v>
      </c>
      <c r="Z1848" t="str">
        <f>IF(AND(R1848&lt;2,Q1848&gt;=100),"Revisar","OK")</f>
        <v>OK</v>
      </c>
      <c r="AA1848" s="55">
        <f>_xlfn.XLOOKUP(C1848,'Preguntas de negocio'!$C$114:$C$119,'Preguntas de negocio'!$D$114:$D$119,0)</f>
        <v>4.5</v>
      </c>
      <c r="AB1848" s="55">
        <f>VLOOKUP(C1848,'Preguntas de negocio'!$C$121:$D$127,2,FALSE)</f>
        <v>0.35</v>
      </c>
    </row>
    <row r="1849" spans="1:28" x14ac:dyDescent="0.3">
      <c r="A1849" s="1">
        <v>45898</v>
      </c>
      <c r="B1849" s="2" t="s">
        <v>2633</v>
      </c>
      <c r="C1849" s="2" t="s">
        <v>2515</v>
      </c>
      <c r="D1849" s="2" t="s">
        <v>2522</v>
      </c>
      <c r="E1849" s="2" t="s">
        <v>2529</v>
      </c>
      <c r="F1849" s="3">
        <v>149635</v>
      </c>
      <c r="G1849" s="3">
        <v>1360</v>
      </c>
      <c r="H1849" s="3">
        <v>115</v>
      </c>
      <c r="I1849" s="4">
        <v>2378.31</v>
      </c>
      <c r="J1849" s="4">
        <v>10830.63</v>
      </c>
      <c r="K1849" s="3">
        <v>85</v>
      </c>
      <c r="L1849" s="2" t="s">
        <v>2518</v>
      </c>
      <c r="M1849" s="2" t="s">
        <v>2537</v>
      </c>
      <c r="N1849" s="8">
        <f>IFERROR(G1849/F1849,0)</f>
        <v>9.088782704581147E-3</v>
      </c>
      <c r="O1849" s="8">
        <f>IFERROR(H1849/G1849,0)</f>
        <v>8.455882352941177E-2</v>
      </c>
      <c r="P1849" s="4">
        <f>IFERROR(I1849/G1849,0)</f>
        <v>1.7487573529411764</v>
      </c>
      <c r="Q1849" s="4">
        <f>IFERROR(I1849/H1849,0)</f>
        <v>20.68095652173913</v>
      </c>
      <c r="R1849" s="12">
        <f>IFERROR(J1849/I1849,0)</f>
        <v>4.5539185387943535</v>
      </c>
      <c r="S1849" s="7">
        <f>Tabla_nuevas_columnas[[#This Row],[ROAS]]</f>
        <v>4.5539185387943535</v>
      </c>
      <c r="T1849" t="str">
        <f>_xlfn.CONCAT(C1849,"-",D1849)</f>
        <v>Email-Italia</v>
      </c>
      <c r="U1849">
        <f>YEAR(A1849)</f>
        <v>2025</v>
      </c>
      <c r="V1849">
        <f>MONTH(A1849)</f>
        <v>8</v>
      </c>
      <c r="W1849" t="str">
        <f>PROPER(TEXT(A1849,"mmmm"))</f>
        <v>Agosto</v>
      </c>
      <c r="X1849" t="str">
        <f>PROPER(TEXT(A1849,"dddd"))</f>
        <v>Viernes</v>
      </c>
      <c r="Y1849" t="str" cm="1">
        <f t="array" ref="Y1849">_xlfn.IFS(R1849&gt;10,"Excelente",R1849&gt;=5,"Bueno",R1849&gt;=2,"Débil",R1849&lt;2,"Deficiente")</f>
        <v>Débil</v>
      </c>
      <c r="Z1849" t="str">
        <f>IF(AND(R1849&lt;2,Q1849&gt;=100),"Revisar","OK")</f>
        <v>OK</v>
      </c>
      <c r="AA1849" s="55">
        <f>_xlfn.XLOOKUP(C1849,'Preguntas de negocio'!$C$114:$C$119,'Preguntas de negocio'!$D$114:$D$119,0)</f>
        <v>5.5</v>
      </c>
      <c r="AB1849" s="55">
        <f>VLOOKUP(C1849,'Preguntas de negocio'!$C$121:$D$127,2,FALSE)</f>
        <v>0.65</v>
      </c>
    </row>
    <row r="1850" spans="1:28" x14ac:dyDescent="0.3">
      <c r="A1850" s="1">
        <v>45782</v>
      </c>
      <c r="B1850" s="2" t="s">
        <v>2636</v>
      </c>
      <c r="C1850" s="2" t="s">
        <v>2521</v>
      </c>
      <c r="D1850" s="2" t="s">
        <v>2516</v>
      </c>
      <c r="E1850" s="2" t="s">
        <v>2517</v>
      </c>
      <c r="F1850" s="3">
        <v>110178</v>
      </c>
      <c r="G1850" s="3">
        <v>9281</v>
      </c>
      <c r="H1850" s="3">
        <v>289</v>
      </c>
      <c r="I1850" s="4">
        <v>15392.83</v>
      </c>
      <c r="J1850" s="4">
        <v>49443.06</v>
      </c>
      <c r="K1850" s="3">
        <v>193</v>
      </c>
      <c r="L1850" s="2" t="s">
        <v>2523</v>
      </c>
      <c r="M1850" s="2" t="s">
        <v>2524</v>
      </c>
      <c r="N1850" s="8">
        <f>IFERROR(G1850/F1850,0)</f>
        <v>8.4236417433607436E-2</v>
      </c>
      <c r="O1850" s="8">
        <f>IFERROR(H1850/G1850,0)</f>
        <v>3.1138885895916388E-2</v>
      </c>
      <c r="P1850" s="4">
        <f>IFERROR(I1850/G1850,0)</f>
        <v>1.658531408253421</v>
      </c>
      <c r="Q1850" s="4">
        <f>IFERROR(I1850/H1850,0)</f>
        <v>53.262387543252594</v>
      </c>
      <c r="R1850" s="12">
        <f>IFERROR(J1850/I1850,0)</f>
        <v>3.2120838078507981</v>
      </c>
      <c r="S1850" s="7">
        <f>Tabla_nuevas_columnas[[#This Row],[ROAS]]</f>
        <v>3.2120838078507981</v>
      </c>
      <c r="T1850" t="str">
        <f>_xlfn.CONCAT(C1850,"-",D1850)</f>
        <v>Paid Search-México</v>
      </c>
      <c r="U1850">
        <f>YEAR(A1850)</f>
        <v>2025</v>
      </c>
      <c r="V1850">
        <f>MONTH(A1850)</f>
        <v>5</v>
      </c>
      <c r="W1850" t="str">
        <f>PROPER(TEXT(A1850,"mmmm"))</f>
        <v>Mayo</v>
      </c>
      <c r="X1850" t="str">
        <f>PROPER(TEXT(A1850,"dddd"))</f>
        <v>Lunes</v>
      </c>
      <c r="Y1850" t="str" cm="1">
        <f t="array" ref="Y1850">_xlfn.IFS(R1850&gt;10,"Excelente",R1850&gt;=5,"Bueno",R1850&gt;=2,"Débil",R1850&lt;2,"Deficiente")</f>
        <v>Débil</v>
      </c>
      <c r="Z1850" t="str">
        <f>IF(AND(R1850&lt;2,Q1850&gt;=100),"Revisar","OK")</f>
        <v>OK</v>
      </c>
      <c r="AA1850" s="55">
        <f>_xlfn.XLOOKUP(C1850,'Preguntas de negocio'!$C$114:$C$119,'Preguntas de negocio'!$D$114:$D$119,0)</f>
        <v>5</v>
      </c>
      <c r="AB1850" s="55">
        <f>VLOOKUP(C1850,'Preguntas de negocio'!$C$121:$D$127,2,FALSE)</f>
        <v>1.1000000000000001</v>
      </c>
    </row>
    <row r="1851" spans="1:28" x14ac:dyDescent="0.3">
      <c r="A1851" s="1">
        <v>45719</v>
      </c>
      <c r="B1851" s="2" t="s">
        <v>2623</v>
      </c>
      <c r="C1851" s="2" t="s">
        <v>2543</v>
      </c>
      <c r="D1851" s="2" t="s">
        <v>2528</v>
      </c>
      <c r="E1851" s="2" t="s">
        <v>2534</v>
      </c>
      <c r="F1851" s="3">
        <v>158051</v>
      </c>
      <c r="G1851" s="3">
        <v>4672</v>
      </c>
      <c r="H1851" s="3">
        <v>455</v>
      </c>
      <c r="I1851" s="4">
        <v>4193.1400000000003</v>
      </c>
      <c r="J1851" s="4">
        <v>84820.31</v>
      </c>
      <c r="K1851" s="3">
        <v>366</v>
      </c>
      <c r="L1851" s="2" t="s">
        <v>2536</v>
      </c>
      <c r="M1851" s="2" t="s">
        <v>2537</v>
      </c>
      <c r="N1851" s="8">
        <f>IFERROR(G1851/F1851,0)</f>
        <v>2.9560078708771219E-2</v>
      </c>
      <c r="O1851" s="8">
        <f>IFERROR(H1851/G1851,0)</f>
        <v>9.738869863013698E-2</v>
      </c>
      <c r="P1851" s="4">
        <f>IFERROR(I1851/G1851,0)</f>
        <v>0.89750428082191791</v>
      </c>
      <c r="Q1851" s="4">
        <f>IFERROR(I1851/H1851,0)</f>
        <v>9.2156923076923078</v>
      </c>
      <c r="R1851" s="12">
        <f>IFERROR(J1851/I1851,0)</f>
        <v>20.228351545619748</v>
      </c>
      <c r="S1851" s="7">
        <f>Tabla_nuevas_columnas[[#This Row],[ROAS]]</f>
        <v>20.228351545619748</v>
      </c>
      <c r="T1851" t="str">
        <f>_xlfn.CONCAT(C1851,"-",D1851)</f>
        <v>Organic Social-España</v>
      </c>
      <c r="U1851">
        <f>YEAR(A1851)</f>
        <v>2025</v>
      </c>
      <c r="V1851">
        <f>MONTH(A1851)</f>
        <v>3</v>
      </c>
      <c r="W1851" t="str">
        <f>PROPER(TEXT(A1851,"mmmm"))</f>
        <v>Marzo</v>
      </c>
      <c r="X1851" t="str">
        <f>PROPER(TEXT(A1851,"dddd"))</f>
        <v>Lunes</v>
      </c>
      <c r="Y1851" t="str" cm="1">
        <f t="array" ref="Y1851">_xlfn.IFS(R1851&gt;10,"Excelente",R1851&gt;=5,"Bueno",R1851&gt;=2,"Débil",R1851&lt;2,"Deficiente")</f>
        <v>Excelente</v>
      </c>
      <c r="Z1851" t="str">
        <f>IF(AND(R1851&lt;2,Q1851&gt;=100),"Revisar","OK")</f>
        <v>OK</v>
      </c>
      <c r="AA1851" s="55">
        <f>_xlfn.XLOOKUP(C1851,'Preguntas de negocio'!$C$114:$C$119,'Preguntas de negocio'!$D$114:$D$119,0)</f>
        <v>4</v>
      </c>
      <c r="AB1851" s="55">
        <f>VLOOKUP(C1851,'Preguntas de negocio'!$C$121:$D$127,2,FALSE)</f>
        <v>0.95</v>
      </c>
    </row>
    <row r="1852" spans="1:28" x14ac:dyDescent="0.3">
      <c r="A1852" s="1">
        <v>45752</v>
      </c>
      <c r="B1852" s="2" t="s">
        <v>2628</v>
      </c>
      <c r="C1852" s="2" t="s">
        <v>2543</v>
      </c>
      <c r="D1852" s="2" t="s">
        <v>2525</v>
      </c>
      <c r="E1852" s="2" t="s">
        <v>2517</v>
      </c>
      <c r="F1852" s="3">
        <v>45805</v>
      </c>
      <c r="G1852" s="3">
        <v>3258</v>
      </c>
      <c r="H1852" s="3">
        <v>410</v>
      </c>
      <c r="I1852" s="4">
        <v>1084.5899999999999</v>
      </c>
      <c r="J1852" s="4">
        <v>36306</v>
      </c>
      <c r="K1852" s="3">
        <v>298</v>
      </c>
      <c r="L1852" s="2" t="s">
        <v>2536</v>
      </c>
      <c r="M1852" s="2" t="s">
        <v>2524</v>
      </c>
      <c r="N1852" s="8">
        <f>IFERROR(G1852/F1852,0)</f>
        <v>7.112760615653313E-2</v>
      </c>
      <c r="O1852" s="8">
        <f>IFERROR(H1852/G1852,0)</f>
        <v>0.12584407612031923</v>
      </c>
      <c r="P1852" s="4">
        <f>IFERROR(I1852/G1852,0)</f>
        <v>0.33290055248618783</v>
      </c>
      <c r="Q1852" s="4">
        <f>IFERROR(I1852/H1852,0)</f>
        <v>2.6453414634146339</v>
      </c>
      <c r="R1852" s="12">
        <f>IFERROR(J1852/I1852,0)</f>
        <v>33.474400464691726</v>
      </c>
      <c r="S1852" s="7">
        <f>Tabla_nuevas_columnas[[#This Row],[ROAS]]</f>
        <v>33.474400464691726</v>
      </c>
      <c r="T1852" t="str">
        <f>_xlfn.CONCAT(C1852,"-",D1852)</f>
        <v>Organic Social-Francia</v>
      </c>
      <c r="U1852">
        <f>YEAR(A1852)</f>
        <v>2025</v>
      </c>
      <c r="V1852">
        <f>MONTH(A1852)</f>
        <v>4</v>
      </c>
      <c r="W1852" t="str">
        <f>PROPER(TEXT(A1852,"mmmm"))</f>
        <v>Abril</v>
      </c>
      <c r="X1852" t="str">
        <f>PROPER(TEXT(A1852,"dddd"))</f>
        <v>Sábado</v>
      </c>
      <c r="Y1852" t="str" cm="1">
        <f t="array" ref="Y1852">_xlfn.IFS(R1852&gt;10,"Excelente",R1852&gt;=5,"Bueno",R1852&gt;=2,"Débil",R1852&lt;2,"Deficiente")</f>
        <v>Excelente</v>
      </c>
      <c r="Z1852" t="str">
        <f>IF(AND(R1852&lt;2,Q1852&gt;=100),"Revisar","OK")</f>
        <v>OK</v>
      </c>
      <c r="AA1852" s="55">
        <f>_xlfn.XLOOKUP(C1852,'Preguntas de negocio'!$C$114:$C$119,'Preguntas de negocio'!$D$114:$D$119,0)</f>
        <v>4</v>
      </c>
      <c r="AB1852" s="55">
        <f>VLOOKUP(C1852,'Preguntas de negocio'!$C$121:$D$127,2,FALSE)</f>
        <v>0.95</v>
      </c>
    </row>
    <row r="1853" spans="1:28" x14ac:dyDescent="0.3">
      <c r="A1853" s="1">
        <v>45898</v>
      </c>
      <c r="B1853" s="2" t="s">
        <v>2630</v>
      </c>
      <c r="C1853" s="2" t="s">
        <v>2543</v>
      </c>
      <c r="D1853" s="2" t="s">
        <v>2531</v>
      </c>
      <c r="E1853" s="2" t="s">
        <v>2517</v>
      </c>
      <c r="F1853" s="3">
        <v>10947</v>
      </c>
      <c r="G1853" s="3">
        <v>326</v>
      </c>
      <c r="H1853" s="3">
        <v>7</v>
      </c>
      <c r="I1853" s="4">
        <v>75.48</v>
      </c>
      <c r="J1853" s="4">
        <v>1468.96</v>
      </c>
      <c r="K1853" s="3">
        <v>3</v>
      </c>
      <c r="L1853" s="2" t="s">
        <v>2536</v>
      </c>
      <c r="M1853" s="2" t="s">
        <v>2537</v>
      </c>
      <c r="N1853" s="8">
        <f>IFERROR(G1853/F1853,0)</f>
        <v>2.9779848360281354E-2</v>
      </c>
      <c r="O1853" s="8">
        <f>IFERROR(H1853/G1853,0)</f>
        <v>2.1472392638036811E-2</v>
      </c>
      <c r="P1853" s="4">
        <f>IFERROR(I1853/G1853,0)</f>
        <v>0.23153374233128834</v>
      </c>
      <c r="Q1853" s="4">
        <f>IFERROR(I1853/H1853,0)</f>
        <v>10.782857142857143</v>
      </c>
      <c r="R1853" s="12">
        <f>IFERROR(J1853/I1853,0)</f>
        <v>19.461579226285107</v>
      </c>
      <c r="S1853" s="7">
        <f>Tabla_nuevas_columnas[[#This Row],[ROAS]]</f>
        <v>19.461579226285107</v>
      </c>
      <c r="T1853" t="str">
        <f>_xlfn.CONCAT(C1853,"-",D1853)</f>
        <v>Organic Social-Portugal</v>
      </c>
      <c r="U1853">
        <f>YEAR(A1853)</f>
        <v>2025</v>
      </c>
      <c r="V1853">
        <f>MONTH(A1853)</f>
        <v>8</v>
      </c>
      <c r="W1853" t="str">
        <f>PROPER(TEXT(A1853,"mmmm"))</f>
        <v>Agosto</v>
      </c>
      <c r="X1853" t="str">
        <f>PROPER(TEXT(A1853,"dddd"))</f>
        <v>Viernes</v>
      </c>
      <c r="Y1853" t="str" cm="1">
        <f t="array" ref="Y1853">_xlfn.IFS(R1853&gt;10,"Excelente",R1853&gt;=5,"Bueno",R1853&gt;=2,"Débil",R1853&lt;2,"Deficiente")</f>
        <v>Excelente</v>
      </c>
      <c r="Z1853" t="str">
        <f>IF(AND(R1853&lt;2,Q1853&gt;=100),"Revisar","OK")</f>
        <v>OK</v>
      </c>
      <c r="AA1853" s="55">
        <f>_xlfn.XLOOKUP(C1853,'Preguntas de negocio'!$C$114:$C$119,'Preguntas de negocio'!$D$114:$D$119,0)</f>
        <v>4</v>
      </c>
      <c r="AB1853" s="55">
        <f>VLOOKUP(C1853,'Preguntas de negocio'!$C$121:$D$127,2,FALSE)</f>
        <v>0.95</v>
      </c>
    </row>
    <row r="1854" spans="1:28" x14ac:dyDescent="0.3">
      <c r="A1854" s="1">
        <v>45889</v>
      </c>
      <c r="B1854" s="2" t="s">
        <v>2633</v>
      </c>
      <c r="C1854" s="2" t="s">
        <v>2543</v>
      </c>
      <c r="D1854" s="2" t="s">
        <v>2528</v>
      </c>
      <c r="E1854" s="2" t="s">
        <v>2529</v>
      </c>
      <c r="F1854" s="3">
        <v>122807</v>
      </c>
      <c r="G1854" s="3">
        <v>1876</v>
      </c>
      <c r="H1854" s="3">
        <v>58</v>
      </c>
      <c r="I1854" s="4">
        <v>587.19000000000005</v>
      </c>
      <c r="J1854" s="4">
        <v>3911.33</v>
      </c>
      <c r="K1854" s="3">
        <v>42</v>
      </c>
      <c r="L1854" s="2" t="s">
        <v>2539</v>
      </c>
      <c r="M1854" s="2" t="s">
        <v>2519</v>
      </c>
      <c r="N1854" s="8">
        <f>IFERROR(G1854/F1854,0)</f>
        <v>1.5276002182286027E-2</v>
      </c>
      <c r="O1854" s="8">
        <f>IFERROR(H1854/G1854,0)</f>
        <v>3.0916844349680169E-2</v>
      </c>
      <c r="P1854" s="4">
        <f>IFERROR(I1854/G1854,0)</f>
        <v>0.31300106609808104</v>
      </c>
      <c r="Q1854" s="4">
        <f>IFERROR(I1854/H1854,0)</f>
        <v>10.12396551724138</v>
      </c>
      <c r="R1854" s="12">
        <f>IFERROR(J1854/I1854,0)</f>
        <v>6.6610977707386017</v>
      </c>
      <c r="S1854" s="7">
        <f>Tabla_nuevas_columnas[[#This Row],[ROAS]]</f>
        <v>6.6610977707386017</v>
      </c>
      <c r="T1854" t="str">
        <f>_xlfn.CONCAT(C1854,"-",D1854)</f>
        <v>Organic Social-España</v>
      </c>
      <c r="U1854">
        <f>YEAR(A1854)</f>
        <v>2025</v>
      </c>
      <c r="V1854">
        <f>MONTH(A1854)</f>
        <v>8</v>
      </c>
      <c r="W1854" t="str">
        <f>PROPER(TEXT(A1854,"mmmm"))</f>
        <v>Agosto</v>
      </c>
      <c r="X1854" t="str">
        <f>PROPER(TEXT(A1854,"dddd"))</f>
        <v>Miércoles</v>
      </c>
      <c r="Y1854" t="str" cm="1">
        <f t="array" ref="Y1854">_xlfn.IFS(R1854&gt;10,"Excelente",R1854&gt;=5,"Bueno",R1854&gt;=2,"Débil",R1854&lt;2,"Deficiente")</f>
        <v>Bueno</v>
      </c>
      <c r="Z1854" t="str">
        <f>IF(AND(R1854&lt;2,Q1854&gt;=100),"Revisar","OK")</f>
        <v>OK</v>
      </c>
      <c r="AA1854" s="55">
        <f>_xlfn.XLOOKUP(C1854,'Preguntas de negocio'!$C$114:$C$119,'Preguntas de negocio'!$D$114:$D$119,0)</f>
        <v>4</v>
      </c>
      <c r="AB1854" s="55">
        <f>VLOOKUP(C1854,'Preguntas de negocio'!$C$121:$D$127,2,FALSE)</f>
        <v>0.95</v>
      </c>
    </row>
    <row r="1855" spans="1:28" x14ac:dyDescent="0.3">
      <c r="A1855" s="1">
        <v>45664</v>
      </c>
      <c r="B1855" s="2" t="s">
        <v>2633</v>
      </c>
      <c r="C1855" s="2" t="s">
        <v>2543</v>
      </c>
      <c r="D1855" s="2" t="s">
        <v>2522</v>
      </c>
      <c r="E1855" s="2" t="s">
        <v>2529</v>
      </c>
      <c r="F1855" s="3">
        <v>25058</v>
      </c>
      <c r="G1855" s="3">
        <v>2223</v>
      </c>
      <c r="H1855" s="3">
        <v>293</v>
      </c>
      <c r="I1855" s="4">
        <v>970.53</v>
      </c>
      <c r="J1855" s="4">
        <v>42482.03</v>
      </c>
      <c r="K1855" s="3">
        <v>204</v>
      </c>
      <c r="L1855" s="2" t="s">
        <v>2523</v>
      </c>
      <c r="M1855" s="2" t="s">
        <v>2526</v>
      </c>
      <c r="N1855" s="8">
        <f>IFERROR(G1855/F1855,0)</f>
        <v>8.8714183095219099E-2</v>
      </c>
      <c r="O1855" s="8">
        <f>IFERROR(H1855/G1855,0)</f>
        <v>0.1318038686459739</v>
      </c>
      <c r="P1855" s="4">
        <f>IFERROR(I1855/G1855,0)</f>
        <v>0.4365856950067476</v>
      </c>
      <c r="Q1855" s="4">
        <f>IFERROR(I1855/H1855,0)</f>
        <v>3.3123890784982932</v>
      </c>
      <c r="R1855" s="12">
        <f>IFERROR(J1855/I1855,0)</f>
        <v>43.771990561857955</v>
      </c>
      <c r="S1855" s="7">
        <f>Tabla_nuevas_columnas[[#This Row],[ROAS]]</f>
        <v>43.771990561857955</v>
      </c>
      <c r="T1855" t="str">
        <f>_xlfn.CONCAT(C1855,"-",D1855)</f>
        <v>Organic Social-Italia</v>
      </c>
      <c r="U1855">
        <f>YEAR(A1855)</f>
        <v>2025</v>
      </c>
      <c r="V1855">
        <f>MONTH(A1855)</f>
        <v>1</v>
      </c>
      <c r="W1855" t="str">
        <f>PROPER(TEXT(A1855,"mmmm"))</f>
        <v>Enero</v>
      </c>
      <c r="X1855" t="str">
        <f>PROPER(TEXT(A1855,"dddd"))</f>
        <v>Martes</v>
      </c>
      <c r="Y1855" t="str" cm="1">
        <f t="array" ref="Y1855">_xlfn.IFS(R1855&gt;10,"Excelente",R1855&gt;=5,"Bueno",R1855&gt;=2,"Débil",R1855&lt;2,"Deficiente")</f>
        <v>Excelente</v>
      </c>
      <c r="Z1855" t="str">
        <f>IF(AND(R1855&lt;2,Q1855&gt;=100),"Revisar","OK")</f>
        <v>OK</v>
      </c>
      <c r="AA1855" s="55">
        <f>_xlfn.XLOOKUP(C1855,'Preguntas de negocio'!$C$114:$C$119,'Preguntas de negocio'!$D$114:$D$119,0)</f>
        <v>4</v>
      </c>
      <c r="AB1855" s="55">
        <f>VLOOKUP(C1855,'Preguntas de negocio'!$C$121:$D$127,2,FALSE)</f>
        <v>0.95</v>
      </c>
    </row>
    <row r="1856" spans="1:28" x14ac:dyDescent="0.3">
      <c r="A1856" s="1">
        <v>45748</v>
      </c>
      <c r="B1856" s="2" t="s">
        <v>2641</v>
      </c>
      <c r="C1856" s="2" t="s">
        <v>2543</v>
      </c>
      <c r="D1856" s="2" t="s">
        <v>2528</v>
      </c>
      <c r="E1856" s="2" t="s">
        <v>2534</v>
      </c>
      <c r="F1856" s="3">
        <v>103587</v>
      </c>
      <c r="G1856" s="3">
        <v>4822</v>
      </c>
      <c r="H1856" s="3">
        <v>549</v>
      </c>
      <c r="I1856" s="4">
        <v>4184.0200000000004</v>
      </c>
      <c r="J1856" s="4">
        <v>24604.25</v>
      </c>
      <c r="K1856" s="3">
        <v>293</v>
      </c>
      <c r="L1856" s="2" t="s">
        <v>2523</v>
      </c>
      <c r="M1856" s="2" t="s">
        <v>2546</v>
      </c>
      <c r="N1856" s="8">
        <f>IFERROR(G1856/F1856,0)</f>
        <v>4.6550242791083822E-2</v>
      </c>
      <c r="O1856" s="8">
        <f>IFERROR(H1856/G1856,0)</f>
        <v>0.11385317295727913</v>
      </c>
      <c r="P1856" s="4">
        <f>IFERROR(I1856/G1856,0)</f>
        <v>0.86769390294483628</v>
      </c>
      <c r="Q1856" s="4">
        <f>IFERROR(I1856/H1856,0)</f>
        <v>7.6211657559198551</v>
      </c>
      <c r="R1856" s="12">
        <f>IFERROR(J1856/I1856,0)</f>
        <v>5.8805287737630314</v>
      </c>
      <c r="S1856" s="7">
        <f>Tabla_nuevas_columnas[[#This Row],[ROAS]]</f>
        <v>5.8805287737630314</v>
      </c>
      <c r="T1856" t="str">
        <f>_xlfn.CONCAT(C1856,"-",D1856)</f>
        <v>Organic Social-España</v>
      </c>
      <c r="U1856">
        <f>YEAR(A1856)</f>
        <v>2025</v>
      </c>
      <c r="V1856">
        <f>MONTH(A1856)</f>
        <v>4</v>
      </c>
      <c r="W1856" t="str">
        <f>PROPER(TEXT(A1856,"mmmm"))</f>
        <v>Abril</v>
      </c>
      <c r="X1856" t="str">
        <f>PROPER(TEXT(A1856,"dddd"))</f>
        <v>Martes</v>
      </c>
      <c r="Y1856" t="str" cm="1">
        <f t="array" ref="Y1856">_xlfn.IFS(R1856&gt;10,"Excelente",R1856&gt;=5,"Bueno",R1856&gt;=2,"Débil",R1856&lt;2,"Deficiente")</f>
        <v>Bueno</v>
      </c>
      <c r="Z1856" t="str">
        <f>IF(AND(R1856&lt;2,Q1856&gt;=100),"Revisar","OK")</f>
        <v>OK</v>
      </c>
      <c r="AA1856" s="55">
        <f>_xlfn.XLOOKUP(C1856,'Preguntas de negocio'!$C$114:$C$119,'Preguntas de negocio'!$D$114:$D$119,0)</f>
        <v>4</v>
      </c>
      <c r="AB1856" s="55">
        <f>VLOOKUP(C1856,'Preguntas de negocio'!$C$121:$D$127,2,FALSE)</f>
        <v>0.95</v>
      </c>
    </row>
    <row r="1857" spans="1:28" x14ac:dyDescent="0.3">
      <c r="A1857" s="1">
        <v>45812</v>
      </c>
      <c r="B1857" s="2" t="s">
        <v>2640</v>
      </c>
      <c r="C1857" s="2" t="s">
        <v>2515</v>
      </c>
      <c r="D1857" s="2" t="s">
        <v>2516</v>
      </c>
      <c r="E1857" s="2" t="s">
        <v>2517</v>
      </c>
      <c r="F1857" s="3">
        <v>175358</v>
      </c>
      <c r="G1857" s="3">
        <v>5248</v>
      </c>
      <c r="H1857" s="3">
        <v>56</v>
      </c>
      <c r="I1857" s="4">
        <v>6824.61</v>
      </c>
      <c r="J1857" s="4">
        <v>3668.82</v>
      </c>
      <c r="K1857" s="3">
        <v>50</v>
      </c>
      <c r="L1857" s="2" t="s">
        <v>2523</v>
      </c>
      <c r="M1857" s="2" t="s">
        <v>2526</v>
      </c>
      <c r="N1857" s="8">
        <f>IFERROR(G1857/F1857,0)</f>
        <v>2.9927348623957847E-2</v>
      </c>
      <c r="O1857" s="8">
        <f>IFERROR(H1857/G1857,0)</f>
        <v>1.0670731707317074E-2</v>
      </c>
      <c r="P1857" s="4">
        <f>IFERROR(I1857/G1857,0)</f>
        <v>1.3004211128048779</v>
      </c>
      <c r="Q1857" s="4">
        <f>IFERROR(I1857/H1857,0)</f>
        <v>121.86803571428571</v>
      </c>
      <c r="R1857" s="12">
        <f>IFERROR(J1857/I1857,0)</f>
        <v>0.53758676319965537</v>
      </c>
      <c r="S1857" s="7">
        <f>Tabla_nuevas_columnas[[#This Row],[ROAS]]</f>
        <v>0.53758676319965537</v>
      </c>
      <c r="T1857" t="str">
        <f>_xlfn.CONCAT(C1857,"-",D1857)</f>
        <v>Email-México</v>
      </c>
      <c r="U1857">
        <f>YEAR(A1857)</f>
        <v>2025</v>
      </c>
      <c r="V1857">
        <f>MONTH(A1857)</f>
        <v>6</v>
      </c>
      <c r="W1857" t="str">
        <f>PROPER(TEXT(A1857,"mmmm"))</f>
        <v>Junio</v>
      </c>
      <c r="X1857" t="str">
        <f>PROPER(TEXT(A1857,"dddd"))</f>
        <v>Miércoles</v>
      </c>
      <c r="Y1857" t="str" cm="1">
        <f t="array" ref="Y1857">_xlfn.IFS(R1857&gt;10,"Excelente",R1857&gt;=5,"Bueno",R1857&gt;=2,"Débil",R1857&lt;2,"Deficiente")</f>
        <v>Deficiente</v>
      </c>
      <c r="Z1857" t="str">
        <f>IF(AND(R1857&lt;2,Q1857&gt;=100),"Revisar","OK")</f>
        <v>Revisar</v>
      </c>
      <c r="AA1857" s="55">
        <f>_xlfn.XLOOKUP(C1857,'Preguntas de negocio'!$C$114:$C$119,'Preguntas de negocio'!$D$114:$D$119,0)</f>
        <v>5.5</v>
      </c>
      <c r="AB1857" s="55">
        <f>VLOOKUP(C1857,'Preguntas de negocio'!$C$121:$D$127,2,FALSE)</f>
        <v>0.65</v>
      </c>
    </row>
    <row r="1858" spans="1:28" x14ac:dyDescent="0.3">
      <c r="A1858" s="1">
        <v>45757</v>
      </c>
      <c r="B1858" s="2" t="s">
        <v>2629</v>
      </c>
      <c r="C1858" s="2" t="s">
        <v>2543</v>
      </c>
      <c r="D1858" s="2" t="s">
        <v>2528</v>
      </c>
      <c r="E1858" s="2" t="s">
        <v>2529</v>
      </c>
      <c r="F1858" s="3">
        <v>153110</v>
      </c>
      <c r="G1858" s="3">
        <v>4746</v>
      </c>
      <c r="H1858" s="3">
        <v>645</v>
      </c>
      <c r="I1858" s="4">
        <v>8654.0300000000007</v>
      </c>
      <c r="J1858" s="4">
        <v>141495.57</v>
      </c>
      <c r="K1858" s="3">
        <v>534</v>
      </c>
      <c r="L1858" s="2" t="s">
        <v>2539</v>
      </c>
      <c r="M1858" s="2" t="s">
        <v>2524</v>
      </c>
      <c r="N1858" s="8">
        <f>IFERROR(G1858/F1858,0)</f>
        <v>3.0997322186663182E-2</v>
      </c>
      <c r="O1858" s="8">
        <f>IFERROR(H1858/G1858,0)</f>
        <v>0.13590391908975979</v>
      </c>
      <c r="P1858" s="4">
        <f>IFERROR(I1858/G1858,0)</f>
        <v>1.8234365781710915</v>
      </c>
      <c r="Q1858" s="4">
        <f>IFERROR(I1858/H1858,0)</f>
        <v>13.4171007751938</v>
      </c>
      <c r="R1858" s="12">
        <f>IFERROR(J1858/I1858,0)</f>
        <v>16.350251847982964</v>
      </c>
      <c r="S1858" s="7">
        <f>Tabla_nuevas_columnas[[#This Row],[ROAS]]</f>
        <v>16.350251847982964</v>
      </c>
      <c r="T1858" t="str">
        <f>_xlfn.CONCAT(C1858,"-",D1858)</f>
        <v>Organic Social-España</v>
      </c>
      <c r="U1858">
        <f>YEAR(A1858)</f>
        <v>2025</v>
      </c>
      <c r="V1858">
        <f>MONTH(A1858)</f>
        <v>4</v>
      </c>
      <c r="W1858" t="str">
        <f>PROPER(TEXT(A1858,"mmmm"))</f>
        <v>Abril</v>
      </c>
      <c r="X1858" t="str">
        <f>PROPER(TEXT(A1858,"dddd"))</f>
        <v>Jueves</v>
      </c>
      <c r="Y1858" t="str" cm="1">
        <f t="array" ref="Y1858">_xlfn.IFS(R1858&gt;10,"Excelente",R1858&gt;=5,"Bueno",R1858&gt;=2,"Débil",R1858&lt;2,"Deficiente")</f>
        <v>Excelente</v>
      </c>
      <c r="Z1858" t="str">
        <f>IF(AND(R1858&lt;2,Q1858&gt;=100),"Revisar","OK")</f>
        <v>OK</v>
      </c>
      <c r="AA1858" s="55">
        <f>_xlfn.XLOOKUP(C1858,'Preguntas de negocio'!$C$114:$C$119,'Preguntas de negocio'!$D$114:$D$119,0)</f>
        <v>4</v>
      </c>
      <c r="AB1858" s="55">
        <f>VLOOKUP(C1858,'Preguntas de negocio'!$C$121:$D$127,2,FALSE)</f>
        <v>0.95</v>
      </c>
    </row>
    <row r="1859" spans="1:28" x14ac:dyDescent="0.3">
      <c r="A1859" s="1">
        <v>45957</v>
      </c>
      <c r="B1859" s="2" t="s">
        <v>2622</v>
      </c>
      <c r="C1859" s="2" t="s">
        <v>2521</v>
      </c>
      <c r="D1859" s="2" t="s">
        <v>2528</v>
      </c>
      <c r="E1859" s="2" t="s">
        <v>2517</v>
      </c>
      <c r="F1859" s="3">
        <v>59478</v>
      </c>
      <c r="G1859" s="3">
        <v>2226</v>
      </c>
      <c r="H1859" s="3">
        <v>125</v>
      </c>
      <c r="I1859" s="4">
        <v>3107.93</v>
      </c>
      <c r="J1859" s="4">
        <v>27356.43</v>
      </c>
      <c r="K1859" s="3">
        <v>87</v>
      </c>
      <c r="L1859" s="2" t="s">
        <v>2536</v>
      </c>
      <c r="M1859" s="2" t="s">
        <v>2537</v>
      </c>
      <c r="N1859" s="8">
        <f>IFERROR(G1859/F1859,0)</f>
        <v>3.7425602743871682E-2</v>
      </c>
      <c r="O1859" s="8">
        <f>IFERROR(H1859/G1859,0)</f>
        <v>5.6154537286612759E-2</v>
      </c>
      <c r="P1859" s="4">
        <f>IFERROR(I1859/G1859,0)</f>
        <v>1.3961949685534591</v>
      </c>
      <c r="Q1859" s="4">
        <f>IFERROR(I1859/H1859,0)</f>
        <v>24.863439999999997</v>
      </c>
      <c r="R1859" s="12">
        <f>IFERROR(J1859/I1859,0)</f>
        <v>8.8021384008005334</v>
      </c>
      <c r="S1859" s="7">
        <f>Tabla_nuevas_columnas[[#This Row],[ROAS]]</f>
        <v>8.8021384008005334</v>
      </c>
      <c r="T1859" t="str">
        <f>_xlfn.CONCAT(C1859,"-",D1859)</f>
        <v>Paid Search-España</v>
      </c>
      <c r="U1859">
        <f>YEAR(A1859)</f>
        <v>2025</v>
      </c>
      <c r="V1859">
        <f>MONTH(A1859)</f>
        <v>10</v>
      </c>
      <c r="W1859" t="str">
        <f>PROPER(TEXT(A1859,"mmmm"))</f>
        <v>Octubre</v>
      </c>
      <c r="X1859" t="str">
        <f>PROPER(TEXT(A1859,"dddd"))</f>
        <v>Lunes</v>
      </c>
      <c r="Y1859" t="str" cm="1">
        <f t="array" ref="Y1859">_xlfn.IFS(R1859&gt;10,"Excelente",R1859&gt;=5,"Bueno",R1859&gt;=2,"Débil",R1859&lt;2,"Deficiente")</f>
        <v>Bueno</v>
      </c>
      <c r="Z1859" t="str">
        <f>IF(AND(R1859&lt;2,Q1859&gt;=100),"Revisar","OK")</f>
        <v>OK</v>
      </c>
      <c r="AA1859" s="55">
        <f>_xlfn.XLOOKUP(C1859,'Preguntas de negocio'!$C$114:$C$119,'Preguntas de negocio'!$D$114:$D$119,0)</f>
        <v>5</v>
      </c>
      <c r="AB1859" s="55">
        <f>VLOOKUP(C1859,'Preguntas de negocio'!$C$121:$D$127,2,FALSE)</f>
        <v>1.1000000000000001</v>
      </c>
    </row>
    <row r="1860" spans="1:28" x14ac:dyDescent="0.3">
      <c r="A1860" s="1">
        <v>45659</v>
      </c>
      <c r="B1860" s="2" t="s">
        <v>2628</v>
      </c>
      <c r="C1860" s="2" t="s">
        <v>2515</v>
      </c>
      <c r="D1860" s="2" t="s">
        <v>2528</v>
      </c>
      <c r="E1860" s="2" t="s">
        <v>2517</v>
      </c>
      <c r="F1860" s="3">
        <v>69094</v>
      </c>
      <c r="G1860" s="3">
        <v>1728</v>
      </c>
      <c r="H1860" s="3">
        <v>219</v>
      </c>
      <c r="I1860" s="4">
        <v>1231.92</v>
      </c>
      <c r="J1860" s="4">
        <v>11381.53</v>
      </c>
      <c r="K1860" s="3">
        <v>144</v>
      </c>
      <c r="L1860" s="2" t="s">
        <v>2518</v>
      </c>
      <c r="M1860" s="2" t="s">
        <v>2519</v>
      </c>
      <c r="N1860" s="8">
        <f>IFERROR(G1860/F1860,0)</f>
        <v>2.5009407473876168E-2</v>
      </c>
      <c r="O1860" s="8">
        <f>IFERROR(H1860/G1860,0)</f>
        <v>0.1267361111111111</v>
      </c>
      <c r="P1860" s="4">
        <f>IFERROR(I1860/G1860,0)</f>
        <v>0.71291666666666675</v>
      </c>
      <c r="Q1860" s="4">
        <f>IFERROR(I1860/H1860,0)</f>
        <v>5.6252054794520552</v>
      </c>
      <c r="R1860" s="12">
        <f>IFERROR(J1860/I1860,0)</f>
        <v>9.2388547957659597</v>
      </c>
      <c r="S1860" s="7">
        <f>Tabla_nuevas_columnas[[#This Row],[ROAS]]</f>
        <v>9.2388547957659597</v>
      </c>
      <c r="T1860" t="str">
        <f>_xlfn.CONCAT(C1860,"-",D1860)</f>
        <v>Email-España</v>
      </c>
      <c r="U1860">
        <f>YEAR(A1860)</f>
        <v>2025</v>
      </c>
      <c r="V1860">
        <f>MONTH(A1860)</f>
        <v>1</v>
      </c>
      <c r="W1860" t="str">
        <f>PROPER(TEXT(A1860,"mmmm"))</f>
        <v>Enero</v>
      </c>
      <c r="X1860" t="str">
        <f>PROPER(TEXT(A1860,"dddd"))</f>
        <v>Jueves</v>
      </c>
      <c r="Y1860" t="str" cm="1">
        <f t="array" ref="Y1860">_xlfn.IFS(R1860&gt;10,"Excelente",R1860&gt;=5,"Bueno",R1860&gt;=2,"Débil",R1860&lt;2,"Deficiente")</f>
        <v>Bueno</v>
      </c>
      <c r="Z1860" t="str">
        <f>IF(AND(R1860&lt;2,Q1860&gt;=100),"Revisar","OK")</f>
        <v>OK</v>
      </c>
      <c r="AA1860" s="55">
        <f>_xlfn.XLOOKUP(C1860,'Preguntas de negocio'!$C$114:$C$119,'Preguntas de negocio'!$D$114:$D$119,0)</f>
        <v>5.5</v>
      </c>
      <c r="AB1860" s="55">
        <f>VLOOKUP(C1860,'Preguntas de negocio'!$C$121:$D$127,2,FALSE)</f>
        <v>0.65</v>
      </c>
    </row>
    <row r="1861" spans="1:28" x14ac:dyDescent="0.3">
      <c r="A1861" s="1">
        <v>45970</v>
      </c>
      <c r="B1861" s="2" t="s">
        <v>2617</v>
      </c>
      <c r="C1861" s="2" t="s">
        <v>2541</v>
      </c>
      <c r="D1861" s="2" t="s">
        <v>2516</v>
      </c>
      <c r="E1861" s="2" t="s">
        <v>2517</v>
      </c>
      <c r="F1861" s="3">
        <v>111238</v>
      </c>
      <c r="G1861" s="3">
        <v>502</v>
      </c>
      <c r="H1861" s="3">
        <v>16</v>
      </c>
      <c r="I1861" s="4">
        <v>503.14</v>
      </c>
      <c r="J1861" s="4">
        <v>682.97</v>
      </c>
      <c r="K1861" s="3">
        <v>13</v>
      </c>
      <c r="L1861" s="2" t="s">
        <v>2523</v>
      </c>
      <c r="M1861" s="2" t="s">
        <v>2519</v>
      </c>
      <c r="N1861" s="8">
        <f>IFERROR(G1861/F1861,0)</f>
        <v>4.5128463294917204E-3</v>
      </c>
      <c r="O1861" s="8">
        <f>IFERROR(H1861/G1861,0)</f>
        <v>3.1872509960159362E-2</v>
      </c>
      <c r="P1861" s="4">
        <f>IFERROR(I1861/G1861,0)</f>
        <v>1.0022709163346613</v>
      </c>
      <c r="Q1861" s="4">
        <f>IFERROR(I1861/H1861,0)</f>
        <v>31.446249999999999</v>
      </c>
      <c r="R1861" s="12">
        <f>IFERROR(J1861/I1861,0)</f>
        <v>1.3574154310927378</v>
      </c>
      <c r="S1861" s="7">
        <f>Tabla_nuevas_columnas[[#This Row],[ROAS]]</f>
        <v>1.3574154310927378</v>
      </c>
      <c r="T1861" t="str">
        <f>_xlfn.CONCAT(C1861,"-",D1861)</f>
        <v>Display-México</v>
      </c>
      <c r="U1861">
        <f>YEAR(A1861)</f>
        <v>2025</v>
      </c>
      <c r="V1861">
        <f>MONTH(A1861)</f>
        <v>11</v>
      </c>
      <c r="W1861" t="str">
        <f>PROPER(TEXT(A1861,"mmmm"))</f>
        <v>Noviembre</v>
      </c>
      <c r="X1861" t="str">
        <f>PROPER(TEXT(A1861,"dddd"))</f>
        <v>Domingo</v>
      </c>
      <c r="Y1861" t="str" cm="1">
        <f t="array" ref="Y1861">_xlfn.IFS(R1861&gt;10,"Excelente",R1861&gt;=5,"Bueno",R1861&gt;=2,"Débil",R1861&lt;2,"Deficiente")</f>
        <v>Deficiente</v>
      </c>
      <c r="Z1861" t="str">
        <f>IF(AND(R1861&lt;2,Q1861&gt;=100),"Revisar","OK")</f>
        <v>OK</v>
      </c>
      <c r="AA1861" s="55">
        <f>_xlfn.XLOOKUP(C1861,'Preguntas de negocio'!$C$114:$C$119,'Preguntas de negocio'!$D$114:$D$119,0)</f>
        <v>5</v>
      </c>
      <c r="AB1861" s="55">
        <f>VLOOKUP(C1861,'Preguntas de negocio'!$C$121:$D$127,2,FALSE)</f>
        <v>0.5</v>
      </c>
    </row>
    <row r="1862" spans="1:28" x14ac:dyDescent="0.3">
      <c r="A1862" s="1">
        <v>45919</v>
      </c>
      <c r="B1862" s="2" t="s">
        <v>2642</v>
      </c>
      <c r="C1862" s="2" t="s">
        <v>2521</v>
      </c>
      <c r="D1862" s="2" t="s">
        <v>2525</v>
      </c>
      <c r="E1862" s="2" t="s">
        <v>2517</v>
      </c>
      <c r="F1862" s="3">
        <v>148849</v>
      </c>
      <c r="G1862" s="3">
        <v>12219</v>
      </c>
      <c r="H1862" s="3">
        <v>1061</v>
      </c>
      <c r="I1862" s="4">
        <v>4473.55</v>
      </c>
      <c r="J1862" s="4">
        <v>137304.51999999999</v>
      </c>
      <c r="K1862" s="3">
        <v>623</v>
      </c>
      <c r="L1862" s="2" t="s">
        <v>2518</v>
      </c>
      <c r="M1862" s="2" t="s">
        <v>2526</v>
      </c>
      <c r="N1862" s="8">
        <f>IFERROR(G1862/F1862,0)</f>
        <v>8.2089903190481622E-2</v>
      </c>
      <c r="O1862" s="8">
        <f>IFERROR(H1862/G1862,0)</f>
        <v>8.6831982977330385E-2</v>
      </c>
      <c r="P1862" s="4">
        <f>IFERROR(I1862/G1862,0)</f>
        <v>0.36611424830182504</v>
      </c>
      <c r="Q1862" s="4">
        <f>IFERROR(I1862/H1862,0)</f>
        <v>4.2163524976437321</v>
      </c>
      <c r="R1862" s="12">
        <f>IFERROR(J1862/I1862,0)</f>
        <v>30.692519363816206</v>
      </c>
      <c r="S1862" s="7">
        <f>Tabla_nuevas_columnas[[#This Row],[ROAS]]</f>
        <v>30.692519363816206</v>
      </c>
      <c r="T1862" t="str">
        <f>_xlfn.CONCAT(C1862,"-",D1862)</f>
        <v>Paid Search-Francia</v>
      </c>
      <c r="U1862">
        <f>YEAR(A1862)</f>
        <v>2025</v>
      </c>
      <c r="V1862">
        <f>MONTH(A1862)</f>
        <v>9</v>
      </c>
      <c r="W1862" t="str">
        <f>PROPER(TEXT(A1862,"mmmm"))</f>
        <v>Septiembre</v>
      </c>
      <c r="X1862" t="str">
        <f>PROPER(TEXT(A1862,"dddd"))</f>
        <v>Viernes</v>
      </c>
      <c r="Y1862" t="str" cm="1">
        <f t="array" ref="Y1862">_xlfn.IFS(R1862&gt;10,"Excelente",R1862&gt;=5,"Bueno",R1862&gt;=2,"Débil",R1862&lt;2,"Deficiente")</f>
        <v>Excelente</v>
      </c>
      <c r="Z1862" t="str">
        <f>IF(AND(R1862&lt;2,Q1862&gt;=100),"Revisar","OK")</f>
        <v>OK</v>
      </c>
      <c r="AA1862" s="55">
        <f>_xlfn.XLOOKUP(C1862,'Preguntas de negocio'!$C$114:$C$119,'Preguntas de negocio'!$D$114:$D$119,0)</f>
        <v>5</v>
      </c>
      <c r="AB1862" s="55">
        <f>VLOOKUP(C1862,'Preguntas de negocio'!$C$121:$D$127,2,FALSE)</f>
        <v>1.1000000000000001</v>
      </c>
    </row>
    <row r="1863" spans="1:28" x14ac:dyDescent="0.3">
      <c r="A1863" s="1">
        <v>45734</v>
      </c>
      <c r="B1863" s="2" t="s">
        <v>2628</v>
      </c>
      <c r="C1863" s="2" t="s">
        <v>2541</v>
      </c>
      <c r="D1863" s="2" t="s">
        <v>2531</v>
      </c>
      <c r="E1863" s="2" t="s">
        <v>2517</v>
      </c>
      <c r="F1863" s="3">
        <v>168033</v>
      </c>
      <c r="G1863" s="3">
        <v>12506</v>
      </c>
      <c r="H1863" s="3">
        <v>486</v>
      </c>
      <c r="I1863" s="4">
        <v>2215.1</v>
      </c>
      <c r="J1863" s="4">
        <v>32812.89</v>
      </c>
      <c r="K1863" s="3">
        <v>272</v>
      </c>
      <c r="L1863" s="2" t="s">
        <v>2539</v>
      </c>
      <c r="M1863" s="2" t="s">
        <v>2524</v>
      </c>
      <c r="N1863" s="8">
        <f>IFERROR(G1863/F1863,0)</f>
        <v>7.4425856825742556E-2</v>
      </c>
      <c r="O1863" s="8">
        <f>IFERROR(H1863/G1863,0)</f>
        <v>3.8861346553654245E-2</v>
      </c>
      <c r="P1863" s="4">
        <f>IFERROR(I1863/G1863,0)</f>
        <v>0.17712298096913481</v>
      </c>
      <c r="Q1863" s="4">
        <f>IFERROR(I1863/H1863,0)</f>
        <v>4.5578189300411518</v>
      </c>
      <c r="R1863" s="12">
        <f>IFERROR(J1863/I1863,0)</f>
        <v>14.813277052954721</v>
      </c>
      <c r="S1863" s="7">
        <f>Tabla_nuevas_columnas[[#This Row],[ROAS]]</f>
        <v>14.813277052954721</v>
      </c>
      <c r="T1863" t="str">
        <f>_xlfn.CONCAT(C1863,"-",D1863)</f>
        <v>Display-Portugal</v>
      </c>
      <c r="U1863">
        <f>YEAR(A1863)</f>
        <v>2025</v>
      </c>
      <c r="V1863">
        <f>MONTH(A1863)</f>
        <v>3</v>
      </c>
      <c r="W1863" t="str">
        <f>PROPER(TEXT(A1863,"mmmm"))</f>
        <v>Marzo</v>
      </c>
      <c r="X1863" t="str">
        <f>PROPER(TEXT(A1863,"dddd"))</f>
        <v>Martes</v>
      </c>
      <c r="Y1863" t="str" cm="1">
        <f t="array" ref="Y1863">_xlfn.IFS(R1863&gt;10,"Excelente",R1863&gt;=5,"Bueno",R1863&gt;=2,"Débil",R1863&lt;2,"Deficiente")</f>
        <v>Excelente</v>
      </c>
      <c r="Z1863" t="str">
        <f>IF(AND(R1863&lt;2,Q1863&gt;=100),"Revisar","OK")</f>
        <v>OK</v>
      </c>
      <c r="AA1863" s="55">
        <f>_xlfn.XLOOKUP(C1863,'Preguntas de negocio'!$C$114:$C$119,'Preguntas de negocio'!$D$114:$D$119,0)</f>
        <v>5</v>
      </c>
      <c r="AB1863" s="55">
        <f>VLOOKUP(C1863,'Preguntas de negocio'!$C$121:$D$127,2,FALSE)</f>
        <v>0.5</v>
      </c>
    </row>
    <row r="1864" spans="1:28" x14ac:dyDescent="0.3">
      <c r="A1864" s="1">
        <v>45661</v>
      </c>
      <c r="B1864" s="2" t="s">
        <v>2640</v>
      </c>
      <c r="C1864" s="2" t="s">
        <v>2543</v>
      </c>
      <c r="D1864" s="2" t="s">
        <v>2528</v>
      </c>
      <c r="E1864" s="2" t="s">
        <v>2517</v>
      </c>
      <c r="F1864" s="3">
        <v>81262</v>
      </c>
      <c r="G1864" s="3">
        <v>1487</v>
      </c>
      <c r="H1864" s="3">
        <v>146</v>
      </c>
      <c r="I1864" s="4">
        <v>1327.11</v>
      </c>
      <c r="J1864" s="4">
        <v>4018.82</v>
      </c>
      <c r="K1864" s="3">
        <v>76</v>
      </c>
      <c r="L1864" s="2" t="s">
        <v>2539</v>
      </c>
      <c r="M1864" s="2" t="s">
        <v>2526</v>
      </c>
      <c r="N1864" s="8">
        <f>IFERROR(G1864/F1864,0)</f>
        <v>1.8298835864241587E-2</v>
      </c>
      <c r="O1864" s="8">
        <f>IFERROR(H1864/G1864,0)</f>
        <v>9.8184263618022863E-2</v>
      </c>
      <c r="P1864" s="4">
        <f>IFERROR(I1864/G1864,0)</f>
        <v>0.89247478143913916</v>
      </c>
      <c r="Q1864" s="4">
        <f>IFERROR(I1864/H1864,0)</f>
        <v>9.0897945205479438</v>
      </c>
      <c r="R1864" s="12">
        <f>IFERROR(J1864/I1864,0)</f>
        <v>3.0282493538591377</v>
      </c>
      <c r="S1864" s="7">
        <f>Tabla_nuevas_columnas[[#This Row],[ROAS]]</f>
        <v>3.0282493538591377</v>
      </c>
      <c r="T1864" t="str">
        <f>_xlfn.CONCAT(C1864,"-",D1864)</f>
        <v>Organic Social-España</v>
      </c>
      <c r="U1864">
        <f>YEAR(A1864)</f>
        <v>2025</v>
      </c>
      <c r="V1864">
        <f>MONTH(A1864)</f>
        <v>1</v>
      </c>
      <c r="W1864" t="str">
        <f>PROPER(TEXT(A1864,"mmmm"))</f>
        <v>Enero</v>
      </c>
      <c r="X1864" t="str">
        <f>PROPER(TEXT(A1864,"dddd"))</f>
        <v>Sábado</v>
      </c>
      <c r="Y1864" t="str" cm="1">
        <f t="array" ref="Y1864">_xlfn.IFS(R1864&gt;10,"Excelente",R1864&gt;=5,"Bueno",R1864&gt;=2,"Débil",R1864&lt;2,"Deficiente")</f>
        <v>Débil</v>
      </c>
      <c r="Z1864" t="str">
        <f>IF(AND(R1864&lt;2,Q1864&gt;=100),"Revisar","OK")</f>
        <v>OK</v>
      </c>
      <c r="AA1864" s="55">
        <f>_xlfn.XLOOKUP(C1864,'Preguntas de negocio'!$C$114:$C$119,'Preguntas de negocio'!$D$114:$D$119,0)</f>
        <v>4</v>
      </c>
      <c r="AB1864" s="55">
        <f>VLOOKUP(C1864,'Preguntas de negocio'!$C$121:$D$127,2,FALSE)</f>
        <v>0.95</v>
      </c>
    </row>
    <row r="1865" spans="1:28" x14ac:dyDescent="0.3">
      <c r="A1865" s="1">
        <v>45820</v>
      </c>
      <c r="B1865" s="2" t="s">
        <v>2641</v>
      </c>
      <c r="C1865" s="2" t="s">
        <v>2521</v>
      </c>
      <c r="D1865" s="2" t="s">
        <v>2522</v>
      </c>
      <c r="E1865" s="2" t="s">
        <v>2517</v>
      </c>
      <c r="F1865" s="3">
        <v>162004</v>
      </c>
      <c r="G1865" s="3">
        <v>9775</v>
      </c>
      <c r="H1865" s="3">
        <v>237</v>
      </c>
      <c r="I1865" s="4">
        <v>18277.810000000001</v>
      </c>
      <c r="J1865" s="4">
        <v>31829.01</v>
      </c>
      <c r="K1865" s="3">
        <v>179</v>
      </c>
      <c r="L1865" s="2" t="s">
        <v>2536</v>
      </c>
      <c r="M1865" s="2" t="s">
        <v>2526</v>
      </c>
      <c r="N1865" s="8">
        <f>IFERROR(G1865/F1865,0)</f>
        <v>6.0338016345275428E-2</v>
      </c>
      <c r="O1865" s="8">
        <f>IFERROR(H1865/G1865,0)</f>
        <v>2.4245524296675192E-2</v>
      </c>
      <c r="P1865" s="4">
        <f>IFERROR(I1865/G1865,0)</f>
        <v>1.869852685421995</v>
      </c>
      <c r="Q1865" s="4">
        <f>IFERROR(I1865/H1865,0)</f>
        <v>77.1215611814346</v>
      </c>
      <c r="R1865" s="12">
        <f>IFERROR(J1865/I1865,0)</f>
        <v>1.7414017324832678</v>
      </c>
      <c r="S1865" s="7">
        <f>Tabla_nuevas_columnas[[#This Row],[ROAS]]</f>
        <v>1.7414017324832678</v>
      </c>
      <c r="T1865" t="str">
        <f>_xlfn.CONCAT(C1865,"-",D1865)</f>
        <v>Paid Search-Italia</v>
      </c>
      <c r="U1865">
        <f>YEAR(A1865)</f>
        <v>2025</v>
      </c>
      <c r="V1865">
        <f>MONTH(A1865)</f>
        <v>6</v>
      </c>
      <c r="W1865" t="str">
        <f>PROPER(TEXT(A1865,"mmmm"))</f>
        <v>Junio</v>
      </c>
      <c r="X1865" t="str">
        <f>PROPER(TEXT(A1865,"dddd"))</f>
        <v>Jueves</v>
      </c>
      <c r="Y1865" t="str" cm="1">
        <f t="array" ref="Y1865">_xlfn.IFS(R1865&gt;10,"Excelente",R1865&gt;=5,"Bueno",R1865&gt;=2,"Débil",R1865&lt;2,"Deficiente")</f>
        <v>Deficiente</v>
      </c>
      <c r="Z1865" t="str">
        <f>IF(AND(R1865&lt;2,Q1865&gt;=100),"Revisar","OK")</f>
        <v>OK</v>
      </c>
      <c r="AA1865" s="55">
        <f>_xlfn.XLOOKUP(C1865,'Preguntas de negocio'!$C$114:$C$119,'Preguntas de negocio'!$D$114:$D$119,0)</f>
        <v>5</v>
      </c>
      <c r="AB1865" s="55">
        <f>VLOOKUP(C1865,'Preguntas de negocio'!$C$121:$D$127,2,FALSE)</f>
        <v>1.1000000000000001</v>
      </c>
    </row>
    <row r="1866" spans="1:28" x14ac:dyDescent="0.3">
      <c r="A1866" s="1">
        <v>45968</v>
      </c>
      <c r="B1866" s="2" t="s">
        <v>2629</v>
      </c>
      <c r="C1866" s="2" t="s">
        <v>2521</v>
      </c>
      <c r="D1866" s="2" t="s">
        <v>2525</v>
      </c>
      <c r="E1866" s="2" t="s">
        <v>2517</v>
      </c>
      <c r="F1866" s="3">
        <v>136775</v>
      </c>
      <c r="G1866" s="3">
        <v>8867</v>
      </c>
      <c r="H1866" s="3">
        <v>1101</v>
      </c>
      <c r="I1866" s="4">
        <v>11072</v>
      </c>
      <c r="J1866" s="4">
        <v>121842.3</v>
      </c>
      <c r="K1866" s="3">
        <v>662</v>
      </c>
      <c r="L1866" s="2" t="s">
        <v>2518</v>
      </c>
      <c r="M1866" s="2" t="s">
        <v>2526</v>
      </c>
      <c r="N1866" s="8">
        <f>IFERROR(G1866/F1866,0)</f>
        <v>6.4829098885030162E-2</v>
      </c>
      <c r="O1866" s="8">
        <f>IFERROR(H1866/G1866,0)</f>
        <v>0.12416826435096424</v>
      </c>
      <c r="P1866" s="4">
        <f>IFERROR(I1866/G1866,0)</f>
        <v>1.2486748618472989</v>
      </c>
      <c r="Q1866" s="4">
        <f>IFERROR(I1866/H1866,0)</f>
        <v>10.056312443233423</v>
      </c>
      <c r="R1866" s="12">
        <f>IFERROR(J1866/I1866,0)</f>
        <v>11.00454299132948</v>
      </c>
      <c r="S1866" s="7">
        <f>Tabla_nuevas_columnas[[#This Row],[ROAS]]</f>
        <v>11.00454299132948</v>
      </c>
      <c r="T1866" t="str">
        <f>_xlfn.CONCAT(C1866,"-",D1866)</f>
        <v>Paid Search-Francia</v>
      </c>
      <c r="U1866">
        <f>YEAR(A1866)</f>
        <v>2025</v>
      </c>
      <c r="V1866">
        <f>MONTH(A1866)</f>
        <v>11</v>
      </c>
      <c r="W1866" t="str">
        <f>PROPER(TEXT(A1866,"mmmm"))</f>
        <v>Noviembre</v>
      </c>
      <c r="X1866" t="str">
        <f>PROPER(TEXT(A1866,"dddd"))</f>
        <v>Viernes</v>
      </c>
      <c r="Y1866" t="str" cm="1">
        <f t="array" ref="Y1866">_xlfn.IFS(R1866&gt;10,"Excelente",R1866&gt;=5,"Bueno",R1866&gt;=2,"Débil",R1866&lt;2,"Deficiente")</f>
        <v>Excelente</v>
      </c>
      <c r="Z1866" t="str">
        <f>IF(AND(R1866&lt;2,Q1866&gt;=100),"Revisar","OK")</f>
        <v>OK</v>
      </c>
      <c r="AA1866" s="55">
        <f>_xlfn.XLOOKUP(C1866,'Preguntas de negocio'!$C$114:$C$119,'Preguntas de negocio'!$D$114:$D$119,0)</f>
        <v>5</v>
      </c>
      <c r="AB1866" s="55">
        <f>VLOOKUP(C1866,'Preguntas de negocio'!$C$121:$D$127,2,FALSE)</f>
        <v>1.1000000000000001</v>
      </c>
    </row>
    <row r="1867" spans="1:28" x14ac:dyDescent="0.3">
      <c r="A1867" s="1">
        <v>45663</v>
      </c>
      <c r="B1867" s="2" t="s">
        <v>2635</v>
      </c>
      <c r="C1867" s="2" t="s">
        <v>2521</v>
      </c>
      <c r="D1867" s="2" t="s">
        <v>2528</v>
      </c>
      <c r="E1867" s="2" t="s">
        <v>2529</v>
      </c>
      <c r="F1867" s="3">
        <v>164065</v>
      </c>
      <c r="G1867" s="3">
        <v>11085</v>
      </c>
      <c r="H1867" s="3">
        <v>652</v>
      </c>
      <c r="I1867" s="4">
        <v>7830.81</v>
      </c>
      <c r="J1867" s="4">
        <v>51218.41</v>
      </c>
      <c r="K1867" s="3">
        <v>533</v>
      </c>
      <c r="L1867" s="2" t="s">
        <v>2536</v>
      </c>
      <c r="M1867" s="2" t="s">
        <v>2546</v>
      </c>
      <c r="N1867" s="8">
        <f>IFERROR(G1867/F1867,0)</f>
        <v>6.7564684728613655E-2</v>
      </c>
      <c r="O1867" s="8">
        <f>IFERROR(H1867/G1867,0)</f>
        <v>5.8818222823635545E-2</v>
      </c>
      <c r="P1867" s="4">
        <f>IFERROR(I1867/G1867,0)</f>
        <v>0.7064330175913397</v>
      </c>
      <c r="Q1867" s="4">
        <f>IFERROR(I1867/H1867,0)</f>
        <v>12.010444785276075</v>
      </c>
      <c r="R1867" s="12">
        <f>IFERROR(J1867/I1867,0)</f>
        <v>6.5406273425099064</v>
      </c>
      <c r="S1867" s="7">
        <f>Tabla_nuevas_columnas[[#This Row],[ROAS]]</f>
        <v>6.5406273425099064</v>
      </c>
      <c r="T1867" t="str">
        <f>_xlfn.CONCAT(C1867,"-",D1867)</f>
        <v>Paid Search-España</v>
      </c>
      <c r="U1867">
        <f>YEAR(A1867)</f>
        <v>2025</v>
      </c>
      <c r="V1867">
        <f>MONTH(A1867)</f>
        <v>1</v>
      </c>
      <c r="W1867" t="str">
        <f>PROPER(TEXT(A1867,"mmmm"))</f>
        <v>Enero</v>
      </c>
      <c r="X1867" t="str">
        <f>PROPER(TEXT(A1867,"dddd"))</f>
        <v>Lunes</v>
      </c>
      <c r="Y1867" t="str" cm="1">
        <f t="array" ref="Y1867">_xlfn.IFS(R1867&gt;10,"Excelente",R1867&gt;=5,"Bueno",R1867&gt;=2,"Débil",R1867&lt;2,"Deficiente")</f>
        <v>Bueno</v>
      </c>
      <c r="Z1867" t="str">
        <f>IF(AND(R1867&lt;2,Q1867&gt;=100),"Revisar","OK")</f>
        <v>OK</v>
      </c>
      <c r="AA1867" s="55">
        <f>_xlfn.XLOOKUP(C1867,'Preguntas de negocio'!$C$114:$C$119,'Preguntas de negocio'!$D$114:$D$119,0)</f>
        <v>5</v>
      </c>
      <c r="AB1867" s="55">
        <f>VLOOKUP(C1867,'Preguntas de negocio'!$C$121:$D$127,2,FALSE)</f>
        <v>1.1000000000000001</v>
      </c>
    </row>
    <row r="1868" spans="1:28" x14ac:dyDescent="0.3">
      <c r="A1868" s="1">
        <v>45841</v>
      </c>
      <c r="B1868" s="2" t="s">
        <v>2635</v>
      </c>
      <c r="C1868" s="2" t="s">
        <v>2521</v>
      </c>
      <c r="D1868" s="2" t="s">
        <v>2528</v>
      </c>
      <c r="E1868" s="2" t="s">
        <v>2534</v>
      </c>
      <c r="F1868" s="3">
        <v>174569</v>
      </c>
      <c r="G1868" s="3">
        <v>2974</v>
      </c>
      <c r="H1868" s="3">
        <v>201</v>
      </c>
      <c r="I1868" s="4">
        <v>1697.27</v>
      </c>
      <c r="J1868" s="4">
        <v>3555.73</v>
      </c>
      <c r="K1868" s="3">
        <v>116</v>
      </c>
      <c r="L1868" s="2" t="s">
        <v>2523</v>
      </c>
      <c r="M1868" s="2" t="s">
        <v>2524</v>
      </c>
      <c r="N1868" s="8">
        <f>IFERROR(G1868/F1868,0)</f>
        <v>1.7036243548396335E-2</v>
      </c>
      <c r="O1868" s="8">
        <f>IFERROR(H1868/G1868,0)</f>
        <v>6.7585743106926693E-2</v>
      </c>
      <c r="P1868" s="4">
        <f>IFERROR(I1868/G1868,0)</f>
        <v>0.57070275722932073</v>
      </c>
      <c r="Q1868" s="4">
        <f>IFERROR(I1868/H1868,0)</f>
        <v>8.44412935323383</v>
      </c>
      <c r="R1868" s="12">
        <f>IFERROR(J1868/I1868,0)</f>
        <v>2.0949701579595468</v>
      </c>
      <c r="S1868" s="7">
        <f>Tabla_nuevas_columnas[[#This Row],[ROAS]]</f>
        <v>2.0949701579595468</v>
      </c>
      <c r="T1868" t="str">
        <f>_xlfn.CONCAT(C1868,"-",D1868)</f>
        <v>Paid Search-España</v>
      </c>
      <c r="U1868">
        <f>YEAR(A1868)</f>
        <v>2025</v>
      </c>
      <c r="V1868">
        <f>MONTH(A1868)</f>
        <v>7</v>
      </c>
      <c r="W1868" t="str">
        <f>PROPER(TEXT(A1868,"mmmm"))</f>
        <v>Julio</v>
      </c>
      <c r="X1868" t="str">
        <f>PROPER(TEXT(A1868,"dddd"))</f>
        <v>Jueves</v>
      </c>
      <c r="Y1868" t="str" cm="1">
        <f t="array" ref="Y1868">_xlfn.IFS(R1868&gt;10,"Excelente",R1868&gt;=5,"Bueno",R1868&gt;=2,"Débil",R1868&lt;2,"Deficiente")</f>
        <v>Débil</v>
      </c>
      <c r="Z1868" t="str">
        <f>IF(AND(R1868&lt;2,Q1868&gt;=100),"Revisar","OK")</f>
        <v>OK</v>
      </c>
      <c r="AA1868" s="55">
        <f>_xlfn.XLOOKUP(C1868,'Preguntas de negocio'!$C$114:$C$119,'Preguntas de negocio'!$D$114:$D$119,0)</f>
        <v>5</v>
      </c>
      <c r="AB1868" s="55">
        <f>VLOOKUP(C1868,'Preguntas de negocio'!$C$121:$D$127,2,FALSE)</f>
        <v>1.1000000000000001</v>
      </c>
    </row>
    <row r="1869" spans="1:28" x14ac:dyDescent="0.3">
      <c r="A1869" s="1">
        <v>45815</v>
      </c>
      <c r="B1869" s="2" t="s">
        <v>2617</v>
      </c>
      <c r="C1869" s="2" t="s">
        <v>2521</v>
      </c>
      <c r="D1869" s="2" t="s">
        <v>2528</v>
      </c>
      <c r="E1869" s="2" t="s">
        <v>2529</v>
      </c>
      <c r="F1869" s="3">
        <v>119688</v>
      </c>
      <c r="G1869" s="3">
        <v>1519</v>
      </c>
      <c r="H1869" s="3">
        <v>174</v>
      </c>
      <c r="I1869" s="4">
        <v>1971.2</v>
      </c>
      <c r="J1869" s="4">
        <v>23770.55</v>
      </c>
      <c r="K1869" s="3">
        <v>91</v>
      </c>
      <c r="L1869" s="2" t="s">
        <v>2518</v>
      </c>
      <c r="M1869" s="2" t="s">
        <v>2524</v>
      </c>
      <c r="N1869" s="8">
        <f>IFERROR(G1869/F1869,0)</f>
        <v>1.2691330793396164E-2</v>
      </c>
      <c r="O1869" s="8">
        <f>IFERROR(H1869/G1869,0)</f>
        <v>0.11454904542462147</v>
      </c>
      <c r="P1869" s="4">
        <f>IFERROR(I1869/G1869,0)</f>
        <v>1.2976958525345623</v>
      </c>
      <c r="Q1869" s="4">
        <f>IFERROR(I1869/H1869,0)</f>
        <v>11.328735632183909</v>
      </c>
      <c r="R1869" s="12">
        <f>IFERROR(J1869/I1869,0)</f>
        <v>12.058923498376624</v>
      </c>
      <c r="S1869" s="7">
        <f>Tabla_nuevas_columnas[[#This Row],[ROAS]]</f>
        <v>12.058923498376624</v>
      </c>
      <c r="T1869" t="str">
        <f>_xlfn.CONCAT(C1869,"-",D1869)</f>
        <v>Paid Search-España</v>
      </c>
      <c r="U1869">
        <f>YEAR(A1869)</f>
        <v>2025</v>
      </c>
      <c r="V1869">
        <f>MONTH(A1869)</f>
        <v>6</v>
      </c>
      <c r="W1869" t="str">
        <f>PROPER(TEXT(A1869,"mmmm"))</f>
        <v>Junio</v>
      </c>
      <c r="X1869" t="str">
        <f>PROPER(TEXT(A1869,"dddd"))</f>
        <v>Sábado</v>
      </c>
      <c r="Y1869" t="str" cm="1">
        <f t="array" ref="Y1869">_xlfn.IFS(R1869&gt;10,"Excelente",R1869&gt;=5,"Bueno",R1869&gt;=2,"Débil",R1869&lt;2,"Deficiente")</f>
        <v>Excelente</v>
      </c>
      <c r="Z1869" t="str">
        <f>IF(AND(R1869&lt;2,Q1869&gt;=100),"Revisar","OK")</f>
        <v>OK</v>
      </c>
      <c r="AA1869" s="55">
        <f>_xlfn.XLOOKUP(C1869,'Preguntas de negocio'!$C$114:$C$119,'Preguntas de negocio'!$D$114:$D$119,0)</f>
        <v>5</v>
      </c>
      <c r="AB1869" s="55">
        <f>VLOOKUP(C1869,'Preguntas de negocio'!$C$121:$D$127,2,FALSE)</f>
        <v>1.1000000000000001</v>
      </c>
    </row>
    <row r="1870" spans="1:28" x14ac:dyDescent="0.3">
      <c r="A1870" s="1">
        <v>45904</v>
      </c>
      <c r="B1870" s="2" t="s">
        <v>2618</v>
      </c>
      <c r="C1870" s="2" t="s">
        <v>2527</v>
      </c>
      <c r="D1870" s="2" t="s">
        <v>2528</v>
      </c>
      <c r="E1870" s="2" t="s">
        <v>2517</v>
      </c>
      <c r="F1870" s="3">
        <v>74351</v>
      </c>
      <c r="G1870" s="3">
        <v>914</v>
      </c>
      <c r="H1870" s="3">
        <v>111</v>
      </c>
      <c r="I1870" s="4">
        <v>1040.53</v>
      </c>
      <c r="J1870" s="4">
        <v>21470.76</v>
      </c>
      <c r="K1870" s="3">
        <v>69</v>
      </c>
      <c r="L1870" s="2" t="s">
        <v>2536</v>
      </c>
      <c r="M1870" s="2" t="s">
        <v>2526</v>
      </c>
      <c r="N1870" s="8">
        <f>IFERROR(G1870/F1870,0)</f>
        <v>1.2293042460760448E-2</v>
      </c>
      <c r="O1870" s="8">
        <f>IFERROR(H1870/G1870,0)</f>
        <v>0.12144420131291028</v>
      </c>
      <c r="P1870" s="4">
        <f>IFERROR(I1870/G1870,0)</f>
        <v>1.1384354485776804</v>
      </c>
      <c r="Q1870" s="4">
        <f>IFERROR(I1870/H1870,0)</f>
        <v>9.3741441441441431</v>
      </c>
      <c r="R1870" s="12">
        <f>IFERROR(J1870/I1870,0)</f>
        <v>20.634445907374126</v>
      </c>
      <c r="S1870" s="7">
        <f>Tabla_nuevas_columnas[[#This Row],[ROAS]]</f>
        <v>20.634445907374126</v>
      </c>
      <c r="T1870" t="str">
        <f>_xlfn.CONCAT(C1870,"-",D1870)</f>
        <v>Affiliate-España</v>
      </c>
      <c r="U1870">
        <f>YEAR(A1870)</f>
        <v>2025</v>
      </c>
      <c r="V1870">
        <f>MONTH(A1870)</f>
        <v>9</v>
      </c>
      <c r="W1870" t="str">
        <f>PROPER(TEXT(A1870,"mmmm"))</f>
        <v>Septiembre</v>
      </c>
      <c r="X1870" t="str">
        <f>PROPER(TEXT(A1870,"dddd"))</f>
        <v>Jueves</v>
      </c>
      <c r="Y1870" t="str" cm="1">
        <f t="array" ref="Y1870">_xlfn.IFS(R1870&gt;10,"Excelente",R1870&gt;=5,"Bueno",R1870&gt;=2,"Débil",R1870&lt;2,"Deficiente")</f>
        <v>Excelente</v>
      </c>
      <c r="Z1870" t="str">
        <f>IF(AND(R1870&lt;2,Q1870&gt;=100),"Revisar","OK")</f>
        <v>OK</v>
      </c>
      <c r="AA1870" s="55">
        <f>_xlfn.XLOOKUP(C1870,'Preguntas de negocio'!$C$114:$C$119,'Preguntas de negocio'!$D$114:$D$119,0)</f>
        <v>4.5</v>
      </c>
      <c r="AB1870" s="55">
        <f>VLOOKUP(C1870,'Preguntas de negocio'!$C$121:$D$127,2,FALSE)</f>
        <v>0.35</v>
      </c>
    </row>
    <row r="1871" spans="1:28" x14ac:dyDescent="0.3">
      <c r="A1871" s="1">
        <v>45682</v>
      </c>
      <c r="B1871" s="2" t="s">
        <v>2628</v>
      </c>
      <c r="C1871" s="2" t="s">
        <v>2541</v>
      </c>
      <c r="D1871" s="2" t="s">
        <v>2522</v>
      </c>
      <c r="E1871" s="2" t="s">
        <v>2517</v>
      </c>
      <c r="F1871" s="3">
        <v>85746</v>
      </c>
      <c r="G1871" s="3">
        <v>6753</v>
      </c>
      <c r="H1871" s="3">
        <v>851</v>
      </c>
      <c r="I1871" s="4">
        <v>3960.59</v>
      </c>
      <c r="J1871" s="4">
        <v>126285.9</v>
      </c>
      <c r="K1871" s="3">
        <v>556</v>
      </c>
      <c r="L1871" s="2" t="s">
        <v>2518</v>
      </c>
      <c r="M1871" s="2" t="s">
        <v>2524</v>
      </c>
      <c r="N1871" s="8">
        <f>IFERROR(G1871/F1871,0)</f>
        <v>7.875586033167728E-2</v>
      </c>
      <c r="O1871" s="8">
        <f>IFERROR(H1871/G1871,0)</f>
        <v>0.12601806604472088</v>
      </c>
      <c r="P1871" s="4">
        <f>IFERROR(I1871/G1871,0)</f>
        <v>0.58649341033614688</v>
      </c>
      <c r="Q1871" s="4">
        <f>IFERROR(I1871/H1871,0)</f>
        <v>4.654042303172738</v>
      </c>
      <c r="R1871" s="12">
        <f>IFERROR(J1871/I1871,0)</f>
        <v>31.885628151361285</v>
      </c>
      <c r="S1871" s="7">
        <f>Tabla_nuevas_columnas[[#This Row],[ROAS]]</f>
        <v>31.885628151361285</v>
      </c>
      <c r="T1871" t="str">
        <f>_xlfn.CONCAT(C1871,"-",D1871)</f>
        <v>Display-Italia</v>
      </c>
      <c r="U1871">
        <f>YEAR(A1871)</f>
        <v>2025</v>
      </c>
      <c r="V1871">
        <f>MONTH(A1871)</f>
        <v>1</v>
      </c>
      <c r="W1871" t="str">
        <f>PROPER(TEXT(A1871,"mmmm"))</f>
        <v>Enero</v>
      </c>
      <c r="X1871" t="str">
        <f>PROPER(TEXT(A1871,"dddd"))</f>
        <v>Sábado</v>
      </c>
      <c r="Y1871" t="str" cm="1">
        <f t="array" ref="Y1871">_xlfn.IFS(R1871&gt;10,"Excelente",R1871&gt;=5,"Bueno",R1871&gt;=2,"Débil",R1871&lt;2,"Deficiente")</f>
        <v>Excelente</v>
      </c>
      <c r="Z1871" t="str">
        <f>IF(AND(R1871&lt;2,Q1871&gt;=100),"Revisar","OK")</f>
        <v>OK</v>
      </c>
      <c r="AA1871" s="55">
        <f>_xlfn.XLOOKUP(C1871,'Preguntas de negocio'!$C$114:$C$119,'Preguntas de negocio'!$D$114:$D$119,0)</f>
        <v>5</v>
      </c>
      <c r="AB1871" s="55">
        <f>VLOOKUP(C1871,'Preguntas de negocio'!$C$121:$D$127,2,FALSE)</f>
        <v>0.5</v>
      </c>
    </row>
    <row r="1872" spans="1:28" x14ac:dyDescent="0.3">
      <c r="A1872" s="1">
        <v>45986</v>
      </c>
      <c r="B1872" s="2" t="s">
        <v>2644</v>
      </c>
      <c r="C1872" s="2" t="s">
        <v>2527</v>
      </c>
      <c r="D1872" s="2" t="s">
        <v>2525</v>
      </c>
      <c r="E1872" s="2" t="s">
        <v>2529</v>
      </c>
      <c r="F1872" s="3">
        <v>71318</v>
      </c>
      <c r="G1872" s="3">
        <v>4825</v>
      </c>
      <c r="H1872" s="3">
        <v>281</v>
      </c>
      <c r="I1872" s="4">
        <v>9905.76</v>
      </c>
      <c r="J1872" s="4">
        <v>25491.32</v>
      </c>
      <c r="K1872" s="3">
        <v>127</v>
      </c>
      <c r="L1872" s="2" t="s">
        <v>2518</v>
      </c>
      <c r="M1872" s="2" t="s">
        <v>2546</v>
      </c>
      <c r="N1872" s="8">
        <f>IFERROR(G1872/F1872,0)</f>
        <v>6.7654729521298973E-2</v>
      </c>
      <c r="O1872" s="8">
        <f>IFERROR(H1872/G1872,0)</f>
        <v>5.8238341968911915E-2</v>
      </c>
      <c r="P1872" s="4">
        <f>IFERROR(I1872/G1872,0)</f>
        <v>2.0530072538860105</v>
      </c>
      <c r="Q1872" s="4">
        <f>IFERROR(I1872/H1872,0)</f>
        <v>35.25181494661922</v>
      </c>
      <c r="R1872" s="12">
        <f>IFERROR(J1872/I1872,0)</f>
        <v>2.5733835667328906</v>
      </c>
      <c r="S1872" s="7">
        <f>Tabla_nuevas_columnas[[#This Row],[ROAS]]</f>
        <v>2.5733835667328906</v>
      </c>
      <c r="T1872" t="str">
        <f>_xlfn.CONCAT(C1872,"-",D1872)</f>
        <v>Affiliate-Francia</v>
      </c>
      <c r="U1872">
        <f>YEAR(A1872)</f>
        <v>2025</v>
      </c>
      <c r="V1872">
        <f>MONTH(A1872)</f>
        <v>11</v>
      </c>
      <c r="W1872" t="str">
        <f>PROPER(TEXT(A1872,"mmmm"))</f>
        <v>Noviembre</v>
      </c>
      <c r="X1872" t="str">
        <f>PROPER(TEXT(A1872,"dddd"))</f>
        <v>Martes</v>
      </c>
      <c r="Y1872" t="str" cm="1">
        <f t="array" ref="Y1872">_xlfn.IFS(R1872&gt;10,"Excelente",R1872&gt;=5,"Bueno",R1872&gt;=2,"Débil",R1872&lt;2,"Deficiente")</f>
        <v>Débil</v>
      </c>
      <c r="Z1872" t="str">
        <f>IF(AND(R1872&lt;2,Q1872&gt;=100),"Revisar","OK")</f>
        <v>OK</v>
      </c>
      <c r="AA1872" s="55">
        <f>_xlfn.XLOOKUP(C1872,'Preguntas de negocio'!$C$114:$C$119,'Preguntas de negocio'!$D$114:$D$119,0)</f>
        <v>4.5</v>
      </c>
      <c r="AB1872" s="55">
        <f>VLOOKUP(C1872,'Preguntas de negocio'!$C$121:$D$127,2,FALSE)</f>
        <v>0.35</v>
      </c>
    </row>
    <row r="1873" spans="1:28" x14ac:dyDescent="0.3">
      <c r="A1873" s="1">
        <v>45800</v>
      </c>
      <c r="B1873" s="2" t="s">
        <v>2620</v>
      </c>
      <c r="C1873" s="2" t="s">
        <v>2533</v>
      </c>
      <c r="D1873" s="2" t="s">
        <v>2528</v>
      </c>
      <c r="E1873" s="2" t="s">
        <v>2529</v>
      </c>
      <c r="F1873" s="3">
        <v>153271</v>
      </c>
      <c r="G1873" s="3">
        <v>4361</v>
      </c>
      <c r="H1873" s="3">
        <v>27</v>
      </c>
      <c r="I1873" s="4">
        <v>3003.87</v>
      </c>
      <c r="J1873" s="4">
        <v>1174.8800000000001</v>
      </c>
      <c r="K1873" s="3">
        <v>18</v>
      </c>
      <c r="L1873" s="2" t="s">
        <v>2523</v>
      </c>
      <c r="M1873" s="2" t="s">
        <v>2519</v>
      </c>
      <c r="N1873" s="8">
        <f>IFERROR(G1873/F1873,0)</f>
        <v>2.8452871058452022E-2</v>
      </c>
      <c r="O1873" s="8">
        <f>IFERROR(H1873/G1873,0)</f>
        <v>6.1912405411602848E-3</v>
      </c>
      <c r="P1873" s="4">
        <f>IFERROR(I1873/G1873,0)</f>
        <v>0.68880302682870898</v>
      </c>
      <c r="Q1873" s="4">
        <f>IFERROR(I1873/H1873,0)</f>
        <v>111.25444444444445</v>
      </c>
      <c r="R1873" s="12">
        <f>IFERROR(J1873/I1873,0)</f>
        <v>0.39112211913298517</v>
      </c>
      <c r="S1873" s="7">
        <f>Tabla_nuevas_columnas[[#This Row],[ROAS]]</f>
        <v>0.39112211913298517</v>
      </c>
      <c r="T1873" t="str">
        <f>_xlfn.CONCAT(C1873,"-",D1873)</f>
        <v>Paid Social-España</v>
      </c>
      <c r="U1873">
        <f>YEAR(A1873)</f>
        <v>2025</v>
      </c>
      <c r="V1873">
        <f>MONTH(A1873)</f>
        <v>5</v>
      </c>
      <c r="W1873" t="str">
        <f>PROPER(TEXT(A1873,"mmmm"))</f>
        <v>Mayo</v>
      </c>
      <c r="X1873" t="str">
        <f>PROPER(TEXT(A1873,"dddd"))</f>
        <v>Viernes</v>
      </c>
      <c r="Y1873" t="str" cm="1">
        <f t="array" ref="Y1873">_xlfn.IFS(R1873&gt;10,"Excelente",R1873&gt;=5,"Bueno",R1873&gt;=2,"Débil",R1873&lt;2,"Deficiente")</f>
        <v>Deficiente</v>
      </c>
      <c r="Z1873" t="str">
        <f>IF(AND(R1873&lt;2,Q1873&gt;=100),"Revisar","OK")</f>
        <v>Revisar</v>
      </c>
      <c r="AA1873" s="55">
        <f>_xlfn.XLOOKUP(C1873,'Preguntas de negocio'!$C$114:$C$119,'Preguntas de negocio'!$D$114:$D$119,0)</f>
        <v>6</v>
      </c>
      <c r="AB1873" s="55">
        <f>VLOOKUP(C1873,'Preguntas de negocio'!$C$121:$D$127,2,FALSE)</f>
        <v>0.8</v>
      </c>
    </row>
    <row r="1874" spans="1:28" x14ac:dyDescent="0.3">
      <c r="A1874" s="1">
        <v>45965</v>
      </c>
      <c r="B1874" s="2" t="s">
        <v>2640</v>
      </c>
      <c r="C1874" s="2" t="s">
        <v>2533</v>
      </c>
      <c r="D1874" s="2" t="s">
        <v>2525</v>
      </c>
      <c r="E1874" s="2" t="s">
        <v>2517</v>
      </c>
      <c r="F1874" s="3">
        <v>80590</v>
      </c>
      <c r="G1874" s="3">
        <v>3985</v>
      </c>
      <c r="H1874" s="3">
        <v>280</v>
      </c>
      <c r="I1874" s="4">
        <v>2228.39</v>
      </c>
      <c r="J1874" s="4">
        <v>16841.28</v>
      </c>
      <c r="K1874" s="3">
        <v>199</v>
      </c>
      <c r="L1874" s="2" t="s">
        <v>2536</v>
      </c>
      <c r="M1874" s="2" t="s">
        <v>2526</v>
      </c>
      <c r="N1874" s="8">
        <f>IFERROR(G1874/F1874,0)</f>
        <v>4.9447822310460354E-2</v>
      </c>
      <c r="O1874" s="8">
        <f>IFERROR(H1874/G1874,0)</f>
        <v>7.0263488080301126E-2</v>
      </c>
      <c r="P1874" s="4">
        <f>IFERROR(I1874/G1874,0)</f>
        <v>0.5591944792973651</v>
      </c>
      <c r="Q1874" s="4">
        <f>IFERROR(I1874/H1874,0)</f>
        <v>7.9585357142857136</v>
      </c>
      <c r="R1874" s="12">
        <f>IFERROR(J1874/I1874,0)</f>
        <v>7.5575998815288168</v>
      </c>
      <c r="S1874" s="7">
        <f>Tabla_nuevas_columnas[[#This Row],[ROAS]]</f>
        <v>7.5575998815288168</v>
      </c>
      <c r="T1874" t="str">
        <f>_xlfn.CONCAT(C1874,"-",D1874)</f>
        <v>Paid Social-Francia</v>
      </c>
      <c r="U1874">
        <f>YEAR(A1874)</f>
        <v>2025</v>
      </c>
      <c r="V1874">
        <f>MONTH(A1874)</f>
        <v>11</v>
      </c>
      <c r="W1874" t="str">
        <f>PROPER(TEXT(A1874,"mmmm"))</f>
        <v>Noviembre</v>
      </c>
      <c r="X1874" t="str">
        <f>PROPER(TEXT(A1874,"dddd"))</f>
        <v>Martes</v>
      </c>
      <c r="Y1874" t="str" cm="1">
        <f t="array" ref="Y1874">_xlfn.IFS(R1874&gt;10,"Excelente",R1874&gt;=5,"Bueno",R1874&gt;=2,"Débil",R1874&lt;2,"Deficiente")</f>
        <v>Bueno</v>
      </c>
      <c r="Z1874" t="str">
        <f>IF(AND(R1874&lt;2,Q1874&gt;=100),"Revisar","OK")</f>
        <v>OK</v>
      </c>
      <c r="AA1874" s="55">
        <f>_xlfn.XLOOKUP(C1874,'Preguntas de negocio'!$C$114:$C$119,'Preguntas de negocio'!$D$114:$D$119,0)</f>
        <v>6</v>
      </c>
      <c r="AB1874" s="55">
        <f>VLOOKUP(C1874,'Preguntas de negocio'!$C$121:$D$127,2,FALSE)</f>
        <v>0.8</v>
      </c>
    </row>
    <row r="1875" spans="1:28" x14ac:dyDescent="0.3">
      <c r="A1875" s="1">
        <v>45782</v>
      </c>
      <c r="B1875" s="2" t="s">
        <v>2624</v>
      </c>
      <c r="C1875" s="2" t="s">
        <v>2515</v>
      </c>
      <c r="D1875" s="2" t="s">
        <v>2522</v>
      </c>
      <c r="E1875" s="2" t="s">
        <v>2529</v>
      </c>
      <c r="F1875" s="3">
        <v>119018</v>
      </c>
      <c r="G1875" s="3">
        <v>10423</v>
      </c>
      <c r="H1875" s="3">
        <v>206</v>
      </c>
      <c r="I1875" s="4">
        <v>11639.73</v>
      </c>
      <c r="J1875" s="4">
        <v>10962.59</v>
      </c>
      <c r="K1875" s="3">
        <v>118</v>
      </c>
      <c r="L1875" s="2" t="s">
        <v>2523</v>
      </c>
      <c r="M1875" s="2" t="s">
        <v>2537</v>
      </c>
      <c r="N1875" s="8">
        <f>IFERROR(G1875/F1875,0)</f>
        <v>8.7574988657177902E-2</v>
      </c>
      <c r="O1875" s="8">
        <f>IFERROR(H1875/G1875,0)</f>
        <v>1.9763983498033197E-2</v>
      </c>
      <c r="P1875" s="4">
        <f>IFERROR(I1875/G1875,0)</f>
        <v>1.1167351050561258</v>
      </c>
      <c r="Q1875" s="4">
        <f>IFERROR(I1875/H1875,0)</f>
        <v>56.503543689320388</v>
      </c>
      <c r="R1875" s="12">
        <f>IFERROR(J1875/I1875,0)</f>
        <v>0.94182511106357281</v>
      </c>
      <c r="S1875" s="7">
        <f>Tabla_nuevas_columnas[[#This Row],[ROAS]]</f>
        <v>0.94182511106357281</v>
      </c>
      <c r="T1875" t="str">
        <f>_xlfn.CONCAT(C1875,"-",D1875)</f>
        <v>Email-Italia</v>
      </c>
      <c r="U1875">
        <f>YEAR(A1875)</f>
        <v>2025</v>
      </c>
      <c r="V1875">
        <f>MONTH(A1875)</f>
        <v>5</v>
      </c>
      <c r="W1875" t="str">
        <f>PROPER(TEXT(A1875,"mmmm"))</f>
        <v>Mayo</v>
      </c>
      <c r="X1875" t="str">
        <f>PROPER(TEXT(A1875,"dddd"))</f>
        <v>Lunes</v>
      </c>
      <c r="Y1875" t="str" cm="1">
        <f t="array" ref="Y1875">_xlfn.IFS(R1875&gt;10,"Excelente",R1875&gt;=5,"Bueno",R1875&gt;=2,"Débil",R1875&lt;2,"Deficiente")</f>
        <v>Deficiente</v>
      </c>
      <c r="Z1875" t="str">
        <f>IF(AND(R1875&lt;2,Q1875&gt;=100),"Revisar","OK")</f>
        <v>OK</v>
      </c>
      <c r="AA1875" s="55">
        <f>_xlfn.XLOOKUP(C1875,'Preguntas de negocio'!$C$114:$C$119,'Preguntas de negocio'!$D$114:$D$119,0)</f>
        <v>5.5</v>
      </c>
      <c r="AB1875" s="55">
        <f>VLOOKUP(C1875,'Preguntas de negocio'!$C$121:$D$127,2,FALSE)</f>
        <v>0.65</v>
      </c>
    </row>
    <row r="1876" spans="1:28" x14ac:dyDescent="0.3">
      <c r="A1876" s="1">
        <v>45695</v>
      </c>
      <c r="B1876" s="2" t="s">
        <v>2616</v>
      </c>
      <c r="C1876" s="2" t="s">
        <v>2527</v>
      </c>
      <c r="D1876" s="2" t="s">
        <v>2516</v>
      </c>
      <c r="E1876" s="2" t="s">
        <v>2529</v>
      </c>
      <c r="F1876" s="3">
        <v>12131</v>
      </c>
      <c r="G1876" s="3">
        <v>98</v>
      </c>
      <c r="H1876" s="3">
        <v>9</v>
      </c>
      <c r="I1876" s="4">
        <v>85.25</v>
      </c>
      <c r="J1876" s="4">
        <v>734.79</v>
      </c>
      <c r="K1876" s="3">
        <v>7</v>
      </c>
      <c r="L1876" s="2" t="s">
        <v>2523</v>
      </c>
      <c r="M1876" s="2" t="s">
        <v>2546</v>
      </c>
      <c r="N1876" s="8">
        <f>IFERROR(G1876/F1876,0)</f>
        <v>8.0784766301211768E-3</v>
      </c>
      <c r="O1876" s="8">
        <f>IFERROR(H1876/G1876,0)</f>
        <v>9.1836734693877556E-2</v>
      </c>
      <c r="P1876" s="4">
        <f>IFERROR(I1876/G1876,0)</f>
        <v>0.86989795918367352</v>
      </c>
      <c r="Q1876" s="4">
        <f>IFERROR(I1876/H1876,0)</f>
        <v>9.4722222222222214</v>
      </c>
      <c r="R1876" s="12">
        <f>IFERROR(J1876/I1876,0)</f>
        <v>8.6192375366568914</v>
      </c>
      <c r="S1876" s="7">
        <f>Tabla_nuevas_columnas[[#This Row],[ROAS]]</f>
        <v>8.6192375366568914</v>
      </c>
      <c r="T1876" t="str">
        <f>_xlfn.CONCAT(C1876,"-",D1876)</f>
        <v>Affiliate-México</v>
      </c>
      <c r="U1876">
        <f>YEAR(A1876)</f>
        <v>2025</v>
      </c>
      <c r="V1876">
        <f>MONTH(A1876)</f>
        <v>2</v>
      </c>
      <c r="W1876" t="str">
        <f>PROPER(TEXT(A1876,"mmmm"))</f>
        <v>Febrero</v>
      </c>
      <c r="X1876" t="str">
        <f>PROPER(TEXT(A1876,"dddd"))</f>
        <v>Viernes</v>
      </c>
      <c r="Y1876" t="str" cm="1">
        <f t="array" ref="Y1876">_xlfn.IFS(R1876&gt;10,"Excelente",R1876&gt;=5,"Bueno",R1876&gt;=2,"Débil",R1876&lt;2,"Deficiente")</f>
        <v>Bueno</v>
      </c>
      <c r="Z1876" t="str">
        <f>IF(AND(R1876&lt;2,Q1876&gt;=100),"Revisar","OK")</f>
        <v>OK</v>
      </c>
      <c r="AA1876" s="55">
        <f>_xlfn.XLOOKUP(C1876,'Preguntas de negocio'!$C$114:$C$119,'Preguntas de negocio'!$D$114:$D$119,0)</f>
        <v>4.5</v>
      </c>
      <c r="AB1876" s="55">
        <f>VLOOKUP(C1876,'Preguntas de negocio'!$C$121:$D$127,2,FALSE)</f>
        <v>0.35</v>
      </c>
    </row>
    <row r="1877" spans="1:28" x14ac:dyDescent="0.3">
      <c r="A1877" s="1">
        <v>45987</v>
      </c>
      <c r="B1877" s="2" t="s">
        <v>2638</v>
      </c>
      <c r="C1877" s="2" t="s">
        <v>2527</v>
      </c>
      <c r="D1877" s="2" t="s">
        <v>2528</v>
      </c>
      <c r="E1877" s="2" t="s">
        <v>2517</v>
      </c>
      <c r="F1877" s="3">
        <v>39921</v>
      </c>
      <c r="G1877" s="3">
        <v>780</v>
      </c>
      <c r="H1877" s="3">
        <v>6</v>
      </c>
      <c r="I1877" s="4">
        <v>1284.75</v>
      </c>
      <c r="J1877" s="4">
        <v>1184.5899999999999</v>
      </c>
      <c r="K1877" s="3">
        <v>3</v>
      </c>
      <c r="L1877" s="2" t="s">
        <v>2539</v>
      </c>
      <c r="M1877" s="2" t="s">
        <v>2537</v>
      </c>
      <c r="N1877" s="8">
        <f>IFERROR(G1877/F1877,0)</f>
        <v>1.9538588712707597E-2</v>
      </c>
      <c r="O1877" s="8">
        <f>IFERROR(H1877/G1877,0)</f>
        <v>7.6923076923076927E-3</v>
      </c>
      <c r="P1877" s="4">
        <f>IFERROR(I1877/G1877,0)</f>
        <v>1.6471153846153845</v>
      </c>
      <c r="Q1877" s="4">
        <f>IFERROR(I1877/H1877,0)</f>
        <v>214.125</v>
      </c>
      <c r="R1877" s="12">
        <f>IFERROR(J1877/I1877,0)</f>
        <v>0.92203930725822136</v>
      </c>
      <c r="S1877" s="7">
        <f>Tabla_nuevas_columnas[[#This Row],[ROAS]]</f>
        <v>0.92203930725822136</v>
      </c>
      <c r="T1877" t="str">
        <f>_xlfn.CONCAT(C1877,"-",D1877)</f>
        <v>Affiliate-España</v>
      </c>
      <c r="U1877">
        <f>YEAR(A1877)</f>
        <v>2025</v>
      </c>
      <c r="V1877">
        <f>MONTH(A1877)</f>
        <v>11</v>
      </c>
      <c r="W1877" t="str">
        <f>PROPER(TEXT(A1877,"mmmm"))</f>
        <v>Noviembre</v>
      </c>
      <c r="X1877" t="str">
        <f>PROPER(TEXT(A1877,"dddd"))</f>
        <v>Miércoles</v>
      </c>
      <c r="Y1877" t="str" cm="1">
        <f t="array" ref="Y1877">_xlfn.IFS(R1877&gt;10,"Excelente",R1877&gt;=5,"Bueno",R1877&gt;=2,"Débil",R1877&lt;2,"Deficiente")</f>
        <v>Deficiente</v>
      </c>
      <c r="Z1877" t="str">
        <f>IF(AND(R1877&lt;2,Q1877&gt;=100),"Revisar","OK")</f>
        <v>Revisar</v>
      </c>
      <c r="AA1877" s="55">
        <f>_xlfn.XLOOKUP(C1877,'Preguntas de negocio'!$C$114:$C$119,'Preguntas de negocio'!$D$114:$D$119,0)</f>
        <v>4.5</v>
      </c>
      <c r="AB1877" s="55">
        <f>VLOOKUP(C1877,'Preguntas de negocio'!$C$121:$D$127,2,FALSE)</f>
        <v>0.35</v>
      </c>
    </row>
    <row r="1878" spans="1:28" x14ac:dyDescent="0.3">
      <c r="A1878" s="1">
        <v>45969</v>
      </c>
      <c r="B1878" s="2" t="s">
        <v>2622</v>
      </c>
      <c r="C1878" s="2" t="s">
        <v>2527</v>
      </c>
      <c r="D1878" s="2" t="s">
        <v>2528</v>
      </c>
      <c r="E1878" s="2" t="s">
        <v>2517</v>
      </c>
      <c r="F1878" s="3">
        <v>35956</v>
      </c>
      <c r="G1878" s="3">
        <v>1017</v>
      </c>
      <c r="H1878" s="3">
        <v>102</v>
      </c>
      <c r="I1878" s="4">
        <v>2030.72</v>
      </c>
      <c r="J1878" s="4">
        <v>12013.95</v>
      </c>
      <c r="K1878" s="3">
        <v>90</v>
      </c>
      <c r="L1878" s="2" t="s">
        <v>2539</v>
      </c>
      <c r="M1878" s="2" t="s">
        <v>2524</v>
      </c>
      <c r="N1878" s="8">
        <f>IFERROR(G1878/F1878,0)</f>
        <v>2.8284570030036711E-2</v>
      </c>
      <c r="O1878" s="8">
        <f>IFERROR(H1878/G1878,0)</f>
        <v>0.10029498525073746</v>
      </c>
      <c r="P1878" s="4">
        <f>IFERROR(I1878/G1878,0)</f>
        <v>1.9967748279252704</v>
      </c>
      <c r="Q1878" s="4">
        <f>IFERROR(I1878/H1878,0)</f>
        <v>19.909019607843138</v>
      </c>
      <c r="R1878" s="12">
        <f>IFERROR(J1878/I1878,0)</f>
        <v>5.9161036479672235</v>
      </c>
      <c r="S1878" s="7">
        <f>Tabla_nuevas_columnas[[#This Row],[ROAS]]</f>
        <v>5.9161036479672235</v>
      </c>
      <c r="T1878" t="str">
        <f>_xlfn.CONCAT(C1878,"-",D1878)</f>
        <v>Affiliate-España</v>
      </c>
      <c r="U1878">
        <f>YEAR(A1878)</f>
        <v>2025</v>
      </c>
      <c r="V1878">
        <f>MONTH(A1878)</f>
        <v>11</v>
      </c>
      <c r="W1878" t="str">
        <f>PROPER(TEXT(A1878,"mmmm"))</f>
        <v>Noviembre</v>
      </c>
      <c r="X1878" t="str">
        <f>PROPER(TEXT(A1878,"dddd"))</f>
        <v>Sábado</v>
      </c>
      <c r="Y1878" t="str" cm="1">
        <f t="array" ref="Y1878">_xlfn.IFS(R1878&gt;10,"Excelente",R1878&gt;=5,"Bueno",R1878&gt;=2,"Débil",R1878&lt;2,"Deficiente")</f>
        <v>Bueno</v>
      </c>
      <c r="Z1878" t="str">
        <f>IF(AND(R1878&lt;2,Q1878&gt;=100),"Revisar","OK")</f>
        <v>OK</v>
      </c>
      <c r="AA1878" s="55">
        <f>_xlfn.XLOOKUP(C1878,'Preguntas de negocio'!$C$114:$C$119,'Preguntas de negocio'!$D$114:$D$119,0)</f>
        <v>4.5</v>
      </c>
      <c r="AB1878" s="55">
        <f>VLOOKUP(C1878,'Preguntas de negocio'!$C$121:$D$127,2,FALSE)</f>
        <v>0.35</v>
      </c>
    </row>
    <row r="1879" spans="1:28" x14ac:dyDescent="0.3">
      <c r="A1879" s="1">
        <v>45679</v>
      </c>
      <c r="B1879" s="2" t="s">
        <v>2631</v>
      </c>
      <c r="C1879" s="2" t="s">
        <v>2543</v>
      </c>
      <c r="D1879" s="2" t="s">
        <v>2528</v>
      </c>
      <c r="E1879" s="2" t="s">
        <v>2517</v>
      </c>
      <c r="F1879" s="3">
        <v>138985</v>
      </c>
      <c r="G1879" s="3">
        <v>8834</v>
      </c>
      <c r="H1879" s="3">
        <v>430</v>
      </c>
      <c r="I1879" s="4">
        <v>4707.72</v>
      </c>
      <c r="J1879" s="4">
        <v>73397.649999999994</v>
      </c>
      <c r="K1879" s="3">
        <v>221</v>
      </c>
      <c r="L1879" s="2" t="s">
        <v>2536</v>
      </c>
      <c r="M1879" s="2" t="s">
        <v>2526</v>
      </c>
      <c r="N1879" s="8">
        <f>IFERROR(G1879/F1879,0)</f>
        <v>6.3560815915386551E-2</v>
      </c>
      <c r="O1879" s="8">
        <f>IFERROR(H1879/G1879,0)</f>
        <v>4.8675571654969434E-2</v>
      </c>
      <c r="P1879" s="4">
        <f>IFERROR(I1879/G1879,0)</f>
        <v>0.53290921439891337</v>
      </c>
      <c r="Q1879" s="4">
        <f>IFERROR(I1879/H1879,0)</f>
        <v>10.948186046511628</v>
      </c>
      <c r="R1879" s="12">
        <f>IFERROR(J1879/I1879,0)</f>
        <v>15.59091237371806</v>
      </c>
      <c r="S1879" s="7">
        <f>Tabla_nuevas_columnas[[#This Row],[ROAS]]</f>
        <v>15.59091237371806</v>
      </c>
      <c r="T1879" t="str">
        <f>_xlfn.CONCAT(C1879,"-",D1879)</f>
        <v>Organic Social-España</v>
      </c>
      <c r="U1879">
        <f>YEAR(A1879)</f>
        <v>2025</v>
      </c>
      <c r="V1879">
        <f>MONTH(A1879)</f>
        <v>1</v>
      </c>
      <c r="W1879" t="str">
        <f>PROPER(TEXT(A1879,"mmmm"))</f>
        <v>Enero</v>
      </c>
      <c r="X1879" t="str">
        <f>PROPER(TEXT(A1879,"dddd"))</f>
        <v>Miércoles</v>
      </c>
      <c r="Y1879" t="str" cm="1">
        <f t="array" ref="Y1879">_xlfn.IFS(R1879&gt;10,"Excelente",R1879&gt;=5,"Bueno",R1879&gt;=2,"Débil",R1879&lt;2,"Deficiente")</f>
        <v>Excelente</v>
      </c>
      <c r="Z1879" t="str">
        <f>IF(AND(R1879&lt;2,Q1879&gt;=100),"Revisar","OK")</f>
        <v>OK</v>
      </c>
      <c r="AA1879" s="55">
        <f>_xlfn.XLOOKUP(C1879,'Preguntas de negocio'!$C$114:$C$119,'Preguntas de negocio'!$D$114:$D$119,0)</f>
        <v>4</v>
      </c>
      <c r="AB1879" s="55">
        <f>VLOOKUP(C1879,'Preguntas de negocio'!$C$121:$D$127,2,FALSE)</f>
        <v>0.95</v>
      </c>
    </row>
    <row r="1880" spans="1:28" x14ac:dyDescent="0.3">
      <c r="A1880" s="1">
        <v>45918</v>
      </c>
      <c r="B1880" s="2" t="s">
        <v>2616</v>
      </c>
      <c r="C1880" s="2" t="s">
        <v>2527</v>
      </c>
      <c r="D1880" s="2" t="s">
        <v>2528</v>
      </c>
      <c r="E1880" s="2" t="s">
        <v>2517</v>
      </c>
      <c r="F1880" s="3">
        <v>59458</v>
      </c>
      <c r="G1880" s="3">
        <v>2241</v>
      </c>
      <c r="H1880" s="3">
        <v>298</v>
      </c>
      <c r="I1880" s="4">
        <v>1447.74</v>
      </c>
      <c r="J1880" s="4">
        <v>41737.980000000003</v>
      </c>
      <c r="K1880" s="3">
        <v>154</v>
      </c>
      <c r="L1880" s="2" t="s">
        <v>2523</v>
      </c>
      <c r="M1880" s="2" t="s">
        <v>2546</v>
      </c>
      <c r="N1880" s="8">
        <f>IFERROR(G1880/F1880,0)</f>
        <v>3.7690470584277977E-2</v>
      </c>
      <c r="O1880" s="8">
        <f>IFERROR(H1880/G1880,0)</f>
        <v>0.13297634984381973</v>
      </c>
      <c r="P1880" s="4">
        <f>IFERROR(I1880/G1880,0)</f>
        <v>0.64602409638554215</v>
      </c>
      <c r="Q1880" s="4">
        <f>IFERROR(I1880/H1880,0)</f>
        <v>4.858187919463087</v>
      </c>
      <c r="R1880" s="12">
        <f>IFERROR(J1880/I1880,0)</f>
        <v>28.829748435492561</v>
      </c>
      <c r="S1880" s="7">
        <f>Tabla_nuevas_columnas[[#This Row],[ROAS]]</f>
        <v>28.829748435492561</v>
      </c>
      <c r="T1880" t="str">
        <f>_xlfn.CONCAT(C1880,"-",D1880)</f>
        <v>Affiliate-España</v>
      </c>
      <c r="U1880">
        <f>YEAR(A1880)</f>
        <v>2025</v>
      </c>
      <c r="V1880">
        <f>MONTH(A1880)</f>
        <v>9</v>
      </c>
      <c r="W1880" t="str">
        <f>PROPER(TEXT(A1880,"mmmm"))</f>
        <v>Septiembre</v>
      </c>
      <c r="X1880" t="str">
        <f>PROPER(TEXT(A1880,"dddd"))</f>
        <v>Jueves</v>
      </c>
      <c r="Y1880" t="str" cm="1">
        <f t="array" ref="Y1880">_xlfn.IFS(R1880&gt;10,"Excelente",R1880&gt;=5,"Bueno",R1880&gt;=2,"Débil",R1880&lt;2,"Deficiente")</f>
        <v>Excelente</v>
      </c>
      <c r="Z1880" t="str">
        <f>IF(AND(R1880&lt;2,Q1880&gt;=100),"Revisar","OK")</f>
        <v>OK</v>
      </c>
      <c r="AA1880" s="55">
        <f>_xlfn.XLOOKUP(C1880,'Preguntas de negocio'!$C$114:$C$119,'Preguntas de negocio'!$D$114:$D$119,0)</f>
        <v>4.5</v>
      </c>
      <c r="AB1880" s="55">
        <f>VLOOKUP(C1880,'Preguntas de negocio'!$C$121:$D$127,2,FALSE)</f>
        <v>0.35</v>
      </c>
    </row>
    <row r="1881" spans="1:28" x14ac:dyDescent="0.3">
      <c r="A1881" s="1">
        <v>46010</v>
      </c>
      <c r="B1881" s="2" t="s">
        <v>2639</v>
      </c>
      <c r="C1881" s="2" t="s">
        <v>2543</v>
      </c>
      <c r="D1881" s="2" t="s">
        <v>2516</v>
      </c>
      <c r="E1881" s="2" t="s">
        <v>2517</v>
      </c>
      <c r="F1881" s="3">
        <v>157363</v>
      </c>
      <c r="G1881" s="3">
        <v>7694</v>
      </c>
      <c r="H1881" s="3">
        <v>242</v>
      </c>
      <c r="I1881" s="4">
        <v>14323.28</v>
      </c>
      <c r="J1881" s="4">
        <v>16875.37</v>
      </c>
      <c r="K1881" s="3">
        <v>192</v>
      </c>
      <c r="L1881" s="2" t="s">
        <v>2539</v>
      </c>
      <c r="M1881" s="2" t="s">
        <v>2526</v>
      </c>
      <c r="N1881" s="8">
        <f>IFERROR(G1881/F1881,0)</f>
        <v>4.8893323081029214E-2</v>
      </c>
      <c r="O1881" s="8">
        <f>IFERROR(H1881/G1881,0)</f>
        <v>3.1453080322329088E-2</v>
      </c>
      <c r="P1881" s="4">
        <f>IFERROR(I1881/G1881,0)</f>
        <v>1.8616168442942553</v>
      </c>
      <c r="Q1881" s="4">
        <f>IFERROR(I1881/H1881,0)</f>
        <v>59.187107438016533</v>
      </c>
      <c r="R1881" s="12">
        <f>IFERROR(J1881/I1881,0)</f>
        <v>1.1781777637524364</v>
      </c>
      <c r="S1881" s="7">
        <f>Tabla_nuevas_columnas[[#This Row],[ROAS]]</f>
        <v>1.1781777637524364</v>
      </c>
      <c r="T1881" t="str">
        <f>_xlfn.CONCAT(C1881,"-",D1881)</f>
        <v>Organic Social-México</v>
      </c>
      <c r="U1881">
        <f>YEAR(A1881)</f>
        <v>2025</v>
      </c>
      <c r="V1881">
        <f>MONTH(A1881)</f>
        <v>12</v>
      </c>
      <c r="W1881" t="str">
        <f>PROPER(TEXT(A1881,"mmmm"))</f>
        <v>Diciembre</v>
      </c>
      <c r="X1881" t="str">
        <f>PROPER(TEXT(A1881,"dddd"))</f>
        <v>Viernes</v>
      </c>
      <c r="Y1881" t="str" cm="1">
        <f t="array" ref="Y1881">_xlfn.IFS(R1881&gt;10,"Excelente",R1881&gt;=5,"Bueno",R1881&gt;=2,"Débil",R1881&lt;2,"Deficiente")</f>
        <v>Deficiente</v>
      </c>
      <c r="Z1881" t="str">
        <f>IF(AND(R1881&lt;2,Q1881&gt;=100),"Revisar","OK")</f>
        <v>OK</v>
      </c>
      <c r="AA1881" s="55">
        <f>_xlfn.XLOOKUP(C1881,'Preguntas de negocio'!$C$114:$C$119,'Preguntas de negocio'!$D$114:$D$119,0)</f>
        <v>4</v>
      </c>
      <c r="AB1881" s="55">
        <f>VLOOKUP(C1881,'Preguntas de negocio'!$C$121:$D$127,2,FALSE)</f>
        <v>0.95</v>
      </c>
    </row>
    <row r="1882" spans="1:28" x14ac:dyDescent="0.3">
      <c r="A1882" s="1">
        <v>45758</v>
      </c>
      <c r="B1882" s="2" t="s">
        <v>2628</v>
      </c>
      <c r="C1882" s="2" t="s">
        <v>2527</v>
      </c>
      <c r="D1882" s="2" t="s">
        <v>2528</v>
      </c>
      <c r="E1882" s="2" t="s">
        <v>2529</v>
      </c>
      <c r="F1882" s="3">
        <v>166554</v>
      </c>
      <c r="G1882" s="3">
        <v>5839</v>
      </c>
      <c r="H1882" s="3">
        <v>315</v>
      </c>
      <c r="I1882" s="4">
        <v>8298.14</v>
      </c>
      <c r="J1882" s="4">
        <v>23373.65</v>
      </c>
      <c r="K1882" s="3">
        <v>184</v>
      </c>
      <c r="L1882" s="2" t="s">
        <v>2536</v>
      </c>
      <c r="M1882" s="2" t="s">
        <v>2519</v>
      </c>
      <c r="N1882" s="8">
        <f>IFERROR(G1882/F1882,0)</f>
        <v>3.5057699004527057E-2</v>
      </c>
      <c r="O1882" s="8">
        <f>IFERROR(H1882/G1882,0)</f>
        <v>5.3947593766055832E-2</v>
      </c>
      <c r="P1882" s="4">
        <f>IFERROR(I1882/G1882,0)</f>
        <v>1.4211577324884397</v>
      </c>
      <c r="Q1882" s="4">
        <f>IFERROR(I1882/H1882,0)</f>
        <v>26.343301587301585</v>
      </c>
      <c r="R1882" s="12">
        <f>IFERROR(J1882/I1882,0)</f>
        <v>2.8167336294639527</v>
      </c>
      <c r="S1882" s="7">
        <f>Tabla_nuevas_columnas[[#This Row],[ROAS]]</f>
        <v>2.8167336294639527</v>
      </c>
      <c r="T1882" t="str">
        <f>_xlfn.CONCAT(C1882,"-",D1882)</f>
        <v>Affiliate-España</v>
      </c>
      <c r="U1882">
        <f>YEAR(A1882)</f>
        <v>2025</v>
      </c>
      <c r="V1882">
        <f>MONTH(A1882)</f>
        <v>4</v>
      </c>
      <c r="W1882" t="str">
        <f>PROPER(TEXT(A1882,"mmmm"))</f>
        <v>Abril</v>
      </c>
      <c r="X1882" t="str">
        <f>PROPER(TEXT(A1882,"dddd"))</f>
        <v>Viernes</v>
      </c>
      <c r="Y1882" t="str" cm="1">
        <f t="array" ref="Y1882">_xlfn.IFS(R1882&gt;10,"Excelente",R1882&gt;=5,"Bueno",R1882&gt;=2,"Débil",R1882&lt;2,"Deficiente")</f>
        <v>Débil</v>
      </c>
      <c r="Z1882" t="str">
        <f>IF(AND(R1882&lt;2,Q1882&gt;=100),"Revisar","OK")</f>
        <v>OK</v>
      </c>
      <c r="AA1882" s="55">
        <f>_xlfn.XLOOKUP(C1882,'Preguntas de negocio'!$C$114:$C$119,'Preguntas de negocio'!$D$114:$D$119,0)</f>
        <v>4.5</v>
      </c>
      <c r="AB1882" s="55">
        <f>VLOOKUP(C1882,'Preguntas de negocio'!$C$121:$D$127,2,FALSE)</f>
        <v>0.35</v>
      </c>
    </row>
    <row r="1883" spans="1:28" x14ac:dyDescent="0.3">
      <c r="A1883" s="1">
        <v>45864</v>
      </c>
      <c r="B1883" s="2" t="s">
        <v>2615</v>
      </c>
      <c r="C1883" s="2" t="s">
        <v>2521</v>
      </c>
      <c r="D1883" s="2" t="s">
        <v>2528</v>
      </c>
      <c r="E1883" s="2" t="s">
        <v>2529</v>
      </c>
      <c r="F1883" s="3">
        <v>25120</v>
      </c>
      <c r="G1883" s="3">
        <v>2123</v>
      </c>
      <c r="H1883" s="3">
        <v>86</v>
      </c>
      <c r="I1883" s="4">
        <v>2715.22</v>
      </c>
      <c r="J1883" s="4">
        <v>2690.07</v>
      </c>
      <c r="K1883" s="3">
        <v>46</v>
      </c>
      <c r="L1883" s="2" t="s">
        <v>2539</v>
      </c>
      <c r="M1883" s="2" t="s">
        <v>2546</v>
      </c>
      <c r="N1883" s="8">
        <f>IFERROR(G1883/F1883,0)</f>
        <v>8.4514331210191085E-2</v>
      </c>
      <c r="O1883" s="8">
        <f>IFERROR(H1883/G1883,0)</f>
        <v>4.0508714083843621E-2</v>
      </c>
      <c r="P1883" s="4">
        <f>IFERROR(I1883/G1883,0)</f>
        <v>1.2789543099387659</v>
      </c>
      <c r="Q1883" s="4">
        <f>IFERROR(I1883/H1883,0)</f>
        <v>31.572325581395347</v>
      </c>
      <c r="R1883" s="12">
        <f>IFERROR(J1883/I1883,0)</f>
        <v>0.9907373988111462</v>
      </c>
      <c r="S1883" s="7">
        <f>Tabla_nuevas_columnas[[#This Row],[ROAS]]</f>
        <v>0.9907373988111462</v>
      </c>
      <c r="T1883" t="str">
        <f>_xlfn.CONCAT(C1883,"-",D1883)</f>
        <v>Paid Search-España</v>
      </c>
      <c r="U1883">
        <f>YEAR(A1883)</f>
        <v>2025</v>
      </c>
      <c r="V1883">
        <f>MONTH(A1883)</f>
        <v>7</v>
      </c>
      <c r="W1883" t="str">
        <f>PROPER(TEXT(A1883,"mmmm"))</f>
        <v>Julio</v>
      </c>
      <c r="X1883" t="str">
        <f>PROPER(TEXT(A1883,"dddd"))</f>
        <v>Sábado</v>
      </c>
      <c r="Y1883" t="str" cm="1">
        <f t="array" ref="Y1883">_xlfn.IFS(R1883&gt;10,"Excelente",R1883&gt;=5,"Bueno",R1883&gt;=2,"Débil",R1883&lt;2,"Deficiente")</f>
        <v>Deficiente</v>
      </c>
      <c r="Z1883" t="str">
        <f>IF(AND(R1883&lt;2,Q1883&gt;=100),"Revisar","OK")</f>
        <v>OK</v>
      </c>
      <c r="AA1883" s="55">
        <f>_xlfn.XLOOKUP(C1883,'Preguntas de negocio'!$C$114:$C$119,'Preguntas de negocio'!$D$114:$D$119,0)</f>
        <v>5</v>
      </c>
      <c r="AB1883" s="55">
        <f>VLOOKUP(C1883,'Preguntas de negocio'!$C$121:$D$127,2,FALSE)</f>
        <v>1.1000000000000001</v>
      </c>
    </row>
    <row r="1884" spans="1:28" x14ac:dyDescent="0.3">
      <c r="A1884" s="1">
        <v>45760</v>
      </c>
      <c r="B1884" s="2" t="s">
        <v>2633</v>
      </c>
      <c r="C1884" s="2" t="s">
        <v>2515</v>
      </c>
      <c r="D1884" s="2" t="s">
        <v>2525</v>
      </c>
      <c r="E1884" s="2" t="s">
        <v>2517</v>
      </c>
      <c r="F1884" s="3">
        <v>118486</v>
      </c>
      <c r="G1884" s="3">
        <v>10086</v>
      </c>
      <c r="H1884" s="3">
        <v>10092</v>
      </c>
      <c r="I1884" s="4">
        <v>4646.57</v>
      </c>
      <c r="J1884" s="4">
        <v>74476.759999999995</v>
      </c>
      <c r="K1884" s="3">
        <v>327</v>
      </c>
      <c r="L1884" s="2" t="s">
        <v>2539</v>
      </c>
      <c r="M1884" s="2" t="s">
        <v>2537</v>
      </c>
      <c r="N1884" s="8">
        <f>IFERROR(G1884/F1884,0)</f>
        <v>8.5123980892257312E-2</v>
      </c>
      <c r="O1884" s="8">
        <f>IFERROR(H1884/G1884,0)</f>
        <v>1.0005948839976204</v>
      </c>
      <c r="P1884" s="4">
        <f>IFERROR(I1884/G1884,0)</f>
        <v>0.46069502280388652</v>
      </c>
      <c r="Q1884" s="4">
        <f>IFERROR(I1884/H1884,0)</f>
        <v>0.4604211256440745</v>
      </c>
      <c r="R1884" s="12">
        <f>IFERROR(J1884/I1884,0)</f>
        <v>16.02833057502631</v>
      </c>
      <c r="S1884" s="7">
        <f>Tabla_nuevas_columnas[[#This Row],[ROAS]]</f>
        <v>16.02833057502631</v>
      </c>
      <c r="T1884" t="str">
        <f>_xlfn.CONCAT(C1884,"-",D1884)</f>
        <v>Email-Francia</v>
      </c>
      <c r="U1884">
        <f>YEAR(A1884)</f>
        <v>2025</v>
      </c>
      <c r="V1884">
        <f>MONTH(A1884)</f>
        <v>4</v>
      </c>
      <c r="W1884" t="str">
        <f>PROPER(TEXT(A1884,"mmmm"))</f>
        <v>Abril</v>
      </c>
      <c r="X1884" t="str">
        <f>PROPER(TEXT(A1884,"dddd"))</f>
        <v>Domingo</v>
      </c>
      <c r="Y1884" t="str" cm="1">
        <f t="array" ref="Y1884">_xlfn.IFS(R1884&gt;10,"Excelente",R1884&gt;=5,"Bueno",R1884&gt;=2,"Débil",R1884&lt;2,"Deficiente")</f>
        <v>Excelente</v>
      </c>
      <c r="Z1884" t="str">
        <f>IF(AND(R1884&lt;2,Q1884&gt;=100),"Revisar","OK")</f>
        <v>OK</v>
      </c>
      <c r="AA1884" s="55">
        <f>_xlfn.XLOOKUP(C1884,'Preguntas de negocio'!$C$114:$C$119,'Preguntas de negocio'!$D$114:$D$119,0)</f>
        <v>5.5</v>
      </c>
      <c r="AB1884" s="55">
        <f>VLOOKUP(C1884,'Preguntas de negocio'!$C$121:$D$127,2,FALSE)</f>
        <v>0.65</v>
      </c>
    </row>
    <row r="1885" spans="1:28" x14ac:dyDescent="0.3">
      <c r="A1885" s="1">
        <v>45948</v>
      </c>
      <c r="B1885" s="2" t="s">
        <v>2626</v>
      </c>
      <c r="C1885" s="2" t="s">
        <v>2515</v>
      </c>
      <c r="D1885" s="2" t="s">
        <v>2525</v>
      </c>
      <c r="E1885" s="2" t="s">
        <v>2529</v>
      </c>
      <c r="F1885" s="3">
        <v>69602</v>
      </c>
      <c r="G1885" s="3">
        <v>5574</v>
      </c>
      <c r="H1885" s="3">
        <v>59</v>
      </c>
      <c r="I1885" s="4">
        <v>4069.89</v>
      </c>
      <c r="J1885" s="4">
        <v>1936.86</v>
      </c>
      <c r="K1885" s="3">
        <v>37</v>
      </c>
      <c r="L1885" s="2" t="s">
        <v>2523</v>
      </c>
      <c r="M1885" s="2" t="s">
        <v>2524</v>
      </c>
      <c r="N1885" s="8">
        <f>IFERROR(G1885/F1885,0)</f>
        <v>8.008390563489555E-2</v>
      </c>
      <c r="O1885" s="8">
        <f>IFERROR(H1885/G1885,0)</f>
        <v>1.0584858270541802E-2</v>
      </c>
      <c r="P1885" s="4">
        <f>IFERROR(I1885/G1885,0)</f>
        <v>0.73015608180839608</v>
      </c>
      <c r="Q1885" s="4">
        <f>IFERROR(I1885/H1885,0)</f>
        <v>68.981186440677959</v>
      </c>
      <c r="R1885" s="12">
        <f>IFERROR(J1885/I1885,0)</f>
        <v>0.47589984004481695</v>
      </c>
      <c r="S1885" s="7">
        <f>Tabla_nuevas_columnas[[#This Row],[ROAS]]</f>
        <v>0.47589984004481695</v>
      </c>
      <c r="T1885" t="str">
        <f>_xlfn.CONCAT(C1885,"-",D1885)</f>
        <v>Email-Francia</v>
      </c>
      <c r="U1885">
        <f>YEAR(A1885)</f>
        <v>2025</v>
      </c>
      <c r="V1885">
        <f>MONTH(A1885)</f>
        <v>10</v>
      </c>
      <c r="W1885" t="str">
        <f>PROPER(TEXT(A1885,"mmmm"))</f>
        <v>Octubre</v>
      </c>
      <c r="X1885" t="str">
        <f>PROPER(TEXT(A1885,"dddd"))</f>
        <v>Sábado</v>
      </c>
      <c r="Y1885" t="str" cm="1">
        <f t="array" ref="Y1885">_xlfn.IFS(R1885&gt;10,"Excelente",R1885&gt;=5,"Bueno",R1885&gt;=2,"Débil",R1885&lt;2,"Deficiente")</f>
        <v>Deficiente</v>
      </c>
      <c r="Z1885" t="str">
        <f>IF(AND(R1885&lt;2,Q1885&gt;=100),"Revisar","OK")</f>
        <v>OK</v>
      </c>
      <c r="AA1885" s="55">
        <f>_xlfn.XLOOKUP(C1885,'Preguntas de negocio'!$C$114:$C$119,'Preguntas de negocio'!$D$114:$D$119,0)</f>
        <v>5.5</v>
      </c>
      <c r="AB1885" s="55">
        <f>VLOOKUP(C1885,'Preguntas de negocio'!$C$121:$D$127,2,FALSE)</f>
        <v>0.65</v>
      </c>
    </row>
    <row r="1886" spans="1:28" x14ac:dyDescent="0.3">
      <c r="A1886" s="1">
        <v>45771</v>
      </c>
      <c r="B1886" s="2" t="s">
        <v>2628</v>
      </c>
      <c r="C1886" s="2" t="s">
        <v>2543</v>
      </c>
      <c r="D1886" s="2" t="s">
        <v>2516</v>
      </c>
      <c r="E1886" s="2" t="s">
        <v>2529</v>
      </c>
      <c r="F1886" s="3">
        <v>17800</v>
      </c>
      <c r="G1886" s="3">
        <v>814</v>
      </c>
      <c r="H1886" s="3">
        <v>24</v>
      </c>
      <c r="I1886" s="4">
        <v>1487.15</v>
      </c>
      <c r="J1886" s="4">
        <v>4936.29</v>
      </c>
      <c r="K1886" s="3">
        <v>14</v>
      </c>
      <c r="L1886" s="2" t="s">
        <v>2539</v>
      </c>
      <c r="M1886" s="2" t="s">
        <v>2537</v>
      </c>
      <c r="N1886" s="8">
        <f>IFERROR(G1886/F1886,0)</f>
        <v>4.5730337078651685E-2</v>
      </c>
      <c r="O1886" s="8">
        <f>IFERROR(H1886/G1886,0)</f>
        <v>2.9484029484029485E-2</v>
      </c>
      <c r="P1886" s="4">
        <f>IFERROR(I1886/G1886,0)</f>
        <v>1.826965601965602</v>
      </c>
      <c r="Q1886" s="4">
        <f>IFERROR(I1886/H1886,0)</f>
        <v>61.964583333333337</v>
      </c>
      <c r="R1886" s="12">
        <f>IFERROR(J1886/I1886,0)</f>
        <v>3.3192952963722555</v>
      </c>
      <c r="S1886" s="7">
        <f>Tabla_nuevas_columnas[[#This Row],[ROAS]]</f>
        <v>3.3192952963722555</v>
      </c>
      <c r="T1886" t="str">
        <f>_xlfn.CONCAT(C1886,"-",D1886)</f>
        <v>Organic Social-México</v>
      </c>
      <c r="U1886">
        <f>YEAR(A1886)</f>
        <v>2025</v>
      </c>
      <c r="V1886">
        <f>MONTH(A1886)</f>
        <v>4</v>
      </c>
      <c r="W1886" t="str">
        <f>PROPER(TEXT(A1886,"mmmm"))</f>
        <v>Abril</v>
      </c>
      <c r="X1886" t="str">
        <f>PROPER(TEXT(A1886,"dddd"))</f>
        <v>Jueves</v>
      </c>
      <c r="Y1886" t="str" cm="1">
        <f t="array" ref="Y1886">_xlfn.IFS(R1886&gt;10,"Excelente",R1886&gt;=5,"Bueno",R1886&gt;=2,"Débil",R1886&lt;2,"Deficiente")</f>
        <v>Débil</v>
      </c>
      <c r="Z1886" t="str">
        <f>IF(AND(R1886&lt;2,Q1886&gt;=100),"Revisar","OK")</f>
        <v>OK</v>
      </c>
      <c r="AA1886" s="55">
        <f>_xlfn.XLOOKUP(C1886,'Preguntas de negocio'!$C$114:$C$119,'Preguntas de negocio'!$D$114:$D$119,0)</f>
        <v>4</v>
      </c>
      <c r="AB1886" s="55">
        <f>VLOOKUP(C1886,'Preguntas de negocio'!$C$121:$D$127,2,FALSE)</f>
        <v>0.95</v>
      </c>
    </row>
    <row r="1887" spans="1:28" x14ac:dyDescent="0.3">
      <c r="A1887" s="1">
        <v>46016</v>
      </c>
      <c r="B1887" s="2" t="s">
        <v>2622</v>
      </c>
      <c r="C1887" s="2" t="s">
        <v>2541</v>
      </c>
      <c r="D1887" s="2" t="s">
        <v>2528</v>
      </c>
      <c r="E1887" s="2" t="s">
        <v>2534</v>
      </c>
      <c r="F1887" s="3">
        <v>51472</v>
      </c>
      <c r="G1887" s="3">
        <v>3131</v>
      </c>
      <c r="H1887" s="3">
        <v>430</v>
      </c>
      <c r="I1887" s="4">
        <v>6397.83</v>
      </c>
      <c r="J1887" s="4">
        <v>44922.43</v>
      </c>
      <c r="K1887" s="3">
        <v>213</v>
      </c>
      <c r="L1887" s="2" t="s">
        <v>2539</v>
      </c>
      <c r="M1887" s="2" t="s">
        <v>2526</v>
      </c>
      <c r="N1887" s="8">
        <f>IFERROR(G1887/F1887,0)</f>
        <v>6.082918868511035E-2</v>
      </c>
      <c r="O1887" s="8">
        <f>IFERROR(H1887/G1887,0)</f>
        <v>0.13733631427658896</v>
      </c>
      <c r="P1887" s="4">
        <f>IFERROR(I1887/G1887,0)</f>
        <v>2.0433823059725329</v>
      </c>
      <c r="Q1887" s="4">
        <f>IFERROR(I1887/H1887,0)</f>
        <v>14.878674418604652</v>
      </c>
      <c r="R1887" s="12">
        <f>IFERROR(J1887/I1887,0)</f>
        <v>7.0215104183762307</v>
      </c>
      <c r="S1887" s="7">
        <f>Tabla_nuevas_columnas[[#This Row],[ROAS]]</f>
        <v>7.0215104183762307</v>
      </c>
      <c r="T1887" t="str">
        <f>_xlfn.CONCAT(C1887,"-",D1887)</f>
        <v>Display-España</v>
      </c>
      <c r="U1887">
        <f>YEAR(A1887)</f>
        <v>2025</v>
      </c>
      <c r="V1887">
        <f>MONTH(A1887)</f>
        <v>12</v>
      </c>
      <c r="W1887" t="str">
        <f>PROPER(TEXT(A1887,"mmmm"))</f>
        <v>Diciembre</v>
      </c>
      <c r="X1887" t="str">
        <f>PROPER(TEXT(A1887,"dddd"))</f>
        <v>Jueves</v>
      </c>
      <c r="Y1887" t="str" cm="1">
        <f t="array" ref="Y1887">_xlfn.IFS(R1887&gt;10,"Excelente",R1887&gt;=5,"Bueno",R1887&gt;=2,"Débil",R1887&lt;2,"Deficiente")</f>
        <v>Bueno</v>
      </c>
      <c r="Z1887" t="str">
        <f>IF(AND(R1887&lt;2,Q1887&gt;=100),"Revisar","OK")</f>
        <v>OK</v>
      </c>
      <c r="AA1887" s="55">
        <f>_xlfn.XLOOKUP(C1887,'Preguntas de negocio'!$C$114:$C$119,'Preguntas de negocio'!$D$114:$D$119,0)</f>
        <v>5</v>
      </c>
      <c r="AB1887" s="55">
        <f>VLOOKUP(C1887,'Preguntas de negocio'!$C$121:$D$127,2,FALSE)</f>
        <v>0.5</v>
      </c>
    </row>
    <row r="1888" spans="1:28" x14ac:dyDescent="0.3">
      <c r="A1888" s="1">
        <v>45693</v>
      </c>
      <c r="B1888" s="2" t="s">
        <v>2618</v>
      </c>
      <c r="C1888" s="2" t="s">
        <v>2543</v>
      </c>
      <c r="D1888" s="2" t="s">
        <v>2528</v>
      </c>
      <c r="E1888" s="2" t="s">
        <v>2534</v>
      </c>
      <c r="F1888" s="3">
        <v>155342</v>
      </c>
      <c r="G1888" s="3">
        <v>9491</v>
      </c>
      <c r="H1888" s="3">
        <v>164</v>
      </c>
      <c r="I1888" s="4">
        <v>6288.72</v>
      </c>
      <c r="J1888" s="4">
        <v>2754.04</v>
      </c>
      <c r="K1888" s="3">
        <v>92</v>
      </c>
      <c r="L1888" s="2" t="s">
        <v>2539</v>
      </c>
      <c r="M1888" s="2" t="s">
        <v>2546</v>
      </c>
      <c r="N1888" s="8">
        <f>IFERROR(G1888/F1888,0)</f>
        <v>6.1097449498525837E-2</v>
      </c>
      <c r="O1888" s="8">
        <f>IFERROR(H1888/G1888,0)</f>
        <v>1.7279527973869981E-2</v>
      </c>
      <c r="P1888" s="4">
        <f>IFERROR(I1888/G1888,0)</f>
        <v>0.66259825097460756</v>
      </c>
      <c r="Q1888" s="4">
        <f>IFERROR(I1888/H1888,0)</f>
        <v>38.345853658536583</v>
      </c>
      <c r="R1888" s="12">
        <f>IFERROR(J1888/I1888,0)</f>
        <v>0.43793331552366777</v>
      </c>
      <c r="S1888" s="7">
        <f>Tabla_nuevas_columnas[[#This Row],[ROAS]]</f>
        <v>0.43793331552366777</v>
      </c>
      <c r="T1888" t="str">
        <f>_xlfn.CONCAT(C1888,"-",D1888)</f>
        <v>Organic Social-España</v>
      </c>
      <c r="U1888">
        <f>YEAR(A1888)</f>
        <v>2025</v>
      </c>
      <c r="V1888">
        <f>MONTH(A1888)</f>
        <v>2</v>
      </c>
      <c r="W1888" t="str">
        <f>PROPER(TEXT(A1888,"mmmm"))</f>
        <v>Febrero</v>
      </c>
      <c r="X1888" t="str">
        <f>PROPER(TEXT(A1888,"dddd"))</f>
        <v>Miércoles</v>
      </c>
      <c r="Y1888" t="str" cm="1">
        <f t="array" ref="Y1888">_xlfn.IFS(R1888&gt;10,"Excelente",R1888&gt;=5,"Bueno",R1888&gt;=2,"Débil",R1888&lt;2,"Deficiente")</f>
        <v>Deficiente</v>
      </c>
      <c r="Z1888" t="str">
        <f>IF(AND(R1888&lt;2,Q1888&gt;=100),"Revisar","OK")</f>
        <v>OK</v>
      </c>
      <c r="AA1888" s="55">
        <f>_xlfn.XLOOKUP(C1888,'Preguntas de negocio'!$C$114:$C$119,'Preguntas de negocio'!$D$114:$D$119,0)</f>
        <v>4</v>
      </c>
      <c r="AB1888" s="55">
        <f>VLOOKUP(C1888,'Preguntas de negocio'!$C$121:$D$127,2,FALSE)</f>
        <v>0.95</v>
      </c>
    </row>
    <row r="1889" spans="1:28" x14ac:dyDescent="0.3">
      <c r="A1889" s="1">
        <v>45726</v>
      </c>
      <c r="B1889" s="2" t="s">
        <v>2630</v>
      </c>
      <c r="C1889" s="2" t="s">
        <v>2527</v>
      </c>
      <c r="D1889" s="2" t="s">
        <v>2528</v>
      </c>
      <c r="E1889" s="2" t="s">
        <v>2517</v>
      </c>
      <c r="F1889" s="3">
        <v>133922</v>
      </c>
      <c r="G1889" s="3">
        <v>11643</v>
      </c>
      <c r="H1889" s="3">
        <v>292</v>
      </c>
      <c r="I1889" s="4">
        <v>22990.62</v>
      </c>
      <c r="J1889" s="4">
        <v>38986.5</v>
      </c>
      <c r="K1889" s="3">
        <v>250</v>
      </c>
      <c r="L1889" s="2" t="s">
        <v>2539</v>
      </c>
      <c r="M1889" s="2" t="s">
        <v>2537</v>
      </c>
      <c r="N1889" s="8">
        <f>IFERROR(G1889/F1889,0)</f>
        <v>8.6938665790534789E-2</v>
      </c>
      <c r="O1889" s="8">
        <f>IFERROR(H1889/G1889,0)</f>
        <v>2.5079446877952417E-2</v>
      </c>
      <c r="P1889" s="4">
        <f>IFERROR(I1889/G1889,0)</f>
        <v>1.9746302499355834</v>
      </c>
      <c r="Q1889" s="4">
        <f>IFERROR(I1889/H1889,0)</f>
        <v>78.734999999999999</v>
      </c>
      <c r="R1889" s="12">
        <f>IFERROR(J1889/I1889,0)</f>
        <v>1.695756791247909</v>
      </c>
      <c r="S1889" s="7">
        <f>Tabla_nuevas_columnas[[#This Row],[ROAS]]</f>
        <v>1.695756791247909</v>
      </c>
      <c r="T1889" t="str">
        <f>_xlfn.CONCAT(C1889,"-",D1889)</f>
        <v>Affiliate-España</v>
      </c>
      <c r="U1889">
        <f>YEAR(A1889)</f>
        <v>2025</v>
      </c>
      <c r="V1889">
        <f>MONTH(A1889)</f>
        <v>3</v>
      </c>
      <c r="W1889" t="str">
        <f>PROPER(TEXT(A1889,"mmmm"))</f>
        <v>Marzo</v>
      </c>
      <c r="X1889" t="str">
        <f>PROPER(TEXT(A1889,"dddd"))</f>
        <v>Lunes</v>
      </c>
      <c r="Y1889" t="str" cm="1">
        <f t="array" ref="Y1889">_xlfn.IFS(R1889&gt;10,"Excelente",R1889&gt;=5,"Bueno",R1889&gt;=2,"Débil",R1889&lt;2,"Deficiente")</f>
        <v>Deficiente</v>
      </c>
      <c r="Z1889" t="str">
        <f>IF(AND(R1889&lt;2,Q1889&gt;=100),"Revisar","OK")</f>
        <v>OK</v>
      </c>
      <c r="AA1889" s="55">
        <f>_xlfn.XLOOKUP(C1889,'Preguntas de negocio'!$C$114:$C$119,'Preguntas de negocio'!$D$114:$D$119,0)</f>
        <v>4.5</v>
      </c>
      <c r="AB1889" s="55">
        <f>VLOOKUP(C1889,'Preguntas de negocio'!$C$121:$D$127,2,FALSE)</f>
        <v>0.35</v>
      </c>
    </row>
    <row r="1890" spans="1:28" x14ac:dyDescent="0.3">
      <c r="A1890" s="1">
        <v>45831</v>
      </c>
      <c r="B1890" s="2" t="s">
        <v>2629</v>
      </c>
      <c r="C1890" s="2" t="s">
        <v>2533</v>
      </c>
      <c r="D1890" s="2" t="s">
        <v>2531</v>
      </c>
      <c r="E1890" s="2" t="s">
        <v>2529</v>
      </c>
      <c r="F1890" s="3">
        <v>89122</v>
      </c>
      <c r="G1890" s="3">
        <v>3889</v>
      </c>
      <c r="H1890" s="3">
        <v>44</v>
      </c>
      <c r="I1890" s="4">
        <v>7781.66</v>
      </c>
      <c r="J1890" s="4">
        <v>5817.83</v>
      </c>
      <c r="K1890" s="3">
        <v>39</v>
      </c>
      <c r="L1890" s="2" t="s">
        <v>2523</v>
      </c>
      <c r="M1890" s="2" t="s">
        <v>2519</v>
      </c>
      <c r="N1890" s="8">
        <f>IFERROR(G1890/F1890,0)</f>
        <v>4.3636812459325422E-2</v>
      </c>
      <c r="O1890" s="8">
        <f>IFERROR(H1890/G1890,0)</f>
        <v>1.131396245821548E-2</v>
      </c>
      <c r="P1890" s="4">
        <f>IFERROR(I1890/G1890,0)</f>
        <v>2.0009411159681152</v>
      </c>
      <c r="Q1890" s="4">
        <f>IFERROR(I1890/H1890,0)</f>
        <v>176.85590909090908</v>
      </c>
      <c r="R1890" s="12">
        <f>IFERROR(J1890/I1890,0)</f>
        <v>0.74763353834528878</v>
      </c>
      <c r="S1890" s="7">
        <f>Tabla_nuevas_columnas[[#This Row],[ROAS]]</f>
        <v>0.74763353834528878</v>
      </c>
      <c r="T1890" t="str">
        <f>_xlfn.CONCAT(C1890,"-",D1890)</f>
        <v>Paid Social-Portugal</v>
      </c>
      <c r="U1890">
        <f>YEAR(A1890)</f>
        <v>2025</v>
      </c>
      <c r="V1890">
        <f>MONTH(A1890)</f>
        <v>6</v>
      </c>
      <c r="W1890" t="str">
        <f>PROPER(TEXT(A1890,"mmmm"))</f>
        <v>Junio</v>
      </c>
      <c r="X1890" t="str">
        <f>PROPER(TEXT(A1890,"dddd"))</f>
        <v>Lunes</v>
      </c>
      <c r="Y1890" t="str" cm="1">
        <f t="array" ref="Y1890">_xlfn.IFS(R1890&gt;10,"Excelente",R1890&gt;=5,"Bueno",R1890&gt;=2,"Débil",R1890&lt;2,"Deficiente")</f>
        <v>Deficiente</v>
      </c>
      <c r="Z1890" t="str">
        <f>IF(AND(R1890&lt;2,Q1890&gt;=100),"Revisar","OK")</f>
        <v>Revisar</v>
      </c>
      <c r="AA1890" s="55">
        <f>_xlfn.XLOOKUP(C1890,'Preguntas de negocio'!$C$114:$C$119,'Preguntas de negocio'!$D$114:$D$119,0)</f>
        <v>6</v>
      </c>
      <c r="AB1890" s="55">
        <f>VLOOKUP(C1890,'Preguntas de negocio'!$C$121:$D$127,2,FALSE)</f>
        <v>0.8</v>
      </c>
    </row>
    <row r="1891" spans="1:28" x14ac:dyDescent="0.3">
      <c r="A1891" s="1">
        <v>45778</v>
      </c>
      <c r="B1891" s="2" t="s">
        <v>2626</v>
      </c>
      <c r="C1891" s="2" t="s">
        <v>2515</v>
      </c>
      <c r="D1891" s="2" t="s">
        <v>2528</v>
      </c>
      <c r="E1891" s="2" t="s">
        <v>2534</v>
      </c>
      <c r="F1891" s="3">
        <v>149192</v>
      </c>
      <c r="G1891" s="3">
        <v>1800</v>
      </c>
      <c r="H1891" s="3">
        <v>139</v>
      </c>
      <c r="I1891" s="4">
        <v>2336.64</v>
      </c>
      <c r="J1891" s="4">
        <v>17837.95</v>
      </c>
      <c r="K1891" s="3">
        <v>75</v>
      </c>
      <c r="L1891" s="2" t="s">
        <v>2539</v>
      </c>
      <c r="M1891" s="2" t="s">
        <v>2537</v>
      </c>
      <c r="N1891" s="8">
        <f>IFERROR(G1891/F1891,0)</f>
        <v>1.2064990079897045E-2</v>
      </c>
      <c r="O1891" s="8">
        <f>IFERROR(H1891/G1891,0)</f>
        <v>7.722222222222222E-2</v>
      </c>
      <c r="P1891" s="4">
        <f>IFERROR(I1891/G1891,0)</f>
        <v>1.2981333333333334</v>
      </c>
      <c r="Q1891" s="4">
        <f>IFERROR(I1891/H1891,0)</f>
        <v>16.810359712230216</v>
      </c>
      <c r="R1891" s="12">
        <f>IFERROR(J1891/I1891,0)</f>
        <v>7.6340172213092314</v>
      </c>
      <c r="S1891" s="7">
        <f>Tabla_nuevas_columnas[[#This Row],[ROAS]]</f>
        <v>7.6340172213092314</v>
      </c>
      <c r="T1891" t="str">
        <f>_xlfn.CONCAT(C1891,"-",D1891)</f>
        <v>Email-España</v>
      </c>
      <c r="U1891">
        <f>YEAR(A1891)</f>
        <v>2025</v>
      </c>
      <c r="V1891">
        <f>MONTH(A1891)</f>
        <v>5</v>
      </c>
      <c r="W1891" t="str">
        <f>PROPER(TEXT(A1891,"mmmm"))</f>
        <v>Mayo</v>
      </c>
      <c r="X1891" t="str">
        <f>PROPER(TEXT(A1891,"dddd"))</f>
        <v>Jueves</v>
      </c>
      <c r="Y1891" t="str" cm="1">
        <f t="array" ref="Y1891">_xlfn.IFS(R1891&gt;10,"Excelente",R1891&gt;=5,"Bueno",R1891&gt;=2,"Débil",R1891&lt;2,"Deficiente")</f>
        <v>Bueno</v>
      </c>
      <c r="Z1891" t="str">
        <f>IF(AND(R1891&lt;2,Q1891&gt;=100),"Revisar","OK")</f>
        <v>OK</v>
      </c>
      <c r="AA1891" s="55">
        <f>_xlfn.XLOOKUP(C1891,'Preguntas de negocio'!$C$114:$C$119,'Preguntas de negocio'!$D$114:$D$119,0)</f>
        <v>5.5</v>
      </c>
      <c r="AB1891" s="55">
        <f>VLOOKUP(C1891,'Preguntas de negocio'!$C$121:$D$127,2,FALSE)</f>
        <v>0.65</v>
      </c>
    </row>
    <row r="1892" spans="1:28" x14ac:dyDescent="0.3">
      <c r="A1892" s="1">
        <v>45863</v>
      </c>
      <c r="B1892" s="2" t="s">
        <v>2643</v>
      </c>
      <c r="C1892" s="2" t="s">
        <v>2521</v>
      </c>
      <c r="D1892" s="2" t="s">
        <v>2528</v>
      </c>
      <c r="E1892" s="2" t="s">
        <v>2534</v>
      </c>
      <c r="F1892" s="3">
        <v>165121</v>
      </c>
      <c r="G1892" s="3">
        <v>2900</v>
      </c>
      <c r="H1892" s="3">
        <v>157</v>
      </c>
      <c r="I1892" s="4">
        <v>1962.5</v>
      </c>
      <c r="J1892" s="4">
        <v>3243.78</v>
      </c>
      <c r="K1892" s="3">
        <v>135</v>
      </c>
      <c r="L1892" s="2" t="s">
        <v>2518</v>
      </c>
      <c r="M1892" s="2" t="s">
        <v>2519</v>
      </c>
      <c r="N1892" s="8">
        <f>IFERROR(G1892/F1892,0)</f>
        <v>1.756287813179426E-2</v>
      </c>
      <c r="O1892" s="8">
        <f>IFERROR(H1892/G1892,0)</f>
        <v>5.4137931034482757E-2</v>
      </c>
      <c r="P1892" s="4">
        <f>IFERROR(I1892/G1892,0)</f>
        <v>0.67672413793103448</v>
      </c>
      <c r="Q1892" s="4">
        <f>IFERROR(I1892/H1892,0)</f>
        <v>12.5</v>
      </c>
      <c r="R1892" s="12">
        <f>IFERROR(J1892/I1892,0)</f>
        <v>1.6528815286624206</v>
      </c>
      <c r="S1892" s="7">
        <f>Tabla_nuevas_columnas[[#This Row],[ROAS]]</f>
        <v>1.6528815286624206</v>
      </c>
      <c r="T1892" t="str">
        <f>_xlfn.CONCAT(C1892,"-",D1892)</f>
        <v>Paid Search-España</v>
      </c>
      <c r="U1892">
        <f>YEAR(A1892)</f>
        <v>2025</v>
      </c>
      <c r="V1892">
        <f>MONTH(A1892)</f>
        <v>7</v>
      </c>
      <c r="W1892" t="str">
        <f>PROPER(TEXT(A1892,"mmmm"))</f>
        <v>Julio</v>
      </c>
      <c r="X1892" t="str">
        <f>PROPER(TEXT(A1892,"dddd"))</f>
        <v>Viernes</v>
      </c>
      <c r="Y1892" t="str" cm="1">
        <f t="array" ref="Y1892">_xlfn.IFS(R1892&gt;10,"Excelente",R1892&gt;=5,"Bueno",R1892&gt;=2,"Débil",R1892&lt;2,"Deficiente")</f>
        <v>Deficiente</v>
      </c>
      <c r="Z1892" t="str">
        <f>IF(AND(R1892&lt;2,Q1892&gt;=100),"Revisar","OK")</f>
        <v>OK</v>
      </c>
      <c r="AA1892" s="55">
        <f>_xlfn.XLOOKUP(C1892,'Preguntas de negocio'!$C$114:$C$119,'Preguntas de negocio'!$D$114:$D$119,0)</f>
        <v>5</v>
      </c>
      <c r="AB1892" s="55">
        <f>VLOOKUP(C1892,'Preguntas de negocio'!$C$121:$D$127,2,FALSE)</f>
        <v>1.1000000000000001</v>
      </c>
    </row>
    <row r="1893" spans="1:28" x14ac:dyDescent="0.3">
      <c r="A1893" s="1">
        <v>45911</v>
      </c>
      <c r="B1893" s="2" t="s">
        <v>2639</v>
      </c>
      <c r="C1893" s="2" t="s">
        <v>2533</v>
      </c>
      <c r="D1893" s="2" t="s">
        <v>2531</v>
      </c>
      <c r="E1893" s="2" t="s">
        <v>2529</v>
      </c>
      <c r="F1893" s="3">
        <v>35239</v>
      </c>
      <c r="G1893" s="3">
        <v>1514</v>
      </c>
      <c r="H1893" s="3">
        <v>202</v>
      </c>
      <c r="I1893" s="4">
        <v>2209.39</v>
      </c>
      <c r="J1893" s="4">
        <v>7285.93</v>
      </c>
      <c r="K1893" s="3">
        <v>116</v>
      </c>
      <c r="L1893" s="2" t="s">
        <v>2539</v>
      </c>
      <c r="M1893" s="2" t="s">
        <v>2526</v>
      </c>
      <c r="N1893" s="8">
        <f>IFERROR(G1893/F1893,0)</f>
        <v>4.296376174125259E-2</v>
      </c>
      <c r="O1893" s="8">
        <f>IFERROR(H1893/G1893,0)</f>
        <v>0.1334214002642008</v>
      </c>
      <c r="P1893" s="4">
        <f>IFERROR(I1893/G1893,0)</f>
        <v>1.4593064729194187</v>
      </c>
      <c r="Q1893" s="4">
        <f>IFERROR(I1893/H1893,0)</f>
        <v>10.937574257425743</v>
      </c>
      <c r="R1893" s="12">
        <f>IFERROR(J1893/I1893,0)</f>
        <v>3.2977111329371458</v>
      </c>
      <c r="S1893" s="7">
        <f>Tabla_nuevas_columnas[[#This Row],[ROAS]]</f>
        <v>3.2977111329371458</v>
      </c>
      <c r="T1893" t="str">
        <f>_xlfn.CONCAT(C1893,"-",D1893)</f>
        <v>Paid Social-Portugal</v>
      </c>
      <c r="U1893">
        <f>YEAR(A1893)</f>
        <v>2025</v>
      </c>
      <c r="V1893">
        <f>MONTH(A1893)</f>
        <v>9</v>
      </c>
      <c r="W1893" t="str">
        <f>PROPER(TEXT(A1893,"mmmm"))</f>
        <v>Septiembre</v>
      </c>
      <c r="X1893" t="str">
        <f>PROPER(TEXT(A1893,"dddd"))</f>
        <v>Jueves</v>
      </c>
      <c r="Y1893" t="str" cm="1">
        <f t="array" ref="Y1893">_xlfn.IFS(R1893&gt;10,"Excelente",R1893&gt;=5,"Bueno",R1893&gt;=2,"Débil",R1893&lt;2,"Deficiente")</f>
        <v>Débil</v>
      </c>
      <c r="Z1893" t="str">
        <f>IF(AND(R1893&lt;2,Q1893&gt;=100),"Revisar","OK")</f>
        <v>OK</v>
      </c>
      <c r="AA1893" s="55">
        <f>_xlfn.XLOOKUP(C1893,'Preguntas de negocio'!$C$114:$C$119,'Preguntas de negocio'!$D$114:$D$119,0)</f>
        <v>6</v>
      </c>
      <c r="AB1893" s="55">
        <f>VLOOKUP(C1893,'Preguntas de negocio'!$C$121:$D$127,2,FALSE)</f>
        <v>0.8</v>
      </c>
    </row>
    <row r="1894" spans="1:28" x14ac:dyDescent="0.3">
      <c r="A1894" s="1">
        <v>45711</v>
      </c>
      <c r="B1894" s="2" t="s">
        <v>2642</v>
      </c>
      <c r="C1894" s="2" t="s">
        <v>2527</v>
      </c>
      <c r="D1894" s="2" t="s">
        <v>2528</v>
      </c>
      <c r="E1894" s="2" t="s">
        <v>2529</v>
      </c>
      <c r="F1894" s="3">
        <v>155954</v>
      </c>
      <c r="G1894" s="3">
        <v>13563</v>
      </c>
      <c r="H1894" s="3">
        <v>1680</v>
      </c>
      <c r="I1894" s="4">
        <v>13089.58</v>
      </c>
      <c r="J1894" s="4">
        <v>204974.81</v>
      </c>
      <c r="K1894" s="3">
        <v>1418</v>
      </c>
      <c r="L1894" s="2" t="s">
        <v>2536</v>
      </c>
      <c r="M1894" s="2" t="s">
        <v>2537</v>
      </c>
      <c r="N1894" s="8">
        <f>IFERROR(G1894/F1894,0)</f>
        <v>8.6967952088436329E-2</v>
      </c>
      <c r="O1894" s="8">
        <f>IFERROR(H1894/G1894,0)</f>
        <v>0.12386640123866401</v>
      </c>
      <c r="P1894" s="4">
        <f>IFERROR(I1894/G1894,0)</f>
        <v>0.96509474305094745</v>
      </c>
      <c r="Q1894" s="4">
        <f>IFERROR(I1894/H1894,0)</f>
        <v>7.7914166666666667</v>
      </c>
      <c r="R1894" s="12">
        <f>IFERROR(J1894/I1894,0)</f>
        <v>15.659387848960776</v>
      </c>
      <c r="S1894" s="7">
        <f>Tabla_nuevas_columnas[[#This Row],[ROAS]]</f>
        <v>15.659387848960776</v>
      </c>
      <c r="T1894" t="str">
        <f>_xlfn.CONCAT(C1894,"-",D1894)</f>
        <v>Affiliate-España</v>
      </c>
      <c r="U1894">
        <f>YEAR(A1894)</f>
        <v>2025</v>
      </c>
      <c r="V1894">
        <f>MONTH(A1894)</f>
        <v>2</v>
      </c>
      <c r="W1894" t="str">
        <f>PROPER(TEXT(A1894,"mmmm"))</f>
        <v>Febrero</v>
      </c>
      <c r="X1894" t="str">
        <f>PROPER(TEXT(A1894,"dddd"))</f>
        <v>Domingo</v>
      </c>
      <c r="Y1894" t="str" cm="1">
        <f t="array" ref="Y1894">_xlfn.IFS(R1894&gt;10,"Excelente",R1894&gt;=5,"Bueno",R1894&gt;=2,"Débil",R1894&lt;2,"Deficiente")</f>
        <v>Excelente</v>
      </c>
      <c r="Z1894" t="str">
        <f>IF(AND(R1894&lt;2,Q1894&gt;=100),"Revisar","OK")</f>
        <v>OK</v>
      </c>
      <c r="AA1894" s="55">
        <f>_xlfn.XLOOKUP(C1894,'Preguntas de negocio'!$C$114:$C$119,'Preguntas de negocio'!$D$114:$D$119,0)</f>
        <v>4.5</v>
      </c>
      <c r="AB1894" s="55">
        <f>VLOOKUP(C1894,'Preguntas de negocio'!$C$121:$D$127,2,FALSE)</f>
        <v>0.35</v>
      </c>
    </row>
    <row r="1895" spans="1:28" x14ac:dyDescent="0.3">
      <c r="A1895" s="1">
        <v>45896</v>
      </c>
      <c r="B1895" s="2" t="s">
        <v>2640</v>
      </c>
      <c r="C1895" s="2" t="s">
        <v>2515</v>
      </c>
      <c r="D1895" s="2" t="s">
        <v>2528</v>
      </c>
      <c r="E1895" s="2" t="s">
        <v>2517</v>
      </c>
      <c r="F1895" s="3">
        <v>83081</v>
      </c>
      <c r="G1895" s="3">
        <v>1684</v>
      </c>
      <c r="H1895" s="3">
        <v>146</v>
      </c>
      <c r="I1895" s="4">
        <v>695.77</v>
      </c>
      <c r="J1895" s="4">
        <v>15050.27</v>
      </c>
      <c r="K1895" s="3">
        <v>78</v>
      </c>
      <c r="L1895" s="2" t="s">
        <v>2518</v>
      </c>
      <c r="M1895" s="2" t="s">
        <v>2546</v>
      </c>
      <c r="N1895" s="8">
        <f>IFERROR(G1895/F1895,0)</f>
        <v>2.0269375669527329E-2</v>
      </c>
      <c r="O1895" s="8">
        <f>IFERROR(H1895/G1895,0)</f>
        <v>8.6698337292161518E-2</v>
      </c>
      <c r="P1895" s="4">
        <f>IFERROR(I1895/G1895,0)</f>
        <v>0.41316508313539191</v>
      </c>
      <c r="Q1895" s="4">
        <f>IFERROR(I1895/H1895,0)</f>
        <v>4.765547945205479</v>
      </c>
      <c r="R1895" s="12">
        <f>IFERROR(J1895/I1895,0)</f>
        <v>21.631099357546315</v>
      </c>
      <c r="S1895" s="7">
        <f>Tabla_nuevas_columnas[[#This Row],[ROAS]]</f>
        <v>21.631099357546315</v>
      </c>
      <c r="T1895" t="str">
        <f>_xlfn.CONCAT(C1895,"-",D1895)</f>
        <v>Email-España</v>
      </c>
      <c r="U1895">
        <f>YEAR(A1895)</f>
        <v>2025</v>
      </c>
      <c r="V1895">
        <f>MONTH(A1895)</f>
        <v>8</v>
      </c>
      <c r="W1895" t="str">
        <f>PROPER(TEXT(A1895,"mmmm"))</f>
        <v>Agosto</v>
      </c>
      <c r="X1895" t="str">
        <f>PROPER(TEXT(A1895,"dddd"))</f>
        <v>Miércoles</v>
      </c>
      <c r="Y1895" t="str" cm="1">
        <f t="array" ref="Y1895">_xlfn.IFS(R1895&gt;10,"Excelente",R1895&gt;=5,"Bueno",R1895&gt;=2,"Débil",R1895&lt;2,"Deficiente")</f>
        <v>Excelente</v>
      </c>
      <c r="Z1895" t="str">
        <f>IF(AND(R1895&lt;2,Q1895&gt;=100),"Revisar","OK")</f>
        <v>OK</v>
      </c>
      <c r="AA1895" s="55">
        <f>_xlfn.XLOOKUP(C1895,'Preguntas de negocio'!$C$114:$C$119,'Preguntas de negocio'!$D$114:$D$119,0)</f>
        <v>5.5</v>
      </c>
      <c r="AB1895" s="55">
        <f>VLOOKUP(C1895,'Preguntas de negocio'!$C$121:$D$127,2,FALSE)</f>
        <v>0.65</v>
      </c>
    </row>
    <row r="1896" spans="1:28" x14ac:dyDescent="0.3">
      <c r="A1896" s="1">
        <v>45788</v>
      </c>
      <c r="B1896" s="2" t="s">
        <v>2615</v>
      </c>
      <c r="C1896" s="2" t="s">
        <v>2515</v>
      </c>
      <c r="D1896" s="2" t="s">
        <v>2522</v>
      </c>
      <c r="E1896" s="2" t="s">
        <v>2517</v>
      </c>
      <c r="F1896" s="3">
        <v>95331</v>
      </c>
      <c r="G1896" s="3">
        <v>3981</v>
      </c>
      <c r="H1896" s="3">
        <v>214</v>
      </c>
      <c r="I1896" s="4">
        <v>2083.36</v>
      </c>
      <c r="J1896" s="4">
        <v>25624.62</v>
      </c>
      <c r="K1896" s="3">
        <v>116</v>
      </c>
      <c r="L1896" s="2" t="s">
        <v>2523</v>
      </c>
      <c r="M1896" s="2" t="s">
        <v>2524</v>
      </c>
      <c r="N1896" s="8">
        <f>IFERROR(G1896/F1896,0)</f>
        <v>4.1759763350851242E-2</v>
      </c>
      <c r="O1896" s="8">
        <f>IFERROR(H1896/G1896,0)</f>
        <v>5.3755337854810348E-2</v>
      </c>
      <c r="P1896" s="4">
        <f>IFERROR(I1896/G1896,0)</f>
        <v>0.52332579753830699</v>
      </c>
      <c r="Q1896" s="4">
        <f>IFERROR(I1896/H1896,0)</f>
        <v>9.7353271028037387</v>
      </c>
      <c r="R1896" s="12">
        <f>IFERROR(J1896/I1896,0)</f>
        <v>12.299660164349895</v>
      </c>
      <c r="S1896" s="7">
        <f>Tabla_nuevas_columnas[[#This Row],[ROAS]]</f>
        <v>12.299660164349895</v>
      </c>
      <c r="T1896" t="str">
        <f>_xlfn.CONCAT(C1896,"-",D1896)</f>
        <v>Email-Italia</v>
      </c>
      <c r="U1896">
        <f>YEAR(A1896)</f>
        <v>2025</v>
      </c>
      <c r="V1896">
        <f>MONTH(A1896)</f>
        <v>5</v>
      </c>
      <c r="W1896" t="str">
        <f>PROPER(TEXT(A1896,"mmmm"))</f>
        <v>Mayo</v>
      </c>
      <c r="X1896" t="str">
        <f>PROPER(TEXT(A1896,"dddd"))</f>
        <v>Domingo</v>
      </c>
      <c r="Y1896" t="str" cm="1">
        <f t="array" ref="Y1896">_xlfn.IFS(R1896&gt;10,"Excelente",R1896&gt;=5,"Bueno",R1896&gt;=2,"Débil",R1896&lt;2,"Deficiente")</f>
        <v>Excelente</v>
      </c>
      <c r="Z1896" t="str">
        <f>IF(AND(R1896&lt;2,Q1896&gt;=100),"Revisar","OK")</f>
        <v>OK</v>
      </c>
      <c r="AA1896" s="55">
        <f>_xlfn.XLOOKUP(C1896,'Preguntas de negocio'!$C$114:$C$119,'Preguntas de negocio'!$D$114:$D$119,0)</f>
        <v>5.5</v>
      </c>
      <c r="AB1896" s="55">
        <f>VLOOKUP(C1896,'Preguntas de negocio'!$C$121:$D$127,2,FALSE)</f>
        <v>0.65</v>
      </c>
    </row>
    <row r="1897" spans="1:28" x14ac:dyDescent="0.3">
      <c r="A1897" s="1">
        <v>45807</v>
      </c>
      <c r="B1897" s="2" t="s">
        <v>2640</v>
      </c>
      <c r="C1897" s="2" t="s">
        <v>2521</v>
      </c>
      <c r="D1897" s="2" t="s">
        <v>2528</v>
      </c>
      <c r="E1897" s="2" t="s">
        <v>2517</v>
      </c>
      <c r="F1897" s="3">
        <v>160703</v>
      </c>
      <c r="G1897" s="3">
        <v>11513</v>
      </c>
      <c r="H1897" s="3">
        <v>74</v>
      </c>
      <c r="I1897" s="4">
        <v>3305.89</v>
      </c>
      <c r="J1897" s="4">
        <v>14144.31</v>
      </c>
      <c r="K1897" s="3">
        <v>38</v>
      </c>
      <c r="L1897" s="2" t="s">
        <v>2536</v>
      </c>
      <c r="M1897" s="2" t="s">
        <v>2546</v>
      </c>
      <c r="N1897" s="8">
        <f>IFERROR(G1897/F1897,0)</f>
        <v>7.1641475268041044E-2</v>
      </c>
      <c r="O1897" s="8">
        <f>IFERROR(H1897/G1897,0)</f>
        <v>6.4275167202293062E-3</v>
      </c>
      <c r="P1897" s="4">
        <f>IFERROR(I1897/G1897,0)</f>
        <v>0.28714409797620083</v>
      </c>
      <c r="Q1897" s="4">
        <f>IFERROR(I1897/H1897,0)</f>
        <v>44.674189189189185</v>
      </c>
      <c r="R1897" s="12">
        <f>IFERROR(J1897/I1897,0)</f>
        <v>4.2785180390152124</v>
      </c>
      <c r="S1897" s="7">
        <f>Tabla_nuevas_columnas[[#This Row],[ROAS]]</f>
        <v>4.2785180390152124</v>
      </c>
      <c r="T1897" t="str">
        <f>_xlfn.CONCAT(C1897,"-",D1897)</f>
        <v>Paid Search-España</v>
      </c>
      <c r="U1897">
        <f>YEAR(A1897)</f>
        <v>2025</v>
      </c>
      <c r="V1897">
        <f>MONTH(A1897)</f>
        <v>5</v>
      </c>
      <c r="W1897" t="str">
        <f>PROPER(TEXT(A1897,"mmmm"))</f>
        <v>Mayo</v>
      </c>
      <c r="X1897" t="str">
        <f>PROPER(TEXT(A1897,"dddd"))</f>
        <v>Viernes</v>
      </c>
      <c r="Y1897" t="str" cm="1">
        <f t="array" ref="Y1897">_xlfn.IFS(R1897&gt;10,"Excelente",R1897&gt;=5,"Bueno",R1897&gt;=2,"Débil",R1897&lt;2,"Deficiente")</f>
        <v>Débil</v>
      </c>
      <c r="Z1897" t="str">
        <f>IF(AND(R1897&lt;2,Q1897&gt;=100),"Revisar","OK")</f>
        <v>OK</v>
      </c>
      <c r="AA1897" s="55">
        <f>_xlfn.XLOOKUP(C1897,'Preguntas de negocio'!$C$114:$C$119,'Preguntas de negocio'!$D$114:$D$119,0)</f>
        <v>5</v>
      </c>
      <c r="AB1897" s="55">
        <f>VLOOKUP(C1897,'Preguntas de negocio'!$C$121:$D$127,2,FALSE)</f>
        <v>1.1000000000000001</v>
      </c>
    </row>
    <row r="1898" spans="1:28" x14ac:dyDescent="0.3">
      <c r="A1898" s="1">
        <v>45794</v>
      </c>
      <c r="B1898" s="2" t="s">
        <v>2624</v>
      </c>
      <c r="C1898" s="2" t="s">
        <v>2521</v>
      </c>
      <c r="D1898" s="2" t="s">
        <v>2528</v>
      </c>
      <c r="E1898" s="2" t="s">
        <v>2529</v>
      </c>
      <c r="F1898" s="3">
        <v>11787</v>
      </c>
      <c r="G1898" s="3">
        <v>953</v>
      </c>
      <c r="H1898" s="3">
        <v>130</v>
      </c>
      <c r="I1898" s="4">
        <v>822.27</v>
      </c>
      <c r="J1898" s="4">
        <v>21415.73</v>
      </c>
      <c r="K1898" s="3">
        <v>93</v>
      </c>
      <c r="L1898" s="2" t="s">
        <v>2536</v>
      </c>
      <c r="M1898" s="2" t="s">
        <v>2519</v>
      </c>
      <c r="N1898" s="8">
        <f>IFERROR(G1898/F1898,0)</f>
        <v>8.0851785865784342E-2</v>
      </c>
      <c r="O1898" s="8">
        <f>IFERROR(H1898/G1898,0)</f>
        <v>0.13641133263378805</v>
      </c>
      <c r="P1898" s="4">
        <f>IFERROR(I1898/G1898,0)</f>
        <v>0.86282266526757601</v>
      </c>
      <c r="Q1898" s="4">
        <f>IFERROR(I1898/H1898,0)</f>
        <v>6.3251538461538459</v>
      </c>
      <c r="R1898" s="12">
        <f>IFERROR(J1898/I1898,0)</f>
        <v>26.044644703078063</v>
      </c>
      <c r="S1898" s="7">
        <f>Tabla_nuevas_columnas[[#This Row],[ROAS]]</f>
        <v>26.044644703078063</v>
      </c>
      <c r="T1898" t="str">
        <f>_xlfn.CONCAT(C1898,"-",D1898)</f>
        <v>Paid Search-España</v>
      </c>
      <c r="U1898">
        <f>YEAR(A1898)</f>
        <v>2025</v>
      </c>
      <c r="V1898">
        <f>MONTH(A1898)</f>
        <v>5</v>
      </c>
      <c r="W1898" t="str">
        <f>PROPER(TEXT(A1898,"mmmm"))</f>
        <v>Mayo</v>
      </c>
      <c r="X1898" t="str">
        <f>PROPER(TEXT(A1898,"dddd"))</f>
        <v>Sábado</v>
      </c>
      <c r="Y1898" t="str" cm="1">
        <f t="array" ref="Y1898">_xlfn.IFS(R1898&gt;10,"Excelente",R1898&gt;=5,"Bueno",R1898&gt;=2,"Débil",R1898&lt;2,"Deficiente")</f>
        <v>Excelente</v>
      </c>
      <c r="Z1898" t="str">
        <f>IF(AND(R1898&lt;2,Q1898&gt;=100),"Revisar","OK")</f>
        <v>OK</v>
      </c>
      <c r="AA1898" s="55">
        <f>_xlfn.XLOOKUP(C1898,'Preguntas de negocio'!$C$114:$C$119,'Preguntas de negocio'!$D$114:$D$119,0)</f>
        <v>5</v>
      </c>
      <c r="AB1898" s="55">
        <f>VLOOKUP(C1898,'Preguntas de negocio'!$C$121:$D$127,2,FALSE)</f>
        <v>1.1000000000000001</v>
      </c>
    </row>
    <row r="1899" spans="1:28" x14ac:dyDescent="0.3">
      <c r="A1899" s="1">
        <v>45993</v>
      </c>
      <c r="B1899" s="2" t="s">
        <v>2635</v>
      </c>
      <c r="C1899" s="2" t="s">
        <v>2533</v>
      </c>
      <c r="D1899" s="2" t="s">
        <v>2525</v>
      </c>
      <c r="E1899" s="2" t="s">
        <v>2529</v>
      </c>
      <c r="F1899" s="3">
        <v>25625</v>
      </c>
      <c r="G1899" s="3">
        <v>1755</v>
      </c>
      <c r="H1899" s="3">
        <v>196</v>
      </c>
      <c r="I1899" s="4">
        <v>3488.11</v>
      </c>
      <c r="J1899" s="4">
        <v>17968.07</v>
      </c>
      <c r="K1899" s="3">
        <v>129</v>
      </c>
      <c r="L1899" s="2" t="s">
        <v>2536</v>
      </c>
      <c r="M1899" s="2" t="s">
        <v>2546</v>
      </c>
      <c r="N1899" s="8">
        <f>IFERROR(G1899/F1899,0)</f>
        <v>6.8487804878048786E-2</v>
      </c>
      <c r="O1899" s="8">
        <f>IFERROR(H1899/G1899,0)</f>
        <v>0.11168091168091168</v>
      </c>
      <c r="P1899" s="4">
        <f>IFERROR(I1899/G1899,0)</f>
        <v>1.9875270655270656</v>
      </c>
      <c r="Q1899" s="4">
        <f>IFERROR(I1899/H1899,0)</f>
        <v>17.796479591836736</v>
      </c>
      <c r="R1899" s="12">
        <f>IFERROR(J1899/I1899,0)</f>
        <v>5.1512337626967035</v>
      </c>
      <c r="S1899" s="7">
        <f>Tabla_nuevas_columnas[[#This Row],[ROAS]]</f>
        <v>5.1512337626967035</v>
      </c>
      <c r="T1899" t="str">
        <f>_xlfn.CONCAT(C1899,"-",D1899)</f>
        <v>Paid Social-Francia</v>
      </c>
      <c r="U1899">
        <f>YEAR(A1899)</f>
        <v>2025</v>
      </c>
      <c r="V1899">
        <f>MONTH(A1899)</f>
        <v>12</v>
      </c>
      <c r="W1899" t="str">
        <f>PROPER(TEXT(A1899,"mmmm"))</f>
        <v>Diciembre</v>
      </c>
      <c r="X1899" t="str">
        <f>PROPER(TEXT(A1899,"dddd"))</f>
        <v>Martes</v>
      </c>
      <c r="Y1899" t="str" cm="1">
        <f t="array" ref="Y1899">_xlfn.IFS(R1899&gt;10,"Excelente",R1899&gt;=5,"Bueno",R1899&gt;=2,"Débil",R1899&lt;2,"Deficiente")</f>
        <v>Bueno</v>
      </c>
      <c r="Z1899" t="str">
        <f>IF(AND(R1899&lt;2,Q1899&gt;=100),"Revisar","OK")</f>
        <v>OK</v>
      </c>
      <c r="AA1899" s="55">
        <f>_xlfn.XLOOKUP(C1899,'Preguntas de negocio'!$C$114:$C$119,'Preguntas de negocio'!$D$114:$D$119,0)</f>
        <v>6</v>
      </c>
      <c r="AB1899" s="55">
        <f>VLOOKUP(C1899,'Preguntas de negocio'!$C$121:$D$127,2,FALSE)</f>
        <v>0.8</v>
      </c>
    </row>
    <row r="1900" spans="1:28" x14ac:dyDescent="0.3">
      <c r="A1900" s="1">
        <v>45849</v>
      </c>
      <c r="B1900" s="2" t="s">
        <v>2622</v>
      </c>
      <c r="C1900" s="2" t="s">
        <v>2533</v>
      </c>
      <c r="D1900" s="2" t="s">
        <v>2528</v>
      </c>
      <c r="E1900" s="2" t="s">
        <v>2517</v>
      </c>
      <c r="F1900" s="3">
        <v>175832</v>
      </c>
      <c r="G1900" s="3">
        <v>9818</v>
      </c>
      <c r="H1900" s="3">
        <v>571</v>
      </c>
      <c r="I1900" s="4">
        <v>18853.419999999998</v>
      </c>
      <c r="J1900" s="4">
        <v>22761.46</v>
      </c>
      <c r="K1900" s="3">
        <v>471</v>
      </c>
      <c r="L1900" s="2" t="s">
        <v>2536</v>
      </c>
      <c r="M1900" s="2" t="s">
        <v>2524</v>
      </c>
      <c r="N1900" s="8">
        <f>IFERROR(G1900/F1900,0)</f>
        <v>5.5837390236134495E-2</v>
      </c>
      <c r="O1900" s="8">
        <f>IFERROR(H1900/G1900,0)</f>
        <v>5.8158484416378081E-2</v>
      </c>
      <c r="P1900" s="4">
        <f>IFERROR(I1900/G1900,0)</f>
        <v>1.9202913016907719</v>
      </c>
      <c r="Q1900" s="4">
        <f>IFERROR(I1900/H1900,0)</f>
        <v>33.01824868651488</v>
      </c>
      <c r="R1900" s="12">
        <f>IFERROR(J1900/I1900,0)</f>
        <v>1.2072854686311556</v>
      </c>
      <c r="S1900" s="7">
        <f>Tabla_nuevas_columnas[[#This Row],[ROAS]]</f>
        <v>1.2072854686311556</v>
      </c>
      <c r="T1900" t="str">
        <f>_xlfn.CONCAT(C1900,"-",D1900)</f>
        <v>Paid Social-España</v>
      </c>
      <c r="U1900">
        <f>YEAR(A1900)</f>
        <v>2025</v>
      </c>
      <c r="V1900">
        <f>MONTH(A1900)</f>
        <v>7</v>
      </c>
      <c r="W1900" t="str">
        <f>PROPER(TEXT(A1900,"mmmm"))</f>
        <v>Julio</v>
      </c>
      <c r="X1900" t="str">
        <f>PROPER(TEXT(A1900,"dddd"))</f>
        <v>Viernes</v>
      </c>
      <c r="Y1900" t="str" cm="1">
        <f t="array" ref="Y1900">_xlfn.IFS(R1900&gt;10,"Excelente",R1900&gt;=5,"Bueno",R1900&gt;=2,"Débil",R1900&lt;2,"Deficiente")</f>
        <v>Deficiente</v>
      </c>
      <c r="Z1900" t="str">
        <f>IF(AND(R1900&lt;2,Q1900&gt;=100),"Revisar","OK")</f>
        <v>OK</v>
      </c>
      <c r="AA1900" s="55">
        <f>_xlfn.XLOOKUP(C1900,'Preguntas de negocio'!$C$114:$C$119,'Preguntas de negocio'!$D$114:$D$119,0)</f>
        <v>6</v>
      </c>
      <c r="AB1900" s="55">
        <f>VLOOKUP(C1900,'Preguntas de negocio'!$C$121:$D$127,2,FALSE)</f>
        <v>0.8</v>
      </c>
    </row>
    <row r="1901" spans="1:28" x14ac:dyDescent="0.3">
      <c r="A1901" s="1">
        <v>45824</v>
      </c>
      <c r="B1901" s="2" t="s">
        <v>2624</v>
      </c>
      <c r="C1901" s="2" t="s">
        <v>2527</v>
      </c>
      <c r="D1901" s="2" t="s">
        <v>2516</v>
      </c>
      <c r="E1901" s="2" t="s">
        <v>2517</v>
      </c>
      <c r="F1901" s="3">
        <v>127737</v>
      </c>
      <c r="G1901" s="3">
        <v>4842</v>
      </c>
      <c r="H1901" s="3">
        <v>310</v>
      </c>
      <c r="I1901" s="4">
        <v>1881.95</v>
      </c>
      <c r="J1901" s="4">
        <v>25695.14</v>
      </c>
      <c r="K1901" s="3">
        <v>240</v>
      </c>
      <c r="L1901" s="2" t="s">
        <v>2539</v>
      </c>
      <c r="M1901" s="2" t="s">
        <v>2524</v>
      </c>
      <c r="N1901" s="8">
        <f>IFERROR(G1901/F1901,0)</f>
        <v>3.790601000493201E-2</v>
      </c>
      <c r="O1901" s="8">
        <f>IFERROR(H1901/G1901,0)</f>
        <v>6.4023130937629083E-2</v>
      </c>
      <c r="P1901" s="4">
        <f>IFERROR(I1901/G1901,0)</f>
        <v>0.3886720363486163</v>
      </c>
      <c r="Q1901" s="4">
        <f>IFERROR(I1901/H1901,0)</f>
        <v>6.0708064516129037</v>
      </c>
      <c r="R1901" s="12">
        <f>IFERROR(J1901/I1901,0)</f>
        <v>13.653465820027099</v>
      </c>
      <c r="S1901" s="7">
        <f>Tabla_nuevas_columnas[[#This Row],[ROAS]]</f>
        <v>13.653465820027099</v>
      </c>
      <c r="T1901" t="str">
        <f>_xlfn.CONCAT(C1901,"-",D1901)</f>
        <v>Affiliate-México</v>
      </c>
      <c r="U1901">
        <f>YEAR(A1901)</f>
        <v>2025</v>
      </c>
      <c r="V1901">
        <f>MONTH(A1901)</f>
        <v>6</v>
      </c>
      <c r="W1901" t="str">
        <f>PROPER(TEXT(A1901,"mmmm"))</f>
        <v>Junio</v>
      </c>
      <c r="X1901" t="str">
        <f>PROPER(TEXT(A1901,"dddd"))</f>
        <v>Lunes</v>
      </c>
      <c r="Y1901" t="str" cm="1">
        <f t="array" ref="Y1901">_xlfn.IFS(R1901&gt;10,"Excelente",R1901&gt;=5,"Bueno",R1901&gt;=2,"Débil",R1901&lt;2,"Deficiente")</f>
        <v>Excelente</v>
      </c>
      <c r="Z1901" t="str">
        <f>IF(AND(R1901&lt;2,Q1901&gt;=100),"Revisar","OK")</f>
        <v>OK</v>
      </c>
      <c r="AA1901" s="55">
        <f>_xlfn.XLOOKUP(C1901,'Preguntas de negocio'!$C$114:$C$119,'Preguntas de negocio'!$D$114:$D$119,0)</f>
        <v>4.5</v>
      </c>
      <c r="AB1901" s="55">
        <f>VLOOKUP(C1901,'Preguntas de negocio'!$C$121:$D$127,2,FALSE)</f>
        <v>0.35</v>
      </c>
    </row>
    <row r="1902" spans="1:28" x14ac:dyDescent="0.3">
      <c r="A1902" s="1">
        <v>45774</v>
      </c>
      <c r="B1902" s="2" t="s">
        <v>2616</v>
      </c>
      <c r="C1902" s="2" t="s">
        <v>2533</v>
      </c>
      <c r="D1902" s="2" t="s">
        <v>2528</v>
      </c>
      <c r="E1902" s="2" t="s">
        <v>2517</v>
      </c>
      <c r="F1902" s="3">
        <v>110340</v>
      </c>
      <c r="G1902" s="3">
        <v>7142</v>
      </c>
      <c r="H1902" s="3">
        <v>815</v>
      </c>
      <c r="I1902" s="4">
        <v>3077.68</v>
      </c>
      <c r="J1902" s="4">
        <v>168967.51</v>
      </c>
      <c r="K1902" s="3">
        <v>732</v>
      </c>
      <c r="L1902" s="2" t="s">
        <v>2536</v>
      </c>
      <c r="M1902" s="2" t="s">
        <v>2546</v>
      </c>
      <c r="N1902" s="8">
        <f>IFERROR(G1902/F1902,0)</f>
        <v>6.4727206815298172E-2</v>
      </c>
      <c r="O1902" s="8">
        <f>IFERROR(H1902/G1902,0)</f>
        <v>0.11411369364323719</v>
      </c>
      <c r="P1902" s="4">
        <f>IFERROR(I1902/G1902,0)</f>
        <v>0.43092691122934751</v>
      </c>
      <c r="Q1902" s="4">
        <f>IFERROR(I1902/H1902,0)</f>
        <v>3.7762944785276074</v>
      </c>
      <c r="R1902" s="12">
        <f>IFERROR(J1902/I1902,0)</f>
        <v>54.900935119960494</v>
      </c>
      <c r="S1902" s="7">
        <f>Tabla_nuevas_columnas[[#This Row],[ROAS]]</f>
        <v>54.900935119960494</v>
      </c>
      <c r="T1902" t="str">
        <f>_xlfn.CONCAT(C1902,"-",D1902)</f>
        <v>Paid Social-España</v>
      </c>
      <c r="U1902">
        <f>YEAR(A1902)</f>
        <v>2025</v>
      </c>
      <c r="V1902">
        <f>MONTH(A1902)</f>
        <v>4</v>
      </c>
      <c r="W1902" t="str">
        <f>PROPER(TEXT(A1902,"mmmm"))</f>
        <v>Abril</v>
      </c>
      <c r="X1902" t="str">
        <f>PROPER(TEXT(A1902,"dddd"))</f>
        <v>Domingo</v>
      </c>
      <c r="Y1902" t="str" cm="1">
        <f t="array" ref="Y1902">_xlfn.IFS(R1902&gt;10,"Excelente",R1902&gt;=5,"Bueno",R1902&gt;=2,"Débil",R1902&lt;2,"Deficiente")</f>
        <v>Excelente</v>
      </c>
      <c r="Z1902" t="str">
        <f>IF(AND(R1902&lt;2,Q1902&gt;=100),"Revisar","OK")</f>
        <v>OK</v>
      </c>
      <c r="AA1902" s="55">
        <f>_xlfn.XLOOKUP(C1902,'Preguntas de negocio'!$C$114:$C$119,'Preguntas de negocio'!$D$114:$D$119,0)</f>
        <v>6</v>
      </c>
      <c r="AB1902" s="55">
        <f>VLOOKUP(C1902,'Preguntas de negocio'!$C$121:$D$127,2,FALSE)</f>
        <v>0.8</v>
      </c>
    </row>
    <row r="1903" spans="1:28" x14ac:dyDescent="0.3">
      <c r="A1903" s="1">
        <v>45895</v>
      </c>
      <c r="B1903" s="2" t="s">
        <v>2632</v>
      </c>
      <c r="C1903" s="2" t="s">
        <v>2521</v>
      </c>
      <c r="D1903" s="2" t="s">
        <v>2516</v>
      </c>
      <c r="E1903" s="2" t="s">
        <v>2529</v>
      </c>
      <c r="F1903" s="3">
        <v>133215</v>
      </c>
      <c r="G1903" s="3">
        <v>2039</v>
      </c>
      <c r="H1903" s="3">
        <v>180</v>
      </c>
      <c r="I1903" s="4">
        <v>3847.71</v>
      </c>
      <c r="J1903" s="4">
        <v>21270.85</v>
      </c>
      <c r="K1903" s="3">
        <v>120</v>
      </c>
      <c r="L1903" s="2" t="s">
        <v>2539</v>
      </c>
      <c r="M1903" s="2" t="s">
        <v>2526</v>
      </c>
      <c r="N1903" s="8">
        <f>IFERROR(G1903/F1903,0)</f>
        <v>1.5306084149682844E-2</v>
      </c>
      <c r="O1903" s="8">
        <f>IFERROR(H1903/G1903,0)</f>
        <v>8.827856792545366E-2</v>
      </c>
      <c r="P1903" s="4">
        <f>IFERROR(I1903/G1903,0)</f>
        <v>1.8870573810691516</v>
      </c>
      <c r="Q1903" s="4">
        <f>IFERROR(I1903/H1903,0)</f>
        <v>21.376166666666666</v>
      </c>
      <c r="R1903" s="12">
        <f>IFERROR(J1903/I1903,0)</f>
        <v>5.5281842966335812</v>
      </c>
      <c r="S1903" s="7">
        <f>Tabla_nuevas_columnas[[#This Row],[ROAS]]</f>
        <v>5.5281842966335812</v>
      </c>
      <c r="T1903" t="str">
        <f>_xlfn.CONCAT(C1903,"-",D1903)</f>
        <v>Paid Search-México</v>
      </c>
      <c r="U1903">
        <f>YEAR(A1903)</f>
        <v>2025</v>
      </c>
      <c r="V1903">
        <f>MONTH(A1903)</f>
        <v>8</v>
      </c>
      <c r="W1903" t="str">
        <f>PROPER(TEXT(A1903,"mmmm"))</f>
        <v>Agosto</v>
      </c>
      <c r="X1903" t="str">
        <f>PROPER(TEXT(A1903,"dddd"))</f>
        <v>Martes</v>
      </c>
      <c r="Y1903" t="str" cm="1">
        <f t="array" ref="Y1903">_xlfn.IFS(R1903&gt;10,"Excelente",R1903&gt;=5,"Bueno",R1903&gt;=2,"Débil",R1903&lt;2,"Deficiente")</f>
        <v>Bueno</v>
      </c>
      <c r="Z1903" t="str">
        <f>IF(AND(R1903&lt;2,Q1903&gt;=100),"Revisar","OK")</f>
        <v>OK</v>
      </c>
      <c r="AA1903" s="55">
        <f>_xlfn.XLOOKUP(C1903,'Preguntas de negocio'!$C$114:$C$119,'Preguntas de negocio'!$D$114:$D$119,0)</f>
        <v>5</v>
      </c>
      <c r="AB1903" s="55">
        <f>VLOOKUP(C1903,'Preguntas de negocio'!$C$121:$D$127,2,FALSE)</f>
        <v>1.1000000000000001</v>
      </c>
    </row>
    <row r="1904" spans="1:28" x14ac:dyDescent="0.3">
      <c r="A1904" s="1">
        <v>45684</v>
      </c>
      <c r="B1904" s="2" t="s">
        <v>2634</v>
      </c>
      <c r="C1904" s="2" t="s">
        <v>2527</v>
      </c>
      <c r="D1904" s="2" t="s">
        <v>2528</v>
      </c>
      <c r="E1904" s="2" t="s">
        <v>2517</v>
      </c>
      <c r="F1904" s="3">
        <v>98070</v>
      </c>
      <c r="G1904" s="3">
        <v>1205</v>
      </c>
      <c r="H1904" s="3">
        <v>100</v>
      </c>
      <c r="I1904" s="4">
        <v>292.14999999999998</v>
      </c>
      <c r="J1904" s="4">
        <v>9796.69</v>
      </c>
      <c r="K1904" s="3">
        <v>71</v>
      </c>
      <c r="L1904" s="2" t="s">
        <v>2518</v>
      </c>
      <c r="M1904" s="2" t="s">
        <v>2519</v>
      </c>
      <c r="N1904" s="8">
        <f>IFERROR(G1904/F1904,0)</f>
        <v>1.2287141837463036E-2</v>
      </c>
      <c r="O1904" s="8">
        <f>IFERROR(H1904/G1904,0)</f>
        <v>8.2987551867219914E-2</v>
      </c>
      <c r="P1904" s="4">
        <f>IFERROR(I1904/G1904,0)</f>
        <v>0.24244813278008298</v>
      </c>
      <c r="Q1904" s="4">
        <f>IFERROR(I1904/H1904,0)</f>
        <v>2.9215</v>
      </c>
      <c r="R1904" s="12">
        <f>IFERROR(J1904/I1904,0)</f>
        <v>33.533082320725661</v>
      </c>
      <c r="S1904" s="7">
        <f>Tabla_nuevas_columnas[[#This Row],[ROAS]]</f>
        <v>33.533082320725661</v>
      </c>
      <c r="T1904" t="str">
        <f>_xlfn.CONCAT(C1904,"-",D1904)</f>
        <v>Affiliate-España</v>
      </c>
      <c r="U1904">
        <f>YEAR(A1904)</f>
        <v>2025</v>
      </c>
      <c r="V1904">
        <f>MONTH(A1904)</f>
        <v>1</v>
      </c>
      <c r="W1904" t="str">
        <f>PROPER(TEXT(A1904,"mmmm"))</f>
        <v>Enero</v>
      </c>
      <c r="X1904" t="str">
        <f>PROPER(TEXT(A1904,"dddd"))</f>
        <v>Lunes</v>
      </c>
      <c r="Y1904" t="str" cm="1">
        <f t="array" ref="Y1904">_xlfn.IFS(R1904&gt;10,"Excelente",R1904&gt;=5,"Bueno",R1904&gt;=2,"Débil",R1904&lt;2,"Deficiente")</f>
        <v>Excelente</v>
      </c>
      <c r="Z1904" t="str">
        <f>IF(AND(R1904&lt;2,Q1904&gt;=100),"Revisar","OK")</f>
        <v>OK</v>
      </c>
      <c r="AA1904" s="55">
        <f>_xlfn.XLOOKUP(C1904,'Preguntas de negocio'!$C$114:$C$119,'Preguntas de negocio'!$D$114:$D$119,0)</f>
        <v>4.5</v>
      </c>
      <c r="AB1904" s="55">
        <f>VLOOKUP(C1904,'Preguntas de negocio'!$C$121:$D$127,2,FALSE)</f>
        <v>0.35</v>
      </c>
    </row>
    <row r="1905" spans="1:28" x14ac:dyDescent="0.3">
      <c r="A1905" s="1">
        <v>45932</v>
      </c>
      <c r="B1905" s="2" t="s">
        <v>2641</v>
      </c>
      <c r="C1905" s="2" t="s">
        <v>2527</v>
      </c>
      <c r="D1905" s="2" t="s">
        <v>2516</v>
      </c>
      <c r="E1905" s="2" t="s">
        <v>2529</v>
      </c>
      <c r="F1905" s="3">
        <v>114371</v>
      </c>
      <c r="G1905" s="3">
        <v>10151</v>
      </c>
      <c r="H1905" s="3">
        <v>1095</v>
      </c>
      <c r="I1905" s="4">
        <v>16880.87</v>
      </c>
      <c r="J1905" s="4">
        <v>177102.23</v>
      </c>
      <c r="K1905" s="3">
        <v>723</v>
      </c>
      <c r="L1905" s="2" t="s">
        <v>2523</v>
      </c>
      <c r="M1905" s="2" t="s">
        <v>2537</v>
      </c>
      <c r="N1905" s="8">
        <f>IFERROR(G1905/F1905,0)</f>
        <v>8.8755016568885473E-2</v>
      </c>
      <c r="O1905" s="8">
        <f>IFERROR(H1905/G1905,0)</f>
        <v>0.10787114569993105</v>
      </c>
      <c r="P1905" s="4">
        <f>IFERROR(I1905/G1905,0)</f>
        <v>1.6629760614717761</v>
      </c>
      <c r="Q1905" s="4">
        <f>IFERROR(I1905/H1905,0)</f>
        <v>15.416319634703195</v>
      </c>
      <c r="R1905" s="12">
        <f>IFERROR(J1905/I1905,0)</f>
        <v>10.49129754568337</v>
      </c>
      <c r="S1905" s="7">
        <f>Tabla_nuevas_columnas[[#This Row],[ROAS]]</f>
        <v>10.49129754568337</v>
      </c>
      <c r="T1905" t="str">
        <f>_xlfn.CONCAT(C1905,"-",D1905)</f>
        <v>Affiliate-México</v>
      </c>
      <c r="U1905">
        <f>YEAR(A1905)</f>
        <v>2025</v>
      </c>
      <c r="V1905">
        <f>MONTH(A1905)</f>
        <v>10</v>
      </c>
      <c r="W1905" t="str">
        <f>PROPER(TEXT(A1905,"mmmm"))</f>
        <v>Octubre</v>
      </c>
      <c r="X1905" t="str">
        <f>PROPER(TEXT(A1905,"dddd"))</f>
        <v>Jueves</v>
      </c>
      <c r="Y1905" t="str" cm="1">
        <f t="array" ref="Y1905">_xlfn.IFS(R1905&gt;10,"Excelente",R1905&gt;=5,"Bueno",R1905&gt;=2,"Débil",R1905&lt;2,"Deficiente")</f>
        <v>Excelente</v>
      </c>
      <c r="Z1905" t="str">
        <f>IF(AND(R1905&lt;2,Q1905&gt;=100),"Revisar","OK")</f>
        <v>OK</v>
      </c>
      <c r="AA1905" s="55">
        <f>_xlfn.XLOOKUP(C1905,'Preguntas de negocio'!$C$114:$C$119,'Preguntas de negocio'!$D$114:$D$119,0)</f>
        <v>4.5</v>
      </c>
      <c r="AB1905" s="55">
        <f>VLOOKUP(C1905,'Preguntas de negocio'!$C$121:$D$127,2,FALSE)</f>
        <v>0.35</v>
      </c>
    </row>
    <row r="1906" spans="1:28" x14ac:dyDescent="0.3">
      <c r="A1906" s="1">
        <v>45811</v>
      </c>
      <c r="B1906" s="2" t="s">
        <v>2618</v>
      </c>
      <c r="C1906" s="2" t="s">
        <v>2543</v>
      </c>
      <c r="D1906" s="2" t="s">
        <v>2528</v>
      </c>
      <c r="E1906" s="2" t="s">
        <v>2529</v>
      </c>
      <c r="F1906" s="3">
        <v>119206</v>
      </c>
      <c r="G1906" s="3">
        <v>2804</v>
      </c>
      <c r="H1906" s="3">
        <v>128</v>
      </c>
      <c r="I1906" s="4">
        <v>4155.9399999999996</v>
      </c>
      <c r="J1906" s="4">
        <v>22821.55</v>
      </c>
      <c r="K1906" s="3">
        <v>82</v>
      </c>
      <c r="L1906" s="2" t="s">
        <v>2518</v>
      </c>
      <c r="M1906" s="2" t="s">
        <v>2537</v>
      </c>
      <c r="N1906" s="8">
        <f>IFERROR(G1906/F1906,0)</f>
        <v>2.3522305924198447E-2</v>
      </c>
      <c r="O1906" s="8">
        <f>IFERROR(H1906/G1906,0)</f>
        <v>4.5649072753209702E-2</v>
      </c>
      <c r="P1906" s="4">
        <f>IFERROR(I1906/G1906,0)</f>
        <v>1.4821469329529242</v>
      </c>
      <c r="Q1906" s="4">
        <f>IFERROR(I1906/H1906,0)</f>
        <v>32.468281249999997</v>
      </c>
      <c r="R1906" s="12">
        <f>IFERROR(J1906/I1906,0)</f>
        <v>5.491308825440214</v>
      </c>
      <c r="S1906" s="7">
        <f>Tabla_nuevas_columnas[[#This Row],[ROAS]]</f>
        <v>5.491308825440214</v>
      </c>
      <c r="T1906" t="str">
        <f>_xlfn.CONCAT(C1906,"-",D1906)</f>
        <v>Organic Social-España</v>
      </c>
      <c r="U1906">
        <f>YEAR(A1906)</f>
        <v>2025</v>
      </c>
      <c r="V1906">
        <f>MONTH(A1906)</f>
        <v>6</v>
      </c>
      <c r="W1906" t="str">
        <f>PROPER(TEXT(A1906,"mmmm"))</f>
        <v>Junio</v>
      </c>
      <c r="X1906" t="str">
        <f>PROPER(TEXT(A1906,"dddd"))</f>
        <v>Martes</v>
      </c>
      <c r="Y1906" t="str" cm="1">
        <f t="array" ref="Y1906">_xlfn.IFS(R1906&gt;10,"Excelente",R1906&gt;=5,"Bueno",R1906&gt;=2,"Débil",R1906&lt;2,"Deficiente")</f>
        <v>Bueno</v>
      </c>
      <c r="Z1906" t="str">
        <f>IF(AND(R1906&lt;2,Q1906&gt;=100),"Revisar","OK")</f>
        <v>OK</v>
      </c>
      <c r="AA1906" s="55">
        <f>_xlfn.XLOOKUP(C1906,'Preguntas de negocio'!$C$114:$C$119,'Preguntas de negocio'!$D$114:$D$119,0)</f>
        <v>4</v>
      </c>
      <c r="AB1906" s="55">
        <f>VLOOKUP(C1906,'Preguntas de negocio'!$C$121:$D$127,2,FALSE)</f>
        <v>0.95</v>
      </c>
    </row>
    <row r="1907" spans="1:28" x14ac:dyDescent="0.3">
      <c r="A1907" s="1">
        <v>45733</v>
      </c>
      <c r="B1907" s="2" t="s">
        <v>2627</v>
      </c>
      <c r="C1907" s="2" t="s">
        <v>2515</v>
      </c>
      <c r="D1907" s="2" t="s">
        <v>2516</v>
      </c>
      <c r="E1907" s="2" t="s">
        <v>2517</v>
      </c>
      <c r="F1907" s="3">
        <v>94235</v>
      </c>
      <c r="G1907" s="3">
        <v>3938</v>
      </c>
      <c r="H1907" s="3">
        <v>55</v>
      </c>
      <c r="I1907" s="4">
        <v>3488.87</v>
      </c>
      <c r="J1907" s="4">
        <v>1090.6600000000001</v>
      </c>
      <c r="K1907" s="3">
        <v>39</v>
      </c>
      <c r="L1907" s="2" t="s">
        <v>2536</v>
      </c>
      <c r="M1907" s="2" t="s">
        <v>2526</v>
      </c>
      <c r="N1907" s="8">
        <f>IFERROR(G1907/F1907,0)</f>
        <v>4.1789144160874411E-2</v>
      </c>
      <c r="O1907" s="8">
        <f>IFERROR(H1907/G1907,0)</f>
        <v>1.3966480446927373E-2</v>
      </c>
      <c r="P1907" s="4">
        <f>IFERROR(I1907/G1907,0)</f>
        <v>0.88594972067039102</v>
      </c>
      <c r="Q1907" s="4">
        <f>IFERROR(I1907/H1907,0)</f>
        <v>63.433999999999997</v>
      </c>
      <c r="R1907" s="12">
        <f>IFERROR(J1907/I1907,0)</f>
        <v>0.31261124662139894</v>
      </c>
      <c r="S1907" s="7">
        <f>Tabla_nuevas_columnas[[#This Row],[ROAS]]</f>
        <v>0.31261124662139894</v>
      </c>
      <c r="T1907" t="str">
        <f>_xlfn.CONCAT(C1907,"-",D1907)</f>
        <v>Email-México</v>
      </c>
      <c r="U1907">
        <f>YEAR(A1907)</f>
        <v>2025</v>
      </c>
      <c r="V1907">
        <f>MONTH(A1907)</f>
        <v>3</v>
      </c>
      <c r="W1907" t="str">
        <f>PROPER(TEXT(A1907,"mmmm"))</f>
        <v>Marzo</v>
      </c>
      <c r="X1907" t="str">
        <f>PROPER(TEXT(A1907,"dddd"))</f>
        <v>Lunes</v>
      </c>
      <c r="Y1907" t="str" cm="1">
        <f t="array" ref="Y1907">_xlfn.IFS(R1907&gt;10,"Excelente",R1907&gt;=5,"Bueno",R1907&gt;=2,"Débil",R1907&lt;2,"Deficiente")</f>
        <v>Deficiente</v>
      </c>
      <c r="Z1907" t="str">
        <f>IF(AND(R1907&lt;2,Q1907&gt;=100),"Revisar","OK")</f>
        <v>OK</v>
      </c>
      <c r="AA1907" s="55">
        <f>_xlfn.XLOOKUP(C1907,'Preguntas de negocio'!$C$114:$C$119,'Preguntas de negocio'!$D$114:$D$119,0)</f>
        <v>5.5</v>
      </c>
      <c r="AB1907" s="55">
        <f>VLOOKUP(C1907,'Preguntas de negocio'!$C$121:$D$127,2,FALSE)</f>
        <v>0.65</v>
      </c>
    </row>
    <row r="1908" spans="1:28" x14ac:dyDescent="0.3">
      <c r="A1908" s="1">
        <v>45993</v>
      </c>
      <c r="B1908" s="2" t="s">
        <v>2633</v>
      </c>
      <c r="C1908" s="2" t="s">
        <v>2527</v>
      </c>
      <c r="D1908" s="2" t="s">
        <v>2522</v>
      </c>
      <c r="E1908" s="2" t="s">
        <v>2529</v>
      </c>
      <c r="F1908" s="3">
        <v>26394</v>
      </c>
      <c r="G1908" s="3">
        <v>1183</v>
      </c>
      <c r="H1908" s="3">
        <v>128</v>
      </c>
      <c r="I1908" s="4">
        <v>2090.09</v>
      </c>
      <c r="J1908" s="4">
        <v>8463.31</v>
      </c>
      <c r="K1908" s="3">
        <v>80</v>
      </c>
      <c r="L1908" s="2" t="s">
        <v>2518</v>
      </c>
      <c r="M1908" s="2" t="s">
        <v>2519</v>
      </c>
      <c r="N1908" s="8">
        <f>IFERROR(G1908/F1908,0)</f>
        <v>4.4820792604379781E-2</v>
      </c>
      <c r="O1908" s="8">
        <f>IFERROR(H1908/G1908,0)</f>
        <v>0.10819949281487742</v>
      </c>
      <c r="P1908" s="4">
        <f>IFERROR(I1908/G1908,0)</f>
        <v>1.7667709213863061</v>
      </c>
      <c r="Q1908" s="4">
        <f>IFERROR(I1908/H1908,0)</f>
        <v>16.328828125000001</v>
      </c>
      <c r="R1908" s="12">
        <f>IFERROR(J1908/I1908,0)</f>
        <v>4.0492562521231141</v>
      </c>
      <c r="S1908" s="7">
        <f>Tabla_nuevas_columnas[[#This Row],[ROAS]]</f>
        <v>4.0492562521231141</v>
      </c>
      <c r="T1908" t="str">
        <f>_xlfn.CONCAT(C1908,"-",D1908)</f>
        <v>Affiliate-Italia</v>
      </c>
      <c r="U1908">
        <f>YEAR(A1908)</f>
        <v>2025</v>
      </c>
      <c r="V1908">
        <f>MONTH(A1908)</f>
        <v>12</v>
      </c>
      <c r="W1908" t="str">
        <f>PROPER(TEXT(A1908,"mmmm"))</f>
        <v>Diciembre</v>
      </c>
      <c r="X1908" t="str">
        <f>PROPER(TEXT(A1908,"dddd"))</f>
        <v>Martes</v>
      </c>
      <c r="Y1908" t="str" cm="1">
        <f t="array" ref="Y1908">_xlfn.IFS(R1908&gt;10,"Excelente",R1908&gt;=5,"Bueno",R1908&gt;=2,"Débil",R1908&lt;2,"Deficiente")</f>
        <v>Débil</v>
      </c>
      <c r="Z1908" t="str">
        <f>IF(AND(R1908&lt;2,Q1908&gt;=100),"Revisar","OK")</f>
        <v>OK</v>
      </c>
      <c r="AA1908" s="55">
        <f>_xlfn.XLOOKUP(C1908,'Preguntas de negocio'!$C$114:$C$119,'Preguntas de negocio'!$D$114:$D$119,0)</f>
        <v>4.5</v>
      </c>
      <c r="AB1908" s="55">
        <f>VLOOKUP(C1908,'Preguntas de negocio'!$C$121:$D$127,2,FALSE)</f>
        <v>0.35</v>
      </c>
    </row>
    <row r="1909" spans="1:28" x14ac:dyDescent="0.3">
      <c r="A1909" s="1">
        <v>45775</v>
      </c>
      <c r="B1909" s="2" t="s">
        <v>2638</v>
      </c>
      <c r="C1909" s="2" t="s">
        <v>2533</v>
      </c>
      <c r="D1909" s="2" t="s">
        <v>2522</v>
      </c>
      <c r="E1909" s="2" t="s">
        <v>2517</v>
      </c>
      <c r="F1909" s="3">
        <v>145465</v>
      </c>
      <c r="G1909" s="3">
        <v>11107</v>
      </c>
      <c r="H1909" s="3">
        <v>367</v>
      </c>
      <c r="I1909" s="4">
        <v>12015.8</v>
      </c>
      <c r="J1909" s="4">
        <v>76083.960000000006</v>
      </c>
      <c r="K1909" s="3">
        <v>218</v>
      </c>
      <c r="L1909" s="2" t="s">
        <v>2523</v>
      </c>
      <c r="M1909" s="2" t="s">
        <v>2537</v>
      </c>
      <c r="N1909" s="8">
        <f>IFERROR(G1909/F1909,0)</f>
        <v>7.6355136974529961E-2</v>
      </c>
      <c r="O1909" s="8">
        <f>IFERROR(H1909/G1909,0)</f>
        <v>3.3042225623480685E-2</v>
      </c>
      <c r="P1909" s="4">
        <f>IFERROR(I1909/G1909,0)</f>
        <v>1.0818222742414694</v>
      </c>
      <c r="Q1909" s="4">
        <f>IFERROR(I1909/H1909,0)</f>
        <v>32.740599455040872</v>
      </c>
      <c r="R1909" s="12">
        <f>IFERROR(J1909/I1909,0)</f>
        <v>6.3319928760465398</v>
      </c>
      <c r="S1909" s="7">
        <f>Tabla_nuevas_columnas[[#This Row],[ROAS]]</f>
        <v>6.3319928760465398</v>
      </c>
      <c r="T1909" t="str">
        <f>_xlfn.CONCAT(C1909,"-",D1909)</f>
        <v>Paid Social-Italia</v>
      </c>
      <c r="U1909">
        <f>YEAR(A1909)</f>
        <v>2025</v>
      </c>
      <c r="V1909">
        <f>MONTH(A1909)</f>
        <v>4</v>
      </c>
      <c r="W1909" t="str">
        <f>PROPER(TEXT(A1909,"mmmm"))</f>
        <v>Abril</v>
      </c>
      <c r="X1909" t="str">
        <f>PROPER(TEXT(A1909,"dddd"))</f>
        <v>Lunes</v>
      </c>
      <c r="Y1909" t="str" cm="1">
        <f t="array" ref="Y1909">_xlfn.IFS(R1909&gt;10,"Excelente",R1909&gt;=5,"Bueno",R1909&gt;=2,"Débil",R1909&lt;2,"Deficiente")</f>
        <v>Bueno</v>
      </c>
      <c r="Z1909" t="str">
        <f>IF(AND(R1909&lt;2,Q1909&gt;=100),"Revisar","OK")</f>
        <v>OK</v>
      </c>
      <c r="AA1909" s="55">
        <f>_xlfn.XLOOKUP(C1909,'Preguntas de negocio'!$C$114:$C$119,'Preguntas de negocio'!$D$114:$D$119,0)</f>
        <v>6</v>
      </c>
      <c r="AB1909" s="55">
        <f>VLOOKUP(C1909,'Preguntas de negocio'!$C$121:$D$127,2,FALSE)</f>
        <v>0.8</v>
      </c>
    </row>
    <row r="1910" spans="1:28" x14ac:dyDescent="0.3">
      <c r="A1910" s="1">
        <v>45760</v>
      </c>
      <c r="B1910" s="2" t="s">
        <v>2639</v>
      </c>
      <c r="C1910" s="2" t="s">
        <v>2543</v>
      </c>
      <c r="D1910" s="2" t="s">
        <v>2528</v>
      </c>
      <c r="E1910" s="2" t="s">
        <v>2529</v>
      </c>
      <c r="F1910" s="3">
        <v>44429</v>
      </c>
      <c r="G1910" s="3">
        <v>3957</v>
      </c>
      <c r="H1910" s="3">
        <v>287</v>
      </c>
      <c r="I1910" s="4">
        <v>3227.51</v>
      </c>
      <c r="J1910" s="4">
        <v>27310.7</v>
      </c>
      <c r="K1910" s="3">
        <v>171</v>
      </c>
      <c r="L1910" s="2" t="s">
        <v>2539</v>
      </c>
      <c r="M1910" s="2" t="s">
        <v>2537</v>
      </c>
      <c r="N1910" s="8">
        <f>IFERROR(G1910/F1910,0)</f>
        <v>8.9063449548718185E-2</v>
      </c>
      <c r="O1910" s="8">
        <f>IFERROR(H1910/G1910,0)</f>
        <v>7.252969421278746E-2</v>
      </c>
      <c r="P1910" s="4">
        <f>IFERROR(I1910/G1910,0)</f>
        <v>0.81564569118018704</v>
      </c>
      <c r="Q1910" s="4">
        <f>IFERROR(I1910/H1910,0)</f>
        <v>11.245679442508711</v>
      </c>
      <c r="R1910" s="12">
        <f>IFERROR(J1910/I1910,0)</f>
        <v>8.4618482979138712</v>
      </c>
      <c r="S1910" s="7">
        <f>Tabla_nuevas_columnas[[#This Row],[ROAS]]</f>
        <v>8.4618482979138712</v>
      </c>
      <c r="T1910" t="str">
        <f>_xlfn.CONCAT(C1910,"-",D1910)</f>
        <v>Organic Social-España</v>
      </c>
      <c r="U1910">
        <f>YEAR(A1910)</f>
        <v>2025</v>
      </c>
      <c r="V1910">
        <f>MONTH(A1910)</f>
        <v>4</v>
      </c>
      <c r="W1910" t="str">
        <f>PROPER(TEXT(A1910,"mmmm"))</f>
        <v>Abril</v>
      </c>
      <c r="X1910" t="str">
        <f>PROPER(TEXT(A1910,"dddd"))</f>
        <v>Domingo</v>
      </c>
      <c r="Y1910" t="str" cm="1">
        <f t="array" ref="Y1910">_xlfn.IFS(R1910&gt;10,"Excelente",R1910&gt;=5,"Bueno",R1910&gt;=2,"Débil",R1910&lt;2,"Deficiente")</f>
        <v>Bueno</v>
      </c>
      <c r="Z1910" t="str">
        <f>IF(AND(R1910&lt;2,Q1910&gt;=100),"Revisar","OK")</f>
        <v>OK</v>
      </c>
      <c r="AA1910" s="55">
        <f>_xlfn.XLOOKUP(C1910,'Preguntas de negocio'!$C$114:$C$119,'Preguntas de negocio'!$D$114:$D$119,0)</f>
        <v>4</v>
      </c>
      <c r="AB1910" s="55">
        <f>VLOOKUP(C1910,'Preguntas de negocio'!$C$121:$D$127,2,FALSE)</f>
        <v>0.95</v>
      </c>
    </row>
    <row r="1911" spans="1:28" x14ac:dyDescent="0.3">
      <c r="A1911" s="1">
        <v>45845</v>
      </c>
      <c r="B1911" s="2" t="s">
        <v>2638</v>
      </c>
      <c r="C1911" s="2" t="s">
        <v>2533</v>
      </c>
      <c r="D1911" s="2" t="s">
        <v>2528</v>
      </c>
      <c r="E1911" s="2" t="s">
        <v>2517</v>
      </c>
      <c r="F1911" s="3">
        <v>36262</v>
      </c>
      <c r="G1911" s="3">
        <v>2613</v>
      </c>
      <c r="H1911" s="3">
        <v>30</v>
      </c>
      <c r="I1911" s="4">
        <v>4109.28</v>
      </c>
      <c r="J1911" s="4">
        <v>5164.04</v>
      </c>
      <c r="K1911" s="3">
        <v>23</v>
      </c>
      <c r="L1911" s="2" t="s">
        <v>2518</v>
      </c>
      <c r="M1911" s="2" t="s">
        <v>2537</v>
      </c>
      <c r="N1911" s="8">
        <f>IFERROR(G1911/F1911,0)</f>
        <v>7.205890463846451E-2</v>
      </c>
      <c r="O1911" s="8">
        <f>IFERROR(H1911/G1911,0)</f>
        <v>1.1481056257175661E-2</v>
      </c>
      <c r="P1911" s="4">
        <f>IFERROR(I1911/G1911,0)</f>
        <v>1.5726291618828931</v>
      </c>
      <c r="Q1911" s="4">
        <f>IFERROR(I1911/H1911,0)</f>
        <v>136.976</v>
      </c>
      <c r="R1911" s="12">
        <f>IFERROR(J1911/I1911,0)</f>
        <v>1.2566775688198419</v>
      </c>
      <c r="S1911" s="7">
        <f>Tabla_nuevas_columnas[[#This Row],[ROAS]]</f>
        <v>1.2566775688198419</v>
      </c>
      <c r="T1911" t="str">
        <f>_xlfn.CONCAT(C1911,"-",D1911)</f>
        <v>Paid Social-España</v>
      </c>
      <c r="U1911">
        <f>YEAR(A1911)</f>
        <v>2025</v>
      </c>
      <c r="V1911">
        <f>MONTH(A1911)</f>
        <v>7</v>
      </c>
      <c r="W1911" t="str">
        <f>PROPER(TEXT(A1911,"mmmm"))</f>
        <v>Julio</v>
      </c>
      <c r="X1911" t="str">
        <f>PROPER(TEXT(A1911,"dddd"))</f>
        <v>Lunes</v>
      </c>
      <c r="Y1911" t="str" cm="1">
        <f t="array" ref="Y1911">_xlfn.IFS(R1911&gt;10,"Excelente",R1911&gt;=5,"Bueno",R1911&gt;=2,"Débil",R1911&lt;2,"Deficiente")</f>
        <v>Deficiente</v>
      </c>
      <c r="Z1911" t="str">
        <f>IF(AND(R1911&lt;2,Q1911&gt;=100),"Revisar","OK")</f>
        <v>Revisar</v>
      </c>
      <c r="AA1911" s="55">
        <f>_xlfn.XLOOKUP(C1911,'Preguntas de negocio'!$C$114:$C$119,'Preguntas de negocio'!$D$114:$D$119,0)</f>
        <v>6</v>
      </c>
      <c r="AB1911" s="55">
        <f>VLOOKUP(C1911,'Preguntas de negocio'!$C$121:$D$127,2,FALSE)</f>
        <v>0.8</v>
      </c>
    </row>
    <row r="1912" spans="1:28" x14ac:dyDescent="0.3">
      <c r="A1912" s="1">
        <v>45866</v>
      </c>
      <c r="B1912" s="2" t="s">
        <v>2637</v>
      </c>
      <c r="C1912" s="2" t="s">
        <v>2527</v>
      </c>
      <c r="D1912" s="2" t="s">
        <v>2525</v>
      </c>
      <c r="E1912" s="2" t="s">
        <v>2517</v>
      </c>
      <c r="F1912" s="3">
        <v>163322</v>
      </c>
      <c r="G1912" s="3">
        <v>12431</v>
      </c>
      <c r="H1912" s="3">
        <v>782</v>
      </c>
      <c r="I1912" s="4">
        <v>8726.0400000000009</v>
      </c>
      <c r="J1912" s="4">
        <v>105315.12</v>
      </c>
      <c r="K1912" s="3">
        <v>626</v>
      </c>
      <c r="L1912" s="2" t="s">
        <v>2536</v>
      </c>
      <c r="M1912" s="2" t="s">
        <v>2524</v>
      </c>
      <c r="N1912" s="8">
        <f>IFERROR(G1912/F1912,0)</f>
        <v>7.6113444606360436E-2</v>
      </c>
      <c r="O1912" s="8">
        <f>IFERROR(H1912/G1912,0)</f>
        <v>6.2907248009009736E-2</v>
      </c>
      <c r="P1912" s="4">
        <f>IFERROR(I1912/G1912,0)</f>
        <v>0.7019580082052933</v>
      </c>
      <c r="Q1912" s="4">
        <f>IFERROR(I1912/H1912,0)</f>
        <v>11.158618925831203</v>
      </c>
      <c r="R1912" s="12">
        <f>IFERROR(J1912/I1912,0)</f>
        <v>12.069062255043523</v>
      </c>
      <c r="S1912" s="7">
        <f>Tabla_nuevas_columnas[[#This Row],[ROAS]]</f>
        <v>12.069062255043523</v>
      </c>
      <c r="T1912" t="str">
        <f>_xlfn.CONCAT(C1912,"-",D1912)</f>
        <v>Affiliate-Francia</v>
      </c>
      <c r="U1912">
        <f>YEAR(A1912)</f>
        <v>2025</v>
      </c>
      <c r="V1912">
        <f>MONTH(A1912)</f>
        <v>7</v>
      </c>
      <c r="W1912" t="str">
        <f>PROPER(TEXT(A1912,"mmmm"))</f>
        <v>Julio</v>
      </c>
      <c r="X1912" t="str">
        <f>PROPER(TEXT(A1912,"dddd"))</f>
        <v>Lunes</v>
      </c>
      <c r="Y1912" t="str" cm="1">
        <f t="array" ref="Y1912">_xlfn.IFS(R1912&gt;10,"Excelente",R1912&gt;=5,"Bueno",R1912&gt;=2,"Débil",R1912&lt;2,"Deficiente")</f>
        <v>Excelente</v>
      </c>
      <c r="Z1912" t="str">
        <f>IF(AND(R1912&lt;2,Q1912&gt;=100),"Revisar","OK")</f>
        <v>OK</v>
      </c>
      <c r="AA1912" s="55">
        <f>_xlfn.XLOOKUP(C1912,'Preguntas de negocio'!$C$114:$C$119,'Preguntas de negocio'!$D$114:$D$119,0)</f>
        <v>4.5</v>
      </c>
      <c r="AB1912" s="55">
        <f>VLOOKUP(C1912,'Preguntas de negocio'!$C$121:$D$127,2,FALSE)</f>
        <v>0.35</v>
      </c>
    </row>
    <row r="1913" spans="1:28" x14ac:dyDescent="0.3">
      <c r="A1913" s="1">
        <v>45707</v>
      </c>
      <c r="B1913" s="2" t="s">
        <v>2639</v>
      </c>
      <c r="C1913" s="2" t="s">
        <v>2521</v>
      </c>
      <c r="D1913" s="2" t="s">
        <v>2516</v>
      </c>
      <c r="E1913" s="2" t="s">
        <v>2529</v>
      </c>
      <c r="F1913" s="3">
        <v>31924</v>
      </c>
      <c r="G1913" s="3">
        <v>1669</v>
      </c>
      <c r="H1913" s="3">
        <v>201</v>
      </c>
      <c r="I1913" s="4">
        <v>1260.77</v>
      </c>
      <c r="J1913" s="4">
        <v>43815.67</v>
      </c>
      <c r="K1913" s="3">
        <v>171</v>
      </c>
      <c r="L1913" s="2" t="s">
        <v>2518</v>
      </c>
      <c r="M1913" s="2" t="s">
        <v>2519</v>
      </c>
      <c r="N1913" s="8">
        <f>IFERROR(G1913/F1913,0)</f>
        <v>5.2280415987971431E-2</v>
      </c>
      <c r="O1913" s="8">
        <f>IFERROR(H1913/G1913,0)</f>
        <v>0.12043139604553625</v>
      </c>
      <c r="P1913" s="4">
        <f>IFERROR(I1913/G1913,0)</f>
        <v>0.75540443379269018</v>
      </c>
      <c r="Q1913" s="4">
        <f>IFERROR(I1913/H1913,0)</f>
        <v>6.2724875621890543</v>
      </c>
      <c r="R1913" s="12">
        <f>IFERROR(J1913/I1913,0)</f>
        <v>34.753103262292093</v>
      </c>
      <c r="S1913" s="7">
        <f>Tabla_nuevas_columnas[[#This Row],[ROAS]]</f>
        <v>34.753103262292093</v>
      </c>
      <c r="T1913" t="str">
        <f>_xlfn.CONCAT(C1913,"-",D1913)</f>
        <v>Paid Search-México</v>
      </c>
      <c r="U1913">
        <f>YEAR(A1913)</f>
        <v>2025</v>
      </c>
      <c r="V1913">
        <f>MONTH(A1913)</f>
        <v>2</v>
      </c>
      <c r="W1913" t="str">
        <f>PROPER(TEXT(A1913,"mmmm"))</f>
        <v>Febrero</v>
      </c>
      <c r="X1913" t="str">
        <f>PROPER(TEXT(A1913,"dddd"))</f>
        <v>Miércoles</v>
      </c>
      <c r="Y1913" t="str" cm="1">
        <f t="array" ref="Y1913">_xlfn.IFS(R1913&gt;10,"Excelente",R1913&gt;=5,"Bueno",R1913&gt;=2,"Débil",R1913&lt;2,"Deficiente")</f>
        <v>Excelente</v>
      </c>
      <c r="Z1913" t="str">
        <f>IF(AND(R1913&lt;2,Q1913&gt;=100),"Revisar","OK")</f>
        <v>OK</v>
      </c>
      <c r="AA1913" s="55">
        <f>_xlfn.XLOOKUP(C1913,'Preguntas de negocio'!$C$114:$C$119,'Preguntas de negocio'!$D$114:$D$119,0)</f>
        <v>5</v>
      </c>
      <c r="AB1913" s="55">
        <f>VLOOKUP(C1913,'Preguntas de negocio'!$C$121:$D$127,2,FALSE)</f>
        <v>1.1000000000000001</v>
      </c>
    </row>
    <row r="1914" spans="1:28" x14ac:dyDescent="0.3">
      <c r="A1914" s="1">
        <v>45979</v>
      </c>
      <c r="B1914" s="2" t="s">
        <v>2629</v>
      </c>
      <c r="C1914" s="2" t="s">
        <v>2541</v>
      </c>
      <c r="D1914" s="2" t="s">
        <v>2528</v>
      </c>
      <c r="E1914" s="2" t="s">
        <v>2517</v>
      </c>
      <c r="F1914" s="3">
        <v>26901</v>
      </c>
      <c r="G1914" s="3">
        <v>496</v>
      </c>
      <c r="H1914" s="3">
        <v>62</v>
      </c>
      <c r="I1914" s="4">
        <v>595.51</v>
      </c>
      <c r="J1914" s="4">
        <v>6864.83</v>
      </c>
      <c r="K1914" s="3">
        <v>40</v>
      </c>
      <c r="L1914" s="2" t="s">
        <v>2536</v>
      </c>
      <c r="M1914" s="2" t="s">
        <v>2537</v>
      </c>
      <c r="N1914" s="8">
        <f>IFERROR(G1914/F1914,0)</f>
        <v>1.8437976283409537E-2</v>
      </c>
      <c r="O1914" s="8">
        <f>IFERROR(H1914/G1914,0)</f>
        <v>0.125</v>
      </c>
      <c r="P1914" s="4">
        <f>IFERROR(I1914/G1914,0)</f>
        <v>1.2006250000000001</v>
      </c>
      <c r="Q1914" s="4">
        <f>IFERROR(I1914/H1914,0)</f>
        <v>9.6050000000000004</v>
      </c>
      <c r="R1914" s="12">
        <f>IFERROR(J1914/I1914,0)</f>
        <v>11.527648570133163</v>
      </c>
      <c r="S1914" s="7">
        <f>Tabla_nuevas_columnas[[#This Row],[ROAS]]</f>
        <v>11.527648570133163</v>
      </c>
      <c r="T1914" t="str">
        <f>_xlfn.CONCAT(C1914,"-",D1914)</f>
        <v>Display-España</v>
      </c>
      <c r="U1914">
        <f>YEAR(A1914)</f>
        <v>2025</v>
      </c>
      <c r="V1914">
        <f>MONTH(A1914)</f>
        <v>11</v>
      </c>
      <c r="W1914" t="str">
        <f>PROPER(TEXT(A1914,"mmmm"))</f>
        <v>Noviembre</v>
      </c>
      <c r="X1914" t="str">
        <f>PROPER(TEXT(A1914,"dddd"))</f>
        <v>Martes</v>
      </c>
      <c r="Y1914" t="str" cm="1">
        <f t="array" ref="Y1914">_xlfn.IFS(R1914&gt;10,"Excelente",R1914&gt;=5,"Bueno",R1914&gt;=2,"Débil",R1914&lt;2,"Deficiente")</f>
        <v>Excelente</v>
      </c>
      <c r="Z1914" t="str">
        <f>IF(AND(R1914&lt;2,Q1914&gt;=100),"Revisar","OK")</f>
        <v>OK</v>
      </c>
      <c r="AA1914" s="55">
        <f>_xlfn.XLOOKUP(C1914,'Preguntas de negocio'!$C$114:$C$119,'Preguntas de negocio'!$D$114:$D$119,0)</f>
        <v>5</v>
      </c>
      <c r="AB1914" s="55">
        <f>VLOOKUP(C1914,'Preguntas de negocio'!$C$121:$D$127,2,FALSE)</f>
        <v>0.5</v>
      </c>
    </row>
    <row r="1915" spans="1:28" x14ac:dyDescent="0.3">
      <c r="A1915" s="1">
        <v>45808</v>
      </c>
      <c r="B1915" s="2" t="s">
        <v>2643</v>
      </c>
      <c r="C1915" s="2" t="s">
        <v>2541</v>
      </c>
      <c r="D1915" s="2" t="s">
        <v>2522</v>
      </c>
      <c r="E1915" s="2" t="s">
        <v>2534</v>
      </c>
      <c r="F1915" s="3">
        <v>37641</v>
      </c>
      <c r="G1915" s="3">
        <v>2283</v>
      </c>
      <c r="H1915" s="3">
        <v>52</v>
      </c>
      <c r="I1915" s="4">
        <v>4719.12</v>
      </c>
      <c r="J1915" s="4">
        <v>5765.99</v>
      </c>
      <c r="K1915" s="3">
        <v>27</v>
      </c>
      <c r="L1915" s="2" t="s">
        <v>2536</v>
      </c>
      <c r="M1915" s="2" t="s">
        <v>2537</v>
      </c>
      <c r="N1915" s="8">
        <f>IFERROR(G1915/F1915,0)</f>
        <v>6.0651948672989557E-2</v>
      </c>
      <c r="O1915" s="8">
        <f>IFERROR(H1915/G1915,0)</f>
        <v>2.2777047744196234E-2</v>
      </c>
      <c r="P1915" s="4">
        <f>IFERROR(I1915/G1915,0)</f>
        <v>2.0670696452036794</v>
      </c>
      <c r="Q1915" s="4">
        <f>IFERROR(I1915/H1915,0)</f>
        <v>90.752307692307696</v>
      </c>
      <c r="R1915" s="12">
        <f>IFERROR(J1915/I1915,0)</f>
        <v>1.221835850751835</v>
      </c>
      <c r="S1915" s="7">
        <f>Tabla_nuevas_columnas[[#This Row],[ROAS]]</f>
        <v>1.221835850751835</v>
      </c>
      <c r="T1915" t="str">
        <f>_xlfn.CONCAT(C1915,"-",D1915)</f>
        <v>Display-Italia</v>
      </c>
      <c r="U1915">
        <f>YEAR(A1915)</f>
        <v>2025</v>
      </c>
      <c r="V1915">
        <f>MONTH(A1915)</f>
        <v>5</v>
      </c>
      <c r="W1915" t="str">
        <f>PROPER(TEXT(A1915,"mmmm"))</f>
        <v>Mayo</v>
      </c>
      <c r="X1915" t="str">
        <f>PROPER(TEXT(A1915,"dddd"))</f>
        <v>Sábado</v>
      </c>
      <c r="Y1915" t="str" cm="1">
        <f t="array" ref="Y1915">_xlfn.IFS(R1915&gt;10,"Excelente",R1915&gt;=5,"Bueno",R1915&gt;=2,"Débil",R1915&lt;2,"Deficiente")</f>
        <v>Deficiente</v>
      </c>
      <c r="Z1915" t="str">
        <f>IF(AND(R1915&lt;2,Q1915&gt;=100),"Revisar","OK")</f>
        <v>OK</v>
      </c>
      <c r="AA1915" s="55">
        <f>_xlfn.XLOOKUP(C1915,'Preguntas de negocio'!$C$114:$C$119,'Preguntas de negocio'!$D$114:$D$119,0)</f>
        <v>5</v>
      </c>
      <c r="AB1915" s="55">
        <f>VLOOKUP(C1915,'Preguntas de negocio'!$C$121:$D$127,2,FALSE)</f>
        <v>0.5</v>
      </c>
    </row>
    <row r="1916" spans="1:28" x14ac:dyDescent="0.3">
      <c r="A1916" s="1">
        <v>45858</v>
      </c>
      <c r="B1916" s="2" t="s">
        <v>2623</v>
      </c>
      <c r="C1916" s="2" t="s">
        <v>2541</v>
      </c>
      <c r="D1916" s="2" t="s">
        <v>2516</v>
      </c>
      <c r="E1916" s="2" t="s">
        <v>2529</v>
      </c>
      <c r="F1916" s="3">
        <v>81211</v>
      </c>
      <c r="G1916" s="3">
        <v>844</v>
      </c>
      <c r="H1916" s="3">
        <v>6</v>
      </c>
      <c r="I1916" s="4">
        <v>1365.3</v>
      </c>
      <c r="J1916" s="4">
        <v>1259.8699999999999</v>
      </c>
      <c r="K1916" s="3">
        <v>3</v>
      </c>
      <c r="L1916" s="2" t="s">
        <v>2523</v>
      </c>
      <c r="M1916" s="2" t="s">
        <v>2524</v>
      </c>
      <c r="N1916" s="8">
        <f>IFERROR(G1916/F1916,0)</f>
        <v>1.0392680794473655E-2</v>
      </c>
      <c r="O1916" s="8">
        <f>IFERROR(H1916/G1916,0)</f>
        <v>7.1090047393364926E-3</v>
      </c>
      <c r="P1916" s="4">
        <f>IFERROR(I1916/G1916,0)</f>
        <v>1.6176540284360188</v>
      </c>
      <c r="Q1916" s="4">
        <f>IFERROR(I1916/H1916,0)</f>
        <v>227.54999999999998</v>
      </c>
      <c r="R1916" s="12">
        <f>IFERROR(J1916/I1916,0)</f>
        <v>0.92277887643741296</v>
      </c>
      <c r="S1916" s="7">
        <f>Tabla_nuevas_columnas[[#This Row],[ROAS]]</f>
        <v>0.92277887643741296</v>
      </c>
      <c r="T1916" t="str">
        <f>_xlfn.CONCAT(C1916,"-",D1916)</f>
        <v>Display-México</v>
      </c>
      <c r="U1916">
        <f>YEAR(A1916)</f>
        <v>2025</v>
      </c>
      <c r="V1916">
        <f>MONTH(A1916)</f>
        <v>7</v>
      </c>
      <c r="W1916" t="str">
        <f>PROPER(TEXT(A1916,"mmmm"))</f>
        <v>Julio</v>
      </c>
      <c r="X1916" t="str">
        <f>PROPER(TEXT(A1916,"dddd"))</f>
        <v>Domingo</v>
      </c>
      <c r="Y1916" t="str" cm="1">
        <f t="array" ref="Y1916">_xlfn.IFS(R1916&gt;10,"Excelente",R1916&gt;=5,"Bueno",R1916&gt;=2,"Débil",R1916&lt;2,"Deficiente")</f>
        <v>Deficiente</v>
      </c>
      <c r="Z1916" t="str">
        <f>IF(AND(R1916&lt;2,Q1916&gt;=100),"Revisar","OK")</f>
        <v>Revisar</v>
      </c>
      <c r="AA1916" s="55">
        <f>_xlfn.XLOOKUP(C1916,'Preguntas de negocio'!$C$114:$C$119,'Preguntas de negocio'!$D$114:$D$119,0)</f>
        <v>5</v>
      </c>
      <c r="AB1916" s="55">
        <f>VLOOKUP(C1916,'Preguntas de negocio'!$C$121:$D$127,2,FALSE)</f>
        <v>0.5</v>
      </c>
    </row>
    <row r="1917" spans="1:28" x14ac:dyDescent="0.3">
      <c r="A1917" s="1">
        <v>45802</v>
      </c>
      <c r="B1917" s="2" t="s">
        <v>2638</v>
      </c>
      <c r="C1917" s="2" t="s">
        <v>2515</v>
      </c>
      <c r="D1917" s="2" t="s">
        <v>2528</v>
      </c>
      <c r="E1917" s="2" t="s">
        <v>2529</v>
      </c>
      <c r="F1917" s="3">
        <v>30393</v>
      </c>
      <c r="G1917" s="3">
        <v>863</v>
      </c>
      <c r="H1917" s="3">
        <v>78</v>
      </c>
      <c r="I1917" s="4">
        <v>483.09</v>
      </c>
      <c r="J1917" s="4">
        <v>6549.03</v>
      </c>
      <c r="K1917" s="3">
        <v>48</v>
      </c>
      <c r="L1917" s="2" t="s">
        <v>2518</v>
      </c>
      <c r="M1917" s="2" t="s">
        <v>2526</v>
      </c>
      <c r="N1917" s="8">
        <f>IFERROR(G1917/F1917,0)</f>
        <v>2.8394696147139145E-2</v>
      </c>
      <c r="O1917" s="8">
        <f>IFERROR(H1917/G1917,0)</f>
        <v>9.0382387022016217E-2</v>
      </c>
      <c r="P1917" s="4">
        <f>IFERROR(I1917/G1917,0)</f>
        <v>0.55977983777520279</v>
      </c>
      <c r="Q1917" s="4">
        <f>IFERROR(I1917/H1917,0)</f>
        <v>6.1934615384615386</v>
      </c>
      <c r="R1917" s="12">
        <f>IFERROR(J1917/I1917,0)</f>
        <v>13.55654225920636</v>
      </c>
      <c r="S1917" s="7">
        <f>Tabla_nuevas_columnas[[#This Row],[ROAS]]</f>
        <v>13.55654225920636</v>
      </c>
      <c r="T1917" t="str">
        <f>_xlfn.CONCAT(C1917,"-",D1917)</f>
        <v>Email-España</v>
      </c>
      <c r="U1917">
        <f>YEAR(A1917)</f>
        <v>2025</v>
      </c>
      <c r="V1917">
        <f>MONTH(A1917)</f>
        <v>5</v>
      </c>
      <c r="W1917" t="str">
        <f>PROPER(TEXT(A1917,"mmmm"))</f>
        <v>Mayo</v>
      </c>
      <c r="X1917" t="str">
        <f>PROPER(TEXT(A1917,"dddd"))</f>
        <v>Domingo</v>
      </c>
      <c r="Y1917" t="str" cm="1">
        <f t="array" ref="Y1917">_xlfn.IFS(R1917&gt;10,"Excelente",R1917&gt;=5,"Bueno",R1917&gt;=2,"Débil",R1917&lt;2,"Deficiente")</f>
        <v>Excelente</v>
      </c>
      <c r="Z1917" t="str">
        <f>IF(AND(R1917&lt;2,Q1917&gt;=100),"Revisar","OK")</f>
        <v>OK</v>
      </c>
      <c r="AA1917" s="55">
        <f>_xlfn.XLOOKUP(C1917,'Preguntas de negocio'!$C$114:$C$119,'Preguntas de negocio'!$D$114:$D$119,0)</f>
        <v>5.5</v>
      </c>
      <c r="AB1917" s="55">
        <f>VLOOKUP(C1917,'Preguntas de negocio'!$C$121:$D$127,2,FALSE)</f>
        <v>0.65</v>
      </c>
    </row>
    <row r="1918" spans="1:28" x14ac:dyDescent="0.3">
      <c r="A1918" s="1">
        <v>45905</v>
      </c>
      <c r="B1918" s="2" t="s">
        <v>2631</v>
      </c>
      <c r="C1918" s="2" t="s">
        <v>2541</v>
      </c>
      <c r="D1918" s="2" t="s">
        <v>2528</v>
      </c>
      <c r="E1918" s="2" t="s">
        <v>2517</v>
      </c>
      <c r="F1918" s="3">
        <v>158320</v>
      </c>
      <c r="G1918" s="3">
        <v>10990</v>
      </c>
      <c r="H1918" s="3">
        <v>1044</v>
      </c>
      <c r="I1918" s="4">
        <v>22877.119999999999</v>
      </c>
      <c r="J1918" s="4">
        <v>105252.64</v>
      </c>
      <c r="K1918" s="3">
        <v>861</v>
      </c>
      <c r="L1918" s="2" t="s">
        <v>2518</v>
      </c>
      <c r="M1918" s="2" t="s">
        <v>2519</v>
      </c>
      <c r="N1918" s="8">
        <f>IFERROR(G1918/F1918,0)</f>
        <v>6.9416371905002522E-2</v>
      </c>
      <c r="O1918" s="8">
        <f>IFERROR(H1918/G1918,0)</f>
        <v>9.4995450409463153E-2</v>
      </c>
      <c r="P1918" s="4">
        <f>IFERROR(I1918/G1918,0)</f>
        <v>2.0816305732484075</v>
      </c>
      <c r="Q1918" s="4">
        <f>IFERROR(I1918/H1918,0)</f>
        <v>21.912950191570879</v>
      </c>
      <c r="R1918" s="12">
        <f>IFERROR(J1918/I1918,0)</f>
        <v>4.6007819166048876</v>
      </c>
      <c r="S1918" s="7">
        <f>Tabla_nuevas_columnas[[#This Row],[ROAS]]</f>
        <v>4.6007819166048876</v>
      </c>
      <c r="T1918" t="str">
        <f>_xlfn.CONCAT(C1918,"-",D1918)</f>
        <v>Display-España</v>
      </c>
      <c r="U1918">
        <f>YEAR(A1918)</f>
        <v>2025</v>
      </c>
      <c r="V1918">
        <f>MONTH(A1918)</f>
        <v>9</v>
      </c>
      <c r="W1918" t="str">
        <f>PROPER(TEXT(A1918,"mmmm"))</f>
        <v>Septiembre</v>
      </c>
      <c r="X1918" t="str">
        <f>PROPER(TEXT(A1918,"dddd"))</f>
        <v>Viernes</v>
      </c>
      <c r="Y1918" t="str" cm="1">
        <f t="array" ref="Y1918">_xlfn.IFS(R1918&gt;10,"Excelente",R1918&gt;=5,"Bueno",R1918&gt;=2,"Débil",R1918&lt;2,"Deficiente")</f>
        <v>Débil</v>
      </c>
      <c r="Z1918" t="str">
        <f>IF(AND(R1918&lt;2,Q1918&gt;=100),"Revisar","OK")</f>
        <v>OK</v>
      </c>
      <c r="AA1918" s="55">
        <f>_xlfn.XLOOKUP(C1918,'Preguntas de negocio'!$C$114:$C$119,'Preguntas de negocio'!$D$114:$D$119,0)</f>
        <v>5</v>
      </c>
      <c r="AB1918" s="55">
        <f>VLOOKUP(C1918,'Preguntas de negocio'!$C$121:$D$127,2,FALSE)</f>
        <v>0.5</v>
      </c>
    </row>
    <row r="1919" spans="1:28" x14ac:dyDescent="0.3">
      <c r="A1919" s="1">
        <v>45997</v>
      </c>
      <c r="B1919" s="2" t="s">
        <v>2618</v>
      </c>
      <c r="C1919" s="2" t="s">
        <v>2533</v>
      </c>
      <c r="D1919" s="2" t="s">
        <v>2525</v>
      </c>
      <c r="E1919" s="2" t="s">
        <v>2529</v>
      </c>
      <c r="F1919" s="3">
        <v>105167</v>
      </c>
      <c r="G1919" s="3">
        <v>8585</v>
      </c>
      <c r="H1919" s="3">
        <v>1019</v>
      </c>
      <c r="I1919" s="4">
        <v>5080.42</v>
      </c>
      <c r="J1919" s="4">
        <v>214698.07</v>
      </c>
      <c r="K1919" s="3">
        <v>908</v>
      </c>
      <c r="L1919" s="2" t="s">
        <v>2523</v>
      </c>
      <c r="M1919" s="2" t="s">
        <v>2519</v>
      </c>
      <c r="N1919" s="8">
        <f>IFERROR(G1919/F1919,0)</f>
        <v>8.1632070896764192E-2</v>
      </c>
      <c r="O1919" s="8">
        <f>IFERROR(H1919/G1919,0)</f>
        <v>0.11869539895165987</v>
      </c>
      <c r="P1919" s="4">
        <f>IFERROR(I1919/G1919,0)</f>
        <v>0.59177868375072806</v>
      </c>
      <c r="Q1919" s="4">
        <f>IFERROR(I1919/H1919,0)</f>
        <v>4.9856918547595681</v>
      </c>
      <c r="R1919" s="12">
        <f>IFERROR(J1919/I1919,0)</f>
        <v>42.259905677089691</v>
      </c>
      <c r="S1919" s="7">
        <f>Tabla_nuevas_columnas[[#This Row],[ROAS]]</f>
        <v>42.259905677089691</v>
      </c>
      <c r="T1919" t="str">
        <f>_xlfn.CONCAT(C1919,"-",D1919)</f>
        <v>Paid Social-Francia</v>
      </c>
      <c r="U1919">
        <f>YEAR(A1919)</f>
        <v>2025</v>
      </c>
      <c r="V1919">
        <f>MONTH(A1919)</f>
        <v>12</v>
      </c>
      <c r="W1919" t="str">
        <f>PROPER(TEXT(A1919,"mmmm"))</f>
        <v>Diciembre</v>
      </c>
      <c r="X1919" t="str">
        <f>PROPER(TEXT(A1919,"dddd"))</f>
        <v>Sábado</v>
      </c>
      <c r="Y1919" t="str" cm="1">
        <f t="array" ref="Y1919">_xlfn.IFS(R1919&gt;10,"Excelente",R1919&gt;=5,"Bueno",R1919&gt;=2,"Débil",R1919&lt;2,"Deficiente")</f>
        <v>Excelente</v>
      </c>
      <c r="Z1919" t="str">
        <f>IF(AND(R1919&lt;2,Q1919&gt;=100),"Revisar","OK")</f>
        <v>OK</v>
      </c>
      <c r="AA1919" s="55">
        <f>_xlfn.XLOOKUP(C1919,'Preguntas de negocio'!$C$114:$C$119,'Preguntas de negocio'!$D$114:$D$119,0)</f>
        <v>6</v>
      </c>
      <c r="AB1919" s="55">
        <f>VLOOKUP(C1919,'Preguntas de negocio'!$C$121:$D$127,2,FALSE)</f>
        <v>0.8</v>
      </c>
    </row>
    <row r="1920" spans="1:28" x14ac:dyDescent="0.3">
      <c r="A1920" s="1">
        <v>45865</v>
      </c>
      <c r="B1920" s="2" t="s">
        <v>2625</v>
      </c>
      <c r="C1920" s="2" t="s">
        <v>2543</v>
      </c>
      <c r="D1920" s="2" t="s">
        <v>2528</v>
      </c>
      <c r="E1920" s="2" t="s">
        <v>2517</v>
      </c>
      <c r="F1920" s="3">
        <v>22681</v>
      </c>
      <c r="G1920" s="3">
        <v>684</v>
      </c>
      <c r="H1920" s="3">
        <v>65</v>
      </c>
      <c r="I1920" s="4">
        <v>516.62</v>
      </c>
      <c r="J1920" s="4">
        <v>10600.82</v>
      </c>
      <c r="K1920" s="3">
        <v>35</v>
      </c>
      <c r="L1920" s="2" t="s">
        <v>2523</v>
      </c>
      <c r="M1920" s="2" t="s">
        <v>2526</v>
      </c>
      <c r="N1920" s="8">
        <f>IFERROR(G1920/F1920,0)</f>
        <v>3.0157400467351526E-2</v>
      </c>
      <c r="O1920" s="8">
        <f>IFERROR(H1920/G1920,0)</f>
        <v>9.5029239766081866E-2</v>
      </c>
      <c r="P1920" s="4">
        <f>IFERROR(I1920/G1920,0)</f>
        <v>0.75529239766081868</v>
      </c>
      <c r="Q1920" s="4">
        <f>IFERROR(I1920/H1920,0)</f>
        <v>7.9480000000000004</v>
      </c>
      <c r="R1920" s="12">
        <f>IFERROR(J1920/I1920,0)</f>
        <v>20.519569509504084</v>
      </c>
      <c r="S1920" s="7">
        <f>Tabla_nuevas_columnas[[#This Row],[ROAS]]</f>
        <v>20.519569509504084</v>
      </c>
      <c r="T1920" t="str">
        <f>_xlfn.CONCAT(C1920,"-",D1920)</f>
        <v>Organic Social-España</v>
      </c>
      <c r="U1920">
        <f>YEAR(A1920)</f>
        <v>2025</v>
      </c>
      <c r="V1920">
        <f>MONTH(A1920)</f>
        <v>7</v>
      </c>
      <c r="W1920" t="str">
        <f>PROPER(TEXT(A1920,"mmmm"))</f>
        <v>Julio</v>
      </c>
      <c r="X1920" t="str">
        <f>PROPER(TEXT(A1920,"dddd"))</f>
        <v>Domingo</v>
      </c>
      <c r="Y1920" t="str" cm="1">
        <f t="array" ref="Y1920">_xlfn.IFS(R1920&gt;10,"Excelente",R1920&gt;=5,"Bueno",R1920&gt;=2,"Débil",R1920&lt;2,"Deficiente")</f>
        <v>Excelente</v>
      </c>
      <c r="Z1920" t="str">
        <f>IF(AND(R1920&lt;2,Q1920&gt;=100),"Revisar","OK")</f>
        <v>OK</v>
      </c>
      <c r="AA1920" s="55">
        <f>_xlfn.XLOOKUP(C1920,'Preguntas de negocio'!$C$114:$C$119,'Preguntas de negocio'!$D$114:$D$119,0)</f>
        <v>4</v>
      </c>
      <c r="AB1920" s="55">
        <f>VLOOKUP(C1920,'Preguntas de negocio'!$C$121:$D$127,2,FALSE)</f>
        <v>0.95</v>
      </c>
    </row>
    <row r="1921" spans="1:28" x14ac:dyDescent="0.3">
      <c r="A1921" s="1">
        <v>45922</v>
      </c>
      <c r="B1921" s="2" t="s">
        <v>2635</v>
      </c>
      <c r="C1921" s="2" t="s">
        <v>2533</v>
      </c>
      <c r="D1921" s="2" t="s">
        <v>2525</v>
      </c>
      <c r="E1921" s="2" t="s">
        <v>2517</v>
      </c>
      <c r="F1921" s="3">
        <v>1975</v>
      </c>
      <c r="G1921" s="3">
        <v>143</v>
      </c>
      <c r="H1921" s="3">
        <v>0</v>
      </c>
      <c r="I1921" s="4">
        <v>48.79</v>
      </c>
      <c r="J1921" s="4">
        <v>0</v>
      </c>
      <c r="K1921" s="3">
        <v>0</v>
      </c>
      <c r="L1921" s="2" t="s">
        <v>2536</v>
      </c>
      <c r="M1921" s="2" t="s">
        <v>2526</v>
      </c>
      <c r="N1921" s="8">
        <f>IFERROR(G1921/F1921,0)</f>
        <v>7.2405063291139243E-2</v>
      </c>
      <c r="O1921" s="8">
        <f>IFERROR(H1921/G1921,0)</f>
        <v>0</v>
      </c>
      <c r="P1921" s="4">
        <f>IFERROR(I1921/G1921,0)</f>
        <v>0.34118881118881117</v>
      </c>
      <c r="Q1921" s="4">
        <f>IFERROR(I1921/H1921,0)</f>
        <v>0</v>
      </c>
      <c r="R1921" s="12">
        <f>IFERROR(J1921/I1921,0)</f>
        <v>0</v>
      </c>
      <c r="S1921" s="7">
        <f>Tabla_nuevas_columnas[[#This Row],[ROAS]]</f>
        <v>0</v>
      </c>
      <c r="T1921" t="str">
        <f>_xlfn.CONCAT(C1921,"-",D1921)</f>
        <v>Paid Social-Francia</v>
      </c>
      <c r="U1921">
        <f>YEAR(A1921)</f>
        <v>2025</v>
      </c>
      <c r="V1921">
        <f>MONTH(A1921)</f>
        <v>9</v>
      </c>
      <c r="W1921" t="str">
        <f>PROPER(TEXT(A1921,"mmmm"))</f>
        <v>Septiembre</v>
      </c>
      <c r="X1921" t="str">
        <f>PROPER(TEXT(A1921,"dddd"))</f>
        <v>Lunes</v>
      </c>
      <c r="Y1921" t="str" cm="1">
        <f t="array" ref="Y1921">_xlfn.IFS(R1921&gt;10,"Excelente",R1921&gt;=5,"Bueno",R1921&gt;=2,"Débil",R1921&lt;2,"Deficiente")</f>
        <v>Deficiente</v>
      </c>
      <c r="Z1921" t="str">
        <f>IF(AND(R1921&lt;2,Q1921&gt;=100),"Revisar","OK")</f>
        <v>OK</v>
      </c>
      <c r="AA1921" s="55">
        <f>_xlfn.XLOOKUP(C1921,'Preguntas de negocio'!$C$114:$C$119,'Preguntas de negocio'!$D$114:$D$119,0)</f>
        <v>6</v>
      </c>
      <c r="AB1921" s="55">
        <f>VLOOKUP(C1921,'Preguntas de negocio'!$C$121:$D$127,2,FALSE)</f>
        <v>0.8</v>
      </c>
    </row>
    <row r="1922" spans="1:28" x14ac:dyDescent="0.3">
      <c r="A1922" s="1">
        <v>45664</v>
      </c>
      <c r="B1922" s="2" t="s">
        <v>2617</v>
      </c>
      <c r="C1922" s="2" t="s">
        <v>2541</v>
      </c>
      <c r="D1922" s="2" t="s">
        <v>2525</v>
      </c>
      <c r="E1922" s="2" t="s">
        <v>2517</v>
      </c>
      <c r="F1922" s="3">
        <v>61093</v>
      </c>
      <c r="G1922" s="3">
        <v>2027</v>
      </c>
      <c r="H1922" s="3">
        <v>279</v>
      </c>
      <c r="I1922" s="4">
        <v>760.04</v>
      </c>
      <c r="J1922" s="4">
        <v>56800.39</v>
      </c>
      <c r="K1922" s="3">
        <v>244</v>
      </c>
      <c r="L1922" s="2" t="s">
        <v>2523</v>
      </c>
      <c r="M1922" s="2" t="s">
        <v>2519</v>
      </c>
      <c r="N1922" s="8">
        <f>IFERROR(G1922/F1922,0)</f>
        <v>3.3178923935639107E-2</v>
      </c>
      <c r="O1922" s="8">
        <f>IFERROR(H1922/G1922,0)</f>
        <v>0.13764183522446966</v>
      </c>
      <c r="P1922" s="4">
        <f>IFERROR(I1922/G1922,0)</f>
        <v>0.37495806610754806</v>
      </c>
      <c r="Q1922" s="4">
        <f>IFERROR(I1922/H1922,0)</f>
        <v>2.7241577060931896</v>
      </c>
      <c r="R1922" s="12">
        <f>IFERROR(J1922/I1922,0)</f>
        <v>74.733421925161835</v>
      </c>
      <c r="S1922" s="7">
        <f>Tabla_nuevas_columnas[[#This Row],[ROAS]]</f>
        <v>74.733421925161835</v>
      </c>
      <c r="T1922" t="str">
        <f>_xlfn.CONCAT(C1922,"-",D1922)</f>
        <v>Display-Francia</v>
      </c>
      <c r="U1922">
        <f>YEAR(A1922)</f>
        <v>2025</v>
      </c>
      <c r="V1922">
        <f>MONTH(A1922)</f>
        <v>1</v>
      </c>
      <c r="W1922" t="str">
        <f>PROPER(TEXT(A1922,"mmmm"))</f>
        <v>Enero</v>
      </c>
      <c r="X1922" t="str">
        <f>PROPER(TEXT(A1922,"dddd"))</f>
        <v>Martes</v>
      </c>
      <c r="Y1922" t="str" cm="1">
        <f t="array" ref="Y1922">_xlfn.IFS(R1922&gt;10,"Excelente",R1922&gt;=5,"Bueno",R1922&gt;=2,"Débil",R1922&lt;2,"Deficiente")</f>
        <v>Excelente</v>
      </c>
      <c r="Z1922" t="str">
        <f>IF(AND(R1922&lt;2,Q1922&gt;=100),"Revisar","OK")</f>
        <v>OK</v>
      </c>
      <c r="AA1922" s="55">
        <f>_xlfn.XLOOKUP(C1922,'Preguntas de negocio'!$C$114:$C$119,'Preguntas de negocio'!$D$114:$D$119,0)</f>
        <v>5</v>
      </c>
      <c r="AB1922" s="55">
        <f>VLOOKUP(C1922,'Preguntas de negocio'!$C$121:$D$127,2,FALSE)</f>
        <v>0.5</v>
      </c>
    </row>
    <row r="1923" spans="1:28" x14ac:dyDescent="0.3">
      <c r="A1923" s="1">
        <v>45764</v>
      </c>
      <c r="B1923" s="2" t="s">
        <v>2630</v>
      </c>
      <c r="C1923" s="2" t="s">
        <v>2521</v>
      </c>
      <c r="D1923" s="2" t="s">
        <v>2528</v>
      </c>
      <c r="E1923" s="2" t="s">
        <v>2529</v>
      </c>
      <c r="F1923" s="3">
        <v>153656</v>
      </c>
      <c r="G1923" s="3">
        <v>7598</v>
      </c>
      <c r="H1923" s="3">
        <v>123</v>
      </c>
      <c r="I1923" s="4">
        <v>6764.56</v>
      </c>
      <c r="J1923" s="4">
        <v>12714.87</v>
      </c>
      <c r="K1923" s="3">
        <v>94</v>
      </c>
      <c r="L1923" s="2" t="s">
        <v>2518</v>
      </c>
      <c r="M1923" s="2" t="s">
        <v>2524</v>
      </c>
      <c r="N1923" s="8">
        <f>IFERROR(G1923/F1923,0)</f>
        <v>4.9448117873691882E-2</v>
      </c>
      <c r="O1923" s="8">
        <f>IFERROR(H1923/G1923,0)</f>
        <v>1.6188470650171097E-2</v>
      </c>
      <c r="P1923" s="4">
        <f>IFERROR(I1923/G1923,0)</f>
        <v>0.89030797578310084</v>
      </c>
      <c r="Q1923" s="4">
        <f>IFERROR(I1923/H1923,0)</f>
        <v>54.996422764227646</v>
      </c>
      <c r="R1923" s="12">
        <f>IFERROR(J1923/I1923,0)</f>
        <v>1.8796300128907129</v>
      </c>
      <c r="S1923" s="7">
        <f>Tabla_nuevas_columnas[[#This Row],[ROAS]]</f>
        <v>1.8796300128907129</v>
      </c>
      <c r="T1923" t="str">
        <f>_xlfn.CONCAT(C1923,"-",D1923)</f>
        <v>Paid Search-España</v>
      </c>
      <c r="U1923">
        <f>YEAR(A1923)</f>
        <v>2025</v>
      </c>
      <c r="V1923">
        <f>MONTH(A1923)</f>
        <v>4</v>
      </c>
      <c r="W1923" t="str">
        <f>PROPER(TEXT(A1923,"mmmm"))</f>
        <v>Abril</v>
      </c>
      <c r="X1923" t="str">
        <f>PROPER(TEXT(A1923,"dddd"))</f>
        <v>Jueves</v>
      </c>
      <c r="Y1923" t="str" cm="1">
        <f t="array" ref="Y1923">_xlfn.IFS(R1923&gt;10,"Excelente",R1923&gt;=5,"Bueno",R1923&gt;=2,"Débil",R1923&lt;2,"Deficiente")</f>
        <v>Deficiente</v>
      </c>
      <c r="Z1923" t="str">
        <f>IF(AND(R1923&lt;2,Q1923&gt;=100),"Revisar","OK")</f>
        <v>OK</v>
      </c>
      <c r="AA1923" s="55">
        <f>_xlfn.XLOOKUP(C1923,'Preguntas de negocio'!$C$114:$C$119,'Preguntas de negocio'!$D$114:$D$119,0)</f>
        <v>5</v>
      </c>
      <c r="AB1923" s="55">
        <f>VLOOKUP(C1923,'Preguntas de negocio'!$C$121:$D$127,2,FALSE)</f>
        <v>1.1000000000000001</v>
      </c>
    </row>
    <row r="1924" spans="1:28" x14ac:dyDescent="0.3">
      <c r="A1924" s="1">
        <v>45798</v>
      </c>
      <c r="B1924" s="2" t="s">
        <v>2636</v>
      </c>
      <c r="C1924" s="2" t="s">
        <v>2541</v>
      </c>
      <c r="D1924" s="2" t="s">
        <v>2528</v>
      </c>
      <c r="E1924" s="2" t="s">
        <v>2517</v>
      </c>
      <c r="F1924" s="3">
        <v>9384</v>
      </c>
      <c r="G1924" s="3">
        <v>226</v>
      </c>
      <c r="H1924" s="3">
        <v>6</v>
      </c>
      <c r="I1924" s="4">
        <v>381.14</v>
      </c>
      <c r="J1924" s="4">
        <v>939.39</v>
      </c>
      <c r="K1924" s="3">
        <v>2</v>
      </c>
      <c r="L1924" s="2" t="s">
        <v>2536</v>
      </c>
      <c r="M1924" s="2" t="s">
        <v>2537</v>
      </c>
      <c r="N1924" s="8">
        <f>IFERROR(G1924/F1924,0)</f>
        <v>2.4083546462063087E-2</v>
      </c>
      <c r="O1924" s="8">
        <f>IFERROR(H1924/G1924,0)</f>
        <v>2.6548672566371681E-2</v>
      </c>
      <c r="P1924" s="4">
        <f>IFERROR(I1924/G1924,0)</f>
        <v>1.6864601769911505</v>
      </c>
      <c r="Q1924" s="4">
        <f>IFERROR(I1924/H1924,0)</f>
        <v>63.523333333333333</v>
      </c>
      <c r="R1924" s="12">
        <f>IFERROR(J1924/I1924,0)</f>
        <v>2.4646848926903502</v>
      </c>
      <c r="S1924" s="7">
        <f>Tabla_nuevas_columnas[[#This Row],[ROAS]]</f>
        <v>2.4646848926903502</v>
      </c>
      <c r="T1924" t="str">
        <f>_xlfn.CONCAT(C1924,"-",D1924)</f>
        <v>Display-España</v>
      </c>
      <c r="U1924">
        <f>YEAR(A1924)</f>
        <v>2025</v>
      </c>
      <c r="V1924">
        <f>MONTH(A1924)</f>
        <v>5</v>
      </c>
      <c r="W1924" t="str">
        <f>PROPER(TEXT(A1924,"mmmm"))</f>
        <v>Mayo</v>
      </c>
      <c r="X1924" t="str">
        <f>PROPER(TEXT(A1924,"dddd"))</f>
        <v>Miércoles</v>
      </c>
      <c r="Y1924" t="str" cm="1">
        <f t="array" ref="Y1924">_xlfn.IFS(R1924&gt;10,"Excelente",R1924&gt;=5,"Bueno",R1924&gt;=2,"Débil",R1924&lt;2,"Deficiente")</f>
        <v>Débil</v>
      </c>
      <c r="Z1924" t="str">
        <f>IF(AND(R1924&lt;2,Q1924&gt;=100),"Revisar","OK")</f>
        <v>OK</v>
      </c>
      <c r="AA1924" s="55">
        <f>_xlfn.XLOOKUP(C1924,'Preguntas de negocio'!$C$114:$C$119,'Preguntas de negocio'!$D$114:$D$119,0)</f>
        <v>5</v>
      </c>
      <c r="AB1924" s="55">
        <f>VLOOKUP(C1924,'Preguntas de negocio'!$C$121:$D$127,2,FALSE)</f>
        <v>0.5</v>
      </c>
    </row>
    <row r="1925" spans="1:28" x14ac:dyDescent="0.3">
      <c r="A1925" s="1">
        <v>45674</v>
      </c>
      <c r="B1925" s="2" t="s">
        <v>2622</v>
      </c>
      <c r="C1925" s="2" t="s">
        <v>2515</v>
      </c>
      <c r="D1925" s="2" t="s">
        <v>2516</v>
      </c>
      <c r="E1925" s="2" t="s">
        <v>2517</v>
      </c>
      <c r="F1925" s="3">
        <v>51292</v>
      </c>
      <c r="G1925" s="3">
        <v>1018</v>
      </c>
      <c r="H1925" s="3">
        <v>76</v>
      </c>
      <c r="I1925" s="4">
        <v>1168.0899999999999</v>
      </c>
      <c r="J1925" s="4">
        <v>1941.86</v>
      </c>
      <c r="K1925" s="3">
        <v>59</v>
      </c>
      <c r="L1925" s="2" t="s">
        <v>2536</v>
      </c>
      <c r="M1925" s="2" t="s">
        <v>2524</v>
      </c>
      <c r="N1925" s="8">
        <f>IFERROR(G1925/F1925,0)</f>
        <v>1.9847149652967324E-2</v>
      </c>
      <c r="O1925" s="8">
        <f>IFERROR(H1925/G1925,0)</f>
        <v>7.4656188605108059E-2</v>
      </c>
      <c r="P1925" s="4">
        <f>IFERROR(I1925/G1925,0)</f>
        <v>1.147436149312377</v>
      </c>
      <c r="Q1925" s="4">
        <f>IFERROR(I1925/H1925,0)</f>
        <v>15.369605263157894</v>
      </c>
      <c r="R1925" s="12">
        <f>IFERROR(J1925/I1925,0)</f>
        <v>1.6624232721793697</v>
      </c>
      <c r="S1925" s="7">
        <f>Tabla_nuevas_columnas[[#This Row],[ROAS]]</f>
        <v>1.6624232721793697</v>
      </c>
      <c r="T1925" t="str">
        <f>_xlfn.CONCAT(C1925,"-",D1925)</f>
        <v>Email-México</v>
      </c>
      <c r="U1925">
        <f>YEAR(A1925)</f>
        <v>2025</v>
      </c>
      <c r="V1925">
        <f>MONTH(A1925)</f>
        <v>1</v>
      </c>
      <c r="W1925" t="str">
        <f>PROPER(TEXT(A1925,"mmmm"))</f>
        <v>Enero</v>
      </c>
      <c r="X1925" t="str">
        <f>PROPER(TEXT(A1925,"dddd"))</f>
        <v>Viernes</v>
      </c>
      <c r="Y1925" t="str" cm="1">
        <f t="array" ref="Y1925">_xlfn.IFS(R1925&gt;10,"Excelente",R1925&gt;=5,"Bueno",R1925&gt;=2,"Débil",R1925&lt;2,"Deficiente")</f>
        <v>Deficiente</v>
      </c>
      <c r="Z1925" t="str">
        <f>IF(AND(R1925&lt;2,Q1925&gt;=100),"Revisar","OK")</f>
        <v>OK</v>
      </c>
      <c r="AA1925" s="55">
        <f>_xlfn.XLOOKUP(C1925,'Preguntas de negocio'!$C$114:$C$119,'Preguntas de negocio'!$D$114:$D$119,0)</f>
        <v>5.5</v>
      </c>
      <c r="AB1925" s="55">
        <f>VLOOKUP(C1925,'Preguntas de negocio'!$C$121:$D$127,2,FALSE)</f>
        <v>0.65</v>
      </c>
    </row>
    <row r="1926" spans="1:28" x14ac:dyDescent="0.3">
      <c r="A1926" s="1">
        <v>45755</v>
      </c>
      <c r="B1926" s="2" t="s">
        <v>2622</v>
      </c>
      <c r="C1926" s="2" t="s">
        <v>2543</v>
      </c>
      <c r="D1926" s="2" t="s">
        <v>2531</v>
      </c>
      <c r="E1926" s="2" t="s">
        <v>2517</v>
      </c>
      <c r="F1926" s="3">
        <v>67537</v>
      </c>
      <c r="G1926" s="3">
        <v>2094</v>
      </c>
      <c r="H1926" s="3">
        <v>16</v>
      </c>
      <c r="I1926" s="4">
        <v>3308.28</v>
      </c>
      <c r="J1926" s="4">
        <v>2798.67</v>
      </c>
      <c r="K1926" s="3">
        <v>7</v>
      </c>
      <c r="L1926" s="2" t="s">
        <v>2539</v>
      </c>
      <c r="M1926" s="2" t="s">
        <v>2526</v>
      </c>
      <c r="N1926" s="8">
        <f>IFERROR(G1926/F1926,0)</f>
        <v>3.1005226764588299E-2</v>
      </c>
      <c r="O1926" s="8">
        <f>IFERROR(H1926/G1926,0)</f>
        <v>7.6408787010506206E-3</v>
      </c>
      <c r="P1926" s="4">
        <f>IFERROR(I1926/G1926,0)</f>
        <v>1.5798853868194844</v>
      </c>
      <c r="Q1926" s="4">
        <f>IFERROR(I1926/H1926,0)</f>
        <v>206.76750000000001</v>
      </c>
      <c r="R1926" s="12">
        <f>IFERROR(J1926/I1926,0)</f>
        <v>0.84595922956944392</v>
      </c>
      <c r="S1926" s="7">
        <f>Tabla_nuevas_columnas[[#This Row],[ROAS]]</f>
        <v>0.84595922956944392</v>
      </c>
      <c r="T1926" t="str">
        <f>_xlfn.CONCAT(C1926,"-",D1926)</f>
        <v>Organic Social-Portugal</v>
      </c>
      <c r="U1926">
        <f>YEAR(A1926)</f>
        <v>2025</v>
      </c>
      <c r="V1926">
        <f>MONTH(A1926)</f>
        <v>4</v>
      </c>
      <c r="W1926" t="str">
        <f>PROPER(TEXT(A1926,"mmmm"))</f>
        <v>Abril</v>
      </c>
      <c r="X1926" t="str">
        <f>PROPER(TEXT(A1926,"dddd"))</f>
        <v>Martes</v>
      </c>
      <c r="Y1926" t="str" cm="1">
        <f t="array" ref="Y1926">_xlfn.IFS(R1926&gt;10,"Excelente",R1926&gt;=5,"Bueno",R1926&gt;=2,"Débil",R1926&lt;2,"Deficiente")</f>
        <v>Deficiente</v>
      </c>
      <c r="Z1926" t="str">
        <f>IF(AND(R1926&lt;2,Q1926&gt;=100),"Revisar","OK")</f>
        <v>Revisar</v>
      </c>
      <c r="AA1926" s="55">
        <f>_xlfn.XLOOKUP(C1926,'Preguntas de negocio'!$C$114:$C$119,'Preguntas de negocio'!$D$114:$D$119,0)</f>
        <v>4</v>
      </c>
      <c r="AB1926" s="55">
        <f>VLOOKUP(C1926,'Preguntas de negocio'!$C$121:$D$127,2,FALSE)</f>
        <v>0.95</v>
      </c>
    </row>
    <row r="1927" spans="1:28" x14ac:dyDescent="0.3">
      <c r="A1927" s="1">
        <v>45908</v>
      </c>
      <c r="B1927" s="2" t="s">
        <v>2635</v>
      </c>
      <c r="C1927" s="2" t="s">
        <v>2521</v>
      </c>
      <c r="D1927" s="2" t="s">
        <v>2531</v>
      </c>
      <c r="E1927" s="2" t="s">
        <v>2517</v>
      </c>
      <c r="F1927" s="3">
        <v>133554</v>
      </c>
      <c r="G1927" s="3">
        <v>4595</v>
      </c>
      <c r="H1927" s="3">
        <v>271</v>
      </c>
      <c r="I1927" s="4">
        <v>7493.83</v>
      </c>
      <c r="J1927" s="4">
        <v>15937.73</v>
      </c>
      <c r="K1927" s="3">
        <v>172</v>
      </c>
      <c r="L1927" s="2" t="s">
        <v>2523</v>
      </c>
      <c r="M1927" s="2" t="s">
        <v>2537</v>
      </c>
      <c r="N1927" s="8">
        <f>IFERROR(G1927/F1927,0)</f>
        <v>3.4405558800185691E-2</v>
      </c>
      <c r="O1927" s="8">
        <f>IFERROR(H1927/G1927,0)</f>
        <v>5.8977149075081607E-2</v>
      </c>
      <c r="P1927" s="4">
        <f>IFERROR(I1927/G1927,0)</f>
        <v>1.6308661588683351</v>
      </c>
      <c r="Q1927" s="4">
        <f>IFERROR(I1927/H1927,0)</f>
        <v>27.652509225092249</v>
      </c>
      <c r="R1927" s="12">
        <f>IFERROR(J1927/I1927,0)</f>
        <v>2.1267802979250932</v>
      </c>
      <c r="S1927" s="7">
        <f>Tabla_nuevas_columnas[[#This Row],[ROAS]]</f>
        <v>2.1267802979250932</v>
      </c>
      <c r="T1927" t="str">
        <f>_xlfn.CONCAT(C1927,"-",D1927)</f>
        <v>Paid Search-Portugal</v>
      </c>
      <c r="U1927">
        <f>YEAR(A1927)</f>
        <v>2025</v>
      </c>
      <c r="V1927">
        <f>MONTH(A1927)</f>
        <v>9</v>
      </c>
      <c r="W1927" t="str">
        <f>PROPER(TEXT(A1927,"mmmm"))</f>
        <v>Septiembre</v>
      </c>
      <c r="X1927" t="str">
        <f>PROPER(TEXT(A1927,"dddd"))</f>
        <v>Lunes</v>
      </c>
      <c r="Y1927" t="str" cm="1">
        <f t="array" ref="Y1927">_xlfn.IFS(R1927&gt;10,"Excelente",R1927&gt;=5,"Bueno",R1927&gt;=2,"Débil",R1927&lt;2,"Deficiente")</f>
        <v>Débil</v>
      </c>
      <c r="Z1927" t="str">
        <f>IF(AND(R1927&lt;2,Q1927&gt;=100),"Revisar","OK")</f>
        <v>OK</v>
      </c>
      <c r="AA1927" s="55">
        <f>_xlfn.XLOOKUP(C1927,'Preguntas de negocio'!$C$114:$C$119,'Preguntas de negocio'!$D$114:$D$119,0)</f>
        <v>5</v>
      </c>
      <c r="AB1927" s="55">
        <f>VLOOKUP(C1927,'Preguntas de negocio'!$C$121:$D$127,2,FALSE)</f>
        <v>1.1000000000000001</v>
      </c>
    </row>
    <row r="1928" spans="1:28" x14ac:dyDescent="0.3">
      <c r="A1928" s="1">
        <v>45950</v>
      </c>
      <c r="B1928" s="2" t="s">
        <v>2635</v>
      </c>
      <c r="C1928" s="2" t="s">
        <v>2543</v>
      </c>
      <c r="D1928" s="2" t="s">
        <v>2525</v>
      </c>
      <c r="E1928" s="2" t="s">
        <v>2517</v>
      </c>
      <c r="F1928" s="3">
        <v>13528</v>
      </c>
      <c r="G1928" s="3">
        <v>289</v>
      </c>
      <c r="H1928" s="3">
        <v>37</v>
      </c>
      <c r="I1928" s="4">
        <v>73.08</v>
      </c>
      <c r="J1928" s="4">
        <v>6376.19</v>
      </c>
      <c r="K1928" s="3">
        <v>31</v>
      </c>
      <c r="L1928" s="2" t="s">
        <v>2539</v>
      </c>
      <c r="M1928" s="2" t="s">
        <v>2526</v>
      </c>
      <c r="N1928" s="8">
        <f>IFERROR(G1928/F1928,0)</f>
        <v>2.1363098758131284E-2</v>
      </c>
      <c r="O1928" s="8">
        <f>IFERROR(H1928/G1928,0)</f>
        <v>0.12802768166089964</v>
      </c>
      <c r="P1928" s="4">
        <f>IFERROR(I1928/G1928,0)</f>
        <v>0.25287197231833908</v>
      </c>
      <c r="Q1928" s="4">
        <f>IFERROR(I1928/H1928,0)</f>
        <v>1.9751351351351352</v>
      </c>
      <c r="R1928" s="12">
        <f>IFERROR(J1928/I1928,0)</f>
        <v>87.24945265462506</v>
      </c>
      <c r="S1928" s="7">
        <f>Tabla_nuevas_columnas[[#This Row],[ROAS]]</f>
        <v>87.24945265462506</v>
      </c>
      <c r="T1928" t="str">
        <f>_xlfn.CONCAT(C1928,"-",D1928)</f>
        <v>Organic Social-Francia</v>
      </c>
      <c r="U1928">
        <f>YEAR(A1928)</f>
        <v>2025</v>
      </c>
      <c r="V1928">
        <f>MONTH(A1928)</f>
        <v>10</v>
      </c>
      <c r="W1928" t="str">
        <f>PROPER(TEXT(A1928,"mmmm"))</f>
        <v>Octubre</v>
      </c>
      <c r="X1928" t="str">
        <f>PROPER(TEXT(A1928,"dddd"))</f>
        <v>Lunes</v>
      </c>
      <c r="Y1928" t="str" cm="1">
        <f t="array" ref="Y1928">_xlfn.IFS(R1928&gt;10,"Excelente",R1928&gt;=5,"Bueno",R1928&gt;=2,"Débil",R1928&lt;2,"Deficiente")</f>
        <v>Excelente</v>
      </c>
      <c r="Z1928" t="str">
        <f>IF(AND(R1928&lt;2,Q1928&gt;=100),"Revisar","OK")</f>
        <v>OK</v>
      </c>
      <c r="AA1928" s="55">
        <f>_xlfn.XLOOKUP(C1928,'Preguntas de negocio'!$C$114:$C$119,'Preguntas de negocio'!$D$114:$D$119,0)</f>
        <v>4</v>
      </c>
      <c r="AB1928" s="55">
        <f>VLOOKUP(C1928,'Preguntas de negocio'!$C$121:$D$127,2,FALSE)</f>
        <v>0.95</v>
      </c>
    </row>
    <row r="1929" spans="1:28" x14ac:dyDescent="0.3">
      <c r="A1929" s="1">
        <v>46018</v>
      </c>
      <c r="B1929" s="2" t="s">
        <v>2625</v>
      </c>
      <c r="C1929" s="2" t="s">
        <v>2527</v>
      </c>
      <c r="D1929" s="2" t="s">
        <v>2522</v>
      </c>
      <c r="E1929" s="2" t="s">
        <v>2529</v>
      </c>
      <c r="F1929" s="3">
        <v>54939</v>
      </c>
      <c r="G1929" s="3">
        <v>1743</v>
      </c>
      <c r="H1929" s="3">
        <v>42</v>
      </c>
      <c r="I1929" s="4">
        <v>1289.76</v>
      </c>
      <c r="J1929" s="4">
        <v>2276.7199999999998</v>
      </c>
      <c r="K1929" s="3">
        <v>31</v>
      </c>
      <c r="L1929" s="2" t="s">
        <v>2539</v>
      </c>
      <c r="M1929" s="2" t="s">
        <v>2526</v>
      </c>
      <c r="N1929" s="8">
        <f>IFERROR(G1929/F1929,0)</f>
        <v>3.1726096215802982E-2</v>
      </c>
      <c r="O1929" s="8">
        <f>IFERROR(H1929/G1929,0)</f>
        <v>2.4096385542168676E-2</v>
      </c>
      <c r="P1929" s="4">
        <f>IFERROR(I1929/G1929,0)</f>
        <v>0.73996557659208262</v>
      </c>
      <c r="Q1929" s="4">
        <f>IFERROR(I1929/H1929,0)</f>
        <v>30.708571428571428</v>
      </c>
      <c r="R1929" s="12">
        <f>IFERROR(J1929/I1929,0)</f>
        <v>1.7652276392507131</v>
      </c>
      <c r="S1929" s="7">
        <f>Tabla_nuevas_columnas[[#This Row],[ROAS]]</f>
        <v>1.7652276392507131</v>
      </c>
      <c r="T1929" t="str">
        <f>_xlfn.CONCAT(C1929,"-",D1929)</f>
        <v>Affiliate-Italia</v>
      </c>
      <c r="U1929">
        <f>YEAR(A1929)</f>
        <v>2025</v>
      </c>
      <c r="V1929">
        <f>MONTH(A1929)</f>
        <v>12</v>
      </c>
      <c r="W1929" t="str">
        <f>PROPER(TEXT(A1929,"mmmm"))</f>
        <v>Diciembre</v>
      </c>
      <c r="X1929" t="str">
        <f>PROPER(TEXT(A1929,"dddd"))</f>
        <v>Sábado</v>
      </c>
      <c r="Y1929" t="str" cm="1">
        <f t="array" ref="Y1929">_xlfn.IFS(R1929&gt;10,"Excelente",R1929&gt;=5,"Bueno",R1929&gt;=2,"Débil",R1929&lt;2,"Deficiente")</f>
        <v>Deficiente</v>
      </c>
      <c r="Z1929" t="str">
        <f>IF(AND(R1929&lt;2,Q1929&gt;=100),"Revisar","OK")</f>
        <v>OK</v>
      </c>
      <c r="AA1929" s="55">
        <f>_xlfn.XLOOKUP(C1929,'Preguntas de negocio'!$C$114:$C$119,'Preguntas de negocio'!$D$114:$D$119,0)</f>
        <v>4.5</v>
      </c>
      <c r="AB1929" s="55">
        <f>VLOOKUP(C1929,'Preguntas de negocio'!$C$121:$D$127,2,FALSE)</f>
        <v>0.35</v>
      </c>
    </row>
    <row r="1930" spans="1:28" x14ac:dyDescent="0.3">
      <c r="A1930" s="1">
        <v>45908</v>
      </c>
      <c r="B1930" s="2" t="s">
        <v>2620</v>
      </c>
      <c r="C1930" s="2" t="s">
        <v>2541</v>
      </c>
      <c r="D1930" s="2" t="s">
        <v>2516</v>
      </c>
      <c r="E1930" s="2" t="s">
        <v>2517</v>
      </c>
      <c r="F1930" s="3">
        <v>5395</v>
      </c>
      <c r="G1930" s="3">
        <v>343</v>
      </c>
      <c r="H1930" s="3">
        <v>7</v>
      </c>
      <c r="I1930" s="4">
        <v>196.49</v>
      </c>
      <c r="J1930" s="4">
        <v>1038.3399999999999</v>
      </c>
      <c r="K1930" s="3">
        <v>4</v>
      </c>
      <c r="L1930" s="2" t="s">
        <v>2523</v>
      </c>
      <c r="M1930" s="2" t="s">
        <v>2524</v>
      </c>
      <c r="N1930" s="8">
        <f>IFERROR(G1930/F1930,0)</f>
        <v>6.3577386468952737E-2</v>
      </c>
      <c r="O1930" s="8">
        <f>IFERROR(H1930/G1930,0)</f>
        <v>2.0408163265306121E-2</v>
      </c>
      <c r="P1930" s="4">
        <f>IFERROR(I1930/G1930,0)</f>
        <v>0.57285714285714284</v>
      </c>
      <c r="Q1930" s="4">
        <f>IFERROR(I1930/H1930,0)</f>
        <v>28.07</v>
      </c>
      <c r="R1930" s="12">
        <f>IFERROR(J1930/I1930,0)</f>
        <v>5.2844419563336551</v>
      </c>
      <c r="S1930" s="7">
        <f>Tabla_nuevas_columnas[[#This Row],[ROAS]]</f>
        <v>5.2844419563336551</v>
      </c>
      <c r="T1930" t="str">
        <f>_xlfn.CONCAT(C1930,"-",D1930)</f>
        <v>Display-México</v>
      </c>
      <c r="U1930">
        <f>YEAR(A1930)</f>
        <v>2025</v>
      </c>
      <c r="V1930">
        <f>MONTH(A1930)</f>
        <v>9</v>
      </c>
      <c r="W1930" t="str">
        <f>PROPER(TEXT(A1930,"mmmm"))</f>
        <v>Septiembre</v>
      </c>
      <c r="X1930" t="str">
        <f>PROPER(TEXT(A1930,"dddd"))</f>
        <v>Lunes</v>
      </c>
      <c r="Y1930" t="str" cm="1">
        <f t="array" ref="Y1930">_xlfn.IFS(R1930&gt;10,"Excelente",R1930&gt;=5,"Bueno",R1930&gt;=2,"Débil",R1930&lt;2,"Deficiente")</f>
        <v>Bueno</v>
      </c>
      <c r="Z1930" t="str">
        <f>IF(AND(R1930&lt;2,Q1930&gt;=100),"Revisar","OK")</f>
        <v>OK</v>
      </c>
      <c r="AA1930" s="55">
        <f>_xlfn.XLOOKUP(C1930,'Preguntas de negocio'!$C$114:$C$119,'Preguntas de negocio'!$D$114:$D$119,0)</f>
        <v>5</v>
      </c>
      <c r="AB1930" s="55">
        <f>VLOOKUP(C1930,'Preguntas de negocio'!$C$121:$D$127,2,FALSE)</f>
        <v>0.5</v>
      </c>
    </row>
    <row r="1931" spans="1:28" x14ac:dyDescent="0.3">
      <c r="A1931" s="1">
        <v>45709</v>
      </c>
      <c r="B1931" s="2" t="s">
        <v>2620</v>
      </c>
      <c r="C1931" s="2" t="s">
        <v>2533</v>
      </c>
      <c r="D1931" s="2" t="s">
        <v>2528</v>
      </c>
      <c r="E1931" s="2" t="s">
        <v>2529</v>
      </c>
      <c r="F1931" s="3">
        <v>159226</v>
      </c>
      <c r="G1931" s="3">
        <v>13263</v>
      </c>
      <c r="H1931" s="3">
        <v>1756</v>
      </c>
      <c r="I1931" s="4">
        <v>11829.55</v>
      </c>
      <c r="J1931" s="4">
        <v>222152.81</v>
      </c>
      <c r="K1931" s="3">
        <v>1280</v>
      </c>
      <c r="L1931" s="2" t="s">
        <v>2523</v>
      </c>
      <c r="M1931" s="2" t="s">
        <v>2526</v>
      </c>
      <c r="N1931" s="8">
        <f>IFERROR(G1931/F1931,0)</f>
        <v>8.3296697775488926E-2</v>
      </c>
      <c r="O1931" s="8">
        <f>IFERROR(H1931/G1931,0)</f>
        <v>0.13239840156827265</v>
      </c>
      <c r="P1931" s="4">
        <f>IFERROR(I1931/G1931,0)</f>
        <v>0.89192113398175366</v>
      </c>
      <c r="Q1931" s="4">
        <f>IFERROR(I1931/H1931,0)</f>
        <v>6.736645785876993</v>
      </c>
      <c r="R1931" s="12">
        <f>IFERROR(J1931/I1931,0)</f>
        <v>18.779481045348302</v>
      </c>
      <c r="S1931" s="7">
        <f>Tabla_nuevas_columnas[[#This Row],[ROAS]]</f>
        <v>18.779481045348302</v>
      </c>
      <c r="T1931" t="str">
        <f>_xlfn.CONCAT(C1931,"-",D1931)</f>
        <v>Paid Social-España</v>
      </c>
      <c r="U1931">
        <f>YEAR(A1931)</f>
        <v>2025</v>
      </c>
      <c r="V1931">
        <f>MONTH(A1931)</f>
        <v>2</v>
      </c>
      <c r="W1931" t="str">
        <f>PROPER(TEXT(A1931,"mmmm"))</f>
        <v>Febrero</v>
      </c>
      <c r="X1931" t="str">
        <f>PROPER(TEXT(A1931,"dddd"))</f>
        <v>Viernes</v>
      </c>
      <c r="Y1931" t="str" cm="1">
        <f t="array" ref="Y1931">_xlfn.IFS(R1931&gt;10,"Excelente",R1931&gt;=5,"Bueno",R1931&gt;=2,"Débil",R1931&lt;2,"Deficiente")</f>
        <v>Excelente</v>
      </c>
      <c r="Z1931" t="str">
        <f>IF(AND(R1931&lt;2,Q1931&gt;=100),"Revisar","OK")</f>
        <v>OK</v>
      </c>
      <c r="AA1931" s="55">
        <f>_xlfn.XLOOKUP(C1931,'Preguntas de negocio'!$C$114:$C$119,'Preguntas de negocio'!$D$114:$D$119,0)</f>
        <v>6</v>
      </c>
      <c r="AB1931" s="55">
        <f>VLOOKUP(C1931,'Preguntas de negocio'!$C$121:$D$127,2,FALSE)</f>
        <v>0.8</v>
      </c>
    </row>
    <row r="1932" spans="1:28" x14ac:dyDescent="0.3">
      <c r="A1932" s="1">
        <v>45782</v>
      </c>
      <c r="B1932" s="2" t="s">
        <v>2644</v>
      </c>
      <c r="C1932" s="2" t="s">
        <v>2527</v>
      </c>
      <c r="D1932" s="2" t="s">
        <v>2516</v>
      </c>
      <c r="E1932" s="2" t="s">
        <v>2529</v>
      </c>
      <c r="F1932" s="3">
        <v>55221</v>
      </c>
      <c r="G1932" s="3">
        <v>3419</v>
      </c>
      <c r="H1932" s="3">
        <v>288</v>
      </c>
      <c r="I1932" s="4">
        <v>4247.17</v>
      </c>
      <c r="J1932" s="4">
        <v>11912.6</v>
      </c>
      <c r="K1932" s="3">
        <v>138</v>
      </c>
      <c r="L1932" s="2" t="s">
        <v>2536</v>
      </c>
      <c r="M1932" s="2" t="s">
        <v>2546</v>
      </c>
      <c r="N1932" s="8">
        <f>IFERROR(G1932/F1932,0)</f>
        <v>6.1914851234131943E-2</v>
      </c>
      <c r="O1932" s="8">
        <f>IFERROR(H1932/G1932,0)</f>
        <v>8.4235156478502479E-2</v>
      </c>
      <c r="P1932" s="4">
        <f>IFERROR(I1932/G1932,0)</f>
        <v>1.2422257970166715</v>
      </c>
      <c r="Q1932" s="4">
        <f>IFERROR(I1932/H1932,0)</f>
        <v>14.747118055555555</v>
      </c>
      <c r="R1932" s="12">
        <f>IFERROR(J1932/I1932,0)</f>
        <v>2.8048323942766595</v>
      </c>
      <c r="S1932" s="7">
        <f>Tabla_nuevas_columnas[[#This Row],[ROAS]]</f>
        <v>2.8048323942766595</v>
      </c>
      <c r="T1932" t="str">
        <f>_xlfn.CONCAT(C1932,"-",D1932)</f>
        <v>Affiliate-México</v>
      </c>
      <c r="U1932">
        <f>YEAR(A1932)</f>
        <v>2025</v>
      </c>
      <c r="V1932">
        <f>MONTH(A1932)</f>
        <v>5</v>
      </c>
      <c r="W1932" t="str">
        <f>PROPER(TEXT(A1932,"mmmm"))</f>
        <v>Mayo</v>
      </c>
      <c r="X1932" t="str">
        <f>PROPER(TEXT(A1932,"dddd"))</f>
        <v>Lunes</v>
      </c>
      <c r="Y1932" t="str" cm="1">
        <f t="array" ref="Y1932">_xlfn.IFS(R1932&gt;10,"Excelente",R1932&gt;=5,"Bueno",R1932&gt;=2,"Débil",R1932&lt;2,"Deficiente")</f>
        <v>Débil</v>
      </c>
      <c r="Z1932" t="str">
        <f>IF(AND(R1932&lt;2,Q1932&gt;=100),"Revisar","OK")</f>
        <v>OK</v>
      </c>
      <c r="AA1932" s="55">
        <f>_xlfn.XLOOKUP(C1932,'Preguntas de negocio'!$C$114:$C$119,'Preguntas de negocio'!$D$114:$D$119,0)</f>
        <v>4.5</v>
      </c>
      <c r="AB1932" s="55">
        <f>VLOOKUP(C1932,'Preguntas de negocio'!$C$121:$D$127,2,FALSE)</f>
        <v>0.35</v>
      </c>
    </row>
    <row r="1933" spans="1:28" x14ac:dyDescent="0.3">
      <c r="A1933" s="1">
        <v>45680</v>
      </c>
      <c r="B1933" s="2" t="s">
        <v>2620</v>
      </c>
      <c r="C1933" s="2" t="s">
        <v>2521</v>
      </c>
      <c r="D1933" s="2" t="s">
        <v>2516</v>
      </c>
      <c r="E1933" s="2" t="s">
        <v>2529</v>
      </c>
      <c r="F1933" s="3">
        <v>120716</v>
      </c>
      <c r="G1933" s="3">
        <v>3874</v>
      </c>
      <c r="H1933" s="3">
        <v>477</v>
      </c>
      <c r="I1933" s="4">
        <v>3947.54</v>
      </c>
      <c r="J1933" s="4">
        <v>52889.29</v>
      </c>
      <c r="K1933" s="3">
        <v>360</v>
      </c>
      <c r="L1933" s="2" t="s">
        <v>2523</v>
      </c>
      <c r="M1933" s="2" t="s">
        <v>2537</v>
      </c>
      <c r="N1933" s="8">
        <f>IFERROR(G1933/F1933,0)</f>
        <v>3.2091851950031482E-2</v>
      </c>
      <c r="O1933" s="8">
        <f>IFERROR(H1933/G1933,0)</f>
        <v>0.12312854930304595</v>
      </c>
      <c r="P1933" s="4">
        <f>IFERROR(I1933/G1933,0)</f>
        <v>1.0189829633453795</v>
      </c>
      <c r="Q1933" s="4">
        <f>IFERROR(I1933/H1933,0)</f>
        <v>8.2757651991614249</v>
      </c>
      <c r="R1933" s="12">
        <f>IFERROR(J1933/I1933,0)</f>
        <v>13.398037765291802</v>
      </c>
      <c r="S1933" s="7">
        <f>Tabla_nuevas_columnas[[#This Row],[ROAS]]</f>
        <v>13.398037765291802</v>
      </c>
      <c r="T1933" t="str">
        <f>_xlfn.CONCAT(C1933,"-",D1933)</f>
        <v>Paid Search-México</v>
      </c>
      <c r="U1933">
        <f>YEAR(A1933)</f>
        <v>2025</v>
      </c>
      <c r="V1933">
        <f>MONTH(A1933)</f>
        <v>1</v>
      </c>
      <c r="W1933" t="str">
        <f>PROPER(TEXT(A1933,"mmmm"))</f>
        <v>Enero</v>
      </c>
      <c r="X1933" t="str">
        <f>PROPER(TEXT(A1933,"dddd"))</f>
        <v>Jueves</v>
      </c>
      <c r="Y1933" t="str" cm="1">
        <f t="array" ref="Y1933">_xlfn.IFS(R1933&gt;10,"Excelente",R1933&gt;=5,"Bueno",R1933&gt;=2,"Débil",R1933&lt;2,"Deficiente")</f>
        <v>Excelente</v>
      </c>
      <c r="Z1933" t="str">
        <f>IF(AND(R1933&lt;2,Q1933&gt;=100),"Revisar","OK")</f>
        <v>OK</v>
      </c>
      <c r="AA1933" s="55">
        <f>_xlfn.XLOOKUP(C1933,'Preguntas de negocio'!$C$114:$C$119,'Preguntas de negocio'!$D$114:$D$119,0)</f>
        <v>5</v>
      </c>
      <c r="AB1933" s="55">
        <f>VLOOKUP(C1933,'Preguntas de negocio'!$C$121:$D$127,2,FALSE)</f>
        <v>1.1000000000000001</v>
      </c>
    </row>
    <row r="1934" spans="1:28" x14ac:dyDescent="0.3">
      <c r="A1934" s="1">
        <v>45875</v>
      </c>
      <c r="B1934" s="2" t="s">
        <v>2640</v>
      </c>
      <c r="C1934" s="2" t="s">
        <v>2541</v>
      </c>
      <c r="D1934" s="2" t="s">
        <v>2528</v>
      </c>
      <c r="E1934" s="2" t="s">
        <v>2517</v>
      </c>
      <c r="F1934" s="3">
        <v>94504</v>
      </c>
      <c r="G1934" s="3">
        <v>6519</v>
      </c>
      <c r="H1934" s="3">
        <v>105</v>
      </c>
      <c r="I1934" s="4">
        <v>9159.01</v>
      </c>
      <c r="J1934" s="4">
        <v>11042.59</v>
      </c>
      <c r="K1934" s="3">
        <v>64</v>
      </c>
      <c r="L1934" s="2" t="s">
        <v>2518</v>
      </c>
      <c r="M1934" s="2" t="s">
        <v>2537</v>
      </c>
      <c r="N1934" s="8">
        <f>IFERROR(G1934/F1934,0)</f>
        <v>6.8981207144671125E-2</v>
      </c>
      <c r="O1934" s="8">
        <f>IFERROR(H1934/G1934,0)</f>
        <v>1.6106764841233318E-2</v>
      </c>
      <c r="P1934" s="4">
        <f>IFERROR(I1934/G1934,0)</f>
        <v>1.4049716214143273</v>
      </c>
      <c r="Q1934" s="4">
        <f>IFERROR(I1934/H1934,0)</f>
        <v>87.228666666666669</v>
      </c>
      <c r="R1934" s="12">
        <f>IFERROR(J1934/I1934,0)</f>
        <v>1.2056532310806518</v>
      </c>
      <c r="S1934" s="7">
        <f>Tabla_nuevas_columnas[[#This Row],[ROAS]]</f>
        <v>1.2056532310806518</v>
      </c>
      <c r="T1934" t="str">
        <f>_xlfn.CONCAT(C1934,"-",D1934)</f>
        <v>Display-España</v>
      </c>
      <c r="U1934">
        <f>YEAR(A1934)</f>
        <v>2025</v>
      </c>
      <c r="V1934">
        <f>MONTH(A1934)</f>
        <v>8</v>
      </c>
      <c r="W1934" t="str">
        <f>PROPER(TEXT(A1934,"mmmm"))</f>
        <v>Agosto</v>
      </c>
      <c r="X1934" t="str">
        <f>PROPER(TEXT(A1934,"dddd"))</f>
        <v>Miércoles</v>
      </c>
      <c r="Y1934" t="str" cm="1">
        <f t="array" ref="Y1934">_xlfn.IFS(R1934&gt;10,"Excelente",R1934&gt;=5,"Bueno",R1934&gt;=2,"Débil",R1934&lt;2,"Deficiente")</f>
        <v>Deficiente</v>
      </c>
      <c r="Z1934" t="str">
        <f>IF(AND(R1934&lt;2,Q1934&gt;=100),"Revisar","OK")</f>
        <v>OK</v>
      </c>
      <c r="AA1934" s="55">
        <f>_xlfn.XLOOKUP(C1934,'Preguntas de negocio'!$C$114:$C$119,'Preguntas de negocio'!$D$114:$D$119,0)</f>
        <v>5</v>
      </c>
      <c r="AB1934" s="55">
        <f>VLOOKUP(C1934,'Preguntas de negocio'!$C$121:$D$127,2,FALSE)</f>
        <v>0.5</v>
      </c>
    </row>
    <row r="1935" spans="1:28" x14ac:dyDescent="0.3">
      <c r="A1935" s="1">
        <v>45827</v>
      </c>
      <c r="B1935" s="2" t="s">
        <v>2627</v>
      </c>
      <c r="C1935" s="2" t="s">
        <v>2543</v>
      </c>
      <c r="D1935" s="2" t="s">
        <v>2528</v>
      </c>
      <c r="E1935" s="2" t="s">
        <v>2529</v>
      </c>
      <c r="F1935" s="3">
        <v>130858</v>
      </c>
      <c r="G1935" s="3">
        <v>5398</v>
      </c>
      <c r="H1935" s="3">
        <v>467</v>
      </c>
      <c r="I1935" s="4">
        <v>3814.01</v>
      </c>
      <c r="J1935" s="4">
        <v>20812.7</v>
      </c>
      <c r="K1935" s="3">
        <v>338</v>
      </c>
      <c r="L1935" s="2" t="s">
        <v>2518</v>
      </c>
      <c r="M1935" s="2" t="s">
        <v>2526</v>
      </c>
      <c r="N1935" s="8">
        <f>IFERROR(G1935/F1935,0)</f>
        <v>4.1250821501169203E-2</v>
      </c>
      <c r="O1935" s="8">
        <f>IFERROR(H1935/G1935,0)</f>
        <v>8.6513523527232308E-2</v>
      </c>
      <c r="P1935" s="4">
        <f>IFERROR(I1935/G1935,0)</f>
        <v>0.70655983697665803</v>
      </c>
      <c r="Q1935" s="4">
        <f>IFERROR(I1935/H1935,0)</f>
        <v>8.167044967880086</v>
      </c>
      <c r="R1935" s="12">
        <f>IFERROR(J1935/I1935,0)</f>
        <v>5.4569075592355549</v>
      </c>
      <c r="S1935" s="7">
        <f>Tabla_nuevas_columnas[[#This Row],[ROAS]]</f>
        <v>5.4569075592355549</v>
      </c>
      <c r="T1935" t="str">
        <f>_xlfn.CONCAT(C1935,"-",D1935)</f>
        <v>Organic Social-España</v>
      </c>
      <c r="U1935">
        <f>YEAR(A1935)</f>
        <v>2025</v>
      </c>
      <c r="V1935">
        <f>MONTH(A1935)</f>
        <v>6</v>
      </c>
      <c r="W1935" t="str">
        <f>PROPER(TEXT(A1935,"mmmm"))</f>
        <v>Junio</v>
      </c>
      <c r="X1935" t="str">
        <f>PROPER(TEXT(A1935,"dddd"))</f>
        <v>Jueves</v>
      </c>
      <c r="Y1935" t="str" cm="1">
        <f t="array" ref="Y1935">_xlfn.IFS(R1935&gt;10,"Excelente",R1935&gt;=5,"Bueno",R1935&gt;=2,"Débil",R1935&lt;2,"Deficiente")</f>
        <v>Bueno</v>
      </c>
      <c r="Z1935" t="str">
        <f>IF(AND(R1935&lt;2,Q1935&gt;=100),"Revisar","OK")</f>
        <v>OK</v>
      </c>
      <c r="AA1935" s="55">
        <f>_xlfn.XLOOKUP(C1935,'Preguntas de negocio'!$C$114:$C$119,'Preguntas de negocio'!$D$114:$D$119,0)</f>
        <v>4</v>
      </c>
      <c r="AB1935" s="55">
        <f>VLOOKUP(C1935,'Preguntas de negocio'!$C$121:$D$127,2,FALSE)</f>
        <v>0.95</v>
      </c>
    </row>
    <row r="1936" spans="1:28" x14ac:dyDescent="0.3">
      <c r="A1936" s="1">
        <v>46002</v>
      </c>
      <c r="B1936" s="2" t="s">
        <v>2624</v>
      </c>
      <c r="C1936" s="2" t="s">
        <v>2543</v>
      </c>
      <c r="D1936" s="2" t="s">
        <v>2528</v>
      </c>
      <c r="E1936" s="2" t="s">
        <v>2517</v>
      </c>
      <c r="F1936" s="3">
        <v>37196</v>
      </c>
      <c r="G1936" s="3">
        <v>3241</v>
      </c>
      <c r="H1936" s="3">
        <v>95</v>
      </c>
      <c r="I1936" s="4">
        <v>6767.88</v>
      </c>
      <c r="J1936" s="4">
        <v>18718.849999999999</v>
      </c>
      <c r="K1936" s="3">
        <v>84</v>
      </c>
      <c r="L1936" s="2" t="s">
        <v>2523</v>
      </c>
      <c r="M1936" s="2" t="s">
        <v>2524</v>
      </c>
      <c r="N1936" s="8">
        <f>IFERROR(G1936/F1936,0)</f>
        <v>8.7133025056457689E-2</v>
      </c>
      <c r="O1936" s="8">
        <f>IFERROR(H1936/G1936,0)</f>
        <v>2.9311940759024994E-2</v>
      </c>
      <c r="P1936" s="4">
        <f>IFERROR(I1936/G1936,0)</f>
        <v>2.088207343412527</v>
      </c>
      <c r="Q1936" s="4">
        <f>IFERROR(I1936/H1936,0)</f>
        <v>71.240842105263155</v>
      </c>
      <c r="R1936" s="12">
        <f>IFERROR(J1936/I1936,0)</f>
        <v>2.7658365692063094</v>
      </c>
      <c r="S1936" s="7">
        <f>Tabla_nuevas_columnas[[#This Row],[ROAS]]</f>
        <v>2.7658365692063094</v>
      </c>
      <c r="T1936" t="str">
        <f>_xlfn.CONCAT(C1936,"-",D1936)</f>
        <v>Organic Social-España</v>
      </c>
      <c r="U1936">
        <f>YEAR(A1936)</f>
        <v>2025</v>
      </c>
      <c r="V1936">
        <f>MONTH(A1936)</f>
        <v>12</v>
      </c>
      <c r="W1936" t="str">
        <f>PROPER(TEXT(A1936,"mmmm"))</f>
        <v>Diciembre</v>
      </c>
      <c r="X1936" t="str">
        <f>PROPER(TEXT(A1936,"dddd"))</f>
        <v>Jueves</v>
      </c>
      <c r="Y1936" t="str" cm="1">
        <f t="array" ref="Y1936">_xlfn.IFS(R1936&gt;10,"Excelente",R1936&gt;=5,"Bueno",R1936&gt;=2,"Débil",R1936&lt;2,"Deficiente")</f>
        <v>Débil</v>
      </c>
      <c r="Z1936" t="str">
        <f>IF(AND(R1936&lt;2,Q1936&gt;=100),"Revisar","OK")</f>
        <v>OK</v>
      </c>
      <c r="AA1936" s="55">
        <f>_xlfn.XLOOKUP(C1936,'Preguntas de negocio'!$C$114:$C$119,'Preguntas de negocio'!$D$114:$D$119,0)</f>
        <v>4</v>
      </c>
      <c r="AB1936" s="55">
        <f>VLOOKUP(C1936,'Preguntas de negocio'!$C$121:$D$127,2,FALSE)</f>
        <v>0.95</v>
      </c>
    </row>
    <row r="1937" spans="1:28" x14ac:dyDescent="0.3">
      <c r="A1937" s="1">
        <v>45667</v>
      </c>
      <c r="B1937" s="2" t="s">
        <v>2626</v>
      </c>
      <c r="C1937" s="2" t="s">
        <v>2541</v>
      </c>
      <c r="D1937" s="2" t="s">
        <v>2531</v>
      </c>
      <c r="E1937" s="2" t="s">
        <v>2517</v>
      </c>
      <c r="F1937" s="3">
        <v>134932</v>
      </c>
      <c r="G1937" s="3">
        <v>4325</v>
      </c>
      <c r="H1937" s="3">
        <v>517</v>
      </c>
      <c r="I1937" s="4">
        <v>4564.93</v>
      </c>
      <c r="J1937" s="4">
        <v>56619.33</v>
      </c>
      <c r="K1937" s="3">
        <v>460</v>
      </c>
      <c r="L1937" s="2" t="s">
        <v>2536</v>
      </c>
      <c r="M1937" s="2" t="s">
        <v>2524</v>
      </c>
      <c r="N1937" s="8">
        <f>IFERROR(G1937/F1937,0)</f>
        <v>3.2053182343699048E-2</v>
      </c>
      <c r="O1937" s="8">
        <f>IFERROR(H1937/G1937,0)</f>
        <v>0.11953757225433526</v>
      </c>
      <c r="P1937" s="4">
        <f>IFERROR(I1937/G1937,0)</f>
        <v>1.0554751445086705</v>
      </c>
      <c r="Q1937" s="4">
        <f>IFERROR(I1937/H1937,0)</f>
        <v>8.8296518375241781</v>
      </c>
      <c r="R1937" s="12">
        <f>IFERROR(J1937/I1937,0)</f>
        <v>12.403110233891866</v>
      </c>
      <c r="S1937" s="7">
        <f>Tabla_nuevas_columnas[[#This Row],[ROAS]]</f>
        <v>12.403110233891866</v>
      </c>
      <c r="T1937" t="str">
        <f>_xlfn.CONCAT(C1937,"-",D1937)</f>
        <v>Display-Portugal</v>
      </c>
      <c r="U1937">
        <f>YEAR(A1937)</f>
        <v>2025</v>
      </c>
      <c r="V1937">
        <f>MONTH(A1937)</f>
        <v>1</v>
      </c>
      <c r="W1937" t="str">
        <f>PROPER(TEXT(A1937,"mmmm"))</f>
        <v>Enero</v>
      </c>
      <c r="X1937" t="str">
        <f>PROPER(TEXT(A1937,"dddd"))</f>
        <v>Viernes</v>
      </c>
      <c r="Y1937" t="str" cm="1">
        <f t="array" ref="Y1937">_xlfn.IFS(R1937&gt;10,"Excelente",R1937&gt;=5,"Bueno",R1937&gt;=2,"Débil",R1937&lt;2,"Deficiente")</f>
        <v>Excelente</v>
      </c>
      <c r="Z1937" t="str">
        <f>IF(AND(R1937&lt;2,Q1937&gt;=100),"Revisar","OK")</f>
        <v>OK</v>
      </c>
      <c r="AA1937" s="55">
        <f>_xlfn.XLOOKUP(C1937,'Preguntas de negocio'!$C$114:$C$119,'Preguntas de negocio'!$D$114:$D$119,0)</f>
        <v>5</v>
      </c>
      <c r="AB1937" s="55">
        <f>VLOOKUP(C1937,'Preguntas de negocio'!$C$121:$D$127,2,FALSE)</f>
        <v>0.5</v>
      </c>
    </row>
    <row r="1938" spans="1:28" x14ac:dyDescent="0.3">
      <c r="A1938" s="1">
        <v>45729</v>
      </c>
      <c r="B1938" s="2" t="s">
        <v>2644</v>
      </c>
      <c r="C1938" s="2" t="s">
        <v>2533</v>
      </c>
      <c r="D1938" s="2" t="s">
        <v>2531</v>
      </c>
      <c r="E1938" s="2" t="s">
        <v>2517</v>
      </c>
      <c r="F1938" s="3">
        <v>108490</v>
      </c>
      <c r="G1938" s="3">
        <v>5784</v>
      </c>
      <c r="H1938" s="3">
        <v>746</v>
      </c>
      <c r="I1938" s="4">
        <v>7392.81</v>
      </c>
      <c r="J1938" s="4">
        <v>87293.47</v>
      </c>
      <c r="K1938" s="3">
        <v>607</v>
      </c>
      <c r="L1938" s="2" t="s">
        <v>2523</v>
      </c>
      <c r="M1938" s="2" t="s">
        <v>2519</v>
      </c>
      <c r="N1938" s="8">
        <f>IFERROR(G1938/F1938,0)</f>
        <v>5.3313669462623281E-2</v>
      </c>
      <c r="O1938" s="8">
        <f>IFERROR(H1938/G1938,0)</f>
        <v>0.1289764868603043</v>
      </c>
      <c r="P1938" s="4">
        <f>IFERROR(I1938/G1938,0)</f>
        <v>1.2781483402489626</v>
      </c>
      <c r="Q1938" s="4">
        <f>IFERROR(I1938/H1938,0)</f>
        <v>9.9099329758713139</v>
      </c>
      <c r="R1938" s="12">
        <f>IFERROR(J1938/I1938,0)</f>
        <v>11.807887663824715</v>
      </c>
      <c r="S1938" s="7">
        <f>Tabla_nuevas_columnas[[#This Row],[ROAS]]</f>
        <v>11.807887663824715</v>
      </c>
      <c r="T1938" t="str">
        <f>_xlfn.CONCAT(C1938,"-",D1938)</f>
        <v>Paid Social-Portugal</v>
      </c>
      <c r="U1938">
        <f>YEAR(A1938)</f>
        <v>2025</v>
      </c>
      <c r="V1938">
        <f>MONTH(A1938)</f>
        <v>3</v>
      </c>
      <c r="W1938" t="str">
        <f>PROPER(TEXT(A1938,"mmmm"))</f>
        <v>Marzo</v>
      </c>
      <c r="X1938" t="str">
        <f>PROPER(TEXT(A1938,"dddd"))</f>
        <v>Jueves</v>
      </c>
      <c r="Y1938" t="str" cm="1">
        <f t="array" ref="Y1938">_xlfn.IFS(R1938&gt;10,"Excelente",R1938&gt;=5,"Bueno",R1938&gt;=2,"Débil",R1938&lt;2,"Deficiente")</f>
        <v>Excelente</v>
      </c>
      <c r="Z1938" t="str">
        <f>IF(AND(R1938&lt;2,Q1938&gt;=100),"Revisar","OK")</f>
        <v>OK</v>
      </c>
      <c r="AA1938" s="55">
        <f>_xlfn.XLOOKUP(C1938,'Preguntas de negocio'!$C$114:$C$119,'Preguntas de negocio'!$D$114:$D$119,0)</f>
        <v>6</v>
      </c>
      <c r="AB1938" s="55">
        <f>VLOOKUP(C1938,'Preguntas de negocio'!$C$121:$D$127,2,FALSE)</f>
        <v>0.8</v>
      </c>
    </row>
    <row r="1939" spans="1:28" x14ac:dyDescent="0.3">
      <c r="A1939" s="1">
        <v>45806</v>
      </c>
      <c r="B1939" s="2" t="s">
        <v>2637</v>
      </c>
      <c r="C1939" s="2" t="s">
        <v>2521</v>
      </c>
      <c r="D1939" s="2" t="s">
        <v>2516</v>
      </c>
      <c r="E1939" s="2" t="s">
        <v>2517</v>
      </c>
      <c r="F1939" s="3">
        <v>135868</v>
      </c>
      <c r="G1939" s="3">
        <v>5358</v>
      </c>
      <c r="H1939" s="3">
        <v>326</v>
      </c>
      <c r="I1939" s="4">
        <v>2023.12</v>
      </c>
      <c r="J1939" s="4">
        <v>54119</v>
      </c>
      <c r="K1939" s="3">
        <v>252</v>
      </c>
      <c r="L1939" s="2" t="s">
        <v>2523</v>
      </c>
      <c r="M1939" s="2" t="s">
        <v>2519</v>
      </c>
      <c r="N1939" s="8">
        <f>IFERROR(G1939/F1939,0)</f>
        <v>3.9435334295051076E-2</v>
      </c>
      <c r="O1939" s="8">
        <f>IFERROR(H1939/G1939,0)</f>
        <v>6.0843598357596118E-2</v>
      </c>
      <c r="P1939" s="4">
        <f>IFERROR(I1939/G1939,0)</f>
        <v>0.37758865248226947</v>
      </c>
      <c r="Q1939" s="4">
        <f>IFERROR(I1939/H1939,0)</f>
        <v>6.2058895705521468</v>
      </c>
      <c r="R1939" s="12">
        <f>IFERROR(J1939/I1939,0)</f>
        <v>26.750266914468742</v>
      </c>
      <c r="S1939" s="7">
        <f>Tabla_nuevas_columnas[[#This Row],[ROAS]]</f>
        <v>26.750266914468742</v>
      </c>
      <c r="T1939" t="str">
        <f>_xlfn.CONCAT(C1939,"-",D1939)</f>
        <v>Paid Search-México</v>
      </c>
      <c r="U1939">
        <f>YEAR(A1939)</f>
        <v>2025</v>
      </c>
      <c r="V1939">
        <f>MONTH(A1939)</f>
        <v>5</v>
      </c>
      <c r="W1939" t="str">
        <f>PROPER(TEXT(A1939,"mmmm"))</f>
        <v>Mayo</v>
      </c>
      <c r="X1939" t="str">
        <f>PROPER(TEXT(A1939,"dddd"))</f>
        <v>Jueves</v>
      </c>
      <c r="Y1939" t="str" cm="1">
        <f t="array" ref="Y1939">_xlfn.IFS(R1939&gt;10,"Excelente",R1939&gt;=5,"Bueno",R1939&gt;=2,"Débil",R1939&lt;2,"Deficiente")</f>
        <v>Excelente</v>
      </c>
      <c r="Z1939" t="str">
        <f>IF(AND(R1939&lt;2,Q1939&gt;=100),"Revisar","OK")</f>
        <v>OK</v>
      </c>
      <c r="AA1939" s="55">
        <f>_xlfn.XLOOKUP(C1939,'Preguntas de negocio'!$C$114:$C$119,'Preguntas de negocio'!$D$114:$D$119,0)</f>
        <v>5</v>
      </c>
      <c r="AB1939" s="55">
        <f>VLOOKUP(C1939,'Preguntas de negocio'!$C$121:$D$127,2,FALSE)</f>
        <v>1.1000000000000001</v>
      </c>
    </row>
    <row r="1940" spans="1:28" x14ac:dyDescent="0.3">
      <c r="A1940" s="1">
        <v>45697</v>
      </c>
      <c r="B1940" s="2" t="s">
        <v>2618</v>
      </c>
      <c r="C1940" s="2" t="s">
        <v>2521</v>
      </c>
      <c r="D1940" s="2" t="s">
        <v>2525</v>
      </c>
      <c r="E1940" s="2" t="s">
        <v>2517</v>
      </c>
      <c r="F1940" s="3">
        <v>156932</v>
      </c>
      <c r="G1940" s="3">
        <v>9013</v>
      </c>
      <c r="H1940" s="3">
        <v>338</v>
      </c>
      <c r="I1940" s="4">
        <v>12009.07</v>
      </c>
      <c r="J1940" s="4">
        <v>23180.47</v>
      </c>
      <c r="K1940" s="3">
        <v>255</v>
      </c>
      <c r="L1940" s="2" t="s">
        <v>2536</v>
      </c>
      <c r="M1940" s="2" t="s">
        <v>2537</v>
      </c>
      <c r="N1940" s="8">
        <f>IFERROR(G1940/F1940,0)</f>
        <v>5.7432518543063235E-2</v>
      </c>
      <c r="O1940" s="8">
        <f>IFERROR(H1940/G1940,0)</f>
        <v>3.7501386885609674E-2</v>
      </c>
      <c r="P1940" s="4">
        <f>IFERROR(I1940/G1940,0)</f>
        <v>1.3324165094862976</v>
      </c>
      <c r="Q1940" s="4">
        <f>IFERROR(I1940/H1940,0)</f>
        <v>35.529792899408285</v>
      </c>
      <c r="R1940" s="12">
        <f>IFERROR(J1940/I1940,0)</f>
        <v>1.9302468883935227</v>
      </c>
      <c r="S1940" s="7">
        <f>Tabla_nuevas_columnas[[#This Row],[ROAS]]</f>
        <v>1.9302468883935227</v>
      </c>
      <c r="T1940" t="str">
        <f>_xlfn.CONCAT(C1940,"-",D1940)</f>
        <v>Paid Search-Francia</v>
      </c>
      <c r="U1940">
        <f>YEAR(A1940)</f>
        <v>2025</v>
      </c>
      <c r="V1940">
        <f>MONTH(A1940)</f>
        <v>2</v>
      </c>
      <c r="W1940" t="str">
        <f>PROPER(TEXT(A1940,"mmmm"))</f>
        <v>Febrero</v>
      </c>
      <c r="X1940" t="str">
        <f>PROPER(TEXT(A1940,"dddd"))</f>
        <v>Domingo</v>
      </c>
      <c r="Y1940" t="str" cm="1">
        <f t="array" ref="Y1940">_xlfn.IFS(R1940&gt;10,"Excelente",R1940&gt;=5,"Bueno",R1940&gt;=2,"Débil",R1940&lt;2,"Deficiente")</f>
        <v>Deficiente</v>
      </c>
      <c r="Z1940" t="str">
        <f>IF(AND(R1940&lt;2,Q1940&gt;=100),"Revisar","OK")</f>
        <v>OK</v>
      </c>
      <c r="AA1940" s="55">
        <f>_xlfn.XLOOKUP(C1940,'Preguntas de negocio'!$C$114:$C$119,'Preguntas de negocio'!$D$114:$D$119,0)</f>
        <v>5</v>
      </c>
      <c r="AB1940" s="55">
        <f>VLOOKUP(C1940,'Preguntas de negocio'!$C$121:$D$127,2,FALSE)</f>
        <v>1.1000000000000001</v>
      </c>
    </row>
    <row r="1941" spans="1:28" x14ac:dyDescent="0.3">
      <c r="A1941" s="1">
        <v>45783</v>
      </c>
      <c r="B1941" s="2" t="s">
        <v>2633</v>
      </c>
      <c r="C1941" s="2" t="s">
        <v>2527</v>
      </c>
      <c r="D1941" s="2" t="s">
        <v>2645</v>
      </c>
      <c r="E1941" s="2" t="s">
        <v>2517</v>
      </c>
      <c r="F1941" s="3">
        <v>40686</v>
      </c>
      <c r="G1941" s="3">
        <v>1876</v>
      </c>
      <c r="H1941" s="3">
        <v>75</v>
      </c>
      <c r="I1941" s="4">
        <v>3297.45</v>
      </c>
      <c r="J1941" s="4">
        <v>13984.56</v>
      </c>
      <c r="K1941" s="3">
        <v>49</v>
      </c>
      <c r="L1941" s="2" t="s">
        <v>2536</v>
      </c>
      <c r="M1941" s="2" t="s">
        <v>2546</v>
      </c>
      <c r="N1941" s="8">
        <f>IFERROR(G1941/F1941,0)</f>
        <v>4.6109226761048026E-2</v>
      </c>
      <c r="O1941" s="8">
        <f>IFERROR(H1941/G1941,0)</f>
        <v>3.9978678038379532E-2</v>
      </c>
      <c r="P1941" s="4">
        <f>IFERROR(I1941/G1941,0)</f>
        <v>1.7577025586353943</v>
      </c>
      <c r="Q1941" s="4">
        <f>IFERROR(I1941/H1941,0)</f>
        <v>43.966000000000001</v>
      </c>
      <c r="R1941" s="12">
        <f>IFERROR(J1941/I1941,0)</f>
        <v>4.2410226083792022</v>
      </c>
      <c r="S1941" s="7">
        <f>Tabla_nuevas_columnas[[#This Row],[ROAS]]</f>
        <v>4.2410226083792022</v>
      </c>
      <c r="T1941" t="str">
        <f>_xlfn.CONCAT(C1941,"-",D1941)</f>
        <v>Affiliate-Por identificar</v>
      </c>
      <c r="U1941">
        <f>YEAR(A1941)</f>
        <v>2025</v>
      </c>
      <c r="V1941">
        <f>MONTH(A1941)</f>
        <v>5</v>
      </c>
      <c r="W1941" t="str">
        <f>PROPER(TEXT(A1941,"mmmm"))</f>
        <v>Mayo</v>
      </c>
      <c r="X1941" t="str">
        <f>PROPER(TEXT(A1941,"dddd"))</f>
        <v>Martes</v>
      </c>
      <c r="Y1941" t="str" cm="1">
        <f t="array" ref="Y1941">_xlfn.IFS(R1941&gt;10,"Excelente",R1941&gt;=5,"Bueno",R1941&gt;=2,"Débil",R1941&lt;2,"Deficiente")</f>
        <v>Débil</v>
      </c>
      <c r="Z1941" t="str">
        <f>IF(AND(R1941&lt;2,Q1941&gt;=100),"Revisar","OK")</f>
        <v>OK</v>
      </c>
      <c r="AA1941" s="55">
        <f>_xlfn.XLOOKUP(C1941,'Preguntas de negocio'!$C$114:$C$119,'Preguntas de negocio'!$D$114:$D$119,0)</f>
        <v>4.5</v>
      </c>
      <c r="AB1941" s="55">
        <f>VLOOKUP(C1941,'Preguntas de negocio'!$C$121:$D$127,2,FALSE)</f>
        <v>0.35</v>
      </c>
    </row>
    <row r="1942" spans="1:28" x14ac:dyDescent="0.3">
      <c r="A1942" s="1">
        <v>45986</v>
      </c>
      <c r="B1942" s="2" t="s">
        <v>2641</v>
      </c>
      <c r="C1942" s="2" t="s">
        <v>2543</v>
      </c>
      <c r="D1942" s="2" t="s">
        <v>2525</v>
      </c>
      <c r="E1942" s="2" t="s">
        <v>2529</v>
      </c>
      <c r="F1942" s="3">
        <v>105205</v>
      </c>
      <c r="G1942" s="3">
        <v>591</v>
      </c>
      <c r="H1942" s="3">
        <v>78</v>
      </c>
      <c r="I1942" s="4">
        <v>566.22</v>
      </c>
      <c r="J1942" s="4">
        <v>8377.7199999999993</v>
      </c>
      <c r="K1942" s="3">
        <v>64</v>
      </c>
      <c r="L1942" s="2" t="s">
        <v>2536</v>
      </c>
      <c r="M1942" s="2" t="s">
        <v>2519</v>
      </c>
      <c r="N1942" s="8">
        <f>IFERROR(G1942/F1942,0)</f>
        <v>5.6176037260586478E-3</v>
      </c>
      <c r="O1942" s="8">
        <f>IFERROR(H1942/G1942,0)</f>
        <v>0.13197969543147209</v>
      </c>
      <c r="P1942" s="4">
        <f>IFERROR(I1942/G1942,0)</f>
        <v>0.95807106598984781</v>
      </c>
      <c r="Q1942" s="4">
        <f>IFERROR(I1942/H1942,0)</f>
        <v>7.2592307692307694</v>
      </c>
      <c r="R1942" s="12">
        <f>IFERROR(J1942/I1942,0)</f>
        <v>14.795874395111438</v>
      </c>
      <c r="S1942" s="7">
        <f>Tabla_nuevas_columnas[[#This Row],[ROAS]]</f>
        <v>14.795874395111438</v>
      </c>
      <c r="T1942" t="str">
        <f>_xlfn.CONCAT(C1942,"-",D1942)</f>
        <v>Organic Social-Francia</v>
      </c>
      <c r="U1942">
        <f>YEAR(A1942)</f>
        <v>2025</v>
      </c>
      <c r="V1942">
        <f>MONTH(A1942)</f>
        <v>11</v>
      </c>
      <c r="W1942" t="str">
        <f>PROPER(TEXT(A1942,"mmmm"))</f>
        <v>Noviembre</v>
      </c>
      <c r="X1942" t="str">
        <f>PROPER(TEXT(A1942,"dddd"))</f>
        <v>Martes</v>
      </c>
      <c r="Y1942" t="str" cm="1">
        <f t="array" ref="Y1942">_xlfn.IFS(R1942&gt;10,"Excelente",R1942&gt;=5,"Bueno",R1942&gt;=2,"Débil",R1942&lt;2,"Deficiente")</f>
        <v>Excelente</v>
      </c>
      <c r="Z1942" t="str">
        <f>IF(AND(R1942&lt;2,Q1942&gt;=100),"Revisar","OK")</f>
        <v>OK</v>
      </c>
      <c r="AA1942" s="55">
        <f>_xlfn.XLOOKUP(C1942,'Preguntas de negocio'!$C$114:$C$119,'Preguntas de negocio'!$D$114:$D$119,0)</f>
        <v>4</v>
      </c>
      <c r="AB1942" s="55">
        <f>VLOOKUP(C1942,'Preguntas de negocio'!$C$121:$D$127,2,FALSE)</f>
        <v>0.95</v>
      </c>
    </row>
    <row r="1943" spans="1:28" x14ac:dyDescent="0.3">
      <c r="A1943" s="1">
        <v>45776</v>
      </c>
      <c r="B1943" s="2" t="s">
        <v>2624</v>
      </c>
      <c r="C1943" s="2" t="s">
        <v>2515</v>
      </c>
      <c r="D1943" s="2" t="s">
        <v>2528</v>
      </c>
      <c r="E1943" s="2" t="s">
        <v>2529</v>
      </c>
      <c r="F1943" s="3">
        <v>178933</v>
      </c>
      <c r="G1943" s="3">
        <v>2203</v>
      </c>
      <c r="H1943" s="3">
        <v>79</v>
      </c>
      <c r="I1943" s="4">
        <v>3378.59</v>
      </c>
      <c r="J1943" s="4">
        <v>7821.78</v>
      </c>
      <c r="K1943" s="3">
        <v>37</v>
      </c>
      <c r="L1943" s="2" t="s">
        <v>2536</v>
      </c>
      <c r="M1943" s="2" t="s">
        <v>2519</v>
      </c>
      <c r="N1943" s="8">
        <f>IFERROR(G1943/F1943,0)</f>
        <v>1.2311870923753583E-2</v>
      </c>
      <c r="O1943" s="8">
        <f>IFERROR(H1943/G1943,0)</f>
        <v>3.5860190649114845E-2</v>
      </c>
      <c r="P1943" s="4">
        <f>IFERROR(I1943/G1943,0)</f>
        <v>1.5336314117113028</v>
      </c>
      <c r="Q1943" s="4">
        <f>IFERROR(I1943/H1943,0)</f>
        <v>42.76696202531646</v>
      </c>
      <c r="R1943" s="12">
        <f>IFERROR(J1943/I1943,0)</f>
        <v>2.3151018620193629</v>
      </c>
      <c r="S1943" s="7">
        <f>Tabla_nuevas_columnas[[#This Row],[ROAS]]</f>
        <v>2.3151018620193629</v>
      </c>
      <c r="T1943" t="str">
        <f>_xlfn.CONCAT(C1943,"-",D1943)</f>
        <v>Email-España</v>
      </c>
      <c r="U1943">
        <f>YEAR(A1943)</f>
        <v>2025</v>
      </c>
      <c r="V1943">
        <f>MONTH(A1943)</f>
        <v>4</v>
      </c>
      <c r="W1943" t="str">
        <f>PROPER(TEXT(A1943,"mmmm"))</f>
        <v>Abril</v>
      </c>
      <c r="X1943" t="str">
        <f>PROPER(TEXT(A1943,"dddd"))</f>
        <v>Martes</v>
      </c>
      <c r="Y1943" t="str" cm="1">
        <f t="array" ref="Y1943">_xlfn.IFS(R1943&gt;10,"Excelente",R1943&gt;=5,"Bueno",R1943&gt;=2,"Débil",R1943&lt;2,"Deficiente")</f>
        <v>Débil</v>
      </c>
      <c r="Z1943" t="str">
        <f>IF(AND(R1943&lt;2,Q1943&gt;=100),"Revisar","OK")</f>
        <v>OK</v>
      </c>
      <c r="AA1943" s="55">
        <f>_xlfn.XLOOKUP(C1943,'Preguntas de negocio'!$C$114:$C$119,'Preguntas de negocio'!$D$114:$D$119,0)</f>
        <v>5.5</v>
      </c>
      <c r="AB1943" s="55">
        <f>VLOOKUP(C1943,'Preguntas de negocio'!$C$121:$D$127,2,FALSE)</f>
        <v>0.65</v>
      </c>
    </row>
    <row r="1944" spans="1:28" x14ac:dyDescent="0.3">
      <c r="A1944" s="1">
        <v>45878</v>
      </c>
      <c r="B1944" s="2" t="s">
        <v>2616</v>
      </c>
      <c r="C1944" s="2" t="s">
        <v>2533</v>
      </c>
      <c r="D1944" s="2" t="s">
        <v>2525</v>
      </c>
      <c r="E1944" s="2" t="s">
        <v>2529</v>
      </c>
      <c r="F1944" s="3">
        <v>170675</v>
      </c>
      <c r="G1944" s="3">
        <v>1256</v>
      </c>
      <c r="H1944" s="3">
        <v>120</v>
      </c>
      <c r="I1944" s="4">
        <v>1442.9</v>
      </c>
      <c r="J1944" s="4">
        <v>7731.54</v>
      </c>
      <c r="K1944" s="3">
        <v>77</v>
      </c>
      <c r="L1944" s="2" t="s">
        <v>2539</v>
      </c>
      <c r="M1944" s="2" t="s">
        <v>2546</v>
      </c>
      <c r="N1944" s="8">
        <f>IFERROR(G1944/F1944,0)</f>
        <v>7.359015673062839E-3</v>
      </c>
      <c r="O1944" s="8">
        <f>IFERROR(H1944/G1944,0)</f>
        <v>9.5541401273885357E-2</v>
      </c>
      <c r="P1944" s="4">
        <f>IFERROR(I1944/G1944,0)</f>
        <v>1.1488057324840766</v>
      </c>
      <c r="Q1944" s="4">
        <f>IFERROR(I1944/H1944,0)</f>
        <v>12.024166666666668</v>
      </c>
      <c r="R1944" s="12">
        <f>IFERROR(J1944/I1944,0)</f>
        <v>5.3583339108739345</v>
      </c>
      <c r="S1944" s="7">
        <f>Tabla_nuevas_columnas[[#This Row],[ROAS]]</f>
        <v>5.3583339108739345</v>
      </c>
      <c r="T1944" t="str">
        <f>_xlfn.CONCAT(C1944,"-",D1944)</f>
        <v>Paid Social-Francia</v>
      </c>
      <c r="U1944">
        <f>YEAR(A1944)</f>
        <v>2025</v>
      </c>
      <c r="V1944">
        <f>MONTH(A1944)</f>
        <v>8</v>
      </c>
      <c r="W1944" t="str">
        <f>PROPER(TEXT(A1944,"mmmm"))</f>
        <v>Agosto</v>
      </c>
      <c r="X1944" t="str">
        <f>PROPER(TEXT(A1944,"dddd"))</f>
        <v>Sábado</v>
      </c>
      <c r="Y1944" t="str" cm="1">
        <f t="array" ref="Y1944">_xlfn.IFS(R1944&gt;10,"Excelente",R1944&gt;=5,"Bueno",R1944&gt;=2,"Débil",R1944&lt;2,"Deficiente")</f>
        <v>Bueno</v>
      </c>
      <c r="Z1944" t="str">
        <f>IF(AND(R1944&lt;2,Q1944&gt;=100),"Revisar","OK")</f>
        <v>OK</v>
      </c>
      <c r="AA1944" s="55">
        <f>_xlfn.XLOOKUP(C1944,'Preguntas de negocio'!$C$114:$C$119,'Preguntas de negocio'!$D$114:$D$119,0)</f>
        <v>6</v>
      </c>
      <c r="AB1944" s="55">
        <f>VLOOKUP(C1944,'Preguntas de negocio'!$C$121:$D$127,2,FALSE)</f>
        <v>0.8</v>
      </c>
    </row>
    <row r="1945" spans="1:28" x14ac:dyDescent="0.3">
      <c r="A1945" s="1">
        <v>45666</v>
      </c>
      <c r="B1945" s="2" t="s">
        <v>2621</v>
      </c>
      <c r="C1945" s="2" t="s">
        <v>2533</v>
      </c>
      <c r="D1945" s="2" t="s">
        <v>2525</v>
      </c>
      <c r="E1945" s="2" t="s">
        <v>2517</v>
      </c>
      <c r="F1945" s="3">
        <v>67299</v>
      </c>
      <c r="G1945" s="3">
        <v>5831</v>
      </c>
      <c r="H1945" s="3">
        <v>360</v>
      </c>
      <c r="I1945" s="4">
        <v>10338.6</v>
      </c>
      <c r="J1945" s="4">
        <v>25726.86</v>
      </c>
      <c r="K1945" s="3">
        <v>259</v>
      </c>
      <c r="L1945" s="2" t="s">
        <v>2518</v>
      </c>
      <c r="M1945" s="2" t="s">
        <v>2537</v>
      </c>
      <c r="N1945" s="8">
        <f>IFERROR(G1945/F1945,0)</f>
        <v>8.6643189349024499E-2</v>
      </c>
      <c r="O1945" s="8">
        <f>IFERROR(H1945/G1945,0)</f>
        <v>6.1738981306808438E-2</v>
      </c>
      <c r="P1945" s="4">
        <f>IFERROR(I1945/G1945,0)</f>
        <v>1.7730406448293603</v>
      </c>
      <c r="Q1945" s="4">
        <f>IFERROR(I1945/H1945,0)</f>
        <v>28.718333333333334</v>
      </c>
      <c r="R1945" s="12">
        <f>IFERROR(J1945/I1945,0)</f>
        <v>2.4884278335558006</v>
      </c>
      <c r="S1945" s="7">
        <f>Tabla_nuevas_columnas[[#This Row],[ROAS]]</f>
        <v>2.4884278335558006</v>
      </c>
      <c r="T1945" t="str">
        <f>_xlfn.CONCAT(C1945,"-",D1945)</f>
        <v>Paid Social-Francia</v>
      </c>
      <c r="U1945">
        <f>YEAR(A1945)</f>
        <v>2025</v>
      </c>
      <c r="V1945">
        <f>MONTH(A1945)</f>
        <v>1</v>
      </c>
      <c r="W1945" t="str">
        <f>PROPER(TEXT(A1945,"mmmm"))</f>
        <v>Enero</v>
      </c>
      <c r="X1945" t="str">
        <f>PROPER(TEXT(A1945,"dddd"))</f>
        <v>Jueves</v>
      </c>
      <c r="Y1945" t="str" cm="1">
        <f t="array" ref="Y1945">_xlfn.IFS(R1945&gt;10,"Excelente",R1945&gt;=5,"Bueno",R1945&gt;=2,"Débil",R1945&lt;2,"Deficiente")</f>
        <v>Débil</v>
      </c>
      <c r="Z1945" t="str">
        <f>IF(AND(R1945&lt;2,Q1945&gt;=100),"Revisar","OK")</f>
        <v>OK</v>
      </c>
      <c r="AA1945" s="55">
        <f>_xlfn.XLOOKUP(C1945,'Preguntas de negocio'!$C$114:$C$119,'Preguntas de negocio'!$D$114:$D$119,0)</f>
        <v>6</v>
      </c>
      <c r="AB1945" s="55">
        <f>VLOOKUP(C1945,'Preguntas de negocio'!$C$121:$D$127,2,FALSE)</f>
        <v>0.8</v>
      </c>
    </row>
    <row r="1946" spans="1:28" x14ac:dyDescent="0.3">
      <c r="A1946" s="1">
        <v>45936</v>
      </c>
      <c r="B1946" s="2" t="s">
        <v>2621</v>
      </c>
      <c r="C1946" s="2" t="s">
        <v>2521</v>
      </c>
      <c r="D1946" s="2" t="s">
        <v>2516</v>
      </c>
      <c r="E1946" s="2" t="s">
        <v>2517</v>
      </c>
      <c r="F1946" s="3">
        <v>10481</v>
      </c>
      <c r="G1946" s="3">
        <v>611</v>
      </c>
      <c r="H1946" s="3">
        <v>27</v>
      </c>
      <c r="I1946" s="4">
        <v>1214.79</v>
      </c>
      <c r="J1946" s="4">
        <v>883.63</v>
      </c>
      <c r="K1946" s="3">
        <v>16</v>
      </c>
      <c r="L1946" s="2" t="s">
        <v>2539</v>
      </c>
      <c r="M1946" s="2" t="s">
        <v>2537</v>
      </c>
      <c r="N1946" s="8">
        <f>IFERROR(G1946/F1946,0)</f>
        <v>5.829596412556054E-2</v>
      </c>
      <c r="O1946" s="8">
        <f>IFERROR(H1946/G1946,0)</f>
        <v>4.4189852700491E-2</v>
      </c>
      <c r="P1946" s="4">
        <f>IFERROR(I1946/G1946,0)</f>
        <v>1.9881996726677578</v>
      </c>
      <c r="Q1946" s="4">
        <f>IFERROR(I1946/H1946,0)</f>
        <v>44.992222222222217</v>
      </c>
      <c r="R1946" s="12">
        <f>IFERROR(J1946/I1946,0)</f>
        <v>0.7273932119954889</v>
      </c>
      <c r="S1946" s="7">
        <f>Tabla_nuevas_columnas[[#This Row],[ROAS]]</f>
        <v>0.7273932119954889</v>
      </c>
      <c r="T1946" t="str">
        <f>_xlfn.CONCAT(C1946,"-",D1946)</f>
        <v>Paid Search-México</v>
      </c>
      <c r="U1946">
        <f>YEAR(A1946)</f>
        <v>2025</v>
      </c>
      <c r="V1946">
        <f>MONTH(A1946)</f>
        <v>10</v>
      </c>
      <c r="W1946" t="str">
        <f>PROPER(TEXT(A1946,"mmmm"))</f>
        <v>Octubre</v>
      </c>
      <c r="X1946" t="str">
        <f>PROPER(TEXT(A1946,"dddd"))</f>
        <v>Lunes</v>
      </c>
      <c r="Y1946" t="str" cm="1">
        <f t="array" ref="Y1946">_xlfn.IFS(R1946&gt;10,"Excelente",R1946&gt;=5,"Bueno",R1946&gt;=2,"Débil",R1946&lt;2,"Deficiente")</f>
        <v>Deficiente</v>
      </c>
      <c r="Z1946" t="str">
        <f>IF(AND(R1946&lt;2,Q1946&gt;=100),"Revisar","OK")</f>
        <v>OK</v>
      </c>
      <c r="AA1946" s="55">
        <f>_xlfn.XLOOKUP(C1946,'Preguntas de negocio'!$C$114:$C$119,'Preguntas de negocio'!$D$114:$D$119,0)</f>
        <v>5</v>
      </c>
      <c r="AB1946" s="55">
        <f>VLOOKUP(C1946,'Preguntas de negocio'!$C$121:$D$127,2,FALSE)</f>
        <v>1.1000000000000001</v>
      </c>
    </row>
    <row r="1947" spans="1:28" x14ac:dyDescent="0.3">
      <c r="A1947" s="1">
        <v>45892</v>
      </c>
      <c r="B1947" s="2" t="s">
        <v>2616</v>
      </c>
      <c r="C1947" s="2" t="s">
        <v>2543</v>
      </c>
      <c r="D1947" s="2" t="s">
        <v>2528</v>
      </c>
      <c r="E1947" s="2" t="s">
        <v>2517</v>
      </c>
      <c r="F1947" s="3">
        <v>28524</v>
      </c>
      <c r="G1947" s="3">
        <v>688</v>
      </c>
      <c r="H1947" s="3">
        <v>4</v>
      </c>
      <c r="I1947" s="4">
        <v>417.14</v>
      </c>
      <c r="J1947" s="4">
        <v>365.27</v>
      </c>
      <c r="K1947" s="3">
        <v>2</v>
      </c>
      <c r="L1947" s="2" t="s">
        <v>2539</v>
      </c>
      <c r="M1947" s="2" t="s">
        <v>2537</v>
      </c>
      <c r="N1947" s="8">
        <f>IFERROR(G1947/F1947,0)</f>
        <v>2.41200392651802E-2</v>
      </c>
      <c r="O1947" s="8">
        <f>IFERROR(H1947/G1947,0)</f>
        <v>5.8139534883720929E-3</v>
      </c>
      <c r="P1947" s="4">
        <f>IFERROR(I1947/G1947,0)</f>
        <v>0.60630813953488372</v>
      </c>
      <c r="Q1947" s="4">
        <f>IFERROR(I1947/H1947,0)</f>
        <v>104.285</v>
      </c>
      <c r="R1947" s="12">
        <f>IFERROR(J1947/I1947,0)</f>
        <v>0.8756532578990267</v>
      </c>
      <c r="S1947" s="7">
        <f>Tabla_nuevas_columnas[[#This Row],[ROAS]]</f>
        <v>0.8756532578990267</v>
      </c>
      <c r="T1947" t="str">
        <f>_xlfn.CONCAT(C1947,"-",D1947)</f>
        <v>Organic Social-España</v>
      </c>
      <c r="U1947">
        <f>YEAR(A1947)</f>
        <v>2025</v>
      </c>
      <c r="V1947">
        <f>MONTH(A1947)</f>
        <v>8</v>
      </c>
      <c r="W1947" t="str">
        <f>PROPER(TEXT(A1947,"mmmm"))</f>
        <v>Agosto</v>
      </c>
      <c r="X1947" t="str">
        <f>PROPER(TEXT(A1947,"dddd"))</f>
        <v>Sábado</v>
      </c>
      <c r="Y1947" t="str" cm="1">
        <f t="array" ref="Y1947">_xlfn.IFS(R1947&gt;10,"Excelente",R1947&gt;=5,"Bueno",R1947&gt;=2,"Débil",R1947&lt;2,"Deficiente")</f>
        <v>Deficiente</v>
      </c>
      <c r="Z1947" t="str">
        <f>IF(AND(R1947&lt;2,Q1947&gt;=100),"Revisar","OK")</f>
        <v>Revisar</v>
      </c>
      <c r="AA1947" s="55">
        <f>_xlfn.XLOOKUP(C1947,'Preguntas de negocio'!$C$114:$C$119,'Preguntas de negocio'!$D$114:$D$119,0)</f>
        <v>4</v>
      </c>
      <c r="AB1947" s="55">
        <f>VLOOKUP(C1947,'Preguntas de negocio'!$C$121:$D$127,2,FALSE)</f>
        <v>0.95</v>
      </c>
    </row>
    <row r="1948" spans="1:28" x14ac:dyDescent="0.3">
      <c r="A1948" s="1">
        <v>45977</v>
      </c>
      <c r="B1948" s="2" t="s">
        <v>2636</v>
      </c>
      <c r="C1948" s="2" t="s">
        <v>2543</v>
      </c>
      <c r="D1948" s="2" t="s">
        <v>2531</v>
      </c>
      <c r="E1948" s="2" t="s">
        <v>2534</v>
      </c>
      <c r="F1948" s="3">
        <v>176437</v>
      </c>
      <c r="G1948" s="3">
        <v>14105</v>
      </c>
      <c r="H1948" s="3">
        <v>237</v>
      </c>
      <c r="I1948" s="4">
        <v>27468.33</v>
      </c>
      <c r="J1948" s="4">
        <v>15915.38</v>
      </c>
      <c r="K1948" s="3">
        <v>209</v>
      </c>
      <c r="L1948" s="2" t="s">
        <v>2536</v>
      </c>
      <c r="M1948" s="2" t="s">
        <v>2524</v>
      </c>
      <c r="N1948" s="8">
        <f>IFERROR(G1948/F1948,0)</f>
        <v>7.9943549255541632E-2</v>
      </c>
      <c r="O1948" s="8">
        <f>IFERROR(H1948/G1948,0)</f>
        <v>1.6802552286423255E-2</v>
      </c>
      <c r="P1948" s="4">
        <f>IFERROR(I1948/G1948,0)</f>
        <v>1.9474179369018081</v>
      </c>
      <c r="Q1948" s="4">
        <f>IFERROR(I1948/H1948,0)</f>
        <v>115.90012658227849</v>
      </c>
      <c r="R1948" s="12">
        <f>IFERROR(J1948/I1948,0)</f>
        <v>0.57940835864430051</v>
      </c>
      <c r="S1948" s="7">
        <f>Tabla_nuevas_columnas[[#This Row],[ROAS]]</f>
        <v>0.57940835864430051</v>
      </c>
      <c r="T1948" t="str">
        <f>_xlfn.CONCAT(C1948,"-",D1948)</f>
        <v>Organic Social-Portugal</v>
      </c>
      <c r="U1948">
        <f>YEAR(A1948)</f>
        <v>2025</v>
      </c>
      <c r="V1948">
        <f>MONTH(A1948)</f>
        <v>11</v>
      </c>
      <c r="W1948" t="str">
        <f>PROPER(TEXT(A1948,"mmmm"))</f>
        <v>Noviembre</v>
      </c>
      <c r="X1948" t="str">
        <f>PROPER(TEXT(A1948,"dddd"))</f>
        <v>Domingo</v>
      </c>
      <c r="Y1948" t="str" cm="1">
        <f t="array" ref="Y1948">_xlfn.IFS(R1948&gt;10,"Excelente",R1948&gt;=5,"Bueno",R1948&gt;=2,"Débil",R1948&lt;2,"Deficiente")</f>
        <v>Deficiente</v>
      </c>
      <c r="Z1948" t="str">
        <f>IF(AND(R1948&lt;2,Q1948&gt;=100),"Revisar","OK")</f>
        <v>Revisar</v>
      </c>
      <c r="AA1948" s="55">
        <f>_xlfn.XLOOKUP(C1948,'Preguntas de negocio'!$C$114:$C$119,'Preguntas de negocio'!$D$114:$D$119,0)</f>
        <v>4</v>
      </c>
      <c r="AB1948" s="55">
        <f>VLOOKUP(C1948,'Preguntas de negocio'!$C$121:$D$127,2,FALSE)</f>
        <v>0.95</v>
      </c>
    </row>
    <row r="1949" spans="1:28" x14ac:dyDescent="0.3">
      <c r="A1949" s="1">
        <v>45831</v>
      </c>
      <c r="B1949" s="2" t="s">
        <v>2637</v>
      </c>
      <c r="C1949" s="2" t="s">
        <v>2515</v>
      </c>
      <c r="D1949" s="2" t="s">
        <v>2528</v>
      </c>
      <c r="E1949" s="2" t="s">
        <v>2517</v>
      </c>
      <c r="F1949" s="3">
        <v>115688</v>
      </c>
      <c r="G1949" s="3">
        <v>5559</v>
      </c>
      <c r="H1949" s="3">
        <v>440</v>
      </c>
      <c r="I1949" s="4">
        <v>9599.94</v>
      </c>
      <c r="J1949" s="4">
        <v>95440.41</v>
      </c>
      <c r="K1949" s="3">
        <v>294</v>
      </c>
      <c r="L1949" s="2" t="s">
        <v>2539</v>
      </c>
      <c r="M1949" s="2" t="s">
        <v>2537</v>
      </c>
      <c r="N1949" s="8">
        <f>IFERROR(G1949/F1949,0)</f>
        <v>4.8051656178687507E-2</v>
      </c>
      <c r="O1949" s="8">
        <f>IFERROR(H1949/G1949,0)</f>
        <v>7.9150926425616122E-2</v>
      </c>
      <c r="P1949" s="4">
        <f>IFERROR(I1949/G1949,0)</f>
        <v>1.7269185105234754</v>
      </c>
      <c r="Q1949" s="4">
        <f>IFERROR(I1949/H1949,0)</f>
        <v>21.818045454545455</v>
      </c>
      <c r="R1949" s="12">
        <f>IFERROR(J1949/I1949,0)</f>
        <v>9.9417715110719449</v>
      </c>
      <c r="S1949" s="7">
        <f>Tabla_nuevas_columnas[[#This Row],[ROAS]]</f>
        <v>9.9417715110719449</v>
      </c>
      <c r="T1949" t="str">
        <f>_xlfn.CONCAT(C1949,"-",D1949)</f>
        <v>Email-España</v>
      </c>
      <c r="U1949">
        <f>YEAR(A1949)</f>
        <v>2025</v>
      </c>
      <c r="V1949">
        <f>MONTH(A1949)</f>
        <v>6</v>
      </c>
      <c r="W1949" t="str">
        <f>PROPER(TEXT(A1949,"mmmm"))</f>
        <v>Junio</v>
      </c>
      <c r="X1949" t="str">
        <f>PROPER(TEXT(A1949,"dddd"))</f>
        <v>Lunes</v>
      </c>
      <c r="Y1949" t="str" cm="1">
        <f t="array" ref="Y1949">_xlfn.IFS(R1949&gt;10,"Excelente",R1949&gt;=5,"Bueno",R1949&gt;=2,"Débil",R1949&lt;2,"Deficiente")</f>
        <v>Bueno</v>
      </c>
      <c r="Z1949" t="str">
        <f>IF(AND(R1949&lt;2,Q1949&gt;=100),"Revisar","OK")</f>
        <v>OK</v>
      </c>
      <c r="AA1949" s="55">
        <f>_xlfn.XLOOKUP(C1949,'Preguntas de negocio'!$C$114:$C$119,'Preguntas de negocio'!$D$114:$D$119,0)</f>
        <v>5.5</v>
      </c>
      <c r="AB1949" s="55">
        <f>VLOOKUP(C1949,'Preguntas de negocio'!$C$121:$D$127,2,FALSE)</f>
        <v>0.65</v>
      </c>
    </row>
    <row r="1950" spans="1:28" x14ac:dyDescent="0.3">
      <c r="A1950" s="1">
        <v>45658</v>
      </c>
      <c r="B1950" s="2" t="s">
        <v>2625</v>
      </c>
      <c r="C1950" s="2" t="s">
        <v>2541</v>
      </c>
      <c r="D1950" s="2" t="s">
        <v>2528</v>
      </c>
      <c r="E1950" s="2" t="s">
        <v>2529</v>
      </c>
      <c r="F1950" s="3">
        <v>15810</v>
      </c>
      <c r="G1950" s="3">
        <v>432</v>
      </c>
      <c r="H1950" s="3">
        <v>32</v>
      </c>
      <c r="I1950" s="4">
        <v>653.79</v>
      </c>
      <c r="J1950" s="4">
        <v>3514.82</v>
      </c>
      <c r="K1950" s="3">
        <v>27</v>
      </c>
      <c r="L1950" s="2" t="s">
        <v>2523</v>
      </c>
      <c r="M1950" s="2" t="s">
        <v>2519</v>
      </c>
      <c r="N1950" s="8">
        <f>IFERROR(G1950/F1950,0)</f>
        <v>2.7324478178368122E-2</v>
      </c>
      <c r="O1950" s="8">
        <f>IFERROR(H1950/G1950,0)</f>
        <v>7.407407407407407E-2</v>
      </c>
      <c r="P1950" s="4">
        <f>IFERROR(I1950/G1950,0)</f>
        <v>1.5134027777777777</v>
      </c>
      <c r="Q1950" s="4">
        <f>IFERROR(I1950/H1950,0)</f>
        <v>20.430937499999999</v>
      </c>
      <c r="R1950" s="12">
        <f>IFERROR(J1950/I1950,0)</f>
        <v>5.3760687682589214</v>
      </c>
      <c r="S1950" s="7">
        <f>Tabla_nuevas_columnas[[#This Row],[ROAS]]</f>
        <v>5.3760687682589214</v>
      </c>
      <c r="T1950" t="str">
        <f>_xlfn.CONCAT(C1950,"-",D1950)</f>
        <v>Display-España</v>
      </c>
      <c r="U1950">
        <f>YEAR(A1950)</f>
        <v>2025</v>
      </c>
      <c r="V1950">
        <f>MONTH(A1950)</f>
        <v>1</v>
      </c>
      <c r="W1950" t="str">
        <f>PROPER(TEXT(A1950,"mmmm"))</f>
        <v>Enero</v>
      </c>
      <c r="X1950" t="str">
        <f>PROPER(TEXT(A1950,"dddd"))</f>
        <v>Miércoles</v>
      </c>
      <c r="Y1950" t="str" cm="1">
        <f t="array" ref="Y1950">_xlfn.IFS(R1950&gt;10,"Excelente",R1950&gt;=5,"Bueno",R1950&gt;=2,"Débil",R1950&lt;2,"Deficiente")</f>
        <v>Bueno</v>
      </c>
      <c r="Z1950" t="str">
        <f>IF(AND(R1950&lt;2,Q1950&gt;=100),"Revisar","OK")</f>
        <v>OK</v>
      </c>
      <c r="AA1950" s="55">
        <f>_xlfn.XLOOKUP(C1950,'Preguntas de negocio'!$C$114:$C$119,'Preguntas de negocio'!$D$114:$D$119,0)</f>
        <v>5</v>
      </c>
      <c r="AB1950" s="55">
        <f>VLOOKUP(C1950,'Preguntas de negocio'!$C$121:$D$127,2,FALSE)</f>
        <v>0.5</v>
      </c>
    </row>
    <row r="1951" spans="1:28" x14ac:dyDescent="0.3">
      <c r="A1951" s="1">
        <v>45811</v>
      </c>
      <c r="B1951" s="2" t="s">
        <v>2629</v>
      </c>
      <c r="C1951" s="2" t="s">
        <v>2521</v>
      </c>
      <c r="D1951" s="2" t="s">
        <v>2528</v>
      </c>
      <c r="E1951" s="2" t="s">
        <v>2517</v>
      </c>
      <c r="F1951" s="3">
        <v>53470</v>
      </c>
      <c r="G1951" s="3">
        <v>1545</v>
      </c>
      <c r="H1951" s="3">
        <v>39</v>
      </c>
      <c r="I1951" s="4">
        <v>735.45</v>
      </c>
      <c r="J1951" s="4">
        <v>4344.26</v>
      </c>
      <c r="K1951" s="3">
        <v>25</v>
      </c>
      <c r="L1951" s="2" t="s">
        <v>2536</v>
      </c>
      <c r="M1951" s="2" t="s">
        <v>2524</v>
      </c>
      <c r="N1951" s="8">
        <f>IFERROR(G1951/F1951,0)</f>
        <v>2.8894707312511689E-2</v>
      </c>
      <c r="O1951" s="8">
        <f>IFERROR(H1951/G1951,0)</f>
        <v>2.524271844660194E-2</v>
      </c>
      <c r="P1951" s="4">
        <f>IFERROR(I1951/G1951,0)</f>
        <v>0.47601941747572818</v>
      </c>
      <c r="Q1951" s="4">
        <f>IFERROR(I1951/H1951,0)</f>
        <v>18.857692307692307</v>
      </c>
      <c r="R1951" s="12">
        <f>IFERROR(J1951/I1951,0)</f>
        <v>5.9069413284383714</v>
      </c>
      <c r="S1951" s="7">
        <f>Tabla_nuevas_columnas[[#This Row],[ROAS]]</f>
        <v>5.9069413284383714</v>
      </c>
      <c r="T1951" t="str">
        <f>_xlfn.CONCAT(C1951,"-",D1951)</f>
        <v>Paid Search-España</v>
      </c>
      <c r="U1951">
        <f>YEAR(A1951)</f>
        <v>2025</v>
      </c>
      <c r="V1951">
        <f>MONTH(A1951)</f>
        <v>6</v>
      </c>
      <c r="W1951" t="str">
        <f>PROPER(TEXT(A1951,"mmmm"))</f>
        <v>Junio</v>
      </c>
      <c r="X1951" t="str">
        <f>PROPER(TEXT(A1951,"dddd"))</f>
        <v>Martes</v>
      </c>
      <c r="Y1951" t="str" cm="1">
        <f t="array" ref="Y1951">_xlfn.IFS(R1951&gt;10,"Excelente",R1951&gt;=5,"Bueno",R1951&gt;=2,"Débil",R1951&lt;2,"Deficiente")</f>
        <v>Bueno</v>
      </c>
      <c r="Z1951" t="str">
        <f>IF(AND(R1951&lt;2,Q1951&gt;=100),"Revisar","OK")</f>
        <v>OK</v>
      </c>
      <c r="AA1951" s="55">
        <f>_xlfn.XLOOKUP(C1951,'Preguntas de negocio'!$C$114:$C$119,'Preguntas de negocio'!$D$114:$D$119,0)</f>
        <v>5</v>
      </c>
      <c r="AB1951" s="55">
        <f>VLOOKUP(C1951,'Preguntas de negocio'!$C$121:$D$127,2,FALSE)</f>
        <v>1.1000000000000001</v>
      </c>
    </row>
    <row r="1952" spans="1:28" x14ac:dyDescent="0.3">
      <c r="A1952" s="1">
        <v>45831</v>
      </c>
      <c r="B1952" s="2" t="s">
        <v>2644</v>
      </c>
      <c r="C1952" s="2" t="s">
        <v>2543</v>
      </c>
      <c r="D1952" s="2" t="s">
        <v>2528</v>
      </c>
      <c r="E1952" s="2" t="s">
        <v>2517</v>
      </c>
      <c r="F1952" s="3">
        <v>107836</v>
      </c>
      <c r="G1952" s="3">
        <v>9435</v>
      </c>
      <c r="H1952" s="3">
        <v>690</v>
      </c>
      <c r="I1952" s="4">
        <v>9179</v>
      </c>
      <c r="J1952" s="4">
        <v>35813.599999999999</v>
      </c>
      <c r="K1952" s="3">
        <v>616</v>
      </c>
      <c r="L1952" s="2" t="s">
        <v>2518</v>
      </c>
      <c r="M1952" s="2" t="s">
        <v>2526</v>
      </c>
      <c r="N1952" s="8">
        <f>IFERROR(G1952/F1952,0)</f>
        <v>8.7493972328350461E-2</v>
      </c>
      <c r="O1952" s="8">
        <f>IFERROR(H1952/G1952,0)</f>
        <v>7.3131955484896663E-2</v>
      </c>
      <c r="P1952" s="4">
        <f>IFERROR(I1952/G1952,0)</f>
        <v>0.97286698463169052</v>
      </c>
      <c r="Q1952" s="4">
        <f>IFERROR(I1952/H1952,0)</f>
        <v>13.302898550724638</v>
      </c>
      <c r="R1952" s="12">
        <f>IFERROR(J1952/I1952,0)</f>
        <v>3.9016886371064383</v>
      </c>
      <c r="S1952" s="7">
        <f>Tabla_nuevas_columnas[[#This Row],[ROAS]]</f>
        <v>3.9016886371064383</v>
      </c>
      <c r="T1952" t="str">
        <f>_xlfn.CONCAT(C1952,"-",D1952)</f>
        <v>Organic Social-España</v>
      </c>
      <c r="U1952">
        <f>YEAR(A1952)</f>
        <v>2025</v>
      </c>
      <c r="V1952">
        <f>MONTH(A1952)</f>
        <v>6</v>
      </c>
      <c r="W1952" t="str">
        <f>PROPER(TEXT(A1952,"mmmm"))</f>
        <v>Junio</v>
      </c>
      <c r="X1952" t="str">
        <f>PROPER(TEXT(A1952,"dddd"))</f>
        <v>Lunes</v>
      </c>
      <c r="Y1952" t="str" cm="1">
        <f t="array" ref="Y1952">_xlfn.IFS(R1952&gt;10,"Excelente",R1952&gt;=5,"Bueno",R1952&gt;=2,"Débil",R1952&lt;2,"Deficiente")</f>
        <v>Débil</v>
      </c>
      <c r="Z1952" t="str">
        <f>IF(AND(R1952&lt;2,Q1952&gt;=100),"Revisar","OK")</f>
        <v>OK</v>
      </c>
      <c r="AA1952" s="55">
        <f>_xlfn.XLOOKUP(C1952,'Preguntas de negocio'!$C$114:$C$119,'Preguntas de negocio'!$D$114:$D$119,0)</f>
        <v>4</v>
      </c>
      <c r="AB1952" s="55">
        <f>VLOOKUP(C1952,'Preguntas de negocio'!$C$121:$D$127,2,FALSE)</f>
        <v>0.95</v>
      </c>
    </row>
    <row r="1953" spans="1:28" x14ac:dyDescent="0.3">
      <c r="A1953" s="1">
        <v>46015</v>
      </c>
      <c r="B1953" s="2" t="s">
        <v>2627</v>
      </c>
      <c r="C1953" s="2" t="s">
        <v>2527</v>
      </c>
      <c r="D1953" s="2" t="s">
        <v>2516</v>
      </c>
      <c r="E1953" s="2" t="s">
        <v>2517</v>
      </c>
      <c r="F1953" s="3">
        <v>88409</v>
      </c>
      <c r="G1953" s="3">
        <v>1895</v>
      </c>
      <c r="H1953" s="3">
        <v>208</v>
      </c>
      <c r="I1953" s="4">
        <v>1405.08</v>
      </c>
      <c r="J1953" s="4">
        <v>25368.45</v>
      </c>
      <c r="K1953" s="3">
        <v>153</v>
      </c>
      <c r="L1953" s="2" t="s">
        <v>2536</v>
      </c>
      <c r="M1953" s="2" t="s">
        <v>2519</v>
      </c>
      <c r="N1953" s="8">
        <f>IFERROR(G1953/F1953,0)</f>
        <v>2.1434469341356649E-2</v>
      </c>
      <c r="O1953" s="8">
        <f>IFERROR(H1953/G1953,0)</f>
        <v>0.10976253298153034</v>
      </c>
      <c r="P1953" s="4">
        <f>IFERROR(I1953/G1953,0)</f>
        <v>0.7414670184696569</v>
      </c>
      <c r="Q1953" s="4">
        <f>IFERROR(I1953/H1953,0)</f>
        <v>6.7551923076923073</v>
      </c>
      <c r="R1953" s="12">
        <f>IFERROR(J1953/I1953,0)</f>
        <v>18.054808267144931</v>
      </c>
      <c r="S1953" s="7">
        <f>Tabla_nuevas_columnas[[#This Row],[ROAS]]</f>
        <v>18.054808267144931</v>
      </c>
      <c r="T1953" t="str">
        <f>_xlfn.CONCAT(C1953,"-",D1953)</f>
        <v>Affiliate-México</v>
      </c>
      <c r="U1953">
        <f>YEAR(A1953)</f>
        <v>2025</v>
      </c>
      <c r="V1953">
        <f>MONTH(A1953)</f>
        <v>12</v>
      </c>
      <c r="W1953" t="str">
        <f>PROPER(TEXT(A1953,"mmmm"))</f>
        <v>Diciembre</v>
      </c>
      <c r="X1953" t="str">
        <f>PROPER(TEXT(A1953,"dddd"))</f>
        <v>Miércoles</v>
      </c>
      <c r="Y1953" t="str" cm="1">
        <f t="array" ref="Y1953">_xlfn.IFS(R1953&gt;10,"Excelente",R1953&gt;=5,"Bueno",R1953&gt;=2,"Débil",R1953&lt;2,"Deficiente")</f>
        <v>Excelente</v>
      </c>
      <c r="Z1953" t="str">
        <f>IF(AND(R1953&lt;2,Q1953&gt;=100),"Revisar","OK")</f>
        <v>OK</v>
      </c>
      <c r="AA1953" s="55">
        <f>_xlfn.XLOOKUP(C1953,'Preguntas de negocio'!$C$114:$C$119,'Preguntas de negocio'!$D$114:$D$119,0)</f>
        <v>4.5</v>
      </c>
      <c r="AB1953" s="55">
        <f>VLOOKUP(C1953,'Preguntas de negocio'!$C$121:$D$127,2,FALSE)</f>
        <v>0.35</v>
      </c>
    </row>
    <row r="1954" spans="1:28" x14ac:dyDescent="0.3">
      <c r="A1954" s="1">
        <v>45733</v>
      </c>
      <c r="B1954" s="2" t="s">
        <v>2640</v>
      </c>
      <c r="C1954" s="2" t="s">
        <v>2541</v>
      </c>
      <c r="D1954" s="2" t="s">
        <v>2528</v>
      </c>
      <c r="E1954" s="2" t="s">
        <v>2517</v>
      </c>
      <c r="F1954" s="3">
        <v>54153</v>
      </c>
      <c r="G1954" s="3">
        <v>1177</v>
      </c>
      <c r="H1954" s="3">
        <v>22</v>
      </c>
      <c r="I1954" s="4">
        <v>850.06</v>
      </c>
      <c r="J1954" s="4">
        <v>2255.1999999999998</v>
      </c>
      <c r="K1954" s="3">
        <v>11</v>
      </c>
      <c r="L1954" s="2" t="s">
        <v>2536</v>
      </c>
      <c r="M1954" s="2" t="s">
        <v>2519</v>
      </c>
      <c r="N1954" s="8">
        <f>IFERROR(G1954/F1954,0)</f>
        <v>2.1734714604915703E-2</v>
      </c>
      <c r="O1954" s="8">
        <f>IFERROR(H1954/G1954,0)</f>
        <v>1.8691588785046728E-2</v>
      </c>
      <c r="P1954" s="4">
        <f>IFERROR(I1954/G1954,0)</f>
        <v>0.72222599830076462</v>
      </c>
      <c r="Q1954" s="4">
        <f>IFERROR(I1954/H1954,0)</f>
        <v>38.639090909090903</v>
      </c>
      <c r="R1954" s="12">
        <f>IFERROR(J1954/I1954,0)</f>
        <v>2.652989200762299</v>
      </c>
      <c r="S1954" s="7">
        <f>Tabla_nuevas_columnas[[#This Row],[ROAS]]</f>
        <v>2.652989200762299</v>
      </c>
      <c r="T1954" t="str">
        <f>_xlfn.CONCAT(C1954,"-",D1954)</f>
        <v>Display-España</v>
      </c>
      <c r="U1954">
        <f>YEAR(A1954)</f>
        <v>2025</v>
      </c>
      <c r="V1954">
        <f>MONTH(A1954)</f>
        <v>3</v>
      </c>
      <c r="W1954" t="str">
        <f>PROPER(TEXT(A1954,"mmmm"))</f>
        <v>Marzo</v>
      </c>
      <c r="X1954" t="str">
        <f>PROPER(TEXT(A1954,"dddd"))</f>
        <v>Lunes</v>
      </c>
      <c r="Y1954" t="str" cm="1">
        <f t="array" ref="Y1954">_xlfn.IFS(R1954&gt;10,"Excelente",R1954&gt;=5,"Bueno",R1954&gt;=2,"Débil",R1954&lt;2,"Deficiente")</f>
        <v>Débil</v>
      </c>
      <c r="Z1954" t="str">
        <f>IF(AND(R1954&lt;2,Q1954&gt;=100),"Revisar","OK")</f>
        <v>OK</v>
      </c>
      <c r="AA1954" s="55">
        <f>_xlfn.XLOOKUP(C1954,'Preguntas de negocio'!$C$114:$C$119,'Preguntas de negocio'!$D$114:$D$119,0)</f>
        <v>5</v>
      </c>
      <c r="AB1954" s="55">
        <f>VLOOKUP(C1954,'Preguntas de negocio'!$C$121:$D$127,2,FALSE)</f>
        <v>0.5</v>
      </c>
    </row>
    <row r="1955" spans="1:28" x14ac:dyDescent="0.3">
      <c r="A1955" s="1">
        <v>45825</v>
      </c>
      <c r="B1955" s="2" t="s">
        <v>2621</v>
      </c>
      <c r="C1955" s="2" t="s">
        <v>2543</v>
      </c>
      <c r="D1955" s="2" t="s">
        <v>2528</v>
      </c>
      <c r="E1955" s="2" t="s">
        <v>2529</v>
      </c>
      <c r="F1955" s="3">
        <v>170398</v>
      </c>
      <c r="G1955" s="3">
        <v>2581</v>
      </c>
      <c r="H1955" s="3">
        <v>307</v>
      </c>
      <c r="I1955" s="4">
        <v>2030.92</v>
      </c>
      <c r="J1955" s="4">
        <v>30139.93</v>
      </c>
      <c r="K1955" s="3">
        <v>158</v>
      </c>
      <c r="L1955" s="2" t="s">
        <v>2536</v>
      </c>
      <c r="M1955" s="2" t="s">
        <v>2519</v>
      </c>
      <c r="N1955" s="8">
        <f>IFERROR(G1955/F1955,0)</f>
        <v>1.5146891395438913E-2</v>
      </c>
      <c r="O1955" s="8">
        <f>IFERROR(H1955/G1955,0)</f>
        <v>0.11894614490507555</v>
      </c>
      <c r="P1955" s="4">
        <f>IFERROR(I1955/G1955,0)</f>
        <v>0.7868733049205735</v>
      </c>
      <c r="Q1955" s="4">
        <f>IFERROR(I1955/H1955,0)</f>
        <v>6.6153745928338763</v>
      </c>
      <c r="R1955" s="12">
        <f>IFERROR(J1955/I1955,0)</f>
        <v>14.840530400015757</v>
      </c>
      <c r="S1955" s="7">
        <f>Tabla_nuevas_columnas[[#This Row],[ROAS]]</f>
        <v>14.840530400015757</v>
      </c>
      <c r="T1955" t="str">
        <f>_xlfn.CONCAT(C1955,"-",D1955)</f>
        <v>Organic Social-España</v>
      </c>
      <c r="U1955">
        <f>YEAR(A1955)</f>
        <v>2025</v>
      </c>
      <c r="V1955">
        <f>MONTH(A1955)</f>
        <v>6</v>
      </c>
      <c r="W1955" t="str">
        <f>PROPER(TEXT(A1955,"mmmm"))</f>
        <v>Junio</v>
      </c>
      <c r="X1955" t="str">
        <f>PROPER(TEXT(A1955,"dddd"))</f>
        <v>Martes</v>
      </c>
      <c r="Y1955" t="str" cm="1">
        <f t="array" ref="Y1955">_xlfn.IFS(R1955&gt;10,"Excelente",R1955&gt;=5,"Bueno",R1955&gt;=2,"Débil",R1955&lt;2,"Deficiente")</f>
        <v>Excelente</v>
      </c>
      <c r="Z1955" t="str">
        <f>IF(AND(R1955&lt;2,Q1955&gt;=100),"Revisar","OK")</f>
        <v>OK</v>
      </c>
      <c r="AA1955" s="55">
        <f>_xlfn.XLOOKUP(C1955,'Preguntas de negocio'!$C$114:$C$119,'Preguntas de negocio'!$D$114:$D$119,0)</f>
        <v>4</v>
      </c>
      <c r="AB1955" s="55">
        <f>VLOOKUP(C1955,'Preguntas de negocio'!$C$121:$D$127,2,FALSE)</f>
        <v>0.95</v>
      </c>
    </row>
    <row r="1956" spans="1:28" x14ac:dyDescent="0.3">
      <c r="A1956" s="1">
        <v>45663</v>
      </c>
      <c r="B1956" s="2" t="s">
        <v>2630</v>
      </c>
      <c r="C1956" s="2" t="s">
        <v>2515</v>
      </c>
      <c r="D1956" s="2" t="s">
        <v>2525</v>
      </c>
      <c r="E1956" s="2" t="s">
        <v>2517</v>
      </c>
      <c r="F1956" s="3">
        <v>131503</v>
      </c>
      <c r="G1956" s="3">
        <v>11374</v>
      </c>
      <c r="H1956" s="3">
        <v>551</v>
      </c>
      <c r="I1956" s="4">
        <v>11594.07</v>
      </c>
      <c r="J1956" s="4">
        <v>13045.91</v>
      </c>
      <c r="K1956" s="3">
        <v>470</v>
      </c>
      <c r="L1956" s="2" t="s">
        <v>2536</v>
      </c>
      <c r="M1956" s="2" t="s">
        <v>2546</v>
      </c>
      <c r="N1956" s="8">
        <f>IFERROR(G1956/F1956,0)</f>
        <v>8.6492323369048621E-2</v>
      </c>
      <c r="O1956" s="8">
        <f>IFERROR(H1956/G1956,0)</f>
        <v>4.8443819236855985E-2</v>
      </c>
      <c r="P1956" s="4">
        <f>IFERROR(I1956/G1956,0)</f>
        <v>1.0193485141550904</v>
      </c>
      <c r="Q1956" s="4">
        <f>IFERROR(I1956/H1956,0)</f>
        <v>21.041869328493647</v>
      </c>
      <c r="R1956" s="12">
        <f>IFERROR(J1956/I1956,0)</f>
        <v>1.1252226353644579</v>
      </c>
      <c r="S1956" s="7">
        <f>Tabla_nuevas_columnas[[#This Row],[ROAS]]</f>
        <v>1.1252226353644579</v>
      </c>
      <c r="T1956" t="str">
        <f>_xlfn.CONCAT(C1956,"-",D1956)</f>
        <v>Email-Francia</v>
      </c>
      <c r="U1956">
        <f>YEAR(A1956)</f>
        <v>2025</v>
      </c>
      <c r="V1956">
        <f>MONTH(A1956)</f>
        <v>1</v>
      </c>
      <c r="W1956" t="str">
        <f>PROPER(TEXT(A1956,"mmmm"))</f>
        <v>Enero</v>
      </c>
      <c r="X1956" t="str">
        <f>PROPER(TEXT(A1956,"dddd"))</f>
        <v>Lunes</v>
      </c>
      <c r="Y1956" t="str" cm="1">
        <f t="array" ref="Y1956">_xlfn.IFS(R1956&gt;10,"Excelente",R1956&gt;=5,"Bueno",R1956&gt;=2,"Débil",R1956&lt;2,"Deficiente")</f>
        <v>Deficiente</v>
      </c>
      <c r="Z1956" t="str">
        <f>IF(AND(R1956&lt;2,Q1956&gt;=100),"Revisar","OK")</f>
        <v>OK</v>
      </c>
      <c r="AA1956" s="55">
        <f>_xlfn.XLOOKUP(C1956,'Preguntas de negocio'!$C$114:$C$119,'Preguntas de negocio'!$D$114:$D$119,0)</f>
        <v>5.5</v>
      </c>
      <c r="AB1956" s="55">
        <f>VLOOKUP(C1956,'Preguntas de negocio'!$C$121:$D$127,2,FALSE)</f>
        <v>0.65</v>
      </c>
    </row>
    <row r="1957" spans="1:28" x14ac:dyDescent="0.3">
      <c r="A1957" s="1">
        <v>45855</v>
      </c>
      <c r="B1957" s="2" t="s">
        <v>2627</v>
      </c>
      <c r="C1957" s="2" t="s">
        <v>2543</v>
      </c>
      <c r="D1957" s="2" t="s">
        <v>2516</v>
      </c>
      <c r="E1957" s="2" t="s">
        <v>2534</v>
      </c>
      <c r="F1957" s="3">
        <v>4357</v>
      </c>
      <c r="G1957" s="3">
        <v>76</v>
      </c>
      <c r="H1957" s="3">
        <v>0</v>
      </c>
      <c r="I1957" s="4">
        <v>147.38</v>
      </c>
      <c r="J1957" s="4">
        <v>0</v>
      </c>
      <c r="K1957" s="3">
        <v>0</v>
      </c>
      <c r="L1957" s="2" t="s">
        <v>2536</v>
      </c>
      <c r="M1957" s="2" t="s">
        <v>2519</v>
      </c>
      <c r="N1957" s="8">
        <f>IFERROR(G1957/F1957,0)</f>
        <v>1.7443194858847832E-2</v>
      </c>
      <c r="O1957" s="8">
        <f>IFERROR(H1957/G1957,0)</f>
        <v>0</v>
      </c>
      <c r="P1957" s="4">
        <f>IFERROR(I1957/G1957,0)</f>
        <v>1.9392105263157895</v>
      </c>
      <c r="Q1957" s="4">
        <f>IFERROR(I1957/H1957,0)</f>
        <v>0</v>
      </c>
      <c r="R1957" s="12">
        <f>IFERROR(J1957/I1957,0)</f>
        <v>0</v>
      </c>
      <c r="S1957" s="7">
        <f>Tabla_nuevas_columnas[[#This Row],[ROAS]]</f>
        <v>0</v>
      </c>
      <c r="T1957" t="str">
        <f>_xlfn.CONCAT(C1957,"-",D1957)</f>
        <v>Organic Social-México</v>
      </c>
      <c r="U1957">
        <f>YEAR(A1957)</f>
        <v>2025</v>
      </c>
      <c r="V1957">
        <f>MONTH(A1957)</f>
        <v>7</v>
      </c>
      <c r="W1957" t="str">
        <f>PROPER(TEXT(A1957,"mmmm"))</f>
        <v>Julio</v>
      </c>
      <c r="X1957" t="str">
        <f>PROPER(TEXT(A1957,"dddd"))</f>
        <v>Jueves</v>
      </c>
      <c r="Y1957" t="str" cm="1">
        <f t="array" ref="Y1957">_xlfn.IFS(R1957&gt;10,"Excelente",R1957&gt;=5,"Bueno",R1957&gt;=2,"Débil",R1957&lt;2,"Deficiente")</f>
        <v>Deficiente</v>
      </c>
      <c r="Z1957" t="str">
        <f>IF(AND(R1957&lt;2,Q1957&gt;=100),"Revisar","OK")</f>
        <v>OK</v>
      </c>
      <c r="AA1957" s="55">
        <f>_xlfn.XLOOKUP(C1957,'Preguntas de negocio'!$C$114:$C$119,'Preguntas de negocio'!$D$114:$D$119,0)</f>
        <v>4</v>
      </c>
      <c r="AB1957" s="55">
        <f>VLOOKUP(C1957,'Preguntas de negocio'!$C$121:$D$127,2,FALSE)</f>
        <v>0.95</v>
      </c>
    </row>
    <row r="1958" spans="1:28" x14ac:dyDescent="0.3">
      <c r="A1958" s="1">
        <v>45725</v>
      </c>
      <c r="B1958" s="2" t="s">
        <v>2632</v>
      </c>
      <c r="C1958" s="2" t="s">
        <v>2533</v>
      </c>
      <c r="D1958" s="2" t="s">
        <v>2528</v>
      </c>
      <c r="E1958" s="2" t="s">
        <v>2529</v>
      </c>
      <c r="F1958" s="3">
        <v>153835</v>
      </c>
      <c r="G1958" s="3">
        <v>9039</v>
      </c>
      <c r="H1958" s="3">
        <v>226</v>
      </c>
      <c r="I1958" s="4">
        <v>6415.53</v>
      </c>
      <c r="J1958" s="4">
        <v>33304.660000000003</v>
      </c>
      <c r="K1958" s="3">
        <v>111</v>
      </c>
      <c r="L1958" s="2" t="s">
        <v>2518</v>
      </c>
      <c r="M1958" s="2" t="s">
        <v>2519</v>
      </c>
      <c r="N1958" s="8">
        <f>IFERROR(G1958/F1958,0)</f>
        <v>5.8757759937595473E-2</v>
      </c>
      <c r="O1958" s="8">
        <f>IFERROR(H1958/G1958,0)</f>
        <v>2.5002765792676181E-2</v>
      </c>
      <c r="P1958" s="4">
        <f>IFERROR(I1958/G1958,0)</f>
        <v>0.70976103551277792</v>
      </c>
      <c r="Q1958" s="4">
        <f>IFERROR(I1958/H1958,0)</f>
        <v>28.387300884955749</v>
      </c>
      <c r="R1958" s="12">
        <f>IFERROR(J1958/I1958,0)</f>
        <v>5.1912562173351233</v>
      </c>
      <c r="S1958" s="7">
        <f>Tabla_nuevas_columnas[[#This Row],[ROAS]]</f>
        <v>5.1912562173351233</v>
      </c>
      <c r="T1958" t="str">
        <f>_xlfn.CONCAT(C1958,"-",D1958)</f>
        <v>Paid Social-España</v>
      </c>
      <c r="U1958">
        <f>YEAR(A1958)</f>
        <v>2025</v>
      </c>
      <c r="V1958">
        <f>MONTH(A1958)</f>
        <v>3</v>
      </c>
      <c r="W1958" t="str">
        <f>PROPER(TEXT(A1958,"mmmm"))</f>
        <v>Marzo</v>
      </c>
      <c r="X1958" t="str">
        <f>PROPER(TEXT(A1958,"dddd"))</f>
        <v>Domingo</v>
      </c>
      <c r="Y1958" t="str" cm="1">
        <f t="array" ref="Y1958">_xlfn.IFS(R1958&gt;10,"Excelente",R1958&gt;=5,"Bueno",R1958&gt;=2,"Débil",R1958&lt;2,"Deficiente")</f>
        <v>Bueno</v>
      </c>
      <c r="Z1958" t="str">
        <f>IF(AND(R1958&lt;2,Q1958&gt;=100),"Revisar","OK")</f>
        <v>OK</v>
      </c>
      <c r="AA1958" s="55">
        <f>_xlfn.XLOOKUP(C1958,'Preguntas de negocio'!$C$114:$C$119,'Preguntas de negocio'!$D$114:$D$119,0)</f>
        <v>6</v>
      </c>
      <c r="AB1958" s="55">
        <f>VLOOKUP(C1958,'Preguntas de negocio'!$C$121:$D$127,2,FALSE)</f>
        <v>0.8</v>
      </c>
    </row>
    <row r="1959" spans="1:28" x14ac:dyDescent="0.3">
      <c r="A1959" s="1">
        <v>45782</v>
      </c>
      <c r="B1959" s="2" t="s">
        <v>2638</v>
      </c>
      <c r="C1959" s="2" t="s">
        <v>2543</v>
      </c>
      <c r="D1959" s="2" t="s">
        <v>2516</v>
      </c>
      <c r="E1959" s="2" t="s">
        <v>2529</v>
      </c>
      <c r="F1959" s="3">
        <v>154239</v>
      </c>
      <c r="G1959" s="3">
        <v>5121</v>
      </c>
      <c r="H1959" s="3">
        <v>548</v>
      </c>
      <c r="I1959" s="4">
        <v>6092.93</v>
      </c>
      <c r="J1959" s="4">
        <v>58811.07</v>
      </c>
      <c r="K1959" s="3">
        <v>341</v>
      </c>
      <c r="L1959" s="2" t="s">
        <v>2523</v>
      </c>
      <c r="M1959" s="2" t="s">
        <v>2526</v>
      </c>
      <c r="N1959" s="8">
        <f>IFERROR(G1959/F1959,0)</f>
        <v>3.3201719409487872E-2</v>
      </c>
      <c r="O1959" s="8">
        <f>IFERROR(H1959/G1959,0)</f>
        <v>0.10701034954110525</v>
      </c>
      <c r="P1959" s="4">
        <f>IFERROR(I1959/G1959,0)</f>
        <v>1.189793009177895</v>
      </c>
      <c r="Q1959" s="4">
        <f>IFERROR(I1959/H1959,0)</f>
        <v>11.118485401459855</v>
      </c>
      <c r="R1959" s="12">
        <f>IFERROR(J1959/I1959,0)</f>
        <v>9.6523462439253365</v>
      </c>
      <c r="S1959" s="7">
        <f>Tabla_nuevas_columnas[[#This Row],[ROAS]]</f>
        <v>9.6523462439253365</v>
      </c>
      <c r="T1959" t="str">
        <f>_xlfn.CONCAT(C1959,"-",D1959)</f>
        <v>Organic Social-México</v>
      </c>
      <c r="U1959">
        <f>YEAR(A1959)</f>
        <v>2025</v>
      </c>
      <c r="V1959">
        <f>MONTH(A1959)</f>
        <v>5</v>
      </c>
      <c r="W1959" t="str">
        <f>PROPER(TEXT(A1959,"mmmm"))</f>
        <v>Mayo</v>
      </c>
      <c r="X1959" t="str">
        <f>PROPER(TEXT(A1959,"dddd"))</f>
        <v>Lunes</v>
      </c>
      <c r="Y1959" t="str" cm="1">
        <f t="array" ref="Y1959">_xlfn.IFS(R1959&gt;10,"Excelente",R1959&gt;=5,"Bueno",R1959&gt;=2,"Débil",R1959&lt;2,"Deficiente")</f>
        <v>Bueno</v>
      </c>
      <c r="Z1959" t="str">
        <f>IF(AND(R1959&lt;2,Q1959&gt;=100),"Revisar","OK")</f>
        <v>OK</v>
      </c>
      <c r="AA1959" s="55">
        <f>_xlfn.XLOOKUP(C1959,'Preguntas de negocio'!$C$114:$C$119,'Preguntas de negocio'!$D$114:$D$119,0)</f>
        <v>4</v>
      </c>
      <c r="AB1959" s="55">
        <f>VLOOKUP(C1959,'Preguntas de negocio'!$C$121:$D$127,2,FALSE)</f>
        <v>0.95</v>
      </c>
    </row>
    <row r="1960" spans="1:28" x14ac:dyDescent="0.3">
      <c r="A1960" s="1">
        <v>45725</v>
      </c>
      <c r="B1960" s="2" t="s">
        <v>2621</v>
      </c>
      <c r="C1960" s="2" t="s">
        <v>2521</v>
      </c>
      <c r="D1960" s="2" t="s">
        <v>2528</v>
      </c>
      <c r="E1960" s="2" t="s">
        <v>2529</v>
      </c>
      <c r="F1960" s="3">
        <v>3652</v>
      </c>
      <c r="G1960" s="3">
        <v>20</v>
      </c>
      <c r="H1960" s="3">
        <v>2</v>
      </c>
      <c r="I1960" s="4">
        <v>13</v>
      </c>
      <c r="J1960" s="4">
        <v>278.67</v>
      </c>
      <c r="K1960" s="3">
        <v>1</v>
      </c>
      <c r="L1960" s="2" t="s">
        <v>2536</v>
      </c>
      <c r="M1960" s="2" t="s">
        <v>2526</v>
      </c>
      <c r="N1960" s="8">
        <f>IFERROR(G1960/F1960,0)</f>
        <v>5.4764512595837896E-3</v>
      </c>
      <c r="O1960" s="8">
        <f>IFERROR(H1960/G1960,0)</f>
        <v>0.1</v>
      </c>
      <c r="P1960" s="4">
        <f>IFERROR(I1960/G1960,0)</f>
        <v>0.65</v>
      </c>
      <c r="Q1960" s="4">
        <f>IFERROR(I1960/H1960,0)</f>
        <v>6.5</v>
      </c>
      <c r="R1960" s="12">
        <f>IFERROR(J1960/I1960,0)</f>
        <v>21.436153846153847</v>
      </c>
      <c r="S1960" s="7">
        <f>Tabla_nuevas_columnas[[#This Row],[ROAS]]</f>
        <v>21.436153846153847</v>
      </c>
      <c r="T1960" t="str">
        <f>_xlfn.CONCAT(C1960,"-",D1960)</f>
        <v>Paid Search-España</v>
      </c>
      <c r="U1960">
        <f>YEAR(A1960)</f>
        <v>2025</v>
      </c>
      <c r="V1960">
        <f>MONTH(A1960)</f>
        <v>3</v>
      </c>
      <c r="W1960" t="str">
        <f>PROPER(TEXT(A1960,"mmmm"))</f>
        <v>Marzo</v>
      </c>
      <c r="X1960" t="str">
        <f>PROPER(TEXT(A1960,"dddd"))</f>
        <v>Domingo</v>
      </c>
      <c r="Y1960" t="str" cm="1">
        <f t="array" ref="Y1960">_xlfn.IFS(R1960&gt;10,"Excelente",R1960&gt;=5,"Bueno",R1960&gt;=2,"Débil",R1960&lt;2,"Deficiente")</f>
        <v>Excelente</v>
      </c>
      <c r="Z1960" t="str">
        <f>IF(AND(R1960&lt;2,Q1960&gt;=100),"Revisar","OK")</f>
        <v>OK</v>
      </c>
      <c r="AA1960" s="55">
        <f>_xlfn.XLOOKUP(C1960,'Preguntas de negocio'!$C$114:$C$119,'Preguntas de negocio'!$D$114:$D$119,0)</f>
        <v>5</v>
      </c>
      <c r="AB1960" s="55">
        <f>VLOOKUP(C1960,'Preguntas de negocio'!$C$121:$D$127,2,FALSE)</f>
        <v>1.1000000000000001</v>
      </c>
    </row>
    <row r="1961" spans="1:28" x14ac:dyDescent="0.3">
      <c r="A1961" s="1">
        <v>45961</v>
      </c>
      <c r="B1961" s="2" t="s">
        <v>2616</v>
      </c>
      <c r="C1961" s="2" t="s">
        <v>2533</v>
      </c>
      <c r="D1961" s="2" t="s">
        <v>2528</v>
      </c>
      <c r="E1961" s="2" t="s">
        <v>2517</v>
      </c>
      <c r="F1961" s="3">
        <v>168291</v>
      </c>
      <c r="G1961" s="3">
        <v>2775</v>
      </c>
      <c r="H1961" s="3">
        <v>192</v>
      </c>
      <c r="I1961" s="4">
        <v>1395.21</v>
      </c>
      <c r="J1961" s="4">
        <v>33405.129999999997</v>
      </c>
      <c r="K1961" s="3">
        <v>135</v>
      </c>
      <c r="L1961" s="2" t="s">
        <v>2536</v>
      </c>
      <c r="M1961" s="2" t="s">
        <v>2519</v>
      </c>
      <c r="N1961" s="8">
        <f>IFERROR(G1961/F1961,0)</f>
        <v>1.6489295327735885E-2</v>
      </c>
      <c r="O1961" s="8">
        <f>IFERROR(H1961/G1961,0)</f>
        <v>6.918918918918919E-2</v>
      </c>
      <c r="P1961" s="4">
        <f>IFERROR(I1961/G1961,0)</f>
        <v>0.50277837837837835</v>
      </c>
      <c r="Q1961" s="4">
        <f>IFERROR(I1961/H1961,0)</f>
        <v>7.2667187499999999</v>
      </c>
      <c r="R1961" s="12">
        <f>IFERROR(J1961/I1961,0)</f>
        <v>23.942725467850714</v>
      </c>
      <c r="S1961" s="7">
        <f>Tabla_nuevas_columnas[[#This Row],[ROAS]]</f>
        <v>23.942725467850714</v>
      </c>
      <c r="T1961" t="str">
        <f>_xlfn.CONCAT(C1961,"-",D1961)</f>
        <v>Paid Social-España</v>
      </c>
      <c r="U1961">
        <f>YEAR(A1961)</f>
        <v>2025</v>
      </c>
      <c r="V1961">
        <f>MONTH(A1961)</f>
        <v>10</v>
      </c>
      <c r="W1961" t="str">
        <f>PROPER(TEXT(A1961,"mmmm"))</f>
        <v>Octubre</v>
      </c>
      <c r="X1961" t="str">
        <f>PROPER(TEXT(A1961,"dddd"))</f>
        <v>Viernes</v>
      </c>
      <c r="Y1961" t="str" cm="1">
        <f t="array" ref="Y1961">_xlfn.IFS(R1961&gt;10,"Excelente",R1961&gt;=5,"Bueno",R1961&gt;=2,"Débil",R1961&lt;2,"Deficiente")</f>
        <v>Excelente</v>
      </c>
      <c r="Z1961" t="str">
        <f>IF(AND(R1961&lt;2,Q1961&gt;=100),"Revisar","OK")</f>
        <v>OK</v>
      </c>
      <c r="AA1961" s="55">
        <f>_xlfn.XLOOKUP(C1961,'Preguntas de negocio'!$C$114:$C$119,'Preguntas de negocio'!$D$114:$D$119,0)</f>
        <v>6</v>
      </c>
      <c r="AB1961" s="55">
        <f>VLOOKUP(C1961,'Preguntas de negocio'!$C$121:$D$127,2,FALSE)</f>
        <v>0.8</v>
      </c>
    </row>
    <row r="1962" spans="1:28" x14ac:dyDescent="0.3">
      <c r="A1962" s="1">
        <v>45786</v>
      </c>
      <c r="B1962" s="2" t="s">
        <v>2628</v>
      </c>
      <c r="C1962" s="2" t="s">
        <v>2521</v>
      </c>
      <c r="D1962" s="2" t="s">
        <v>2516</v>
      </c>
      <c r="E1962" s="2" t="s">
        <v>2529</v>
      </c>
      <c r="F1962" s="3">
        <v>120665</v>
      </c>
      <c r="G1962" s="3">
        <v>8398</v>
      </c>
      <c r="H1962" s="3">
        <v>1084</v>
      </c>
      <c r="I1962" s="4">
        <v>8577.49</v>
      </c>
      <c r="J1962" s="4">
        <v>42890.92</v>
      </c>
      <c r="K1962" s="3">
        <v>563</v>
      </c>
      <c r="L1962" s="2" t="s">
        <v>2539</v>
      </c>
      <c r="M1962" s="2" t="s">
        <v>2546</v>
      </c>
      <c r="N1962" s="8">
        <f>IFERROR(G1962/F1962,0)</f>
        <v>6.959764637633116E-2</v>
      </c>
      <c r="O1962" s="8">
        <f>IFERROR(H1962/G1962,0)</f>
        <v>0.12907835198856871</v>
      </c>
      <c r="P1962" s="4">
        <f>IFERROR(I1962/G1962,0)</f>
        <v>1.0213729459395093</v>
      </c>
      <c r="Q1962" s="4">
        <f>IFERROR(I1962/H1962,0)</f>
        <v>7.9128136531365314</v>
      </c>
      <c r="R1962" s="12">
        <f>IFERROR(J1962/I1962,0)</f>
        <v>5.0004045472510024</v>
      </c>
      <c r="S1962" s="7">
        <f>Tabla_nuevas_columnas[[#This Row],[ROAS]]</f>
        <v>5.0004045472510024</v>
      </c>
      <c r="T1962" t="str">
        <f>_xlfn.CONCAT(C1962,"-",D1962)</f>
        <v>Paid Search-México</v>
      </c>
      <c r="U1962">
        <f>YEAR(A1962)</f>
        <v>2025</v>
      </c>
      <c r="V1962">
        <f>MONTH(A1962)</f>
        <v>5</v>
      </c>
      <c r="W1962" t="str">
        <f>PROPER(TEXT(A1962,"mmmm"))</f>
        <v>Mayo</v>
      </c>
      <c r="X1962" t="str">
        <f>PROPER(TEXT(A1962,"dddd"))</f>
        <v>Viernes</v>
      </c>
      <c r="Y1962" t="str" cm="1">
        <f t="array" ref="Y1962">_xlfn.IFS(R1962&gt;10,"Excelente",R1962&gt;=5,"Bueno",R1962&gt;=2,"Débil",R1962&lt;2,"Deficiente")</f>
        <v>Bueno</v>
      </c>
      <c r="Z1962" t="str">
        <f>IF(AND(R1962&lt;2,Q1962&gt;=100),"Revisar","OK")</f>
        <v>OK</v>
      </c>
      <c r="AA1962" s="55">
        <f>_xlfn.XLOOKUP(C1962,'Preguntas de negocio'!$C$114:$C$119,'Preguntas de negocio'!$D$114:$D$119,0)</f>
        <v>5</v>
      </c>
      <c r="AB1962" s="55">
        <f>VLOOKUP(C1962,'Preguntas de negocio'!$C$121:$D$127,2,FALSE)</f>
        <v>1.1000000000000001</v>
      </c>
    </row>
    <row r="1963" spans="1:28" x14ac:dyDescent="0.3">
      <c r="A1963" s="1">
        <v>45873</v>
      </c>
      <c r="B1963" s="2" t="s">
        <v>2629</v>
      </c>
      <c r="C1963" s="2" t="s">
        <v>2527</v>
      </c>
      <c r="D1963" s="2" t="s">
        <v>2528</v>
      </c>
      <c r="E1963" s="2" t="s">
        <v>2517</v>
      </c>
      <c r="F1963" s="3">
        <v>75171</v>
      </c>
      <c r="G1963" s="3">
        <v>5135</v>
      </c>
      <c r="H1963" s="3">
        <v>551</v>
      </c>
      <c r="I1963" s="4">
        <v>9981.5400000000009</v>
      </c>
      <c r="J1963" s="4">
        <v>47412.03</v>
      </c>
      <c r="K1963" s="3">
        <v>320</v>
      </c>
      <c r="L1963" s="2" t="s">
        <v>2536</v>
      </c>
      <c r="M1963" s="2" t="s">
        <v>2537</v>
      </c>
      <c r="N1963" s="8">
        <f>IFERROR(G1963/F1963,0)</f>
        <v>6.8310917774141625E-2</v>
      </c>
      <c r="O1963" s="8">
        <f>IFERROR(H1963/G1963,0)</f>
        <v>0.10730282375851996</v>
      </c>
      <c r="P1963" s="4">
        <f>IFERROR(I1963/G1963,0)</f>
        <v>1.9438247322297957</v>
      </c>
      <c r="Q1963" s="4">
        <f>IFERROR(I1963/H1963,0)</f>
        <v>18.115317604355717</v>
      </c>
      <c r="R1963" s="12">
        <f>IFERROR(J1963/I1963,0)</f>
        <v>4.7499714472917001</v>
      </c>
      <c r="S1963" s="7">
        <f>Tabla_nuevas_columnas[[#This Row],[ROAS]]</f>
        <v>4.7499714472917001</v>
      </c>
      <c r="T1963" t="str">
        <f>_xlfn.CONCAT(C1963,"-",D1963)</f>
        <v>Affiliate-España</v>
      </c>
      <c r="U1963">
        <f>YEAR(A1963)</f>
        <v>2025</v>
      </c>
      <c r="V1963">
        <f>MONTH(A1963)</f>
        <v>8</v>
      </c>
      <c r="W1963" t="str">
        <f>PROPER(TEXT(A1963,"mmmm"))</f>
        <v>Agosto</v>
      </c>
      <c r="X1963" t="str">
        <f>PROPER(TEXT(A1963,"dddd"))</f>
        <v>Lunes</v>
      </c>
      <c r="Y1963" t="str" cm="1">
        <f t="array" ref="Y1963">_xlfn.IFS(R1963&gt;10,"Excelente",R1963&gt;=5,"Bueno",R1963&gt;=2,"Débil",R1963&lt;2,"Deficiente")</f>
        <v>Débil</v>
      </c>
      <c r="Z1963" t="str">
        <f>IF(AND(R1963&lt;2,Q1963&gt;=100),"Revisar","OK")</f>
        <v>OK</v>
      </c>
      <c r="AA1963" s="55">
        <f>_xlfn.XLOOKUP(C1963,'Preguntas de negocio'!$C$114:$C$119,'Preguntas de negocio'!$D$114:$D$119,0)</f>
        <v>4.5</v>
      </c>
      <c r="AB1963" s="55">
        <f>VLOOKUP(C1963,'Preguntas de negocio'!$C$121:$D$127,2,FALSE)</f>
        <v>0.35</v>
      </c>
    </row>
    <row r="1964" spans="1:28" x14ac:dyDescent="0.3">
      <c r="A1964" s="1">
        <v>45998</v>
      </c>
      <c r="B1964" s="2" t="s">
        <v>2640</v>
      </c>
      <c r="C1964" s="2" t="s">
        <v>2521</v>
      </c>
      <c r="D1964" s="2" t="s">
        <v>2528</v>
      </c>
      <c r="E1964" s="2" t="s">
        <v>2529</v>
      </c>
      <c r="F1964" s="3">
        <v>110768</v>
      </c>
      <c r="G1964" s="3">
        <v>6295</v>
      </c>
      <c r="H1964" s="3">
        <v>598</v>
      </c>
      <c r="I1964" s="4">
        <v>10180.870000000001</v>
      </c>
      <c r="J1964" s="4">
        <v>82640.13</v>
      </c>
      <c r="K1964" s="3">
        <v>294</v>
      </c>
      <c r="L1964" s="2" t="s">
        <v>2539</v>
      </c>
      <c r="M1964" s="2" t="s">
        <v>2546</v>
      </c>
      <c r="N1964" s="8">
        <f>IFERROR(G1964/F1964,0)</f>
        <v>5.6830492561028456E-2</v>
      </c>
      <c r="O1964" s="8">
        <f>IFERROR(H1964/G1964,0)</f>
        <v>9.4996028594122317E-2</v>
      </c>
      <c r="P1964" s="4">
        <f>IFERROR(I1964/G1964,0)</f>
        <v>1.6172946783161239</v>
      </c>
      <c r="Q1964" s="4">
        <f>IFERROR(I1964/H1964,0)</f>
        <v>17.024866220735788</v>
      </c>
      <c r="R1964" s="12">
        <f>IFERROR(J1964/I1964,0)</f>
        <v>8.1171972532799259</v>
      </c>
      <c r="S1964" s="7">
        <f>Tabla_nuevas_columnas[[#This Row],[ROAS]]</f>
        <v>8.1171972532799259</v>
      </c>
      <c r="T1964" t="str">
        <f>_xlfn.CONCAT(C1964,"-",D1964)</f>
        <v>Paid Search-España</v>
      </c>
      <c r="U1964">
        <f>YEAR(A1964)</f>
        <v>2025</v>
      </c>
      <c r="V1964">
        <f>MONTH(A1964)</f>
        <v>12</v>
      </c>
      <c r="W1964" t="str">
        <f>PROPER(TEXT(A1964,"mmmm"))</f>
        <v>Diciembre</v>
      </c>
      <c r="X1964" t="str">
        <f>PROPER(TEXT(A1964,"dddd"))</f>
        <v>Domingo</v>
      </c>
      <c r="Y1964" t="str" cm="1">
        <f t="array" ref="Y1964">_xlfn.IFS(R1964&gt;10,"Excelente",R1964&gt;=5,"Bueno",R1964&gt;=2,"Débil",R1964&lt;2,"Deficiente")</f>
        <v>Bueno</v>
      </c>
      <c r="Z1964" t="str">
        <f>IF(AND(R1964&lt;2,Q1964&gt;=100),"Revisar","OK")</f>
        <v>OK</v>
      </c>
      <c r="AA1964" s="55">
        <f>_xlfn.XLOOKUP(C1964,'Preguntas de negocio'!$C$114:$C$119,'Preguntas de negocio'!$D$114:$D$119,0)</f>
        <v>5</v>
      </c>
      <c r="AB1964" s="55">
        <f>VLOOKUP(C1964,'Preguntas de negocio'!$C$121:$D$127,2,FALSE)</f>
        <v>1.1000000000000001</v>
      </c>
    </row>
    <row r="1965" spans="1:28" x14ac:dyDescent="0.3">
      <c r="A1965" s="1">
        <v>45672</v>
      </c>
      <c r="B1965" s="2" t="s">
        <v>2617</v>
      </c>
      <c r="C1965" s="2" t="s">
        <v>2515</v>
      </c>
      <c r="D1965" s="2" t="s">
        <v>2528</v>
      </c>
      <c r="E1965" s="2" t="s">
        <v>2517</v>
      </c>
      <c r="F1965" s="3">
        <v>94015</v>
      </c>
      <c r="G1965" s="3">
        <v>7166</v>
      </c>
      <c r="H1965" s="3">
        <v>549</v>
      </c>
      <c r="I1965" s="4">
        <v>10032.92</v>
      </c>
      <c r="J1965" s="4">
        <v>34863.93</v>
      </c>
      <c r="K1965" s="3">
        <v>326</v>
      </c>
      <c r="L1965" s="2" t="s">
        <v>2539</v>
      </c>
      <c r="M1965" s="2" t="s">
        <v>2524</v>
      </c>
      <c r="N1965" s="8">
        <f>IFERROR(G1965/F1965,0)</f>
        <v>7.6221879487315861E-2</v>
      </c>
      <c r="O1965" s="8">
        <f>IFERROR(H1965/G1965,0)</f>
        <v>7.6611777839799056E-2</v>
      </c>
      <c r="P1965" s="4">
        <f>IFERROR(I1965/G1965,0)</f>
        <v>1.4000725648897572</v>
      </c>
      <c r="Q1965" s="4">
        <f>IFERROR(I1965/H1965,0)</f>
        <v>18.274899817850638</v>
      </c>
      <c r="R1965" s="12">
        <f>IFERROR(J1965/I1965,0)</f>
        <v>3.4749534532319606</v>
      </c>
      <c r="S1965" s="7">
        <f>Tabla_nuevas_columnas[[#This Row],[ROAS]]</f>
        <v>3.4749534532319606</v>
      </c>
      <c r="T1965" t="str">
        <f>_xlfn.CONCAT(C1965,"-",D1965)</f>
        <v>Email-España</v>
      </c>
      <c r="U1965">
        <f>YEAR(A1965)</f>
        <v>2025</v>
      </c>
      <c r="V1965">
        <f>MONTH(A1965)</f>
        <v>1</v>
      </c>
      <c r="W1965" t="str">
        <f>PROPER(TEXT(A1965,"mmmm"))</f>
        <v>Enero</v>
      </c>
      <c r="X1965" t="str">
        <f>PROPER(TEXT(A1965,"dddd"))</f>
        <v>Miércoles</v>
      </c>
      <c r="Y1965" t="str" cm="1">
        <f t="array" ref="Y1965">_xlfn.IFS(R1965&gt;10,"Excelente",R1965&gt;=5,"Bueno",R1965&gt;=2,"Débil",R1965&lt;2,"Deficiente")</f>
        <v>Débil</v>
      </c>
      <c r="Z1965" t="str">
        <f>IF(AND(R1965&lt;2,Q1965&gt;=100),"Revisar","OK")</f>
        <v>OK</v>
      </c>
      <c r="AA1965" s="55">
        <f>_xlfn.XLOOKUP(C1965,'Preguntas de negocio'!$C$114:$C$119,'Preguntas de negocio'!$D$114:$D$119,0)</f>
        <v>5.5</v>
      </c>
      <c r="AB1965" s="55">
        <f>VLOOKUP(C1965,'Preguntas de negocio'!$C$121:$D$127,2,FALSE)</f>
        <v>0.65</v>
      </c>
    </row>
    <row r="1966" spans="1:28" x14ac:dyDescent="0.3">
      <c r="A1966" s="1">
        <v>45890</v>
      </c>
      <c r="B1966" s="2" t="s">
        <v>2637</v>
      </c>
      <c r="C1966" s="2" t="s">
        <v>2543</v>
      </c>
      <c r="D1966" s="2" t="s">
        <v>2516</v>
      </c>
      <c r="E1966" s="2" t="s">
        <v>2517</v>
      </c>
      <c r="F1966" s="3">
        <v>138818</v>
      </c>
      <c r="G1966" s="3">
        <v>6807</v>
      </c>
      <c r="H1966" s="3">
        <v>535</v>
      </c>
      <c r="I1966" s="4">
        <v>9413.2900000000009</v>
      </c>
      <c r="J1966" s="4">
        <v>84720.36</v>
      </c>
      <c r="K1966" s="3">
        <v>297</v>
      </c>
      <c r="L1966" s="2" t="s">
        <v>2536</v>
      </c>
      <c r="M1966" s="2" t="s">
        <v>2519</v>
      </c>
      <c r="N1966" s="8">
        <f>IFERROR(G1966/F1966,0)</f>
        <v>4.9035427682289037E-2</v>
      </c>
      <c r="O1966" s="8">
        <f>IFERROR(H1966/G1966,0)</f>
        <v>7.8595563390627302E-2</v>
      </c>
      <c r="P1966" s="4">
        <f>IFERROR(I1966/G1966,0)</f>
        <v>1.3828837960922582</v>
      </c>
      <c r="Q1966" s="4">
        <f>IFERROR(I1966/H1966,0)</f>
        <v>17.594934579439254</v>
      </c>
      <c r="R1966" s="12">
        <f>IFERROR(J1966/I1966,0)</f>
        <v>9.0000796745877363</v>
      </c>
      <c r="S1966" s="7">
        <f>Tabla_nuevas_columnas[[#This Row],[ROAS]]</f>
        <v>9.0000796745877363</v>
      </c>
      <c r="T1966" t="str">
        <f>_xlfn.CONCAT(C1966,"-",D1966)</f>
        <v>Organic Social-México</v>
      </c>
      <c r="U1966">
        <f>YEAR(A1966)</f>
        <v>2025</v>
      </c>
      <c r="V1966">
        <f>MONTH(A1966)</f>
        <v>8</v>
      </c>
      <c r="W1966" t="str">
        <f>PROPER(TEXT(A1966,"mmmm"))</f>
        <v>Agosto</v>
      </c>
      <c r="X1966" t="str">
        <f>PROPER(TEXT(A1966,"dddd"))</f>
        <v>Jueves</v>
      </c>
      <c r="Y1966" t="str" cm="1">
        <f t="array" ref="Y1966">_xlfn.IFS(R1966&gt;10,"Excelente",R1966&gt;=5,"Bueno",R1966&gt;=2,"Débil",R1966&lt;2,"Deficiente")</f>
        <v>Bueno</v>
      </c>
      <c r="Z1966" t="str">
        <f>IF(AND(R1966&lt;2,Q1966&gt;=100),"Revisar","OK")</f>
        <v>OK</v>
      </c>
      <c r="AA1966" s="55">
        <f>_xlfn.XLOOKUP(C1966,'Preguntas de negocio'!$C$114:$C$119,'Preguntas de negocio'!$D$114:$D$119,0)</f>
        <v>4</v>
      </c>
      <c r="AB1966" s="55">
        <f>VLOOKUP(C1966,'Preguntas de negocio'!$C$121:$D$127,2,FALSE)</f>
        <v>0.95</v>
      </c>
    </row>
    <row r="1967" spans="1:28" x14ac:dyDescent="0.3">
      <c r="A1967" s="1">
        <v>45897</v>
      </c>
      <c r="B1967" s="2" t="s">
        <v>2636</v>
      </c>
      <c r="C1967" s="2" t="s">
        <v>2541</v>
      </c>
      <c r="D1967" s="2" t="s">
        <v>2528</v>
      </c>
      <c r="E1967" s="2" t="s">
        <v>2517</v>
      </c>
      <c r="F1967" s="3">
        <v>7381</v>
      </c>
      <c r="G1967" s="3">
        <v>54</v>
      </c>
      <c r="H1967" s="3">
        <v>4</v>
      </c>
      <c r="I1967" s="4">
        <v>80.959999999999994</v>
      </c>
      <c r="J1967" s="4">
        <v>426.98</v>
      </c>
      <c r="K1967" s="3">
        <v>1</v>
      </c>
      <c r="L1967" s="2" t="s">
        <v>2523</v>
      </c>
      <c r="M1967" s="2" t="s">
        <v>2537</v>
      </c>
      <c r="N1967" s="8">
        <f>IFERROR(G1967/F1967,0)</f>
        <v>7.3160818317301183E-3</v>
      </c>
      <c r="O1967" s="8">
        <f>IFERROR(H1967/G1967,0)</f>
        <v>7.407407407407407E-2</v>
      </c>
      <c r="P1967" s="4">
        <f>IFERROR(I1967/G1967,0)</f>
        <v>1.4992592592592591</v>
      </c>
      <c r="Q1967" s="4">
        <f>IFERROR(I1967/H1967,0)</f>
        <v>20.239999999999998</v>
      </c>
      <c r="R1967" s="12">
        <f>IFERROR(J1967/I1967,0)</f>
        <v>5.2739624505928857</v>
      </c>
      <c r="S1967" s="7">
        <f>Tabla_nuevas_columnas[[#This Row],[ROAS]]</f>
        <v>5.2739624505928857</v>
      </c>
      <c r="T1967" t="str">
        <f>_xlfn.CONCAT(C1967,"-",D1967)</f>
        <v>Display-España</v>
      </c>
      <c r="U1967">
        <f>YEAR(A1967)</f>
        <v>2025</v>
      </c>
      <c r="V1967">
        <f>MONTH(A1967)</f>
        <v>8</v>
      </c>
      <c r="W1967" t="str">
        <f>PROPER(TEXT(A1967,"mmmm"))</f>
        <v>Agosto</v>
      </c>
      <c r="X1967" t="str">
        <f>PROPER(TEXT(A1967,"dddd"))</f>
        <v>Jueves</v>
      </c>
      <c r="Y1967" t="str" cm="1">
        <f t="array" ref="Y1967">_xlfn.IFS(R1967&gt;10,"Excelente",R1967&gt;=5,"Bueno",R1967&gt;=2,"Débil",R1967&lt;2,"Deficiente")</f>
        <v>Bueno</v>
      </c>
      <c r="Z1967" t="str">
        <f>IF(AND(R1967&lt;2,Q1967&gt;=100),"Revisar","OK")</f>
        <v>OK</v>
      </c>
      <c r="AA1967" s="55">
        <f>_xlfn.XLOOKUP(C1967,'Preguntas de negocio'!$C$114:$C$119,'Preguntas de negocio'!$D$114:$D$119,0)</f>
        <v>5</v>
      </c>
      <c r="AB1967" s="55">
        <f>VLOOKUP(C1967,'Preguntas de negocio'!$C$121:$D$127,2,FALSE)</f>
        <v>0.5</v>
      </c>
    </row>
    <row r="1968" spans="1:28" x14ac:dyDescent="0.3">
      <c r="A1968" s="1">
        <v>45982</v>
      </c>
      <c r="B1968" s="2" t="s">
        <v>2623</v>
      </c>
      <c r="C1968" s="2" t="s">
        <v>2515</v>
      </c>
      <c r="D1968" s="2" t="s">
        <v>2528</v>
      </c>
      <c r="E1968" s="2" t="s">
        <v>2517</v>
      </c>
      <c r="F1968" s="3">
        <v>83914</v>
      </c>
      <c r="G1968" s="3">
        <v>3544</v>
      </c>
      <c r="H1968" s="3">
        <v>404</v>
      </c>
      <c r="I1968" s="4">
        <v>4748.3599999999997</v>
      </c>
      <c r="J1968" s="4">
        <v>85178.22</v>
      </c>
      <c r="K1968" s="3">
        <v>192</v>
      </c>
      <c r="L1968" s="2" t="s">
        <v>2518</v>
      </c>
      <c r="M1968" s="2" t="s">
        <v>2546</v>
      </c>
      <c r="N1968" s="8">
        <f>IFERROR(G1968/F1968,0)</f>
        <v>4.2233715470600855E-2</v>
      </c>
      <c r="O1968" s="8">
        <f>IFERROR(H1968/G1968,0)</f>
        <v>0.11399548532731377</v>
      </c>
      <c r="P1968" s="4">
        <f>IFERROR(I1968/G1968,0)</f>
        <v>1.3398306997742662</v>
      </c>
      <c r="Q1968" s="4">
        <f>IFERROR(I1968/H1968,0)</f>
        <v>11.753366336633663</v>
      </c>
      <c r="R1968" s="12">
        <f>IFERROR(J1968/I1968,0)</f>
        <v>17.938450328113287</v>
      </c>
      <c r="S1968" s="7">
        <f>Tabla_nuevas_columnas[[#This Row],[ROAS]]</f>
        <v>17.938450328113287</v>
      </c>
      <c r="T1968" t="str">
        <f>_xlfn.CONCAT(C1968,"-",D1968)</f>
        <v>Email-España</v>
      </c>
      <c r="U1968">
        <f>YEAR(A1968)</f>
        <v>2025</v>
      </c>
      <c r="V1968">
        <f>MONTH(A1968)</f>
        <v>11</v>
      </c>
      <c r="W1968" t="str">
        <f>PROPER(TEXT(A1968,"mmmm"))</f>
        <v>Noviembre</v>
      </c>
      <c r="X1968" t="str">
        <f>PROPER(TEXT(A1968,"dddd"))</f>
        <v>Viernes</v>
      </c>
      <c r="Y1968" t="str" cm="1">
        <f t="array" ref="Y1968">_xlfn.IFS(R1968&gt;10,"Excelente",R1968&gt;=5,"Bueno",R1968&gt;=2,"Débil",R1968&lt;2,"Deficiente")</f>
        <v>Excelente</v>
      </c>
      <c r="Z1968" t="str">
        <f>IF(AND(R1968&lt;2,Q1968&gt;=100),"Revisar","OK")</f>
        <v>OK</v>
      </c>
      <c r="AA1968" s="55">
        <f>_xlfn.XLOOKUP(C1968,'Preguntas de negocio'!$C$114:$C$119,'Preguntas de negocio'!$D$114:$D$119,0)</f>
        <v>5.5</v>
      </c>
      <c r="AB1968" s="55">
        <f>VLOOKUP(C1968,'Preguntas de negocio'!$C$121:$D$127,2,FALSE)</f>
        <v>0.65</v>
      </c>
    </row>
    <row r="1969" spans="1:28" x14ac:dyDescent="0.3">
      <c r="A1969" s="1">
        <v>45897</v>
      </c>
      <c r="B1969" s="2" t="s">
        <v>2627</v>
      </c>
      <c r="C1969" s="2" t="s">
        <v>2515</v>
      </c>
      <c r="D1969" s="2" t="s">
        <v>2525</v>
      </c>
      <c r="E1969" s="2" t="s">
        <v>2517</v>
      </c>
      <c r="F1969" s="3">
        <v>151380</v>
      </c>
      <c r="G1969" s="3">
        <v>964</v>
      </c>
      <c r="H1969" s="3">
        <v>120</v>
      </c>
      <c r="I1969" s="4">
        <v>1028.8900000000001</v>
      </c>
      <c r="J1969" s="4">
        <v>19639.11</v>
      </c>
      <c r="K1969" s="3">
        <v>67</v>
      </c>
      <c r="L1969" s="2" t="s">
        <v>2539</v>
      </c>
      <c r="M1969" s="2" t="s">
        <v>2524</v>
      </c>
      <c r="N1969" s="8">
        <f>IFERROR(G1969/F1969,0)</f>
        <v>6.3680803276522655E-3</v>
      </c>
      <c r="O1969" s="8">
        <f>IFERROR(H1969/G1969,0)</f>
        <v>0.12448132780082988</v>
      </c>
      <c r="P1969" s="4">
        <f>IFERROR(I1969/G1969,0)</f>
        <v>1.0673132780082988</v>
      </c>
      <c r="Q1969" s="4">
        <f>IFERROR(I1969/H1969,0)</f>
        <v>8.5740833333333342</v>
      </c>
      <c r="R1969" s="12">
        <f>IFERROR(J1969/I1969,0)</f>
        <v>19.087667291935968</v>
      </c>
      <c r="S1969" s="7">
        <f>Tabla_nuevas_columnas[[#This Row],[ROAS]]</f>
        <v>19.087667291935968</v>
      </c>
      <c r="T1969" t="str">
        <f>_xlfn.CONCAT(C1969,"-",D1969)</f>
        <v>Email-Francia</v>
      </c>
      <c r="U1969">
        <f>YEAR(A1969)</f>
        <v>2025</v>
      </c>
      <c r="V1969">
        <f>MONTH(A1969)</f>
        <v>8</v>
      </c>
      <c r="W1969" t="str">
        <f>PROPER(TEXT(A1969,"mmmm"))</f>
        <v>Agosto</v>
      </c>
      <c r="X1969" t="str">
        <f>PROPER(TEXT(A1969,"dddd"))</f>
        <v>Jueves</v>
      </c>
      <c r="Y1969" t="str" cm="1">
        <f t="array" ref="Y1969">_xlfn.IFS(R1969&gt;10,"Excelente",R1969&gt;=5,"Bueno",R1969&gt;=2,"Débil",R1969&lt;2,"Deficiente")</f>
        <v>Excelente</v>
      </c>
      <c r="Z1969" t="str">
        <f>IF(AND(R1969&lt;2,Q1969&gt;=100),"Revisar","OK")</f>
        <v>OK</v>
      </c>
      <c r="AA1969" s="55">
        <f>_xlfn.XLOOKUP(C1969,'Preguntas de negocio'!$C$114:$C$119,'Preguntas de negocio'!$D$114:$D$119,0)</f>
        <v>5.5</v>
      </c>
      <c r="AB1969" s="55">
        <f>VLOOKUP(C1969,'Preguntas de negocio'!$C$121:$D$127,2,FALSE)</f>
        <v>0.65</v>
      </c>
    </row>
    <row r="1970" spans="1:28" x14ac:dyDescent="0.3">
      <c r="A1970" s="1">
        <v>45768</v>
      </c>
      <c r="B1970" s="2" t="s">
        <v>2620</v>
      </c>
      <c r="C1970" s="2" t="s">
        <v>2533</v>
      </c>
      <c r="D1970" s="2" t="s">
        <v>2528</v>
      </c>
      <c r="E1970" s="2" t="s">
        <v>2517</v>
      </c>
      <c r="F1970" s="3">
        <v>33082</v>
      </c>
      <c r="G1970" s="3">
        <v>905</v>
      </c>
      <c r="H1970" s="3">
        <v>64</v>
      </c>
      <c r="I1970" s="4">
        <v>711.94</v>
      </c>
      <c r="J1970" s="4">
        <v>8995.77</v>
      </c>
      <c r="K1970" s="3">
        <v>48</v>
      </c>
      <c r="L1970" s="2" t="s">
        <v>2539</v>
      </c>
      <c r="M1970" s="2" t="s">
        <v>2546</v>
      </c>
      <c r="N1970" s="8">
        <f>IFERROR(G1970/F1970,0)</f>
        <v>2.7356266247506197E-2</v>
      </c>
      <c r="O1970" s="8">
        <f>IFERROR(H1970/G1970,0)</f>
        <v>7.07182320441989E-2</v>
      </c>
      <c r="P1970" s="4">
        <f>IFERROR(I1970/G1970,0)</f>
        <v>0.78667403314917128</v>
      </c>
      <c r="Q1970" s="4">
        <f>IFERROR(I1970/H1970,0)</f>
        <v>11.124062500000001</v>
      </c>
      <c r="R1970" s="12">
        <f>IFERROR(J1970/I1970,0)</f>
        <v>12.635573222462567</v>
      </c>
      <c r="S1970" s="7">
        <f>Tabla_nuevas_columnas[[#This Row],[ROAS]]</f>
        <v>12.635573222462567</v>
      </c>
      <c r="T1970" t="str">
        <f>_xlfn.CONCAT(C1970,"-",D1970)</f>
        <v>Paid Social-España</v>
      </c>
      <c r="U1970">
        <f>YEAR(A1970)</f>
        <v>2025</v>
      </c>
      <c r="V1970">
        <f>MONTH(A1970)</f>
        <v>4</v>
      </c>
      <c r="W1970" t="str">
        <f>PROPER(TEXT(A1970,"mmmm"))</f>
        <v>Abril</v>
      </c>
      <c r="X1970" t="str">
        <f>PROPER(TEXT(A1970,"dddd"))</f>
        <v>Lunes</v>
      </c>
      <c r="Y1970" t="str" cm="1">
        <f t="array" ref="Y1970">_xlfn.IFS(R1970&gt;10,"Excelente",R1970&gt;=5,"Bueno",R1970&gt;=2,"Débil",R1970&lt;2,"Deficiente")</f>
        <v>Excelente</v>
      </c>
      <c r="Z1970" t="str">
        <f>IF(AND(R1970&lt;2,Q1970&gt;=100),"Revisar","OK")</f>
        <v>OK</v>
      </c>
      <c r="AA1970" s="55">
        <f>_xlfn.XLOOKUP(C1970,'Preguntas de negocio'!$C$114:$C$119,'Preguntas de negocio'!$D$114:$D$119,0)</f>
        <v>6</v>
      </c>
      <c r="AB1970" s="55">
        <f>VLOOKUP(C1970,'Preguntas de negocio'!$C$121:$D$127,2,FALSE)</f>
        <v>0.8</v>
      </c>
    </row>
    <row r="1971" spans="1:28" x14ac:dyDescent="0.3">
      <c r="A1971" s="1">
        <v>45899</v>
      </c>
      <c r="B1971" s="2" t="s">
        <v>2619</v>
      </c>
      <c r="C1971" s="2" t="s">
        <v>2527</v>
      </c>
      <c r="D1971" s="2" t="s">
        <v>2525</v>
      </c>
      <c r="E1971" s="2" t="s">
        <v>2517</v>
      </c>
      <c r="F1971" s="3">
        <v>157988</v>
      </c>
      <c r="G1971" s="3">
        <v>8843</v>
      </c>
      <c r="H1971" s="3">
        <v>1130</v>
      </c>
      <c r="I1971" s="4">
        <v>6551.17</v>
      </c>
      <c r="J1971" s="4">
        <v>225417.49</v>
      </c>
      <c r="K1971" s="3">
        <v>563</v>
      </c>
      <c r="L1971" s="2" t="s">
        <v>2536</v>
      </c>
      <c r="M1971" s="2" t="s">
        <v>2519</v>
      </c>
      <c r="N1971" s="8">
        <f>IFERROR(G1971/F1971,0)</f>
        <v>5.5972605514342862E-2</v>
      </c>
      <c r="O1971" s="8">
        <f>IFERROR(H1971/G1971,0)</f>
        <v>0.12778468845414453</v>
      </c>
      <c r="P1971" s="4">
        <f>IFERROR(I1971/G1971,0)</f>
        <v>0.74083116589392739</v>
      </c>
      <c r="Q1971" s="4">
        <f>IFERROR(I1971/H1971,0)</f>
        <v>5.7974955752212392</v>
      </c>
      <c r="R1971" s="12">
        <f>IFERROR(J1971/I1971,0)</f>
        <v>34.408737675865531</v>
      </c>
      <c r="S1971" s="7">
        <f>Tabla_nuevas_columnas[[#This Row],[ROAS]]</f>
        <v>34.408737675865531</v>
      </c>
      <c r="T1971" t="str">
        <f>_xlfn.CONCAT(C1971,"-",D1971)</f>
        <v>Affiliate-Francia</v>
      </c>
      <c r="U1971">
        <f>YEAR(A1971)</f>
        <v>2025</v>
      </c>
      <c r="V1971">
        <f>MONTH(A1971)</f>
        <v>8</v>
      </c>
      <c r="W1971" t="str">
        <f>PROPER(TEXT(A1971,"mmmm"))</f>
        <v>Agosto</v>
      </c>
      <c r="X1971" t="str">
        <f>PROPER(TEXT(A1971,"dddd"))</f>
        <v>Sábado</v>
      </c>
      <c r="Y1971" t="str" cm="1">
        <f t="array" ref="Y1971">_xlfn.IFS(R1971&gt;10,"Excelente",R1971&gt;=5,"Bueno",R1971&gt;=2,"Débil",R1971&lt;2,"Deficiente")</f>
        <v>Excelente</v>
      </c>
      <c r="Z1971" t="str">
        <f>IF(AND(R1971&lt;2,Q1971&gt;=100),"Revisar","OK")</f>
        <v>OK</v>
      </c>
      <c r="AA1971" s="55">
        <f>_xlfn.XLOOKUP(C1971,'Preguntas de negocio'!$C$114:$C$119,'Preguntas de negocio'!$D$114:$D$119,0)</f>
        <v>4.5</v>
      </c>
      <c r="AB1971" s="55">
        <f>VLOOKUP(C1971,'Preguntas de negocio'!$C$121:$D$127,2,FALSE)</f>
        <v>0.35</v>
      </c>
    </row>
    <row r="1972" spans="1:28" x14ac:dyDescent="0.3">
      <c r="A1972" s="1">
        <v>45988</v>
      </c>
      <c r="B1972" s="2" t="s">
        <v>2643</v>
      </c>
      <c r="C1972" s="2" t="s">
        <v>2521</v>
      </c>
      <c r="D1972" s="2" t="s">
        <v>2528</v>
      </c>
      <c r="E1972" s="2" t="s">
        <v>2517</v>
      </c>
      <c r="F1972" s="3">
        <v>14540</v>
      </c>
      <c r="G1972" s="3">
        <v>1121</v>
      </c>
      <c r="H1972" s="3">
        <v>39</v>
      </c>
      <c r="I1972" s="4">
        <v>620.95000000000005</v>
      </c>
      <c r="J1972" s="4">
        <v>5713.99</v>
      </c>
      <c r="K1972" s="3">
        <v>30</v>
      </c>
      <c r="L1972" s="2" t="s">
        <v>2518</v>
      </c>
      <c r="M1972" s="2" t="s">
        <v>2537</v>
      </c>
      <c r="N1972" s="8">
        <f>IFERROR(G1972/F1972,0)</f>
        <v>7.709766162310866E-2</v>
      </c>
      <c r="O1972" s="8">
        <f>IFERROR(H1972/G1972,0)</f>
        <v>3.4790365744870648E-2</v>
      </c>
      <c r="P1972" s="4">
        <f>IFERROR(I1972/G1972,0)</f>
        <v>0.55392506690454957</v>
      </c>
      <c r="Q1972" s="4">
        <f>IFERROR(I1972/H1972,0)</f>
        <v>15.921794871794873</v>
      </c>
      <c r="R1972" s="12">
        <f>IFERROR(J1972/I1972,0)</f>
        <v>9.2020130445285435</v>
      </c>
      <c r="S1972" s="7">
        <f>Tabla_nuevas_columnas[[#This Row],[ROAS]]</f>
        <v>9.2020130445285435</v>
      </c>
      <c r="T1972" t="str">
        <f>_xlfn.CONCAT(C1972,"-",D1972)</f>
        <v>Paid Search-España</v>
      </c>
      <c r="U1972">
        <f>YEAR(A1972)</f>
        <v>2025</v>
      </c>
      <c r="V1972">
        <f>MONTH(A1972)</f>
        <v>11</v>
      </c>
      <c r="W1972" t="str">
        <f>PROPER(TEXT(A1972,"mmmm"))</f>
        <v>Noviembre</v>
      </c>
      <c r="X1972" t="str">
        <f>PROPER(TEXT(A1972,"dddd"))</f>
        <v>Jueves</v>
      </c>
      <c r="Y1972" t="str" cm="1">
        <f t="array" ref="Y1972">_xlfn.IFS(R1972&gt;10,"Excelente",R1972&gt;=5,"Bueno",R1972&gt;=2,"Débil",R1972&lt;2,"Deficiente")</f>
        <v>Bueno</v>
      </c>
      <c r="Z1972" t="str">
        <f>IF(AND(R1972&lt;2,Q1972&gt;=100),"Revisar","OK")</f>
        <v>OK</v>
      </c>
      <c r="AA1972" s="55">
        <f>_xlfn.XLOOKUP(C1972,'Preguntas de negocio'!$C$114:$C$119,'Preguntas de negocio'!$D$114:$D$119,0)</f>
        <v>5</v>
      </c>
      <c r="AB1972" s="55">
        <f>VLOOKUP(C1972,'Preguntas de negocio'!$C$121:$D$127,2,FALSE)</f>
        <v>1.1000000000000001</v>
      </c>
    </row>
    <row r="1973" spans="1:28" x14ac:dyDescent="0.3">
      <c r="A1973" s="1">
        <v>45773</v>
      </c>
      <c r="B1973" s="2" t="s">
        <v>2622</v>
      </c>
      <c r="C1973" s="2" t="s">
        <v>2515</v>
      </c>
      <c r="D1973" s="2" t="s">
        <v>2528</v>
      </c>
      <c r="E1973" s="2" t="s">
        <v>2529</v>
      </c>
      <c r="F1973" s="3">
        <v>161274</v>
      </c>
      <c r="G1973" s="3">
        <v>4711</v>
      </c>
      <c r="H1973" s="3">
        <v>400</v>
      </c>
      <c r="I1973" s="4">
        <v>4707.37</v>
      </c>
      <c r="J1973" s="4">
        <v>79327.66</v>
      </c>
      <c r="K1973" s="3">
        <v>306</v>
      </c>
      <c r="L1973" s="2" t="s">
        <v>2518</v>
      </c>
      <c r="M1973" s="2" t="s">
        <v>2524</v>
      </c>
      <c r="N1973" s="8">
        <f>IFERROR(G1973/F1973,0)</f>
        <v>2.9211156169004302E-2</v>
      </c>
      <c r="O1973" s="8">
        <f>IFERROR(H1973/G1973,0)</f>
        <v>8.4907662916578225E-2</v>
      </c>
      <c r="P1973" s="4">
        <f>IFERROR(I1973/G1973,0)</f>
        <v>0.99922946295903203</v>
      </c>
      <c r="Q1973" s="4">
        <f>IFERROR(I1973/H1973,0)</f>
        <v>11.768425000000001</v>
      </c>
      <c r="R1973" s="12">
        <f>IFERROR(J1973/I1973,0)</f>
        <v>16.851800474574976</v>
      </c>
      <c r="S1973" s="7">
        <f>Tabla_nuevas_columnas[[#This Row],[ROAS]]</f>
        <v>16.851800474574976</v>
      </c>
      <c r="T1973" t="str">
        <f>_xlfn.CONCAT(C1973,"-",D1973)</f>
        <v>Email-España</v>
      </c>
      <c r="U1973">
        <f>YEAR(A1973)</f>
        <v>2025</v>
      </c>
      <c r="V1973">
        <f>MONTH(A1973)</f>
        <v>4</v>
      </c>
      <c r="W1973" t="str">
        <f>PROPER(TEXT(A1973,"mmmm"))</f>
        <v>Abril</v>
      </c>
      <c r="X1973" t="str">
        <f>PROPER(TEXT(A1973,"dddd"))</f>
        <v>Sábado</v>
      </c>
      <c r="Y1973" t="str" cm="1">
        <f t="array" ref="Y1973">_xlfn.IFS(R1973&gt;10,"Excelente",R1973&gt;=5,"Bueno",R1973&gt;=2,"Débil",R1973&lt;2,"Deficiente")</f>
        <v>Excelente</v>
      </c>
      <c r="Z1973" t="str">
        <f>IF(AND(R1973&lt;2,Q1973&gt;=100),"Revisar","OK")</f>
        <v>OK</v>
      </c>
      <c r="AA1973" s="55">
        <f>_xlfn.XLOOKUP(C1973,'Preguntas de negocio'!$C$114:$C$119,'Preguntas de negocio'!$D$114:$D$119,0)</f>
        <v>5.5</v>
      </c>
      <c r="AB1973" s="55">
        <f>VLOOKUP(C1973,'Preguntas de negocio'!$C$121:$D$127,2,FALSE)</f>
        <v>0.65</v>
      </c>
    </row>
    <row r="1974" spans="1:28" x14ac:dyDescent="0.3">
      <c r="A1974" s="1">
        <v>45871</v>
      </c>
      <c r="B1974" s="2" t="s">
        <v>2635</v>
      </c>
      <c r="C1974" s="2" t="s">
        <v>2527</v>
      </c>
      <c r="D1974" s="2" t="s">
        <v>2531</v>
      </c>
      <c r="E1974" s="2" t="s">
        <v>2529</v>
      </c>
      <c r="F1974" s="3">
        <v>57294</v>
      </c>
      <c r="G1974" s="3">
        <v>1978</v>
      </c>
      <c r="H1974" s="3">
        <v>115</v>
      </c>
      <c r="I1974" s="4">
        <v>1003.79</v>
      </c>
      <c r="J1974" s="4">
        <v>4312.1499999999996</v>
      </c>
      <c r="K1974" s="3">
        <v>72</v>
      </c>
      <c r="L1974" s="2" t="s">
        <v>2523</v>
      </c>
      <c r="M1974" s="2" t="s">
        <v>2524</v>
      </c>
      <c r="N1974" s="8">
        <f>IFERROR(G1974/F1974,0)</f>
        <v>3.4523684853562331E-2</v>
      </c>
      <c r="O1974" s="8">
        <f>IFERROR(H1974/G1974,0)</f>
        <v>5.8139534883720929E-2</v>
      </c>
      <c r="P1974" s="4">
        <f>IFERROR(I1974/G1974,0)</f>
        <v>0.50747724974721942</v>
      </c>
      <c r="Q1974" s="4">
        <f>IFERROR(I1974/H1974,0)</f>
        <v>8.7286086956521736</v>
      </c>
      <c r="R1974" s="12">
        <f>IFERROR(J1974/I1974,0)</f>
        <v>4.2958686577869871</v>
      </c>
      <c r="S1974" s="7">
        <f>Tabla_nuevas_columnas[[#This Row],[ROAS]]</f>
        <v>4.2958686577869871</v>
      </c>
      <c r="T1974" t="str">
        <f>_xlfn.CONCAT(C1974,"-",D1974)</f>
        <v>Affiliate-Portugal</v>
      </c>
      <c r="U1974">
        <f>YEAR(A1974)</f>
        <v>2025</v>
      </c>
      <c r="V1974">
        <f>MONTH(A1974)</f>
        <v>8</v>
      </c>
      <c r="W1974" t="str">
        <f>PROPER(TEXT(A1974,"mmmm"))</f>
        <v>Agosto</v>
      </c>
      <c r="X1974" t="str">
        <f>PROPER(TEXT(A1974,"dddd"))</f>
        <v>Sábado</v>
      </c>
      <c r="Y1974" t="str" cm="1">
        <f t="array" ref="Y1974">_xlfn.IFS(R1974&gt;10,"Excelente",R1974&gt;=5,"Bueno",R1974&gt;=2,"Débil",R1974&lt;2,"Deficiente")</f>
        <v>Débil</v>
      </c>
      <c r="Z1974" t="str">
        <f>IF(AND(R1974&lt;2,Q1974&gt;=100),"Revisar","OK")</f>
        <v>OK</v>
      </c>
      <c r="AA1974" s="55">
        <f>_xlfn.XLOOKUP(C1974,'Preguntas de negocio'!$C$114:$C$119,'Preguntas de negocio'!$D$114:$D$119,0)</f>
        <v>4.5</v>
      </c>
      <c r="AB1974" s="55">
        <f>VLOOKUP(C1974,'Preguntas de negocio'!$C$121:$D$127,2,FALSE)</f>
        <v>0.35</v>
      </c>
    </row>
    <row r="1975" spans="1:28" x14ac:dyDescent="0.3">
      <c r="A1975" s="1">
        <v>45827</v>
      </c>
      <c r="B1975" s="2" t="s">
        <v>2644</v>
      </c>
      <c r="C1975" s="2" t="s">
        <v>2527</v>
      </c>
      <c r="D1975" s="2" t="s">
        <v>2528</v>
      </c>
      <c r="E1975" s="2" t="s">
        <v>2517</v>
      </c>
      <c r="F1975" s="3">
        <v>137271</v>
      </c>
      <c r="G1975" s="3">
        <v>11758</v>
      </c>
      <c r="H1975" s="3">
        <v>299</v>
      </c>
      <c r="I1975" s="4">
        <v>20066.89</v>
      </c>
      <c r="J1975" s="4">
        <v>47484.45</v>
      </c>
      <c r="K1975" s="3">
        <v>216</v>
      </c>
      <c r="L1975" s="2" t="s">
        <v>2536</v>
      </c>
      <c r="M1975" s="2" t="s">
        <v>2546</v>
      </c>
      <c r="N1975" s="8">
        <f>IFERROR(G1975/F1975,0)</f>
        <v>8.5655382418719173E-2</v>
      </c>
      <c r="O1975" s="8">
        <f>IFERROR(H1975/G1975,0)</f>
        <v>2.5429494812042864E-2</v>
      </c>
      <c r="P1975" s="4">
        <f>IFERROR(I1975/G1975,0)</f>
        <v>1.7066584453138289</v>
      </c>
      <c r="Q1975" s="4">
        <f>IFERROR(I1975/H1975,0)</f>
        <v>67.113344481605353</v>
      </c>
      <c r="R1975" s="12">
        <f>IFERROR(J1975/I1975,0)</f>
        <v>2.3663083816176798</v>
      </c>
      <c r="S1975" s="7">
        <f>Tabla_nuevas_columnas[[#This Row],[ROAS]]</f>
        <v>2.3663083816176798</v>
      </c>
      <c r="T1975" t="str">
        <f>_xlfn.CONCAT(C1975,"-",D1975)</f>
        <v>Affiliate-España</v>
      </c>
      <c r="U1975">
        <f>YEAR(A1975)</f>
        <v>2025</v>
      </c>
      <c r="V1975">
        <f>MONTH(A1975)</f>
        <v>6</v>
      </c>
      <c r="W1975" t="str">
        <f>PROPER(TEXT(A1975,"mmmm"))</f>
        <v>Junio</v>
      </c>
      <c r="X1975" t="str">
        <f>PROPER(TEXT(A1975,"dddd"))</f>
        <v>Jueves</v>
      </c>
      <c r="Y1975" t="str" cm="1">
        <f t="array" ref="Y1975">_xlfn.IFS(R1975&gt;10,"Excelente",R1975&gt;=5,"Bueno",R1975&gt;=2,"Débil",R1975&lt;2,"Deficiente")</f>
        <v>Débil</v>
      </c>
      <c r="Z1975" t="str">
        <f>IF(AND(R1975&lt;2,Q1975&gt;=100),"Revisar","OK")</f>
        <v>OK</v>
      </c>
      <c r="AA1975" s="55">
        <f>_xlfn.XLOOKUP(C1975,'Preguntas de negocio'!$C$114:$C$119,'Preguntas de negocio'!$D$114:$D$119,0)</f>
        <v>4.5</v>
      </c>
      <c r="AB1975" s="55">
        <f>VLOOKUP(C1975,'Preguntas de negocio'!$C$121:$D$127,2,FALSE)</f>
        <v>0.35</v>
      </c>
    </row>
    <row r="1976" spans="1:28" x14ac:dyDescent="0.3">
      <c r="A1976" s="1">
        <v>45808</v>
      </c>
      <c r="B1976" s="2" t="s">
        <v>2616</v>
      </c>
      <c r="C1976" s="2" t="s">
        <v>2521</v>
      </c>
      <c r="D1976" s="2" t="s">
        <v>2528</v>
      </c>
      <c r="E1976" s="2" t="s">
        <v>2534</v>
      </c>
      <c r="F1976" s="3">
        <v>101640</v>
      </c>
      <c r="G1976" s="3">
        <v>1313</v>
      </c>
      <c r="H1976" s="3">
        <v>56</v>
      </c>
      <c r="I1976" s="4">
        <v>1612.54</v>
      </c>
      <c r="J1976" s="4">
        <v>7992.5</v>
      </c>
      <c r="K1976" s="3">
        <v>49</v>
      </c>
      <c r="L1976" s="2" t="s">
        <v>2523</v>
      </c>
      <c r="M1976" s="2" t="s">
        <v>2537</v>
      </c>
      <c r="N1976" s="8">
        <f>IFERROR(G1976/F1976,0)</f>
        <v>1.2918142463597009E-2</v>
      </c>
      <c r="O1976" s="8">
        <f>IFERROR(H1976/G1976,0)</f>
        <v>4.2650418888042649E-2</v>
      </c>
      <c r="P1976" s="4">
        <f>IFERROR(I1976/G1976,0)</f>
        <v>1.2281340441736481</v>
      </c>
      <c r="Q1976" s="4">
        <f>IFERROR(I1976/H1976,0)</f>
        <v>28.795357142857142</v>
      </c>
      <c r="R1976" s="12">
        <f>IFERROR(J1976/I1976,0)</f>
        <v>4.9564661961873817</v>
      </c>
      <c r="S1976" s="7">
        <f>Tabla_nuevas_columnas[[#This Row],[ROAS]]</f>
        <v>4.9564661961873817</v>
      </c>
      <c r="T1976" t="str">
        <f>_xlfn.CONCAT(C1976,"-",D1976)</f>
        <v>Paid Search-España</v>
      </c>
      <c r="U1976">
        <f>YEAR(A1976)</f>
        <v>2025</v>
      </c>
      <c r="V1976">
        <f>MONTH(A1976)</f>
        <v>5</v>
      </c>
      <c r="W1976" t="str">
        <f>PROPER(TEXT(A1976,"mmmm"))</f>
        <v>Mayo</v>
      </c>
      <c r="X1976" t="str">
        <f>PROPER(TEXT(A1976,"dddd"))</f>
        <v>Sábado</v>
      </c>
      <c r="Y1976" t="str" cm="1">
        <f t="array" ref="Y1976">_xlfn.IFS(R1976&gt;10,"Excelente",R1976&gt;=5,"Bueno",R1976&gt;=2,"Débil",R1976&lt;2,"Deficiente")</f>
        <v>Débil</v>
      </c>
      <c r="Z1976" t="str">
        <f>IF(AND(R1976&lt;2,Q1976&gt;=100),"Revisar","OK")</f>
        <v>OK</v>
      </c>
      <c r="AA1976" s="55">
        <f>_xlfn.XLOOKUP(C1976,'Preguntas de negocio'!$C$114:$C$119,'Preguntas de negocio'!$D$114:$D$119,0)</f>
        <v>5</v>
      </c>
      <c r="AB1976" s="55">
        <f>VLOOKUP(C1976,'Preguntas de negocio'!$C$121:$D$127,2,FALSE)</f>
        <v>1.1000000000000001</v>
      </c>
    </row>
    <row r="1977" spans="1:28" x14ac:dyDescent="0.3">
      <c r="A1977" s="1">
        <v>45715</v>
      </c>
      <c r="B1977" s="2" t="s">
        <v>2621</v>
      </c>
      <c r="C1977" s="2" t="s">
        <v>2521</v>
      </c>
      <c r="D1977" s="2" t="s">
        <v>2528</v>
      </c>
      <c r="E1977" s="2" t="s">
        <v>2517</v>
      </c>
      <c r="F1977" s="3">
        <v>109709</v>
      </c>
      <c r="G1977" s="3">
        <v>1359</v>
      </c>
      <c r="H1977" s="3">
        <v>86</v>
      </c>
      <c r="I1977" s="4">
        <v>2143.84</v>
      </c>
      <c r="J1977" s="4">
        <v>7177.71</v>
      </c>
      <c r="K1977" s="3">
        <v>61</v>
      </c>
      <c r="L1977" s="2" t="s">
        <v>2539</v>
      </c>
      <c r="M1977" s="2" t="s">
        <v>2519</v>
      </c>
      <c r="N1977" s="8">
        <f>IFERROR(G1977/F1977,0)</f>
        <v>1.2387315534732794E-2</v>
      </c>
      <c r="O1977" s="8">
        <f>IFERROR(H1977/G1977,0)</f>
        <v>6.3281824871228839E-2</v>
      </c>
      <c r="P1977" s="4">
        <f>IFERROR(I1977/G1977,0)</f>
        <v>1.5775128771155262</v>
      </c>
      <c r="Q1977" s="4">
        <f>IFERROR(I1977/H1977,0)</f>
        <v>24.928372093023256</v>
      </c>
      <c r="R1977" s="12">
        <f>IFERROR(J1977/I1977,0)</f>
        <v>3.3480623553996565</v>
      </c>
      <c r="S1977" s="7">
        <f>Tabla_nuevas_columnas[[#This Row],[ROAS]]</f>
        <v>3.3480623553996565</v>
      </c>
      <c r="T1977" t="str">
        <f>_xlfn.CONCAT(C1977,"-",D1977)</f>
        <v>Paid Search-España</v>
      </c>
      <c r="U1977">
        <f>YEAR(A1977)</f>
        <v>2025</v>
      </c>
      <c r="V1977">
        <f>MONTH(A1977)</f>
        <v>2</v>
      </c>
      <c r="W1977" t="str">
        <f>PROPER(TEXT(A1977,"mmmm"))</f>
        <v>Febrero</v>
      </c>
      <c r="X1977" t="str">
        <f>PROPER(TEXT(A1977,"dddd"))</f>
        <v>Jueves</v>
      </c>
      <c r="Y1977" t="str" cm="1">
        <f t="array" ref="Y1977">_xlfn.IFS(R1977&gt;10,"Excelente",R1977&gt;=5,"Bueno",R1977&gt;=2,"Débil",R1977&lt;2,"Deficiente")</f>
        <v>Débil</v>
      </c>
      <c r="Z1977" t="str">
        <f>IF(AND(R1977&lt;2,Q1977&gt;=100),"Revisar","OK")</f>
        <v>OK</v>
      </c>
      <c r="AA1977" s="55">
        <f>_xlfn.XLOOKUP(C1977,'Preguntas de negocio'!$C$114:$C$119,'Preguntas de negocio'!$D$114:$D$119,0)</f>
        <v>5</v>
      </c>
      <c r="AB1977" s="55">
        <f>VLOOKUP(C1977,'Preguntas de negocio'!$C$121:$D$127,2,FALSE)</f>
        <v>1.1000000000000001</v>
      </c>
    </row>
    <row r="1978" spans="1:28" x14ac:dyDescent="0.3">
      <c r="A1978" s="1">
        <v>45729</v>
      </c>
      <c r="B1978" s="2" t="s">
        <v>2641</v>
      </c>
      <c r="C1978" s="2" t="s">
        <v>2541</v>
      </c>
      <c r="D1978" s="2" t="s">
        <v>2525</v>
      </c>
      <c r="E1978" s="2" t="s">
        <v>2529</v>
      </c>
      <c r="F1978" s="3">
        <v>42571</v>
      </c>
      <c r="G1978" s="3">
        <v>1818</v>
      </c>
      <c r="H1978" s="3">
        <v>236</v>
      </c>
      <c r="I1978" s="4">
        <v>3526.14</v>
      </c>
      <c r="J1978" s="4">
        <v>48212.43</v>
      </c>
      <c r="K1978" s="3">
        <v>107</v>
      </c>
      <c r="L1978" s="2" t="s">
        <v>2536</v>
      </c>
      <c r="M1978" s="2" t="s">
        <v>2546</v>
      </c>
      <c r="N1978" s="8">
        <f>IFERROR(G1978/F1978,0)</f>
        <v>4.2705127903972184E-2</v>
      </c>
      <c r="O1978" s="8">
        <f>IFERROR(H1978/G1978,0)</f>
        <v>0.12981298129812982</v>
      </c>
      <c r="P1978" s="4">
        <f>IFERROR(I1978/G1978,0)</f>
        <v>1.9395709570957096</v>
      </c>
      <c r="Q1978" s="4">
        <f>IFERROR(I1978/H1978,0)</f>
        <v>14.941271186440677</v>
      </c>
      <c r="R1978" s="12">
        <f>IFERROR(J1978/I1978,0)</f>
        <v>13.672863244227399</v>
      </c>
      <c r="S1978" s="7">
        <f>Tabla_nuevas_columnas[[#This Row],[ROAS]]</f>
        <v>13.672863244227399</v>
      </c>
      <c r="T1978" t="str">
        <f>_xlfn.CONCAT(C1978,"-",D1978)</f>
        <v>Display-Francia</v>
      </c>
      <c r="U1978">
        <f>YEAR(A1978)</f>
        <v>2025</v>
      </c>
      <c r="V1978">
        <f>MONTH(A1978)</f>
        <v>3</v>
      </c>
      <c r="W1978" t="str">
        <f>PROPER(TEXT(A1978,"mmmm"))</f>
        <v>Marzo</v>
      </c>
      <c r="X1978" t="str">
        <f>PROPER(TEXT(A1978,"dddd"))</f>
        <v>Jueves</v>
      </c>
      <c r="Y1978" t="str" cm="1">
        <f t="array" ref="Y1978">_xlfn.IFS(R1978&gt;10,"Excelente",R1978&gt;=5,"Bueno",R1978&gt;=2,"Débil",R1978&lt;2,"Deficiente")</f>
        <v>Excelente</v>
      </c>
      <c r="Z1978" t="str">
        <f>IF(AND(R1978&lt;2,Q1978&gt;=100),"Revisar","OK")</f>
        <v>OK</v>
      </c>
      <c r="AA1978" s="55">
        <f>_xlfn.XLOOKUP(C1978,'Preguntas de negocio'!$C$114:$C$119,'Preguntas de negocio'!$D$114:$D$119,0)</f>
        <v>5</v>
      </c>
      <c r="AB1978" s="55">
        <f>VLOOKUP(C1978,'Preguntas de negocio'!$C$121:$D$127,2,FALSE)</f>
        <v>0.5</v>
      </c>
    </row>
    <row r="1979" spans="1:28" x14ac:dyDescent="0.3">
      <c r="A1979" s="1">
        <v>45941</v>
      </c>
      <c r="B1979" s="2" t="s">
        <v>2633</v>
      </c>
      <c r="C1979" s="2" t="s">
        <v>2533</v>
      </c>
      <c r="D1979" s="2" t="s">
        <v>2516</v>
      </c>
      <c r="E1979" s="2" t="s">
        <v>2517</v>
      </c>
      <c r="F1979" s="3">
        <v>9182</v>
      </c>
      <c r="G1979" s="3">
        <v>442</v>
      </c>
      <c r="H1979" s="3">
        <v>26</v>
      </c>
      <c r="I1979" s="4">
        <v>901.74</v>
      </c>
      <c r="J1979" s="4">
        <v>2508.7199999999998</v>
      </c>
      <c r="K1979" s="3">
        <v>14</v>
      </c>
      <c r="L1979" s="2" t="s">
        <v>2518</v>
      </c>
      <c r="M1979" s="2" t="s">
        <v>2537</v>
      </c>
      <c r="N1979" s="8">
        <f>IFERROR(G1979/F1979,0)</f>
        <v>4.8137660640383356E-2</v>
      </c>
      <c r="O1979" s="8">
        <f>IFERROR(H1979/G1979,0)</f>
        <v>5.8823529411764705E-2</v>
      </c>
      <c r="P1979" s="4">
        <f>IFERROR(I1979/G1979,0)</f>
        <v>2.0401357466063348</v>
      </c>
      <c r="Q1979" s="4">
        <f>IFERROR(I1979/H1979,0)</f>
        <v>34.682307692307695</v>
      </c>
      <c r="R1979" s="12">
        <f>IFERROR(J1979/I1979,0)</f>
        <v>2.7820879632710089</v>
      </c>
      <c r="S1979" s="7">
        <f>Tabla_nuevas_columnas[[#This Row],[ROAS]]</f>
        <v>2.7820879632710089</v>
      </c>
      <c r="T1979" t="str">
        <f>_xlfn.CONCAT(C1979,"-",D1979)</f>
        <v>Paid Social-México</v>
      </c>
      <c r="U1979">
        <f>YEAR(A1979)</f>
        <v>2025</v>
      </c>
      <c r="V1979">
        <f>MONTH(A1979)</f>
        <v>10</v>
      </c>
      <c r="W1979" t="str">
        <f>PROPER(TEXT(A1979,"mmmm"))</f>
        <v>Octubre</v>
      </c>
      <c r="X1979" t="str">
        <f>PROPER(TEXT(A1979,"dddd"))</f>
        <v>Sábado</v>
      </c>
      <c r="Y1979" t="str" cm="1">
        <f t="array" ref="Y1979">_xlfn.IFS(R1979&gt;10,"Excelente",R1979&gt;=5,"Bueno",R1979&gt;=2,"Débil",R1979&lt;2,"Deficiente")</f>
        <v>Débil</v>
      </c>
      <c r="Z1979" t="str">
        <f>IF(AND(R1979&lt;2,Q1979&gt;=100),"Revisar","OK")</f>
        <v>OK</v>
      </c>
      <c r="AA1979" s="55">
        <f>_xlfn.XLOOKUP(C1979,'Preguntas de negocio'!$C$114:$C$119,'Preguntas de negocio'!$D$114:$D$119,0)</f>
        <v>6</v>
      </c>
      <c r="AB1979" s="55">
        <f>VLOOKUP(C1979,'Preguntas de negocio'!$C$121:$D$127,2,FALSE)</f>
        <v>0.8</v>
      </c>
    </row>
    <row r="1980" spans="1:28" x14ac:dyDescent="0.3">
      <c r="A1980" s="1">
        <v>45677</v>
      </c>
      <c r="B1980" s="2" t="s">
        <v>2644</v>
      </c>
      <c r="C1980" s="2" t="s">
        <v>2527</v>
      </c>
      <c r="D1980" s="2" t="s">
        <v>2528</v>
      </c>
      <c r="E1980" s="2" t="s">
        <v>2529</v>
      </c>
      <c r="F1980" s="3">
        <v>112669</v>
      </c>
      <c r="G1980" s="3">
        <v>6856</v>
      </c>
      <c r="H1980" s="3">
        <v>150</v>
      </c>
      <c r="I1980" s="4">
        <v>8672.9500000000007</v>
      </c>
      <c r="J1980" s="4">
        <v>11139.85</v>
      </c>
      <c r="K1980" s="3">
        <v>97</v>
      </c>
      <c r="L1980" s="2" t="s">
        <v>2536</v>
      </c>
      <c r="M1980" s="2" t="s">
        <v>2537</v>
      </c>
      <c r="N1980" s="8">
        <f>IFERROR(G1980/F1980,0)</f>
        <v>6.0850810782025228E-2</v>
      </c>
      <c r="O1980" s="8">
        <f>IFERROR(H1980/G1980,0)</f>
        <v>2.1878646441073513E-2</v>
      </c>
      <c r="P1980" s="4">
        <f>IFERROR(I1980/G1980,0)</f>
        <v>1.2650160443407235</v>
      </c>
      <c r="Q1980" s="4">
        <f>IFERROR(I1980/H1980,0)</f>
        <v>57.81966666666667</v>
      </c>
      <c r="R1980" s="12">
        <f>IFERROR(J1980/I1980,0)</f>
        <v>1.2844360915259514</v>
      </c>
      <c r="S1980" s="7">
        <f>Tabla_nuevas_columnas[[#This Row],[ROAS]]</f>
        <v>1.2844360915259514</v>
      </c>
      <c r="T1980" t="str">
        <f>_xlfn.CONCAT(C1980,"-",D1980)</f>
        <v>Affiliate-España</v>
      </c>
      <c r="U1980">
        <f>YEAR(A1980)</f>
        <v>2025</v>
      </c>
      <c r="V1980">
        <f>MONTH(A1980)</f>
        <v>1</v>
      </c>
      <c r="W1980" t="str">
        <f>PROPER(TEXT(A1980,"mmmm"))</f>
        <v>Enero</v>
      </c>
      <c r="X1980" t="str">
        <f>PROPER(TEXT(A1980,"dddd"))</f>
        <v>Lunes</v>
      </c>
      <c r="Y1980" t="str" cm="1">
        <f t="array" ref="Y1980">_xlfn.IFS(R1980&gt;10,"Excelente",R1980&gt;=5,"Bueno",R1980&gt;=2,"Débil",R1980&lt;2,"Deficiente")</f>
        <v>Deficiente</v>
      </c>
      <c r="Z1980" t="str">
        <f>IF(AND(R1980&lt;2,Q1980&gt;=100),"Revisar","OK")</f>
        <v>OK</v>
      </c>
      <c r="AA1980" s="55">
        <f>_xlfn.XLOOKUP(C1980,'Preguntas de negocio'!$C$114:$C$119,'Preguntas de negocio'!$D$114:$D$119,0)</f>
        <v>4.5</v>
      </c>
      <c r="AB1980" s="55">
        <f>VLOOKUP(C1980,'Preguntas de negocio'!$C$121:$D$127,2,FALSE)</f>
        <v>0.35</v>
      </c>
    </row>
    <row r="1981" spans="1:28" x14ac:dyDescent="0.3">
      <c r="A1981" s="1">
        <v>45671</v>
      </c>
      <c r="B1981" s="2" t="s">
        <v>2626</v>
      </c>
      <c r="C1981" s="2" t="s">
        <v>2541</v>
      </c>
      <c r="D1981" s="2" t="s">
        <v>2528</v>
      </c>
      <c r="E1981" s="2" t="s">
        <v>2529</v>
      </c>
      <c r="F1981" s="3">
        <v>179106</v>
      </c>
      <c r="G1981" s="3">
        <v>2824</v>
      </c>
      <c r="H1981" s="3">
        <v>329</v>
      </c>
      <c r="I1981" s="4">
        <v>519.91999999999996</v>
      </c>
      <c r="J1981" s="4">
        <v>14050.65</v>
      </c>
      <c r="K1981" s="3">
        <v>171</v>
      </c>
      <c r="L1981" s="2" t="s">
        <v>2518</v>
      </c>
      <c r="M1981" s="2" t="s">
        <v>2519</v>
      </c>
      <c r="N1981" s="8">
        <f>IFERROR(G1981/F1981,0)</f>
        <v>1.5767199312139182E-2</v>
      </c>
      <c r="O1981" s="8">
        <f>IFERROR(H1981/G1981,0)</f>
        <v>0.1165014164305949</v>
      </c>
      <c r="P1981" s="4">
        <f>IFERROR(I1981/G1981,0)</f>
        <v>0.18410764872521246</v>
      </c>
      <c r="Q1981" s="4">
        <f>IFERROR(I1981/H1981,0)</f>
        <v>1.580303951367781</v>
      </c>
      <c r="R1981" s="12">
        <f>IFERROR(J1981/I1981,0)</f>
        <v>27.024638405908604</v>
      </c>
      <c r="S1981" s="7">
        <f>Tabla_nuevas_columnas[[#This Row],[ROAS]]</f>
        <v>27.024638405908604</v>
      </c>
      <c r="T1981" t="str">
        <f>_xlfn.CONCAT(C1981,"-",D1981)</f>
        <v>Display-España</v>
      </c>
      <c r="U1981">
        <f>YEAR(A1981)</f>
        <v>2025</v>
      </c>
      <c r="V1981">
        <f>MONTH(A1981)</f>
        <v>1</v>
      </c>
      <c r="W1981" t="str">
        <f>PROPER(TEXT(A1981,"mmmm"))</f>
        <v>Enero</v>
      </c>
      <c r="X1981" t="str">
        <f>PROPER(TEXT(A1981,"dddd"))</f>
        <v>Martes</v>
      </c>
      <c r="Y1981" t="str" cm="1">
        <f t="array" ref="Y1981">_xlfn.IFS(R1981&gt;10,"Excelente",R1981&gt;=5,"Bueno",R1981&gt;=2,"Débil",R1981&lt;2,"Deficiente")</f>
        <v>Excelente</v>
      </c>
      <c r="Z1981" t="str">
        <f>IF(AND(R1981&lt;2,Q1981&gt;=100),"Revisar","OK")</f>
        <v>OK</v>
      </c>
      <c r="AA1981" s="55">
        <f>_xlfn.XLOOKUP(C1981,'Preguntas de negocio'!$C$114:$C$119,'Preguntas de negocio'!$D$114:$D$119,0)</f>
        <v>5</v>
      </c>
      <c r="AB1981" s="55">
        <f>VLOOKUP(C1981,'Preguntas de negocio'!$C$121:$D$127,2,FALSE)</f>
        <v>0.5</v>
      </c>
    </row>
    <row r="1982" spans="1:28" x14ac:dyDescent="0.3">
      <c r="A1982" s="1">
        <v>45998</v>
      </c>
      <c r="B1982" s="2" t="s">
        <v>2637</v>
      </c>
      <c r="C1982" s="2" t="s">
        <v>2543</v>
      </c>
      <c r="D1982" s="2" t="s">
        <v>2528</v>
      </c>
      <c r="E1982" s="2" t="s">
        <v>2517</v>
      </c>
      <c r="F1982" s="3">
        <v>179046</v>
      </c>
      <c r="G1982" s="3">
        <v>14730</v>
      </c>
      <c r="H1982" s="3">
        <v>1870</v>
      </c>
      <c r="I1982" s="4">
        <v>23501.56</v>
      </c>
      <c r="J1982" s="4">
        <v>299302.28999999998</v>
      </c>
      <c r="K1982" s="3">
        <v>1366</v>
      </c>
      <c r="L1982" s="2" t="s">
        <v>2518</v>
      </c>
      <c r="M1982" s="2" t="s">
        <v>2526</v>
      </c>
      <c r="N1982" s="8">
        <f>IFERROR(G1982/F1982,0)</f>
        <v>8.2269360946348985E-2</v>
      </c>
      <c r="O1982" s="8">
        <f>IFERROR(H1982/G1982,0)</f>
        <v>0.12695179904955872</v>
      </c>
      <c r="P1982" s="4">
        <f>IFERROR(I1982/G1982,0)</f>
        <v>1.5954894772572981</v>
      </c>
      <c r="Q1982" s="4">
        <f>IFERROR(I1982/H1982,0)</f>
        <v>12.567679144385027</v>
      </c>
      <c r="R1982" s="12">
        <f>IFERROR(J1982/I1982,0)</f>
        <v>12.735422244310589</v>
      </c>
      <c r="S1982" s="7">
        <f>Tabla_nuevas_columnas[[#This Row],[ROAS]]</f>
        <v>12.735422244310589</v>
      </c>
      <c r="T1982" t="str">
        <f>_xlfn.CONCAT(C1982,"-",D1982)</f>
        <v>Organic Social-España</v>
      </c>
      <c r="U1982">
        <f>YEAR(A1982)</f>
        <v>2025</v>
      </c>
      <c r="V1982">
        <f>MONTH(A1982)</f>
        <v>12</v>
      </c>
      <c r="W1982" t="str">
        <f>PROPER(TEXT(A1982,"mmmm"))</f>
        <v>Diciembre</v>
      </c>
      <c r="X1982" t="str">
        <f>PROPER(TEXT(A1982,"dddd"))</f>
        <v>Domingo</v>
      </c>
      <c r="Y1982" t="str" cm="1">
        <f t="array" ref="Y1982">_xlfn.IFS(R1982&gt;10,"Excelente",R1982&gt;=5,"Bueno",R1982&gt;=2,"Débil",R1982&lt;2,"Deficiente")</f>
        <v>Excelente</v>
      </c>
      <c r="Z1982" t="str">
        <f>IF(AND(R1982&lt;2,Q1982&gt;=100),"Revisar","OK")</f>
        <v>OK</v>
      </c>
      <c r="AA1982" s="55">
        <f>_xlfn.XLOOKUP(C1982,'Preguntas de negocio'!$C$114:$C$119,'Preguntas de negocio'!$D$114:$D$119,0)</f>
        <v>4</v>
      </c>
      <c r="AB1982" s="55">
        <f>VLOOKUP(C1982,'Preguntas de negocio'!$C$121:$D$127,2,FALSE)</f>
        <v>0.95</v>
      </c>
    </row>
    <row r="1983" spans="1:28" x14ac:dyDescent="0.3">
      <c r="A1983" s="1">
        <v>45773</v>
      </c>
      <c r="B1983" s="2" t="s">
        <v>2635</v>
      </c>
      <c r="C1983" s="2" t="s">
        <v>2527</v>
      </c>
      <c r="D1983" s="2" t="s">
        <v>2531</v>
      </c>
      <c r="E1983" s="2" t="s">
        <v>2529</v>
      </c>
      <c r="F1983" s="3">
        <v>176129</v>
      </c>
      <c r="G1983" s="3">
        <v>13853</v>
      </c>
      <c r="H1983" s="3">
        <v>831</v>
      </c>
      <c r="I1983" s="4">
        <v>20566.77</v>
      </c>
      <c r="J1983" s="4">
        <v>14690.84</v>
      </c>
      <c r="K1983" s="3">
        <v>726</v>
      </c>
      <c r="L1983" s="2" t="s">
        <v>2539</v>
      </c>
      <c r="M1983" s="2" t="s">
        <v>2537</v>
      </c>
      <c r="N1983" s="8">
        <f>IFERROR(G1983/F1983,0)</f>
        <v>7.8652578507798263E-2</v>
      </c>
      <c r="O1983" s="8">
        <f>IFERROR(H1983/G1983,0)</f>
        <v>5.9987006424601169E-2</v>
      </c>
      <c r="P1983" s="4">
        <f>IFERROR(I1983/G1983,0)</f>
        <v>1.4846437594744821</v>
      </c>
      <c r="Q1983" s="4">
        <f>IFERROR(I1983/H1983,0)</f>
        <v>24.749422382671479</v>
      </c>
      <c r="R1983" s="12">
        <f>IFERROR(J1983/I1983,0)</f>
        <v>0.71429981470109305</v>
      </c>
      <c r="S1983" s="7">
        <f>Tabla_nuevas_columnas[[#This Row],[ROAS]]</f>
        <v>0.71429981470109305</v>
      </c>
      <c r="T1983" t="str">
        <f>_xlfn.CONCAT(C1983,"-",D1983)</f>
        <v>Affiliate-Portugal</v>
      </c>
      <c r="U1983">
        <f>YEAR(A1983)</f>
        <v>2025</v>
      </c>
      <c r="V1983">
        <f>MONTH(A1983)</f>
        <v>4</v>
      </c>
      <c r="W1983" t="str">
        <f>PROPER(TEXT(A1983,"mmmm"))</f>
        <v>Abril</v>
      </c>
      <c r="X1983" t="str">
        <f>PROPER(TEXT(A1983,"dddd"))</f>
        <v>Sábado</v>
      </c>
      <c r="Y1983" t="str" cm="1">
        <f t="array" ref="Y1983">_xlfn.IFS(R1983&gt;10,"Excelente",R1983&gt;=5,"Bueno",R1983&gt;=2,"Débil",R1983&lt;2,"Deficiente")</f>
        <v>Deficiente</v>
      </c>
      <c r="Z1983" t="str">
        <f>IF(AND(R1983&lt;2,Q1983&gt;=100),"Revisar","OK")</f>
        <v>OK</v>
      </c>
      <c r="AA1983" s="55">
        <f>_xlfn.XLOOKUP(C1983,'Preguntas de negocio'!$C$114:$C$119,'Preguntas de negocio'!$D$114:$D$119,0)</f>
        <v>4.5</v>
      </c>
      <c r="AB1983" s="55">
        <f>VLOOKUP(C1983,'Preguntas de negocio'!$C$121:$D$127,2,FALSE)</f>
        <v>0.35</v>
      </c>
    </row>
    <row r="1984" spans="1:28" x14ac:dyDescent="0.3">
      <c r="A1984" s="1">
        <v>45831</v>
      </c>
      <c r="B1984" s="2" t="s">
        <v>2626</v>
      </c>
      <c r="C1984" s="2" t="s">
        <v>2527</v>
      </c>
      <c r="D1984" s="2" t="s">
        <v>2528</v>
      </c>
      <c r="E1984" s="2" t="s">
        <v>2529</v>
      </c>
      <c r="F1984" s="3">
        <v>158664</v>
      </c>
      <c r="G1984" s="3">
        <v>8954</v>
      </c>
      <c r="H1984" s="3">
        <v>390</v>
      </c>
      <c r="I1984" s="4">
        <v>10101.15</v>
      </c>
      <c r="J1984" s="4">
        <v>79675.42</v>
      </c>
      <c r="K1984" s="3">
        <v>335</v>
      </c>
      <c r="L1984" s="2" t="s">
        <v>2536</v>
      </c>
      <c r="M1984" s="2" t="s">
        <v>2519</v>
      </c>
      <c r="N1984" s="8">
        <f>IFERROR(G1984/F1984,0)</f>
        <v>5.6433721575152522E-2</v>
      </c>
      <c r="O1984" s="8">
        <f>IFERROR(H1984/G1984,0)</f>
        <v>4.355595264686174E-2</v>
      </c>
      <c r="P1984" s="4">
        <f>IFERROR(I1984/G1984,0)</f>
        <v>1.1281159258431985</v>
      </c>
      <c r="Q1984" s="4">
        <f>IFERROR(I1984/H1984,0)</f>
        <v>25.900384615384613</v>
      </c>
      <c r="R1984" s="12">
        <f>IFERROR(J1984/I1984,0)</f>
        <v>7.8877573345609164</v>
      </c>
      <c r="S1984" s="7">
        <f>Tabla_nuevas_columnas[[#This Row],[ROAS]]</f>
        <v>7.8877573345609164</v>
      </c>
      <c r="T1984" t="str">
        <f>_xlfn.CONCAT(C1984,"-",D1984)</f>
        <v>Affiliate-España</v>
      </c>
      <c r="U1984">
        <f>YEAR(A1984)</f>
        <v>2025</v>
      </c>
      <c r="V1984">
        <f>MONTH(A1984)</f>
        <v>6</v>
      </c>
      <c r="W1984" t="str">
        <f>PROPER(TEXT(A1984,"mmmm"))</f>
        <v>Junio</v>
      </c>
      <c r="X1984" t="str">
        <f>PROPER(TEXT(A1984,"dddd"))</f>
        <v>Lunes</v>
      </c>
      <c r="Y1984" t="str" cm="1">
        <f t="array" ref="Y1984">_xlfn.IFS(R1984&gt;10,"Excelente",R1984&gt;=5,"Bueno",R1984&gt;=2,"Débil",R1984&lt;2,"Deficiente")</f>
        <v>Bueno</v>
      </c>
      <c r="Z1984" t="str">
        <f>IF(AND(R1984&lt;2,Q1984&gt;=100),"Revisar","OK")</f>
        <v>OK</v>
      </c>
      <c r="AA1984" s="55">
        <f>_xlfn.XLOOKUP(C1984,'Preguntas de negocio'!$C$114:$C$119,'Preguntas de negocio'!$D$114:$D$119,0)</f>
        <v>4.5</v>
      </c>
      <c r="AB1984" s="55">
        <f>VLOOKUP(C1984,'Preguntas de negocio'!$C$121:$D$127,2,FALSE)</f>
        <v>0.35</v>
      </c>
    </row>
    <row r="1985" spans="1:28" x14ac:dyDescent="0.3">
      <c r="A1985" s="1">
        <v>45922</v>
      </c>
      <c r="B1985" s="2" t="s">
        <v>2623</v>
      </c>
      <c r="C1985" s="2" t="s">
        <v>2543</v>
      </c>
      <c r="D1985" s="2" t="s">
        <v>2528</v>
      </c>
      <c r="E1985" s="2" t="s">
        <v>2529</v>
      </c>
      <c r="F1985" s="3">
        <v>145672</v>
      </c>
      <c r="G1985" s="3">
        <v>3955</v>
      </c>
      <c r="H1985" s="3">
        <v>293</v>
      </c>
      <c r="I1985" s="4">
        <v>868.49</v>
      </c>
      <c r="J1985" s="4">
        <v>24625.15</v>
      </c>
      <c r="K1985" s="3">
        <v>173</v>
      </c>
      <c r="L1985" s="2" t="s">
        <v>2523</v>
      </c>
      <c r="M1985" s="2" t="s">
        <v>2524</v>
      </c>
      <c r="N1985" s="8">
        <f>IFERROR(G1985/F1985,0)</f>
        <v>2.7150035696633532E-2</v>
      </c>
      <c r="O1985" s="8">
        <f>IFERROR(H1985/G1985,0)</f>
        <v>7.40834386852086E-2</v>
      </c>
      <c r="P1985" s="4">
        <f>IFERROR(I1985/G1985,0)</f>
        <v>0.21959292035398231</v>
      </c>
      <c r="Q1985" s="4">
        <f>IFERROR(I1985/H1985,0)</f>
        <v>2.9641296928327647</v>
      </c>
      <c r="R1985" s="12">
        <f>IFERROR(J1985/I1985,0)</f>
        <v>28.353982198989051</v>
      </c>
      <c r="S1985" s="7">
        <f>Tabla_nuevas_columnas[[#This Row],[ROAS]]</f>
        <v>28.353982198989051</v>
      </c>
      <c r="T1985" t="str">
        <f>_xlfn.CONCAT(C1985,"-",D1985)</f>
        <v>Organic Social-España</v>
      </c>
      <c r="U1985">
        <f>YEAR(A1985)</f>
        <v>2025</v>
      </c>
      <c r="V1985">
        <f>MONTH(A1985)</f>
        <v>9</v>
      </c>
      <c r="W1985" t="str">
        <f>PROPER(TEXT(A1985,"mmmm"))</f>
        <v>Septiembre</v>
      </c>
      <c r="X1985" t="str">
        <f>PROPER(TEXT(A1985,"dddd"))</f>
        <v>Lunes</v>
      </c>
      <c r="Y1985" t="str" cm="1">
        <f t="array" ref="Y1985">_xlfn.IFS(R1985&gt;10,"Excelente",R1985&gt;=5,"Bueno",R1985&gt;=2,"Débil",R1985&lt;2,"Deficiente")</f>
        <v>Excelente</v>
      </c>
      <c r="Z1985" t="str">
        <f>IF(AND(R1985&lt;2,Q1985&gt;=100),"Revisar","OK")</f>
        <v>OK</v>
      </c>
      <c r="AA1985" s="55">
        <f>_xlfn.XLOOKUP(C1985,'Preguntas de negocio'!$C$114:$C$119,'Preguntas de negocio'!$D$114:$D$119,0)</f>
        <v>4</v>
      </c>
      <c r="AB1985" s="55">
        <f>VLOOKUP(C1985,'Preguntas de negocio'!$C$121:$D$127,2,FALSE)</f>
        <v>0.95</v>
      </c>
    </row>
    <row r="1986" spans="1:28" x14ac:dyDescent="0.3">
      <c r="A1986" s="1">
        <v>45796</v>
      </c>
      <c r="B1986" s="2" t="s">
        <v>2634</v>
      </c>
      <c r="C1986" s="2" t="s">
        <v>2521</v>
      </c>
      <c r="D1986" s="2" t="s">
        <v>2528</v>
      </c>
      <c r="E1986" s="2" t="s">
        <v>2517</v>
      </c>
      <c r="F1986" s="3">
        <v>154863</v>
      </c>
      <c r="G1986" s="3">
        <v>1232</v>
      </c>
      <c r="H1986" s="3">
        <v>169</v>
      </c>
      <c r="I1986" s="4">
        <v>1640.22</v>
      </c>
      <c r="J1986" s="4">
        <v>11001.19</v>
      </c>
      <c r="K1986" s="3">
        <v>111</v>
      </c>
      <c r="L1986" s="2" t="s">
        <v>2539</v>
      </c>
      <c r="M1986" s="2" t="s">
        <v>2519</v>
      </c>
      <c r="N1986" s="8">
        <f>IFERROR(G1986/F1986,0)</f>
        <v>7.9554186603643228E-3</v>
      </c>
      <c r="O1986" s="8">
        <f>IFERROR(H1986/G1986,0)</f>
        <v>0.13717532467532467</v>
      </c>
      <c r="P1986" s="4">
        <f>IFERROR(I1986/G1986,0)</f>
        <v>1.3313474025974026</v>
      </c>
      <c r="Q1986" s="4">
        <f>IFERROR(I1986/H1986,0)</f>
        <v>9.705443786982249</v>
      </c>
      <c r="R1986" s="12">
        <f>IFERROR(J1986/I1986,0)</f>
        <v>6.7071429442391874</v>
      </c>
      <c r="S1986" s="7">
        <f>Tabla_nuevas_columnas[[#This Row],[ROAS]]</f>
        <v>6.7071429442391874</v>
      </c>
      <c r="T1986" t="str">
        <f>_xlfn.CONCAT(C1986,"-",D1986)</f>
        <v>Paid Search-España</v>
      </c>
      <c r="U1986">
        <f>YEAR(A1986)</f>
        <v>2025</v>
      </c>
      <c r="V1986">
        <f>MONTH(A1986)</f>
        <v>5</v>
      </c>
      <c r="W1986" t="str">
        <f>PROPER(TEXT(A1986,"mmmm"))</f>
        <v>Mayo</v>
      </c>
      <c r="X1986" t="str">
        <f>PROPER(TEXT(A1986,"dddd"))</f>
        <v>Lunes</v>
      </c>
      <c r="Y1986" t="str" cm="1">
        <f t="array" ref="Y1986">_xlfn.IFS(R1986&gt;10,"Excelente",R1986&gt;=5,"Bueno",R1986&gt;=2,"Débil",R1986&lt;2,"Deficiente")</f>
        <v>Bueno</v>
      </c>
      <c r="Z1986" t="str">
        <f>IF(AND(R1986&lt;2,Q1986&gt;=100),"Revisar","OK")</f>
        <v>OK</v>
      </c>
      <c r="AA1986" s="55">
        <f>_xlfn.XLOOKUP(C1986,'Preguntas de negocio'!$C$114:$C$119,'Preguntas de negocio'!$D$114:$D$119,0)</f>
        <v>5</v>
      </c>
      <c r="AB1986" s="55">
        <f>VLOOKUP(C1986,'Preguntas de negocio'!$C$121:$D$127,2,FALSE)</f>
        <v>1.1000000000000001</v>
      </c>
    </row>
    <row r="1987" spans="1:28" x14ac:dyDescent="0.3">
      <c r="A1987" s="1">
        <v>45749</v>
      </c>
      <c r="B1987" s="2" t="s">
        <v>2631</v>
      </c>
      <c r="C1987" s="2" t="s">
        <v>2645</v>
      </c>
      <c r="D1987" s="2" t="s">
        <v>2516</v>
      </c>
      <c r="E1987" s="2" t="s">
        <v>2517</v>
      </c>
      <c r="F1987" s="3">
        <v>87557</v>
      </c>
      <c r="G1987" s="3">
        <v>5927</v>
      </c>
      <c r="H1987" s="3">
        <v>583</v>
      </c>
      <c r="I1987" s="4">
        <v>7246.65</v>
      </c>
      <c r="J1987" s="4">
        <v>60482.09</v>
      </c>
      <c r="K1987" s="3">
        <v>442</v>
      </c>
      <c r="L1987" s="2" t="s">
        <v>2539</v>
      </c>
      <c r="M1987" s="2" t="s">
        <v>2526</v>
      </c>
      <c r="N1987" s="8">
        <f>IFERROR(G1987/F1987,0)</f>
        <v>6.7693045673104371E-2</v>
      </c>
      <c r="O1987" s="8">
        <f>IFERROR(H1987/G1987,0)</f>
        <v>9.8363421629829598E-2</v>
      </c>
      <c r="P1987" s="4">
        <f>IFERROR(I1987/G1987,0)</f>
        <v>1.2226505820819975</v>
      </c>
      <c r="Q1987" s="4">
        <f>IFERROR(I1987/H1987,0)</f>
        <v>12.42993138936535</v>
      </c>
      <c r="R1987" s="12">
        <f>IFERROR(J1987/I1987,0)</f>
        <v>8.3462137677409558</v>
      </c>
      <c r="S1987" s="7">
        <f>Tabla_nuevas_columnas[[#This Row],[ROAS]]</f>
        <v>8.3462137677409558</v>
      </c>
      <c r="T1987" t="str">
        <f>_xlfn.CONCAT(C1987,"-",D1987)</f>
        <v>Por identificar-México</v>
      </c>
      <c r="U1987">
        <f>YEAR(A1987)</f>
        <v>2025</v>
      </c>
      <c r="V1987">
        <f>MONTH(A1987)</f>
        <v>4</v>
      </c>
      <c r="W1987" t="str">
        <f>PROPER(TEXT(A1987,"mmmm"))</f>
        <v>Abril</v>
      </c>
      <c r="X1987" t="str">
        <f>PROPER(TEXT(A1987,"dddd"))</f>
        <v>Miércoles</v>
      </c>
      <c r="Y1987" t="str" cm="1">
        <f t="array" ref="Y1987">_xlfn.IFS(R1987&gt;10,"Excelente",R1987&gt;=5,"Bueno",R1987&gt;=2,"Débil",R1987&lt;2,"Deficiente")</f>
        <v>Bueno</v>
      </c>
      <c r="Z1987" t="str">
        <f>IF(AND(R1987&lt;2,Q1987&gt;=100),"Revisar","OK")</f>
        <v>OK</v>
      </c>
      <c r="AA1987" s="55">
        <f>_xlfn.XLOOKUP(C1987,'Preguntas de negocio'!$C$114:$C$119,'Preguntas de negocio'!$D$114:$D$119,0)</f>
        <v>0</v>
      </c>
      <c r="AB1987" s="55">
        <f>VLOOKUP(C1987,'Preguntas de negocio'!$C$121:$D$127,2,FALSE)</f>
        <v>0</v>
      </c>
    </row>
    <row r="1988" spans="1:28" x14ac:dyDescent="0.3">
      <c r="A1988" s="1">
        <v>45846</v>
      </c>
      <c r="B1988" s="2" t="s">
        <v>2618</v>
      </c>
      <c r="C1988" s="2" t="s">
        <v>2533</v>
      </c>
      <c r="D1988" s="2" t="s">
        <v>2528</v>
      </c>
      <c r="E1988" s="2" t="s">
        <v>2529</v>
      </c>
      <c r="F1988" s="3">
        <v>92895</v>
      </c>
      <c r="G1988" s="3">
        <v>2864</v>
      </c>
      <c r="H1988" s="3">
        <v>284</v>
      </c>
      <c r="I1988" s="4">
        <v>1340.52</v>
      </c>
      <c r="J1988" s="4">
        <v>37549.67</v>
      </c>
      <c r="K1988" s="3">
        <v>144</v>
      </c>
      <c r="L1988" s="2" t="s">
        <v>2523</v>
      </c>
      <c r="M1988" s="2" t="s">
        <v>2524</v>
      </c>
      <c r="N1988" s="8">
        <f>IFERROR(G1988/F1988,0)</f>
        <v>3.0830507562301525E-2</v>
      </c>
      <c r="O1988" s="8">
        <f>IFERROR(H1988/G1988,0)</f>
        <v>9.9162011173184364E-2</v>
      </c>
      <c r="P1988" s="4">
        <f>IFERROR(I1988/G1988,0)</f>
        <v>0.46805865921787709</v>
      </c>
      <c r="Q1988" s="4">
        <f>IFERROR(I1988/H1988,0)</f>
        <v>4.7201408450704223</v>
      </c>
      <c r="R1988" s="12">
        <f>IFERROR(J1988/I1988,0)</f>
        <v>28.01127174529287</v>
      </c>
      <c r="S1988" s="7">
        <f>Tabla_nuevas_columnas[[#This Row],[ROAS]]</f>
        <v>28.01127174529287</v>
      </c>
      <c r="T1988" t="str">
        <f>_xlfn.CONCAT(C1988,"-",D1988)</f>
        <v>Paid Social-España</v>
      </c>
      <c r="U1988">
        <f>YEAR(A1988)</f>
        <v>2025</v>
      </c>
      <c r="V1988">
        <f>MONTH(A1988)</f>
        <v>7</v>
      </c>
      <c r="W1988" t="str">
        <f>PROPER(TEXT(A1988,"mmmm"))</f>
        <v>Julio</v>
      </c>
      <c r="X1988" t="str">
        <f>PROPER(TEXT(A1988,"dddd"))</f>
        <v>Martes</v>
      </c>
      <c r="Y1988" t="str" cm="1">
        <f t="array" ref="Y1988">_xlfn.IFS(R1988&gt;10,"Excelente",R1988&gt;=5,"Bueno",R1988&gt;=2,"Débil",R1988&lt;2,"Deficiente")</f>
        <v>Excelente</v>
      </c>
      <c r="Z1988" t="str">
        <f>IF(AND(R1988&lt;2,Q1988&gt;=100),"Revisar","OK")</f>
        <v>OK</v>
      </c>
      <c r="AA1988" s="55">
        <f>_xlfn.XLOOKUP(C1988,'Preguntas de negocio'!$C$114:$C$119,'Preguntas de negocio'!$D$114:$D$119,0)</f>
        <v>6</v>
      </c>
      <c r="AB1988" s="55">
        <f>VLOOKUP(C1988,'Preguntas de negocio'!$C$121:$D$127,2,FALSE)</f>
        <v>0.8</v>
      </c>
    </row>
    <row r="1989" spans="1:28" x14ac:dyDescent="0.3">
      <c r="A1989" s="1">
        <v>45863</v>
      </c>
      <c r="B1989" s="2" t="s">
        <v>2620</v>
      </c>
      <c r="C1989" s="2" t="s">
        <v>2541</v>
      </c>
      <c r="D1989" s="2" t="s">
        <v>2528</v>
      </c>
      <c r="E1989" s="2" t="s">
        <v>2517</v>
      </c>
      <c r="F1989" s="3">
        <v>170831</v>
      </c>
      <c r="G1989" s="3">
        <v>1193</v>
      </c>
      <c r="H1989" s="3">
        <v>142</v>
      </c>
      <c r="I1989" s="4">
        <v>2091.65</v>
      </c>
      <c r="J1989" s="4">
        <v>13203.92</v>
      </c>
      <c r="K1989" s="3">
        <v>85</v>
      </c>
      <c r="L1989" s="2" t="s">
        <v>2539</v>
      </c>
      <c r="M1989" s="2" t="s">
        <v>2526</v>
      </c>
      <c r="N1989" s="8">
        <f>IFERROR(G1989/F1989,0)</f>
        <v>6.9835100186734257E-3</v>
      </c>
      <c r="O1989" s="8">
        <f>IFERROR(H1989/G1989,0)</f>
        <v>0.11902766135792121</v>
      </c>
      <c r="P1989" s="4">
        <f>IFERROR(I1989/G1989,0)</f>
        <v>1.7532690695725064</v>
      </c>
      <c r="Q1989" s="4">
        <f>IFERROR(I1989/H1989,0)</f>
        <v>14.729929577464789</v>
      </c>
      <c r="R1989" s="12">
        <f>IFERROR(J1989/I1989,0)</f>
        <v>6.3126813759472187</v>
      </c>
      <c r="S1989" s="7">
        <f>Tabla_nuevas_columnas[[#This Row],[ROAS]]</f>
        <v>6.3126813759472187</v>
      </c>
      <c r="T1989" t="str">
        <f>_xlfn.CONCAT(C1989,"-",D1989)</f>
        <v>Display-España</v>
      </c>
      <c r="U1989">
        <f>YEAR(A1989)</f>
        <v>2025</v>
      </c>
      <c r="V1989">
        <f>MONTH(A1989)</f>
        <v>7</v>
      </c>
      <c r="W1989" t="str">
        <f>PROPER(TEXT(A1989,"mmmm"))</f>
        <v>Julio</v>
      </c>
      <c r="X1989" t="str">
        <f>PROPER(TEXT(A1989,"dddd"))</f>
        <v>Viernes</v>
      </c>
      <c r="Y1989" t="str" cm="1">
        <f t="array" ref="Y1989">_xlfn.IFS(R1989&gt;10,"Excelente",R1989&gt;=5,"Bueno",R1989&gt;=2,"Débil",R1989&lt;2,"Deficiente")</f>
        <v>Bueno</v>
      </c>
      <c r="Z1989" t="str">
        <f>IF(AND(R1989&lt;2,Q1989&gt;=100),"Revisar","OK")</f>
        <v>OK</v>
      </c>
      <c r="AA1989" s="55">
        <f>_xlfn.XLOOKUP(C1989,'Preguntas de negocio'!$C$114:$C$119,'Preguntas de negocio'!$D$114:$D$119,0)</f>
        <v>5</v>
      </c>
      <c r="AB1989" s="55">
        <f>VLOOKUP(C1989,'Preguntas de negocio'!$C$121:$D$127,2,FALSE)</f>
        <v>0.5</v>
      </c>
    </row>
    <row r="1990" spans="1:28" x14ac:dyDescent="0.3">
      <c r="A1990" s="1">
        <v>45661</v>
      </c>
      <c r="B1990" s="2" t="s">
        <v>2616</v>
      </c>
      <c r="C1990" s="2" t="s">
        <v>2527</v>
      </c>
      <c r="D1990" s="2" t="s">
        <v>2525</v>
      </c>
      <c r="E1990" s="2" t="s">
        <v>2529</v>
      </c>
      <c r="F1990" s="3">
        <v>108607</v>
      </c>
      <c r="G1990" s="3">
        <v>9364</v>
      </c>
      <c r="H1990" s="3">
        <v>1164</v>
      </c>
      <c r="I1990" s="4">
        <v>2454.04</v>
      </c>
      <c r="J1990" s="4">
        <v>243444.23</v>
      </c>
      <c r="K1990" s="3">
        <v>1014</v>
      </c>
      <c r="L1990" s="2" t="s">
        <v>2539</v>
      </c>
      <c r="M1990" s="2" t="s">
        <v>2524</v>
      </c>
      <c r="N1990" s="8">
        <f>IFERROR(G1990/F1990,0)</f>
        <v>8.6219120314528525E-2</v>
      </c>
      <c r="O1990" s="8">
        <f>IFERROR(H1990/G1990,0)</f>
        <v>0.12430585219991457</v>
      </c>
      <c r="P1990" s="4">
        <f>IFERROR(I1990/G1990,0)</f>
        <v>0.26207176420333189</v>
      </c>
      <c r="Q1990" s="4">
        <f>IFERROR(I1990/H1990,0)</f>
        <v>2.1082817869415806</v>
      </c>
      <c r="R1990" s="12">
        <f>IFERROR(J1990/I1990,0)</f>
        <v>99.201410734951352</v>
      </c>
      <c r="S1990" s="7">
        <f>Tabla_nuevas_columnas[[#This Row],[ROAS]]</f>
        <v>99.201410734951352</v>
      </c>
      <c r="T1990" t="str">
        <f>_xlfn.CONCAT(C1990,"-",D1990)</f>
        <v>Affiliate-Francia</v>
      </c>
      <c r="U1990">
        <f>YEAR(A1990)</f>
        <v>2025</v>
      </c>
      <c r="V1990">
        <f>MONTH(A1990)</f>
        <v>1</v>
      </c>
      <c r="W1990" t="str">
        <f>PROPER(TEXT(A1990,"mmmm"))</f>
        <v>Enero</v>
      </c>
      <c r="X1990" t="str">
        <f>PROPER(TEXT(A1990,"dddd"))</f>
        <v>Sábado</v>
      </c>
      <c r="Y1990" t="str" cm="1">
        <f t="array" ref="Y1990">_xlfn.IFS(R1990&gt;10,"Excelente",R1990&gt;=5,"Bueno",R1990&gt;=2,"Débil",R1990&lt;2,"Deficiente")</f>
        <v>Excelente</v>
      </c>
      <c r="Z1990" t="str">
        <f>IF(AND(R1990&lt;2,Q1990&gt;=100),"Revisar","OK")</f>
        <v>OK</v>
      </c>
      <c r="AA1990" s="55">
        <f>_xlfn.XLOOKUP(C1990,'Preguntas de negocio'!$C$114:$C$119,'Preguntas de negocio'!$D$114:$D$119,0)</f>
        <v>4.5</v>
      </c>
      <c r="AB1990" s="55">
        <f>VLOOKUP(C1990,'Preguntas de negocio'!$C$121:$D$127,2,FALSE)</f>
        <v>0.35</v>
      </c>
    </row>
    <row r="1991" spans="1:28" x14ac:dyDescent="0.3">
      <c r="A1991" s="1">
        <v>45753</v>
      </c>
      <c r="B1991" s="2" t="s">
        <v>2619</v>
      </c>
      <c r="C1991" s="2" t="s">
        <v>2541</v>
      </c>
      <c r="D1991" s="2" t="s">
        <v>2522</v>
      </c>
      <c r="E1991" s="2" t="s">
        <v>2517</v>
      </c>
      <c r="F1991" s="3">
        <v>103924</v>
      </c>
      <c r="G1991" s="3">
        <v>7435</v>
      </c>
      <c r="H1991" s="3">
        <v>748</v>
      </c>
      <c r="I1991" s="4">
        <v>10652.13</v>
      </c>
      <c r="J1991" s="4">
        <v>91140.77</v>
      </c>
      <c r="K1991" s="3">
        <v>638</v>
      </c>
      <c r="L1991" s="2" t="s">
        <v>2539</v>
      </c>
      <c r="M1991" s="2" t="s">
        <v>2546</v>
      </c>
      <c r="N1991" s="8">
        <f>IFERROR(G1991/F1991,0)</f>
        <v>7.1542665794234253E-2</v>
      </c>
      <c r="O1991" s="8">
        <f>IFERROR(H1991/G1991,0)</f>
        <v>0.10060524546065905</v>
      </c>
      <c r="P1991" s="4">
        <f>IFERROR(I1991/G1991,0)</f>
        <v>1.4327007397444518</v>
      </c>
      <c r="Q1991" s="4">
        <f>IFERROR(I1991/H1991,0)</f>
        <v>14.24081550802139</v>
      </c>
      <c r="R1991" s="12">
        <f>IFERROR(J1991/I1991,0)</f>
        <v>8.5561075578311581</v>
      </c>
      <c r="S1991" s="7">
        <f>Tabla_nuevas_columnas[[#This Row],[ROAS]]</f>
        <v>8.5561075578311581</v>
      </c>
      <c r="T1991" t="str">
        <f>_xlfn.CONCAT(C1991,"-",D1991)</f>
        <v>Display-Italia</v>
      </c>
      <c r="U1991">
        <f>YEAR(A1991)</f>
        <v>2025</v>
      </c>
      <c r="V1991">
        <f>MONTH(A1991)</f>
        <v>4</v>
      </c>
      <c r="W1991" t="str">
        <f>PROPER(TEXT(A1991,"mmmm"))</f>
        <v>Abril</v>
      </c>
      <c r="X1991" t="str">
        <f>PROPER(TEXT(A1991,"dddd"))</f>
        <v>Domingo</v>
      </c>
      <c r="Y1991" t="str" cm="1">
        <f t="array" ref="Y1991">_xlfn.IFS(R1991&gt;10,"Excelente",R1991&gt;=5,"Bueno",R1991&gt;=2,"Débil",R1991&lt;2,"Deficiente")</f>
        <v>Bueno</v>
      </c>
      <c r="Z1991" t="str">
        <f>IF(AND(R1991&lt;2,Q1991&gt;=100),"Revisar","OK")</f>
        <v>OK</v>
      </c>
      <c r="AA1991" s="55">
        <f>_xlfn.XLOOKUP(C1991,'Preguntas de negocio'!$C$114:$C$119,'Preguntas de negocio'!$D$114:$D$119,0)</f>
        <v>5</v>
      </c>
      <c r="AB1991" s="55">
        <f>VLOOKUP(C1991,'Preguntas de negocio'!$C$121:$D$127,2,FALSE)</f>
        <v>0.5</v>
      </c>
    </row>
    <row r="1992" spans="1:28" x14ac:dyDescent="0.3">
      <c r="A1992" s="1">
        <v>45984</v>
      </c>
      <c r="B1992" s="2" t="s">
        <v>2634</v>
      </c>
      <c r="C1992" s="2" t="s">
        <v>2515</v>
      </c>
      <c r="D1992" s="2" t="s">
        <v>2528</v>
      </c>
      <c r="E1992" s="2" t="s">
        <v>2529</v>
      </c>
      <c r="F1992" s="3">
        <v>135532</v>
      </c>
      <c r="G1992" s="3">
        <v>10997</v>
      </c>
      <c r="H1992" s="3">
        <v>498</v>
      </c>
      <c r="I1992" s="4">
        <v>22907.99</v>
      </c>
      <c r="J1992" s="4">
        <v>88606.06</v>
      </c>
      <c r="K1992" s="3">
        <v>447</v>
      </c>
      <c r="L1992" s="2" t="s">
        <v>2539</v>
      </c>
      <c r="M1992" s="2" t="s">
        <v>2537</v>
      </c>
      <c r="N1992" s="8">
        <f>IFERROR(G1992/F1992,0)</f>
        <v>8.1139509488534073E-2</v>
      </c>
      <c r="O1992" s="8">
        <f>IFERROR(H1992/G1992,0)</f>
        <v>4.5285077748476857E-2</v>
      </c>
      <c r="P1992" s="4">
        <f>IFERROR(I1992/G1992,0)</f>
        <v>2.0831126670910249</v>
      </c>
      <c r="Q1992" s="4">
        <f>IFERROR(I1992/H1992,0)</f>
        <v>45.999979919678715</v>
      </c>
      <c r="R1992" s="12">
        <f>IFERROR(J1992/I1992,0)</f>
        <v>3.8679107158681312</v>
      </c>
      <c r="S1992" s="7">
        <f>Tabla_nuevas_columnas[[#This Row],[ROAS]]</f>
        <v>3.8679107158681312</v>
      </c>
      <c r="T1992" t="str">
        <f>_xlfn.CONCAT(C1992,"-",D1992)</f>
        <v>Email-España</v>
      </c>
      <c r="U1992">
        <f>YEAR(A1992)</f>
        <v>2025</v>
      </c>
      <c r="V1992">
        <f>MONTH(A1992)</f>
        <v>11</v>
      </c>
      <c r="W1992" t="str">
        <f>PROPER(TEXT(A1992,"mmmm"))</f>
        <v>Noviembre</v>
      </c>
      <c r="X1992" t="str">
        <f>PROPER(TEXT(A1992,"dddd"))</f>
        <v>Domingo</v>
      </c>
      <c r="Y1992" t="str" cm="1">
        <f t="array" ref="Y1992">_xlfn.IFS(R1992&gt;10,"Excelente",R1992&gt;=5,"Bueno",R1992&gt;=2,"Débil",R1992&lt;2,"Deficiente")</f>
        <v>Débil</v>
      </c>
      <c r="Z1992" t="str">
        <f>IF(AND(R1992&lt;2,Q1992&gt;=100),"Revisar","OK")</f>
        <v>OK</v>
      </c>
      <c r="AA1992" s="55">
        <f>_xlfn.XLOOKUP(C1992,'Preguntas de negocio'!$C$114:$C$119,'Preguntas de negocio'!$D$114:$D$119,0)</f>
        <v>5.5</v>
      </c>
      <c r="AB1992" s="55">
        <f>VLOOKUP(C1992,'Preguntas de negocio'!$C$121:$D$127,2,FALSE)</f>
        <v>0.65</v>
      </c>
    </row>
    <row r="1993" spans="1:28" x14ac:dyDescent="0.3">
      <c r="A1993" s="1">
        <v>45871</v>
      </c>
      <c r="B1993" s="2" t="s">
        <v>2616</v>
      </c>
      <c r="C1993" s="2" t="s">
        <v>2543</v>
      </c>
      <c r="D1993" s="2" t="s">
        <v>2525</v>
      </c>
      <c r="E1993" s="2" t="s">
        <v>2517</v>
      </c>
      <c r="F1993" s="3">
        <v>169741</v>
      </c>
      <c r="G1993" s="3">
        <v>1978</v>
      </c>
      <c r="H1993" s="3">
        <v>259</v>
      </c>
      <c r="I1993" s="4">
        <v>435.36</v>
      </c>
      <c r="J1993" s="4">
        <v>23300.73</v>
      </c>
      <c r="K1993" s="3">
        <v>158</v>
      </c>
      <c r="L1993" s="2" t="s">
        <v>2523</v>
      </c>
      <c r="M1993" s="2" t="s">
        <v>2519</v>
      </c>
      <c r="N1993" s="8">
        <f>IFERROR(G1993/F1993,0)</f>
        <v>1.1653047878827155E-2</v>
      </c>
      <c r="O1993" s="8">
        <f>IFERROR(H1993/G1993,0)</f>
        <v>0.13094034378159758</v>
      </c>
      <c r="P1993" s="4">
        <f>IFERROR(I1993/G1993,0)</f>
        <v>0.2201011122345804</v>
      </c>
      <c r="Q1993" s="4">
        <f>IFERROR(I1993/H1993,0)</f>
        <v>1.680926640926641</v>
      </c>
      <c r="R1993" s="12">
        <f>IFERROR(J1993/I1993,0)</f>
        <v>53.520603638368243</v>
      </c>
      <c r="S1993" s="7">
        <f>Tabla_nuevas_columnas[[#This Row],[ROAS]]</f>
        <v>53.520603638368243</v>
      </c>
      <c r="T1993" t="str">
        <f>_xlfn.CONCAT(C1993,"-",D1993)</f>
        <v>Organic Social-Francia</v>
      </c>
      <c r="U1993">
        <f>YEAR(A1993)</f>
        <v>2025</v>
      </c>
      <c r="V1993">
        <f>MONTH(A1993)</f>
        <v>8</v>
      </c>
      <c r="W1993" t="str">
        <f>PROPER(TEXT(A1993,"mmmm"))</f>
        <v>Agosto</v>
      </c>
      <c r="X1993" t="str">
        <f>PROPER(TEXT(A1993,"dddd"))</f>
        <v>Sábado</v>
      </c>
      <c r="Y1993" t="str" cm="1">
        <f t="array" ref="Y1993">_xlfn.IFS(R1993&gt;10,"Excelente",R1993&gt;=5,"Bueno",R1993&gt;=2,"Débil",R1993&lt;2,"Deficiente")</f>
        <v>Excelente</v>
      </c>
      <c r="Z1993" t="str">
        <f>IF(AND(R1993&lt;2,Q1993&gt;=100),"Revisar","OK")</f>
        <v>OK</v>
      </c>
      <c r="AA1993" s="55">
        <f>_xlfn.XLOOKUP(C1993,'Preguntas de negocio'!$C$114:$C$119,'Preguntas de negocio'!$D$114:$D$119,0)</f>
        <v>4</v>
      </c>
      <c r="AB1993" s="55">
        <f>VLOOKUP(C1993,'Preguntas de negocio'!$C$121:$D$127,2,FALSE)</f>
        <v>0.95</v>
      </c>
    </row>
    <row r="1994" spans="1:28" x14ac:dyDescent="0.3">
      <c r="A1994" s="1">
        <v>45873</v>
      </c>
      <c r="B1994" s="2" t="s">
        <v>2643</v>
      </c>
      <c r="C1994" s="2" t="s">
        <v>2521</v>
      </c>
      <c r="D1994" s="2" t="s">
        <v>2528</v>
      </c>
      <c r="E1994" s="2" t="s">
        <v>2517</v>
      </c>
      <c r="F1994" s="3">
        <v>5815</v>
      </c>
      <c r="G1994" s="3">
        <v>379</v>
      </c>
      <c r="H1994" s="3">
        <v>19</v>
      </c>
      <c r="I1994" s="4">
        <v>638.59</v>
      </c>
      <c r="J1994" s="4">
        <v>354.26</v>
      </c>
      <c r="K1994" s="3">
        <v>16</v>
      </c>
      <c r="L1994" s="2" t="s">
        <v>2518</v>
      </c>
      <c r="M1994" s="2" t="s">
        <v>2537</v>
      </c>
      <c r="N1994" s="8">
        <f>IFERROR(G1994/F1994,0)</f>
        <v>6.5176268271711094E-2</v>
      </c>
      <c r="O1994" s="8">
        <f>IFERROR(H1994/G1994,0)</f>
        <v>5.0131926121372031E-2</v>
      </c>
      <c r="P1994" s="4">
        <f>IFERROR(I1994/G1994,0)</f>
        <v>1.684934036939314</v>
      </c>
      <c r="Q1994" s="4">
        <f>IFERROR(I1994/H1994,0)</f>
        <v>33.61</v>
      </c>
      <c r="R1994" s="12">
        <f>IFERROR(J1994/I1994,0)</f>
        <v>0.55475344117508885</v>
      </c>
      <c r="S1994" s="7">
        <f>Tabla_nuevas_columnas[[#This Row],[ROAS]]</f>
        <v>0.55475344117508885</v>
      </c>
      <c r="T1994" t="str">
        <f>_xlfn.CONCAT(C1994,"-",D1994)</f>
        <v>Paid Search-España</v>
      </c>
      <c r="U1994">
        <f>YEAR(A1994)</f>
        <v>2025</v>
      </c>
      <c r="V1994">
        <f>MONTH(A1994)</f>
        <v>8</v>
      </c>
      <c r="W1994" t="str">
        <f>PROPER(TEXT(A1994,"mmmm"))</f>
        <v>Agosto</v>
      </c>
      <c r="X1994" t="str">
        <f>PROPER(TEXT(A1994,"dddd"))</f>
        <v>Lunes</v>
      </c>
      <c r="Y1994" t="str" cm="1">
        <f t="array" ref="Y1994">_xlfn.IFS(R1994&gt;10,"Excelente",R1994&gt;=5,"Bueno",R1994&gt;=2,"Débil",R1994&lt;2,"Deficiente")</f>
        <v>Deficiente</v>
      </c>
      <c r="Z1994" t="str">
        <f>IF(AND(R1994&lt;2,Q1994&gt;=100),"Revisar","OK")</f>
        <v>OK</v>
      </c>
      <c r="AA1994" s="55">
        <f>_xlfn.XLOOKUP(C1994,'Preguntas de negocio'!$C$114:$C$119,'Preguntas de negocio'!$D$114:$D$119,0)</f>
        <v>5</v>
      </c>
      <c r="AB1994" s="55">
        <f>VLOOKUP(C1994,'Preguntas de negocio'!$C$121:$D$127,2,FALSE)</f>
        <v>1.1000000000000001</v>
      </c>
    </row>
    <row r="1995" spans="1:28" x14ac:dyDescent="0.3">
      <c r="A1995" s="1">
        <v>45909</v>
      </c>
      <c r="B1995" s="2" t="s">
        <v>2640</v>
      </c>
      <c r="C1995" s="2" t="s">
        <v>2527</v>
      </c>
      <c r="D1995" s="2" t="s">
        <v>2525</v>
      </c>
      <c r="E1995" s="2" t="s">
        <v>2517</v>
      </c>
      <c r="F1995" s="3">
        <v>91403</v>
      </c>
      <c r="G1995" s="3">
        <v>7958</v>
      </c>
      <c r="H1995" s="3">
        <v>355</v>
      </c>
      <c r="I1995" s="4">
        <v>5697.89</v>
      </c>
      <c r="J1995" s="4">
        <v>70001.48</v>
      </c>
      <c r="K1995" s="3">
        <v>164</v>
      </c>
      <c r="L1995" s="2" t="s">
        <v>2518</v>
      </c>
      <c r="M1995" s="2" t="s">
        <v>2546</v>
      </c>
      <c r="N1995" s="8">
        <f>IFERROR(G1995/F1995,0)</f>
        <v>8.706497598547093E-2</v>
      </c>
      <c r="O1995" s="8">
        <f>IFERROR(H1995/G1995,0)</f>
        <v>4.4609198291027899E-2</v>
      </c>
      <c r="P1995" s="4">
        <f>IFERROR(I1995/G1995,0)</f>
        <v>0.71599522493088719</v>
      </c>
      <c r="Q1995" s="4">
        <f>IFERROR(I1995/H1995,0)</f>
        <v>16.050394366197185</v>
      </c>
      <c r="R1995" s="12">
        <f>IFERROR(J1995/I1995,0)</f>
        <v>12.285509197264249</v>
      </c>
      <c r="S1995" s="7">
        <f>Tabla_nuevas_columnas[[#This Row],[ROAS]]</f>
        <v>12.285509197264249</v>
      </c>
      <c r="T1995" t="str">
        <f>_xlfn.CONCAT(C1995,"-",D1995)</f>
        <v>Affiliate-Francia</v>
      </c>
      <c r="U1995">
        <f>YEAR(A1995)</f>
        <v>2025</v>
      </c>
      <c r="V1995">
        <f>MONTH(A1995)</f>
        <v>9</v>
      </c>
      <c r="W1995" t="str">
        <f>PROPER(TEXT(A1995,"mmmm"))</f>
        <v>Septiembre</v>
      </c>
      <c r="X1995" t="str">
        <f>PROPER(TEXT(A1995,"dddd"))</f>
        <v>Martes</v>
      </c>
      <c r="Y1995" t="str" cm="1">
        <f t="array" ref="Y1995">_xlfn.IFS(R1995&gt;10,"Excelente",R1995&gt;=5,"Bueno",R1995&gt;=2,"Débil",R1995&lt;2,"Deficiente")</f>
        <v>Excelente</v>
      </c>
      <c r="Z1995" t="str">
        <f>IF(AND(R1995&lt;2,Q1995&gt;=100),"Revisar","OK")</f>
        <v>OK</v>
      </c>
      <c r="AA1995" s="55">
        <f>_xlfn.XLOOKUP(C1995,'Preguntas de negocio'!$C$114:$C$119,'Preguntas de negocio'!$D$114:$D$119,0)</f>
        <v>4.5</v>
      </c>
      <c r="AB1995" s="55">
        <f>VLOOKUP(C1995,'Preguntas de negocio'!$C$121:$D$127,2,FALSE)</f>
        <v>0.35</v>
      </c>
    </row>
    <row r="1996" spans="1:28" x14ac:dyDescent="0.3">
      <c r="A1996" s="1">
        <v>45899</v>
      </c>
      <c r="B1996" s="2" t="s">
        <v>2625</v>
      </c>
      <c r="C1996" s="2" t="s">
        <v>2521</v>
      </c>
      <c r="D1996" s="2" t="s">
        <v>2528</v>
      </c>
      <c r="E1996" s="2" t="s">
        <v>2517</v>
      </c>
      <c r="F1996" s="3">
        <v>12963</v>
      </c>
      <c r="G1996" s="3">
        <v>1045</v>
      </c>
      <c r="H1996" s="3">
        <v>9</v>
      </c>
      <c r="I1996" s="4">
        <v>347.6</v>
      </c>
      <c r="J1996" s="4">
        <v>478.11</v>
      </c>
      <c r="K1996" s="3">
        <v>5</v>
      </c>
      <c r="L1996" s="2" t="s">
        <v>2518</v>
      </c>
      <c r="M1996" s="2" t="s">
        <v>2546</v>
      </c>
      <c r="N1996" s="8">
        <f>IFERROR(G1996/F1996,0)</f>
        <v>8.0614055388413181E-2</v>
      </c>
      <c r="O1996" s="8">
        <f>IFERROR(H1996/G1996,0)</f>
        <v>8.6124401913875593E-3</v>
      </c>
      <c r="P1996" s="4">
        <f>IFERROR(I1996/G1996,0)</f>
        <v>0.33263157894736844</v>
      </c>
      <c r="Q1996" s="4">
        <f>IFERROR(I1996/H1996,0)</f>
        <v>38.622222222222227</v>
      </c>
      <c r="R1996" s="12">
        <f>IFERROR(J1996/I1996,0)</f>
        <v>1.3754602991944764</v>
      </c>
      <c r="S1996" s="7">
        <f>Tabla_nuevas_columnas[[#This Row],[ROAS]]</f>
        <v>1.3754602991944764</v>
      </c>
      <c r="T1996" t="str">
        <f>_xlfn.CONCAT(C1996,"-",D1996)</f>
        <v>Paid Search-España</v>
      </c>
      <c r="U1996">
        <f>YEAR(A1996)</f>
        <v>2025</v>
      </c>
      <c r="V1996">
        <f>MONTH(A1996)</f>
        <v>8</v>
      </c>
      <c r="W1996" t="str">
        <f>PROPER(TEXT(A1996,"mmmm"))</f>
        <v>Agosto</v>
      </c>
      <c r="X1996" t="str">
        <f>PROPER(TEXT(A1996,"dddd"))</f>
        <v>Sábado</v>
      </c>
      <c r="Y1996" t="str" cm="1">
        <f t="array" ref="Y1996">_xlfn.IFS(R1996&gt;10,"Excelente",R1996&gt;=5,"Bueno",R1996&gt;=2,"Débil",R1996&lt;2,"Deficiente")</f>
        <v>Deficiente</v>
      </c>
      <c r="Z1996" t="str">
        <f>IF(AND(R1996&lt;2,Q1996&gt;=100),"Revisar","OK")</f>
        <v>OK</v>
      </c>
      <c r="AA1996" s="55">
        <f>_xlfn.XLOOKUP(C1996,'Preguntas de negocio'!$C$114:$C$119,'Preguntas de negocio'!$D$114:$D$119,0)</f>
        <v>5</v>
      </c>
      <c r="AB1996" s="55">
        <f>VLOOKUP(C1996,'Preguntas de negocio'!$C$121:$D$127,2,FALSE)</f>
        <v>1.1000000000000001</v>
      </c>
    </row>
    <row r="1997" spans="1:28" x14ac:dyDescent="0.3">
      <c r="A1997" s="1">
        <v>45684</v>
      </c>
      <c r="B1997" s="2" t="s">
        <v>2616</v>
      </c>
      <c r="C1997" s="2" t="s">
        <v>2543</v>
      </c>
      <c r="D1997" s="2" t="s">
        <v>2525</v>
      </c>
      <c r="E1997" s="2" t="s">
        <v>2529</v>
      </c>
      <c r="F1997" s="3">
        <v>16358</v>
      </c>
      <c r="G1997" s="3">
        <v>216</v>
      </c>
      <c r="H1997" s="3">
        <v>2</v>
      </c>
      <c r="I1997" s="4">
        <v>335.2</v>
      </c>
      <c r="J1997" s="4">
        <v>417.2</v>
      </c>
      <c r="K1997" s="3">
        <v>1</v>
      </c>
      <c r="L1997" s="2" t="s">
        <v>2518</v>
      </c>
      <c r="M1997" s="2" t="s">
        <v>2537</v>
      </c>
      <c r="N1997" s="8">
        <f>IFERROR(G1997/F1997,0)</f>
        <v>1.3204548233280352E-2</v>
      </c>
      <c r="O1997" s="8">
        <f>IFERROR(H1997/G1997,0)</f>
        <v>9.2592592592592587E-3</v>
      </c>
      <c r="P1997" s="4">
        <f>IFERROR(I1997/G1997,0)</f>
        <v>1.5518518518518518</v>
      </c>
      <c r="Q1997" s="4">
        <f>IFERROR(I1997/H1997,0)</f>
        <v>167.6</v>
      </c>
      <c r="R1997" s="12">
        <f>IFERROR(J1997/I1997,0)</f>
        <v>1.2446300715990453</v>
      </c>
      <c r="S1997" s="7">
        <f>Tabla_nuevas_columnas[[#This Row],[ROAS]]</f>
        <v>1.2446300715990453</v>
      </c>
      <c r="T1997" t="str">
        <f>_xlfn.CONCAT(C1997,"-",D1997)</f>
        <v>Organic Social-Francia</v>
      </c>
      <c r="U1997">
        <f>YEAR(A1997)</f>
        <v>2025</v>
      </c>
      <c r="V1997">
        <f>MONTH(A1997)</f>
        <v>1</v>
      </c>
      <c r="W1997" t="str">
        <f>PROPER(TEXT(A1997,"mmmm"))</f>
        <v>Enero</v>
      </c>
      <c r="X1997" t="str">
        <f>PROPER(TEXT(A1997,"dddd"))</f>
        <v>Lunes</v>
      </c>
      <c r="Y1997" t="str" cm="1">
        <f t="array" ref="Y1997">_xlfn.IFS(R1997&gt;10,"Excelente",R1997&gt;=5,"Bueno",R1997&gt;=2,"Débil",R1997&lt;2,"Deficiente")</f>
        <v>Deficiente</v>
      </c>
      <c r="Z1997" t="str">
        <f>IF(AND(R1997&lt;2,Q1997&gt;=100),"Revisar","OK")</f>
        <v>Revisar</v>
      </c>
      <c r="AA1997" s="55">
        <f>_xlfn.XLOOKUP(C1997,'Preguntas de negocio'!$C$114:$C$119,'Preguntas de negocio'!$D$114:$D$119,0)</f>
        <v>4</v>
      </c>
      <c r="AB1997" s="55">
        <f>VLOOKUP(C1997,'Preguntas de negocio'!$C$121:$D$127,2,FALSE)</f>
        <v>0.95</v>
      </c>
    </row>
    <row r="1998" spans="1:28" x14ac:dyDescent="0.3">
      <c r="A1998" s="1">
        <v>45906</v>
      </c>
      <c r="B1998" s="2" t="s">
        <v>2630</v>
      </c>
      <c r="C1998" s="2" t="s">
        <v>2543</v>
      </c>
      <c r="D1998" s="2" t="s">
        <v>2528</v>
      </c>
      <c r="E1998" s="2" t="s">
        <v>2517</v>
      </c>
      <c r="F1998" s="3">
        <v>89532</v>
      </c>
      <c r="G1998" s="3">
        <v>5359</v>
      </c>
      <c r="H1998" s="3">
        <v>470</v>
      </c>
      <c r="I1998" s="4">
        <v>2317.08</v>
      </c>
      <c r="J1998" s="4">
        <v>24221.58</v>
      </c>
      <c r="K1998" s="3">
        <v>315</v>
      </c>
      <c r="L1998" s="2" t="s">
        <v>2536</v>
      </c>
      <c r="M1998" s="2" t="s">
        <v>2524</v>
      </c>
      <c r="N1998" s="8">
        <f>IFERROR(G1998/F1998,0)</f>
        <v>5.9855694053522764E-2</v>
      </c>
      <c r="O1998" s="8">
        <f>IFERROR(H1998/G1998,0)</f>
        <v>8.7702929651054307E-2</v>
      </c>
      <c r="P1998" s="4">
        <f>IFERROR(I1998/G1998,0)</f>
        <v>0.43237171114013806</v>
      </c>
      <c r="Q1998" s="4">
        <f>IFERROR(I1998/H1998,0)</f>
        <v>4.9299574468085101</v>
      </c>
      <c r="R1998" s="12">
        <f>IFERROR(J1998/I1998,0)</f>
        <v>10.453493189704284</v>
      </c>
      <c r="S1998" s="7">
        <f>Tabla_nuevas_columnas[[#This Row],[ROAS]]</f>
        <v>10.453493189704284</v>
      </c>
      <c r="T1998" t="str">
        <f>_xlfn.CONCAT(C1998,"-",D1998)</f>
        <v>Organic Social-España</v>
      </c>
      <c r="U1998">
        <f>YEAR(A1998)</f>
        <v>2025</v>
      </c>
      <c r="V1998">
        <f>MONTH(A1998)</f>
        <v>9</v>
      </c>
      <c r="W1998" t="str">
        <f>PROPER(TEXT(A1998,"mmmm"))</f>
        <v>Septiembre</v>
      </c>
      <c r="X1998" t="str">
        <f>PROPER(TEXT(A1998,"dddd"))</f>
        <v>Sábado</v>
      </c>
      <c r="Y1998" t="str" cm="1">
        <f t="array" ref="Y1998">_xlfn.IFS(R1998&gt;10,"Excelente",R1998&gt;=5,"Bueno",R1998&gt;=2,"Débil",R1998&lt;2,"Deficiente")</f>
        <v>Excelente</v>
      </c>
      <c r="Z1998" t="str">
        <f>IF(AND(R1998&lt;2,Q1998&gt;=100),"Revisar","OK")</f>
        <v>OK</v>
      </c>
      <c r="AA1998" s="55">
        <f>_xlfn.XLOOKUP(C1998,'Preguntas de negocio'!$C$114:$C$119,'Preguntas de negocio'!$D$114:$D$119,0)</f>
        <v>4</v>
      </c>
      <c r="AB1998" s="55">
        <f>VLOOKUP(C1998,'Preguntas de negocio'!$C$121:$D$127,2,FALSE)</f>
        <v>0.95</v>
      </c>
    </row>
    <row r="1999" spans="1:28" x14ac:dyDescent="0.3">
      <c r="A1999" s="1">
        <v>45818</v>
      </c>
      <c r="B1999" s="2" t="s">
        <v>2642</v>
      </c>
      <c r="C1999" s="2" t="s">
        <v>2533</v>
      </c>
      <c r="D1999" s="2" t="s">
        <v>2525</v>
      </c>
      <c r="E1999" s="2" t="s">
        <v>2517</v>
      </c>
      <c r="F1999" s="3">
        <v>94815</v>
      </c>
      <c r="G1999" s="3">
        <v>7093</v>
      </c>
      <c r="H1999" s="3">
        <v>671</v>
      </c>
      <c r="I1999" s="4">
        <v>13002.69</v>
      </c>
      <c r="J1999" s="4">
        <v>113993.99</v>
      </c>
      <c r="K1999" s="3">
        <v>420</v>
      </c>
      <c r="L1999" s="2" t="s">
        <v>2536</v>
      </c>
      <c r="M1999" s="2" t="s">
        <v>2537</v>
      </c>
      <c r="N1999" s="8">
        <f>IFERROR(G1999/F1999,0)</f>
        <v>7.4808838263987765E-2</v>
      </c>
      <c r="O1999" s="8">
        <f>IFERROR(H1999/G1999,0)</f>
        <v>9.4600310164951365E-2</v>
      </c>
      <c r="P1999" s="4">
        <f>IFERROR(I1999/G1999,0)</f>
        <v>1.8331721415480051</v>
      </c>
      <c r="Q1999" s="4">
        <f>IFERROR(I1999/H1999,0)</f>
        <v>19.378077496274219</v>
      </c>
      <c r="R1999" s="12">
        <f>IFERROR(J1999/I1999,0)</f>
        <v>8.7669543763636604</v>
      </c>
      <c r="S1999" s="7">
        <f>Tabla_nuevas_columnas[[#This Row],[ROAS]]</f>
        <v>8.7669543763636604</v>
      </c>
      <c r="T1999" t="str">
        <f>_xlfn.CONCAT(C1999,"-",D1999)</f>
        <v>Paid Social-Francia</v>
      </c>
      <c r="U1999">
        <f>YEAR(A1999)</f>
        <v>2025</v>
      </c>
      <c r="V1999">
        <f>MONTH(A1999)</f>
        <v>6</v>
      </c>
      <c r="W1999" t="str">
        <f>PROPER(TEXT(A1999,"mmmm"))</f>
        <v>Junio</v>
      </c>
      <c r="X1999" t="str">
        <f>PROPER(TEXT(A1999,"dddd"))</f>
        <v>Martes</v>
      </c>
      <c r="Y1999" t="str" cm="1">
        <f t="array" ref="Y1999">_xlfn.IFS(R1999&gt;10,"Excelente",R1999&gt;=5,"Bueno",R1999&gt;=2,"Débil",R1999&lt;2,"Deficiente")</f>
        <v>Bueno</v>
      </c>
      <c r="Z1999" t="str">
        <f>IF(AND(R1999&lt;2,Q1999&gt;=100),"Revisar","OK")</f>
        <v>OK</v>
      </c>
      <c r="AA1999" s="55">
        <f>_xlfn.XLOOKUP(C1999,'Preguntas de negocio'!$C$114:$C$119,'Preguntas de negocio'!$D$114:$D$119,0)</f>
        <v>6</v>
      </c>
      <c r="AB1999" s="55">
        <f>VLOOKUP(C1999,'Preguntas de negocio'!$C$121:$D$127,2,FALSE)</f>
        <v>0.8</v>
      </c>
    </row>
    <row r="2000" spans="1:28" x14ac:dyDescent="0.3">
      <c r="A2000" s="1">
        <v>45741</v>
      </c>
      <c r="B2000" s="2" t="s">
        <v>2627</v>
      </c>
      <c r="C2000" s="2" t="s">
        <v>2533</v>
      </c>
      <c r="D2000" s="2" t="s">
        <v>2528</v>
      </c>
      <c r="E2000" s="2" t="s">
        <v>2517</v>
      </c>
      <c r="F2000" s="3">
        <v>149611</v>
      </c>
      <c r="G2000" s="3">
        <v>5200</v>
      </c>
      <c r="H2000" s="3">
        <v>605</v>
      </c>
      <c r="I2000" s="4">
        <v>2523.1799999999998</v>
      </c>
      <c r="J2000" s="4">
        <v>85392.85</v>
      </c>
      <c r="K2000" s="3">
        <v>404</v>
      </c>
      <c r="L2000" s="2" t="s">
        <v>2539</v>
      </c>
      <c r="M2000" s="2" t="s">
        <v>2537</v>
      </c>
      <c r="N2000" s="8">
        <f>IFERROR(G2000/F2000,0)</f>
        <v>3.4756802641517003E-2</v>
      </c>
      <c r="O2000" s="8">
        <f>IFERROR(H2000/G2000,0)</f>
        <v>0.11634615384615385</v>
      </c>
      <c r="P2000" s="4">
        <f>IFERROR(I2000/G2000,0)</f>
        <v>0.48522692307692306</v>
      </c>
      <c r="Q2000" s="4">
        <f>IFERROR(I2000/H2000,0)</f>
        <v>4.1705454545454543</v>
      </c>
      <c r="R2000" s="12">
        <f>IFERROR(J2000/I2000,0)</f>
        <v>33.843344509706007</v>
      </c>
      <c r="S2000" s="7">
        <f>Tabla_nuevas_columnas[[#This Row],[ROAS]]</f>
        <v>33.843344509706007</v>
      </c>
      <c r="T2000" t="str">
        <f>_xlfn.CONCAT(C2000,"-",D2000)</f>
        <v>Paid Social-España</v>
      </c>
      <c r="U2000">
        <f>YEAR(A2000)</f>
        <v>2025</v>
      </c>
      <c r="V2000">
        <f>MONTH(A2000)</f>
        <v>3</v>
      </c>
      <c r="W2000" t="str">
        <f>PROPER(TEXT(A2000,"mmmm"))</f>
        <v>Marzo</v>
      </c>
      <c r="X2000" t="str">
        <f>PROPER(TEXT(A2000,"dddd"))</f>
        <v>Martes</v>
      </c>
      <c r="Y2000" t="str" cm="1">
        <f t="array" ref="Y2000">_xlfn.IFS(R2000&gt;10,"Excelente",R2000&gt;=5,"Bueno",R2000&gt;=2,"Débil",R2000&lt;2,"Deficiente")</f>
        <v>Excelente</v>
      </c>
      <c r="Z2000" t="str">
        <f>IF(AND(R2000&lt;2,Q2000&gt;=100),"Revisar","OK")</f>
        <v>OK</v>
      </c>
      <c r="AA2000" s="55">
        <f>_xlfn.XLOOKUP(C2000,'Preguntas de negocio'!$C$114:$C$119,'Preguntas de negocio'!$D$114:$D$119,0)</f>
        <v>6</v>
      </c>
      <c r="AB2000" s="55">
        <f>VLOOKUP(C2000,'Preguntas de negocio'!$C$121:$D$127,2,FALSE)</f>
        <v>0.8</v>
      </c>
    </row>
    <row r="2001" spans="1:28" x14ac:dyDescent="0.3">
      <c r="A2001" s="1">
        <v>45823</v>
      </c>
      <c r="B2001" s="2" t="s">
        <v>2630</v>
      </c>
      <c r="C2001" s="2" t="s">
        <v>2533</v>
      </c>
      <c r="D2001" s="2" t="s">
        <v>2525</v>
      </c>
      <c r="E2001" s="2" t="s">
        <v>2517</v>
      </c>
      <c r="F2001" s="3">
        <v>52248</v>
      </c>
      <c r="G2001" s="3">
        <v>2491</v>
      </c>
      <c r="H2001" s="3">
        <v>316</v>
      </c>
      <c r="I2001" s="4">
        <v>2233.5300000000002</v>
      </c>
      <c r="J2001" s="4">
        <v>10890.87</v>
      </c>
      <c r="K2001" s="3">
        <v>168</v>
      </c>
      <c r="L2001" s="2" t="s">
        <v>2539</v>
      </c>
      <c r="M2001" s="2" t="s">
        <v>2524</v>
      </c>
      <c r="N2001" s="8">
        <f>IFERROR(G2001/F2001,0)</f>
        <v>4.7676466084826216E-2</v>
      </c>
      <c r="O2001" s="8">
        <f>IFERROR(H2001/G2001,0)</f>
        <v>0.12685668406262546</v>
      </c>
      <c r="P2001" s="4">
        <f>IFERROR(I2001/G2001,0)</f>
        <v>0.89663990365315138</v>
      </c>
      <c r="Q2001" s="4">
        <f>IFERROR(I2001/H2001,0)</f>
        <v>7.0681329113924054</v>
      </c>
      <c r="R2001" s="12">
        <f>IFERROR(J2001/I2001,0)</f>
        <v>4.8760795691125702</v>
      </c>
      <c r="S2001" s="7">
        <f>Tabla_nuevas_columnas[[#This Row],[ROAS]]</f>
        <v>4.8760795691125702</v>
      </c>
      <c r="T2001" t="str">
        <f>_xlfn.CONCAT(C2001,"-",D2001)</f>
        <v>Paid Social-Francia</v>
      </c>
      <c r="U2001">
        <f>YEAR(A2001)</f>
        <v>2025</v>
      </c>
      <c r="V2001">
        <f>MONTH(A2001)</f>
        <v>6</v>
      </c>
      <c r="W2001" t="str">
        <f>PROPER(TEXT(A2001,"mmmm"))</f>
        <v>Junio</v>
      </c>
      <c r="X2001" t="str">
        <f>PROPER(TEXT(A2001,"dddd"))</f>
        <v>Domingo</v>
      </c>
      <c r="Y2001" t="str" cm="1">
        <f t="array" ref="Y2001">_xlfn.IFS(R2001&gt;10,"Excelente",R2001&gt;=5,"Bueno",R2001&gt;=2,"Débil",R2001&lt;2,"Deficiente")</f>
        <v>Débil</v>
      </c>
      <c r="Z2001" t="str">
        <f>IF(AND(R2001&lt;2,Q2001&gt;=100),"Revisar","OK")</f>
        <v>OK</v>
      </c>
      <c r="AA2001" s="55">
        <f>_xlfn.XLOOKUP(C2001,'Preguntas de negocio'!$C$114:$C$119,'Preguntas de negocio'!$D$114:$D$119,0)</f>
        <v>6</v>
      </c>
      <c r="AB2001" s="55">
        <f>VLOOKUP(C2001,'Preguntas de negocio'!$C$121:$D$127,2,FALSE)</f>
        <v>0.8</v>
      </c>
    </row>
    <row r="2002" spans="1:28" x14ac:dyDescent="0.3">
      <c r="A2002" s="1">
        <v>45841</v>
      </c>
      <c r="B2002" s="2" t="s">
        <v>2619</v>
      </c>
      <c r="C2002" s="2" t="s">
        <v>2541</v>
      </c>
      <c r="D2002" s="2" t="s">
        <v>2522</v>
      </c>
      <c r="E2002" s="2" t="s">
        <v>2517</v>
      </c>
      <c r="F2002" s="3">
        <v>86901</v>
      </c>
      <c r="G2002" s="3">
        <v>1804</v>
      </c>
      <c r="H2002" s="3">
        <v>38</v>
      </c>
      <c r="I2002" s="4">
        <v>403.23</v>
      </c>
      <c r="J2002" s="4">
        <v>7719.65</v>
      </c>
      <c r="K2002" s="3">
        <v>22</v>
      </c>
      <c r="L2002" s="2" t="s">
        <v>2539</v>
      </c>
      <c r="M2002" s="2" t="s">
        <v>2537</v>
      </c>
      <c r="N2002" s="8">
        <f>IFERROR(G2002/F2002,0)</f>
        <v>2.0759254784179698E-2</v>
      </c>
      <c r="O2002" s="8">
        <f>IFERROR(H2002/G2002,0)</f>
        <v>2.1064301552106431E-2</v>
      </c>
      <c r="P2002" s="4">
        <f>IFERROR(I2002/G2002,0)</f>
        <v>0.22351995565410201</v>
      </c>
      <c r="Q2002" s="4">
        <f>IFERROR(I2002/H2002,0)</f>
        <v>10.611315789473684</v>
      </c>
      <c r="R2002" s="12">
        <f>IFERROR(J2002/I2002,0)</f>
        <v>19.144532896857871</v>
      </c>
      <c r="S2002" s="7">
        <f>Tabla_nuevas_columnas[[#This Row],[ROAS]]</f>
        <v>19.144532896857871</v>
      </c>
      <c r="T2002" t="str">
        <f>_xlfn.CONCAT(C2002,"-",D2002)</f>
        <v>Display-Italia</v>
      </c>
      <c r="U2002">
        <f>YEAR(A2002)</f>
        <v>2025</v>
      </c>
      <c r="V2002">
        <f>MONTH(A2002)</f>
        <v>7</v>
      </c>
      <c r="W2002" t="str">
        <f>PROPER(TEXT(A2002,"mmmm"))</f>
        <v>Julio</v>
      </c>
      <c r="X2002" t="str">
        <f>PROPER(TEXT(A2002,"dddd"))</f>
        <v>Jueves</v>
      </c>
      <c r="Y2002" t="str" cm="1">
        <f t="array" ref="Y2002">_xlfn.IFS(R2002&gt;10,"Excelente",R2002&gt;=5,"Bueno",R2002&gt;=2,"Débil",R2002&lt;2,"Deficiente")</f>
        <v>Excelente</v>
      </c>
      <c r="Z2002" t="str">
        <f>IF(AND(R2002&lt;2,Q2002&gt;=100),"Revisar","OK")</f>
        <v>OK</v>
      </c>
      <c r="AA2002" s="55">
        <f>_xlfn.XLOOKUP(C2002,'Preguntas de negocio'!$C$114:$C$119,'Preguntas de negocio'!$D$114:$D$119,0)</f>
        <v>5</v>
      </c>
      <c r="AB2002" s="55">
        <f>VLOOKUP(C2002,'Preguntas de negocio'!$C$121:$D$127,2,FALSE)</f>
        <v>0.5</v>
      </c>
    </row>
    <row r="2003" spans="1:28" x14ac:dyDescent="0.3">
      <c r="A2003" s="1">
        <v>45768</v>
      </c>
      <c r="B2003" s="2" t="s">
        <v>2629</v>
      </c>
      <c r="C2003" s="2" t="s">
        <v>2541</v>
      </c>
      <c r="D2003" s="2" t="s">
        <v>2522</v>
      </c>
      <c r="E2003" s="2" t="s">
        <v>2529</v>
      </c>
      <c r="F2003" s="3">
        <v>5619</v>
      </c>
      <c r="G2003" s="3">
        <v>169</v>
      </c>
      <c r="H2003" s="3">
        <v>2</v>
      </c>
      <c r="I2003" s="4">
        <v>256.89999999999998</v>
      </c>
      <c r="J2003" s="4">
        <v>217.56</v>
      </c>
      <c r="K2003" s="3">
        <v>1</v>
      </c>
      <c r="L2003" s="2" t="s">
        <v>2536</v>
      </c>
      <c r="M2003" s="2" t="s">
        <v>2526</v>
      </c>
      <c r="N2003" s="8">
        <f>IFERROR(G2003/F2003,0)</f>
        <v>3.0076526072254851E-2</v>
      </c>
      <c r="O2003" s="8">
        <f>IFERROR(H2003/G2003,0)</f>
        <v>1.1834319526627219E-2</v>
      </c>
      <c r="P2003" s="4">
        <f>IFERROR(I2003/G2003,0)</f>
        <v>1.5201183431952661</v>
      </c>
      <c r="Q2003" s="4">
        <f>IFERROR(I2003/H2003,0)</f>
        <v>128.44999999999999</v>
      </c>
      <c r="R2003" s="12">
        <f>IFERROR(J2003/I2003,0)</f>
        <v>0.84686648501362405</v>
      </c>
      <c r="S2003" s="7">
        <f>Tabla_nuevas_columnas[[#This Row],[ROAS]]</f>
        <v>0.84686648501362405</v>
      </c>
      <c r="T2003" t="str">
        <f>_xlfn.CONCAT(C2003,"-",D2003)</f>
        <v>Display-Italia</v>
      </c>
      <c r="U2003">
        <f>YEAR(A2003)</f>
        <v>2025</v>
      </c>
      <c r="V2003">
        <f>MONTH(A2003)</f>
        <v>4</v>
      </c>
      <c r="W2003" t="str">
        <f>PROPER(TEXT(A2003,"mmmm"))</f>
        <v>Abril</v>
      </c>
      <c r="X2003" t="str">
        <f>PROPER(TEXT(A2003,"dddd"))</f>
        <v>Lunes</v>
      </c>
      <c r="Y2003" t="str" cm="1">
        <f t="array" ref="Y2003">_xlfn.IFS(R2003&gt;10,"Excelente",R2003&gt;=5,"Bueno",R2003&gt;=2,"Débil",R2003&lt;2,"Deficiente")</f>
        <v>Deficiente</v>
      </c>
      <c r="Z2003" t="str">
        <f>IF(AND(R2003&lt;2,Q2003&gt;=100),"Revisar","OK")</f>
        <v>Revisar</v>
      </c>
      <c r="AA2003" s="55">
        <f>_xlfn.XLOOKUP(C2003,'Preguntas de negocio'!$C$114:$C$119,'Preguntas de negocio'!$D$114:$D$119,0)</f>
        <v>5</v>
      </c>
      <c r="AB2003" s="55">
        <f>VLOOKUP(C2003,'Preguntas de negocio'!$C$121:$D$127,2,FALSE)</f>
        <v>0.5</v>
      </c>
    </row>
    <row r="2004" spans="1:28" x14ac:dyDescent="0.3">
      <c r="A2004" s="1">
        <v>45809</v>
      </c>
      <c r="B2004" s="2" t="s">
        <v>2627</v>
      </c>
      <c r="C2004" s="2" t="s">
        <v>2533</v>
      </c>
      <c r="D2004" s="2" t="s">
        <v>2528</v>
      </c>
      <c r="E2004" s="2" t="s">
        <v>2529</v>
      </c>
      <c r="F2004" s="3">
        <v>56113</v>
      </c>
      <c r="G2004" s="3">
        <v>4807</v>
      </c>
      <c r="H2004" s="3">
        <v>109</v>
      </c>
      <c r="I2004" s="4">
        <v>1766.01</v>
      </c>
      <c r="J2004" s="4">
        <v>7812.74</v>
      </c>
      <c r="K2004" s="3">
        <v>57</v>
      </c>
      <c r="L2004" s="2" t="s">
        <v>2536</v>
      </c>
      <c r="M2004" s="2" t="s">
        <v>2526</v>
      </c>
      <c r="N2004" s="8">
        <f>IFERROR(G2004/F2004,0)</f>
        <v>8.5666423110509149E-2</v>
      </c>
      <c r="O2004" s="8">
        <f>IFERROR(H2004/G2004,0)</f>
        <v>2.2675265238194301E-2</v>
      </c>
      <c r="P2004" s="4">
        <f>IFERROR(I2004/G2004,0)</f>
        <v>0.36738298314957352</v>
      </c>
      <c r="Q2004" s="4">
        <f>IFERROR(I2004/H2004,0)</f>
        <v>16.201926605504585</v>
      </c>
      <c r="R2004" s="12">
        <f>IFERROR(J2004/I2004,0)</f>
        <v>4.4239500342580165</v>
      </c>
      <c r="S2004" s="7">
        <f>Tabla_nuevas_columnas[[#This Row],[ROAS]]</f>
        <v>4.4239500342580165</v>
      </c>
      <c r="T2004" t="str">
        <f>_xlfn.CONCAT(C2004,"-",D2004)</f>
        <v>Paid Social-España</v>
      </c>
      <c r="U2004">
        <f>YEAR(A2004)</f>
        <v>2025</v>
      </c>
      <c r="V2004">
        <f>MONTH(A2004)</f>
        <v>6</v>
      </c>
      <c r="W2004" t="str">
        <f>PROPER(TEXT(A2004,"mmmm"))</f>
        <v>Junio</v>
      </c>
      <c r="X2004" t="str">
        <f>PROPER(TEXT(A2004,"dddd"))</f>
        <v>Domingo</v>
      </c>
      <c r="Y2004" t="str" cm="1">
        <f t="array" ref="Y2004">_xlfn.IFS(R2004&gt;10,"Excelente",R2004&gt;=5,"Bueno",R2004&gt;=2,"Débil",R2004&lt;2,"Deficiente")</f>
        <v>Débil</v>
      </c>
      <c r="Z2004" t="str">
        <f>IF(AND(R2004&lt;2,Q2004&gt;=100),"Revisar","OK")</f>
        <v>OK</v>
      </c>
      <c r="AA2004" s="55">
        <f>_xlfn.XLOOKUP(C2004,'Preguntas de negocio'!$C$114:$C$119,'Preguntas de negocio'!$D$114:$D$119,0)</f>
        <v>6</v>
      </c>
      <c r="AB2004" s="55">
        <f>VLOOKUP(C2004,'Preguntas de negocio'!$C$121:$D$127,2,FALSE)</f>
        <v>0.8</v>
      </c>
    </row>
    <row r="2005" spans="1:28" x14ac:dyDescent="0.3">
      <c r="A2005" s="1">
        <v>45707</v>
      </c>
      <c r="B2005" s="2" t="s">
        <v>2635</v>
      </c>
      <c r="C2005" s="2" t="s">
        <v>2527</v>
      </c>
      <c r="D2005" s="2" t="s">
        <v>2531</v>
      </c>
      <c r="E2005" s="2" t="s">
        <v>2517</v>
      </c>
      <c r="F2005" s="3">
        <v>144839</v>
      </c>
      <c r="G2005" s="3">
        <v>3570</v>
      </c>
      <c r="H2005" s="3">
        <v>341</v>
      </c>
      <c r="I2005" s="4">
        <v>5069.47</v>
      </c>
      <c r="J2005" s="4">
        <v>63812.69</v>
      </c>
      <c r="K2005" s="3">
        <v>179</v>
      </c>
      <c r="L2005" s="2" t="s">
        <v>2523</v>
      </c>
      <c r="M2005" s="2" t="s">
        <v>2524</v>
      </c>
      <c r="N2005" s="8">
        <f>IFERROR(G2005/F2005,0)</f>
        <v>2.4648057498325729E-2</v>
      </c>
      <c r="O2005" s="8">
        <f>IFERROR(H2005/G2005,0)</f>
        <v>9.5518207282913159E-2</v>
      </c>
      <c r="P2005" s="4">
        <f>IFERROR(I2005/G2005,0)</f>
        <v>1.4200196078431373</v>
      </c>
      <c r="Q2005" s="4">
        <f>IFERROR(I2005/H2005,0)</f>
        <v>14.866480938416423</v>
      </c>
      <c r="R2005" s="12">
        <f>IFERROR(J2005/I2005,0)</f>
        <v>12.587645256801993</v>
      </c>
      <c r="S2005" s="7">
        <f>Tabla_nuevas_columnas[[#This Row],[ROAS]]</f>
        <v>12.587645256801993</v>
      </c>
      <c r="T2005" t="str">
        <f>_xlfn.CONCAT(C2005,"-",D2005)</f>
        <v>Affiliate-Portugal</v>
      </c>
      <c r="U2005">
        <f>YEAR(A2005)</f>
        <v>2025</v>
      </c>
      <c r="V2005">
        <f>MONTH(A2005)</f>
        <v>2</v>
      </c>
      <c r="W2005" t="str">
        <f>PROPER(TEXT(A2005,"mmmm"))</f>
        <v>Febrero</v>
      </c>
      <c r="X2005" t="str">
        <f>PROPER(TEXT(A2005,"dddd"))</f>
        <v>Miércoles</v>
      </c>
      <c r="Y2005" t="str" cm="1">
        <f t="array" ref="Y2005">_xlfn.IFS(R2005&gt;10,"Excelente",R2005&gt;=5,"Bueno",R2005&gt;=2,"Débil",R2005&lt;2,"Deficiente")</f>
        <v>Excelente</v>
      </c>
      <c r="Z2005" t="str">
        <f>IF(AND(R2005&lt;2,Q2005&gt;=100),"Revisar","OK")</f>
        <v>OK</v>
      </c>
      <c r="AA2005" s="55">
        <f>_xlfn.XLOOKUP(C2005,'Preguntas de negocio'!$C$114:$C$119,'Preguntas de negocio'!$D$114:$D$119,0)</f>
        <v>4.5</v>
      </c>
      <c r="AB2005" s="55">
        <f>VLOOKUP(C2005,'Preguntas de negocio'!$C$121:$D$127,2,FALSE)</f>
        <v>0.35</v>
      </c>
    </row>
    <row r="2006" spans="1:28" x14ac:dyDescent="0.3">
      <c r="A2006" s="1">
        <v>45824</v>
      </c>
      <c r="B2006" s="2" t="s">
        <v>2616</v>
      </c>
      <c r="C2006" s="2" t="s">
        <v>2521</v>
      </c>
      <c r="D2006" s="2" t="s">
        <v>2522</v>
      </c>
      <c r="E2006" s="2" t="s">
        <v>2529</v>
      </c>
      <c r="F2006" s="3">
        <v>52422</v>
      </c>
      <c r="G2006" s="3">
        <v>2784</v>
      </c>
      <c r="H2006" s="3">
        <v>82</v>
      </c>
      <c r="I2006" s="4">
        <v>3392.73</v>
      </c>
      <c r="J2006" s="4">
        <v>7248.37</v>
      </c>
      <c r="K2006" s="3">
        <v>56</v>
      </c>
      <c r="L2006" s="2" t="s">
        <v>2539</v>
      </c>
      <c r="M2006" s="2" t="s">
        <v>2526</v>
      </c>
      <c r="N2006" s="8">
        <f>IFERROR(G2006/F2006,0)</f>
        <v>5.3107473961313954E-2</v>
      </c>
      <c r="O2006" s="8">
        <f>IFERROR(H2006/G2006,0)</f>
        <v>2.9454022988505746E-2</v>
      </c>
      <c r="P2006" s="4">
        <f>IFERROR(I2006/G2006,0)</f>
        <v>1.2186530172413794</v>
      </c>
      <c r="Q2006" s="4">
        <f>IFERROR(I2006/H2006,0)</f>
        <v>41.374756097560976</v>
      </c>
      <c r="R2006" s="12">
        <f>IFERROR(J2006/I2006,0)</f>
        <v>2.136441744553796</v>
      </c>
      <c r="S2006" s="7">
        <f>Tabla_nuevas_columnas[[#This Row],[ROAS]]</f>
        <v>2.136441744553796</v>
      </c>
      <c r="T2006" t="str">
        <f>_xlfn.CONCAT(C2006,"-",D2006)</f>
        <v>Paid Search-Italia</v>
      </c>
      <c r="U2006">
        <f>YEAR(A2006)</f>
        <v>2025</v>
      </c>
      <c r="V2006">
        <f>MONTH(A2006)</f>
        <v>6</v>
      </c>
      <c r="W2006" t="str">
        <f>PROPER(TEXT(A2006,"mmmm"))</f>
        <v>Junio</v>
      </c>
      <c r="X2006" t="str">
        <f>PROPER(TEXT(A2006,"dddd"))</f>
        <v>Lunes</v>
      </c>
      <c r="Y2006" t="str" cm="1">
        <f t="array" ref="Y2006">_xlfn.IFS(R2006&gt;10,"Excelente",R2006&gt;=5,"Bueno",R2006&gt;=2,"Débil",R2006&lt;2,"Deficiente")</f>
        <v>Débil</v>
      </c>
      <c r="Z2006" t="str">
        <f>IF(AND(R2006&lt;2,Q2006&gt;=100),"Revisar","OK")</f>
        <v>OK</v>
      </c>
      <c r="AA2006" s="55">
        <f>_xlfn.XLOOKUP(C2006,'Preguntas de negocio'!$C$114:$C$119,'Preguntas de negocio'!$D$114:$D$119,0)</f>
        <v>5</v>
      </c>
      <c r="AB2006" s="55">
        <f>VLOOKUP(C2006,'Preguntas de negocio'!$C$121:$D$127,2,FALSE)</f>
        <v>1.1000000000000001</v>
      </c>
    </row>
    <row r="2007" spans="1:28" x14ac:dyDescent="0.3">
      <c r="A2007" s="1">
        <v>45734</v>
      </c>
      <c r="B2007" s="2" t="s">
        <v>2635</v>
      </c>
      <c r="C2007" s="2" t="s">
        <v>2543</v>
      </c>
      <c r="D2007" s="2" t="s">
        <v>2525</v>
      </c>
      <c r="E2007" s="2" t="s">
        <v>2529</v>
      </c>
      <c r="F2007" s="3">
        <v>138698</v>
      </c>
      <c r="G2007" s="3">
        <v>4733</v>
      </c>
      <c r="H2007" s="3">
        <v>538</v>
      </c>
      <c r="I2007" s="4">
        <v>4525.8900000000003</v>
      </c>
      <c r="J2007" s="4">
        <v>35285.53</v>
      </c>
      <c r="K2007" s="3">
        <v>373</v>
      </c>
      <c r="L2007" s="2" t="s">
        <v>2518</v>
      </c>
      <c r="M2007" s="2" t="s">
        <v>2537</v>
      </c>
      <c r="N2007" s="8">
        <f>IFERROR(G2007/F2007,0)</f>
        <v>3.4124500713781022E-2</v>
      </c>
      <c r="O2007" s="8">
        <f>IFERROR(H2007/G2007,0)</f>
        <v>0.11366997675892669</v>
      </c>
      <c r="P2007" s="4">
        <f>IFERROR(I2007/G2007,0)</f>
        <v>0.9562412845975069</v>
      </c>
      <c r="Q2007" s="4">
        <f>IFERROR(I2007/H2007,0)</f>
        <v>8.4124349442379192</v>
      </c>
      <c r="R2007" s="12">
        <f>IFERROR(J2007/I2007,0)</f>
        <v>7.7963737519029399</v>
      </c>
      <c r="S2007" s="7">
        <f>Tabla_nuevas_columnas[[#This Row],[ROAS]]</f>
        <v>7.7963737519029399</v>
      </c>
      <c r="T2007" t="str">
        <f>_xlfn.CONCAT(C2007,"-",D2007)</f>
        <v>Organic Social-Francia</v>
      </c>
      <c r="U2007">
        <f>YEAR(A2007)</f>
        <v>2025</v>
      </c>
      <c r="V2007">
        <f>MONTH(A2007)</f>
        <v>3</v>
      </c>
      <c r="W2007" t="str">
        <f>PROPER(TEXT(A2007,"mmmm"))</f>
        <v>Marzo</v>
      </c>
      <c r="X2007" t="str">
        <f>PROPER(TEXT(A2007,"dddd"))</f>
        <v>Martes</v>
      </c>
      <c r="Y2007" t="str" cm="1">
        <f t="array" ref="Y2007">_xlfn.IFS(R2007&gt;10,"Excelente",R2007&gt;=5,"Bueno",R2007&gt;=2,"Débil",R2007&lt;2,"Deficiente")</f>
        <v>Bueno</v>
      </c>
      <c r="Z2007" t="str">
        <f>IF(AND(R2007&lt;2,Q2007&gt;=100),"Revisar","OK")</f>
        <v>OK</v>
      </c>
      <c r="AA2007" s="55">
        <f>_xlfn.XLOOKUP(C2007,'Preguntas de negocio'!$C$114:$C$119,'Preguntas de negocio'!$D$114:$D$119,0)</f>
        <v>4</v>
      </c>
      <c r="AB2007" s="55">
        <f>VLOOKUP(C2007,'Preguntas de negocio'!$C$121:$D$127,2,FALSE)</f>
        <v>0.95</v>
      </c>
    </row>
    <row r="2008" spans="1:28" x14ac:dyDescent="0.3">
      <c r="A2008" s="1">
        <v>45918</v>
      </c>
      <c r="B2008" s="2" t="s">
        <v>2633</v>
      </c>
      <c r="C2008" s="2" t="s">
        <v>2515</v>
      </c>
      <c r="D2008" s="2" t="s">
        <v>2528</v>
      </c>
      <c r="E2008" s="2" t="s">
        <v>2517</v>
      </c>
      <c r="F2008" s="3">
        <v>114463</v>
      </c>
      <c r="G2008" s="3">
        <v>2867</v>
      </c>
      <c r="H2008" s="3">
        <v>117</v>
      </c>
      <c r="I2008" s="4">
        <v>1098.54</v>
      </c>
      <c r="J2008" s="4">
        <v>16731.13</v>
      </c>
      <c r="K2008" s="3">
        <v>61</v>
      </c>
      <c r="L2008" s="2" t="s">
        <v>2539</v>
      </c>
      <c r="M2008" s="2" t="s">
        <v>2519</v>
      </c>
      <c r="N2008" s="8">
        <f>IFERROR(G2008/F2008,0)</f>
        <v>2.5047395228152327E-2</v>
      </c>
      <c r="O2008" s="8">
        <f>IFERROR(H2008/G2008,0)</f>
        <v>4.0809208231600974E-2</v>
      </c>
      <c r="P2008" s="4">
        <f>IFERROR(I2008/G2008,0)</f>
        <v>0.38316707359609348</v>
      </c>
      <c r="Q2008" s="4">
        <f>IFERROR(I2008/H2008,0)</f>
        <v>9.3892307692307693</v>
      </c>
      <c r="R2008" s="12">
        <f>IFERROR(J2008/I2008,0)</f>
        <v>15.230332987419667</v>
      </c>
      <c r="S2008" s="7">
        <f>Tabla_nuevas_columnas[[#This Row],[ROAS]]</f>
        <v>15.230332987419667</v>
      </c>
      <c r="T2008" t="str">
        <f>_xlfn.CONCAT(C2008,"-",D2008)</f>
        <v>Email-España</v>
      </c>
      <c r="U2008">
        <f>YEAR(A2008)</f>
        <v>2025</v>
      </c>
      <c r="V2008">
        <f>MONTH(A2008)</f>
        <v>9</v>
      </c>
      <c r="W2008" t="str">
        <f>PROPER(TEXT(A2008,"mmmm"))</f>
        <v>Septiembre</v>
      </c>
      <c r="X2008" t="str">
        <f>PROPER(TEXT(A2008,"dddd"))</f>
        <v>Jueves</v>
      </c>
      <c r="Y2008" t="str" cm="1">
        <f t="array" ref="Y2008">_xlfn.IFS(R2008&gt;10,"Excelente",R2008&gt;=5,"Bueno",R2008&gt;=2,"Débil",R2008&lt;2,"Deficiente")</f>
        <v>Excelente</v>
      </c>
      <c r="Z2008" t="str">
        <f>IF(AND(R2008&lt;2,Q2008&gt;=100),"Revisar","OK")</f>
        <v>OK</v>
      </c>
      <c r="AA2008" s="55">
        <f>_xlfn.XLOOKUP(C2008,'Preguntas de negocio'!$C$114:$C$119,'Preguntas de negocio'!$D$114:$D$119,0)</f>
        <v>5.5</v>
      </c>
      <c r="AB2008" s="55">
        <f>VLOOKUP(C2008,'Preguntas de negocio'!$C$121:$D$127,2,FALSE)</f>
        <v>0.65</v>
      </c>
    </row>
    <row r="2009" spans="1:28" x14ac:dyDescent="0.3">
      <c r="A2009" s="1">
        <v>45917</v>
      </c>
      <c r="B2009" s="2" t="s">
        <v>2641</v>
      </c>
      <c r="C2009" s="2" t="s">
        <v>2541</v>
      </c>
      <c r="D2009" s="2" t="s">
        <v>2528</v>
      </c>
      <c r="E2009" s="2" t="s">
        <v>2517</v>
      </c>
      <c r="F2009" s="3">
        <v>128688</v>
      </c>
      <c r="G2009" s="3">
        <v>7011</v>
      </c>
      <c r="H2009" s="3">
        <v>864</v>
      </c>
      <c r="I2009" s="4">
        <v>10793.34</v>
      </c>
      <c r="J2009" s="4">
        <v>139922.59</v>
      </c>
      <c r="K2009" s="3">
        <v>562</v>
      </c>
      <c r="L2009" s="2" t="s">
        <v>2539</v>
      </c>
      <c r="M2009" s="2" t="s">
        <v>2537</v>
      </c>
      <c r="N2009" s="8">
        <f>IFERROR(G2009/F2009,0)</f>
        <v>5.4480604252144724E-2</v>
      </c>
      <c r="O2009" s="8">
        <f>IFERROR(H2009/G2009,0)</f>
        <v>0.12323491655969192</v>
      </c>
      <c r="P2009" s="4">
        <f>IFERROR(I2009/G2009,0)</f>
        <v>1.5394865211810014</v>
      </c>
      <c r="Q2009" s="4">
        <f>IFERROR(I2009/H2009,0)</f>
        <v>12.492291666666667</v>
      </c>
      <c r="R2009" s="12">
        <f>IFERROR(J2009/I2009,0)</f>
        <v>12.963789707356574</v>
      </c>
      <c r="S2009" s="7">
        <f>Tabla_nuevas_columnas[[#This Row],[ROAS]]</f>
        <v>12.963789707356574</v>
      </c>
      <c r="T2009" t="str">
        <f>_xlfn.CONCAT(C2009,"-",D2009)</f>
        <v>Display-España</v>
      </c>
      <c r="U2009">
        <f>YEAR(A2009)</f>
        <v>2025</v>
      </c>
      <c r="V2009">
        <f>MONTH(A2009)</f>
        <v>9</v>
      </c>
      <c r="W2009" t="str">
        <f>PROPER(TEXT(A2009,"mmmm"))</f>
        <v>Septiembre</v>
      </c>
      <c r="X2009" t="str">
        <f>PROPER(TEXT(A2009,"dddd"))</f>
        <v>Miércoles</v>
      </c>
      <c r="Y2009" t="str" cm="1">
        <f t="array" ref="Y2009">_xlfn.IFS(R2009&gt;10,"Excelente",R2009&gt;=5,"Bueno",R2009&gt;=2,"Débil",R2009&lt;2,"Deficiente")</f>
        <v>Excelente</v>
      </c>
      <c r="Z2009" t="str">
        <f>IF(AND(R2009&lt;2,Q2009&gt;=100),"Revisar","OK")</f>
        <v>OK</v>
      </c>
      <c r="AA2009" s="55">
        <f>_xlfn.XLOOKUP(C2009,'Preguntas de negocio'!$C$114:$C$119,'Preguntas de negocio'!$D$114:$D$119,0)</f>
        <v>5</v>
      </c>
      <c r="AB2009" s="55">
        <f>VLOOKUP(C2009,'Preguntas de negocio'!$C$121:$D$127,2,FALSE)</f>
        <v>0.5</v>
      </c>
    </row>
    <row r="2010" spans="1:28" x14ac:dyDescent="0.3">
      <c r="A2010" s="1">
        <v>45681</v>
      </c>
      <c r="B2010" s="2" t="s">
        <v>2642</v>
      </c>
      <c r="C2010" s="2" t="s">
        <v>2533</v>
      </c>
      <c r="D2010" s="2" t="s">
        <v>2516</v>
      </c>
      <c r="E2010" s="2" t="s">
        <v>2517</v>
      </c>
      <c r="F2010" s="3">
        <v>76646</v>
      </c>
      <c r="G2010" s="3">
        <v>5658</v>
      </c>
      <c r="H2010" s="3">
        <v>491</v>
      </c>
      <c r="I2010" s="4">
        <v>11109.67</v>
      </c>
      <c r="J2010" s="4">
        <v>30476.62</v>
      </c>
      <c r="K2010" s="3">
        <v>382</v>
      </c>
      <c r="L2010" s="2" t="s">
        <v>2539</v>
      </c>
      <c r="M2010" s="2" t="s">
        <v>2524</v>
      </c>
      <c r="N2010" s="8">
        <f>IFERROR(G2010/F2010,0)</f>
        <v>7.3819899277196468E-2</v>
      </c>
      <c r="O2010" s="8">
        <f>IFERROR(H2010/G2010,0)</f>
        <v>8.677978084128668E-2</v>
      </c>
      <c r="P2010" s="4">
        <f>IFERROR(I2010/G2010,0)</f>
        <v>1.9635330505478967</v>
      </c>
      <c r="Q2010" s="4">
        <f>IFERROR(I2010/H2010,0)</f>
        <v>22.626619144602852</v>
      </c>
      <c r="R2010" s="12">
        <f>IFERROR(J2010/I2010,0)</f>
        <v>2.7432515997324853</v>
      </c>
      <c r="S2010" s="7">
        <f>Tabla_nuevas_columnas[[#This Row],[ROAS]]</f>
        <v>2.7432515997324853</v>
      </c>
      <c r="T2010" t="str">
        <f>_xlfn.CONCAT(C2010,"-",D2010)</f>
        <v>Paid Social-México</v>
      </c>
      <c r="U2010">
        <f>YEAR(A2010)</f>
        <v>2025</v>
      </c>
      <c r="V2010">
        <f>MONTH(A2010)</f>
        <v>1</v>
      </c>
      <c r="W2010" t="str">
        <f>PROPER(TEXT(A2010,"mmmm"))</f>
        <v>Enero</v>
      </c>
      <c r="X2010" t="str">
        <f>PROPER(TEXT(A2010,"dddd"))</f>
        <v>Viernes</v>
      </c>
      <c r="Y2010" t="str" cm="1">
        <f t="array" ref="Y2010">_xlfn.IFS(R2010&gt;10,"Excelente",R2010&gt;=5,"Bueno",R2010&gt;=2,"Débil",R2010&lt;2,"Deficiente")</f>
        <v>Débil</v>
      </c>
      <c r="Z2010" t="str">
        <f>IF(AND(R2010&lt;2,Q2010&gt;=100),"Revisar","OK")</f>
        <v>OK</v>
      </c>
      <c r="AA2010" s="55">
        <f>_xlfn.XLOOKUP(C2010,'Preguntas de negocio'!$C$114:$C$119,'Preguntas de negocio'!$D$114:$D$119,0)</f>
        <v>6</v>
      </c>
      <c r="AB2010" s="55">
        <f>VLOOKUP(C2010,'Preguntas de negocio'!$C$121:$D$127,2,FALSE)</f>
        <v>0.8</v>
      </c>
    </row>
    <row r="2011" spans="1:28" x14ac:dyDescent="0.3">
      <c r="A2011" s="1">
        <v>45799</v>
      </c>
      <c r="B2011" s="2" t="s">
        <v>2637</v>
      </c>
      <c r="C2011" s="2" t="s">
        <v>2541</v>
      </c>
      <c r="D2011" s="2" t="s">
        <v>2528</v>
      </c>
      <c r="E2011" s="2" t="s">
        <v>2529</v>
      </c>
      <c r="F2011" s="3">
        <v>89483</v>
      </c>
      <c r="G2011" s="3">
        <v>4811</v>
      </c>
      <c r="H2011" s="3">
        <v>546</v>
      </c>
      <c r="I2011" s="4">
        <v>8003.55</v>
      </c>
      <c r="J2011" s="4">
        <v>101011.36</v>
      </c>
      <c r="K2011" s="3">
        <v>332</v>
      </c>
      <c r="L2011" s="2" t="s">
        <v>2518</v>
      </c>
      <c r="M2011" s="2" t="s">
        <v>2526</v>
      </c>
      <c r="N2011" s="8">
        <f>IFERROR(G2011/F2011,0)</f>
        <v>5.3764402176949812E-2</v>
      </c>
      <c r="O2011" s="8">
        <f>IFERROR(H2011/G2011,0)</f>
        <v>0.11348991893577219</v>
      </c>
      <c r="P2011" s="4">
        <f>IFERROR(I2011/G2011,0)</f>
        <v>1.6635938474329661</v>
      </c>
      <c r="Q2011" s="4">
        <f>IFERROR(I2011/H2011,0)</f>
        <v>14.658516483516484</v>
      </c>
      <c r="R2011" s="12">
        <f>IFERROR(J2011/I2011,0)</f>
        <v>12.620819511341843</v>
      </c>
      <c r="S2011" s="7">
        <f>Tabla_nuevas_columnas[[#This Row],[ROAS]]</f>
        <v>12.620819511341843</v>
      </c>
      <c r="T2011" t="str">
        <f>_xlfn.CONCAT(C2011,"-",D2011)</f>
        <v>Display-España</v>
      </c>
      <c r="U2011">
        <f>YEAR(A2011)</f>
        <v>2025</v>
      </c>
      <c r="V2011">
        <f>MONTH(A2011)</f>
        <v>5</v>
      </c>
      <c r="W2011" t="str">
        <f>PROPER(TEXT(A2011,"mmmm"))</f>
        <v>Mayo</v>
      </c>
      <c r="X2011" t="str">
        <f>PROPER(TEXT(A2011,"dddd"))</f>
        <v>Jueves</v>
      </c>
      <c r="Y2011" t="str" cm="1">
        <f t="array" ref="Y2011">_xlfn.IFS(R2011&gt;10,"Excelente",R2011&gt;=5,"Bueno",R2011&gt;=2,"Débil",R2011&lt;2,"Deficiente")</f>
        <v>Excelente</v>
      </c>
      <c r="Z2011" t="str">
        <f>IF(AND(R2011&lt;2,Q2011&gt;=100),"Revisar","OK")</f>
        <v>OK</v>
      </c>
      <c r="AA2011" s="55">
        <f>_xlfn.XLOOKUP(C2011,'Preguntas de negocio'!$C$114:$C$119,'Preguntas de negocio'!$D$114:$D$119,0)</f>
        <v>5</v>
      </c>
      <c r="AB2011" s="55">
        <f>VLOOKUP(C2011,'Preguntas de negocio'!$C$121:$D$127,2,FALSE)</f>
        <v>0.5</v>
      </c>
    </row>
    <row r="2012" spans="1:28" x14ac:dyDescent="0.3">
      <c r="A2012" s="1">
        <v>45797</v>
      </c>
      <c r="B2012" s="2" t="s">
        <v>2624</v>
      </c>
      <c r="C2012" s="2" t="s">
        <v>2527</v>
      </c>
      <c r="D2012" s="2" t="s">
        <v>2528</v>
      </c>
      <c r="E2012" s="2" t="s">
        <v>2529</v>
      </c>
      <c r="F2012" s="3">
        <v>96853</v>
      </c>
      <c r="G2012" s="3">
        <v>6773</v>
      </c>
      <c r="H2012" s="3">
        <v>671</v>
      </c>
      <c r="I2012" s="4">
        <v>8322.19</v>
      </c>
      <c r="J2012" s="4">
        <v>72995.92</v>
      </c>
      <c r="K2012" s="3">
        <v>346</v>
      </c>
      <c r="L2012" s="2" t="s">
        <v>2539</v>
      </c>
      <c r="M2012" s="2" t="s">
        <v>2546</v>
      </c>
      <c r="N2012" s="8">
        <f>IFERROR(G2012/F2012,0)</f>
        <v>6.9930719750549805E-2</v>
      </c>
      <c r="O2012" s="8">
        <f>IFERROR(H2012/G2012,0)</f>
        <v>9.9069836113981985E-2</v>
      </c>
      <c r="P2012" s="4">
        <f>IFERROR(I2012/G2012,0)</f>
        <v>1.2287302524730548</v>
      </c>
      <c r="Q2012" s="4">
        <f>IFERROR(I2012/H2012,0)</f>
        <v>12.402667660208644</v>
      </c>
      <c r="R2012" s="12">
        <f>IFERROR(J2012/I2012,0)</f>
        <v>8.771239301193555</v>
      </c>
      <c r="S2012" s="7">
        <f>Tabla_nuevas_columnas[[#This Row],[ROAS]]</f>
        <v>8.771239301193555</v>
      </c>
      <c r="T2012" t="str">
        <f>_xlfn.CONCAT(C2012,"-",D2012)</f>
        <v>Affiliate-España</v>
      </c>
      <c r="U2012">
        <f>YEAR(A2012)</f>
        <v>2025</v>
      </c>
      <c r="V2012">
        <f>MONTH(A2012)</f>
        <v>5</v>
      </c>
      <c r="W2012" t="str">
        <f>PROPER(TEXT(A2012,"mmmm"))</f>
        <v>Mayo</v>
      </c>
      <c r="X2012" t="str">
        <f>PROPER(TEXT(A2012,"dddd"))</f>
        <v>Martes</v>
      </c>
      <c r="Y2012" t="str" cm="1">
        <f t="array" ref="Y2012">_xlfn.IFS(R2012&gt;10,"Excelente",R2012&gt;=5,"Bueno",R2012&gt;=2,"Débil",R2012&lt;2,"Deficiente")</f>
        <v>Bueno</v>
      </c>
      <c r="Z2012" t="str">
        <f>IF(AND(R2012&lt;2,Q2012&gt;=100),"Revisar","OK")</f>
        <v>OK</v>
      </c>
      <c r="AA2012" s="55">
        <f>_xlfn.XLOOKUP(C2012,'Preguntas de negocio'!$C$114:$C$119,'Preguntas de negocio'!$D$114:$D$119,0)</f>
        <v>4.5</v>
      </c>
      <c r="AB2012" s="55">
        <f>VLOOKUP(C2012,'Preguntas de negocio'!$C$121:$D$127,2,FALSE)</f>
        <v>0.35</v>
      </c>
    </row>
    <row r="2013" spans="1:28" x14ac:dyDescent="0.3">
      <c r="A2013" s="1">
        <v>45815</v>
      </c>
      <c r="B2013" s="2" t="s">
        <v>2635</v>
      </c>
      <c r="C2013" s="2" t="s">
        <v>2533</v>
      </c>
      <c r="D2013" s="2" t="s">
        <v>2528</v>
      </c>
      <c r="E2013" s="2" t="s">
        <v>2534</v>
      </c>
      <c r="F2013" s="3">
        <v>149538</v>
      </c>
      <c r="G2013" s="3">
        <v>3411</v>
      </c>
      <c r="H2013" s="3">
        <v>76</v>
      </c>
      <c r="I2013" s="4">
        <v>987.41</v>
      </c>
      <c r="J2013" s="4">
        <v>14669.32</v>
      </c>
      <c r="K2013" s="3">
        <v>53</v>
      </c>
      <c r="L2013" s="2" t="s">
        <v>2536</v>
      </c>
      <c r="M2013" s="2" t="s">
        <v>2524</v>
      </c>
      <c r="N2013" s="8">
        <f>IFERROR(G2013/F2013,0)</f>
        <v>2.2810255587208603E-2</v>
      </c>
      <c r="O2013" s="8">
        <f>IFERROR(H2013/G2013,0)</f>
        <v>2.2280856053943126E-2</v>
      </c>
      <c r="P2013" s="4">
        <f>IFERROR(I2013/G2013,0)</f>
        <v>0.28947815889768397</v>
      </c>
      <c r="Q2013" s="4">
        <f>IFERROR(I2013/H2013,0)</f>
        <v>12.992236842105262</v>
      </c>
      <c r="R2013" s="12">
        <f>IFERROR(J2013/I2013,0)</f>
        <v>14.856361592448932</v>
      </c>
      <c r="S2013" s="7">
        <f>Tabla_nuevas_columnas[[#This Row],[ROAS]]</f>
        <v>14.856361592448932</v>
      </c>
      <c r="T2013" t="str">
        <f>_xlfn.CONCAT(C2013,"-",D2013)</f>
        <v>Paid Social-España</v>
      </c>
      <c r="U2013">
        <f>YEAR(A2013)</f>
        <v>2025</v>
      </c>
      <c r="V2013">
        <f>MONTH(A2013)</f>
        <v>6</v>
      </c>
      <c r="W2013" t="str">
        <f>PROPER(TEXT(A2013,"mmmm"))</f>
        <v>Junio</v>
      </c>
      <c r="X2013" t="str">
        <f>PROPER(TEXT(A2013,"dddd"))</f>
        <v>Sábado</v>
      </c>
      <c r="Y2013" t="str" cm="1">
        <f t="array" ref="Y2013">_xlfn.IFS(R2013&gt;10,"Excelente",R2013&gt;=5,"Bueno",R2013&gt;=2,"Débil",R2013&lt;2,"Deficiente")</f>
        <v>Excelente</v>
      </c>
      <c r="Z2013" t="str">
        <f>IF(AND(R2013&lt;2,Q2013&gt;=100),"Revisar","OK")</f>
        <v>OK</v>
      </c>
      <c r="AA2013" s="55">
        <f>_xlfn.XLOOKUP(C2013,'Preguntas de negocio'!$C$114:$C$119,'Preguntas de negocio'!$D$114:$D$119,0)</f>
        <v>6</v>
      </c>
      <c r="AB2013" s="55">
        <f>VLOOKUP(C2013,'Preguntas de negocio'!$C$121:$D$127,2,FALSE)</f>
        <v>0.8</v>
      </c>
    </row>
    <row r="2014" spans="1:28" x14ac:dyDescent="0.3">
      <c r="A2014" s="1">
        <v>45714</v>
      </c>
      <c r="B2014" s="2" t="s">
        <v>2628</v>
      </c>
      <c r="C2014" s="2" t="s">
        <v>2527</v>
      </c>
      <c r="D2014" s="2" t="s">
        <v>2528</v>
      </c>
      <c r="E2014" s="2" t="s">
        <v>2517</v>
      </c>
      <c r="F2014" s="3">
        <v>148207</v>
      </c>
      <c r="G2014" s="3">
        <v>1289</v>
      </c>
      <c r="H2014" s="3">
        <v>95</v>
      </c>
      <c r="I2014" s="4">
        <v>1939.69</v>
      </c>
      <c r="J2014" s="4">
        <v>20368.64</v>
      </c>
      <c r="K2014" s="3">
        <v>51</v>
      </c>
      <c r="L2014" s="2" t="s">
        <v>2523</v>
      </c>
      <c r="M2014" s="2" t="s">
        <v>2537</v>
      </c>
      <c r="N2014" s="8">
        <f>IFERROR(G2014/F2014,0)</f>
        <v>8.6972949995614245E-3</v>
      </c>
      <c r="O2014" s="8">
        <f>IFERROR(H2014/G2014,0)</f>
        <v>7.3700543056633053E-2</v>
      </c>
      <c r="P2014" s="4">
        <f>IFERROR(I2014/G2014,0)</f>
        <v>1.5048021722265323</v>
      </c>
      <c r="Q2014" s="4">
        <f>IFERROR(I2014/H2014,0)</f>
        <v>20.417789473684213</v>
      </c>
      <c r="R2014" s="12">
        <f>IFERROR(J2014/I2014,0)</f>
        <v>10.500976960235914</v>
      </c>
      <c r="S2014" s="7">
        <f>Tabla_nuevas_columnas[[#This Row],[ROAS]]</f>
        <v>10.500976960235914</v>
      </c>
      <c r="T2014" t="str">
        <f>_xlfn.CONCAT(C2014,"-",D2014)</f>
        <v>Affiliate-España</v>
      </c>
      <c r="U2014">
        <f>YEAR(A2014)</f>
        <v>2025</v>
      </c>
      <c r="V2014">
        <f>MONTH(A2014)</f>
        <v>2</v>
      </c>
      <c r="W2014" t="str">
        <f>PROPER(TEXT(A2014,"mmmm"))</f>
        <v>Febrero</v>
      </c>
      <c r="X2014" t="str">
        <f>PROPER(TEXT(A2014,"dddd"))</f>
        <v>Miércoles</v>
      </c>
      <c r="Y2014" t="str" cm="1">
        <f t="array" ref="Y2014">_xlfn.IFS(R2014&gt;10,"Excelente",R2014&gt;=5,"Bueno",R2014&gt;=2,"Débil",R2014&lt;2,"Deficiente")</f>
        <v>Excelente</v>
      </c>
      <c r="Z2014" t="str">
        <f>IF(AND(R2014&lt;2,Q2014&gt;=100),"Revisar","OK")</f>
        <v>OK</v>
      </c>
      <c r="AA2014" s="55">
        <f>_xlfn.XLOOKUP(C2014,'Preguntas de negocio'!$C$114:$C$119,'Preguntas de negocio'!$D$114:$D$119,0)</f>
        <v>4.5</v>
      </c>
      <c r="AB2014" s="55">
        <f>VLOOKUP(C2014,'Preguntas de negocio'!$C$121:$D$127,2,FALSE)</f>
        <v>0.35</v>
      </c>
    </row>
    <row r="2015" spans="1:28" x14ac:dyDescent="0.3">
      <c r="A2015" s="1">
        <v>45937</v>
      </c>
      <c r="B2015" s="2" t="s">
        <v>2626</v>
      </c>
      <c r="C2015" s="2" t="s">
        <v>2515</v>
      </c>
      <c r="D2015" s="2" t="s">
        <v>2522</v>
      </c>
      <c r="E2015" s="2" t="s">
        <v>2534</v>
      </c>
      <c r="F2015" s="3">
        <v>133884</v>
      </c>
      <c r="G2015" s="3">
        <v>8248</v>
      </c>
      <c r="H2015" s="3">
        <v>718</v>
      </c>
      <c r="I2015" s="4">
        <v>4588.47</v>
      </c>
      <c r="J2015" s="4">
        <v>46257.13</v>
      </c>
      <c r="K2015" s="3">
        <v>560</v>
      </c>
      <c r="L2015" s="2" t="s">
        <v>2539</v>
      </c>
      <c r="M2015" s="2" t="s">
        <v>2645</v>
      </c>
      <c r="N2015" s="8">
        <f>IFERROR(G2015/F2015,0)</f>
        <v>6.1605569000029878E-2</v>
      </c>
      <c r="O2015" s="8">
        <f>IFERROR(H2015/G2015,0)</f>
        <v>8.7051406401551887E-2</v>
      </c>
      <c r="P2015" s="4">
        <f>IFERROR(I2015/G2015,0)</f>
        <v>0.55631304558680894</v>
      </c>
      <c r="Q2015" s="4">
        <f>IFERROR(I2015/H2015,0)</f>
        <v>6.3906267409470754</v>
      </c>
      <c r="R2015" s="12">
        <f>IFERROR(J2015/I2015,0)</f>
        <v>10.081166489047547</v>
      </c>
      <c r="S2015" s="7">
        <f>Tabla_nuevas_columnas[[#This Row],[ROAS]]</f>
        <v>10.081166489047547</v>
      </c>
      <c r="T2015" t="str">
        <f>_xlfn.CONCAT(C2015,"-",D2015)</f>
        <v>Email-Italia</v>
      </c>
      <c r="U2015">
        <f>YEAR(A2015)</f>
        <v>2025</v>
      </c>
      <c r="V2015">
        <f>MONTH(A2015)</f>
        <v>10</v>
      </c>
      <c r="W2015" t="str">
        <f>PROPER(TEXT(A2015,"mmmm"))</f>
        <v>Octubre</v>
      </c>
      <c r="X2015" t="str">
        <f>PROPER(TEXT(A2015,"dddd"))</f>
        <v>Martes</v>
      </c>
      <c r="Y2015" t="str" cm="1">
        <f t="array" ref="Y2015">_xlfn.IFS(R2015&gt;10,"Excelente",R2015&gt;=5,"Bueno",R2015&gt;=2,"Débil",R2015&lt;2,"Deficiente")</f>
        <v>Excelente</v>
      </c>
      <c r="Z2015" t="str">
        <f>IF(AND(R2015&lt;2,Q2015&gt;=100),"Revisar","OK")</f>
        <v>OK</v>
      </c>
      <c r="AA2015" s="55">
        <f>_xlfn.XLOOKUP(C2015,'Preguntas de negocio'!$C$114:$C$119,'Preguntas de negocio'!$D$114:$D$119,0)</f>
        <v>5.5</v>
      </c>
      <c r="AB2015" s="55">
        <f>VLOOKUP(C2015,'Preguntas de negocio'!$C$121:$D$127,2,FALSE)</f>
        <v>0.65</v>
      </c>
    </row>
    <row r="2016" spans="1:28" x14ac:dyDescent="0.3">
      <c r="A2016" s="1">
        <v>45702</v>
      </c>
      <c r="B2016" s="2" t="s">
        <v>2621</v>
      </c>
      <c r="C2016" s="2" t="s">
        <v>2533</v>
      </c>
      <c r="D2016" s="2" t="s">
        <v>2528</v>
      </c>
      <c r="E2016" s="2" t="s">
        <v>2517</v>
      </c>
      <c r="F2016" s="3">
        <v>23137</v>
      </c>
      <c r="G2016" s="3">
        <v>1346</v>
      </c>
      <c r="H2016" s="3">
        <v>7</v>
      </c>
      <c r="I2016" s="4">
        <v>1260.1199999999999</v>
      </c>
      <c r="J2016" s="4">
        <v>232.33</v>
      </c>
      <c r="K2016" s="3">
        <v>3</v>
      </c>
      <c r="L2016" s="2" t="s">
        <v>2523</v>
      </c>
      <c r="M2016" s="2" t="s">
        <v>2526</v>
      </c>
      <c r="N2016" s="8">
        <f>IFERROR(G2016/F2016,0)</f>
        <v>5.8175217184596104E-2</v>
      </c>
      <c r="O2016" s="8">
        <f>IFERROR(H2016/G2016,0)</f>
        <v>5.2005943536404158E-3</v>
      </c>
      <c r="P2016" s="4">
        <f>IFERROR(I2016/G2016,0)</f>
        <v>0.93619613670133717</v>
      </c>
      <c r="Q2016" s="4">
        <f>IFERROR(I2016/H2016,0)</f>
        <v>180.01714285714283</v>
      </c>
      <c r="R2016" s="12">
        <f>IFERROR(J2016/I2016,0)</f>
        <v>0.18437132971463038</v>
      </c>
      <c r="S2016" s="7">
        <f>Tabla_nuevas_columnas[[#This Row],[ROAS]]</f>
        <v>0.18437132971463038</v>
      </c>
      <c r="T2016" t="str">
        <f>_xlfn.CONCAT(C2016,"-",D2016)</f>
        <v>Paid Social-España</v>
      </c>
      <c r="U2016">
        <f>YEAR(A2016)</f>
        <v>2025</v>
      </c>
      <c r="V2016">
        <f>MONTH(A2016)</f>
        <v>2</v>
      </c>
      <c r="W2016" t="str">
        <f>PROPER(TEXT(A2016,"mmmm"))</f>
        <v>Febrero</v>
      </c>
      <c r="X2016" t="str">
        <f>PROPER(TEXT(A2016,"dddd"))</f>
        <v>Viernes</v>
      </c>
      <c r="Y2016" t="str" cm="1">
        <f t="array" ref="Y2016">_xlfn.IFS(R2016&gt;10,"Excelente",R2016&gt;=5,"Bueno",R2016&gt;=2,"Débil",R2016&lt;2,"Deficiente")</f>
        <v>Deficiente</v>
      </c>
      <c r="Z2016" t="str">
        <f>IF(AND(R2016&lt;2,Q2016&gt;=100),"Revisar","OK")</f>
        <v>Revisar</v>
      </c>
      <c r="AA2016" s="55">
        <f>_xlfn.XLOOKUP(C2016,'Preguntas de negocio'!$C$114:$C$119,'Preguntas de negocio'!$D$114:$D$119,0)</f>
        <v>6</v>
      </c>
      <c r="AB2016" s="55">
        <f>VLOOKUP(C2016,'Preguntas de negocio'!$C$121:$D$127,2,FALSE)</f>
        <v>0.8</v>
      </c>
    </row>
    <row r="2017" spans="1:28" x14ac:dyDescent="0.3">
      <c r="A2017" s="1">
        <v>45660</v>
      </c>
      <c r="B2017" s="2" t="s">
        <v>2640</v>
      </c>
      <c r="C2017" s="2" t="s">
        <v>2541</v>
      </c>
      <c r="D2017" s="2" t="s">
        <v>2528</v>
      </c>
      <c r="E2017" s="2" t="s">
        <v>2529</v>
      </c>
      <c r="F2017" s="3">
        <v>157070</v>
      </c>
      <c r="G2017" s="3">
        <v>11262</v>
      </c>
      <c r="H2017" s="3">
        <v>348</v>
      </c>
      <c r="I2017" s="4">
        <v>6992.94</v>
      </c>
      <c r="J2017" s="4">
        <v>39010.839999999997</v>
      </c>
      <c r="K2017" s="3">
        <v>298</v>
      </c>
      <c r="L2017" s="2" t="s">
        <v>2536</v>
      </c>
      <c r="M2017" s="2" t="s">
        <v>2537</v>
      </c>
      <c r="N2017" s="8">
        <f>IFERROR(G2017/F2017,0)</f>
        <v>7.1700515693639777E-2</v>
      </c>
      <c r="O2017" s="8">
        <f>IFERROR(H2017/G2017,0)</f>
        <v>3.0900372935535429E-2</v>
      </c>
      <c r="P2017" s="4">
        <f>IFERROR(I2017/G2017,0)</f>
        <v>0.62093233883857213</v>
      </c>
      <c r="Q2017" s="4">
        <f>IFERROR(I2017/H2017,0)</f>
        <v>20.094655172413791</v>
      </c>
      <c r="R2017" s="12">
        <f>IFERROR(J2017/I2017,0)</f>
        <v>5.578603563022134</v>
      </c>
      <c r="S2017" s="7">
        <f>Tabla_nuevas_columnas[[#This Row],[ROAS]]</f>
        <v>5.578603563022134</v>
      </c>
      <c r="T2017" t="str">
        <f>_xlfn.CONCAT(C2017,"-",D2017)</f>
        <v>Display-España</v>
      </c>
      <c r="U2017">
        <f>YEAR(A2017)</f>
        <v>2025</v>
      </c>
      <c r="V2017">
        <f>MONTH(A2017)</f>
        <v>1</v>
      </c>
      <c r="W2017" t="str">
        <f>PROPER(TEXT(A2017,"mmmm"))</f>
        <v>Enero</v>
      </c>
      <c r="X2017" t="str">
        <f>PROPER(TEXT(A2017,"dddd"))</f>
        <v>Viernes</v>
      </c>
      <c r="Y2017" t="str" cm="1">
        <f t="array" ref="Y2017">_xlfn.IFS(R2017&gt;10,"Excelente",R2017&gt;=5,"Bueno",R2017&gt;=2,"Débil",R2017&lt;2,"Deficiente")</f>
        <v>Bueno</v>
      </c>
      <c r="Z2017" t="str">
        <f>IF(AND(R2017&lt;2,Q2017&gt;=100),"Revisar","OK")</f>
        <v>OK</v>
      </c>
      <c r="AA2017" s="55">
        <f>_xlfn.XLOOKUP(C2017,'Preguntas de negocio'!$C$114:$C$119,'Preguntas de negocio'!$D$114:$D$119,0)</f>
        <v>5</v>
      </c>
      <c r="AB2017" s="55">
        <f>VLOOKUP(C2017,'Preguntas de negocio'!$C$121:$D$127,2,FALSE)</f>
        <v>0.5</v>
      </c>
    </row>
    <row r="2018" spans="1:28" x14ac:dyDescent="0.3">
      <c r="A2018" s="1">
        <v>45842</v>
      </c>
      <c r="B2018" s="2" t="s">
        <v>2625</v>
      </c>
      <c r="C2018" s="2" t="s">
        <v>2543</v>
      </c>
      <c r="D2018" s="2" t="s">
        <v>2528</v>
      </c>
      <c r="E2018" s="2" t="s">
        <v>2529</v>
      </c>
      <c r="F2018" s="3">
        <v>136843</v>
      </c>
      <c r="G2018" s="3">
        <v>977</v>
      </c>
      <c r="H2018" s="3">
        <v>63</v>
      </c>
      <c r="I2018" s="4">
        <v>1782.55</v>
      </c>
      <c r="J2018" s="4">
        <v>4119.41</v>
      </c>
      <c r="K2018" s="3">
        <v>35</v>
      </c>
      <c r="L2018" s="2" t="s">
        <v>2536</v>
      </c>
      <c r="M2018" s="2" t="s">
        <v>2524</v>
      </c>
      <c r="N2018" s="8">
        <f>IFERROR(G2018/F2018,0)</f>
        <v>7.1395687028200198E-3</v>
      </c>
      <c r="O2018" s="8">
        <f>IFERROR(H2018/G2018,0)</f>
        <v>6.4483111566018422E-2</v>
      </c>
      <c r="P2018" s="4">
        <f>IFERROR(I2018/G2018,0)</f>
        <v>1.8245138178096212</v>
      </c>
      <c r="Q2018" s="4">
        <f>IFERROR(I2018/H2018,0)</f>
        <v>28.294444444444444</v>
      </c>
      <c r="R2018" s="12">
        <f>IFERROR(J2018/I2018,0)</f>
        <v>2.3109646293231605</v>
      </c>
      <c r="S2018" s="7">
        <f>Tabla_nuevas_columnas[[#This Row],[ROAS]]</f>
        <v>2.3109646293231605</v>
      </c>
      <c r="T2018" t="str">
        <f>_xlfn.CONCAT(C2018,"-",D2018)</f>
        <v>Organic Social-España</v>
      </c>
      <c r="U2018">
        <f>YEAR(A2018)</f>
        <v>2025</v>
      </c>
      <c r="V2018">
        <f>MONTH(A2018)</f>
        <v>7</v>
      </c>
      <c r="W2018" t="str">
        <f>PROPER(TEXT(A2018,"mmmm"))</f>
        <v>Julio</v>
      </c>
      <c r="X2018" t="str">
        <f>PROPER(TEXT(A2018,"dddd"))</f>
        <v>Viernes</v>
      </c>
      <c r="Y2018" t="str" cm="1">
        <f t="array" ref="Y2018">_xlfn.IFS(R2018&gt;10,"Excelente",R2018&gt;=5,"Bueno",R2018&gt;=2,"Débil",R2018&lt;2,"Deficiente")</f>
        <v>Débil</v>
      </c>
      <c r="Z2018" t="str">
        <f>IF(AND(R2018&lt;2,Q2018&gt;=100),"Revisar","OK")</f>
        <v>OK</v>
      </c>
      <c r="AA2018" s="55">
        <f>_xlfn.XLOOKUP(C2018,'Preguntas de negocio'!$C$114:$C$119,'Preguntas de negocio'!$D$114:$D$119,0)</f>
        <v>4</v>
      </c>
      <c r="AB2018" s="55">
        <f>VLOOKUP(C2018,'Preguntas de negocio'!$C$121:$D$127,2,FALSE)</f>
        <v>0.95</v>
      </c>
    </row>
    <row r="2019" spans="1:28" x14ac:dyDescent="0.3">
      <c r="A2019" s="1">
        <v>45931</v>
      </c>
      <c r="B2019" s="2" t="s">
        <v>2626</v>
      </c>
      <c r="C2019" s="2" t="s">
        <v>2521</v>
      </c>
      <c r="D2019" s="2" t="s">
        <v>2528</v>
      </c>
      <c r="E2019" s="2" t="s">
        <v>2517</v>
      </c>
      <c r="F2019" s="3">
        <v>30033</v>
      </c>
      <c r="G2019" s="3">
        <v>935</v>
      </c>
      <c r="H2019" s="3">
        <v>26</v>
      </c>
      <c r="I2019" s="4">
        <v>1781.31</v>
      </c>
      <c r="J2019" s="4">
        <v>2814.07</v>
      </c>
      <c r="K2019" s="3">
        <v>20</v>
      </c>
      <c r="L2019" s="2" t="s">
        <v>2539</v>
      </c>
      <c r="M2019" s="2" t="s">
        <v>2537</v>
      </c>
      <c r="N2019" s="8">
        <f>IFERROR(G2019/F2019,0)</f>
        <v>3.1132421003562748E-2</v>
      </c>
      <c r="O2019" s="8">
        <f>IFERROR(H2019/G2019,0)</f>
        <v>2.7807486631016044E-2</v>
      </c>
      <c r="P2019" s="4">
        <f>IFERROR(I2019/G2019,0)</f>
        <v>1.905144385026738</v>
      </c>
      <c r="Q2019" s="4">
        <f>IFERROR(I2019/H2019,0)</f>
        <v>68.511923076923068</v>
      </c>
      <c r="R2019" s="12">
        <f>IFERROR(J2019/I2019,0)</f>
        <v>1.5797755584373299</v>
      </c>
      <c r="S2019" s="7">
        <f>Tabla_nuevas_columnas[[#This Row],[ROAS]]</f>
        <v>1.5797755584373299</v>
      </c>
      <c r="T2019" t="str">
        <f>_xlfn.CONCAT(C2019,"-",D2019)</f>
        <v>Paid Search-España</v>
      </c>
      <c r="U2019">
        <f>YEAR(A2019)</f>
        <v>2025</v>
      </c>
      <c r="V2019">
        <f>MONTH(A2019)</f>
        <v>10</v>
      </c>
      <c r="W2019" t="str">
        <f>PROPER(TEXT(A2019,"mmmm"))</f>
        <v>Octubre</v>
      </c>
      <c r="X2019" t="str">
        <f>PROPER(TEXT(A2019,"dddd"))</f>
        <v>Miércoles</v>
      </c>
      <c r="Y2019" t="str" cm="1">
        <f t="array" ref="Y2019">_xlfn.IFS(R2019&gt;10,"Excelente",R2019&gt;=5,"Bueno",R2019&gt;=2,"Débil",R2019&lt;2,"Deficiente")</f>
        <v>Deficiente</v>
      </c>
      <c r="Z2019" t="str">
        <f>IF(AND(R2019&lt;2,Q2019&gt;=100),"Revisar","OK")</f>
        <v>OK</v>
      </c>
      <c r="AA2019" s="55">
        <f>_xlfn.XLOOKUP(C2019,'Preguntas de negocio'!$C$114:$C$119,'Preguntas de negocio'!$D$114:$D$119,0)</f>
        <v>5</v>
      </c>
      <c r="AB2019" s="55">
        <f>VLOOKUP(C2019,'Preguntas de negocio'!$C$121:$D$127,2,FALSE)</f>
        <v>1.1000000000000001</v>
      </c>
    </row>
    <row r="2020" spans="1:28" x14ac:dyDescent="0.3">
      <c r="A2020" s="1">
        <v>45952</v>
      </c>
      <c r="B2020" s="2" t="s">
        <v>2639</v>
      </c>
      <c r="C2020" s="2" t="s">
        <v>2527</v>
      </c>
      <c r="D2020" s="2" t="s">
        <v>2531</v>
      </c>
      <c r="E2020" s="2" t="s">
        <v>2517</v>
      </c>
      <c r="F2020" s="3">
        <v>23916</v>
      </c>
      <c r="G2020" s="3">
        <v>571</v>
      </c>
      <c r="H2020" s="3">
        <v>64</v>
      </c>
      <c r="I2020" s="4">
        <v>1133.04</v>
      </c>
      <c r="J2020" s="4">
        <v>7437.55</v>
      </c>
      <c r="K2020" s="3">
        <v>31</v>
      </c>
      <c r="L2020" s="2" t="s">
        <v>2518</v>
      </c>
      <c r="M2020" s="2" t="s">
        <v>2546</v>
      </c>
      <c r="N2020" s="8">
        <f>IFERROR(G2020/F2020,0)</f>
        <v>2.3875229971567151E-2</v>
      </c>
      <c r="O2020" s="8">
        <f>IFERROR(H2020/G2020,0)</f>
        <v>0.11208406304728546</v>
      </c>
      <c r="P2020" s="4">
        <f>IFERROR(I2020/G2020,0)</f>
        <v>1.98430823117338</v>
      </c>
      <c r="Q2020" s="4">
        <f>IFERROR(I2020/H2020,0)</f>
        <v>17.703749999999999</v>
      </c>
      <c r="R2020" s="12">
        <f>IFERROR(J2020/I2020,0)</f>
        <v>6.5642430982136553</v>
      </c>
      <c r="S2020" s="7">
        <f>Tabla_nuevas_columnas[[#This Row],[ROAS]]</f>
        <v>6.5642430982136553</v>
      </c>
      <c r="T2020" t="str">
        <f>_xlfn.CONCAT(C2020,"-",D2020)</f>
        <v>Affiliate-Portugal</v>
      </c>
      <c r="U2020">
        <f>YEAR(A2020)</f>
        <v>2025</v>
      </c>
      <c r="V2020">
        <f>MONTH(A2020)</f>
        <v>10</v>
      </c>
      <c r="W2020" t="str">
        <f>PROPER(TEXT(A2020,"mmmm"))</f>
        <v>Octubre</v>
      </c>
      <c r="X2020" t="str">
        <f>PROPER(TEXT(A2020,"dddd"))</f>
        <v>Miércoles</v>
      </c>
      <c r="Y2020" t="str" cm="1">
        <f t="array" ref="Y2020">_xlfn.IFS(R2020&gt;10,"Excelente",R2020&gt;=5,"Bueno",R2020&gt;=2,"Débil",R2020&lt;2,"Deficiente")</f>
        <v>Bueno</v>
      </c>
      <c r="Z2020" t="str">
        <f>IF(AND(R2020&lt;2,Q2020&gt;=100),"Revisar","OK")</f>
        <v>OK</v>
      </c>
      <c r="AA2020" s="55">
        <f>_xlfn.XLOOKUP(C2020,'Preguntas de negocio'!$C$114:$C$119,'Preguntas de negocio'!$D$114:$D$119,0)</f>
        <v>4.5</v>
      </c>
      <c r="AB2020" s="55">
        <f>VLOOKUP(C2020,'Preguntas de negocio'!$C$121:$D$127,2,FALSE)</f>
        <v>0.35</v>
      </c>
    </row>
    <row r="2021" spans="1:28" x14ac:dyDescent="0.3">
      <c r="A2021" s="1">
        <v>45846</v>
      </c>
      <c r="B2021" s="2" t="s">
        <v>2628</v>
      </c>
      <c r="C2021" s="2" t="s">
        <v>2515</v>
      </c>
      <c r="D2021" s="2" t="s">
        <v>2528</v>
      </c>
      <c r="E2021" s="2" t="s">
        <v>2529</v>
      </c>
      <c r="F2021" s="3">
        <v>99333</v>
      </c>
      <c r="G2021" s="3">
        <v>8399</v>
      </c>
      <c r="H2021" s="3">
        <v>1119</v>
      </c>
      <c r="I2021" s="4">
        <v>1811.11</v>
      </c>
      <c r="J2021" s="4">
        <v>165050.49</v>
      </c>
      <c r="K2021" s="3">
        <v>608</v>
      </c>
      <c r="L2021" s="2" t="s">
        <v>2518</v>
      </c>
      <c r="M2021" s="2" t="s">
        <v>2526</v>
      </c>
      <c r="N2021" s="8">
        <f>IFERROR(G2021/F2021,0)</f>
        <v>8.4553975013338972E-2</v>
      </c>
      <c r="O2021" s="8">
        <f>IFERROR(H2021/G2021,0)</f>
        <v>0.13323014644600548</v>
      </c>
      <c r="P2021" s="4">
        <f>IFERROR(I2021/G2021,0)</f>
        <v>0.21563400404810096</v>
      </c>
      <c r="Q2021" s="4">
        <f>IFERROR(I2021/H2021,0)</f>
        <v>1.6185075960679176</v>
      </c>
      <c r="R2021" s="12">
        <f>IFERROR(J2021/I2021,0)</f>
        <v>91.132228301980547</v>
      </c>
      <c r="S2021" s="7">
        <f>Tabla_nuevas_columnas[[#This Row],[ROAS]]</f>
        <v>91.132228301980547</v>
      </c>
      <c r="T2021" t="str">
        <f>_xlfn.CONCAT(C2021,"-",D2021)</f>
        <v>Email-España</v>
      </c>
      <c r="U2021">
        <f>YEAR(A2021)</f>
        <v>2025</v>
      </c>
      <c r="V2021">
        <f>MONTH(A2021)</f>
        <v>7</v>
      </c>
      <c r="W2021" t="str">
        <f>PROPER(TEXT(A2021,"mmmm"))</f>
        <v>Julio</v>
      </c>
      <c r="X2021" t="str">
        <f>PROPER(TEXT(A2021,"dddd"))</f>
        <v>Martes</v>
      </c>
      <c r="Y2021" t="str" cm="1">
        <f t="array" ref="Y2021">_xlfn.IFS(R2021&gt;10,"Excelente",R2021&gt;=5,"Bueno",R2021&gt;=2,"Débil",R2021&lt;2,"Deficiente")</f>
        <v>Excelente</v>
      </c>
      <c r="Z2021" t="str">
        <f>IF(AND(R2021&lt;2,Q2021&gt;=100),"Revisar","OK")</f>
        <v>OK</v>
      </c>
      <c r="AA2021" s="55">
        <f>_xlfn.XLOOKUP(C2021,'Preguntas de negocio'!$C$114:$C$119,'Preguntas de negocio'!$D$114:$D$119,0)</f>
        <v>5.5</v>
      </c>
      <c r="AB2021" s="55">
        <f>VLOOKUP(C2021,'Preguntas de negocio'!$C$121:$D$127,2,FALSE)</f>
        <v>0.65</v>
      </c>
    </row>
    <row r="2022" spans="1:28" x14ac:dyDescent="0.3">
      <c r="A2022" s="1">
        <v>45805</v>
      </c>
      <c r="B2022" s="2" t="s">
        <v>2624</v>
      </c>
      <c r="C2022" s="2" t="s">
        <v>2521</v>
      </c>
      <c r="D2022" s="2" t="s">
        <v>2525</v>
      </c>
      <c r="E2022" s="2" t="s">
        <v>2529</v>
      </c>
      <c r="F2022" s="3">
        <v>157718</v>
      </c>
      <c r="G2022" s="3">
        <v>972</v>
      </c>
      <c r="H2022" s="3">
        <v>103</v>
      </c>
      <c r="I2022" s="4">
        <v>967.04</v>
      </c>
      <c r="J2022" s="4">
        <v>14268.76</v>
      </c>
      <c r="K2022" s="3">
        <v>85</v>
      </c>
      <c r="L2022" s="2" t="s">
        <v>2523</v>
      </c>
      <c r="M2022" s="2" t="s">
        <v>2519</v>
      </c>
      <c r="N2022" s="8">
        <f>IFERROR(G2022/F2022,0)</f>
        <v>6.162898337539152E-3</v>
      </c>
      <c r="O2022" s="8">
        <f>IFERROR(H2022/G2022,0)</f>
        <v>0.10596707818930041</v>
      </c>
      <c r="P2022" s="4">
        <f>IFERROR(I2022/G2022,0)</f>
        <v>0.99489711934156377</v>
      </c>
      <c r="Q2022" s="4">
        <f>IFERROR(I2022/H2022,0)</f>
        <v>9.3887378640776689</v>
      </c>
      <c r="R2022" s="12">
        <f>IFERROR(J2022/I2022,0)</f>
        <v>14.755087690271344</v>
      </c>
      <c r="S2022" s="7">
        <f>Tabla_nuevas_columnas[[#This Row],[ROAS]]</f>
        <v>14.755087690271344</v>
      </c>
      <c r="T2022" t="str">
        <f>_xlfn.CONCAT(C2022,"-",D2022)</f>
        <v>Paid Search-Francia</v>
      </c>
      <c r="U2022">
        <f>YEAR(A2022)</f>
        <v>2025</v>
      </c>
      <c r="V2022">
        <f>MONTH(A2022)</f>
        <v>5</v>
      </c>
      <c r="W2022" t="str">
        <f>PROPER(TEXT(A2022,"mmmm"))</f>
        <v>Mayo</v>
      </c>
      <c r="X2022" t="str">
        <f>PROPER(TEXT(A2022,"dddd"))</f>
        <v>Miércoles</v>
      </c>
      <c r="Y2022" t="str" cm="1">
        <f t="array" ref="Y2022">_xlfn.IFS(R2022&gt;10,"Excelente",R2022&gt;=5,"Bueno",R2022&gt;=2,"Débil",R2022&lt;2,"Deficiente")</f>
        <v>Excelente</v>
      </c>
      <c r="Z2022" t="str">
        <f>IF(AND(R2022&lt;2,Q2022&gt;=100),"Revisar","OK")</f>
        <v>OK</v>
      </c>
      <c r="AA2022" s="55">
        <f>_xlfn.XLOOKUP(C2022,'Preguntas de negocio'!$C$114:$C$119,'Preguntas de negocio'!$D$114:$D$119,0)</f>
        <v>5</v>
      </c>
      <c r="AB2022" s="55">
        <f>VLOOKUP(C2022,'Preguntas de negocio'!$C$121:$D$127,2,FALSE)</f>
        <v>1.1000000000000001</v>
      </c>
    </row>
    <row r="2023" spans="1:28" x14ac:dyDescent="0.3">
      <c r="A2023" s="1">
        <v>45664</v>
      </c>
      <c r="B2023" s="2" t="s">
        <v>2632</v>
      </c>
      <c r="C2023" s="2" t="s">
        <v>2515</v>
      </c>
      <c r="D2023" s="2" t="s">
        <v>2516</v>
      </c>
      <c r="E2023" s="2" t="s">
        <v>2529</v>
      </c>
      <c r="F2023" s="3">
        <v>85402</v>
      </c>
      <c r="G2023" s="3">
        <v>2969</v>
      </c>
      <c r="H2023" s="3">
        <v>68</v>
      </c>
      <c r="I2023" s="4">
        <v>4421.04</v>
      </c>
      <c r="J2023" s="4">
        <v>5516.4</v>
      </c>
      <c r="K2023" s="3">
        <v>42</v>
      </c>
      <c r="L2023" s="2" t="s">
        <v>2523</v>
      </c>
      <c r="M2023" s="2" t="s">
        <v>2526</v>
      </c>
      <c r="N2023" s="8">
        <f>IFERROR(G2023/F2023,0)</f>
        <v>3.4764993794056342E-2</v>
      </c>
      <c r="O2023" s="8">
        <f>IFERROR(H2023/G2023,0)</f>
        <v>2.2903334456045806E-2</v>
      </c>
      <c r="P2023" s="4">
        <f>IFERROR(I2023/G2023,0)</f>
        <v>1.4890670259346581</v>
      </c>
      <c r="Q2023" s="4">
        <f>IFERROR(I2023/H2023,0)</f>
        <v>65.015294117647059</v>
      </c>
      <c r="R2023" s="12">
        <f>IFERROR(J2023/I2023,0)</f>
        <v>1.2477607078877369</v>
      </c>
      <c r="S2023" s="7">
        <f>Tabla_nuevas_columnas[[#This Row],[ROAS]]</f>
        <v>1.2477607078877369</v>
      </c>
      <c r="T2023" t="str">
        <f>_xlfn.CONCAT(C2023,"-",D2023)</f>
        <v>Email-México</v>
      </c>
      <c r="U2023">
        <f>YEAR(A2023)</f>
        <v>2025</v>
      </c>
      <c r="V2023">
        <f>MONTH(A2023)</f>
        <v>1</v>
      </c>
      <c r="W2023" t="str">
        <f>PROPER(TEXT(A2023,"mmmm"))</f>
        <v>Enero</v>
      </c>
      <c r="X2023" t="str">
        <f>PROPER(TEXT(A2023,"dddd"))</f>
        <v>Martes</v>
      </c>
      <c r="Y2023" t="str" cm="1">
        <f t="array" ref="Y2023">_xlfn.IFS(R2023&gt;10,"Excelente",R2023&gt;=5,"Bueno",R2023&gt;=2,"Débil",R2023&lt;2,"Deficiente")</f>
        <v>Deficiente</v>
      </c>
      <c r="Z2023" t="str">
        <f>IF(AND(R2023&lt;2,Q2023&gt;=100),"Revisar","OK")</f>
        <v>OK</v>
      </c>
      <c r="AA2023" s="55">
        <f>_xlfn.XLOOKUP(C2023,'Preguntas de negocio'!$C$114:$C$119,'Preguntas de negocio'!$D$114:$D$119,0)</f>
        <v>5.5</v>
      </c>
      <c r="AB2023" s="55">
        <f>VLOOKUP(C2023,'Preguntas de negocio'!$C$121:$D$127,2,FALSE)</f>
        <v>0.65</v>
      </c>
    </row>
    <row r="2024" spans="1:28" x14ac:dyDescent="0.3">
      <c r="A2024" s="1">
        <v>45753</v>
      </c>
      <c r="B2024" s="2" t="s">
        <v>2619</v>
      </c>
      <c r="C2024" s="2" t="s">
        <v>2533</v>
      </c>
      <c r="D2024" s="2" t="s">
        <v>2528</v>
      </c>
      <c r="E2024" s="2" t="s">
        <v>2517</v>
      </c>
      <c r="F2024" s="3">
        <v>105024</v>
      </c>
      <c r="G2024" s="3">
        <v>7938</v>
      </c>
      <c r="H2024" s="3">
        <v>743</v>
      </c>
      <c r="I2024" s="4">
        <v>12049.15</v>
      </c>
      <c r="J2024" s="4">
        <v>21658.99</v>
      </c>
      <c r="K2024" s="3">
        <v>581</v>
      </c>
      <c r="L2024" s="2" t="s">
        <v>2536</v>
      </c>
      <c r="M2024" s="2" t="s">
        <v>2526</v>
      </c>
      <c r="N2024" s="8">
        <f>IFERROR(G2024/F2024,0)</f>
        <v>7.55827239488117E-2</v>
      </c>
      <c r="O2024" s="8">
        <f>IFERROR(H2024/G2024,0)</f>
        <v>9.3600403124212653E-2</v>
      </c>
      <c r="P2024" s="4">
        <f>IFERROR(I2024/G2024,0)</f>
        <v>1.5179075333837238</v>
      </c>
      <c r="Q2024" s="4">
        <f>IFERROR(I2024/H2024,0)</f>
        <v>16.216890982503365</v>
      </c>
      <c r="R2024" s="12">
        <f>IFERROR(J2024/I2024,0)</f>
        <v>1.7975533543859943</v>
      </c>
      <c r="S2024" s="7">
        <f>Tabla_nuevas_columnas[[#This Row],[ROAS]]</f>
        <v>1.7975533543859943</v>
      </c>
      <c r="T2024" t="str">
        <f>_xlfn.CONCAT(C2024,"-",D2024)</f>
        <v>Paid Social-España</v>
      </c>
      <c r="U2024">
        <f>YEAR(A2024)</f>
        <v>2025</v>
      </c>
      <c r="V2024">
        <f>MONTH(A2024)</f>
        <v>4</v>
      </c>
      <c r="W2024" t="str">
        <f>PROPER(TEXT(A2024,"mmmm"))</f>
        <v>Abril</v>
      </c>
      <c r="X2024" t="str">
        <f>PROPER(TEXT(A2024,"dddd"))</f>
        <v>Domingo</v>
      </c>
      <c r="Y2024" t="str" cm="1">
        <f t="array" ref="Y2024">_xlfn.IFS(R2024&gt;10,"Excelente",R2024&gt;=5,"Bueno",R2024&gt;=2,"Débil",R2024&lt;2,"Deficiente")</f>
        <v>Deficiente</v>
      </c>
      <c r="Z2024" t="str">
        <f>IF(AND(R2024&lt;2,Q2024&gt;=100),"Revisar","OK")</f>
        <v>OK</v>
      </c>
      <c r="AA2024" s="55">
        <f>_xlfn.XLOOKUP(C2024,'Preguntas de negocio'!$C$114:$C$119,'Preguntas de negocio'!$D$114:$D$119,0)</f>
        <v>6</v>
      </c>
      <c r="AB2024" s="55">
        <f>VLOOKUP(C2024,'Preguntas de negocio'!$C$121:$D$127,2,FALSE)</f>
        <v>0.8</v>
      </c>
    </row>
    <row r="2025" spans="1:28" x14ac:dyDescent="0.3">
      <c r="A2025" s="1">
        <v>45679</v>
      </c>
      <c r="B2025" s="2" t="s">
        <v>2627</v>
      </c>
      <c r="C2025" s="2" t="s">
        <v>2543</v>
      </c>
      <c r="D2025" s="2" t="s">
        <v>2522</v>
      </c>
      <c r="E2025" s="2" t="s">
        <v>2517</v>
      </c>
      <c r="F2025" s="3">
        <v>141873</v>
      </c>
      <c r="G2025" s="3">
        <v>747</v>
      </c>
      <c r="H2025" s="3">
        <v>64</v>
      </c>
      <c r="I2025" s="4">
        <v>1551.44</v>
      </c>
      <c r="J2025" s="4">
        <v>1965.82</v>
      </c>
      <c r="K2025" s="3">
        <v>52</v>
      </c>
      <c r="L2025" s="2" t="s">
        <v>2523</v>
      </c>
      <c r="M2025" s="2" t="s">
        <v>2524</v>
      </c>
      <c r="N2025" s="8">
        <f>IFERROR(G2025/F2025,0)</f>
        <v>5.2652724619906537E-3</v>
      </c>
      <c r="O2025" s="8">
        <f>IFERROR(H2025/G2025,0)</f>
        <v>8.5676037483266396E-2</v>
      </c>
      <c r="P2025" s="4">
        <f>IFERROR(I2025/G2025,0)</f>
        <v>2.0768942436412319</v>
      </c>
      <c r="Q2025" s="4">
        <f>IFERROR(I2025/H2025,0)</f>
        <v>24.241250000000001</v>
      </c>
      <c r="R2025" s="12">
        <f>IFERROR(J2025/I2025,0)</f>
        <v>1.2670937967307792</v>
      </c>
      <c r="S2025" s="7">
        <f>Tabla_nuevas_columnas[[#This Row],[ROAS]]</f>
        <v>1.2670937967307792</v>
      </c>
      <c r="T2025" t="str">
        <f>_xlfn.CONCAT(C2025,"-",D2025)</f>
        <v>Organic Social-Italia</v>
      </c>
      <c r="U2025">
        <f>YEAR(A2025)</f>
        <v>2025</v>
      </c>
      <c r="V2025">
        <f>MONTH(A2025)</f>
        <v>1</v>
      </c>
      <c r="W2025" t="str">
        <f>PROPER(TEXT(A2025,"mmmm"))</f>
        <v>Enero</v>
      </c>
      <c r="X2025" t="str">
        <f>PROPER(TEXT(A2025,"dddd"))</f>
        <v>Miércoles</v>
      </c>
      <c r="Y2025" t="str" cm="1">
        <f t="array" ref="Y2025">_xlfn.IFS(R2025&gt;10,"Excelente",R2025&gt;=5,"Bueno",R2025&gt;=2,"Débil",R2025&lt;2,"Deficiente")</f>
        <v>Deficiente</v>
      </c>
      <c r="Z2025" t="str">
        <f>IF(AND(R2025&lt;2,Q2025&gt;=100),"Revisar","OK")</f>
        <v>OK</v>
      </c>
      <c r="AA2025" s="55">
        <f>_xlfn.XLOOKUP(C2025,'Preguntas de negocio'!$C$114:$C$119,'Preguntas de negocio'!$D$114:$D$119,0)</f>
        <v>4</v>
      </c>
      <c r="AB2025" s="55">
        <f>VLOOKUP(C2025,'Preguntas de negocio'!$C$121:$D$127,2,FALSE)</f>
        <v>0.95</v>
      </c>
    </row>
    <row r="2026" spans="1:28" x14ac:dyDescent="0.3">
      <c r="A2026" s="1">
        <v>45821</v>
      </c>
      <c r="B2026" s="2" t="s">
        <v>2644</v>
      </c>
      <c r="C2026" s="2" t="s">
        <v>2543</v>
      </c>
      <c r="D2026" s="2" t="s">
        <v>2516</v>
      </c>
      <c r="E2026" s="2" t="s">
        <v>2517</v>
      </c>
      <c r="F2026" s="3">
        <v>60042</v>
      </c>
      <c r="G2026" s="3">
        <v>3140</v>
      </c>
      <c r="H2026" s="3">
        <v>76</v>
      </c>
      <c r="I2026" s="4">
        <v>526.07000000000005</v>
      </c>
      <c r="J2026" s="4">
        <v>6186.28</v>
      </c>
      <c r="K2026" s="3">
        <v>43</v>
      </c>
      <c r="L2026" s="2" t="s">
        <v>2539</v>
      </c>
      <c r="M2026" s="2" t="s">
        <v>2537</v>
      </c>
      <c r="N2026" s="8">
        <f>IFERROR(G2026/F2026,0)</f>
        <v>5.2296725625395557E-2</v>
      </c>
      <c r="O2026" s="8">
        <f>IFERROR(H2026/G2026,0)</f>
        <v>2.4203821656050957E-2</v>
      </c>
      <c r="P2026" s="4">
        <f>IFERROR(I2026/G2026,0)</f>
        <v>0.16753821656050957</v>
      </c>
      <c r="Q2026" s="4">
        <f>IFERROR(I2026/H2026,0)</f>
        <v>6.9219736842105268</v>
      </c>
      <c r="R2026" s="12">
        <f>IFERROR(J2026/I2026,0)</f>
        <v>11.759423650844942</v>
      </c>
      <c r="S2026" s="7">
        <f>Tabla_nuevas_columnas[[#This Row],[ROAS]]</f>
        <v>11.759423650844942</v>
      </c>
      <c r="T2026" t="str">
        <f>_xlfn.CONCAT(C2026,"-",D2026)</f>
        <v>Organic Social-México</v>
      </c>
      <c r="U2026">
        <f>YEAR(A2026)</f>
        <v>2025</v>
      </c>
      <c r="V2026">
        <f>MONTH(A2026)</f>
        <v>6</v>
      </c>
      <c r="W2026" t="str">
        <f>PROPER(TEXT(A2026,"mmmm"))</f>
        <v>Junio</v>
      </c>
      <c r="X2026" t="str">
        <f>PROPER(TEXT(A2026,"dddd"))</f>
        <v>Viernes</v>
      </c>
      <c r="Y2026" t="str" cm="1">
        <f t="array" ref="Y2026">_xlfn.IFS(R2026&gt;10,"Excelente",R2026&gt;=5,"Bueno",R2026&gt;=2,"Débil",R2026&lt;2,"Deficiente")</f>
        <v>Excelente</v>
      </c>
      <c r="Z2026" t="str">
        <f>IF(AND(R2026&lt;2,Q2026&gt;=100),"Revisar","OK")</f>
        <v>OK</v>
      </c>
      <c r="AA2026" s="55">
        <f>_xlfn.XLOOKUP(C2026,'Preguntas de negocio'!$C$114:$C$119,'Preguntas de negocio'!$D$114:$D$119,0)</f>
        <v>4</v>
      </c>
      <c r="AB2026" s="55">
        <f>VLOOKUP(C2026,'Preguntas de negocio'!$C$121:$D$127,2,FALSE)</f>
        <v>0.95</v>
      </c>
    </row>
    <row r="2027" spans="1:28" x14ac:dyDescent="0.3">
      <c r="A2027" s="1">
        <v>45787</v>
      </c>
      <c r="B2027" s="2" t="s">
        <v>2642</v>
      </c>
      <c r="C2027" s="2" t="s">
        <v>2527</v>
      </c>
      <c r="D2027" s="2" t="s">
        <v>2522</v>
      </c>
      <c r="E2027" s="2" t="s">
        <v>2529</v>
      </c>
      <c r="F2027" s="3">
        <v>172625</v>
      </c>
      <c r="G2027" s="3">
        <v>10466</v>
      </c>
      <c r="H2027" s="3">
        <v>1123</v>
      </c>
      <c r="I2027" s="4">
        <v>10282.15</v>
      </c>
      <c r="J2027" s="4">
        <v>156284.4</v>
      </c>
      <c r="K2027" s="3">
        <v>509</v>
      </c>
      <c r="L2027" s="2" t="s">
        <v>2523</v>
      </c>
      <c r="M2027" s="2" t="s">
        <v>2546</v>
      </c>
      <c r="N2027" s="8">
        <f>IFERROR(G2027/F2027,0)</f>
        <v>6.0628530050687905E-2</v>
      </c>
      <c r="O2027" s="8">
        <f>IFERROR(H2027/G2027,0)</f>
        <v>0.10729982801452322</v>
      </c>
      <c r="P2027" s="4">
        <f>IFERROR(I2027/G2027,0)</f>
        <v>0.98243359449646472</v>
      </c>
      <c r="Q2027" s="4">
        <f>IFERROR(I2027/H2027,0)</f>
        <v>9.1559661620658943</v>
      </c>
      <c r="R2027" s="12">
        <f>IFERROR(J2027/I2027,0)</f>
        <v>15.199583744644846</v>
      </c>
      <c r="S2027" s="7">
        <f>Tabla_nuevas_columnas[[#This Row],[ROAS]]</f>
        <v>15.199583744644846</v>
      </c>
      <c r="T2027" t="str">
        <f>_xlfn.CONCAT(C2027,"-",D2027)</f>
        <v>Affiliate-Italia</v>
      </c>
      <c r="U2027">
        <f>YEAR(A2027)</f>
        <v>2025</v>
      </c>
      <c r="V2027">
        <f>MONTH(A2027)</f>
        <v>5</v>
      </c>
      <c r="W2027" t="str">
        <f>PROPER(TEXT(A2027,"mmmm"))</f>
        <v>Mayo</v>
      </c>
      <c r="X2027" t="str">
        <f>PROPER(TEXT(A2027,"dddd"))</f>
        <v>Sábado</v>
      </c>
      <c r="Y2027" t="str" cm="1">
        <f t="array" ref="Y2027">_xlfn.IFS(R2027&gt;10,"Excelente",R2027&gt;=5,"Bueno",R2027&gt;=2,"Débil",R2027&lt;2,"Deficiente")</f>
        <v>Excelente</v>
      </c>
      <c r="Z2027" t="str">
        <f>IF(AND(R2027&lt;2,Q2027&gt;=100),"Revisar","OK")</f>
        <v>OK</v>
      </c>
      <c r="AA2027" s="55">
        <f>_xlfn.XLOOKUP(C2027,'Preguntas de negocio'!$C$114:$C$119,'Preguntas de negocio'!$D$114:$D$119,0)</f>
        <v>4.5</v>
      </c>
      <c r="AB2027" s="55">
        <f>VLOOKUP(C2027,'Preguntas de negocio'!$C$121:$D$127,2,FALSE)</f>
        <v>0.35</v>
      </c>
    </row>
    <row r="2028" spans="1:28" x14ac:dyDescent="0.3">
      <c r="A2028" s="1">
        <v>45889</v>
      </c>
      <c r="B2028" s="2" t="s">
        <v>2639</v>
      </c>
      <c r="C2028" s="2" t="s">
        <v>2515</v>
      </c>
      <c r="D2028" s="2" t="s">
        <v>2528</v>
      </c>
      <c r="E2028" s="2" t="s">
        <v>2529</v>
      </c>
      <c r="F2028" s="3">
        <v>135344</v>
      </c>
      <c r="G2028" s="3">
        <v>2163</v>
      </c>
      <c r="H2028" s="3">
        <v>249</v>
      </c>
      <c r="I2028" s="4">
        <v>1550.05</v>
      </c>
      <c r="J2028" s="4">
        <v>27917.42</v>
      </c>
      <c r="K2028" s="3">
        <v>137</v>
      </c>
      <c r="L2028" s="2" t="s">
        <v>2536</v>
      </c>
      <c r="M2028" s="2" t="s">
        <v>2537</v>
      </c>
      <c r="N2028" s="8">
        <f>IFERROR(G2028/F2028,0)</f>
        <v>1.5981498995153092E-2</v>
      </c>
      <c r="O2028" s="8">
        <f>IFERROR(H2028/G2028,0)</f>
        <v>0.11511789181692095</v>
      </c>
      <c r="P2028" s="4">
        <f>IFERROR(I2028/G2028,0)</f>
        <v>0.71662043458159963</v>
      </c>
      <c r="Q2028" s="4">
        <f>IFERROR(I2028/H2028,0)</f>
        <v>6.2251004016064257</v>
      </c>
      <c r="R2028" s="12">
        <f>IFERROR(J2028/I2028,0)</f>
        <v>18.010657720718687</v>
      </c>
      <c r="S2028" s="7">
        <f>Tabla_nuevas_columnas[[#This Row],[ROAS]]</f>
        <v>18.010657720718687</v>
      </c>
      <c r="T2028" t="str">
        <f>_xlfn.CONCAT(C2028,"-",D2028)</f>
        <v>Email-España</v>
      </c>
      <c r="U2028">
        <f>YEAR(A2028)</f>
        <v>2025</v>
      </c>
      <c r="V2028">
        <f>MONTH(A2028)</f>
        <v>8</v>
      </c>
      <c r="W2028" t="str">
        <f>PROPER(TEXT(A2028,"mmmm"))</f>
        <v>Agosto</v>
      </c>
      <c r="X2028" t="str">
        <f>PROPER(TEXT(A2028,"dddd"))</f>
        <v>Miércoles</v>
      </c>
      <c r="Y2028" t="str" cm="1">
        <f t="array" ref="Y2028">_xlfn.IFS(R2028&gt;10,"Excelente",R2028&gt;=5,"Bueno",R2028&gt;=2,"Débil",R2028&lt;2,"Deficiente")</f>
        <v>Excelente</v>
      </c>
      <c r="Z2028" t="str">
        <f>IF(AND(R2028&lt;2,Q2028&gt;=100),"Revisar","OK")</f>
        <v>OK</v>
      </c>
      <c r="AA2028" s="55">
        <f>_xlfn.XLOOKUP(C2028,'Preguntas de negocio'!$C$114:$C$119,'Preguntas de negocio'!$D$114:$D$119,0)</f>
        <v>5.5</v>
      </c>
      <c r="AB2028" s="55">
        <f>VLOOKUP(C2028,'Preguntas de negocio'!$C$121:$D$127,2,FALSE)</f>
        <v>0.65</v>
      </c>
    </row>
    <row r="2029" spans="1:28" x14ac:dyDescent="0.3">
      <c r="A2029" s="1">
        <v>45685</v>
      </c>
      <c r="B2029" s="2" t="s">
        <v>2616</v>
      </c>
      <c r="C2029" s="2" t="s">
        <v>2521</v>
      </c>
      <c r="D2029" s="2" t="s">
        <v>2528</v>
      </c>
      <c r="E2029" s="2" t="s">
        <v>2529</v>
      </c>
      <c r="F2029" s="3">
        <v>136578</v>
      </c>
      <c r="G2029" s="3">
        <v>3889</v>
      </c>
      <c r="H2029" s="3">
        <v>23</v>
      </c>
      <c r="I2029" s="4">
        <v>3075.99</v>
      </c>
      <c r="J2029" s="4">
        <v>1865.58</v>
      </c>
      <c r="K2029" s="3">
        <v>20</v>
      </c>
      <c r="L2029" s="2" t="s">
        <v>2539</v>
      </c>
      <c r="M2029" s="2" t="s">
        <v>2519</v>
      </c>
      <c r="N2029" s="8">
        <f>IFERROR(G2029/F2029,0)</f>
        <v>2.8474571307238353E-2</v>
      </c>
      <c r="O2029" s="8">
        <f>IFERROR(H2029/G2029,0)</f>
        <v>5.9141167395217282E-3</v>
      </c>
      <c r="P2029" s="4">
        <f>IFERROR(I2029/G2029,0)</f>
        <v>0.79094625867832347</v>
      </c>
      <c r="Q2029" s="4">
        <f>IFERROR(I2029/H2029,0)</f>
        <v>133.7386956521739</v>
      </c>
      <c r="R2029" s="12">
        <f>IFERROR(J2029/I2029,0)</f>
        <v>0.60649742034271892</v>
      </c>
      <c r="S2029" s="7">
        <f>Tabla_nuevas_columnas[[#This Row],[ROAS]]</f>
        <v>0.60649742034271892</v>
      </c>
      <c r="T2029" t="str">
        <f>_xlfn.CONCAT(C2029,"-",D2029)</f>
        <v>Paid Search-España</v>
      </c>
      <c r="U2029">
        <f>YEAR(A2029)</f>
        <v>2025</v>
      </c>
      <c r="V2029">
        <f>MONTH(A2029)</f>
        <v>1</v>
      </c>
      <c r="W2029" t="str">
        <f>PROPER(TEXT(A2029,"mmmm"))</f>
        <v>Enero</v>
      </c>
      <c r="X2029" t="str">
        <f>PROPER(TEXT(A2029,"dddd"))</f>
        <v>Martes</v>
      </c>
      <c r="Y2029" t="str" cm="1">
        <f t="array" ref="Y2029">_xlfn.IFS(R2029&gt;10,"Excelente",R2029&gt;=5,"Bueno",R2029&gt;=2,"Débil",R2029&lt;2,"Deficiente")</f>
        <v>Deficiente</v>
      </c>
      <c r="Z2029" t="str">
        <f>IF(AND(R2029&lt;2,Q2029&gt;=100),"Revisar","OK")</f>
        <v>Revisar</v>
      </c>
      <c r="AA2029" s="55">
        <f>_xlfn.XLOOKUP(C2029,'Preguntas de negocio'!$C$114:$C$119,'Preguntas de negocio'!$D$114:$D$119,0)</f>
        <v>5</v>
      </c>
      <c r="AB2029" s="55">
        <f>VLOOKUP(C2029,'Preguntas de negocio'!$C$121:$D$127,2,FALSE)</f>
        <v>1.1000000000000001</v>
      </c>
    </row>
    <row r="2030" spans="1:28" x14ac:dyDescent="0.3">
      <c r="A2030" s="1">
        <v>45776</v>
      </c>
      <c r="B2030" s="2" t="s">
        <v>2635</v>
      </c>
      <c r="C2030" s="2" t="s">
        <v>2543</v>
      </c>
      <c r="D2030" s="2" t="s">
        <v>2525</v>
      </c>
      <c r="E2030" s="2" t="s">
        <v>2517</v>
      </c>
      <c r="F2030" s="3">
        <v>160262</v>
      </c>
      <c r="G2030" s="3">
        <v>14343</v>
      </c>
      <c r="H2030" s="3">
        <v>1612</v>
      </c>
      <c r="I2030" s="4">
        <v>25539.59</v>
      </c>
      <c r="J2030" s="4">
        <v>209416.14</v>
      </c>
      <c r="K2030" s="3">
        <v>1342</v>
      </c>
      <c r="L2030" s="2" t="s">
        <v>2523</v>
      </c>
      <c r="M2030" s="2" t="s">
        <v>2546</v>
      </c>
      <c r="N2030" s="8">
        <f>IFERROR(G2030/F2030,0)</f>
        <v>8.9497198337721975E-2</v>
      </c>
      <c r="O2030" s="8">
        <f>IFERROR(H2030/G2030,0)</f>
        <v>0.11238931883148574</v>
      </c>
      <c r="P2030" s="4">
        <f>IFERROR(I2030/G2030,0)</f>
        <v>1.7806309698110576</v>
      </c>
      <c r="Q2030" s="4">
        <f>IFERROR(I2030/H2030,0)</f>
        <v>15.843418114143921</v>
      </c>
      <c r="R2030" s="12">
        <f>IFERROR(J2030/I2030,0)</f>
        <v>8.1996672616905766</v>
      </c>
      <c r="S2030" s="7">
        <f>Tabla_nuevas_columnas[[#This Row],[ROAS]]</f>
        <v>8.1996672616905766</v>
      </c>
      <c r="T2030" t="str">
        <f>_xlfn.CONCAT(C2030,"-",D2030)</f>
        <v>Organic Social-Francia</v>
      </c>
      <c r="U2030">
        <f>YEAR(A2030)</f>
        <v>2025</v>
      </c>
      <c r="V2030">
        <f>MONTH(A2030)</f>
        <v>4</v>
      </c>
      <c r="W2030" t="str">
        <f>PROPER(TEXT(A2030,"mmmm"))</f>
        <v>Abril</v>
      </c>
      <c r="X2030" t="str">
        <f>PROPER(TEXT(A2030,"dddd"))</f>
        <v>Martes</v>
      </c>
      <c r="Y2030" t="str" cm="1">
        <f t="array" ref="Y2030">_xlfn.IFS(R2030&gt;10,"Excelente",R2030&gt;=5,"Bueno",R2030&gt;=2,"Débil",R2030&lt;2,"Deficiente")</f>
        <v>Bueno</v>
      </c>
      <c r="Z2030" t="str">
        <f>IF(AND(R2030&lt;2,Q2030&gt;=100),"Revisar","OK")</f>
        <v>OK</v>
      </c>
      <c r="AA2030" s="55">
        <f>_xlfn.XLOOKUP(C2030,'Preguntas de negocio'!$C$114:$C$119,'Preguntas de negocio'!$D$114:$D$119,0)</f>
        <v>4</v>
      </c>
      <c r="AB2030" s="55">
        <f>VLOOKUP(C2030,'Preguntas de negocio'!$C$121:$D$127,2,FALSE)</f>
        <v>0.95</v>
      </c>
    </row>
    <row r="2031" spans="1:28" x14ac:dyDescent="0.3">
      <c r="A2031" s="1">
        <v>45966</v>
      </c>
      <c r="B2031" s="2" t="s">
        <v>2635</v>
      </c>
      <c r="C2031" s="2" t="s">
        <v>2515</v>
      </c>
      <c r="D2031" s="2" t="s">
        <v>2528</v>
      </c>
      <c r="E2031" s="2" t="s">
        <v>2529</v>
      </c>
      <c r="F2031" s="3">
        <v>110394</v>
      </c>
      <c r="G2031" s="3">
        <v>1522</v>
      </c>
      <c r="H2031" s="3">
        <v>145</v>
      </c>
      <c r="I2031" s="4">
        <v>729.85</v>
      </c>
      <c r="J2031" s="4">
        <v>20111.63</v>
      </c>
      <c r="K2031" s="3">
        <v>94</v>
      </c>
      <c r="L2031" s="2" t="s">
        <v>2523</v>
      </c>
      <c r="M2031" s="2" t="s">
        <v>2537</v>
      </c>
      <c r="N2031" s="8">
        <f>IFERROR(G2031/F2031,0)</f>
        <v>1.3786981176513216E-2</v>
      </c>
      <c r="O2031" s="8">
        <f>IFERROR(H2031/G2031,0)</f>
        <v>9.526938239159001E-2</v>
      </c>
      <c r="P2031" s="4">
        <f>IFERROR(I2031/G2031,0)</f>
        <v>0.47953350854139293</v>
      </c>
      <c r="Q2031" s="4">
        <f>IFERROR(I2031/H2031,0)</f>
        <v>5.0334482758620691</v>
      </c>
      <c r="R2031" s="12">
        <f>IFERROR(J2031/I2031,0)</f>
        <v>27.555840241145443</v>
      </c>
      <c r="S2031" s="7">
        <f>Tabla_nuevas_columnas[[#This Row],[ROAS]]</f>
        <v>27.555840241145443</v>
      </c>
      <c r="T2031" t="str">
        <f>_xlfn.CONCAT(C2031,"-",D2031)</f>
        <v>Email-España</v>
      </c>
      <c r="U2031">
        <f>YEAR(A2031)</f>
        <v>2025</v>
      </c>
      <c r="V2031">
        <f>MONTH(A2031)</f>
        <v>11</v>
      </c>
      <c r="W2031" t="str">
        <f>PROPER(TEXT(A2031,"mmmm"))</f>
        <v>Noviembre</v>
      </c>
      <c r="X2031" t="str">
        <f>PROPER(TEXT(A2031,"dddd"))</f>
        <v>Miércoles</v>
      </c>
      <c r="Y2031" t="str" cm="1">
        <f t="array" ref="Y2031">_xlfn.IFS(R2031&gt;10,"Excelente",R2031&gt;=5,"Bueno",R2031&gt;=2,"Débil",R2031&lt;2,"Deficiente")</f>
        <v>Excelente</v>
      </c>
      <c r="Z2031" t="str">
        <f>IF(AND(R2031&lt;2,Q2031&gt;=100),"Revisar","OK")</f>
        <v>OK</v>
      </c>
      <c r="AA2031" s="55">
        <f>_xlfn.XLOOKUP(C2031,'Preguntas de negocio'!$C$114:$C$119,'Preguntas de negocio'!$D$114:$D$119,0)</f>
        <v>5.5</v>
      </c>
      <c r="AB2031" s="55">
        <f>VLOOKUP(C2031,'Preguntas de negocio'!$C$121:$D$127,2,FALSE)</f>
        <v>0.65</v>
      </c>
    </row>
    <row r="2032" spans="1:28" x14ac:dyDescent="0.3">
      <c r="A2032" s="1">
        <v>45663</v>
      </c>
      <c r="B2032" s="2" t="s">
        <v>2620</v>
      </c>
      <c r="C2032" s="2" t="s">
        <v>2541</v>
      </c>
      <c r="D2032" s="2" t="s">
        <v>2516</v>
      </c>
      <c r="E2032" s="2" t="s">
        <v>2529</v>
      </c>
      <c r="F2032" s="3">
        <v>48187</v>
      </c>
      <c r="G2032" s="3">
        <v>781</v>
      </c>
      <c r="H2032" s="3">
        <v>36</v>
      </c>
      <c r="I2032" s="4">
        <v>1310.85</v>
      </c>
      <c r="J2032" s="4">
        <v>5537.41</v>
      </c>
      <c r="K2032" s="3">
        <v>29</v>
      </c>
      <c r="L2032" s="2" t="s">
        <v>2536</v>
      </c>
      <c r="M2032" s="2" t="s">
        <v>2519</v>
      </c>
      <c r="N2032" s="8">
        <f>IFERROR(G2032/F2032,0)</f>
        <v>1.6207690870981801E-2</v>
      </c>
      <c r="O2032" s="8">
        <f>IFERROR(H2032/G2032,0)</f>
        <v>4.6094750320102434E-2</v>
      </c>
      <c r="P2032" s="4">
        <f>IFERROR(I2032/G2032,0)</f>
        <v>1.6784250960307296</v>
      </c>
      <c r="Q2032" s="4">
        <f>IFERROR(I2032/H2032,0)</f>
        <v>36.412499999999994</v>
      </c>
      <c r="R2032" s="12">
        <f>IFERROR(J2032/I2032,0)</f>
        <v>4.2242895830949383</v>
      </c>
      <c r="S2032" s="7">
        <f>Tabla_nuevas_columnas[[#This Row],[ROAS]]</f>
        <v>4.2242895830949383</v>
      </c>
      <c r="T2032" t="str">
        <f>_xlfn.CONCAT(C2032,"-",D2032)</f>
        <v>Display-México</v>
      </c>
      <c r="U2032">
        <f>YEAR(A2032)</f>
        <v>2025</v>
      </c>
      <c r="V2032">
        <f>MONTH(A2032)</f>
        <v>1</v>
      </c>
      <c r="W2032" t="str">
        <f>PROPER(TEXT(A2032,"mmmm"))</f>
        <v>Enero</v>
      </c>
      <c r="X2032" t="str">
        <f>PROPER(TEXT(A2032,"dddd"))</f>
        <v>Lunes</v>
      </c>
      <c r="Y2032" t="str" cm="1">
        <f t="array" ref="Y2032">_xlfn.IFS(R2032&gt;10,"Excelente",R2032&gt;=5,"Bueno",R2032&gt;=2,"Débil",R2032&lt;2,"Deficiente")</f>
        <v>Débil</v>
      </c>
      <c r="Z2032" t="str">
        <f>IF(AND(R2032&lt;2,Q2032&gt;=100),"Revisar","OK")</f>
        <v>OK</v>
      </c>
      <c r="AA2032" s="55">
        <f>_xlfn.XLOOKUP(C2032,'Preguntas de negocio'!$C$114:$C$119,'Preguntas de negocio'!$D$114:$D$119,0)</f>
        <v>5</v>
      </c>
      <c r="AB2032" s="55">
        <f>VLOOKUP(C2032,'Preguntas de negocio'!$C$121:$D$127,2,FALSE)</f>
        <v>0.5</v>
      </c>
    </row>
    <row r="2033" spans="1:28" x14ac:dyDescent="0.3">
      <c r="A2033" s="1">
        <v>45983</v>
      </c>
      <c r="B2033" s="2" t="s">
        <v>2619</v>
      </c>
      <c r="C2033" s="2" t="s">
        <v>2541</v>
      </c>
      <c r="D2033" s="2" t="s">
        <v>2528</v>
      </c>
      <c r="E2033" s="2" t="s">
        <v>2529</v>
      </c>
      <c r="F2033" s="3">
        <v>110375</v>
      </c>
      <c r="G2033" s="3">
        <v>9777</v>
      </c>
      <c r="H2033" s="3">
        <v>973</v>
      </c>
      <c r="I2033" s="4">
        <v>7811.37</v>
      </c>
      <c r="J2033" s="4">
        <v>101825.04</v>
      </c>
      <c r="K2033" s="3">
        <v>481</v>
      </c>
      <c r="L2033" s="2" t="s">
        <v>2518</v>
      </c>
      <c r="M2033" s="2" t="s">
        <v>2546</v>
      </c>
      <c r="N2033" s="8">
        <f>IFERROR(G2033/F2033,0)</f>
        <v>8.8579841449603625E-2</v>
      </c>
      <c r="O2033" s="8">
        <f>IFERROR(H2033/G2033,0)</f>
        <v>9.9519279942722721E-2</v>
      </c>
      <c r="P2033" s="4">
        <f>IFERROR(I2033/G2033,0)</f>
        <v>0.79895366676894752</v>
      </c>
      <c r="Q2033" s="4">
        <f>IFERROR(I2033/H2033,0)</f>
        <v>8.0281294964028778</v>
      </c>
      <c r="R2033" s="12">
        <f>IFERROR(J2033/I2033,0)</f>
        <v>13.03549057335653</v>
      </c>
      <c r="S2033" s="7">
        <f>Tabla_nuevas_columnas[[#This Row],[ROAS]]</f>
        <v>13.03549057335653</v>
      </c>
      <c r="T2033" t="str">
        <f>_xlfn.CONCAT(C2033,"-",D2033)</f>
        <v>Display-España</v>
      </c>
      <c r="U2033">
        <f>YEAR(A2033)</f>
        <v>2025</v>
      </c>
      <c r="V2033">
        <f>MONTH(A2033)</f>
        <v>11</v>
      </c>
      <c r="W2033" t="str">
        <f>PROPER(TEXT(A2033,"mmmm"))</f>
        <v>Noviembre</v>
      </c>
      <c r="X2033" t="str">
        <f>PROPER(TEXT(A2033,"dddd"))</f>
        <v>Sábado</v>
      </c>
      <c r="Y2033" t="str" cm="1">
        <f t="array" ref="Y2033">_xlfn.IFS(R2033&gt;10,"Excelente",R2033&gt;=5,"Bueno",R2033&gt;=2,"Débil",R2033&lt;2,"Deficiente")</f>
        <v>Excelente</v>
      </c>
      <c r="Z2033" t="str">
        <f>IF(AND(R2033&lt;2,Q2033&gt;=100),"Revisar","OK")</f>
        <v>OK</v>
      </c>
      <c r="AA2033" s="55">
        <f>_xlfn.XLOOKUP(C2033,'Preguntas de negocio'!$C$114:$C$119,'Preguntas de negocio'!$D$114:$D$119,0)</f>
        <v>5</v>
      </c>
      <c r="AB2033" s="55">
        <f>VLOOKUP(C2033,'Preguntas de negocio'!$C$121:$D$127,2,FALSE)</f>
        <v>0.5</v>
      </c>
    </row>
    <row r="2034" spans="1:28" x14ac:dyDescent="0.3">
      <c r="A2034" s="1">
        <v>45745</v>
      </c>
      <c r="B2034" s="2" t="s">
        <v>2634</v>
      </c>
      <c r="C2034" s="2" t="s">
        <v>2515</v>
      </c>
      <c r="D2034" s="2" t="s">
        <v>2528</v>
      </c>
      <c r="E2034" s="2" t="s">
        <v>2517</v>
      </c>
      <c r="F2034" s="3">
        <v>98563</v>
      </c>
      <c r="G2034" s="3">
        <v>2363</v>
      </c>
      <c r="H2034" s="3">
        <v>45</v>
      </c>
      <c r="I2034" s="4">
        <v>1123.02</v>
      </c>
      <c r="J2034" s="4">
        <v>5171.87</v>
      </c>
      <c r="K2034" s="3">
        <v>39</v>
      </c>
      <c r="L2034" s="2" t="s">
        <v>2518</v>
      </c>
      <c r="M2034" s="2" t="s">
        <v>2537</v>
      </c>
      <c r="N2034" s="8">
        <f>IFERROR(G2034/F2034,0)</f>
        <v>2.3974513762771019E-2</v>
      </c>
      <c r="O2034" s="8">
        <f>IFERROR(H2034/G2034,0)</f>
        <v>1.9043588658484975E-2</v>
      </c>
      <c r="P2034" s="4">
        <f>IFERROR(I2034/G2034,0)</f>
        <v>0.47525179856115107</v>
      </c>
      <c r="Q2034" s="4">
        <f>IFERROR(I2034/H2034,0)</f>
        <v>24.956</v>
      </c>
      <c r="R2034" s="12">
        <f>IFERROR(J2034/I2034,0)</f>
        <v>4.6053231465156452</v>
      </c>
      <c r="S2034" s="7">
        <f>Tabla_nuevas_columnas[[#This Row],[ROAS]]</f>
        <v>4.6053231465156452</v>
      </c>
      <c r="T2034" t="str">
        <f>_xlfn.CONCAT(C2034,"-",D2034)</f>
        <v>Email-España</v>
      </c>
      <c r="U2034">
        <f>YEAR(A2034)</f>
        <v>2025</v>
      </c>
      <c r="V2034">
        <f>MONTH(A2034)</f>
        <v>3</v>
      </c>
      <c r="W2034" t="str">
        <f>PROPER(TEXT(A2034,"mmmm"))</f>
        <v>Marzo</v>
      </c>
      <c r="X2034" t="str">
        <f>PROPER(TEXT(A2034,"dddd"))</f>
        <v>Sábado</v>
      </c>
      <c r="Y2034" t="str" cm="1">
        <f t="array" ref="Y2034">_xlfn.IFS(R2034&gt;10,"Excelente",R2034&gt;=5,"Bueno",R2034&gt;=2,"Débil",R2034&lt;2,"Deficiente")</f>
        <v>Débil</v>
      </c>
      <c r="Z2034" t="str">
        <f>IF(AND(R2034&lt;2,Q2034&gt;=100),"Revisar","OK")</f>
        <v>OK</v>
      </c>
      <c r="AA2034" s="55">
        <f>_xlfn.XLOOKUP(C2034,'Preguntas de negocio'!$C$114:$C$119,'Preguntas de negocio'!$D$114:$D$119,0)</f>
        <v>5.5</v>
      </c>
      <c r="AB2034" s="55">
        <f>VLOOKUP(C2034,'Preguntas de negocio'!$C$121:$D$127,2,FALSE)</f>
        <v>0.65</v>
      </c>
    </row>
    <row r="2035" spans="1:28" x14ac:dyDescent="0.3">
      <c r="A2035" s="1">
        <v>45721</v>
      </c>
      <c r="B2035" s="2" t="s">
        <v>2618</v>
      </c>
      <c r="C2035" s="2" t="s">
        <v>2515</v>
      </c>
      <c r="D2035" s="2" t="s">
        <v>2525</v>
      </c>
      <c r="E2035" s="2" t="s">
        <v>2529</v>
      </c>
      <c r="F2035" s="3">
        <v>14251</v>
      </c>
      <c r="G2035" s="3">
        <v>877</v>
      </c>
      <c r="H2035" s="3">
        <v>23</v>
      </c>
      <c r="I2035" s="4">
        <v>500.86</v>
      </c>
      <c r="J2035" s="4">
        <v>2852.2</v>
      </c>
      <c r="K2035" s="3">
        <v>13</v>
      </c>
      <c r="L2035" s="2" t="s">
        <v>2539</v>
      </c>
      <c r="M2035" s="2" t="s">
        <v>2546</v>
      </c>
      <c r="N2035" s="8">
        <f>IFERROR(G2035/F2035,0)</f>
        <v>6.1539541084836155E-2</v>
      </c>
      <c r="O2035" s="8">
        <f>IFERROR(H2035/G2035,0)</f>
        <v>2.6225769669327253E-2</v>
      </c>
      <c r="P2035" s="4">
        <f>IFERROR(I2035/G2035,0)</f>
        <v>0.57110604332953252</v>
      </c>
      <c r="Q2035" s="4">
        <f>IFERROR(I2035/H2035,0)</f>
        <v>21.776521739130434</v>
      </c>
      <c r="R2035" s="12">
        <f>IFERROR(J2035/I2035,0)</f>
        <v>5.6946052789202568</v>
      </c>
      <c r="S2035" s="7">
        <f>Tabla_nuevas_columnas[[#This Row],[ROAS]]</f>
        <v>5.6946052789202568</v>
      </c>
      <c r="T2035" t="str">
        <f>_xlfn.CONCAT(C2035,"-",D2035)</f>
        <v>Email-Francia</v>
      </c>
      <c r="U2035">
        <f>YEAR(A2035)</f>
        <v>2025</v>
      </c>
      <c r="V2035">
        <f>MONTH(A2035)</f>
        <v>3</v>
      </c>
      <c r="W2035" t="str">
        <f>PROPER(TEXT(A2035,"mmmm"))</f>
        <v>Marzo</v>
      </c>
      <c r="X2035" t="str">
        <f>PROPER(TEXT(A2035,"dddd"))</f>
        <v>Miércoles</v>
      </c>
      <c r="Y2035" t="str" cm="1">
        <f t="array" ref="Y2035">_xlfn.IFS(R2035&gt;10,"Excelente",R2035&gt;=5,"Bueno",R2035&gt;=2,"Débil",R2035&lt;2,"Deficiente")</f>
        <v>Bueno</v>
      </c>
      <c r="Z2035" t="str">
        <f>IF(AND(R2035&lt;2,Q2035&gt;=100),"Revisar","OK")</f>
        <v>OK</v>
      </c>
      <c r="AA2035" s="55">
        <f>_xlfn.XLOOKUP(C2035,'Preguntas de negocio'!$C$114:$C$119,'Preguntas de negocio'!$D$114:$D$119,0)</f>
        <v>5.5</v>
      </c>
      <c r="AB2035" s="55">
        <f>VLOOKUP(C2035,'Preguntas de negocio'!$C$121:$D$127,2,FALSE)</f>
        <v>0.65</v>
      </c>
    </row>
    <row r="2036" spans="1:28" x14ac:dyDescent="0.3">
      <c r="A2036" s="1">
        <v>45944</v>
      </c>
      <c r="B2036" s="2" t="s">
        <v>2634</v>
      </c>
      <c r="C2036" s="2" t="s">
        <v>2515</v>
      </c>
      <c r="D2036" s="2" t="s">
        <v>2528</v>
      </c>
      <c r="E2036" s="2" t="s">
        <v>2517</v>
      </c>
      <c r="F2036" s="3">
        <v>72561</v>
      </c>
      <c r="G2036" s="3">
        <v>5842</v>
      </c>
      <c r="H2036" s="3">
        <v>584</v>
      </c>
      <c r="I2036" s="4">
        <v>8074.8</v>
      </c>
      <c r="J2036" s="4">
        <v>48887.91</v>
      </c>
      <c r="K2036" s="3">
        <v>486</v>
      </c>
      <c r="L2036" s="2" t="s">
        <v>2536</v>
      </c>
      <c r="M2036" s="2" t="s">
        <v>2519</v>
      </c>
      <c r="N2036" s="8">
        <f>IFERROR(G2036/F2036,0)</f>
        <v>8.0511569575942993E-2</v>
      </c>
      <c r="O2036" s="8">
        <f>IFERROR(H2036/G2036,0)</f>
        <v>9.9965765148921595E-2</v>
      </c>
      <c r="P2036" s="4">
        <f>IFERROR(I2036/G2036,0)</f>
        <v>1.3821978774392332</v>
      </c>
      <c r="Q2036" s="4">
        <f>IFERROR(I2036/H2036,0)</f>
        <v>13.826712328767124</v>
      </c>
      <c r="R2036" s="12">
        <f>IFERROR(J2036/I2036,0)</f>
        <v>6.0543802942487739</v>
      </c>
      <c r="S2036" s="7">
        <f>Tabla_nuevas_columnas[[#This Row],[ROAS]]</f>
        <v>6.0543802942487739</v>
      </c>
      <c r="T2036" t="str">
        <f>_xlfn.CONCAT(C2036,"-",D2036)</f>
        <v>Email-España</v>
      </c>
      <c r="U2036">
        <f>YEAR(A2036)</f>
        <v>2025</v>
      </c>
      <c r="V2036">
        <f>MONTH(A2036)</f>
        <v>10</v>
      </c>
      <c r="W2036" t="str">
        <f>PROPER(TEXT(A2036,"mmmm"))</f>
        <v>Octubre</v>
      </c>
      <c r="X2036" t="str">
        <f>PROPER(TEXT(A2036,"dddd"))</f>
        <v>Martes</v>
      </c>
      <c r="Y2036" t="str" cm="1">
        <f t="array" ref="Y2036">_xlfn.IFS(R2036&gt;10,"Excelente",R2036&gt;=5,"Bueno",R2036&gt;=2,"Débil",R2036&lt;2,"Deficiente")</f>
        <v>Bueno</v>
      </c>
      <c r="Z2036" t="str">
        <f>IF(AND(R2036&lt;2,Q2036&gt;=100),"Revisar","OK")</f>
        <v>OK</v>
      </c>
      <c r="AA2036" s="55">
        <f>_xlfn.XLOOKUP(C2036,'Preguntas de negocio'!$C$114:$C$119,'Preguntas de negocio'!$D$114:$D$119,0)</f>
        <v>5.5</v>
      </c>
      <c r="AB2036" s="55">
        <f>VLOOKUP(C2036,'Preguntas de negocio'!$C$121:$D$127,2,FALSE)</f>
        <v>0.65</v>
      </c>
    </row>
    <row r="2037" spans="1:28" x14ac:dyDescent="0.3">
      <c r="A2037" s="1">
        <v>45730</v>
      </c>
      <c r="B2037" s="2" t="s">
        <v>2643</v>
      </c>
      <c r="C2037" s="2" t="s">
        <v>2533</v>
      </c>
      <c r="D2037" s="2" t="s">
        <v>2528</v>
      </c>
      <c r="E2037" s="2" t="s">
        <v>2529</v>
      </c>
      <c r="F2037" s="3">
        <v>117142</v>
      </c>
      <c r="G2037" s="3">
        <v>4804</v>
      </c>
      <c r="H2037" s="3">
        <v>41</v>
      </c>
      <c r="I2037" s="4">
        <v>4543.5</v>
      </c>
      <c r="J2037" s="4">
        <v>7046.53</v>
      </c>
      <c r="K2037" s="3">
        <v>31</v>
      </c>
      <c r="L2037" s="2" t="s">
        <v>2539</v>
      </c>
      <c r="M2037" s="2" t="s">
        <v>2537</v>
      </c>
      <c r="N2037" s="8">
        <f>IFERROR(G2037/F2037,0)</f>
        <v>4.1010056171142714E-2</v>
      </c>
      <c r="O2037" s="8">
        <f>IFERROR(H2037/G2037,0)</f>
        <v>8.5345545378850956E-3</v>
      </c>
      <c r="P2037" s="4">
        <f>IFERROR(I2037/G2037,0)</f>
        <v>0.94577435470441296</v>
      </c>
      <c r="Q2037" s="4">
        <f>IFERROR(I2037/H2037,0)</f>
        <v>110.8170731707317</v>
      </c>
      <c r="R2037" s="12">
        <f>IFERROR(J2037/I2037,0)</f>
        <v>1.550903488500055</v>
      </c>
      <c r="S2037" s="7">
        <f>Tabla_nuevas_columnas[[#This Row],[ROAS]]</f>
        <v>1.550903488500055</v>
      </c>
      <c r="T2037" t="str">
        <f>_xlfn.CONCAT(C2037,"-",D2037)</f>
        <v>Paid Social-España</v>
      </c>
      <c r="U2037">
        <f>YEAR(A2037)</f>
        <v>2025</v>
      </c>
      <c r="V2037">
        <f>MONTH(A2037)</f>
        <v>3</v>
      </c>
      <c r="W2037" t="str">
        <f>PROPER(TEXT(A2037,"mmmm"))</f>
        <v>Marzo</v>
      </c>
      <c r="X2037" t="str">
        <f>PROPER(TEXT(A2037,"dddd"))</f>
        <v>Viernes</v>
      </c>
      <c r="Y2037" t="str" cm="1">
        <f t="array" ref="Y2037">_xlfn.IFS(R2037&gt;10,"Excelente",R2037&gt;=5,"Bueno",R2037&gt;=2,"Débil",R2037&lt;2,"Deficiente")</f>
        <v>Deficiente</v>
      </c>
      <c r="Z2037" t="str">
        <f>IF(AND(R2037&lt;2,Q2037&gt;=100),"Revisar","OK")</f>
        <v>Revisar</v>
      </c>
      <c r="AA2037" s="55">
        <f>_xlfn.XLOOKUP(C2037,'Preguntas de negocio'!$C$114:$C$119,'Preguntas de negocio'!$D$114:$D$119,0)</f>
        <v>6</v>
      </c>
      <c r="AB2037" s="55">
        <f>VLOOKUP(C2037,'Preguntas de negocio'!$C$121:$D$127,2,FALSE)</f>
        <v>0.8</v>
      </c>
    </row>
    <row r="2038" spans="1:28" x14ac:dyDescent="0.3">
      <c r="A2038" s="1">
        <v>45906</v>
      </c>
      <c r="B2038" s="2" t="s">
        <v>2638</v>
      </c>
      <c r="C2038" s="2" t="s">
        <v>2521</v>
      </c>
      <c r="D2038" s="2" t="s">
        <v>2528</v>
      </c>
      <c r="E2038" s="2" t="s">
        <v>2517</v>
      </c>
      <c r="F2038" s="3">
        <v>120381</v>
      </c>
      <c r="G2038" s="3">
        <v>5952</v>
      </c>
      <c r="H2038" s="3">
        <v>454</v>
      </c>
      <c r="I2038" s="4">
        <v>1920.71</v>
      </c>
      <c r="J2038" s="4">
        <v>99587.97</v>
      </c>
      <c r="K2038" s="3">
        <v>215</v>
      </c>
      <c r="L2038" s="2" t="s">
        <v>2523</v>
      </c>
      <c r="M2038" s="2" t="s">
        <v>2524</v>
      </c>
      <c r="N2038" s="8">
        <f>IFERROR(G2038/F2038,0)</f>
        <v>4.9443018416527526E-2</v>
      </c>
      <c r="O2038" s="8">
        <f>IFERROR(H2038/G2038,0)</f>
        <v>7.6276881720430109E-2</v>
      </c>
      <c r="P2038" s="4">
        <f>IFERROR(I2038/G2038,0)</f>
        <v>0.32269993279569892</v>
      </c>
      <c r="Q2038" s="4">
        <f>IFERROR(I2038/H2038,0)</f>
        <v>4.2306387665198235</v>
      </c>
      <c r="R2038" s="12">
        <f>IFERROR(J2038/I2038,0)</f>
        <v>51.849560839481235</v>
      </c>
      <c r="S2038" s="7">
        <f>Tabla_nuevas_columnas[[#This Row],[ROAS]]</f>
        <v>51.849560839481235</v>
      </c>
      <c r="T2038" t="str">
        <f>_xlfn.CONCAT(C2038,"-",D2038)</f>
        <v>Paid Search-España</v>
      </c>
      <c r="U2038">
        <f>YEAR(A2038)</f>
        <v>2025</v>
      </c>
      <c r="V2038">
        <f>MONTH(A2038)</f>
        <v>9</v>
      </c>
      <c r="W2038" t="str">
        <f>PROPER(TEXT(A2038,"mmmm"))</f>
        <v>Septiembre</v>
      </c>
      <c r="X2038" t="str">
        <f>PROPER(TEXT(A2038,"dddd"))</f>
        <v>Sábado</v>
      </c>
      <c r="Y2038" t="str" cm="1">
        <f t="array" ref="Y2038">_xlfn.IFS(R2038&gt;10,"Excelente",R2038&gt;=5,"Bueno",R2038&gt;=2,"Débil",R2038&lt;2,"Deficiente")</f>
        <v>Excelente</v>
      </c>
      <c r="Z2038" t="str">
        <f>IF(AND(R2038&lt;2,Q2038&gt;=100),"Revisar","OK")</f>
        <v>OK</v>
      </c>
      <c r="AA2038" s="55">
        <f>_xlfn.XLOOKUP(C2038,'Preguntas de negocio'!$C$114:$C$119,'Preguntas de negocio'!$D$114:$D$119,0)</f>
        <v>5</v>
      </c>
      <c r="AB2038" s="55">
        <f>VLOOKUP(C2038,'Preguntas de negocio'!$C$121:$D$127,2,FALSE)</f>
        <v>1.1000000000000001</v>
      </c>
    </row>
    <row r="2039" spans="1:28" x14ac:dyDescent="0.3">
      <c r="A2039" s="1">
        <v>45716</v>
      </c>
      <c r="B2039" s="2" t="s">
        <v>2622</v>
      </c>
      <c r="C2039" s="2" t="s">
        <v>2527</v>
      </c>
      <c r="D2039" s="2" t="s">
        <v>2516</v>
      </c>
      <c r="E2039" s="2" t="s">
        <v>2517</v>
      </c>
      <c r="F2039" s="3">
        <v>41777</v>
      </c>
      <c r="G2039" s="3">
        <v>510</v>
      </c>
      <c r="H2039" s="3">
        <v>5</v>
      </c>
      <c r="I2039" s="4">
        <v>996.11</v>
      </c>
      <c r="J2039" s="4">
        <v>256.56</v>
      </c>
      <c r="K2039" s="3">
        <v>3</v>
      </c>
      <c r="L2039" s="2" t="s">
        <v>2523</v>
      </c>
      <c r="M2039" s="2" t="s">
        <v>2519</v>
      </c>
      <c r="N2039" s="8">
        <f>IFERROR(G2039/F2039,0)</f>
        <v>1.2207674079038706E-2</v>
      </c>
      <c r="O2039" s="8">
        <f>IFERROR(H2039/G2039,0)</f>
        <v>9.8039215686274508E-3</v>
      </c>
      <c r="P2039" s="4">
        <f>IFERROR(I2039/G2039,0)</f>
        <v>1.9531568627450981</v>
      </c>
      <c r="Q2039" s="4">
        <f>IFERROR(I2039/H2039,0)</f>
        <v>199.22200000000001</v>
      </c>
      <c r="R2039" s="12">
        <f>IFERROR(J2039/I2039,0)</f>
        <v>0.25756191585266686</v>
      </c>
      <c r="S2039" s="7">
        <f>Tabla_nuevas_columnas[[#This Row],[ROAS]]</f>
        <v>0.25756191585266686</v>
      </c>
      <c r="T2039" t="str">
        <f>_xlfn.CONCAT(C2039,"-",D2039)</f>
        <v>Affiliate-México</v>
      </c>
      <c r="U2039">
        <f>YEAR(A2039)</f>
        <v>2025</v>
      </c>
      <c r="V2039">
        <f>MONTH(A2039)</f>
        <v>2</v>
      </c>
      <c r="W2039" t="str">
        <f>PROPER(TEXT(A2039,"mmmm"))</f>
        <v>Febrero</v>
      </c>
      <c r="X2039" t="str">
        <f>PROPER(TEXT(A2039,"dddd"))</f>
        <v>Viernes</v>
      </c>
      <c r="Y2039" t="str" cm="1">
        <f t="array" ref="Y2039">_xlfn.IFS(R2039&gt;10,"Excelente",R2039&gt;=5,"Bueno",R2039&gt;=2,"Débil",R2039&lt;2,"Deficiente")</f>
        <v>Deficiente</v>
      </c>
      <c r="Z2039" t="str">
        <f>IF(AND(R2039&lt;2,Q2039&gt;=100),"Revisar","OK")</f>
        <v>Revisar</v>
      </c>
      <c r="AA2039" s="55">
        <f>_xlfn.XLOOKUP(C2039,'Preguntas de negocio'!$C$114:$C$119,'Preguntas de negocio'!$D$114:$D$119,0)</f>
        <v>4.5</v>
      </c>
      <c r="AB2039" s="55">
        <f>VLOOKUP(C2039,'Preguntas de negocio'!$C$121:$D$127,2,FALSE)</f>
        <v>0.35</v>
      </c>
    </row>
    <row r="2040" spans="1:28" x14ac:dyDescent="0.3">
      <c r="A2040" s="1">
        <v>45915</v>
      </c>
      <c r="B2040" s="2" t="s">
        <v>2635</v>
      </c>
      <c r="C2040" s="2" t="s">
        <v>2541</v>
      </c>
      <c r="D2040" s="2" t="s">
        <v>2528</v>
      </c>
      <c r="E2040" s="2" t="s">
        <v>2529</v>
      </c>
      <c r="F2040" s="3">
        <v>115490</v>
      </c>
      <c r="G2040" s="3">
        <v>7724</v>
      </c>
      <c r="H2040" s="3">
        <v>99</v>
      </c>
      <c r="I2040" s="4">
        <v>1886.75</v>
      </c>
      <c r="J2040" s="4">
        <v>12835.39</v>
      </c>
      <c r="K2040" s="3">
        <v>47</v>
      </c>
      <c r="L2040" s="2" t="s">
        <v>2536</v>
      </c>
      <c r="M2040" s="2" t="s">
        <v>2537</v>
      </c>
      <c r="N2040" s="8">
        <f>IFERROR(G2040/F2040,0)</f>
        <v>6.6880249372240019E-2</v>
      </c>
      <c r="O2040" s="8">
        <f>IFERROR(H2040/G2040,0)</f>
        <v>1.2817193164163646E-2</v>
      </c>
      <c r="P2040" s="4">
        <f>IFERROR(I2040/G2040,0)</f>
        <v>0.24427110305541169</v>
      </c>
      <c r="Q2040" s="4">
        <f>IFERROR(I2040/H2040,0)</f>
        <v>19.05808080808081</v>
      </c>
      <c r="R2040" s="12">
        <f>IFERROR(J2040/I2040,0)</f>
        <v>6.8029097654697228</v>
      </c>
      <c r="S2040" s="7">
        <f>Tabla_nuevas_columnas[[#This Row],[ROAS]]</f>
        <v>6.8029097654697228</v>
      </c>
      <c r="T2040" t="str">
        <f>_xlfn.CONCAT(C2040,"-",D2040)</f>
        <v>Display-España</v>
      </c>
      <c r="U2040">
        <f>YEAR(A2040)</f>
        <v>2025</v>
      </c>
      <c r="V2040">
        <f>MONTH(A2040)</f>
        <v>9</v>
      </c>
      <c r="W2040" t="str">
        <f>PROPER(TEXT(A2040,"mmmm"))</f>
        <v>Septiembre</v>
      </c>
      <c r="X2040" t="str">
        <f>PROPER(TEXT(A2040,"dddd"))</f>
        <v>Lunes</v>
      </c>
      <c r="Y2040" t="str" cm="1">
        <f t="array" ref="Y2040">_xlfn.IFS(R2040&gt;10,"Excelente",R2040&gt;=5,"Bueno",R2040&gt;=2,"Débil",R2040&lt;2,"Deficiente")</f>
        <v>Bueno</v>
      </c>
      <c r="Z2040" t="str">
        <f>IF(AND(R2040&lt;2,Q2040&gt;=100),"Revisar","OK")</f>
        <v>OK</v>
      </c>
      <c r="AA2040" s="55">
        <f>_xlfn.XLOOKUP(C2040,'Preguntas de negocio'!$C$114:$C$119,'Preguntas de negocio'!$D$114:$D$119,0)</f>
        <v>5</v>
      </c>
      <c r="AB2040" s="55">
        <f>VLOOKUP(C2040,'Preguntas de negocio'!$C$121:$D$127,2,FALSE)</f>
        <v>0.5</v>
      </c>
    </row>
    <row r="2041" spans="1:28" x14ac:dyDescent="0.3">
      <c r="A2041" s="1">
        <v>45750</v>
      </c>
      <c r="B2041" s="2" t="s">
        <v>2637</v>
      </c>
      <c r="C2041" s="2" t="s">
        <v>2521</v>
      </c>
      <c r="D2041" s="2" t="s">
        <v>2516</v>
      </c>
      <c r="E2041" s="2" t="s">
        <v>2529</v>
      </c>
      <c r="F2041" s="3">
        <v>15715</v>
      </c>
      <c r="G2041" s="3">
        <v>1100</v>
      </c>
      <c r="H2041" s="3">
        <v>123</v>
      </c>
      <c r="I2041" s="4">
        <v>880.71</v>
      </c>
      <c r="J2041" s="4">
        <v>25665.72</v>
      </c>
      <c r="K2041" s="3">
        <v>108</v>
      </c>
      <c r="L2041" s="2" t="s">
        <v>2536</v>
      </c>
      <c r="M2041" s="2" t="s">
        <v>2537</v>
      </c>
      <c r="N2041" s="8">
        <f>IFERROR(G2041/F2041,0)</f>
        <v>6.9996818326439711E-2</v>
      </c>
      <c r="O2041" s="8">
        <f>IFERROR(H2041/G2041,0)</f>
        <v>0.11181818181818182</v>
      </c>
      <c r="P2041" s="4">
        <f>IFERROR(I2041/G2041,0)</f>
        <v>0.80064545454545455</v>
      </c>
      <c r="Q2041" s="4">
        <f>IFERROR(I2041/H2041,0)</f>
        <v>7.1602439024390243</v>
      </c>
      <c r="R2041" s="12">
        <f>IFERROR(J2041/I2041,0)</f>
        <v>29.142078550260585</v>
      </c>
      <c r="S2041" s="7">
        <f>Tabla_nuevas_columnas[[#This Row],[ROAS]]</f>
        <v>29.142078550260585</v>
      </c>
      <c r="T2041" t="str">
        <f>_xlfn.CONCAT(C2041,"-",D2041)</f>
        <v>Paid Search-México</v>
      </c>
      <c r="U2041">
        <f>YEAR(A2041)</f>
        <v>2025</v>
      </c>
      <c r="V2041">
        <f>MONTH(A2041)</f>
        <v>4</v>
      </c>
      <c r="W2041" t="str">
        <f>PROPER(TEXT(A2041,"mmmm"))</f>
        <v>Abril</v>
      </c>
      <c r="X2041" t="str">
        <f>PROPER(TEXT(A2041,"dddd"))</f>
        <v>Jueves</v>
      </c>
      <c r="Y2041" t="str" cm="1">
        <f t="array" ref="Y2041">_xlfn.IFS(R2041&gt;10,"Excelente",R2041&gt;=5,"Bueno",R2041&gt;=2,"Débil",R2041&lt;2,"Deficiente")</f>
        <v>Excelente</v>
      </c>
      <c r="Z2041" t="str">
        <f>IF(AND(R2041&lt;2,Q2041&gt;=100),"Revisar","OK")</f>
        <v>OK</v>
      </c>
      <c r="AA2041" s="55">
        <f>_xlfn.XLOOKUP(C2041,'Preguntas de negocio'!$C$114:$C$119,'Preguntas de negocio'!$D$114:$D$119,0)</f>
        <v>5</v>
      </c>
      <c r="AB2041" s="55">
        <f>VLOOKUP(C2041,'Preguntas de negocio'!$C$121:$D$127,2,FALSE)</f>
        <v>1.1000000000000001</v>
      </c>
    </row>
    <row r="2042" spans="1:28" x14ac:dyDescent="0.3">
      <c r="A2042" s="1">
        <v>45908</v>
      </c>
      <c r="B2042" s="2" t="s">
        <v>2631</v>
      </c>
      <c r="C2042" s="2" t="s">
        <v>2515</v>
      </c>
      <c r="D2042" s="2" t="s">
        <v>2531</v>
      </c>
      <c r="E2042" s="2" t="s">
        <v>2529</v>
      </c>
      <c r="F2042" s="3">
        <v>10911</v>
      </c>
      <c r="G2042" s="3">
        <v>934</v>
      </c>
      <c r="H2042" s="3">
        <v>51</v>
      </c>
      <c r="I2042" s="4">
        <v>1019.86</v>
      </c>
      <c r="J2042" s="4">
        <v>8869.98</v>
      </c>
      <c r="K2042" s="3">
        <v>36</v>
      </c>
      <c r="L2042" s="2" t="s">
        <v>2523</v>
      </c>
      <c r="M2042" s="2" t="s">
        <v>2524</v>
      </c>
      <c r="N2042" s="8">
        <f>IFERROR(G2042/F2042,0)</f>
        <v>8.5601686371551647E-2</v>
      </c>
      <c r="O2042" s="8">
        <f>IFERROR(H2042/G2042,0)</f>
        <v>5.460385438972163E-2</v>
      </c>
      <c r="P2042" s="4">
        <f>IFERROR(I2042/G2042,0)</f>
        <v>1.0919271948608138</v>
      </c>
      <c r="Q2042" s="4">
        <f>IFERROR(I2042/H2042,0)</f>
        <v>19.997254901960783</v>
      </c>
      <c r="R2042" s="12">
        <f>IFERROR(J2042/I2042,0)</f>
        <v>8.6972525640774219</v>
      </c>
      <c r="S2042" s="7">
        <f>Tabla_nuevas_columnas[[#This Row],[ROAS]]</f>
        <v>8.6972525640774219</v>
      </c>
      <c r="T2042" t="str">
        <f>_xlfn.CONCAT(C2042,"-",D2042)</f>
        <v>Email-Portugal</v>
      </c>
      <c r="U2042">
        <f>YEAR(A2042)</f>
        <v>2025</v>
      </c>
      <c r="V2042">
        <f>MONTH(A2042)</f>
        <v>9</v>
      </c>
      <c r="W2042" t="str">
        <f>PROPER(TEXT(A2042,"mmmm"))</f>
        <v>Septiembre</v>
      </c>
      <c r="X2042" t="str">
        <f>PROPER(TEXT(A2042,"dddd"))</f>
        <v>Lunes</v>
      </c>
      <c r="Y2042" t="str" cm="1">
        <f t="array" ref="Y2042">_xlfn.IFS(R2042&gt;10,"Excelente",R2042&gt;=5,"Bueno",R2042&gt;=2,"Débil",R2042&lt;2,"Deficiente")</f>
        <v>Bueno</v>
      </c>
      <c r="Z2042" t="str">
        <f>IF(AND(R2042&lt;2,Q2042&gt;=100),"Revisar","OK")</f>
        <v>OK</v>
      </c>
      <c r="AA2042" s="55">
        <f>_xlfn.XLOOKUP(C2042,'Preguntas de negocio'!$C$114:$C$119,'Preguntas de negocio'!$D$114:$D$119,0)</f>
        <v>5.5</v>
      </c>
      <c r="AB2042" s="55">
        <f>VLOOKUP(C2042,'Preguntas de negocio'!$C$121:$D$127,2,FALSE)</f>
        <v>0.65</v>
      </c>
    </row>
    <row r="2043" spans="1:28" x14ac:dyDescent="0.3">
      <c r="A2043" s="1">
        <v>45670</v>
      </c>
      <c r="B2043" s="2" t="s">
        <v>2625</v>
      </c>
      <c r="C2043" s="2" t="s">
        <v>2543</v>
      </c>
      <c r="D2043" s="2" t="s">
        <v>2516</v>
      </c>
      <c r="E2043" s="2" t="s">
        <v>2517</v>
      </c>
      <c r="F2043" s="3">
        <v>99810</v>
      </c>
      <c r="G2043" s="3">
        <v>7861</v>
      </c>
      <c r="H2043" s="3">
        <v>672</v>
      </c>
      <c r="I2043" s="4">
        <v>11628.47</v>
      </c>
      <c r="J2043" s="4">
        <v>120282.97</v>
      </c>
      <c r="K2043" s="3">
        <v>542</v>
      </c>
      <c r="L2043" s="2" t="s">
        <v>2536</v>
      </c>
      <c r="M2043" s="2" t="s">
        <v>2526</v>
      </c>
      <c r="N2043" s="8">
        <f>IFERROR(G2043/F2043,0)</f>
        <v>7.8759643322312389E-2</v>
      </c>
      <c r="O2043" s="8">
        <f>IFERROR(H2043/G2043,0)</f>
        <v>8.5485307212822798E-2</v>
      </c>
      <c r="P2043" s="4">
        <f>IFERROR(I2043/G2043,0)</f>
        <v>1.479260908281389</v>
      </c>
      <c r="Q2043" s="4">
        <f>IFERROR(I2043/H2043,0)</f>
        <v>17.304270833333334</v>
      </c>
      <c r="R2043" s="12">
        <f>IFERROR(J2043/I2043,0)</f>
        <v>10.343834571530047</v>
      </c>
      <c r="S2043" s="7">
        <f>Tabla_nuevas_columnas[[#This Row],[ROAS]]</f>
        <v>10.343834571530047</v>
      </c>
      <c r="T2043" t="str">
        <f>_xlfn.CONCAT(C2043,"-",D2043)</f>
        <v>Organic Social-México</v>
      </c>
      <c r="U2043">
        <f>YEAR(A2043)</f>
        <v>2025</v>
      </c>
      <c r="V2043">
        <f>MONTH(A2043)</f>
        <v>1</v>
      </c>
      <c r="W2043" t="str">
        <f>PROPER(TEXT(A2043,"mmmm"))</f>
        <v>Enero</v>
      </c>
      <c r="X2043" t="str">
        <f>PROPER(TEXT(A2043,"dddd"))</f>
        <v>Lunes</v>
      </c>
      <c r="Y2043" t="str" cm="1">
        <f t="array" ref="Y2043">_xlfn.IFS(R2043&gt;10,"Excelente",R2043&gt;=5,"Bueno",R2043&gt;=2,"Débil",R2043&lt;2,"Deficiente")</f>
        <v>Excelente</v>
      </c>
      <c r="Z2043" t="str">
        <f>IF(AND(R2043&lt;2,Q2043&gt;=100),"Revisar","OK")</f>
        <v>OK</v>
      </c>
      <c r="AA2043" s="55">
        <f>_xlfn.XLOOKUP(C2043,'Preguntas de negocio'!$C$114:$C$119,'Preguntas de negocio'!$D$114:$D$119,0)</f>
        <v>4</v>
      </c>
      <c r="AB2043" s="55">
        <f>VLOOKUP(C2043,'Preguntas de negocio'!$C$121:$D$127,2,FALSE)</f>
        <v>0.95</v>
      </c>
    </row>
    <row r="2044" spans="1:28" x14ac:dyDescent="0.3">
      <c r="A2044" s="1">
        <v>45822</v>
      </c>
      <c r="B2044" s="2" t="s">
        <v>2627</v>
      </c>
      <c r="C2044" s="2" t="s">
        <v>2515</v>
      </c>
      <c r="D2044" s="2" t="s">
        <v>2528</v>
      </c>
      <c r="E2044" s="2" t="s">
        <v>2534</v>
      </c>
      <c r="F2044" s="3">
        <v>10619</v>
      </c>
      <c r="G2044" s="3">
        <v>179</v>
      </c>
      <c r="H2044" s="3">
        <v>17</v>
      </c>
      <c r="I2044" s="4">
        <v>342.84</v>
      </c>
      <c r="J2044" s="4">
        <v>3214.83</v>
      </c>
      <c r="K2044" s="3">
        <v>8</v>
      </c>
      <c r="L2044" s="2" t="s">
        <v>2539</v>
      </c>
      <c r="M2044" s="2" t="s">
        <v>2537</v>
      </c>
      <c r="N2044" s="8">
        <f>IFERROR(G2044/F2044,0)</f>
        <v>1.6856577832187587E-2</v>
      </c>
      <c r="O2044" s="8">
        <f>IFERROR(H2044/G2044,0)</f>
        <v>9.4972067039106142E-2</v>
      </c>
      <c r="P2044" s="4">
        <f>IFERROR(I2044/G2044,0)</f>
        <v>1.9153072625698322</v>
      </c>
      <c r="Q2044" s="4">
        <f>IFERROR(I2044/H2044,0)</f>
        <v>20.167058823529409</v>
      </c>
      <c r="R2044" s="12">
        <f>IFERROR(J2044/I2044,0)</f>
        <v>9.3770563528176414</v>
      </c>
      <c r="S2044" s="7">
        <f>Tabla_nuevas_columnas[[#This Row],[ROAS]]</f>
        <v>9.3770563528176414</v>
      </c>
      <c r="T2044" t="str">
        <f>_xlfn.CONCAT(C2044,"-",D2044)</f>
        <v>Email-España</v>
      </c>
      <c r="U2044">
        <f>YEAR(A2044)</f>
        <v>2025</v>
      </c>
      <c r="V2044">
        <f>MONTH(A2044)</f>
        <v>6</v>
      </c>
      <c r="W2044" t="str">
        <f>PROPER(TEXT(A2044,"mmmm"))</f>
        <v>Junio</v>
      </c>
      <c r="X2044" t="str">
        <f>PROPER(TEXT(A2044,"dddd"))</f>
        <v>Sábado</v>
      </c>
      <c r="Y2044" t="str" cm="1">
        <f t="array" ref="Y2044">_xlfn.IFS(R2044&gt;10,"Excelente",R2044&gt;=5,"Bueno",R2044&gt;=2,"Débil",R2044&lt;2,"Deficiente")</f>
        <v>Bueno</v>
      </c>
      <c r="Z2044" t="str">
        <f>IF(AND(R2044&lt;2,Q2044&gt;=100),"Revisar","OK")</f>
        <v>OK</v>
      </c>
      <c r="AA2044" s="55">
        <f>_xlfn.XLOOKUP(C2044,'Preguntas de negocio'!$C$114:$C$119,'Preguntas de negocio'!$D$114:$D$119,0)</f>
        <v>5.5</v>
      </c>
      <c r="AB2044" s="55">
        <f>VLOOKUP(C2044,'Preguntas de negocio'!$C$121:$D$127,2,FALSE)</f>
        <v>0.65</v>
      </c>
    </row>
    <row r="2045" spans="1:28" x14ac:dyDescent="0.3">
      <c r="A2045" s="1">
        <v>46019</v>
      </c>
      <c r="B2045" s="2" t="s">
        <v>2624</v>
      </c>
      <c r="C2045" s="2" t="s">
        <v>2515</v>
      </c>
      <c r="D2045" s="2" t="s">
        <v>2528</v>
      </c>
      <c r="E2045" s="2" t="s">
        <v>2517</v>
      </c>
      <c r="F2045" s="3">
        <v>90025</v>
      </c>
      <c r="G2045" s="3">
        <v>1144</v>
      </c>
      <c r="H2045" s="3">
        <v>73</v>
      </c>
      <c r="I2045" s="4">
        <v>1255.06</v>
      </c>
      <c r="J2045" s="4">
        <v>9979.52</v>
      </c>
      <c r="K2045" s="3">
        <v>51</v>
      </c>
      <c r="L2045" s="2" t="s">
        <v>2518</v>
      </c>
      <c r="M2045" s="2" t="s">
        <v>2546</v>
      </c>
      <c r="N2045" s="8">
        <f>IFERROR(G2045/F2045,0)</f>
        <v>1.2707581227436824E-2</v>
      </c>
      <c r="O2045" s="8">
        <f>IFERROR(H2045/G2045,0)</f>
        <v>6.3811188811188815E-2</v>
      </c>
      <c r="P2045" s="4">
        <f>IFERROR(I2045/G2045,0)</f>
        <v>1.0970804195804196</v>
      </c>
      <c r="Q2045" s="4">
        <f>IFERROR(I2045/H2045,0)</f>
        <v>17.192602739726027</v>
      </c>
      <c r="R2045" s="12">
        <f>IFERROR(J2045/I2045,0)</f>
        <v>7.9514286169585526</v>
      </c>
      <c r="S2045" s="7">
        <f>Tabla_nuevas_columnas[[#This Row],[ROAS]]</f>
        <v>7.9514286169585526</v>
      </c>
      <c r="T2045" t="str">
        <f>_xlfn.CONCAT(C2045,"-",D2045)</f>
        <v>Email-España</v>
      </c>
      <c r="U2045">
        <f>YEAR(A2045)</f>
        <v>2025</v>
      </c>
      <c r="V2045">
        <f>MONTH(A2045)</f>
        <v>12</v>
      </c>
      <c r="W2045" t="str">
        <f>PROPER(TEXT(A2045,"mmmm"))</f>
        <v>Diciembre</v>
      </c>
      <c r="X2045" t="str">
        <f>PROPER(TEXT(A2045,"dddd"))</f>
        <v>Domingo</v>
      </c>
      <c r="Y2045" t="str" cm="1">
        <f t="array" ref="Y2045">_xlfn.IFS(R2045&gt;10,"Excelente",R2045&gt;=5,"Bueno",R2045&gt;=2,"Débil",R2045&lt;2,"Deficiente")</f>
        <v>Bueno</v>
      </c>
      <c r="Z2045" t="str">
        <f>IF(AND(R2045&lt;2,Q2045&gt;=100),"Revisar","OK")</f>
        <v>OK</v>
      </c>
      <c r="AA2045" s="55">
        <f>_xlfn.XLOOKUP(C2045,'Preguntas de negocio'!$C$114:$C$119,'Preguntas de negocio'!$D$114:$D$119,0)</f>
        <v>5.5</v>
      </c>
      <c r="AB2045" s="55">
        <f>VLOOKUP(C2045,'Preguntas de negocio'!$C$121:$D$127,2,FALSE)</f>
        <v>0.65</v>
      </c>
    </row>
    <row r="2046" spans="1:28" x14ac:dyDescent="0.3">
      <c r="A2046" s="1">
        <v>45750</v>
      </c>
      <c r="B2046" s="2" t="s">
        <v>2623</v>
      </c>
      <c r="C2046" s="2" t="s">
        <v>2533</v>
      </c>
      <c r="D2046" s="2" t="s">
        <v>2531</v>
      </c>
      <c r="E2046" s="2" t="s">
        <v>2517</v>
      </c>
      <c r="F2046" s="3">
        <v>81086</v>
      </c>
      <c r="G2046" s="3">
        <v>7185</v>
      </c>
      <c r="H2046" s="3">
        <v>886</v>
      </c>
      <c r="I2046" s="4">
        <v>13671.15</v>
      </c>
      <c r="J2046" s="4">
        <v>66793.97</v>
      </c>
      <c r="K2046" s="3">
        <v>506</v>
      </c>
      <c r="L2046" s="2" t="s">
        <v>2539</v>
      </c>
      <c r="M2046" s="2" t="s">
        <v>2519</v>
      </c>
      <c r="N2046" s="8">
        <f>IFERROR(G2046/F2046,0)</f>
        <v>8.8609624349456129E-2</v>
      </c>
      <c r="O2046" s="8">
        <f>IFERROR(H2046/G2046,0)</f>
        <v>0.12331245650661099</v>
      </c>
      <c r="P2046" s="4">
        <f>IFERROR(I2046/G2046,0)</f>
        <v>1.9027348643006263</v>
      </c>
      <c r="Q2046" s="4">
        <f>IFERROR(I2046/H2046,0)</f>
        <v>15.430191873589164</v>
      </c>
      <c r="R2046" s="12">
        <f>IFERROR(J2046/I2046,0)</f>
        <v>4.8857608906346579</v>
      </c>
      <c r="S2046" s="7">
        <f>Tabla_nuevas_columnas[[#This Row],[ROAS]]</f>
        <v>4.8857608906346579</v>
      </c>
      <c r="T2046" t="str">
        <f>_xlfn.CONCAT(C2046,"-",D2046)</f>
        <v>Paid Social-Portugal</v>
      </c>
      <c r="U2046">
        <f>YEAR(A2046)</f>
        <v>2025</v>
      </c>
      <c r="V2046">
        <f>MONTH(A2046)</f>
        <v>4</v>
      </c>
      <c r="W2046" t="str">
        <f>PROPER(TEXT(A2046,"mmmm"))</f>
        <v>Abril</v>
      </c>
      <c r="X2046" t="str">
        <f>PROPER(TEXT(A2046,"dddd"))</f>
        <v>Jueves</v>
      </c>
      <c r="Y2046" t="str" cm="1">
        <f t="array" ref="Y2046">_xlfn.IFS(R2046&gt;10,"Excelente",R2046&gt;=5,"Bueno",R2046&gt;=2,"Débil",R2046&lt;2,"Deficiente")</f>
        <v>Débil</v>
      </c>
      <c r="Z2046" t="str">
        <f>IF(AND(R2046&lt;2,Q2046&gt;=100),"Revisar","OK")</f>
        <v>OK</v>
      </c>
      <c r="AA2046" s="55">
        <f>_xlfn.XLOOKUP(C2046,'Preguntas de negocio'!$C$114:$C$119,'Preguntas de negocio'!$D$114:$D$119,0)</f>
        <v>6</v>
      </c>
      <c r="AB2046" s="55">
        <f>VLOOKUP(C2046,'Preguntas de negocio'!$C$121:$D$127,2,FALSE)</f>
        <v>0.8</v>
      </c>
    </row>
    <row r="2047" spans="1:28" x14ac:dyDescent="0.3">
      <c r="A2047" s="1">
        <v>45783</v>
      </c>
      <c r="B2047" s="2" t="s">
        <v>2639</v>
      </c>
      <c r="C2047" s="2" t="s">
        <v>2515</v>
      </c>
      <c r="D2047" s="2" t="s">
        <v>2528</v>
      </c>
      <c r="E2047" s="2" t="s">
        <v>2517</v>
      </c>
      <c r="F2047" s="3">
        <v>78934</v>
      </c>
      <c r="G2047" s="3">
        <v>79332</v>
      </c>
      <c r="H2047" s="3">
        <v>48</v>
      </c>
      <c r="I2047" s="4">
        <v>1548.03</v>
      </c>
      <c r="J2047" s="4">
        <v>3063.97</v>
      </c>
      <c r="K2047" s="3">
        <v>25</v>
      </c>
      <c r="L2047" s="2" t="s">
        <v>2539</v>
      </c>
      <c r="M2047" s="2" t="s">
        <v>2524</v>
      </c>
      <c r="N2047" s="8">
        <f>IFERROR(G2047/F2047,0)</f>
        <v>1.0050421871436896</v>
      </c>
      <c r="O2047" s="8">
        <f>IFERROR(H2047/G2047,0)</f>
        <v>6.0505218575102103E-4</v>
      </c>
      <c r="P2047" s="4">
        <f>IFERROR(I2047/G2047,0)</f>
        <v>1.9513311148086521E-2</v>
      </c>
      <c r="Q2047" s="4">
        <f>IFERROR(I2047/H2047,0)</f>
        <v>32.250624999999999</v>
      </c>
      <c r="R2047" s="12">
        <f>IFERROR(J2047/I2047,0)</f>
        <v>1.9792704275756929</v>
      </c>
      <c r="S2047" s="7">
        <f>Tabla_nuevas_columnas[[#This Row],[ROAS]]</f>
        <v>1.9792704275756929</v>
      </c>
      <c r="T2047" t="str">
        <f>_xlfn.CONCAT(C2047,"-",D2047)</f>
        <v>Email-España</v>
      </c>
      <c r="U2047">
        <f>YEAR(A2047)</f>
        <v>2025</v>
      </c>
      <c r="V2047">
        <f>MONTH(A2047)</f>
        <v>5</v>
      </c>
      <c r="W2047" t="str">
        <f>PROPER(TEXT(A2047,"mmmm"))</f>
        <v>Mayo</v>
      </c>
      <c r="X2047" t="str">
        <f>PROPER(TEXT(A2047,"dddd"))</f>
        <v>Martes</v>
      </c>
      <c r="Y2047" t="str" cm="1">
        <f t="array" ref="Y2047">_xlfn.IFS(R2047&gt;10,"Excelente",R2047&gt;=5,"Bueno",R2047&gt;=2,"Débil",R2047&lt;2,"Deficiente")</f>
        <v>Deficiente</v>
      </c>
      <c r="Z2047" t="str">
        <f>IF(AND(R2047&lt;2,Q2047&gt;=100),"Revisar","OK")</f>
        <v>OK</v>
      </c>
      <c r="AA2047" s="55">
        <f>_xlfn.XLOOKUP(C2047,'Preguntas de negocio'!$C$114:$C$119,'Preguntas de negocio'!$D$114:$D$119,0)</f>
        <v>5.5</v>
      </c>
      <c r="AB2047" s="55">
        <f>VLOOKUP(C2047,'Preguntas de negocio'!$C$121:$D$127,2,FALSE)</f>
        <v>0.65</v>
      </c>
    </row>
    <row r="2048" spans="1:28" x14ac:dyDescent="0.3">
      <c r="A2048" s="1">
        <v>45836</v>
      </c>
      <c r="B2048" s="2" t="s">
        <v>2629</v>
      </c>
      <c r="C2048" s="2" t="s">
        <v>2515</v>
      </c>
      <c r="D2048" s="2" t="s">
        <v>2528</v>
      </c>
      <c r="E2048" s="2" t="s">
        <v>2517</v>
      </c>
      <c r="F2048" s="3">
        <v>56821</v>
      </c>
      <c r="G2048" s="3">
        <v>2811</v>
      </c>
      <c r="H2048" s="3">
        <v>216</v>
      </c>
      <c r="I2048" s="4">
        <v>4077.22</v>
      </c>
      <c r="J2048" s="4">
        <v>30212.52</v>
      </c>
      <c r="K2048" s="3">
        <v>155</v>
      </c>
      <c r="L2048" s="2" t="s">
        <v>2518</v>
      </c>
      <c r="M2048" s="2" t="s">
        <v>2519</v>
      </c>
      <c r="N2048" s="8">
        <f>IFERROR(G2048/F2048,0)</f>
        <v>4.9471146231146935E-2</v>
      </c>
      <c r="O2048" s="8">
        <f>IFERROR(H2048/G2048,0)</f>
        <v>7.6840981856990398E-2</v>
      </c>
      <c r="P2048" s="4">
        <f>IFERROR(I2048/G2048,0)</f>
        <v>1.450451796513696</v>
      </c>
      <c r="Q2048" s="4">
        <f>IFERROR(I2048/H2048,0)</f>
        <v>18.876018518518517</v>
      </c>
      <c r="R2048" s="12">
        <f>IFERROR(J2048/I2048,0)</f>
        <v>7.4100784357969403</v>
      </c>
      <c r="S2048" s="7">
        <f>Tabla_nuevas_columnas[[#This Row],[ROAS]]</f>
        <v>7.4100784357969403</v>
      </c>
      <c r="T2048" t="str">
        <f>_xlfn.CONCAT(C2048,"-",D2048)</f>
        <v>Email-España</v>
      </c>
      <c r="U2048">
        <f>YEAR(A2048)</f>
        <v>2025</v>
      </c>
      <c r="V2048">
        <f>MONTH(A2048)</f>
        <v>6</v>
      </c>
      <c r="W2048" t="str">
        <f>PROPER(TEXT(A2048,"mmmm"))</f>
        <v>Junio</v>
      </c>
      <c r="X2048" t="str">
        <f>PROPER(TEXT(A2048,"dddd"))</f>
        <v>Sábado</v>
      </c>
      <c r="Y2048" t="str" cm="1">
        <f t="array" ref="Y2048">_xlfn.IFS(R2048&gt;10,"Excelente",R2048&gt;=5,"Bueno",R2048&gt;=2,"Débil",R2048&lt;2,"Deficiente")</f>
        <v>Bueno</v>
      </c>
      <c r="Z2048" t="str">
        <f>IF(AND(R2048&lt;2,Q2048&gt;=100),"Revisar","OK")</f>
        <v>OK</v>
      </c>
      <c r="AA2048" s="55">
        <f>_xlfn.XLOOKUP(C2048,'Preguntas de negocio'!$C$114:$C$119,'Preguntas de negocio'!$D$114:$D$119,0)</f>
        <v>5.5</v>
      </c>
      <c r="AB2048" s="55">
        <f>VLOOKUP(C2048,'Preguntas de negocio'!$C$121:$D$127,2,FALSE)</f>
        <v>0.65</v>
      </c>
    </row>
    <row r="2049" spans="1:28" x14ac:dyDescent="0.3">
      <c r="A2049" s="1">
        <v>46007</v>
      </c>
      <c r="B2049" s="2" t="s">
        <v>2620</v>
      </c>
      <c r="C2049" s="2" t="s">
        <v>2527</v>
      </c>
      <c r="D2049" s="2" t="s">
        <v>2525</v>
      </c>
      <c r="E2049" s="2" t="s">
        <v>2517</v>
      </c>
      <c r="F2049" s="3">
        <v>25649</v>
      </c>
      <c r="G2049" s="3">
        <v>634</v>
      </c>
      <c r="H2049" s="3">
        <v>32</v>
      </c>
      <c r="I2049" s="4">
        <v>518.80999999999995</v>
      </c>
      <c r="J2049" s="4">
        <v>5605.71</v>
      </c>
      <c r="K2049" s="3">
        <v>19</v>
      </c>
      <c r="L2049" s="2" t="s">
        <v>2518</v>
      </c>
      <c r="M2049" s="2" t="s">
        <v>2546</v>
      </c>
      <c r="N2049" s="8">
        <f>IFERROR(G2049/F2049,0)</f>
        <v>2.4718312604779913E-2</v>
      </c>
      <c r="O2049" s="8">
        <f>IFERROR(H2049/G2049,0)</f>
        <v>5.0473186119873815E-2</v>
      </c>
      <c r="P2049" s="4">
        <f>IFERROR(I2049/G2049,0)</f>
        <v>0.8183123028391166</v>
      </c>
      <c r="Q2049" s="4">
        <f>IFERROR(I2049/H2049,0)</f>
        <v>16.212812499999998</v>
      </c>
      <c r="R2049" s="12">
        <f>IFERROR(J2049/I2049,0)</f>
        <v>10.804938224012645</v>
      </c>
      <c r="S2049" s="7">
        <f>Tabla_nuevas_columnas[[#This Row],[ROAS]]</f>
        <v>10.804938224012645</v>
      </c>
      <c r="T2049" t="str">
        <f>_xlfn.CONCAT(C2049,"-",D2049)</f>
        <v>Affiliate-Francia</v>
      </c>
      <c r="U2049">
        <f>YEAR(A2049)</f>
        <v>2025</v>
      </c>
      <c r="V2049">
        <f>MONTH(A2049)</f>
        <v>12</v>
      </c>
      <c r="W2049" t="str">
        <f>PROPER(TEXT(A2049,"mmmm"))</f>
        <v>Diciembre</v>
      </c>
      <c r="X2049" t="str">
        <f>PROPER(TEXT(A2049,"dddd"))</f>
        <v>Martes</v>
      </c>
      <c r="Y2049" t="str" cm="1">
        <f t="array" ref="Y2049">_xlfn.IFS(R2049&gt;10,"Excelente",R2049&gt;=5,"Bueno",R2049&gt;=2,"Débil",R2049&lt;2,"Deficiente")</f>
        <v>Excelente</v>
      </c>
      <c r="Z2049" t="str">
        <f>IF(AND(R2049&lt;2,Q2049&gt;=100),"Revisar","OK")</f>
        <v>OK</v>
      </c>
      <c r="AA2049" s="55">
        <f>_xlfn.XLOOKUP(C2049,'Preguntas de negocio'!$C$114:$C$119,'Preguntas de negocio'!$D$114:$D$119,0)</f>
        <v>4.5</v>
      </c>
      <c r="AB2049" s="55">
        <f>VLOOKUP(C2049,'Preguntas de negocio'!$C$121:$D$127,2,FALSE)</f>
        <v>0.35</v>
      </c>
    </row>
    <row r="2050" spans="1:28" x14ac:dyDescent="0.3">
      <c r="A2050" s="1">
        <v>45747</v>
      </c>
      <c r="B2050" s="2" t="s">
        <v>2643</v>
      </c>
      <c r="C2050" s="2" t="s">
        <v>2527</v>
      </c>
      <c r="D2050" s="2" t="s">
        <v>2525</v>
      </c>
      <c r="E2050" s="2" t="s">
        <v>2529</v>
      </c>
      <c r="F2050" s="3">
        <v>109539</v>
      </c>
      <c r="G2050" s="3">
        <v>9840</v>
      </c>
      <c r="H2050" s="3">
        <v>112</v>
      </c>
      <c r="I2050" s="4">
        <v>3297.03</v>
      </c>
      <c r="J2050" s="4">
        <v>15759.24</v>
      </c>
      <c r="K2050" s="3">
        <v>59</v>
      </c>
      <c r="L2050" s="2" t="s">
        <v>2539</v>
      </c>
      <c r="M2050" s="2" t="s">
        <v>2524</v>
      </c>
      <c r="N2050" s="8">
        <f>IFERROR(G2050/F2050,0)</f>
        <v>8.9831019089091552E-2</v>
      </c>
      <c r="O2050" s="8">
        <f>IFERROR(H2050/G2050,0)</f>
        <v>1.1382113821138212E-2</v>
      </c>
      <c r="P2050" s="4">
        <f>IFERROR(I2050/G2050,0)</f>
        <v>0.33506402439024391</v>
      </c>
      <c r="Q2050" s="4">
        <f>IFERROR(I2050/H2050,0)</f>
        <v>29.437767857142859</v>
      </c>
      <c r="R2050" s="12">
        <f>IFERROR(J2050/I2050,0)</f>
        <v>4.7798291189343134</v>
      </c>
      <c r="S2050" s="7">
        <f>Tabla_nuevas_columnas[[#This Row],[ROAS]]</f>
        <v>4.7798291189343134</v>
      </c>
      <c r="T2050" t="str">
        <f>_xlfn.CONCAT(C2050,"-",D2050)</f>
        <v>Affiliate-Francia</v>
      </c>
      <c r="U2050">
        <f>YEAR(A2050)</f>
        <v>2025</v>
      </c>
      <c r="V2050">
        <f>MONTH(A2050)</f>
        <v>3</v>
      </c>
      <c r="W2050" t="str">
        <f>PROPER(TEXT(A2050,"mmmm"))</f>
        <v>Marzo</v>
      </c>
      <c r="X2050" t="str">
        <f>PROPER(TEXT(A2050,"dddd"))</f>
        <v>Lunes</v>
      </c>
      <c r="Y2050" t="str" cm="1">
        <f t="array" ref="Y2050">_xlfn.IFS(R2050&gt;10,"Excelente",R2050&gt;=5,"Bueno",R2050&gt;=2,"Débil",R2050&lt;2,"Deficiente")</f>
        <v>Débil</v>
      </c>
      <c r="Z2050" t="str">
        <f>IF(AND(R2050&lt;2,Q2050&gt;=100),"Revisar","OK")</f>
        <v>OK</v>
      </c>
      <c r="AA2050" s="55">
        <f>_xlfn.XLOOKUP(C2050,'Preguntas de negocio'!$C$114:$C$119,'Preguntas de negocio'!$D$114:$D$119,0)</f>
        <v>4.5</v>
      </c>
      <c r="AB2050" s="55">
        <f>VLOOKUP(C2050,'Preguntas de negocio'!$C$121:$D$127,2,FALSE)</f>
        <v>0.35</v>
      </c>
    </row>
    <row r="2051" spans="1:28" x14ac:dyDescent="0.3">
      <c r="A2051" s="1">
        <v>46002</v>
      </c>
      <c r="B2051" s="2" t="s">
        <v>2620</v>
      </c>
      <c r="C2051" s="2" t="s">
        <v>2533</v>
      </c>
      <c r="D2051" s="2" t="s">
        <v>2525</v>
      </c>
      <c r="E2051" s="2" t="s">
        <v>2517</v>
      </c>
      <c r="F2051" s="3">
        <v>177395</v>
      </c>
      <c r="G2051" s="3">
        <v>5960</v>
      </c>
      <c r="H2051" s="3">
        <v>586</v>
      </c>
      <c r="I2051" s="4">
        <v>8695.11</v>
      </c>
      <c r="J2051" s="4">
        <v>51765.7</v>
      </c>
      <c r="K2051" s="3">
        <v>335</v>
      </c>
      <c r="L2051" s="2" t="s">
        <v>2536</v>
      </c>
      <c r="M2051" s="2" t="s">
        <v>2526</v>
      </c>
      <c r="N2051" s="8">
        <f>IFERROR(G2051/F2051,0)</f>
        <v>3.3597339271118125E-2</v>
      </c>
      <c r="O2051" s="8">
        <f>IFERROR(H2051/G2051,0)</f>
        <v>9.8322147651006706E-2</v>
      </c>
      <c r="P2051" s="4">
        <f>IFERROR(I2051/G2051,0)</f>
        <v>1.4589110738255036</v>
      </c>
      <c r="Q2051" s="4">
        <f>IFERROR(I2051/H2051,0)</f>
        <v>14.83807167235495</v>
      </c>
      <c r="R2051" s="12">
        <f>IFERROR(J2051/I2051,0)</f>
        <v>5.9534266961545041</v>
      </c>
      <c r="S2051" s="7">
        <f>Tabla_nuevas_columnas[[#This Row],[ROAS]]</f>
        <v>5.9534266961545041</v>
      </c>
      <c r="T2051" t="str">
        <f>_xlfn.CONCAT(C2051,"-",D2051)</f>
        <v>Paid Social-Francia</v>
      </c>
      <c r="U2051">
        <f>YEAR(A2051)</f>
        <v>2025</v>
      </c>
      <c r="V2051">
        <f>MONTH(A2051)</f>
        <v>12</v>
      </c>
      <c r="W2051" t="str">
        <f>PROPER(TEXT(A2051,"mmmm"))</f>
        <v>Diciembre</v>
      </c>
      <c r="X2051" t="str">
        <f>PROPER(TEXT(A2051,"dddd"))</f>
        <v>Jueves</v>
      </c>
      <c r="Y2051" t="str" cm="1">
        <f t="array" ref="Y2051">_xlfn.IFS(R2051&gt;10,"Excelente",R2051&gt;=5,"Bueno",R2051&gt;=2,"Débil",R2051&lt;2,"Deficiente")</f>
        <v>Bueno</v>
      </c>
      <c r="Z2051" t="str">
        <f>IF(AND(R2051&lt;2,Q2051&gt;=100),"Revisar","OK")</f>
        <v>OK</v>
      </c>
      <c r="AA2051" s="55">
        <f>_xlfn.XLOOKUP(C2051,'Preguntas de negocio'!$C$114:$C$119,'Preguntas de negocio'!$D$114:$D$119,0)</f>
        <v>6</v>
      </c>
      <c r="AB2051" s="55">
        <f>VLOOKUP(C2051,'Preguntas de negocio'!$C$121:$D$127,2,FALSE)</f>
        <v>0.8</v>
      </c>
    </row>
    <row r="2052" spans="1:28" x14ac:dyDescent="0.3">
      <c r="A2052" s="1">
        <v>45890</v>
      </c>
      <c r="B2052" s="2" t="s">
        <v>2639</v>
      </c>
      <c r="C2052" s="2" t="s">
        <v>2533</v>
      </c>
      <c r="D2052" s="2" t="s">
        <v>2528</v>
      </c>
      <c r="E2052" s="2" t="s">
        <v>2529</v>
      </c>
      <c r="F2052" s="3">
        <v>168382</v>
      </c>
      <c r="G2052" s="3">
        <v>12775</v>
      </c>
      <c r="H2052" s="3">
        <v>1286</v>
      </c>
      <c r="I2052" s="4">
        <v>21499.439999999999</v>
      </c>
      <c r="J2052" s="4">
        <v>49231.29</v>
      </c>
      <c r="K2052" s="3">
        <v>647</v>
      </c>
      <c r="L2052" s="2" t="s">
        <v>2539</v>
      </c>
      <c r="M2052" s="2" t="s">
        <v>2519</v>
      </c>
      <c r="N2052" s="8">
        <f>IFERROR(G2052/F2052,0)</f>
        <v>7.5869154660236846E-2</v>
      </c>
      <c r="O2052" s="8">
        <f>IFERROR(H2052/G2052,0)</f>
        <v>0.10066536203522505</v>
      </c>
      <c r="P2052" s="4">
        <f>IFERROR(I2052/G2052,0)</f>
        <v>1.6829307240704501</v>
      </c>
      <c r="Q2052" s="4">
        <f>IFERROR(I2052/H2052,0)</f>
        <v>16.718071539657853</v>
      </c>
      <c r="R2052" s="12">
        <f>IFERROR(J2052/I2052,0)</f>
        <v>2.2898870854310625</v>
      </c>
      <c r="S2052" s="7">
        <f>Tabla_nuevas_columnas[[#This Row],[ROAS]]</f>
        <v>2.2898870854310625</v>
      </c>
      <c r="T2052" t="str">
        <f>_xlfn.CONCAT(C2052,"-",D2052)</f>
        <v>Paid Social-España</v>
      </c>
      <c r="U2052">
        <f>YEAR(A2052)</f>
        <v>2025</v>
      </c>
      <c r="V2052">
        <f>MONTH(A2052)</f>
        <v>8</v>
      </c>
      <c r="W2052" t="str">
        <f>PROPER(TEXT(A2052,"mmmm"))</f>
        <v>Agosto</v>
      </c>
      <c r="X2052" t="str">
        <f>PROPER(TEXT(A2052,"dddd"))</f>
        <v>Jueves</v>
      </c>
      <c r="Y2052" t="str" cm="1">
        <f t="array" ref="Y2052">_xlfn.IFS(R2052&gt;10,"Excelente",R2052&gt;=5,"Bueno",R2052&gt;=2,"Débil",R2052&lt;2,"Deficiente")</f>
        <v>Débil</v>
      </c>
      <c r="Z2052" t="str">
        <f>IF(AND(R2052&lt;2,Q2052&gt;=100),"Revisar","OK")</f>
        <v>OK</v>
      </c>
      <c r="AA2052" s="55">
        <f>_xlfn.XLOOKUP(C2052,'Preguntas de negocio'!$C$114:$C$119,'Preguntas de negocio'!$D$114:$D$119,0)</f>
        <v>6</v>
      </c>
      <c r="AB2052" s="55">
        <f>VLOOKUP(C2052,'Preguntas de negocio'!$C$121:$D$127,2,FALSE)</f>
        <v>0.8</v>
      </c>
    </row>
    <row r="2053" spans="1:28" x14ac:dyDescent="0.3">
      <c r="A2053" s="1">
        <v>45910</v>
      </c>
      <c r="B2053" s="2" t="s">
        <v>2621</v>
      </c>
      <c r="C2053" s="2" t="s">
        <v>2527</v>
      </c>
      <c r="D2053" s="2" t="s">
        <v>2531</v>
      </c>
      <c r="E2053" s="2" t="s">
        <v>2529</v>
      </c>
      <c r="F2053" s="3">
        <v>118162</v>
      </c>
      <c r="G2053" s="3">
        <v>6791</v>
      </c>
      <c r="H2053" s="3">
        <v>687</v>
      </c>
      <c r="I2053" s="4">
        <v>3366.11</v>
      </c>
      <c r="J2053" s="4">
        <v>14475.66</v>
      </c>
      <c r="K2053" s="3">
        <v>464</v>
      </c>
      <c r="L2053" s="2" t="s">
        <v>2536</v>
      </c>
      <c r="M2053" s="2" t="s">
        <v>2546</v>
      </c>
      <c r="N2053" s="8">
        <f>IFERROR(G2053/F2053,0)</f>
        <v>5.7471945295441848E-2</v>
      </c>
      <c r="O2053" s="8">
        <f>IFERROR(H2053/G2053,0)</f>
        <v>0.10116330437343543</v>
      </c>
      <c r="P2053" s="4">
        <f>IFERROR(I2053/G2053,0)</f>
        <v>0.4956722132233839</v>
      </c>
      <c r="Q2053" s="4">
        <f>IFERROR(I2053/H2053,0)</f>
        <v>4.8997234352256189</v>
      </c>
      <c r="R2053" s="12">
        <f>IFERROR(J2053/I2053,0)</f>
        <v>4.3004120483287824</v>
      </c>
      <c r="S2053" s="7">
        <f>Tabla_nuevas_columnas[[#This Row],[ROAS]]</f>
        <v>4.3004120483287824</v>
      </c>
      <c r="T2053" t="str">
        <f>_xlfn.CONCAT(C2053,"-",D2053)</f>
        <v>Affiliate-Portugal</v>
      </c>
      <c r="U2053">
        <f>YEAR(A2053)</f>
        <v>2025</v>
      </c>
      <c r="V2053">
        <f>MONTH(A2053)</f>
        <v>9</v>
      </c>
      <c r="W2053" t="str">
        <f>PROPER(TEXT(A2053,"mmmm"))</f>
        <v>Septiembre</v>
      </c>
      <c r="X2053" t="str">
        <f>PROPER(TEXT(A2053,"dddd"))</f>
        <v>Miércoles</v>
      </c>
      <c r="Y2053" t="str" cm="1">
        <f t="array" ref="Y2053">_xlfn.IFS(R2053&gt;10,"Excelente",R2053&gt;=5,"Bueno",R2053&gt;=2,"Débil",R2053&lt;2,"Deficiente")</f>
        <v>Débil</v>
      </c>
      <c r="Z2053" t="str">
        <f>IF(AND(R2053&lt;2,Q2053&gt;=100),"Revisar","OK")</f>
        <v>OK</v>
      </c>
      <c r="AA2053" s="55">
        <f>_xlfn.XLOOKUP(C2053,'Preguntas de negocio'!$C$114:$C$119,'Preguntas de negocio'!$D$114:$D$119,0)</f>
        <v>4.5</v>
      </c>
      <c r="AB2053" s="55">
        <f>VLOOKUP(C2053,'Preguntas de negocio'!$C$121:$D$127,2,FALSE)</f>
        <v>0.35</v>
      </c>
    </row>
    <row r="2054" spans="1:28" x14ac:dyDescent="0.3">
      <c r="A2054" s="1">
        <v>45744</v>
      </c>
      <c r="B2054" s="2" t="s">
        <v>2624</v>
      </c>
      <c r="C2054" s="2" t="s">
        <v>2527</v>
      </c>
      <c r="D2054" s="2" t="s">
        <v>2528</v>
      </c>
      <c r="E2054" s="2" t="s">
        <v>2517</v>
      </c>
      <c r="F2054" s="3">
        <v>114348</v>
      </c>
      <c r="G2054" s="3">
        <v>4257</v>
      </c>
      <c r="H2054" s="3">
        <v>68</v>
      </c>
      <c r="I2054" s="4">
        <v>3812.91</v>
      </c>
      <c r="J2054" s="4">
        <v>1573.32</v>
      </c>
      <c r="K2054" s="3">
        <v>54</v>
      </c>
      <c r="L2054" s="2" t="s">
        <v>2539</v>
      </c>
      <c r="M2054" s="2" t="s">
        <v>2537</v>
      </c>
      <c r="N2054" s="8">
        <f>IFERROR(G2054/F2054,0)</f>
        <v>3.7228460489033478E-2</v>
      </c>
      <c r="O2054" s="8">
        <f>IFERROR(H2054/G2054,0)</f>
        <v>1.5973690392295042E-2</v>
      </c>
      <c r="P2054" s="4">
        <f>IFERROR(I2054/G2054,0)</f>
        <v>0.89568005637773074</v>
      </c>
      <c r="Q2054" s="4">
        <f>IFERROR(I2054/H2054,0)</f>
        <v>56.072205882352939</v>
      </c>
      <c r="R2054" s="12">
        <f>IFERROR(J2054/I2054,0)</f>
        <v>0.41262972375429791</v>
      </c>
      <c r="S2054" s="7">
        <f>Tabla_nuevas_columnas[[#This Row],[ROAS]]</f>
        <v>0.41262972375429791</v>
      </c>
      <c r="T2054" t="str">
        <f>_xlfn.CONCAT(C2054,"-",D2054)</f>
        <v>Affiliate-España</v>
      </c>
      <c r="U2054">
        <f>YEAR(A2054)</f>
        <v>2025</v>
      </c>
      <c r="V2054">
        <f>MONTH(A2054)</f>
        <v>3</v>
      </c>
      <c r="W2054" t="str">
        <f>PROPER(TEXT(A2054,"mmmm"))</f>
        <v>Marzo</v>
      </c>
      <c r="X2054" t="str">
        <f>PROPER(TEXT(A2054,"dddd"))</f>
        <v>Viernes</v>
      </c>
      <c r="Y2054" t="str" cm="1">
        <f t="array" ref="Y2054">_xlfn.IFS(R2054&gt;10,"Excelente",R2054&gt;=5,"Bueno",R2054&gt;=2,"Débil",R2054&lt;2,"Deficiente")</f>
        <v>Deficiente</v>
      </c>
      <c r="Z2054" t="str">
        <f>IF(AND(R2054&lt;2,Q2054&gt;=100),"Revisar","OK")</f>
        <v>OK</v>
      </c>
      <c r="AA2054" s="55">
        <f>_xlfn.XLOOKUP(C2054,'Preguntas de negocio'!$C$114:$C$119,'Preguntas de negocio'!$D$114:$D$119,0)</f>
        <v>4.5</v>
      </c>
      <c r="AB2054" s="55">
        <f>VLOOKUP(C2054,'Preguntas de negocio'!$C$121:$D$127,2,FALSE)</f>
        <v>0.35</v>
      </c>
    </row>
    <row r="2055" spans="1:28" x14ac:dyDescent="0.3">
      <c r="A2055" s="1">
        <v>45775</v>
      </c>
      <c r="B2055" s="2" t="s">
        <v>2632</v>
      </c>
      <c r="C2055" s="2" t="s">
        <v>2541</v>
      </c>
      <c r="D2055" s="2" t="s">
        <v>2516</v>
      </c>
      <c r="E2055" s="2" t="s">
        <v>2529</v>
      </c>
      <c r="F2055" s="3">
        <v>78548</v>
      </c>
      <c r="G2055" s="3">
        <v>3057</v>
      </c>
      <c r="H2055" s="3">
        <v>169</v>
      </c>
      <c r="I2055" s="4">
        <v>3713.93</v>
      </c>
      <c r="J2055" s="4">
        <v>18625.34</v>
      </c>
      <c r="K2055" s="3">
        <v>81</v>
      </c>
      <c r="L2055" s="2" t="s">
        <v>2523</v>
      </c>
      <c r="M2055" s="2" t="s">
        <v>2546</v>
      </c>
      <c r="N2055" s="8">
        <f>IFERROR(G2055/F2055,0)</f>
        <v>3.8918877628965731E-2</v>
      </c>
      <c r="O2055" s="8">
        <f>IFERROR(H2055/G2055,0)</f>
        <v>5.5282957147530259E-2</v>
      </c>
      <c r="P2055" s="4">
        <f>IFERROR(I2055/G2055,0)</f>
        <v>1.2148936866208702</v>
      </c>
      <c r="Q2055" s="4">
        <f>IFERROR(I2055/H2055,0)</f>
        <v>21.975917159763313</v>
      </c>
      <c r="R2055" s="12">
        <f>IFERROR(J2055/I2055,0)</f>
        <v>5.0149948975882692</v>
      </c>
      <c r="S2055" s="7">
        <f>Tabla_nuevas_columnas[[#This Row],[ROAS]]</f>
        <v>5.0149948975882692</v>
      </c>
      <c r="T2055" t="str">
        <f>_xlfn.CONCAT(C2055,"-",D2055)</f>
        <v>Display-México</v>
      </c>
      <c r="U2055">
        <f>YEAR(A2055)</f>
        <v>2025</v>
      </c>
      <c r="V2055">
        <f>MONTH(A2055)</f>
        <v>4</v>
      </c>
      <c r="W2055" t="str">
        <f>PROPER(TEXT(A2055,"mmmm"))</f>
        <v>Abril</v>
      </c>
      <c r="X2055" t="str">
        <f>PROPER(TEXT(A2055,"dddd"))</f>
        <v>Lunes</v>
      </c>
      <c r="Y2055" t="str" cm="1">
        <f t="array" ref="Y2055">_xlfn.IFS(R2055&gt;10,"Excelente",R2055&gt;=5,"Bueno",R2055&gt;=2,"Débil",R2055&lt;2,"Deficiente")</f>
        <v>Bueno</v>
      </c>
      <c r="Z2055" t="str">
        <f>IF(AND(R2055&lt;2,Q2055&gt;=100),"Revisar","OK")</f>
        <v>OK</v>
      </c>
      <c r="AA2055" s="55">
        <f>_xlfn.XLOOKUP(C2055,'Preguntas de negocio'!$C$114:$C$119,'Preguntas de negocio'!$D$114:$D$119,0)</f>
        <v>5</v>
      </c>
      <c r="AB2055" s="55">
        <f>VLOOKUP(C2055,'Preguntas de negocio'!$C$121:$D$127,2,FALSE)</f>
        <v>0.5</v>
      </c>
    </row>
    <row r="2056" spans="1:28" x14ac:dyDescent="0.3">
      <c r="A2056" s="1">
        <v>45664</v>
      </c>
      <c r="B2056" s="2" t="s">
        <v>2639</v>
      </c>
      <c r="C2056" s="2" t="s">
        <v>2533</v>
      </c>
      <c r="D2056" s="2" t="s">
        <v>2531</v>
      </c>
      <c r="E2056" s="2" t="s">
        <v>2529</v>
      </c>
      <c r="F2056" s="3">
        <v>17769</v>
      </c>
      <c r="G2056" s="3">
        <v>829</v>
      </c>
      <c r="H2056" s="3">
        <v>113</v>
      </c>
      <c r="I2056" s="4">
        <v>837.77</v>
      </c>
      <c r="J2056" s="4">
        <v>18650.580000000002</v>
      </c>
      <c r="K2056" s="3">
        <v>70</v>
      </c>
      <c r="L2056" s="2" t="s">
        <v>2536</v>
      </c>
      <c r="M2056" s="2" t="s">
        <v>2537</v>
      </c>
      <c r="N2056" s="8">
        <f>IFERROR(G2056/F2056,0)</f>
        <v>4.6654285553492034E-2</v>
      </c>
      <c r="O2056" s="8">
        <f>IFERROR(H2056/G2056,0)</f>
        <v>0.13630880579010857</v>
      </c>
      <c r="P2056" s="4">
        <f>IFERROR(I2056/G2056,0)</f>
        <v>1.0105790108564536</v>
      </c>
      <c r="Q2056" s="4">
        <f>IFERROR(I2056/H2056,0)</f>
        <v>7.4138938053097343</v>
      </c>
      <c r="R2056" s="12">
        <f>IFERROR(J2056/I2056,0)</f>
        <v>22.262172195232584</v>
      </c>
      <c r="S2056" s="7">
        <f>Tabla_nuevas_columnas[[#This Row],[ROAS]]</f>
        <v>22.262172195232584</v>
      </c>
      <c r="T2056" t="str">
        <f>_xlfn.CONCAT(C2056,"-",D2056)</f>
        <v>Paid Social-Portugal</v>
      </c>
      <c r="U2056">
        <f>YEAR(A2056)</f>
        <v>2025</v>
      </c>
      <c r="V2056">
        <f>MONTH(A2056)</f>
        <v>1</v>
      </c>
      <c r="W2056" t="str">
        <f>PROPER(TEXT(A2056,"mmmm"))</f>
        <v>Enero</v>
      </c>
      <c r="X2056" t="str">
        <f>PROPER(TEXT(A2056,"dddd"))</f>
        <v>Martes</v>
      </c>
      <c r="Y2056" t="str" cm="1">
        <f t="array" ref="Y2056">_xlfn.IFS(R2056&gt;10,"Excelente",R2056&gt;=5,"Bueno",R2056&gt;=2,"Débil",R2056&lt;2,"Deficiente")</f>
        <v>Excelente</v>
      </c>
      <c r="Z2056" t="str">
        <f>IF(AND(R2056&lt;2,Q2056&gt;=100),"Revisar","OK")</f>
        <v>OK</v>
      </c>
      <c r="AA2056" s="55">
        <f>_xlfn.XLOOKUP(C2056,'Preguntas de negocio'!$C$114:$C$119,'Preguntas de negocio'!$D$114:$D$119,0)</f>
        <v>6</v>
      </c>
      <c r="AB2056" s="55">
        <f>VLOOKUP(C2056,'Preguntas de negocio'!$C$121:$D$127,2,FALSE)</f>
        <v>0.8</v>
      </c>
    </row>
    <row r="2057" spans="1:28" x14ac:dyDescent="0.3">
      <c r="A2057" s="1">
        <v>45845</v>
      </c>
      <c r="B2057" s="2" t="s">
        <v>2629</v>
      </c>
      <c r="C2057" s="2" t="s">
        <v>2533</v>
      </c>
      <c r="D2057" s="2" t="s">
        <v>2522</v>
      </c>
      <c r="E2057" s="2" t="s">
        <v>2517</v>
      </c>
      <c r="F2057" s="3">
        <v>110825</v>
      </c>
      <c r="G2057" s="3">
        <v>5430</v>
      </c>
      <c r="H2057" s="3">
        <v>641</v>
      </c>
      <c r="I2057" s="4">
        <v>5135.75</v>
      </c>
      <c r="J2057" s="4">
        <v>36954.26</v>
      </c>
      <c r="K2057" s="3">
        <v>417</v>
      </c>
      <c r="L2057" s="2" t="s">
        <v>2536</v>
      </c>
      <c r="M2057" s="2" t="s">
        <v>2546</v>
      </c>
      <c r="N2057" s="8">
        <f>IFERROR(G2057/F2057,0)</f>
        <v>4.8996165125197381E-2</v>
      </c>
      <c r="O2057" s="8">
        <f>IFERROR(H2057/G2057,0)</f>
        <v>0.11804788213627992</v>
      </c>
      <c r="P2057" s="4">
        <f>IFERROR(I2057/G2057,0)</f>
        <v>0.94581031307550645</v>
      </c>
      <c r="Q2057" s="4">
        <f>IFERROR(I2057/H2057,0)</f>
        <v>8.0120904836193443</v>
      </c>
      <c r="R2057" s="12">
        <f>IFERROR(J2057/I2057,0)</f>
        <v>7.1954943289685058</v>
      </c>
      <c r="S2057" s="7">
        <f>Tabla_nuevas_columnas[[#This Row],[ROAS]]</f>
        <v>7.1954943289685058</v>
      </c>
      <c r="T2057" t="str">
        <f>_xlfn.CONCAT(C2057,"-",D2057)</f>
        <v>Paid Social-Italia</v>
      </c>
      <c r="U2057">
        <f>YEAR(A2057)</f>
        <v>2025</v>
      </c>
      <c r="V2057">
        <f>MONTH(A2057)</f>
        <v>7</v>
      </c>
      <c r="W2057" t="str">
        <f>PROPER(TEXT(A2057,"mmmm"))</f>
        <v>Julio</v>
      </c>
      <c r="X2057" t="str">
        <f>PROPER(TEXT(A2057,"dddd"))</f>
        <v>Lunes</v>
      </c>
      <c r="Y2057" t="str" cm="1">
        <f t="array" ref="Y2057">_xlfn.IFS(R2057&gt;10,"Excelente",R2057&gt;=5,"Bueno",R2057&gt;=2,"Débil",R2057&lt;2,"Deficiente")</f>
        <v>Bueno</v>
      </c>
      <c r="Z2057" t="str">
        <f>IF(AND(R2057&lt;2,Q2057&gt;=100),"Revisar","OK")</f>
        <v>OK</v>
      </c>
      <c r="AA2057" s="55">
        <f>_xlfn.XLOOKUP(C2057,'Preguntas de negocio'!$C$114:$C$119,'Preguntas de negocio'!$D$114:$D$119,0)</f>
        <v>6</v>
      </c>
      <c r="AB2057" s="55">
        <f>VLOOKUP(C2057,'Preguntas de negocio'!$C$121:$D$127,2,FALSE)</f>
        <v>0.8</v>
      </c>
    </row>
    <row r="2058" spans="1:28" x14ac:dyDescent="0.3">
      <c r="A2058" s="1">
        <v>45724</v>
      </c>
      <c r="B2058" s="2" t="s">
        <v>2641</v>
      </c>
      <c r="C2058" s="2" t="s">
        <v>2515</v>
      </c>
      <c r="D2058" s="2" t="s">
        <v>2528</v>
      </c>
      <c r="E2058" s="2" t="s">
        <v>2529</v>
      </c>
      <c r="F2058" s="3">
        <v>154249</v>
      </c>
      <c r="G2058" s="3">
        <v>8833</v>
      </c>
      <c r="H2058" s="3">
        <v>253</v>
      </c>
      <c r="I2058" s="4">
        <v>13334.45</v>
      </c>
      <c r="J2058" s="4">
        <v>47529.86</v>
      </c>
      <c r="K2058" s="3">
        <v>193</v>
      </c>
      <c r="L2058" s="2" t="s">
        <v>2523</v>
      </c>
      <c r="M2058" s="2" t="s">
        <v>2526</v>
      </c>
      <c r="N2058" s="8">
        <f>IFERROR(G2058/F2058,0)</f>
        <v>5.7264552768575484E-2</v>
      </c>
      <c r="O2058" s="8">
        <f>IFERROR(H2058/G2058,0)</f>
        <v>2.8642590286425903E-2</v>
      </c>
      <c r="P2058" s="4">
        <f>IFERROR(I2058/G2058,0)</f>
        <v>1.509617344050719</v>
      </c>
      <c r="Q2058" s="4">
        <f>IFERROR(I2058/H2058,0)</f>
        <v>52.705335968379451</v>
      </c>
      <c r="R2058" s="12">
        <f>IFERROR(J2058/I2058,0)</f>
        <v>3.5644409780680868</v>
      </c>
      <c r="S2058" s="7">
        <f>Tabla_nuevas_columnas[[#This Row],[ROAS]]</f>
        <v>3.5644409780680868</v>
      </c>
      <c r="T2058" t="str">
        <f>_xlfn.CONCAT(C2058,"-",D2058)</f>
        <v>Email-España</v>
      </c>
      <c r="U2058">
        <f>YEAR(A2058)</f>
        <v>2025</v>
      </c>
      <c r="V2058">
        <f>MONTH(A2058)</f>
        <v>3</v>
      </c>
      <c r="W2058" t="str">
        <f>PROPER(TEXT(A2058,"mmmm"))</f>
        <v>Marzo</v>
      </c>
      <c r="X2058" t="str">
        <f>PROPER(TEXT(A2058,"dddd"))</f>
        <v>Sábado</v>
      </c>
      <c r="Y2058" t="str" cm="1">
        <f t="array" ref="Y2058">_xlfn.IFS(R2058&gt;10,"Excelente",R2058&gt;=5,"Bueno",R2058&gt;=2,"Débil",R2058&lt;2,"Deficiente")</f>
        <v>Débil</v>
      </c>
      <c r="Z2058" t="str">
        <f>IF(AND(R2058&lt;2,Q2058&gt;=100),"Revisar","OK")</f>
        <v>OK</v>
      </c>
      <c r="AA2058" s="55">
        <f>_xlfn.XLOOKUP(C2058,'Preguntas de negocio'!$C$114:$C$119,'Preguntas de negocio'!$D$114:$D$119,0)</f>
        <v>5.5</v>
      </c>
      <c r="AB2058" s="55">
        <f>VLOOKUP(C2058,'Preguntas de negocio'!$C$121:$D$127,2,FALSE)</f>
        <v>0.65</v>
      </c>
    </row>
    <row r="2059" spans="1:28" x14ac:dyDescent="0.3">
      <c r="A2059" s="1">
        <v>45823</v>
      </c>
      <c r="B2059" s="2" t="s">
        <v>2631</v>
      </c>
      <c r="C2059" s="2" t="s">
        <v>2543</v>
      </c>
      <c r="D2059" s="2" t="s">
        <v>2522</v>
      </c>
      <c r="E2059" s="2" t="s">
        <v>2517</v>
      </c>
      <c r="F2059" s="3">
        <v>48430</v>
      </c>
      <c r="G2059" s="3">
        <v>1819</v>
      </c>
      <c r="H2059" s="3">
        <v>229</v>
      </c>
      <c r="I2059" s="4">
        <v>941.97</v>
      </c>
      <c r="J2059" s="4">
        <v>13238.57</v>
      </c>
      <c r="K2059" s="3">
        <v>184</v>
      </c>
      <c r="L2059" s="2" t="s">
        <v>2539</v>
      </c>
      <c r="M2059" s="2" t="s">
        <v>2526</v>
      </c>
      <c r="N2059" s="8">
        <f>IFERROR(G2059/F2059,0)</f>
        <v>3.7559364030559574E-2</v>
      </c>
      <c r="O2059" s="8">
        <f>IFERROR(H2059/G2059,0)</f>
        <v>0.12589334799340296</v>
      </c>
      <c r="P2059" s="4">
        <f>IFERROR(I2059/G2059,0)</f>
        <v>0.51785046728971962</v>
      </c>
      <c r="Q2059" s="4">
        <f>IFERROR(I2059/H2059,0)</f>
        <v>4.1134061135371178</v>
      </c>
      <c r="R2059" s="12">
        <f>IFERROR(J2059/I2059,0)</f>
        <v>14.054131235601982</v>
      </c>
      <c r="S2059" s="7">
        <f>Tabla_nuevas_columnas[[#This Row],[ROAS]]</f>
        <v>14.054131235601982</v>
      </c>
      <c r="T2059" t="str">
        <f>_xlfn.CONCAT(C2059,"-",D2059)</f>
        <v>Organic Social-Italia</v>
      </c>
      <c r="U2059">
        <f>YEAR(A2059)</f>
        <v>2025</v>
      </c>
      <c r="V2059">
        <f>MONTH(A2059)</f>
        <v>6</v>
      </c>
      <c r="W2059" t="str">
        <f>PROPER(TEXT(A2059,"mmmm"))</f>
        <v>Junio</v>
      </c>
      <c r="X2059" t="str">
        <f>PROPER(TEXT(A2059,"dddd"))</f>
        <v>Domingo</v>
      </c>
      <c r="Y2059" t="str" cm="1">
        <f t="array" ref="Y2059">_xlfn.IFS(R2059&gt;10,"Excelente",R2059&gt;=5,"Bueno",R2059&gt;=2,"Débil",R2059&lt;2,"Deficiente")</f>
        <v>Excelente</v>
      </c>
      <c r="Z2059" t="str">
        <f>IF(AND(R2059&lt;2,Q2059&gt;=100),"Revisar","OK")</f>
        <v>OK</v>
      </c>
      <c r="AA2059" s="55">
        <f>_xlfn.XLOOKUP(C2059,'Preguntas de negocio'!$C$114:$C$119,'Preguntas de negocio'!$D$114:$D$119,0)</f>
        <v>4</v>
      </c>
      <c r="AB2059" s="55">
        <f>VLOOKUP(C2059,'Preguntas de negocio'!$C$121:$D$127,2,FALSE)</f>
        <v>0.95</v>
      </c>
    </row>
    <row r="2060" spans="1:28" x14ac:dyDescent="0.3">
      <c r="A2060" s="1">
        <v>45868</v>
      </c>
      <c r="B2060" s="2" t="s">
        <v>2639</v>
      </c>
      <c r="C2060" s="2" t="s">
        <v>2527</v>
      </c>
      <c r="D2060" s="2" t="s">
        <v>2531</v>
      </c>
      <c r="E2060" s="2" t="s">
        <v>2529</v>
      </c>
      <c r="F2060" s="3">
        <v>68222</v>
      </c>
      <c r="G2060" s="3">
        <v>4016</v>
      </c>
      <c r="H2060" s="3">
        <v>477</v>
      </c>
      <c r="I2060" s="4">
        <v>6597.61</v>
      </c>
      <c r="J2060" s="4">
        <v>46142.43</v>
      </c>
      <c r="K2060" s="3">
        <v>282</v>
      </c>
      <c r="L2060" s="2" t="s">
        <v>2539</v>
      </c>
      <c r="M2060" s="2" t="s">
        <v>2519</v>
      </c>
      <c r="N2060" s="8">
        <f>IFERROR(G2060/F2060,0)</f>
        <v>5.8866641259417783E-2</v>
      </c>
      <c r="O2060" s="8">
        <f>IFERROR(H2060/G2060,0)</f>
        <v>0.11877490039840638</v>
      </c>
      <c r="P2060" s="4">
        <f>IFERROR(I2060/G2060,0)</f>
        <v>1.6428311752988047</v>
      </c>
      <c r="Q2060" s="4">
        <f>IFERROR(I2060/H2060,0)</f>
        <v>13.83146750524109</v>
      </c>
      <c r="R2060" s="12">
        <f>IFERROR(J2060/I2060,0)</f>
        <v>6.9938098796382331</v>
      </c>
      <c r="S2060" s="7">
        <f>Tabla_nuevas_columnas[[#This Row],[ROAS]]</f>
        <v>6.9938098796382331</v>
      </c>
      <c r="T2060" t="str">
        <f>_xlfn.CONCAT(C2060,"-",D2060)</f>
        <v>Affiliate-Portugal</v>
      </c>
      <c r="U2060">
        <f>YEAR(A2060)</f>
        <v>2025</v>
      </c>
      <c r="V2060">
        <f>MONTH(A2060)</f>
        <v>7</v>
      </c>
      <c r="W2060" t="str">
        <f>PROPER(TEXT(A2060,"mmmm"))</f>
        <v>Julio</v>
      </c>
      <c r="X2060" t="str">
        <f>PROPER(TEXT(A2060,"dddd"))</f>
        <v>Miércoles</v>
      </c>
      <c r="Y2060" t="str" cm="1">
        <f t="array" ref="Y2060">_xlfn.IFS(R2060&gt;10,"Excelente",R2060&gt;=5,"Bueno",R2060&gt;=2,"Débil",R2060&lt;2,"Deficiente")</f>
        <v>Bueno</v>
      </c>
      <c r="Z2060" t="str">
        <f>IF(AND(R2060&lt;2,Q2060&gt;=100),"Revisar","OK")</f>
        <v>OK</v>
      </c>
      <c r="AA2060" s="55">
        <f>_xlfn.XLOOKUP(C2060,'Preguntas de negocio'!$C$114:$C$119,'Preguntas de negocio'!$D$114:$D$119,0)</f>
        <v>4.5</v>
      </c>
      <c r="AB2060" s="55">
        <f>VLOOKUP(C2060,'Preguntas de negocio'!$C$121:$D$127,2,FALSE)</f>
        <v>0.35</v>
      </c>
    </row>
    <row r="2061" spans="1:28" x14ac:dyDescent="0.3">
      <c r="A2061" s="1">
        <v>45757</v>
      </c>
      <c r="B2061" s="2" t="s">
        <v>2617</v>
      </c>
      <c r="C2061" s="2" t="s">
        <v>2527</v>
      </c>
      <c r="D2061" s="2" t="s">
        <v>2531</v>
      </c>
      <c r="E2061" s="2" t="s">
        <v>2517</v>
      </c>
      <c r="F2061" s="3">
        <v>103020</v>
      </c>
      <c r="G2061" s="3">
        <v>8472</v>
      </c>
      <c r="H2061" s="3">
        <v>412</v>
      </c>
      <c r="I2061" s="4">
        <v>10159.799999999999</v>
      </c>
      <c r="J2061" s="4">
        <v>64405.08</v>
      </c>
      <c r="K2061" s="3">
        <v>333</v>
      </c>
      <c r="L2061" s="2" t="s">
        <v>2539</v>
      </c>
      <c r="M2061" s="2" t="s">
        <v>2524</v>
      </c>
      <c r="N2061" s="8">
        <f>IFERROR(G2061/F2061,0)</f>
        <v>8.223645894001165E-2</v>
      </c>
      <c r="O2061" s="8">
        <f>IFERROR(H2061/G2061,0)</f>
        <v>4.8630783758262512E-2</v>
      </c>
      <c r="P2061" s="4">
        <f>IFERROR(I2061/G2061,0)</f>
        <v>1.1992209631728044</v>
      </c>
      <c r="Q2061" s="4">
        <f>IFERROR(I2061/H2061,0)</f>
        <v>24.659708737864076</v>
      </c>
      <c r="R2061" s="12">
        <f>IFERROR(J2061/I2061,0)</f>
        <v>6.3392074647138728</v>
      </c>
      <c r="S2061" s="7">
        <f>Tabla_nuevas_columnas[[#This Row],[ROAS]]</f>
        <v>6.3392074647138728</v>
      </c>
      <c r="T2061" t="str">
        <f>_xlfn.CONCAT(C2061,"-",D2061)</f>
        <v>Affiliate-Portugal</v>
      </c>
      <c r="U2061">
        <f>YEAR(A2061)</f>
        <v>2025</v>
      </c>
      <c r="V2061">
        <f>MONTH(A2061)</f>
        <v>4</v>
      </c>
      <c r="W2061" t="str">
        <f>PROPER(TEXT(A2061,"mmmm"))</f>
        <v>Abril</v>
      </c>
      <c r="X2061" t="str">
        <f>PROPER(TEXT(A2061,"dddd"))</f>
        <v>Jueves</v>
      </c>
      <c r="Y2061" t="str" cm="1">
        <f t="array" ref="Y2061">_xlfn.IFS(R2061&gt;10,"Excelente",R2061&gt;=5,"Bueno",R2061&gt;=2,"Débil",R2061&lt;2,"Deficiente")</f>
        <v>Bueno</v>
      </c>
      <c r="Z2061" t="str">
        <f>IF(AND(R2061&lt;2,Q2061&gt;=100),"Revisar","OK")</f>
        <v>OK</v>
      </c>
      <c r="AA2061" s="55">
        <f>_xlfn.XLOOKUP(C2061,'Preguntas de negocio'!$C$114:$C$119,'Preguntas de negocio'!$D$114:$D$119,0)</f>
        <v>4.5</v>
      </c>
      <c r="AB2061" s="55">
        <f>VLOOKUP(C2061,'Preguntas de negocio'!$C$121:$D$127,2,FALSE)</f>
        <v>0.35</v>
      </c>
    </row>
    <row r="2062" spans="1:28" x14ac:dyDescent="0.3">
      <c r="A2062" s="1">
        <v>45785</v>
      </c>
      <c r="B2062" s="2" t="s">
        <v>2632</v>
      </c>
      <c r="C2062" s="2" t="s">
        <v>2521</v>
      </c>
      <c r="D2062" s="2" t="s">
        <v>2531</v>
      </c>
      <c r="E2062" s="2" t="s">
        <v>2529</v>
      </c>
      <c r="F2062" s="3">
        <v>148483</v>
      </c>
      <c r="G2062" s="3">
        <v>3378</v>
      </c>
      <c r="H2062" s="3">
        <v>120</v>
      </c>
      <c r="I2062" s="4">
        <v>1502.65</v>
      </c>
      <c r="J2062" s="4">
        <v>3387.93</v>
      </c>
      <c r="K2062" s="3">
        <v>76</v>
      </c>
      <c r="L2062" s="2" t="s">
        <v>2539</v>
      </c>
      <c r="M2062" s="2" t="s">
        <v>2546</v>
      </c>
      <c r="N2062" s="8">
        <f>IFERROR(G2062/F2062,0)</f>
        <v>2.2750079133638194E-2</v>
      </c>
      <c r="O2062" s="8">
        <f>IFERROR(H2062/G2062,0)</f>
        <v>3.5523978685612786E-2</v>
      </c>
      <c r="P2062" s="4">
        <f>IFERROR(I2062/G2062,0)</f>
        <v>0.44483422143280049</v>
      </c>
      <c r="Q2062" s="4">
        <f>IFERROR(I2062/H2062,0)</f>
        <v>12.522083333333335</v>
      </c>
      <c r="R2062" s="12">
        <f>IFERROR(J2062/I2062,0)</f>
        <v>2.2546368083053272</v>
      </c>
      <c r="S2062" s="7">
        <f>Tabla_nuevas_columnas[[#This Row],[ROAS]]</f>
        <v>2.2546368083053272</v>
      </c>
      <c r="T2062" t="str">
        <f>_xlfn.CONCAT(C2062,"-",D2062)</f>
        <v>Paid Search-Portugal</v>
      </c>
      <c r="U2062">
        <f>YEAR(A2062)</f>
        <v>2025</v>
      </c>
      <c r="V2062">
        <f>MONTH(A2062)</f>
        <v>5</v>
      </c>
      <c r="W2062" t="str">
        <f>PROPER(TEXT(A2062,"mmmm"))</f>
        <v>Mayo</v>
      </c>
      <c r="X2062" t="str">
        <f>PROPER(TEXT(A2062,"dddd"))</f>
        <v>Jueves</v>
      </c>
      <c r="Y2062" t="str" cm="1">
        <f t="array" ref="Y2062">_xlfn.IFS(R2062&gt;10,"Excelente",R2062&gt;=5,"Bueno",R2062&gt;=2,"Débil",R2062&lt;2,"Deficiente")</f>
        <v>Débil</v>
      </c>
      <c r="Z2062" t="str">
        <f>IF(AND(R2062&lt;2,Q2062&gt;=100),"Revisar","OK")</f>
        <v>OK</v>
      </c>
      <c r="AA2062" s="55">
        <f>_xlfn.XLOOKUP(C2062,'Preguntas de negocio'!$C$114:$C$119,'Preguntas de negocio'!$D$114:$D$119,0)</f>
        <v>5</v>
      </c>
      <c r="AB2062" s="55">
        <f>VLOOKUP(C2062,'Preguntas de negocio'!$C$121:$D$127,2,FALSE)</f>
        <v>1.1000000000000001</v>
      </c>
    </row>
    <row r="2063" spans="1:28" x14ac:dyDescent="0.3">
      <c r="A2063" s="1">
        <v>46012</v>
      </c>
      <c r="B2063" s="2" t="s">
        <v>2632</v>
      </c>
      <c r="C2063" s="2" t="s">
        <v>2533</v>
      </c>
      <c r="D2063" s="2" t="s">
        <v>2528</v>
      </c>
      <c r="E2063" s="2" t="s">
        <v>2529</v>
      </c>
      <c r="F2063" s="3">
        <v>171491</v>
      </c>
      <c r="G2063" s="3">
        <v>8526</v>
      </c>
      <c r="H2063" s="3">
        <v>118</v>
      </c>
      <c r="I2063" s="4">
        <v>6728.2</v>
      </c>
      <c r="J2063" s="4">
        <v>3780.27</v>
      </c>
      <c r="K2063" s="3">
        <v>70</v>
      </c>
      <c r="L2063" s="2" t="s">
        <v>2536</v>
      </c>
      <c r="M2063" s="2" t="s">
        <v>2546</v>
      </c>
      <c r="N2063" s="8">
        <f>IFERROR(G2063/F2063,0)</f>
        <v>4.9716894764156722E-2</v>
      </c>
      <c r="O2063" s="8">
        <f>IFERROR(H2063/G2063,0)</f>
        <v>1.384001876612714E-2</v>
      </c>
      <c r="P2063" s="4">
        <f>IFERROR(I2063/G2063,0)</f>
        <v>0.78913910391742903</v>
      </c>
      <c r="Q2063" s="4">
        <f>IFERROR(I2063/H2063,0)</f>
        <v>57.018644067796608</v>
      </c>
      <c r="R2063" s="12">
        <f>IFERROR(J2063/I2063,0)</f>
        <v>0.56185458220623641</v>
      </c>
      <c r="S2063" s="7">
        <f>Tabla_nuevas_columnas[[#This Row],[ROAS]]</f>
        <v>0.56185458220623641</v>
      </c>
      <c r="T2063" t="str">
        <f>_xlfn.CONCAT(C2063,"-",D2063)</f>
        <v>Paid Social-España</v>
      </c>
      <c r="U2063">
        <f>YEAR(A2063)</f>
        <v>2025</v>
      </c>
      <c r="V2063">
        <f>MONTH(A2063)</f>
        <v>12</v>
      </c>
      <c r="W2063" t="str">
        <f>PROPER(TEXT(A2063,"mmmm"))</f>
        <v>Diciembre</v>
      </c>
      <c r="X2063" t="str">
        <f>PROPER(TEXT(A2063,"dddd"))</f>
        <v>Domingo</v>
      </c>
      <c r="Y2063" t="str" cm="1">
        <f t="array" ref="Y2063">_xlfn.IFS(R2063&gt;10,"Excelente",R2063&gt;=5,"Bueno",R2063&gt;=2,"Débil",R2063&lt;2,"Deficiente")</f>
        <v>Deficiente</v>
      </c>
      <c r="Z2063" t="str">
        <f>IF(AND(R2063&lt;2,Q2063&gt;=100),"Revisar","OK")</f>
        <v>OK</v>
      </c>
      <c r="AA2063" s="55">
        <f>_xlfn.XLOOKUP(C2063,'Preguntas de negocio'!$C$114:$C$119,'Preguntas de negocio'!$D$114:$D$119,0)</f>
        <v>6</v>
      </c>
      <c r="AB2063" s="55">
        <f>VLOOKUP(C2063,'Preguntas de negocio'!$C$121:$D$127,2,FALSE)</f>
        <v>0.8</v>
      </c>
    </row>
    <row r="2064" spans="1:28" x14ac:dyDescent="0.3">
      <c r="A2064" s="1">
        <v>45806</v>
      </c>
      <c r="B2064" s="2" t="s">
        <v>2616</v>
      </c>
      <c r="C2064" s="2" t="s">
        <v>2521</v>
      </c>
      <c r="D2064" s="2" t="s">
        <v>2528</v>
      </c>
      <c r="E2064" s="2" t="s">
        <v>2529</v>
      </c>
      <c r="F2064" s="3">
        <v>43591</v>
      </c>
      <c r="G2064" s="3">
        <v>3178</v>
      </c>
      <c r="H2064" s="3">
        <v>443</v>
      </c>
      <c r="I2064" s="4">
        <v>3862.28</v>
      </c>
      <c r="J2064" s="4">
        <v>63768.57</v>
      </c>
      <c r="K2064" s="3">
        <v>247</v>
      </c>
      <c r="L2064" s="2" t="s">
        <v>2536</v>
      </c>
      <c r="M2064" s="2" t="s">
        <v>2524</v>
      </c>
      <c r="N2064" s="8">
        <f>IFERROR(G2064/F2064,0)</f>
        <v>7.2904957445344226E-2</v>
      </c>
      <c r="O2064" s="8">
        <f>IFERROR(H2064/G2064,0)</f>
        <v>0.13939584644430458</v>
      </c>
      <c r="P2064" s="4">
        <f>IFERROR(I2064/G2064,0)</f>
        <v>1.2153178099433606</v>
      </c>
      <c r="Q2064" s="4">
        <f>IFERROR(I2064/H2064,0)</f>
        <v>8.7184650112866819</v>
      </c>
      <c r="R2064" s="12">
        <f>IFERROR(J2064/I2064,0)</f>
        <v>16.510602545646613</v>
      </c>
      <c r="S2064" s="7">
        <f>Tabla_nuevas_columnas[[#This Row],[ROAS]]</f>
        <v>16.510602545646613</v>
      </c>
      <c r="T2064" t="str">
        <f>_xlfn.CONCAT(C2064,"-",D2064)</f>
        <v>Paid Search-España</v>
      </c>
      <c r="U2064">
        <f>YEAR(A2064)</f>
        <v>2025</v>
      </c>
      <c r="V2064">
        <f>MONTH(A2064)</f>
        <v>5</v>
      </c>
      <c r="W2064" t="str">
        <f>PROPER(TEXT(A2064,"mmmm"))</f>
        <v>Mayo</v>
      </c>
      <c r="X2064" t="str">
        <f>PROPER(TEXT(A2064,"dddd"))</f>
        <v>Jueves</v>
      </c>
      <c r="Y2064" t="str" cm="1">
        <f t="array" ref="Y2064">_xlfn.IFS(R2064&gt;10,"Excelente",R2064&gt;=5,"Bueno",R2064&gt;=2,"Débil",R2064&lt;2,"Deficiente")</f>
        <v>Excelente</v>
      </c>
      <c r="Z2064" t="str">
        <f>IF(AND(R2064&lt;2,Q2064&gt;=100),"Revisar","OK")</f>
        <v>OK</v>
      </c>
      <c r="AA2064" s="55">
        <f>_xlfn.XLOOKUP(C2064,'Preguntas de negocio'!$C$114:$C$119,'Preguntas de negocio'!$D$114:$D$119,0)</f>
        <v>5</v>
      </c>
      <c r="AB2064" s="55">
        <f>VLOOKUP(C2064,'Preguntas de negocio'!$C$121:$D$127,2,FALSE)</f>
        <v>1.1000000000000001</v>
      </c>
    </row>
    <row r="2065" spans="1:28" x14ac:dyDescent="0.3">
      <c r="A2065" s="1">
        <v>46011</v>
      </c>
      <c r="B2065" s="2" t="s">
        <v>2631</v>
      </c>
      <c r="C2065" s="2" t="s">
        <v>2541</v>
      </c>
      <c r="D2065" s="2" t="s">
        <v>2528</v>
      </c>
      <c r="E2065" s="2" t="s">
        <v>2517</v>
      </c>
      <c r="F2065" s="3">
        <v>133385</v>
      </c>
      <c r="G2065" s="3">
        <v>4070</v>
      </c>
      <c r="H2065" s="3">
        <v>278</v>
      </c>
      <c r="I2065" s="4">
        <v>1988.53</v>
      </c>
      <c r="J2065" s="4">
        <v>37242.44</v>
      </c>
      <c r="K2065" s="3">
        <v>162</v>
      </c>
      <c r="L2065" s="2" t="s">
        <v>2539</v>
      </c>
      <c r="M2065" s="2" t="s">
        <v>2519</v>
      </c>
      <c r="N2065" s="8">
        <f>IFERROR(G2065/F2065,0)</f>
        <v>3.0513176144244106E-2</v>
      </c>
      <c r="O2065" s="8">
        <f>IFERROR(H2065/G2065,0)</f>
        <v>6.8304668304668303E-2</v>
      </c>
      <c r="P2065" s="4">
        <f>IFERROR(I2065/G2065,0)</f>
        <v>0.48858230958230958</v>
      </c>
      <c r="Q2065" s="4">
        <f>IFERROR(I2065/H2065,0)</f>
        <v>7.1529856115107915</v>
      </c>
      <c r="R2065" s="12">
        <f>IFERROR(J2065/I2065,0)</f>
        <v>18.72862868551141</v>
      </c>
      <c r="S2065" s="7">
        <f>Tabla_nuevas_columnas[[#This Row],[ROAS]]</f>
        <v>18.72862868551141</v>
      </c>
      <c r="T2065" t="str">
        <f>_xlfn.CONCAT(C2065,"-",D2065)</f>
        <v>Display-España</v>
      </c>
      <c r="U2065">
        <f>YEAR(A2065)</f>
        <v>2025</v>
      </c>
      <c r="V2065">
        <f>MONTH(A2065)</f>
        <v>12</v>
      </c>
      <c r="W2065" t="str">
        <f>PROPER(TEXT(A2065,"mmmm"))</f>
        <v>Diciembre</v>
      </c>
      <c r="X2065" t="str">
        <f>PROPER(TEXT(A2065,"dddd"))</f>
        <v>Sábado</v>
      </c>
      <c r="Y2065" t="str" cm="1">
        <f t="array" ref="Y2065">_xlfn.IFS(R2065&gt;10,"Excelente",R2065&gt;=5,"Bueno",R2065&gt;=2,"Débil",R2065&lt;2,"Deficiente")</f>
        <v>Excelente</v>
      </c>
      <c r="Z2065" t="str">
        <f>IF(AND(R2065&lt;2,Q2065&gt;=100),"Revisar","OK")</f>
        <v>OK</v>
      </c>
      <c r="AA2065" s="55">
        <f>_xlfn.XLOOKUP(C2065,'Preguntas de negocio'!$C$114:$C$119,'Preguntas de negocio'!$D$114:$D$119,0)</f>
        <v>5</v>
      </c>
      <c r="AB2065" s="55">
        <f>VLOOKUP(C2065,'Preguntas de negocio'!$C$121:$D$127,2,FALSE)</f>
        <v>0.5</v>
      </c>
    </row>
    <row r="2066" spans="1:28" x14ac:dyDescent="0.3">
      <c r="A2066" s="1">
        <v>45969</v>
      </c>
      <c r="B2066" s="2" t="s">
        <v>2626</v>
      </c>
      <c r="C2066" s="2" t="s">
        <v>2543</v>
      </c>
      <c r="D2066" s="2" t="s">
        <v>2516</v>
      </c>
      <c r="E2066" s="2" t="s">
        <v>2534</v>
      </c>
      <c r="F2066" s="3">
        <v>80073</v>
      </c>
      <c r="G2066" s="3">
        <v>6190</v>
      </c>
      <c r="H2066" s="3">
        <v>715</v>
      </c>
      <c r="I2066" s="4">
        <v>7803.69</v>
      </c>
      <c r="J2066" s="4">
        <v>116147.64</v>
      </c>
      <c r="K2066" s="3">
        <v>611</v>
      </c>
      <c r="L2066" s="2" t="s">
        <v>2518</v>
      </c>
      <c r="M2066" s="2" t="s">
        <v>2519</v>
      </c>
      <c r="N2066" s="8">
        <f>IFERROR(G2066/F2066,0)</f>
        <v>7.7304459680541504E-2</v>
      </c>
      <c r="O2066" s="8">
        <f>IFERROR(H2066/G2066,0)</f>
        <v>0.11550888529886914</v>
      </c>
      <c r="P2066" s="4">
        <f>IFERROR(I2066/G2066,0)</f>
        <v>1.260693053311793</v>
      </c>
      <c r="Q2066" s="4">
        <f>IFERROR(I2066/H2066,0)</f>
        <v>10.914251748251747</v>
      </c>
      <c r="R2066" s="12">
        <f>IFERROR(J2066/I2066,0)</f>
        <v>14.883681950461897</v>
      </c>
      <c r="S2066" s="7">
        <f>Tabla_nuevas_columnas[[#This Row],[ROAS]]</f>
        <v>14.883681950461897</v>
      </c>
      <c r="T2066" t="str">
        <f>_xlfn.CONCAT(C2066,"-",D2066)</f>
        <v>Organic Social-México</v>
      </c>
      <c r="U2066">
        <f>YEAR(A2066)</f>
        <v>2025</v>
      </c>
      <c r="V2066">
        <f>MONTH(A2066)</f>
        <v>11</v>
      </c>
      <c r="W2066" t="str">
        <f>PROPER(TEXT(A2066,"mmmm"))</f>
        <v>Noviembre</v>
      </c>
      <c r="X2066" t="str">
        <f>PROPER(TEXT(A2066,"dddd"))</f>
        <v>Sábado</v>
      </c>
      <c r="Y2066" t="str" cm="1">
        <f t="array" ref="Y2066">_xlfn.IFS(R2066&gt;10,"Excelente",R2066&gt;=5,"Bueno",R2066&gt;=2,"Débil",R2066&lt;2,"Deficiente")</f>
        <v>Excelente</v>
      </c>
      <c r="Z2066" t="str">
        <f>IF(AND(R2066&lt;2,Q2066&gt;=100),"Revisar","OK")</f>
        <v>OK</v>
      </c>
      <c r="AA2066" s="55">
        <f>_xlfn.XLOOKUP(C2066,'Preguntas de negocio'!$C$114:$C$119,'Preguntas de negocio'!$D$114:$D$119,0)</f>
        <v>4</v>
      </c>
      <c r="AB2066" s="55">
        <f>VLOOKUP(C2066,'Preguntas de negocio'!$C$121:$D$127,2,FALSE)</f>
        <v>0.95</v>
      </c>
    </row>
    <row r="2067" spans="1:28" x14ac:dyDescent="0.3">
      <c r="A2067" s="1">
        <v>45963</v>
      </c>
      <c r="B2067" s="2" t="s">
        <v>2622</v>
      </c>
      <c r="C2067" s="2" t="s">
        <v>2541</v>
      </c>
      <c r="D2067" s="2" t="s">
        <v>2528</v>
      </c>
      <c r="E2067" s="2" t="s">
        <v>2517</v>
      </c>
      <c r="F2067" s="3">
        <v>179695</v>
      </c>
      <c r="G2067" s="3">
        <v>4557</v>
      </c>
      <c r="H2067" s="3">
        <v>152</v>
      </c>
      <c r="I2067" s="4">
        <v>5375.99</v>
      </c>
      <c r="J2067" s="4">
        <v>16006.17</v>
      </c>
      <c r="K2067" s="3">
        <v>75</v>
      </c>
      <c r="L2067" s="2" t="s">
        <v>2518</v>
      </c>
      <c r="M2067" s="2" t="s">
        <v>2526</v>
      </c>
      <c r="N2067" s="8">
        <f>IFERROR(G2067/F2067,0)</f>
        <v>2.5359637162970589E-2</v>
      </c>
      <c r="O2067" s="8">
        <f>IFERROR(H2067/G2067,0)</f>
        <v>3.335527759490893E-2</v>
      </c>
      <c r="P2067" s="4">
        <f>IFERROR(I2067/G2067,0)</f>
        <v>1.1797213078779898</v>
      </c>
      <c r="Q2067" s="4">
        <f>IFERROR(I2067/H2067,0)</f>
        <v>35.368355263157895</v>
      </c>
      <c r="R2067" s="12">
        <f>IFERROR(J2067/I2067,0)</f>
        <v>2.9773437078565994</v>
      </c>
      <c r="S2067" s="7">
        <f>Tabla_nuevas_columnas[[#This Row],[ROAS]]</f>
        <v>2.9773437078565994</v>
      </c>
      <c r="T2067" t="str">
        <f>_xlfn.CONCAT(C2067,"-",D2067)</f>
        <v>Display-España</v>
      </c>
      <c r="U2067">
        <f>YEAR(A2067)</f>
        <v>2025</v>
      </c>
      <c r="V2067">
        <f>MONTH(A2067)</f>
        <v>11</v>
      </c>
      <c r="W2067" t="str">
        <f>PROPER(TEXT(A2067,"mmmm"))</f>
        <v>Noviembre</v>
      </c>
      <c r="X2067" t="str">
        <f>PROPER(TEXT(A2067,"dddd"))</f>
        <v>Domingo</v>
      </c>
      <c r="Y2067" t="str" cm="1">
        <f t="array" ref="Y2067">_xlfn.IFS(R2067&gt;10,"Excelente",R2067&gt;=5,"Bueno",R2067&gt;=2,"Débil",R2067&lt;2,"Deficiente")</f>
        <v>Débil</v>
      </c>
      <c r="Z2067" t="str">
        <f>IF(AND(R2067&lt;2,Q2067&gt;=100),"Revisar","OK")</f>
        <v>OK</v>
      </c>
      <c r="AA2067" s="55">
        <f>_xlfn.XLOOKUP(C2067,'Preguntas de negocio'!$C$114:$C$119,'Preguntas de negocio'!$D$114:$D$119,0)</f>
        <v>5</v>
      </c>
      <c r="AB2067" s="55">
        <f>VLOOKUP(C2067,'Preguntas de negocio'!$C$121:$D$127,2,FALSE)</f>
        <v>0.5</v>
      </c>
    </row>
    <row r="2068" spans="1:28" x14ac:dyDescent="0.3">
      <c r="A2068" s="1">
        <v>46008</v>
      </c>
      <c r="B2068" s="2" t="s">
        <v>2619</v>
      </c>
      <c r="C2068" s="2" t="s">
        <v>2533</v>
      </c>
      <c r="D2068" s="2" t="s">
        <v>2525</v>
      </c>
      <c r="E2068" s="2" t="s">
        <v>2517</v>
      </c>
      <c r="F2068" s="3">
        <v>64697</v>
      </c>
      <c r="G2068" s="3">
        <v>1713</v>
      </c>
      <c r="H2068" s="3">
        <v>31</v>
      </c>
      <c r="I2068" s="4">
        <v>2705.43</v>
      </c>
      <c r="J2068" s="4">
        <v>6472.04</v>
      </c>
      <c r="K2068" s="3">
        <v>18</v>
      </c>
      <c r="L2068" s="2" t="s">
        <v>2523</v>
      </c>
      <c r="M2068" s="2" t="s">
        <v>2546</v>
      </c>
      <c r="N2068" s="8">
        <f>IFERROR(G2068/F2068,0)</f>
        <v>2.6477270970833269E-2</v>
      </c>
      <c r="O2068" s="8">
        <f>IFERROR(H2068/G2068,0)</f>
        <v>1.8096906012842966E-2</v>
      </c>
      <c r="P2068" s="4">
        <f>IFERROR(I2068/G2068,0)</f>
        <v>1.5793520140105077</v>
      </c>
      <c r="Q2068" s="4">
        <f>IFERROR(I2068/H2068,0)</f>
        <v>87.271935483870962</v>
      </c>
      <c r="R2068" s="12">
        <f>IFERROR(J2068/I2068,0)</f>
        <v>2.3922407898189939</v>
      </c>
      <c r="S2068" s="7">
        <f>Tabla_nuevas_columnas[[#This Row],[ROAS]]</f>
        <v>2.3922407898189939</v>
      </c>
      <c r="T2068" t="str">
        <f>_xlfn.CONCAT(C2068,"-",D2068)</f>
        <v>Paid Social-Francia</v>
      </c>
      <c r="U2068">
        <f>YEAR(A2068)</f>
        <v>2025</v>
      </c>
      <c r="V2068">
        <f>MONTH(A2068)</f>
        <v>12</v>
      </c>
      <c r="W2068" t="str">
        <f>PROPER(TEXT(A2068,"mmmm"))</f>
        <v>Diciembre</v>
      </c>
      <c r="X2068" t="str">
        <f>PROPER(TEXT(A2068,"dddd"))</f>
        <v>Miércoles</v>
      </c>
      <c r="Y2068" t="str" cm="1">
        <f t="array" ref="Y2068">_xlfn.IFS(R2068&gt;10,"Excelente",R2068&gt;=5,"Bueno",R2068&gt;=2,"Débil",R2068&lt;2,"Deficiente")</f>
        <v>Débil</v>
      </c>
      <c r="Z2068" t="str">
        <f>IF(AND(R2068&lt;2,Q2068&gt;=100),"Revisar","OK")</f>
        <v>OK</v>
      </c>
      <c r="AA2068" s="55">
        <f>_xlfn.XLOOKUP(C2068,'Preguntas de negocio'!$C$114:$C$119,'Preguntas de negocio'!$D$114:$D$119,0)</f>
        <v>6</v>
      </c>
      <c r="AB2068" s="55">
        <f>VLOOKUP(C2068,'Preguntas de negocio'!$C$121:$D$127,2,FALSE)</f>
        <v>0.8</v>
      </c>
    </row>
    <row r="2069" spans="1:28" x14ac:dyDescent="0.3">
      <c r="A2069" s="1">
        <v>45824</v>
      </c>
      <c r="B2069" s="2" t="s">
        <v>2631</v>
      </c>
      <c r="C2069" s="2" t="s">
        <v>2543</v>
      </c>
      <c r="D2069" s="2" t="s">
        <v>2528</v>
      </c>
      <c r="E2069" s="2" t="s">
        <v>2529</v>
      </c>
      <c r="F2069" s="3">
        <v>163138</v>
      </c>
      <c r="G2069" s="3">
        <v>14476</v>
      </c>
      <c r="H2069" s="3">
        <v>131</v>
      </c>
      <c r="I2069" s="4">
        <v>5353.35</v>
      </c>
      <c r="J2069" s="4">
        <v>22444.65</v>
      </c>
      <c r="K2069" s="3">
        <v>106</v>
      </c>
      <c r="L2069" s="2" t="s">
        <v>2518</v>
      </c>
      <c r="M2069" s="2" t="s">
        <v>2519</v>
      </c>
      <c r="N2069" s="8">
        <f>IFERROR(G2069/F2069,0)</f>
        <v>8.8734690875209951E-2</v>
      </c>
      <c r="O2069" s="8">
        <f>IFERROR(H2069/G2069,0)</f>
        <v>9.0494611771207521E-3</v>
      </c>
      <c r="P2069" s="4">
        <f>IFERROR(I2069/G2069,0)</f>
        <v>0.36980864879801051</v>
      </c>
      <c r="Q2069" s="4">
        <f>IFERROR(I2069/H2069,0)</f>
        <v>40.865267175572519</v>
      </c>
      <c r="R2069" s="12">
        <f>IFERROR(J2069/I2069,0)</f>
        <v>4.192636386561686</v>
      </c>
      <c r="S2069" s="7">
        <f>Tabla_nuevas_columnas[[#This Row],[ROAS]]</f>
        <v>4.192636386561686</v>
      </c>
      <c r="T2069" t="str">
        <f>_xlfn.CONCAT(C2069,"-",D2069)</f>
        <v>Organic Social-España</v>
      </c>
      <c r="U2069">
        <f>YEAR(A2069)</f>
        <v>2025</v>
      </c>
      <c r="V2069">
        <f>MONTH(A2069)</f>
        <v>6</v>
      </c>
      <c r="W2069" t="str">
        <f>PROPER(TEXT(A2069,"mmmm"))</f>
        <v>Junio</v>
      </c>
      <c r="X2069" t="str">
        <f>PROPER(TEXT(A2069,"dddd"))</f>
        <v>Lunes</v>
      </c>
      <c r="Y2069" t="str" cm="1">
        <f t="array" ref="Y2069">_xlfn.IFS(R2069&gt;10,"Excelente",R2069&gt;=5,"Bueno",R2069&gt;=2,"Débil",R2069&lt;2,"Deficiente")</f>
        <v>Débil</v>
      </c>
      <c r="Z2069" t="str">
        <f>IF(AND(R2069&lt;2,Q2069&gt;=100),"Revisar","OK")</f>
        <v>OK</v>
      </c>
      <c r="AA2069" s="55">
        <f>_xlfn.XLOOKUP(C2069,'Preguntas de negocio'!$C$114:$C$119,'Preguntas de negocio'!$D$114:$D$119,0)</f>
        <v>4</v>
      </c>
      <c r="AB2069" s="55">
        <f>VLOOKUP(C2069,'Preguntas de negocio'!$C$121:$D$127,2,FALSE)</f>
        <v>0.95</v>
      </c>
    </row>
    <row r="2070" spans="1:28" x14ac:dyDescent="0.3">
      <c r="A2070" s="1">
        <v>45906</v>
      </c>
      <c r="B2070" s="2" t="s">
        <v>2634</v>
      </c>
      <c r="C2070" s="2" t="s">
        <v>2543</v>
      </c>
      <c r="D2070" s="2" t="s">
        <v>2528</v>
      </c>
      <c r="E2070" s="2" t="s">
        <v>2517</v>
      </c>
      <c r="F2070" s="3">
        <v>173723</v>
      </c>
      <c r="G2070" s="3">
        <v>9344</v>
      </c>
      <c r="H2070" s="3">
        <v>963</v>
      </c>
      <c r="I2070" s="4">
        <v>4643.16</v>
      </c>
      <c r="J2070" s="4">
        <v>188474.42</v>
      </c>
      <c r="K2070" s="3">
        <v>840</v>
      </c>
      <c r="L2070" s="2" t="s">
        <v>2536</v>
      </c>
      <c r="M2070" s="2" t="s">
        <v>2537</v>
      </c>
      <c r="N2070" s="8">
        <f>IFERROR(G2070/F2070,0)</f>
        <v>5.3786775498926451E-2</v>
      </c>
      <c r="O2070" s="8">
        <f>IFERROR(H2070/G2070,0)</f>
        <v>0.10306078767123288</v>
      </c>
      <c r="P2070" s="4">
        <f>IFERROR(I2070/G2070,0)</f>
        <v>0.49691352739726025</v>
      </c>
      <c r="Q2070" s="4">
        <f>IFERROR(I2070/H2070,0)</f>
        <v>4.8215576323987541</v>
      </c>
      <c r="R2070" s="12">
        <f>IFERROR(J2070/I2070,0)</f>
        <v>40.591842624419577</v>
      </c>
      <c r="S2070" s="7">
        <f>Tabla_nuevas_columnas[[#This Row],[ROAS]]</f>
        <v>40.591842624419577</v>
      </c>
      <c r="T2070" t="str">
        <f>_xlfn.CONCAT(C2070,"-",D2070)</f>
        <v>Organic Social-España</v>
      </c>
      <c r="U2070">
        <f>YEAR(A2070)</f>
        <v>2025</v>
      </c>
      <c r="V2070">
        <f>MONTH(A2070)</f>
        <v>9</v>
      </c>
      <c r="W2070" t="str">
        <f>PROPER(TEXT(A2070,"mmmm"))</f>
        <v>Septiembre</v>
      </c>
      <c r="X2070" t="str">
        <f>PROPER(TEXT(A2070,"dddd"))</f>
        <v>Sábado</v>
      </c>
      <c r="Y2070" t="str" cm="1">
        <f t="array" ref="Y2070">_xlfn.IFS(R2070&gt;10,"Excelente",R2070&gt;=5,"Bueno",R2070&gt;=2,"Débil",R2070&lt;2,"Deficiente")</f>
        <v>Excelente</v>
      </c>
      <c r="Z2070" t="str">
        <f>IF(AND(R2070&lt;2,Q2070&gt;=100),"Revisar","OK")</f>
        <v>OK</v>
      </c>
      <c r="AA2070" s="55">
        <f>_xlfn.XLOOKUP(C2070,'Preguntas de negocio'!$C$114:$C$119,'Preguntas de negocio'!$D$114:$D$119,0)</f>
        <v>4</v>
      </c>
      <c r="AB2070" s="55">
        <f>VLOOKUP(C2070,'Preguntas de negocio'!$C$121:$D$127,2,FALSE)</f>
        <v>0.95</v>
      </c>
    </row>
    <row r="2071" spans="1:28" x14ac:dyDescent="0.3">
      <c r="A2071" s="1">
        <v>45979</v>
      </c>
      <c r="B2071" s="2" t="s">
        <v>2639</v>
      </c>
      <c r="C2071" s="2" t="s">
        <v>2533</v>
      </c>
      <c r="D2071" s="2" t="s">
        <v>2528</v>
      </c>
      <c r="E2071" s="2" t="s">
        <v>2517</v>
      </c>
      <c r="F2071" s="3">
        <v>127934</v>
      </c>
      <c r="G2071" s="3">
        <v>7227</v>
      </c>
      <c r="H2071" s="3">
        <v>935</v>
      </c>
      <c r="I2071" s="4">
        <v>1967.02</v>
      </c>
      <c r="J2071" s="4">
        <v>142453.47</v>
      </c>
      <c r="K2071" s="3">
        <v>451</v>
      </c>
      <c r="L2071" s="2" t="s">
        <v>2536</v>
      </c>
      <c r="M2071" s="2" t="s">
        <v>2519</v>
      </c>
      <c r="N2071" s="8">
        <f>IFERROR(G2071/F2071,0)</f>
        <v>5.6490065189863527E-2</v>
      </c>
      <c r="O2071" s="8">
        <f>IFERROR(H2071/G2071,0)</f>
        <v>0.12937595129375951</v>
      </c>
      <c r="P2071" s="4">
        <f>IFERROR(I2071/G2071,0)</f>
        <v>0.27217656012176561</v>
      </c>
      <c r="Q2071" s="4">
        <f>IFERROR(I2071/H2071,0)</f>
        <v>2.103764705882353</v>
      </c>
      <c r="R2071" s="12">
        <f>IFERROR(J2071/I2071,0)</f>
        <v>72.420956573903666</v>
      </c>
      <c r="S2071" s="7">
        <f>Tabla_nuevas_columnas[[#This Row],[ROAS]]</f>
        <v>72.420956573903666</v>
      </c>
      <c r="T2071" t="str">
        <f>_xlfn.CONCAT(C2071,"-",D2071)</f>
        <v>Paid Social-España</v>
      </c>
      <c r="U2071">
        <f>YEAR(A2071)</f>
        <v>2025</v>
      </c>
      <c r="V2071">
        <f>MONTH(A2071)</f>
        <v>11</v>
      </c>
      <c r="W2071" t="str">
        <f>PROPER(TEXT(A2071,"mmmm"))</f>
        <v>Noviembre</v>
      </c>
      <c r="X2071" t="str">
        <f>PROPER(TEXT(A2071,"dddd"))</f>
        <v>Martes</v>
      </c>
      <c r="Y2071" t="str" cm="1">
        <f t="array" ref="Y2071">_xlfn.IFS(R2071&gt;10,"Excelente",R2071&gt;=5,"Bueno",R2071&gt;=2,"Débil",R2071&lt;2,"Deficiente")</f>
        <v>Excelente</v>
      </c>
      <c r="Z2071" t="str">
        <f>IF(AND(R2071&lt;2,Q2071&gt;=100),"Revisar","OK")</f>
        <v>OK</v>
      </c>
      <c r="AA2071" s="55">
        <f>_xlfn.XLOOKUP(C2071,'Preguntas de negocio'!$C$114:$C$119,'Preguntas de negocio'!$D$114:$D$119,0)</f>
        <v>6</v>
      </c>
      <c r="AB2071" s="55">
        <f>VLOOKUP(C2071,'Preguntas de negocio'!$C$121:$D$127,2,FALSE)</f>
        <v>0.8</v>
      </c>
    </row>
    <row r="2072" spans="1:28" x14ac:dyDescent="0.3">
      <c r="A2072" s="1">
        <v>45969</v>
      </c>
      <c r="B2072" s="2" t="s">
        <v>2638</v>
      </c>
      <c r="C2072" s="2" t="s">
        <v>2515</v>
      </c>
      <c r="D2072" s="2" t="s">
        <v>2516</v>
      </c>
      <c r="E2072" s="2" t="s">
        <v>2517</v>
      </c>
      <c r="F2072" s="3">
        <v>15320</v>
      </c>
      <c r="G2072" s="3">
        <v>97</v>
      </c>
      <c r="H2072" s="3">
        <v>7</v>
      </c>
      <c r="I2072" s="4">
        <v>61.94</v>
      </c>
      <c r="J2072" s="4">
        <v>969.35</v>
      </c>
      <c r="K2072" s="3">
        <v>5</v>
      </c>
      <c r="L2072" s="2" t="s">
        <v>2539</v>
      </c>
      <c r="M2072" s="2" t="s">
        <v>2519</v>
      </c>
      <c r="N2072" s="8">
        <f>IFERROR(G2072/F2072,0)</f>
        <v>6.3315926892950391E-3</v>
      </c>
      <c r="O2072" s="8">
        <f>IFERROR(H2072/G2072,0)</f>
        <v>7.2164948453608241E-2</v>
      </c>
      <c r="P2072" s="4">
        <f>IFERROR(I2072/G2072,0)</f>
        <v>0.63855670103092776</v>
      </c>
      <c r="Q2072" s="4">
        <f>IFERROR(I2072/H2072,0)</f>
        <v>8.8485714285714288</v>
      </c>
      <c r="R2072" s="12">
        <f>IFERROR(J2072/I2072,0)</f>
        <v>15.649822408782693</v>
      </c>
      <c r="S2072" s="7">
        <f>Tabla_nuevas_columnas[[#This Row],[ROAS]]</f>
        <v>15.649822408782693</v>
      </c>
      <c r="T2072" t="str">
        <f>_xlfn.CONCAT(C2072,"-",D2072)</f>
        <v>Email-México</v>
      </c>
      <c r="U2072">
        <f>YEAR(A2072)</f>
        <v>2025</v>
      </c>
      <c r="V2072">
        <f>MONTH(A2072)</f>
        <v>11</v>
      </c>
      <c r="W2072" t="str">
        <f>PROPER(TEXT(A2072,"mmmm"))</f>
        <v>Noviembre</v>
      </c>
      <c r="X2072" t="str">
        <f>PROPER(TEXT(A2072,"dddd"))</f>
        <v>Sábado</v>
      </c>
      <c r="Y2072" t="str" cm="1">
        <f t="array" ref="Y2072">_xlfn.IFS(R2072&gt;10,"Excelente",R2072&gt;=5,"Bueno",R2072&gt;=2,"Débil",R2072&lt;2,"Deficiente")</f>
        <v>Excelente</v>
      </c>
      <c r="Z2072" t="str">
        <f>IF(AND(R2072&lt;2,Q2072&gt;=100),"Revisar","OK")</f>
        <v>OK</v>
      </c>
      <c r="AA2072" s="55">
        <f>_xlfn.XLOOKUP(C2072,'Preguntas de negocio'!$C$114:$C$119,'Preguntas de negocio'!$D$114:$D$119,0)</f>
        <v>5.5</v>
      </c>
      <c r="AB2072" s="55">
        <f>VLOOKUP(C2072,'Preguntas de negocio'!$C$121:$D$127,2,FALSE)</f>
        <v>0.65</v>
      </c>
    </row>
    <row r="2073" spans="1:28" x14ac:dyDescent="0.3">
      <c r="A2073" s="1">
        <v>45787</v>
      </c>
      <c r="B2073" s="2" t="s">
        <v>2629</v>
      </c>
      <c r="C2073" s="2" t="s">
        <v>2527</v>
      </c>
      <c r="D2073" s="2" t="s">
        <v>2528</v>
      </c>
      <c r="E2073" s="2" t="s">
        <v>2517</v>
      </c>
      <c r="F2073" s="3">
        <v>119606</v>
      </c>
      <c r="G2073" s="3">
        <v>9820</v>
      </c>
      <c r="H2073" s="3">
        <v>694</v>
      </c>
      <c r="I2073" s="4">
        <v>11419.1</v>
      </c>
      <c r="J2073" s="4">
        <v>26066.86</v>
      </c>
      <c r="K2073" s="3">
        <v>578</v>
      </c>
      <c r="L2073" s="2" t="s">
        <v>2523</v>
      </c>
      <c r="M2073" s="2" t="s">
        <v>2537</v>
      </c>
      <c r="N2073" s="8">
        <f>IFERROR(G2073/F2073,0)</f>
        <v>8.2102904536561716E-2</v>
      </c>
      <c r="O2073" s="8">
        <f>IFERROR(H2073/G2073,0)</f>
        <v>7.0672097759674132E-2</v>
      </c>
      <c r="P2073" s="4">
        <f>IFERROR(I2073/G2073,0)</f>
        <v>1.1628411405295316</v>
      </c>
      <c r="Q2073" s="4">
        <f>IFERROR(I2073/H2073,0)</f>
        <v>16.454034582132564</v>
      </c>
      <c r="R2073" s="12">
        <f>IFERROR(J2073/I2073,0)</f>
        <v>2.282742072492578</v>
      </c>
      <c r="S2073" s="7">
        <f>Tabla_nuevas_columnas[[#This Row],[ROAS]]</f>
        <v>2.282742072492578</v>
      </c>
      <c r="T2073" t="str">
        <f>_xlfn.CONCAT(C2073,"-",D2073)</f>
        <v>Affiliate-España</v>
      </c>
      <c r="U2073">
        <f>YEAR(A2073)</f>
        <v>2025</v>
      </c>
      <c r="V2073">
        <f>MONTH(A2073)</f>
        <v>5</v>
      </c>
      <c r="W2073" t="str">
        <f>PROPER(TEXT(A2073,"mmmm"))</f>
        <v>Mayo</v>
      </c>
      <c r="X2073" t="str">
        <f>PROPER(TEXT(A2073,"dddd"))</f>
        <v>Sábado</v>
      </c>
      <c r="Y2073" t="str" cm="1">
        <f t="array" ref="Y2073">_xlfn.IFS(R2073&gt;10,"Excelente",R2073&gt;=5,"Bueno",R2073&gt;=2,"Débil",R2073&lt;2,"Deficiente")</f>
        <v>Débil</v>
      </c>
      <c r="Z2073" t="str">
        <f>IF(AND(R2073&lt;2,Q2073&gt;=100),"Revisar","OK")</f>
        <v>OK</v>
      </c>
      <c r="AA2073" s="55">
        <f>_xlfn.XLOOKUP(C2073,'Preguntas de negocio'!$C$114:$C$119,'Preguntas de negocio'!$D$114:$D$119,0)</f>
        <v>4.5</v>
      </c>
      <c r="AB2073" s="55">
        <f>VLOOKUP(C2073,'Preguntas de negocio'!$C$121:$D$127,2,FALSE)</f>
        <v>0.35</v>
      </c>
    </row>
    <row r="2074" spans="1:28" x14ac:dyDescent="0.3">
      <c r="A2074" s="1">
        <v>45764</v>
      </c>
      <c r="B2074" s="2" t="s">
        <v>2626</v>
      </c>
      <c r="C2074" s="2" t="s">
        <v>2521</v>
      </c>
      <c r="D2074" s="2" t="s">
        <v>2528</v>
      </c>
      <c r="E2074" s="2" t="s">
        <v>2517</v>
      </c>
      <c r="F2074" s="3">
        <v>124508</v>
      </c>
      <c r="G2074" s="3">
        <v>3605</v>
      </c>
      <c r="H2074" s="3">
        <v>364</v>
      </c>
      <c r="I2074" s="4">
        <v>2112.19</v>
      </c>
      <c r="J2074" s="4">
        <v>59640.25</v>
      </c>
      <c r="K2074" s="3">
        <v>178</v>
      </c>
      <c r="L2074" s="2" t="s">
        <v>2523</v>
      </c>
      <c r="M2074" s="2" t="s">
        <v>2524</v>
      </c>
      <c r="N2074" s="8">
        <f>IFERROR(G2074/F2074,0)</f>
        <v>2.8953962797571241E-2</v>
      </c>
      <c r="O2074" s="8">
        <f>IFERROR(H2074/G2074,0)</f>
        <v>0.10097087378640776</v>
      </c>
      <c r="P2074" s="4">
        <f>IFERROR(I2074/G2074,0)</f>
        <v>0.58590568654646324</v>
      </c>
      <c r="Q2074" s="4">
        <f>IFERROR(I2074/H2074,0)</f>
        <v>5.8027197802197801</v>
      </c>
      <c r="R2074" s="12">
        <f>IFERROR(J2074/I2074,0)</f>
        <v>28.236214545093006</v>
      </c>
      <c r="S2074" s="7">
        <f>Tabla_nuevas_columnas[[#This Row],[ROAS]]</f>
        <v>28.236214545093006</v>
      </c>
      <c r="T2074" t="str">
        <f>_xlfn.CONCAT(C2074,"-",D2074)</f>
        <v>Paid Search-España</v>
      </c>
      <c r="U2074">
        <f>YEAR(A2074)</f>
        <v>2025</v>
      </c>
      <c r="V2074">
        <f>MONTH(A2074)</f>
        <v>4</v>
      </c>
      <c r="W2074" t="str">
        <f>PROPER(TEXT(A2074,"mmmm"))</f>
        <v>Abril</v>
      </c>
      <c r="X2074" t="str">
        <f>PROPER(TEXT(A2074,"dddd"))</f>
        <v>Jueves</v>
      </c>
      <c r="Y2074" t="str" cm="1">
        <f t="array" ref="Y2074">_xlfn.IFS(R2074&gt;10,"Excelente",R2074&gt;=5,"Bueno",R2074&gt;=2,"Débil",R2074&lt;2,"Deficiente")</f>
        <v>Excelente</v>
      </c>
      <c r="Z2074" t="str">
        <f>IF(AND(R2074&lt;2,Q2074&gt;=100),"Revisar","OK")</f>
        <v>OK</v>
      </c>
      <c r="AA2074" s="55">
        <f>_xlfn.XLOOKUP(C2074,'Preguntas de negocio'!$C$114:$C$119,'Preguntas de negocio'!$D$114:$D$119,0)</f>
        <v>5</v>
      </c>
      <c r="AB2074" s="55">
        <f>VLOOKUP(C2074,'Preguntas de negocio'!$C$121:$D$127,2,FALSE)</f>
        <v>1.1000000000000001</v>
      </c>
    </row>
    <row r="2075" spans="1:28" x14ac:dyDescent="0.3">
      <c r="A2075" s="1">
        <v>45724</v>
      </c>
      <c r="B2075" s="2" t="s">
        <v>2640</v>
      </c>
      <c r="C2075" s="2" t="s">
        <v>2515</v>
      </c>
      <c r="D2075" s="2" t="s">
        <v>2522</v>
      </c>
      <c r="E2075" s="2" t="s">
        <v>2517</v>
      </c>
      <c r="F2075" s="3">
        <v>88249</v>
      </c>
      <c r="G2075" s="3">
        <v>7864</v>
      </c>
      <c r="H2075" s="3">
        <v>915</v>
      </c>
      <c r="I2075" s="4">
        <v>12296.1</v>
      </c>
      <c r="J2075" s="4">
        <v>160765.42000000001</v>
      </c>
      <c r="K2075" s="3">
        <v>625</v>
      </c>
      <c r="L2075" s="2" t="s">
        <v>2518</v>
      </c>
      <c r="M2075" s="2" t="s">
        <v>2526</v>
      </c>
      <c r="N2075" s="8">
        <f>IFERROR(G2075/F2075,0)</f>
        <v>8.9111491348343896E-2</v>
      </c>
      <c r="O2075" s="8">
        <f>IFERROR(H2075/G2075,0)</f>
        <v>0.116353001017294</v>
      </c>
      <c r="P2075" s="4">
        <f>IFERROR(I2075/G2075,0)</f>
        <v>1.5635935910478129</v>
      </c>
      <c r="Q2075" s="4">
        <f>IFERROR(I2075/H2075,0)</f>
        <v>13.438360655737705</v>
      </c>
      <c r="R2075" s="12">
        <f>IFERROR(J2075/I2075,0)</f>
        <v>13.0745049243256</v>
      </c>
      <c r="S2075" s="7">
        <f>Tabla_nuevas_columnas[[#This Row],[ROAS]]</f>
        <v>13.0745049243256</v>
      </c>
      <c r="T2075" t="str">
        <f>_xlfn.CONCAT(C2075,"-",D2075)</f>
        <v>Email-Italia</v>
      </c>
      <c r="U2075">
        <f>YEAR(A2075)</f>
        <v>2025</v>
      </c>
      <c r="V2075">
        <f>MONTH(A2075)</f>
        <v>3</v>
      </c>
      <c r="W2075" t="str">
        <f>PROPER(TEXT(A2075,"mmmm"))</f>
        <v>Marzo</v>
      </c>
      <c r="X2075" t="str">
        <f>PROPER(TEXT(A2075,"dddd"))</f>
        <v>Sábado</v>
      </c>
      <c r="Y2075" t="str" cm="1">
        <f t="array" ref="Y2075">_xlfn.IFS(R2075&gt;10,"Excelente",R2075&gt;=5,"Bueno",R2075&gt;=2,"Débil",R2075&lt;2,"Deficiente")</f>
        <v>Excelente</v>
      </c>
      <c r="Z2075" t="str">
        <f>IF(AND(R2075&lt;2,Q2075&gt;=100),"Revisar","OK")</f>
        <v>OK</v>
      </c>
      <c r="AA2075" s="55">
        <f>_xlfn.XLOOKUP(C2075,'Preguntas de negocio'!$C$114:$C$119,'Preguntas de negocio'!$D$114:$D$119,0)</f>
        <v>5.5</v>
      </c>
      <c r="AB2075" s="55">
        <f>VLOOKUP(C2075,'Preguntas de negocio'!$C$121:$D$127,2,FALSE)</f>
        <v>0.65</v>
      </c>
    </row>
    <row r="2076" spans="1:28" x14ac:dyDescent="0.3">
      <c r="A2076" s="1">
        <v>45958</v>
      </c>
      <c r="B2076" s="2" t="s">
        <v>2638</v>
      </c>
      <c r="C2076" s="2" t="s">
        <v>2515</v>
      </c>
      <c r="D2076" s="2" t="s">
        <v>2516</v>
      </c>
      <c r="E2076" s="2" t="s">
        <v>2517</v>
      </c>
      <c r="F2076" s="3">
        <v>144739</v>
      </c>
      <c r="G2076" s="3">
        <v>1874</v>
      </c>
      <c r="H2076" s="3">
        <v>93</v>
      </c>
      <c r="I2076" s="4">
        <v>2064.4699999999998</v>
      </c>
      <c r="J2076" s="4">
        <v>14256.17</v>
      </c>
      <c r="K2076" s="3">
        <v>56</v>
      </c>
      <c r="L2076" s="2" t="s">
        <v>2523</v>
      </c>
      <c r="M2076" s="2" t="s">
        <v>2526</v>
      </c>
      <c r="N2076" s="8">
        <f>IFERROR(G2076/F2076,0)</f>
        <v>1.2947443329026731E-2</v>
      </c>
      <c r="O2076" s="8">
        <f>IFERROR(H2076/G2076,0)</f>
        <v>4.9626467449306294E-2</v>
      </c>
      <c r="P2076" s="4">
        <f>IFERROR(I2076/G2076,0)</f>
        <v>1.1016382070437565</v>
      </c>
      <c r="Q2076" s="4">
        <f>IFERROR(I2076/H2076,0)</f>
        <v>22.198602150537631</v>
      </c>
      <c r="R2076" s="12">
        <f>IFERROR(J2076/I2076,0)</f>
        <v>6.9054866382170736</v>
      </c>
      <c r="S2076" s="7">
        <f>Tabla_nuevas_columnas[[#This Row],[ROAS]]</f>
        <v>6.9054866382170736</v>
      </c>
      <c r="T2076" t="str">
        <f>_xlfn.CONCAT(C2076,"-",D2076)</f>
        <v>Email-México</v>
      </c>
      <c r="U2076">
        <f>YEAR(A2076)</f>
        <v>2025</v>
      </c>
      <c r="V2076">
        <f>MONTH(A2076)</f>
        <v>10</v>
      </c>
      <c r="W2076" t="str">
        <f>PROPER(TEXT(A2076,"mmmm"))</f>
        <v>Octubre</v>
      </c>
      <c r="X2076" t="str">
        <f>PROPER(TEXT(A2076,"dddd"))</f>
        <v>Martes</v>
      </c>
      <c r="Y2076" t="str" cm="1">
        <f t="array" ref="Y2076">_xlfn.IFS(R2076&gt;10,"Excelente",R2076&gt;=5,"Bueno",R2076&gt;=2,"Débil",R2076&lt;2,"Deficiente")</f>
        <v>Bueno</v>
      </c>
      <c r="Z2076" t="str">
        <f>IF(AND(R2076&lt;2,Q2076&gt;=100),"Revisar","OK")</f>
        <v>OK</v>
      </c>
      <c r="AA2076" s="55">
        <f>_xlfn.XLOOKUP(C2076,'Preguntas de negocio'!$C$114:$C$119,'Preguntas de negocio'!$D$114:$D$119,0)</f>
        <v>5.5</v>
      </c>
      <c r="AB2076" s="55">
        <f>VLOOKUP(C2076,'Preguntas de negocio'!$C$121:$D$127,2,FALSE)</f>
        <v>0.65</v>
      </c>
    </row>
    <row r="2077" spans="1:28" x14ac:dyDescent="0.3">
      <c r="A2077" s="1">
        <v>45896</v>
      </c>
      <c r="B2077" s="2" t="s">
        <v>2629</v>
      </c>
      <c r="C2077" s="2" t="s">
        <v>2533</v>
      </c>
      <c r="D2077" s="2" t="s">
        <v>2528</v>
      </c>
      <c r="E2077" s="2" t="s">
        <v>2529</v>
      </c>
      <c r="F2077" s="3">
        <v>169077</v>
      </c>
      <c r="G2077" s="3">
        <v>6988</v>
      </c>
      <c r="H2077" s="3">
        <v>165</v>
      </c>
      <c r="I2077" s="4">
        <v>4791.2299999999996</v>
      </c>
      <c r="J2077" s="4">
        <v>6505.52</v>
      </c>
      <c r="K2077" s="3">
        <v>139</v>
      </c>
      <c r="L2077" s="2" t="s">
        <v>2539</v>
      </c>
      <c r="M2077" s="2" t="s">
        <v>2519</v>
      </c>
      <c r="N2077" s="8">
        <f>IFERROR(G2077/F2077,0)</f>
        <v>4.1330281469389683E-2</v>
      </c>
      <c r="O2077" s="8">
        <f>IFERROR(H2077/G2077,0)</f>
        <v>2.3611906124785347E-2</v>
      </c>
      <c r="P2077" s="4">
        <f>IFERROR(I2077/G2077,0)</f>
        <v>0.68563680595306231</v>
      </c>
      <c r="Q2077" s="4">
        <f>IFERROR(I2077/H2077,0)</f>
        <v>29.037757575757574</v>
      </c>
      <c r="R2077" s="12">
        <f>IFERROR(J2077/I2077,0)</f>
        <v>1.3577974758047517</v>
      </c>
      <c r="S2077" s="7">
        <f>Tabla_nuevas_columnas[[#This Row],[ROAS]]</f>
        <v>1.3577974758047517</v>
      </c>
      <c r="T2077" t="str">
        <f>_xlfn.CONCAT(C2077,"-",D2077)</f>
        <v>Paid Social-España</v>
      </c>
      <c r="U2077">
        <f>YEAR(A2077)</f>
        <v>2025</v>
      </c>
      <c r="V2077">
        <f>MONTH(A2077)</f>
        <v>8</v>
      </c>
      <c r="W2077" t="str">
        <f>PROPER(TEXT(A2077,"mmmm"))</f>
        <v>Agosto</v>
      </c>
      <c r="X2077" t="str">
        <f>PROPER(TEXT(A2077,"dddd"))</f>
        <v>Miércoles</v>
      </c>
      <c r="Y2077" t="str" cm="1">
        <f t="array" ref="Y2077">_xlfn.IFS(R2077&gt;10,"Excelente",R2077&gt;=5,"Bueno",R2077&gt;=2,"Débil",R2077&lt;2,"Deficiente")</f>
        <v>Deficiente</v>
      </c>
      <c r="Z2077" t="str">
        <f>IF(AND(R2077&lt;2,Q2077&gt;=100),"Revisar","OK")</f>
        <v>OK</v>
      </c>
      <c r="AA2077" s="55">
        <f>_xlfn.XLOOKUP(C2077,'Preguntas de negocio'!$C$114:$C$119,'Preguntas de negocio'!$D$114:$D$119,0)</f>
        <v>6</v>
      </c>
      <c r="AB2077" s="55">
        <f>VLOOKUP(C2077,'Preguntas de negocio'!$C$121:$D$127,2,FALSE)</f>
        <v>0.8</v>
      </c>
    </row>
    <row r="2078" spans="1:28" x14ac:dyDescent="0.3">
      <c r="A2078" s="1">
        <v>45942</v>
      </c>
      <c r="B2078" s="2" t="s">
        <v>2635</v>
      </c>
      <c r="C2078" s="2" t="s">
        <v>2527</v>
      </c>
      <c r="D2078" s="2" t="s">
        <v>2522</v>
      </c>
      <c r="E2078" s="2" t="s">
        <v>2517</v>
      </c>
      <c r="F2078" s="3">
        <v>14532</v>
      </c>
      <c r="G2078" s="3">
        <v>116</v>
      </c>
      <c r="H2078" s="3">
        <v>6</v>
      </c>
      <c r="I2078" s="4">
        <v>123.27</v>
      </c>
      <c r="J2078" s="4">
        <v>1214.21</v>
      </c>
      <c r="K2078" s="3">
        <v>4</v>
      </c>
      <c r="L2078" s="2" t="s">
        <v>2523</v>
      </c>
      <c r="M2078" s="2" t="s">
        <v>2546</v>
      </c>
      <c r="N2078" s="8">
        <f>IFERROR(G2078/F2078,0)</f>
        <v>7.9823837049270568E-3</v>
      </c>
      <c r="O2078" s="8">
        <f>IFERROR(H2078/G2078,0)</f>
        <v>5.1724137931034482E-2</v>
      </c>
      <c r="P2078" s="4">
        <f>IFERROR(I2078/G2078,0)</f>
        <v>1.0626724137931034</v>
      </c>
      <c r="Q2078" s="4">
        <f>IFERROR(I2078/H2078,0)</f>
        <v>20.544999999999998</v>
      </c>
      <c r="R2078" s="12">
        <f>IFERROR(J2078/I2078,0)</f>
        <v>9.8500040561369353</v>
      </c>
      <c r="S2078" s="7">
        <f>Tabla_nuevas_columnas[[#This Row],[ROAS]]</f>
        <v>9.8500040561369353</v>
      </c>
      <c r="T2078" t="str">
        <f>_xlfn.CONCAT(C2078,"-",D2078)</f>
        <v>Affiliate-Italia</v>
      </c>
      <c r="U2078">
        <f>YEAR(A2078)</f>
        <v>2025</v>
      </c>
      <c r="V2078">
        <f>MONTH(A2078)</f>
        <v>10</v>
      </c>
      <c r="W2078" t="str">
        <f>PROPER(TEXT(A2078,"mmmm"))</f>
        <v>Octubre</v>
      </c>
      <c r="X2078" t="str">
        <f>PROPER(TEXT(A2078,"dddd"))</f>
        <v>Domingo</v>
      </c>
      <c r="Y2078" t="str" cm="1">
        <f t="array" ref="Y2078">_xlfn.IFS(R2078&gt;10,"Excelente",R2078&gt;=5,"Bueno",R2078&gt;=2,"Débil",R2078&lt;2,"Deficiente")</f>
        <v>Bueno</v>
      </c>
      <c r="Z2078" t="str">
        <f>IF(AND(R2078&lt;2,Q2078&gt;=100),"Revisar","OK")</f>
        <v>OK</v>
      </c>
      <c r="AA2078" s="55">
        <f>_xlfn.XLOOKUP(C2078,'Preguntas de negocio'!$C$114:$C$119,'Preguntas de negocio'!$D$114:$D$119,0)</f>
        <v>4.5</v>
      </c>
      <c r="AB2078" s="55">
        <f>VLOOKUP(C2078,'Preguntas de negocio'!$C$121:$D$127,2,FALSE)</f>
        <v>0.35</v>
      </c>
    </row>
    <row r="2079" spans="1:28" x14ac:dyDescent="0.3">
      <c r="A2079" s="1">
        <v>45905</v>
      </c>
      <c r="B2079" s="2" t="s">
        <v>2616</v>
      </c>
      <c r="C2079" s="2" t="s">
        <v>2533</v>
      </c>
      <c r="D2079" s="2" t="s">
        <v>2525</v>
      </c>
      <c r="E2079" s="2" t="s">
        <v>2529</v>
      </c>
      <c r="F2079" s="3">
        <v>12917</v>
      </c>
      <c r="G2079" s="3">
        <v>807</v>
      </c>
      <c r="H2079" s="3">
        <v>57</v>
      </c>
      <c r="I2079" s="4">
        <v>1533.07</v>
      </c>
      <c r="J2079" s="4">
        <v>9035.26</v>
      </c>
      <c r="K2079" s="3">
        <v>45</v>
      </c>
      <c r="L2079" s="2" t="s">
        <v>2539</v>
      </c>
      <c r="M2079" s="2" t="s">
        <v>2519</v>
      </c>
      <c r="N2079" s="8">
        <f>IFERROR(G2079/F2079,0)</f>
        <v>6.2475807075946424E-2</v>
      </c>
      <c r="O2079" s="8">
        <f>IFERROR(H2079/G2079,0)</f>
        <v>7.0631970260223054E-2</v>
      </c>
      <c r="P2079" s="4">
        <f>IFERROR(I2079/G2079,0)</f>
        <v>1.899714993804213</v>
      </c>
      <c r="Q2079" s="4">
        <f>IFERROR(I2079/H2079,0)</f>
        <v>26.8959649122807</v>
      </c>
      <c r="R2079" s="12">
        <f>IFERROR(J2079/I2079,0)</f>
        <v>5.8935730266719721</v>
      </c>
      <c r="S2079" s="7">
        <f>Tabla_nuevas_columnas[[#This Row],[ROAS]]</f>
        <v>5.8935730266719721</v>
      </c>
      <c r="T2079" t="str">
        <f>_xlfn.CONCAT(C2079,"-",D2079)</f>
        <v>Paid Social-Francia</v>
      </c>
      <c r="U2079">
        <f>YEAR(A2079)</f>
        <v>2025</v>
      </c>
      <c r="V2079">
        <f>MONTH(A2079)</f>
        <v>9</v>
      </c>
      <c r="W2079" t="str">
        <f>PROPER(TEXT(A2079,"mmmm"))</f>
        <v>Septiembre</v>
      </c>
      <c r="X2079" t="str">
        <f>PROPER(TEXT(A2079,"dddd"))</f>
        <v>Viernes</v>
      </c>
      <c r="Y2079" t="str" cm="1">
        <f t="array" ref="Y2079">_xlfn.IFS(R2079&gt;10,"Excelente",R2079&gt;=5,"Bueno",R2079&gt;=2,"Débil",R2079&lt;2,"Deficiente")</f>
        <v>Bueno</v>
      </c>
      <c r="Z2079" t="str">
        <f>IF(AND(R2079&lt;2,Q2079&gt;=100),"Revisar","OK")</f>
        <v>OK</v>
      </c>
      <c r="AA2079" s="55">
        <f>_xlfn.XLOOKUP(C2079,'Preguntas de negocio'!$C$114:$C$119,'Preguntas de negocio'!$D$114:$D$119,0)</f>
        <v>6</v>
      </c>
      <c r="AB2079" s="55">
        <f>VLOOKUP(C2079,'Preguntas de negocio'!$C$121:$D$127,2,FALSE)</f>
        <v>0.8</v>
      </c>
    </row>
    <row r="2080" spans="1:28" x14ac:dyDescent="0.3">
      <c r="A2080" s="1">
        <v>45669</v>
      </c>
      <c r="B2080" s="2" t="s">
        <v>2615</v>
      </c>
      <c r="C2080" s="2" t="s">
        <v>2521</v>
      </c>
      <c r="D2080" s="2" t="s">
        <v>2516</v>
      </c>
      <c r="E2080" s="2" t="s">
        <v>2529</v>
      </c>
      <c r="F2080" s="3">
        <v>2889</v>
      </c>
      <c r="G2080" s="3">
        <v>121</v>
      </c>
      <c r="H2080" s="3">
        <v>3</v>
      </c>
      <c r="I2080" s="4">
        <v>226.68</v>
      </c>
      <c r="J2080" s="4">
        <v>243.48</v>
      </c>
      <c r="K2080" s="3">
        <v>2</v>
      </c>
      <c r="L2080" s="2" t="s">
        <v>2523</v>
      </c>
      <c r="M2080" s="2" t="s">
        <v>2546</v>
      </c>
      <c r="N2080" s="8">
        <f>IFERROR(G2080/F2080,0)</f>
        <v>4.1883004499826931E-2</v>
      </c>
      <c r="O2080" s="8">
        <f>IFERROR(H2080/G2080,0)</f>
        <v>2.4793388429752067E-2</v>
      </c>
      <c r="P2080" s="4">
        <f>IFERROR(I2080/G2080,0)</f>
        <v>1.8733884297520662</v>
      </c>
      <c r="Q2080" s="4">
        <f>IFERROR(I2080/H2080,0)</f>
        <v>75.56</v>
      </c>
      <c r="R2080" s="12">
        <f>IFERROR(J2080/I2080,0)</f>
        <v>1.0741132874536792</v>
      </c>
      <c r="S2080" s="7">
        <f>Tabla_nuevas_columnas[[#This Row],[ROAS]]</f>
        <v>1.0741132874536792</v>
      </c>
      <c r="T2080" t="str">
        <f>_xlfn.CONCAT(C2080,"-",D2080)</f>
        <v>Paid Search-México</v>
      </c>
      <c r="U2080">
        <f>YEAR(A2080)</f>
        <v>2025</v>
      </c>
      <c r="V2080">
        <f>MONTH(A2080)</f>
        <v>1</v>
      </c>
      <c r="W2080" t="str">
        <f>PROPER(TEXT(A2080,"mmmm"))</f>
        <v>Enero</v>
      </c>
      <c r="X2080" t="str">
        <f>PROPER(TEXT(A2080,"dddd"))</f>
        <v>Domingo</v>
      </c>
      <c r="Y2080" t="str" cm="1">
        <f t="array" ref="Y2080">_xlfn.IFS(R2080&gt;10,"Excelente",R2080&gt;=5,"Bueno",R2080&gt;=2,"Débil",R2080&lt;2,"Deficiente")</f>
        <v>Deficiente</v>
      </c>
      <c r="Z2080" t="str">
        <f>IF(AND(R2080&lt;2,Q2080&gt;=100),"Revisar","OK")</f>
        <v>OK</v>
      </c>
      <c r="AA2080" s="55">
        <f>_xlfn.XLOOKUP(C2080,'Preguntas de negocio'!$C$114:$C$119,'Preguntas de negocio'!$D$114:$D$119,0)</f>
        <v>5</v>
      </c>
      <c r="AB2080" s="55">
        <f>VLOOKUP(C2080,'Preguntas de negocio'!$C$121:$D$127,2,FALSE)</f>
        <v>1.1000000000000001</v>
      </c>
    </row>
    <row r="2081" spans="1:28" x14ac:dyDescent="0.3">
      <c r="A2081" s="1">
        <v>45928</v>
      </c>
      <c r="B2081" s="2" t="s">
        <v>2627</v>
      </c>
      <c r="C2081" s="2" t="s">
        <v>2521</v>
      </c>
      <c r="D2081" s="2" t="s">
        <v>2531</v>
      </c>
      <c r="E2081" s="2" t="s">
        <v>2529</v>
      </c>
      <c r="F2081" s="3">
        <v>168964</v>
      </c>
      <c r="G2081" s="3">
        <v>11546</v>
      </c>
      <c r="H2081" s="3">
        <v>701</v>
      </c>
      <c r="I2081" s="4">
        <v>19461.990000000002</v>
      </c>
      <c r="J2081" s="4">
        <v>69814.81</v>
      </c>
      <c r="K2081" s="3">
        <v>544</v>
      </c>
      <c r="L2081" s="2" t="s">
        <v>2518</v>
      </c>
      <c r="M2081" s="2" t="s">
        <v>2524</v>
      </c>
      <c r="N2081" s="8">
        <f>IFERROR(G2081/F2081,0)</f>
        <v>6.8334082999928977E-2</v>
      </c>
      <c r="O2081" s="8">
        <f>IFERROR(H2081/G2081,0)</f>
        <v>6.0713667070847049E-2</v>
      </c>
      <c r="P2081" s="4">
        <f>IFERROR(I2081/G2081,0)</f>
        <v>1.6856045383682663</v>
      </c>
      <c r="Q2081" s="4">
        <f>IFERROR(I2081/H2081,0)</f>
        <v>27.763181169757491</v>
      </c>
      <c r="R2081" s="12">
        <f>IFERROR(J2081/I2081,0)</f>
        <v>3.5872390233475606</v>
      </c>
      <c r="S2081" s="7">
        <f>Tabla_nuevas_columnas[[#This Row],[ROAS]]</f>
        <v>3.5872390233475606</v>
      </c>
      <c r="T2081" t="str">
        <f>_xlfn.CONCAT(C2081,"-",D2081)</f>
        <v>Paid Search-Portugal</v>
      </c>
      <c r="U2081">
        <f>YEAR(A2081)</f>
        <v>2025</v>
      </c>
      <c r="V2081">
        <f>MONTH(A2081)</f>
        <v>9</v>
      </c>
      <c r="W2081" t="str">
        <f>PROPER(TEXT(A2081,"mmmm"))</f>
        <v>Septiembre</v>
      </c>
      <c r="X2081" t="str">
        <f>PROPER(TEXT(A2081,"dddd"))</f>
        <v>Domingo</v>
      </c>
      <c r="Y2081" t="str" cm="1">
        <f t="array" ref="Y2081">_xlfn.IFS(R2081&gt;10,"Excelente",R2081&gt;=5,"Bueno",R2081&gt;=2,"Débil",R2081&lt;2,"Deficiente")</f>
        <v>Débil</v>
      </c>
      <c r="Z2081" t="str">
        <f>IF(AND(R2081&lt;2,Q2081&gt;=100),"Revisar","OK")</f>
        <v>OK</v>
      </c>
      <c r="AA2081" s="55">
        <f>_xlfn.XLOOKUP(C2081,'Preguntas de negocio'!$C$114:$C$119,'Preguntas de negocio'!$D$114:$D$119,0)</f>
        <v>5</v>
      </c>
      <c r="AB2081" s="55">
        <f>VLOOKUP(C2081,'Preguntas de negocio'!$C$121:$D$127,2,FALSE)</f>
        <v>1.1000000000000001</v>
      </c>
    </row>
    <row r="2082" spans="1:28" x14ac:dyDescent="0.3">
      <c r="A2082" s="1">
        <v>45838</v>
      </c>
      <c r="B2082" s="2" t="s">
        <v>2638</v>
      </c>
      <c r="C2082" s="2" t="s">
        <v>2533</v>
      </c>
      <c r="D2082" s="2" t="s">
        <v>2525</v>
      </c>
      <c r="E2082" s="2" t="s">
        <v>2517</v>
      </c>
      <c r="F2082" s="3">
        <v>125540</v>
      </c>
      <c r="G2082" s="3">
        <v>8307</v>
      </c>
      <c r="H2082" s="3">
        <v>630</v>
      </c>
      <c r="I2082" s="4">
        <v>1118.31</v>
      </c>
      <c r="J2082" s="4">
        <v>43254.52</v>
      </c>
      <c r="K2082" s="3">
        <v>311</v>
      </c>
      <c r="L2082" s="2" t="s">
        <v>2523</v>
      </c>
      <c r="M2082" s="2" t="s">
        <v>2537</v>
      </c>
      <c r="N2082" s="8">
        <f>IFERROR(G2082/F2082,0)</f>
        <v>6.6170144973713554E-2</v>
      </c>
      <c r="O2082" s="8">
        <f>IFERROR(H2082/G2082,0)</f>
        <v>7.5839653304442034E-2</v>
      </c>
      <c r="P2082" s="4">
        <f>IFERROR(I2082/G2082,0)</f>
        <v>0.13462260743950885</v>
      </c>
      <c r="Q2082" s="4">
        <f>IFERROR(I2082/H2082,0)</f>
        <v>1.7750952380952381</v>
      </c>
      <c r="R2082" s="12">
        <f>IFERROR(J2082/I2082,0)</f>
        <v>38.678470191628442</v>
      </c>
      <c r="S2082" s="7">
        <f>Tabla_nuevas_columnas[[#This Row],[ROAS]]</f>
        <v>38.678470191628442</v>
      </c>
      <c r="T2082" t="str">
        <f>_xlfn.CONCAT(C2082,"-",D2082)</f>
        <v>Paid Social-Francia</v>
      </c>
      <c r="U2082">
        <f>YEAR(A2082)</f>
        <v>2025</v>
      </c>
      <c r="V2082">
        <f>MONTH(A2082)</f>
        <v>6</v>
      </c>
      <c r="W2082" t="str">
        <f>PROPER(TEXT(A2082,"mmmm"))</f>
        <v>Junio</v>
      </c>
      <c r="X2082" t="str">
        <f>PROPER(TEXT(A2082,"dddd"))</f>
        <v>Lunes</v>
      </c>
      <c r="Y2082" t="str" cm="1">
        <f t="array" ref="Y2082">_xlfn.IFS(R2082&gt;10,"Excelente",R2082&gt;=5,"Bueno",R2082&gt;=2,"Débil",R2082&lt;2,"Deficiente")</f>
        <v>Excelente</v>
      </c>
      <c r="Z2082" t="str">
        <f>IF(AND(R2082&lt;2,Q2082&gt;=100),"Revisar","OK")</f>
        <v>OK</v>
      </c>
      <c r="AA2082" s="55">
        <f>_xlfn.XLOOKUP(C2082,'Preguntas de negocio'!$C$114:$C$119,'Preguntas de negocio'!$D$114:$D$119,0)</f>
        <v>6</v>
      </c>
      <c r="AB2082" s="55">
        <f>VLOOKUP(C2082,'Preguntas de negocio'!$C$121:$D$127,2,FALSE)</f>
        <v>0.8</v>
      </c>
    </row>
    <row r="2083" spans="1:28" x14ac:dyDescent="0.3">
      <c r="A2083" s="1">
        <v>45813</v>
      </c>
      <c r="B2083" s="2" t="s">
        <v>2629</v>
      </c>
      <c r="C2083" s="2" t="s">
        <v>2533</v>
      </c>
      <c r="D2083" s="2" t="s">
        <v>2531</v>
      </c>
      <c r="E2083" s="2" t="s">
        <v>2529</v>
      </c>
      <c r="F2083" s="3">
        <v>175998</v>
      </c>
      <c r="G2083" s="3">
        <v>11033</v>
      </c>
      <c r="H2083" s="3">
        <v>1257</v>
      </c>
      <c r="I2083" s="4">
        <v>2550.27</v>
      </c>
      <c r="J2083" s="4">
        <v>35076.39</v>
      </c>
      <c r="K2083" s="3">
        <v>618</v>
      </c>
      <c r="L2083" s="2" t="s">
        <v>2539</v>
      </c>
      <c r="M2083" s="2" t="s">
        <v>2546</v>
      </c>
      <c r="N2083" s="8">
        <f>IFERROR(G2083/F2083,0)</f>
        <v>6.2688212366049614E-2</v>
      </c>
      <c r="O2083" s="8">
        <f>IFERROR(H2083/G2083,0)</f>
        <v>0.11393093446931932</v>
      </c>
      <c r="P2083" s="4">
        <f>IFERROR(I2083/G2083,0)</f>
        <v>0.23114927943442401</v>
      </c>
      <c r="Q2083" s="4">
        <f>IFERROR(I2083/H2083,0)</f>
        <v>2.0288544152744632</v>
      </c>
      <c r="R2083" s="12">
        <f>IFERROR(J2083/I2083,0)</f>
        <v>13.753990753920172</v>
      </c>
      <c r="S2083" s="7">
        <f>Tabla_nuevas_columnas[[#This Row],[ROAS]]</f>
        <v>13.753990753920172</v>
      </c>
      <c r="T2083" t="str">
        <f>_xlfn.CONCAT(C2083,"-",D2083)</f>
        <v>Paid Social-Portugal</v>
      </c>
      <c r="U2083">
        <f>YEAR(A2083)</f>
        <v>2025</v>
      </c>
      <c r="V2083">
        <f>MONTH(A2083)</f>
        <v>6</v>
      </c>
      <c r="W2083" t="str">
        <f>PROPER(TEXT(A2083,"mmmm"))</f>
        <v>Junio</v>
      </c>
      <c r="X2083" t="str">
        <f>PROPER(TEXT(A2083,"dddd"))</f>
        <v>Jueves</v>
      </c>
      <c r="Y2083" t="str" cm="1">
        <f t="array" ref="Y2083">_xlfn.IFS(R2083&gt;10,"Excelente",R2083&gt;=5,"Bueno",R2083&gt;=2,"Débil",R2083&lt;2,"Deficiente")</f>
        <v>Excelente</v>
      </c>
      <c r="Z2083" t="str">
        <f>IF(AND(R2083&lt;2,Q2083&gt;=100),"Revisar","OK")</f>
        <v>OK</v>
      </c>
      <c r="AA2083" s="55">
        <f>_xlfn.XLOOKUP(C2083,'Preguntas de negocio'!$C$114:$C$119,'Preguntas de negocio'!$D$114:$D$119,0)</f>
        <v>6</v>
      </c>
      <c r="AB2083" s="55">
        <f>VLOOKUP(C2083,'Preguntas de negocio'!$C$121:$D$127,2,FALSE)</f>
        <v>0.8</v>
      </c>
    </row>
    <row r="2084" spans="1:28" x14ac:dyDescent="0.3">
      <c r="A2084" s="1">
        <v>45685</v>
      </c>
      <c r="B2084" s="2" t="s">
        <v>2634</v>
      </c>
      <c r="C2084" s="2" t="s">
        <v>2521</v>
      </c>
      <c r="D2084" s="2" t="s">
        <v>2528</v>
      </c>
      <c r="E2084" s="2" t="s">
        <v>2534</v>
      </c>
      <c r="F2084" s="3">
        <v>83085</v>
      </c>
      <c r="G2084" s="3">
        <v>5612</v>
      </c>
      <c r="H2084" s="3">
        <v>696</v>
      </c>
      <c r="I2084" s="4">
        <v>5023.66</v>
      </c>
      <c r="J2084" s="4">
        <v>147751.12</v>
      </c>
      <c r="K2084" s="3">
        <v>384</v>
      </c>
      <c r="L2084" s="2" t="s">
        <v>2523</v>
      </c>
      <c r="M2084" s="2" t="s">
        <v>2526</v>
      </c>
      <c r="N2084" s="8">
        <f>IFERROR(G2084/F2084,0)</f>
        <v>6.7545284949148465E-2</v>
      </c>
      <c r="O2084" s="8">
        <f>IFERROR(H2084/G2084,0)</f>
        <v>0.1240199572344975</v>
      </c>
      <c r="P2084" s="4">
        <f>IFERROR(I2084/G2084,0)</f>
        <v>0.89516393442622944</v>
      </c>
      <c r="Q2084" s="4">
        <f>IFERROR(I2084/H2084,0)</f>
        <v>7.2179022988505741</v>
      </c>
      <c r="R2084" s="12">
        <f>IFERROR(J2084/I2084,0)</f>
        <v>29.411050907107565</v>
      </c>
      <c r="S2084" s="7">
        <f>Tabla_nuevas_columnas[[#This Row],[ROAS]]</f>
        <v>29.411050907107565</v>
      </c>
      <c r="T2084" t="str">
        <f>_xlfn.CONCAT(C2084,"-",D2084)</f>
        <v>Paid Search-España</v>
      </c>
      <c r="U2084">
        <f>YEAR(A2084)</f>
        <v>2025</v>
      </c>
      <c r="V2084">
        <f>MONTH(A2084)</f>
        <v>1</v>
      </c>
      <c r="W2084" t="str">
        <f>PROPER(TEXT(A2084,"mmmm"))</f>
        <v>Enero</v>
      </c>
      <c r="X2084" t="str">
        <f>PROPER(TEXT(A2084,"dddd"))</f>
        <v>Martes</v>
      </c>
      <c r="Y2084" t="str" cm="1">
        <f t="array" ref="Y2084">_xlfn.IFS(R2084&gt;10,"Excelente",R2084&gt;=5,"Bueno",R2084&gt;=2,"Débil",R2084&lt;2,"Deficiente")</f>
        <v>Excelente</v>
      </c>
      <c r="Z2084" t="str">
        <f>IF(AND(R2084&lt;2,Q2084&gt;=100),"Revisar","OK")</f>
        <v>OK</v>
      </c>
      <c r="AA2084" s="55">
        <f>_xlfn.XLOOKUP(C2084,'Preguntas de negocio'!$C$114:$C$119,'Preguntas de negocio'!$D$114:$D$119,0)</f>
        <v>5</v>
      </c>
      <c r="AB2084" s="55">
        <f>VLOOKUP(C2084,'Preguntas de negocio'!$C$121:$D$127,2,FALSE)</f>
        <v>1.1000000000000001</v>
      </c>
    </row>
    <row r="2085" spans="1:28" x14ac:dyDescent="0.3">
      <c r="A2085" s="1">
        <v>45840</v>
      </c>
      <c r="B2085" s="2" t="s">
        <v>2633</v>
      </c>
      <c r="C2085" s="2" t="s">
        <v>2533</v>
      </c>
      <c r="D2085" s="2" t="s">
        <v>2531</v>
      </c>
      <c r="E2085" s="2" t="s">
        <v>2529</v>
      </c>
      <c r="F2085" s="3">
        <v>26160</v>
      </c>
      <c r="G2085" s="3">
        <v>2227</v>
      </c>
      <c r="H2085" s="3">
        <v>140</v>
      </c>
      <c r="I2085" s="4">
        <v>2223.4899999999998</v>
      </c>
      <c r="J2085" s="4">
        <v>5601.31</v>
      </c>
      <c r="K2085" s="3">
        <v>68</v>
      </c>
      <c r="L2085" s="2" t="s">
        <v>2518</v>
      </c>
      <c r="M2085" s="2" t="s">
        <v>2524</v>
      </c>
      <c r="N2085" s="8">
        <f>IFERROR(G2085/F2085,0)</f>
        <v>8.5129969418960241E-2</v>
      </c>
      <c r="O2085" s="8">
        <f>IFERROR(H2085/G2085,0)</f>
        <v>6.2864840592725638E-2</v>
      </c>
      <c r="P2085" s="4">
        <f>IFERROR(I2085/G2085,0)</f>
        <v>0.99842388863942511</v>
      </c>
      <c r="Q2085" s="4">
        <f>IFERROR(I2085/H2085,0)</f>
        <v>15.882071428571427</v>
      </c>
      <c r="R2085" s="12">
        <f>IFERROR(J2085/I2085,0)</f>
        <v>2.5191523235993869</v>
      </c>
      <c r="S2085" s="7">
        <f>Tabla_nuevas_columnas[[#This Row],[ROAS]]</f>
        <v>2.5191523235993869</v>
      </c>
      <c r="T2085" t="str">
        <f>_xlfn.CONCAT(C2085,"-",D2085)</f>
        <v>Paid Social-Portugal</v>
      </c>
      <c r="U2085">
        <f>YEAR(A2085)</f>
        <v>2025</v>
      </c>
      <c r="V2085">
        <f>MONTH(A2085)</f>
        <v>7</v>
      </c>
      <c r="W2085" t="str">
        <f>PROPER(TEXT(A2085,"mmmm"))</f>
        <v>Julio</v>
      </c>
      <c r="X2085" t="str">
        <f>PROPER(TEXT(A2085,"dddd"))</f>
        <v>Miércoles</v>
      </c>
      <c r="Y2085" t="str" cm="1">
        <f t="array" ref="Y2085">_xlfn.IFS(R2085&gt;10,"Excelente",R2085&gt;=5,"Bueno",R2085&gt;=2,"Débil",R2085&lt;2,"Deficiente")</f>
        <v>Débil</v>
      </c>
      <c r="Z2085" t="str">
        <f>IF(AND(R2085&lt;2,Q2085&gt;=100),"Revisar","OK")</f>
        <v>OK</v>
      </c>
      <c r="AA2085" s="55">
        <f>_xlfn.XLOOKUP(C2085,'Preguntas de negocio'!$C$114:$C$119,'Preguntas de negocio'!$D$114:$D$119,0)</f>
        <v>6</v>
      </c>
      <c r="AB2085" s="55">
        <f>VLOOKUP(C2085,'Preguntas de negocio'!$C$121:$D$127,2,FALSE)</f>
        <v>0.8</v>
      </c>
    </row>
    <row r="2086" spans="1:28" x14ac:dyDescent="0.3">
      <c r="A2086" s="1">
        <v>45797</v>
      </c>
      <c r="B2086" s="2" t="s">
        <v>2636</v>
      </c>
      <c r="C2086" s="2" t="s">
        <v>2533</v>
      </c>
      <c r="D2086" s="2" t="s">
        <v>2528</v>
      </c>
      <c r="E2086" s="2" t="s">
        <v>2517</v>
      </c>
      <c r="F2086" s="3">
        <v>116991</v>
      </c>
      <c r="G2086" s="3">
        <v>3677</v>
      </c>
      <c r="H2086" s="3">
        <v>36</v>
      </c>
      <c r="I2086" s="4">
        <v>4326.6000000000004</v>
      </c>
      <c r="J2086" s="4">
        <v>3450.16</v>
      </c>
      <c r="K2086" s="3">
        <v>22</v>
      </c>
      <c r="L2086" s="2" t="s">
        <v>2536</v>
      </c>
      <c r="M2086" s="2" t="s">
        <v>2519</v>
      </c>
      <c r="N2086" s="8">
        <f>IFERROR(G2086/F2086,0)</f>
        <v>3.1429768101819799E-2</v>
      </c>
      <c r="O2086" s="8">
        <f>IFERROR(H2086/G2086,0)</f>
        <v>9.7905901550176776E-3</v>
      </c>
      <c r="P2086" s="4">
        <f>IFERROR(I2086/G2086,0)</f>
        <v>1.1766657601305412</v>
      </c>
      <c r="Q2086" s="4">
        <f>IFERROR(I2086/H2086,0)</f>
        <v>120.18333333333334</v>
      </c>
      <c r="R2086" s="12">
        <f>IFERROR(J2086/I2086,0)</f>
        <v>0.79742985254010068</v>
      </c>
      <c r="S2086" s="7">
        <f>Tabla_nuevas_columnas[[#This Row],[ROAS]]</f>
        <v>0.79742985254010068</v>
      </c>
      <c r="T2086" t="str">
        <f>_xlfn.CONCAT(C2086,"-",D2086)</f>
        <v>Paid Social-España</v>
      </c>
      <c r="U2086">
        <f>YEAR(A2086)</f>
        <v>2025</v>
      </c>
      <c r="V2086">
        <f>MONTH(A2086)</f>
        <v>5</v>
      </c>
      <c r="W2086" t="str">
        <f>PROPER(TEXT(A2086,"mmmm"))</f>
        <v>Mayo</v>
      </c>
      <c r="X2086" t="str">
        <f>PROPER(TEXT(A2086,"dddd"))</f>
        <v>Martes</v>
      </c>
      <c r="Y2086" t="str" cm="1">
        <f t="array" ref="Y2086">_xlfn.IFS(R2086&gt;10,"Excelente",R2086&gt;=5,"Bueno",R2086&gt;=2,"Débil",R2086&lt;2,"Deficiente")</f>
        <v>Deficiente</v>
      </c>
      <c r="Z2086" t="str">
        <f>IF(AND(R2086&lt;2,Q2086&gt;=100),"Revisar","OK")</f>
        <v>Revisar</v>
      </c>
      <c r="AA2086" s="55">
        <f>_xlfn.XLOOKUP(C2086,'Preguntas de negocio'!$C$114:$C$119,'Preguntas de negocio'!$D$114:$D$119,0)</f>
        <v>6</v>
      </c>
      <c r="AB2086" s="55">
        <f>VLOOKUP(C2086,'Preguntas de negocio'!$C$121:$D$127,2,FALSE)</f>
        <v>0.8</v>
      </c>
    </row>
    <row r="2087" spans="1:28" x14ac:dyDescent="0.3">
      <c r="A2087" s="1">
        <v>45902</v>
      </c>
      <c r="B2087" s="2" t="s">
        <v>2621</v>
      </c>
      <c r="C2087" s="2" t="s">
        <v>2527</v>
      </c>
      <c r="D2087" s="2" t="s">
        <v>2528</v>
      </c>
      <c r="E2087" s="2" t="s">
        <v>2529</v>
      </c>
      <c r="F2087" s="3">
        <v>68305</v>
      </c>
      <c r="G2087" s="3">
        <v>3598</v>
      </c>
      <c r="H2087" s="3">
        <v>68</v>
      </c>
      <c r="I2087" s="4">
        <v>6860.89</v>
      </c>
      <c r="J2087" s="4">
        <v>6713.7</v>
      </c>
      <c r="K2087" s="3">
        <v>35</v>
      </c>
      <c r="L2087" s="2" t="s">
        <v>2536</v>
      </c>
      <c r="M2087" s="2" t="s">
        <v>2546</v>
      </c>
      <c r="N2087" s="8">
        <f>IFERROR(G2087/F2087,0)</f>
        <v>5.2675499597394045E-2</v>
      </c>
      <c r="O2087" s="8">
        <f>IFERROR(H2087/G2087,0)</f>
        <v>1.8899388549193995E-2</v>
      </c>
      <c r="P2087" s="4">
        <f>IFERROR(I2087/G2087,0)</f>
        <v>1.9068621456364647</v>
      </c>
      <c r="Q2087" s="4">
        <f>IFERROR(I2087/H2087,0)</f>
        <v>100.8954411764706</v>
      </c>
      <c r="R2087" s="12">
        <f>IFERROR(J2087/I2087,0)</f>
        <v>0.97854651510226798</v>
      </c>
      <c r="S2087" s="7">
        <f>Tabla_nuevas_columnas[[#This Row],[ROAS]]</f>
        <v>0.97854651510226798</v>
      </c>
      <c r="T2087" t="str">
        <f>_xlfn.CONCAT(C2087,"-",D2087)</f>
        <v>Affiliate-España</v>
      </c>
      <c r="U2087">
        <f>YEAR(A2087)</f>
        <v>2025</v>
      </c>
      <c r="V2087">
        <f>MONTH(A2087)</f>
        <v>9</v>
      </c>
      <c r="W2087" t="str">
        <f>PROPER(TEXT(A2087,"mmmm"))</f>
        <v>Septiembre</v>
      </c>
      <c r="X2087" t="str">
        <f>PROPER(TEXT(A2087,"dddd"))</f>
        <v>Martes</v>
      </c>
      <c r="Y2087" t="str" cm="1">
        <f t="array" ref="Y2087">_xlfn.IFS(R2087&gt;10,"Excelente",R2087&gt;=5,"Bueno",R2087&gt;=2,"Débil",R2087&lt;2,"Deficiente")</f>
        <v>Deficiente</v>
      </c>
      <c r="Z2087" t="str">
        <f>IF(AND(R2087&lt;2,Q2087&gt;=100),"Revisar","OK")</f>
        <v>Revisar</v>
      </c>
      <c r="AA2087" s="55">
        <f>_xlfn.XLOOKUP(C2087,'Preguntas de negocio'!$C$114:$C$119,'Preguntas de negocio'!$D$114:$D$119,0)</f>
        <v>4.5</v>
      </c>
      <c r="AB2087" s="55">
        <f>VLOOKUP(C2087,'Preguntas de negocio'!$C$121:$D$127,2,FALSE)</f>
        <v>0.35</v>
      </c>
    </row>
    <row r="2088" spans="1:28" x14ac:dyDescent="0.3">
      <c r="A2088" s="1">
        <v>45713</v>
      </c>
      <c r="B2088" s="2" t="s">
        <v>2615</v>
      </c>
      <c r="C2088" s="2" t="s">
        <v>2541</v>
      </c>
      <c r="D2088" s="2" t="s">
        <v>2516</v>
      </c>
      <c r="E2088" s="2" t="s">
        <v>2529</v>
      </c>
      <c r="F2088" s="3">
        <v>85214</v>
      </c>
      <c r="G2088" s="3">
        <v>2819</v>
      </c>
      <c r="H2088" s="3">
        <v>76</v>
      </c>
      <c r="I2088" s="4">
        <v>5775.02</v>
      </c>
      <c r="J2088" s="4">
        <v>2608.8000000000002</v>
      </c>
      <c r="K2088" s="3">
        <v>39</v>
      </c>
      <c r="L2088" s="2" t="s">
        <v>2518</v>
      </c>
      <c r="M2088" s="2" t="s">
        <v>2546</v>
      </c>
      <c r="N2088" s="8">
        <f>IFERROR(G2088/F2088,0)</f>
        <v>3.308141854624827E-2</v>
      </c>
      <c r="O2088" s="8">
        <f>IFERROR(H2088/G2088,0)</f>
        <v>2.6959914863426748E-2</v>
      </c>
      <c r="P2088" s="4">
        <f>IFERROR(I2088/G2088,0)</f>
        <v>2.0486058886129834</v>
      </c>
      <c r="Q2088" s="4">
        <f>IFERROR(I2088/H2088,0)</f>
        <v>75.9871052631579</v>
      </c>
      <c r="R2088" s="12">
        <f>IFERROR(J2088/I2088,0)</f>
        <v>0.45173869527724581</v>
      </c>
      <c r="S2088" s="7">
        <f>Tabla_nuevas_columnas[[#This Row],[ROAS]]</f>
        <v>0.45173869527724581</v>
      </c>
      <c r="T2088" t="str">
        <f>_xlfn.CONCAT(C2088,"-",D2088)</f>
        <v>Display-México</v>
      </c>
      <c r="U2088">
        <f>YEAR(A2088)</f>
        <v>2025</v>
      </c>
      <c r="V2088">
        <f>MONTH(A2088)</f>
        <v>2</v>
      </c>
      <c r="W2088" t="str">
        <f>PROPER(TEXT(A2088,"mmmm"))</f>
        <v>Febrero</v>
      </c>
      <c r="X2088" t="str">
        <f>PROPER(TEXT(A2088,"dddd"))</f>
        <v>Martes</v>
      </c>
      <c r="Y2088" t="str" cm="1">
        <f t="array" ref="Y2088">_xlfn.IFS(R2088&gt;10,"Excelente",R2088&gt;=5,"Bueno",R2088&gt;=2,"Débil",R2088&lt;2,"Deficiente")</f>
        <v>Deficiente</v>
      </c>
      <c r="Z2088" t="str">
        <f>IF(AND(R2088&lt;2,Q2088&gt;=100),"Revisar","OK")</f>
        <v>OK</v>
      </c>
      <c r="AA2088" s="55">
        <f>_xlfn.XLOOKUP(C2088,'Preguntas de negocio'!$C$114:$C$119,'Preguntas de negocio'!$D$114:$D$119,0)</f>
        <v>5</v>
      </c>
      <c r="AB2088" s="55">
        <f>VLOOKUP(C2088,'Preguntas de negocio'!$C$121:$D$127,2,FALSE)</f>
        <v>0.5</v>
      </c>
    </row>
    <row r="2089" spans="1:28" x14ac:dyDescent="0.3">
      <c r="A2089" s="1">
        <v>46018</v>
      </c>
      <c r="B2089" s="2" t="s">
        <v>2630</v>
      </c>
      <c r="C2089" s="2" t="s">
        <v>2515</v>
      </c>
      <c r="D2089" s="2" t="s">
        <v>2525</v>
      </c>
      <c r="E2089" s="2" t="s">
        <v>2517</v>
      </c>
      <c r="F2089" s="3">
        <v>57983</v>
      </c>
      <c r="G2089" s="3">
        <v>2757</v>
      </c>
      <c r="H2089" s="3">
        <v>248</v>
      </c>
      <c r="I2089" s="4">
        <v>5114.08</v>
      </c>
      <c r="J2089" s="4">
        <v>24256.77</v>
      </c>
      <c r="K2089" s="3">
        <v>133</v>
      </c>
      <c r="L2089" s="2" t="s">
        <v>2518</v>
      </c>
      <c r="M2089" s="2" t="s">
        <v>2524</v>
      </c>
      <c r="N2089" s="8">
        <f>IFERROR(G2089/F2089,0)</f>
        <v>4.7548419364296435E-2</v>
      </c>
      <c r="O2089" s="8">
        <f>IFERROR(H2089/G2089,0)</f>
        <v>8.995284729778745E-2</v>
      </c>
      <c r="P2089" s="4">
        <f>IFERROR(I2089/G2089,0)</f>
        <v>1.8549437794704389</v>
      </c>
      <c r="Q2089" s="4">
        <f>IFERROR(I2089/H2089,0)</f>
        <v>20.621290322580645</v>
      </c>
      <c r="R2089" s="12">
        <f>IFERROR(J2089/I2089,0)</f>
        <v>4.7431346400525607</v>
      </c>
      <c r="S2089" s="7">
        <f>Tabla_nuevas_columnas[[#This Row],[ROAS]]</f>
        <v>4.7431346400525607</v>
      </c>
      <c r="T2089" t="str">
        <f>_xlfn.CONCAT(C2089,"-",D2089)</f>
        <v>Email-Francia</v>
      </c>
      <c r="U2089">
        <f>YEAR(A2089)</f>
        <v>2025</v>
      </c>
      <c r="V2089">
        <f>MONTH(A2089)</f>
        <v>12</v>
      </c>
      <c r="W2089" t="str">
        <f>PROPER(TEXT(A2089,"mmmm"))</f>
        <v>Diciembre</v>
      </c>
      <c r="X2089" t="str">
        <f>PROPER(TEXT(A2089,"dddd"))</f>
        <v>Sábado</v>
      </c>
      <c r="Y2089" t="str" cm="1">
        <f t="array" ref="Y2089">_xlfn.IFS(R2089&gt;10,"Excelente",R2089&gt;=5,"Bueno",R2089&gt;=2,"Débil",R2089&lt;2,"Deficiente")</f>
        <v>Débil</v>
      </c>
      <c r="Z2089" t="str">
        <f>IF(AND(R2089&lt;2,Q2089&gt;=100),"Revisar","OK")</f>
        <v>OK</v>
      </c>
      <c r="AA2089" s="55">
        <f>_xlfn.XLOOKUP(C2089,'Preguntas de negocio'!$C$114:$C$119,'Preguntas de negocio'!$D$114:$D$119,0)</f>
        <v>5.5</v>
      </c>
      <c r="AB2089" s="55">
        <f>VLOOKUP(C2089,'Preguntas de negocio'!$C$121:$D$127,2,FALSE)</f>
        <v>0.65</v>
      </c>
    </row>
    <row r="2090" spans="1:28" x14ac:dyDescent="0.3">
      <c r="A2090" s="1">
        <v>45730</v>
      </c>
      <c r="B2090" s="2" t="s">
        <v>2638</v>
      </c>
      <c r="C2090" s="2" t="s">
        <v>2543</v>
      </c>
      <c r="D2090" s="2" t="s">
        <v>2525</v>
      </c>
      <c r="E2090" s="2" t="s">
        <v>2529</v>
      </c>
      <c r="F2090" s="3">
        <v>175397</v>
      </c>
      <c r="G2090" s="3">
        <v>15195</v>
      </c>
      <c r="H2090" s="3">
        <v>1073</v>
      </c>
      <c r="I2090" s="4">
        <v>29749.360000000001</v>
      </c>
      <c r="J2090" s="4">
        <v>162478.39000000001</v>
      </c>
      <c r="K2090" s="3">
        <v>673</v>
      </c>
      <c r="L2090" s="2" t="s">
        <v>2539</v>
      </c>
      <c r="M2090" s="2" t="s">
        <v>2526</v>
      </c>
      <c r="N2090" s="8">
        <f>IFERROR(G2090/F2090,0)</f>
        <v>8.6632040456792306E-2</v>
      </c>
      <c r="O2090" s="8">
        <f>IFERROR(H2090/G2090,0)</f>
        <v>7.0615333991444554E-2</v>
      </c>
      <c r="P2090" s="4">
        <f>IFERROR(I2090/G2090,0)</f>
        <v>1.9578387627509048</v>
      </c>
      <c r="Q2090" s="4">
        <f>IFERROR(I2090/H2090,0)</f>
        <v>27.725405405405407</v>
      </c>
      <c r="R2090" s="12">
        <f>IFERROR(J2090/I2090,0)</f>
        <v>5.4615759801219257</v>
      </c>
      <c r="S2090" s="7">
        <f>Tabla_nuevas_columnas[[#This Row],[ROAS]]</f>
        <v>5.4615759801219257</v>
      </c>
      <c r="T2090" t="str">
        <f>_xlfn.CONCAT(C2090,"-",D2090)</f>
        <v>Organic Social-Francia</v>
      </c>
      <c r="U2090">
        <f>YEAR(A2090)</f>
        <v>2025</v>
      </c>
      <c r="V2090">
        <f>MONTH(A2090)</f>
        <v>3</v>
      </c>
      <c r="W2090" t="str">
        <f>PROPER(TEXT(A2090,"mmmm"))</f>
        <v>Marzo</v>
      </c>
      <c r="X2090" t="str">
        <f>PROPER(TEXT(A2090,"dddd"))</f>
        <v>Viernes</v>
      </c>
      <c r="Y2090" t="str" cm="1">
        <f t="array" ref="Y2090">_xlfn.IFS(R2090&gt;10,"Excelente",R2090&gt;=5,"Bueno",R2090&gt;=2,"Débil",R2090&lt;2,"Deficiente")</f>
        <v>Bueno</v>
      </c>
      <c r="Z2090" t="str">
        <f>IF(AND(R2090&lt;2,Q2090&gt;=100),"Revisar","OK")</f>
        <v>OK</v>
      </c>
      <c r="AA2090" s="55">
        <f>_xlfn.XLOOKUP(C2090,'Preguntas de negocio'!$C$114:$C$119,'Preguntas de negocio'!$D$114:$D$119,0)</f>
        <v>4</v>
      </c>
      <c r="AB2090" s="55">
        <f>VLOOKUP(C2090,'Preguntas de negocio'!$C$121:$D$127,2,FALSE)</f>
        <v>0.95</v>
      </c>
    </row>
    <row r="2091" spans="1:28" x14ac:dyDescent="0.3">
      <c r="A2091" s="1">
        <v>45744</v>
      </c>
      <c r="B2091" s="2" t="s">
        <v>2635</v>
      </c>
      <c r="C2091" s="2" t="s">
        <v>2521</v>
      </c>
      <c r="D2091" s="2" t="s">
        <v>2525</v>
      </c>
      <c r="E2091" s="2" t="s">
        <v>2529</v>
      </c>
      <c r="F2091" s="3">
        <v>9244</v>
      </c>
      <c r="G2091" s="3">
        <v>527</v>
      </c>
      <c r="H2091" s="3">
        <v>22</v>
      </c>
      <c r="I2091" s="4">
        <v>294.24</v>
      </c>
      <c r="J2091" s="4">
        <v>3608.86</v>
      </c>
      <c r="K2091" s="3">
        <v>17</v>
      </c>
      <c r="L2091" s="2" t="s">
        <v>2536</v>
      </c>
      <c r="M2091" s="2" t="s">
        <v>2537</v>
      </c>
      <c r="N2091" s="8">
        <f>IFERROR(G2091/F2091,0)</f>
        <v>5.7009952401557769E-2</v>
      </c>
      <c r="O2091" s="8">
        <f>IFERROR(H2091/G2091,0)</f>
        <v>4.1745730550284632E-2</v>
      </c>
      <c r="P2091" s="4">
        <f>IFERROR(I2091/G2091,0)</f>
        <v>0.55833017077798863</v>
      </c>
      <c r="Q2091" s="4">
        <f>IFERROR(I2091/H2091,0)</f>
        <v>13.374545454545455</v>
      </c>
      <c r="R2091" s="12">
        <f>IFERROR(J2091/I2091,0)</f>
        <v>12.265021750951604</v>
      </c>
      <c r="S2091" s="7">
        <f>Tabla_nuevas_columnas[[#This Row],[ROAS]]</f>
        <v>12.265021750951604</v>
      </c>
      <c r="T2091" t="str">
        <f>_xlfn.CONCAT(C2091,"-",D2091)</f>
        <v>Paid Search-Francia</v>
      </c>
      <c r="U2091">
        <f>YEAR(A2091)</f>
        <v>2025</v>
      </c>
      <c r="V2091">
        <f>MONTH(A2091)</f>
        <v>3</v>
      </c>
      <c r="W2091" t="str">
        <f>PROPER(TEXT(A2091,"mmmm"))</f>
        <v>Marzo</v>
      </c>
      <c r="X2091" t="str">
        <f>PROPER(TEXT(A2091,"dddd"))</f>
        <v>Viernes</v>
      </c>
      <c r="Y2091" t="str" cm="1">
        <f t="array" ref="Y2091">_xlfn.IFS(R2091&gt;10,"Excelente",R2091&gt;=5,"Bueno",R2091&gt;=2,"Débil",R2091&lt;2,"Deficiente")</f>
        <v>Excelente</v>
      </c>
      <c r="Z2091" t="str">
        <f>IF(AND(R2091&lt;2,Q2091&gt;=100),"Revisar","OK")</f>
        <v>OK</v>
      </c>
      <c r="AA2091" s="55">
        <f>_xlfn.XLOOKUP(C2091,'Preguntas de negocio'!$C$114:$C$119,'Preguntas de negocio'!$D$114:$D$119,0)</f>
        <v>5</v>
      </c>
      <c r="AB2091" s="55">
        <f>VLOOKUP(C2091,'Preguntas de negocio'!$C$121:$D$127,2,FALSE)</f>
        <v>1.1000000000000001</v>
      </c>
    </row>
    <row r="2092" spans="1:28" x14ac:dyDescent="0.3">
      <c r="A2092" s="1">
        <v>45955</v>
      </c>
      <c r="B2092" s="2" t="s">
        <v>2639</v>
      </c>
      <c r="C2092" s="2" t="s">
        <v>2541</v>
      </c>
      <c r="D2092" s="2" t="s">
        <v>2531</v>
      </c>
      <c r="E2092" s="2" t="s">
        <v>2517</v>
      </c>
      <c r="F2092" s="3">
        <v>91158</v>
      </c>
      <c r="G2092" s="3">
        <v>1012</v>
      </c>
      <c r="H2092" s="3">
        <v>127</v>
      </c>
      <c r="I2092" s="4">
        <v>1820.13</v>
      </c>
      <c r="J2092" s="4">
        <v>25754.37</v>
      </c>
      <c r="K2092" s="3">
        <v>71</v>
      </c>
      <c r="L2092" s="2" t="s">
        <v>2536</v>
      </c>
      <c r="M2092" s="2" t="s">
        <v>2524</v>
      </c>
      <c r="N2092" s="8">
        <f>IFERROR(G2092/F2092,0)</f>
        <v>1.1101603808771584E-2</v>
      </c>
      <c r="O2092" s="8">
        <f>IFERROR(H2092/G2092,0)</f>
        <v>0.12549407114624506</v>
      </c>
      <c r="P2092" s="4">
        <f>IFERROR(I2092/G2092,0)</f>
        <v>1.7985474308300395</v>
      </c>
      <c r="Q2092" s="4">
        <f>IFERROR(I2092/H2092,0)</f>
        <v>14.331732283464568</v>
      </c>
      <c r="R2092" s="12">
        <f>IFERROR(J2092/I2092,0)</f>
        <v>14.149742051391932</v>
      </c>
      <c r="S2092" s="7">
        <f>Tabla_nuevas_columnas[[#This Row],[ROAS]]</f>
        <v>14.149742051391932</v>
      </c>
      <c r="T2092" t="str">
        <f>_xlfn.CONCAT(C2092,"-",D2092)</f>
        <v>Display-Portugal</v>
      </c>
      <c r="U2092">
        <f>YEAR(A2092)</f>
        <v>2025</v>
      </c>
      <c r="V2092">
        <f>MONTH(A2092)</f>
        <v>10</v>
      </c>
      <c r="W2092" t="str">
        <f>PROPER(TEXT(A2092,"mmmm"))</f>
        <v>Octubre</v>
      </c>
      <c r="X2092" t="str">
        <f>PROPER(TEXT(A2092,"dddd"))</f>
        <v>Sábado</v>
      </c>
      <c r="Y2092" t="str" cm="1">
        <f t="array" ref="Y2092">_xlfn.IFS(R2092&gt;10,"Excelente",R2092&gt;=5,"Bueno",R2092&gt;=2,"Débil",R2092&lt;2,"Deficiente")</f>
        <v>Excelente</v>
      </c>
      <c r="Z2092" t="str">
        <f>IF(AND(R2092&lt;2,Q2092&gt;=100),"Revisar","OK")</f>
        <v>OK</v>
      </c>
      <c r="AA2092" s="55">
        <f>_xlfn.XLOOKUP(C2092,'Preguntas de negocio'!$C$114:$C$119,'Preguntas de negocio'!$D$114:$D$119,0)</f>
        <v>5</v>
      </c>
      <c r="AB2092" s="55">
        <f>VLOOKUP(C2092,'Preguntas de negocio'!$C$121:$D$127,2,FALSE)</f>
        <v>0.5</v>
      </c>
    </row>
    <row r="2093" spans="1:28" x14ac:dyDescent="0.3">
      <c r="A2093" s="1">
        <v>45730</v>
      </c>
      <c r="B2093" s="2" t="s">
        <v>2644</v>
      </c>
      <c r="C2093" s="2" t="s">
        <v>2527</v>
      </c>
      <c r="D2093" s="2" t="s">
        <v>2528</v>
      </c>
      <c r="E2093" s="2" t="s">
        <v>2529</v>
      </c>
      <c r="F2093" s="3">
        <v>53224</v>
      </c>
      <c r="G2093" s="3">
        <v>2096</v>
      </c>
      <c r="H2093" s="3">
        <v>93</v>
      </c>
      <c r="I2093" s="4">
        <v>4157.59</v>
      </c>
      <c r="J2093" s="4">
        <v>5710.81</v>
      </c>
      <c r="K2093" s="3">
        <v>75</v>
      </c>
      <c r="L2093" s="2" t="s">
        <v>2536</v>
      </c>
      <c r="M2093" s="2" t="s">
        <v>2537</v>
      </c>
      <c r="N2093" s="8">
        <f>IFERROR(G2093/F2093,0)</f>
        <v>3.9380730497519917E-2</v>
      </c>
      <c r="O2093" s="8">
        <f>IFERROR(H2093/G2093,0)</f>
        <v>4.4370229007633585E-2</v>
      </c>
      <c r="P2093" s="4">
        <f>IFERROR(I2093/G2093,0)</f>
        <v>1.9835830152671756</v>
      </c>
      <c r="Q2093" s="4">
        <f>IFERROR(I2093/H2093,0)</f>
        <v>44.705268817204299</v>
      </c>
      <c r="R2093" s="12">
        <f>IFERROR(J2093/I2093,0)</f>
        <v>1.3735866210953942</v>
      </c>
      <c r="S2093" s="7">
        <f>Tabla_nuevas_columnas[[#This Row],[ROAS]]</f>
        <v>1.3735866210953942</v>
      </c>
      <c r="T2093" t="str">
        <f>_xlfn.CONCAT(C2093,"-",D2093)</f>
        <v>Affiliate-España</v>
      </c>
      <c r="U2093">
        <f>YEAR(A2093)</f>
        <v>2025</v>
      </c>
      <c r="V2093">
        <f>MONTH(A2093)</f>
        <v>3</v>
      </c>
      <c r="W2093" t="str">
        <f>PROPER(TEXT(A2093,"mmmm"))</f>
        <v>Marzo</v>
      </c>
      <c r="X2093" t="str">
        <f>PROPER(TEXT(A2093,"dddd"))</f>
        <v>Viernes</v>
      </c>
      <c r="Y2093" t="str" cm="1">
        <f t="array" ref="Y2093">_xlfn.IFS(R2093&gt;10,"Excelente",R2093&gt;=5,"Bueno",R2093&gt;=2,"Débil",R2093&lt;2,"Deficiente")</f>
        <v>Deficiente</v>
      </c>
      <c r="Z2093" t="str">
        <f>IF(AND(R2093&lt;2,Q2093&gt;=100),"Revisar","OK")</f>
        <v>OK</v>
      </c>
      <c r="AA2093" s="55">
        <f>_xlfn.XLOOKUP(C2093,'Preguntas de negocio'!$C$114:$C$119,'Preguntas de negocio'!$D$114:$D$119,0)</f>
        <v>4.5</v>
      </c>
      <c r="AB2093" s="55">
        <f>VLOOKUP(C2093,'Preguntas de negocio'!$C$121:$D$127,2,FALSE)</f>
        <v>0.35</v>
      </c>
    </row>
    <row r="2094" spans="1:28" x14ac:dyDescent="0.3">
      <c r="A2094" s="1">
        <v>45827</v>
      </c>
      <c r="B2094" s="2" t="s">
        <v>2630</v>
      </c>
      <c r="C2094" s="2" t="s">
        <v>2521</v>
      </c>
      <c r="D2094" s="2" t="s">
        <v>2525</v>
      </c>
      <c r="E2094" s="2" t="s">
        <v>2517</v>
      </c>
      <c r="F2094" s="3">
        <v>156433</v>
      </c>
      <c r="G2094" s="3">
        <v>12906</v>
      </c>
      <c r="H2094" s="3">
        <v>1134</v>
      </c>
      <c r="I2094" s="4">
        <v>11515.33</v>
      </c>
      <c r="J2094" s="4">
        <v>30592.76</v>
      </c>
      <c r="K2094" s="3">
        <v>881</v>
      </c>
      <c r="L2094" s="2" t="s">
        <v>2518</v>
      </c>
      <c r="M2094" s="2" t="s">
        <v>2519</v>
      </c>
      <c r="N2094" s="8">
        <f>IFERROR(G2094/F2094,0)</f>
        <v>8.2501773922382102E-2</v>
      </c>
      <c r="O2094" s="8">
        <f>IFERROR(H2094/G2094,0)</f>
        <v>8.7866108786610872E-2</v>
      </c>
      <c r="P2094" s="4">
        <f>IFERROR(I2094/G2094,0)</f>
        <v>0.89224624205795755</v>
      </c>
      <c r="Q2094" s="4">
        <f>IFERROR(I2094/H2094,0)</f>
        <v>10.154611992945327</v>
      </c>
      <c r="R2094" s="12">
        <f>IFERROR(J2094/I2094,0)</f>
        <v>2.6566985053836927</v>
      </c>
      <c r="S2094" s="7">
        <f>Tabla_nuevas_columnas[[#This Row],[ROAS]]</f>
        <v>2.6566985053836927</v>
      </c>
      <c r="T2094" t="str">
        <f>_xlfn.CONCAT(C2094,"-",D2094)</f>
        <v>Paid Search-Francia</v>
      </c>
      <c r="U2094">
        <f>YEAR(A2094)</f>
        <v>2025</v>
      </c>
      <c r="V2094">
        <f>MONTH(A2094)</f>
        <v>6</v>
      </c>
      <c r="W2094" t="str">
        <f>PROPER(TEXT(A2094,"mmmm"))</f>
        <v>Junio</v>
      </c>
      <c r="X2094" t="str">
        <f>PROPER(TEXT(A2094,"dddd"))</f>
        <v>Jueves</v>
      </c>
      <c r="Y2094" t="str" cm="1">
        <f t="array" ref="Y2094">_xlfn.IFS(R2094&gt;10,"Excelente",R2094&gt;=5,"Bueno",R2094&gt;=2,"Débil",R2094&lt;2,"Deficiente")</f>
        <v>Débil</v>
      </c>
      <c r="Z2094" t="str">
        <f>IF(AND(R2094&lt;2,Q2094&gt;=100),"Revisar","OK")</f>
        <v>OK</v>
      </c>
      <c r="AA2094" s="55">
        <f>_xlfn.XLOOKUP(C2094,'Preguntas de negocio'!$C$114:$C$119,'Preguntas de negocio'!$D$114:$D$119,0)</f>
        <v>5</v>
      </c>
      <c r="AB2094" s="55">
        <f>VLOOKUP(C2094,'Preguntas de negocio'!$C$121:$D$127,2,FALSE)</f>
        <v>1.1000000000000001</v>
      </c>
    </row>
    <row r="2095" spans="1:28" x14ac:dyDescent="0.3">
      <c r="A2095" s="1">
        <v>45824</v>
      </c>
      <c r="B2095" s="2" t="s">
        <v>2632</v>
      </c>
      <c r="C2095" s="2" t="s">
        <v>2543</v>
      </c>
      <c r="D2095" s="2" t="s">
        <v>2531</v>
      </c>
      <c r="E2095" s="2" t="s">
        <v>2534</v>
      </c>
      <c r="F2095" s="3">
        <v>84387</v>
      </c>
      <c r="G2095" s="3">
        <v>4921</v>
      </c>
      <c r="H2095" s="3">
        <v>92</v>
      </c>
      <c r="I2095" s="4">
        <v>9780.67</v>
      </c>
      <c r="J2095" s="4">
        <v>6261.48</v>
      </c>
      <c r="K2095" s="3">
        <v>49</v>
      </c>
      <c r="L2095" s="2" t="s">
        <v>2518</v>
      </c>
      <c r="M2095" s="2" t="s">
        <v>2537</v>
      </c>
      <c r="N2095" s="8">
        <f>IFERROR(G2095/F2095,0)</f>
        <v>5.8314669321103962E-2</v>
      </c>
      <c r="O2095" s="8">
        <f>IFERROR(H2095/G2095,0)</f>
        <v>1.8695387116439748E-2</v>
      </c>
      <c r="P2095" s="4">
        <f>IFERROR(I2095/G2095,0)</f>
        <v>1.9875370859581385</v>
      </c>
      <c r="Q2095" s="4">
        <f>IFERROR(I2095/H2095,0)</f>
        <v>106.31163043478261</v>
      </c>
      <c r="R2095" s="12">
        <f>IFERROR(J2095/I2095,0)</f>
        <v>0.64018927128714076</v>
      </c>
      <c r="S2095" s="7">
        <f>Tabla_nuevas_columnas[[#This Row],[ROAS]]</f>
        <v>0.64018927128714076</v>
      </c>
      <c r="T2095" t="str">
        <f>_xlfn.CONCAT(C2095,"-",D2095)</f>
        <v>Organic Social-Portugal</v>
      </c>
      <c r="U2095">
        <f>YEAR(A2095)</f>
        <v>2025</v>
      </c>
      <c r="V2095">
        <f>MONTH(A2095)</f>
        <v>6</v>
      </c>
      <c r="W2095" t="str">
        <f>PROPER(TEXT(A2095,"mmmm"))</f>
        <v>Junio</v>
      </c>
      <c r="X2095" t="str">
        <f>PROPER(TEXT(A2095,"dddd"))</f>
        <v>Lunes</v>
      </c>
      <c r="Y2095" t="str" cm="1">
        <f t="array" ref="Y2095">_xlfn.IFS(R2095&gt;10,"Excelente",R2095&gt;=5,"Bueno",R2095&gt;=2,"Débil",R2095&lt;2,"Deficiente")</f>
        <v>Deficiente</v>
      </c>
      <c r="Z2095" t="str">
        <f>IF(AND(R2095&lt;2,Q2095&gt;=100),"Revisar","OK")</f>
        <v>Revisar</v>
      </c>
      <c r="AA2095" s="55">
        <f>_xlfn.XLOOKUP(C2095,'Preguntas de negocio'!$C$114:$C$119,'Preguntas de negocio'!$D$114:$D$119,0)</f>
        <v>4</v>
      </c>
      <c r="AB2095" s="55">
        <f>VLOOKUP(C2095,'Preguntas de negocio'!$C$121:$D$127,2,FALSE)</f>
        <v>0.95</v>
      </c>
    </row>
    <row r="2096" spans="1:28" x14ac:dyDescent="0.3">
      <c r="A2096" s="1">
        <v>45723</v>
      </c>
      <c r="B2096" s="2" t="s">
        <v>2642</v>
      </c>
      <c r="C2096" s="2" t="s">
        <v>2521</v>
      </c>
      <c r="D2096" s="2" t="s">
        <v>2528</v>
      </c>
      <c r="E2096" s="2" t="s">
        <v>2517</v>
      </c>
      <c r="F2096" s="3">
        <v>8364</v>
      </c>
      <c r="G2096" s="3">
        <v>123</v>
      </c>
      <c r="H2096" s="3">
        <v>9</v>
      </c>
      <c r="I2096" s="4">
        <v>71.52</v>
      </c>
      <c r="J2096" s="4">
        <v>253.81</v>
      </c>
      <c r="K2096" s="3">
        <v>6</v>
      </c>
      <c r="L2096" s="2" t="s">
        <v>2518</v>
      </c>
      <c r="M2096" s="2" t="s">
        <v>2546</v>
      </c>
      <c r="N2096" s="8">
        <f>IFERROR(G2096/F2096,0)</f>
        <v>1.4705882352941176E-2</v>
      </c>
      <c r="O2096" s="8">
        <f>IFERROR(H2096/G2096,0)</f>
        <v>7.3170731707317069E-2</v>
      </c>
      <c r="P2096" s="4">
        <f>IFERROR(I2096/G2096,0)</f>
        <v>0.5814634146341463</v>
      </c>
      <c r="Q2096" s="4">
        <f>IFERROR(I2096/H2096,0)</f>
        <v>7.9466666666666663</v>
      </c>
      <c r="R2096" s="12">
        <f>IFERROR(J2096/I2096,0)</f>
        <v>3.5487975391498883</v>
      </c>
      <c r="S2096" s="7">
        <f>Tabla_nuevas_columnas[[#This Row],[ROAS]]</f>
        <v>3.5487975391498883</v>
      </c>
      <c r="T2096" t="str">
        <f>_xlfn.CONCAT(C2096,"-",D2096)</f>
        <v>Paid Search-España</v>
      </c>
      <c r="U2096">
        <f>YEAR(A2096)</f>
        <v>2025</v>
      </c>
      <c r="V2096">
        <f>MONTH(A2096)</f>
        <v>3</v>
      </c>
      <c r="W2096" t="str">
        <f>PROPER(TEXT(A2096,"mmmm"))</f>
        <v>Marzo</v>
      </c>
      <c r="X2096" t="str">
        <f>PROPER(TEXT(A2096,"dddd"))</f>
        <v>Viernes</v>
      </c>
      <c r="Y2096" t="str" cm="1">
        <f t="array" ref="Y2096">_xlfn.IFS(R2096&gt;10,"Excelente",R2096&gt;=5,"Bueno",R2096&gt;=2,"Débil",R2096&lt;2,"Deficiente")</f>
        <v>Débil</v>
      </c>
      <c r="Z2096" t="str">
        <f>IF(AND(R2096&lt;2,Q2096&gt;=100),"Revisar","OK")</f>
        <v>OK</v>
      </c>
      <c r="AA2096" s="55">
        <f>_xlfn.XLOOKUP(C2096,'Preguntas de negocio'!$C$114:$C$119,'Preguntas de negocio'!$D$114:$D$119,0)</f>
        <v>5</v>
      </c>
      <c r="AB2096" s="55">
        <f>VLOOKUP(C2096,'Preguntas de negocio'!$C$121:$D$127,2,FALSE)</f>
        <v>1.1000000000000001</v>
      </c>
    </row>
    <row r="2097" spans="1:28" x14ac:dyDescent="0.3">
      <c r="A2097" s="1">
        <v>45901</v>
      </c>
      <c r="B2097" s="2" t="s">
        <v>2631</v>
      </c>
      <c r="C2097" s="2" t="s">
        <v>2527</v>
      </c>
      <c r="D2097" s="2" t="s">
        <v>2516</v>
      </c>
      <c r="E2097" s="2" t="s">
        <v>2517</v>
      </c>
      <c r="F2097" s="3">
        <v>151532</v>
      </c>
      <c r="G2097" s="3">
        <v>12136</v>
      </c>
      <c r="H2097" s="3">
        <v>135</v>
      </c>
      <c r="I2097" s="4">
        <v>17153.29</v>
      </c>
      <c r="J2097" s="4">
        <v>15798.49</v>
      </c>
      <c r="K2097" s="3">
        <v>118</v>
      </c>
      <c r="L2097" s="2" t="s">
        <v>2539</v>
      </c>
      <c r="M2097" s="2" t="s">
        <v>2524</v>
      </c>
      <c r="N2097" s="8">
        <f>IFERROR(G2097/F2097,0)</f>
        <v>8.0088694137211938E-2</v>
      </c>
      <c r="O2097" s="8">
        <f>IFERROR(H2097/G2097,0)</f>
        <v>1.1123928806855636E-2</v>
      </c>
      <c r="P2097" s="4">
        <f>IFERROR(I2097/G2097,0)</f>
        <v>1.4134220500988794</v>
      </c>
      <c r="Q2097" s="4">
        <f>IFERROR(I2097/H2097,0)</f>
        <v>127.06140740740742</v>
      </c>
      <c r="R2097" s="12">
        <f>IFERROR(J2097/I2097,0)</f>
        <v>0.9210180670880046</v>
      </c>
      <c r="S2097" s="7">
        <f>Tabla_nuevas_columnas[[#This Row],[ROAS]]</f>
        <v>0.9210180670880046</v>
      </c>
      <c r="T2097" t="str">
        <f>_xlfn.CONCAT(C2097,"-",D2097)</f>
        <v>Affiliate-México</v>
      </c>
      <c r="U2097">
        <f>YEAR(A2097)</f>
        <v>2025</v>
      </c>
      <c r="V2097">
        <f>MONTH(A2097)</f>
        <v>9</v>
      </c>
      <c r="W2097" t="str">
        <f>PROPER(TEXT(A2097,"mmmm"))</f>
        <v>Septiembre</v>
      </c>
      <c r="X2097" t="str">
        <f>PROPER(TEXT(A2097,"dddd"))</f>
        <v>Lunes</v>
      </c>
      <c r="Y2097" t="str" cm="1">
        <f t="array" ref="Y2097">_xlfn.IFS(R2097&gt;10,"Excelente",R2097&gt;=5,"Bueno",R2097&gt;=2,"Débil",R2097&lt;2,"Deficiente")</f>
        <v>Deficiente</v>
      </c>
      <c r="Z2097" t="str">
        <f>IF(AND(R2097&lt;2,Q2097&gt;=100),"Revisar","OK")</f>
        <v>Revisar</v>
      </c>
      <c r="AA2097" s="55">
        <f>_xlfn.XLOOKUP(C2097,'Preguntas de negocio'!$C$114:$C$119,'Preguntas de negocio'!$D$114:$D$119,0)</f>
        <v>4.5</v>
      </c>
      <c r="AB2097" s="55">
        <f>VLOOKUP(C2097,'Preguntas de negocio'!$C$121:$D$127,2,FALSE)</f>
        <v>0.35</v>
      </c>
    </row>
    <row r="2098" spans="1:28" x14ac:dyDescent="0.3">
      <c r="A2098" s="1">
        <v>45930</v>
      </c>
      <c r="B2098" s="2" t="s">
        <v>2624</v>
      </c>
      <c r="C2098" s="2" t="s">
        <v>2521</v>
      </c>
      <c r="D2098" s="2" t="s">
        <v>2522</v>
      </c>
      <c r="E2098" s="2" t="s">
        <v>2517</v>
      </c>
      <c r="F2098" s="3">
        <v>144892</v>
      </c>
      <c r="G2098" s="3">
        <v>7727</v>
      </c>
      <c r="H2098" s="3">
        <v>951</v>
      </c>
      <c r="I2098" s="4">
        <v>1167.5999999999999</v>
      </c>
      <c r="J2098" s="4">
        <v>142820.71</v>
      </c>
      <c r="K2098" s="3">
        <v>533</v>
      </c>
      <c r="L2098" s="2" t="s">
        <v>2523</v>
      </c>
      <c r="M2098" s="2" t="s">
        <v>2526</v>
      </c>
      <c r="N2098" s="8">
        <f>IFERROR(G2098/F2098,0)</f>
        <v>5.3329376363084227E-2</v>
      </c>
      <c r="O2098" s="8">
        <f>IFERROR(H2098/G2098,0)</f>
        <v>0.12307493205642552</v>
      </c>
      <c r="P2098" s="4">
        <f>IFERROR(I2098/G2098,0)</f>
        <v>0.15110650964151676</v>
      </c>
      <c r="Q2098" s="4">
        <f>IFERROR(I2098/H2098,0)</f>
        <v>1.2277602523659306</v>
      </c>
      <c r="R2098" s="12">
        <f>IFERROR(J2098/I2098,0)</f>
        <v>122.31989551216171</v>
      </c>
      <c r="S2098" s="7">
        <f>Tabla_nuevas_columnas[[#This Row],[ROAS]]</f>
        <v>122.31989551216171</v>
      </c>
      <c r="T2098" t="str">
        <f>_xlfn.CONCAT(C2098,"-",D2098)</f>
        <v>Paid Search-Italia</v>
      </c>
      <c r="U2098">
        <f>YEAR(A2098)</f>
        <v>2025</v>
      </c>
      <c r="V2098">
        <f>MONTH(A2098)</f>
        <v>9</v>
      </c>
      <c r="W2098" t="str">
        <f>PROPER(TEXT(A2098,"mmmm"))</f>
        <v>Septiembre</v>
      </c>
      <c r="X2098" t="str">
        <f>PROPER(TEXT(A2098,"dddd"))</f>
        <v>Martes</v>
      </c>
      <c r="Y2098" t="str" cm="1">
        <f t="array" ref="Y2098">_xlfn.IFS(R2098&gt;10,"Excelente",R2098&gt;=5,"Bueno",R2098&gt;=2,"Débil",R2098&lt;2,"Deficiente")</f>
        <v>Excelente</v>
      </c>
      <c r="Z2098" t="str">
        <f>IF(AND(R2098&lt;2,Q2098&gt;=100),"Revisar","OK")</f>
        <v>OK</v>
      </c>
      <c r="AA2098" s="55">
        <f>_xlfn.XLOOKUP(C2098,'Preguntas de negocio'!$C$114:$C$119,'Preguntas de negocio'!$D$114:$D$119,0)</f>
        <v>5</v>
      </c>
      <c r="AB2098" s="55">
        <f>VLOOKUP(C2098,'Preguntas de negocio'!$C$121:$D$127,2,FALSE)</f>
        <v>1.1000000000000001</v>
      </c>
    </row>
    <row r="2099" spans="1:28" x14ac:dyDescent="0.3">
      <c r="A2099" s="1">
        <v>45750</v>
      </c>
      <c r="B2099" s="2" t="s">
        <v>2643</v>
      </c>
      <c r="C2099" s="2" t="s">
        <v>2541</v>
      </c>
      <c r="D2099" s="2" t="s">
        <v>2516</v>
      </c>
      <c r="E2099" s="2" t="s">
        <v>2529</v>
      </c>
      <c r="F2099" s="3">
        <v>150028</v>
      </c>
      <c r="G2099" s="3">
        <v>5060</v>
      </c>
      <c r="H2099" s="3">
        <v>514</v>
      </c>
      <c r="I2099" s="4">
        <v>2164.09</v>
      </c>
      <c r="J2099" s="4">
        <v>63297.43</v>
      </c>
      <c r="K2099" s="3">
        <v>296</v>
      </c>
      <c r="L2099" s="2" t="s">
        <v>2536</v>
      </c>
      <c r="M2099" s="2" t="s">
        <v>2519</v>
      </c>
      <c r="N2099" s="8">
        <f>IFERROR(G2099/F2099,0)</f>
        <v>3.372703761964433E-2</v>
      </c>
      <c r="O2099" s="8">
        <f>IFERROR(H2099/G2099,0)</f>
        <v>0.10158102766798419</v>
      </c>
      <c r="P2099" s="4">
        <f>IFERROR(I2099/G2099,0)</f>
        <v>0.42768577075098818</v>
      </c>
      <c r="Q2099" s="4">
        <f>IFERROR(I2099/H2099,0)</f>
        <v>4.2102918287937747</v>
      </c>
      <c r="R2099" s="12">
        <f>IFERROR(J2099/I2099,0)</f>
        <v>29.248982251200271</v>
      </c>
      <c r="S2099" s="7">
        <f>Tabla_nuevas_columnas[[#This Row],[ROAS]]</f>
        <v>29.248982251200271</v>
      </c>
      <c r="T2099" t="str">
        <f>_xlfn.CONCAT(C2099,"-",D2099)</f>
        <v>Display-México</v>
      </c>
      <c r="U2099">
        <f>YEAR(A2099)</f>
        <v>2025</v>
      </c>
      <c r="V2099">
        <f>MONTH(A2099)</f>
        <v>4</v>
      </c>
      <c r="W2099" t="str">
        <f>PROPER(TEXT(A2099,"mmmm"))</f>
        <v>Abril</v>
      </c>
      <c r="X2099" t="str">
        <f>PROPER(TEXT(A2099,"dddd"))</f>
        <v>Jueves</v>
      </c>
      <c r="Y2099" t="str" cm="1">
        <f t="array" ref="Y2099">_xlfn.IFS(R2099&gt;10,"Excelente",R2099&gt;=5,"Bueno",R2099&gt;=2,"Débil",R2099&lt;2,"Deficiente")</f>
        <v>Excelente</v>
      </c>
      <c r="Z2099" t="str">
        <f>IF(AND(R2099&lt;2,Q2099&gt;=100),"Revisar","OK")</f>
        <v>OK</v>
      </c>
      <c r="AA2099" s="55">
        <f>_xlfn.XLOOKUP(C2099,'Preguntas de negocio'!$C$114:$C$119,'Preguntas de negocio'!$D$114:$D$119,0)</f>
        <v>5</v>
      </c>
      <c r="AB2099" s="55">
        <f>VLOOKUP(C2099,'Preguntas de negocio'!$C$121:$D$127,2,FALSE)</f>
        <v>0.5</v>
      </c>
    </row>
    <row r="2100" spans="1:28" x14ac:dyDescent="0.3">
      <c r="A2100" s="1">
        <v>45744</v>
      </c>
      <c r="B2100" s="2" t="s">
        <v>2643</v>
      </c>
      <c r="C2100" s="2" t="s">
        <v>2543</v>
      </c>
      <c r="D2100" s="2" t="s">
        <v>2531</v>
      </c>
      <c r="E2100" s="2" t="s">
        <v>2517</v>
      </c>
      <c r="F2100" s="3">
        <v>34270</v>
      </c>
      <c r="G2100" s="3">
        <v>2993</v>
      </c>
      <c r="H2100" s="3">
        <v>48</v>
      </c>
      <c r="I2100" s="4">
        <v>5345.06</v>
      </c>
      <c r="J2100" s="4">
        <v>3864.37</v>
      </c>
      <c r="K2100" s="3">
        <v>29</v>
      </c>
      <c r="L2100" s="2" t="s">
        <v>2523</v>
      </c>
      <c r="M2100" s="2" t="s">
        <v>2519</v>
      </c>
      <c r="N2100" s="8">
        <f>IFERROR(G2100/F2100,0)</f>
        <v>8.7335862270207176E-2</v>
      </c>
      <c r="O2100" s="8">
        <f>IFERROR(H2100/G2100,0)</f>
        <v>1.6037420648179083E-2</v>
      </c>
      <c r="P2100" s="4">
        <f>IFERROR(I2100/G2100,0)</f>
        <v>1.7858536585365854</v>
      </c>
      <c r="Q2100" s="4">
        <f>IFERROR(I2100/H2100,0)</f>
        <v>111.35541666666667</v>
      </c>
      <c r="R2100" s="12">
        <f>IFERROR(J2100/I2100,0)</f>
        <v>0.72297972333332083</v>
      </c>
      <c r="S2100" s="7">
        <f>Tabla_nuevas_columnas[[#This Row],[ROAS]]</f>
        <v>0.72297972333332083</v>
      </c>
      <c r="T2100" t="str">
        <f>_xlfn.CONCAT(C2100,"-",D2100)</f>
        <v>Organic Social-Portugal</v>
      </c>
      <c r="U2100">
        <f>YEAR(A2100)</f>
        <v>2025</v>
      </c>
      <c r="V2100">
        <f>MONTH(A2100)</f>
        <v>3</v>
      </c>
      <c r="W2100" t="str">
        <f>PROPER(TEXT(A2100,"mmmm"))</f>
        <v>Marzo</v>
      </c>
      <c r="X2100" t="str">
        <f>PROPER(TEXT(A2100,"dddd"))</f>
        <v>Viernes</v>
      </c>
      <c r="Y2100" t="str" cm="1">
        <f t="array" ref="Y2100">_xlfn.IFS(R2100&gt;10,"Excelente",R2100&gt;=5,"Bueno",R2100&gt;=2,"Débil",R2100&lt;2,"Deficiente")</f>
        <v>Deficiente</v>
      </c>
      <c r="Z2100" t="str">
        <f>IF(AND(R2100&lt;2,Q2100&gt;=100),"Revisar","OK")</f>
        <v>Revisar</v>
      </c>
      <c r="AA2100" s="55">
        <f>_xlfn.XLOOKUP(C2100,'Preguntas de negocio'!$C$114:$C$119,'Preguntas de negocio'!$D$114:$D$119,0)</f>
        <v>4</v>
      </c>
      <c r="AB2100" s="55">
        <f>VLOOKUP(C2100,'Preguntas de negocio'!$C$121:$D$127,2,FALSE)</f>
        <v>0.95</v>
      </c>
    </row>
    <row r="2101" spans="1:28" x14ac:dyDescent="0.3">
      <c r="A2101" s="1">
        <v>45732</v>
      </c>
      <c r="B2101" s="2" t="s">
        <v>2640</v>
      </c>
      <c r="C2101" s="2" t="s">
        <v>2533</v>
      </c>
      <c r="D2101" s="2" t="s">
        <v>2525</v>
      </c>
      <c r="E2101" s="2" t="s">
        <v>2517</v>
      </c>
      <c r="F2101" s="3">
        <v>1874</v>
      </c>
      <c r="G2101" s="3">
        <v>99</v>
      </c>
      <c r="H2101" s="3">
        <v>5</v>
      </c>
      <c r="I2101" s="4">
        <v>83.64</v>
      </c>
      <c r="J2101" s="4">
        <v>689.95</v>
      </c>
      <c r="K2101" s="3">
        <v>2</v>
      </c>
      <c r="L2101" s="2" t="s">
        <v>2523</v>
      </c>
      <c r="M2101" s="2" t="s">
        <v>2546</v>
      </c>
      <c r="N2101" s="8">
        <f>IFERROR(G2101/F2101,0)</f>
        <v>5.2828175026680899E-2</v>
      </c>
      <c r="O2101" s="8">
        <f>IFERROR(H2101/G2101,0)</f>
        <v>5.0505050505050504E-2</v>
      </c>
      <c r="P2101" s="4">
        <f>IFERROR(I2101/G2101,0)</f>
        <v>0.84484848484848485</v>
      </c>
      <c r="Q2101" s="4">
        <f>IFERROR(I2101/H2101,0)</f>
        <v>16.728000000000002</v>
      </c>
      <c r="R2101" s="12">
        <f>IFERROR(J2101/I2101,0)</f>
        <v>8.249043519846964</v>
      </c>
      <c r="S2101" s="7">
        <f>Tabla_nuevas_columnas[[#This Row],[ROAS]]</f>
        <v>8.249043519846964</v>
      </c>
      <c r="T2101" t="str">
        <f>_xlfn.CONCAT(C2101,"-",D2101)</f>
        <v>Paid Social-Francia</v>
      </c>
      <c r="U2101">
        <f>YEAR(A2101)</f>
        <v>2025</v>
      </c>
      <c r="V2101">
        <f>MONTH(A2101)</f>
        <v>3</v>
      </c>
      <c r="W2101" t="str">
        <f>PROPER(TEXT(A2101,"mmmm"))</f>
        <v>Marzo</v>
      </c>
      <c r="X2101" t="str">
        <f>PROPER(TEXT(A2101,"dddd"))</f>
        <v>Domingo</v>
      </c>
      <c r="Y2101" t="str" cm="1">
        <f t="array" ref="Y2101">_xlfn.IFS(R2101&gt;10,"Excelente",R2101&gt;=5,"Bueno",R2101&gt;=2,"Débil",R2101&lt;2,"Deficiente")</f>
        <v>Bueno</v>
      </c>
      <c r="Z2101" t="str">
        <f>IF(AND(R2101&lt;2,Q2101&gt;=100),"Revisar","OK")</f>
        <v>OK</v>
      </c>
      <c r="AA2101" s="55">
        <f>_xlfn.XLOOKUP(C2101,'Preguntas de negocio'!$C$114:$C$119,'Preguntas de negocio'!$D$114:$D$119,0)</f>
        <v>6</v>
      </c>
      <c r="AB2101" s="55">
        <f>VLOOKUP(C2101,'Preguntas de negocio'!$C$121:$D$127,2,FALSE)</f>
        <v>0.8</v>
      </c>
    </row>
    <row r="2102" spans="1:28" x14ac:dyDescent="0.3">
      <c r="A2102" s="1">
        <v>45785</v>
      </c>
      <c r="B2102" s="2" t="s">
        <v>2644</v>
      </c>
      <c r="C2102" s="2" t="s">
        <v>2515</v>
      </c>
      <c r="D2102" s="2" t="s">
        <v>2531</v>
      </c>
      <c r="E2102" s="2" t="s">
        <v>2517</v>
      </c>
      <c r="F2102" s="3">
        <v>137094</v>
      </c>
      <c r="G2102" s="3">
        <v>7774</v>
      </c>
      <c r="H2102" s="3">
        <v>393</v>
      </c>
      <c r="I2102" s="4">
        <v>14541.86</v>
      </c>
      <c r="J2102" s="4">
        <v>20997.77</v>
      </c>
      <c r="K2102" s="3">
        <v>343</v>
      </c>
      <c r="L2102" s="2" t="s">
        <v>2536</v>
      </c>
      <c r="M2102" s="2" t="s">
        <v>2526</v>
      </c>
      <c r="N2102" s="8">
        <f>IFERROR(G2102/F2102,0)</f>
        <v>5.670561804309452E-2</v>
      </c>
      <c r="O2102" s="8">
        <f>IFERROR(H2102/G2102,0)</f>
        <v>5.0553125803961922E-2</v>
      </c>
      <c r="P2102" s="4">
        <f>IFERROR(I2102/G2102,0)</f>
        <v>1.8705762799073837</v>
      </c>
      <c r="Q2102" s="4">
        <f>IFERROR(I2102/H2102,0)</f>
        <v>37.002188295165396</v>
      </c>
      <c r="R2102" s="12">
        <f>IFERROR(J2102/I2102,0)</f>
        <v>1.4439535245147457</v>
      </c>
      <c r="S2102" s="7">
        <f>Tabla_nuevas_columnas[[#This Row],[ROAS]]</f>
        <v>1.4439535245147457</v>
      </c>
      <c r="T2102" t="str">
        <f>_xlfn.CONCAT(C2102,"-",D2102)</f>
        <v>Email-Portugal</v>
      </c>
      <c r="U2102">
        <f>YEAR(A2102)</f>
        <v>2025</v>
      </c>
      <c r="V2102">
        <f>MONTH(A2102)</f>
        <v>5</v>
      </c>
      <c r="W2102" t="str">
        <f>PROPER(TEXT(A2102,"mmmm"))</f>
        <v>Mayo</v>
      </c>
      <c r="X2102" t="str">
        <f>PROPER(TEXT(A2102,"dddd"))</f>
        <v>Jueves</v>
      </c>
      <c r="Y2102" t="str" cm="1">
        <f t="array" ref="Y2102">_xlfn.IFS(R2102&gt;10,"Excelente",R2102&gt;=5,"Bueno",R2102&gt;=2,"Débil",R2102&lt;2,"Deficiente")</f>
        <v>Deficiente</v>
      </c>
      <c r="Z2102" t="str">
        <f>IF(AND(R2102&lt;2,Q2102&gt;=100),"Revisar","OK")</f>
        <v>OK</v>
      </c>
      <c r="AA2102" s="55">
        <f>_xlfn.XLOOKUP(C2102,'Preguntas de negocio'!$C$114:$C$119,'Preguntas de negocio'!$D$114:$D$119,0)</f>
        <v>5.5</v>
      </c>
      <c r="AB2102" s="55">
        <f>VLOOKUP(C2102,'Preguntas de negocio'!$C$121:$D$127,2,FALSE)</f>
        <v>0.65</v>
      </c>
    </row>
    <row r="2103" spans="1:28" x14ac:dyDescent="0.3">
      <c r="A2103" s="1">
        <v>45737</v>
      </c>
      <c r="B2103" s="2" t="s">
        <v>2628</v>
      </c>
      <c r="C2103" s="2" t="s">
        <v>2515</v>
      </c>
      <c r="D2103" s="2" t="s">
        <v>2528</v>
      </c>
      <c r="E2103" s="2" t="s">
        <v>2529</v>
      </c>
      <c r="F2103" s="3">
        <v>136032</v>
      </c>
      <c r="G2103" s="3">
        <v>1613</v>
      </c>
      <c r="H2103" s="3">
        <v>151</v>
      </c>
      <c r="I2103" s="4">
        <v>1596</v>
      </c>
      <c r="J2103" s="4">
        <v>5546.95</v>
      </c>
      <c r="K2103" s="3">
        <v>109</v>
      </c>
      <c r="L2103" s="2" t="s">
        <v>2523</v>
      </c>
      <c r="M2103" s="2" t="s">
        <v>2537</v>
      </c>
      <c r="N2103" s="8">
        <f>IFERROR(G2103/F2103,0)</f>
        <v>1.1857504116678429E-2</v>
      </c>
      <c r="O2103" s="8">
        <f>IFERROR(H2103/G2103,0)</f>
        <v>9.3614383137011772E-2</v>
      </c>
      <c r="P2103" s="4">
        <f>IFERROR(I2103/G2103,0)</f>
        <v>0.98946063236205828</v>
      </c>
      <c r="Q2103" s="4">
        <f>IFERROR(I2103/H2103,0)</f>
        <v>10.569536423841059</v>
      </c>
      <c r="R2103" s="12">
        <f>IFERROR(J2103/I2103,0)</f>
        <v>3.475532581453634</v>
      </c>
      <c r="S2103" s="7">
        <f>Tabla_nuevas_columnas[[#This Row],[ROAS]]</f>
        <v>3.475532581453634</v>
      </c>
      <c r="T2103" t="str">
        <f>_xlfn.CONCAT(C2103,"-",D2103)</f>
        <v>Email-España</v>
      </c>
      <c r="U2103">
        <f>YEAR(A2103)</f>
        <v>2025</v>
      </c>
      <c r="V2103">
        <f>MONTH(A2103)</f>
        <v>3</v>
      </c>
      <c r="W2103" t="str">
        <f>PROPER(TEXT(A2103,"mmmm"))</f>
        <v>Marzo</v>
      </c>
      <c r="X2103" t="str">
        <f>PROPER(TEXT(A2103,"dddd"))</f>
        <v>Viernes</v>
      </c>
      <c r="Y2103" t="str" cm="1">
        <f t="array" ref="Y2103">_xlfn.IFS(R2103&gt;10,"Excelente",R2103&gt;=5,"Bueno",R2103&gt;=2,"Débil",R2103&lt;2,"Deficiente")</f>
        <v>Débil</v>
      </c>
      <c r="Z2103" t="str">
        <f>IF(AND(R2103&lt;2,Q2103&gt;=100),"Revisar","OK")</f>
        <v>OK</v>
      </c>
      <c r="AA2103" s="55">
        <f>_xlfn.XLOOKUP(C2103,'Preguntas de negocio'!$C$114:$C$119,'Preguntas de negocio'!$D$114:$D$119,0)</f>
        <v>5.5</v>
      </c>
      <c r="AB2103" s="55">
        <f>VLOOKUP(C2103,'Preguntas de negocio'!$C$121:$D$127,2,FALSE)</f>
        <v>0.65</v>
      </c>
    </row>
    <row r="2104" spans="1:28" x14ac:dyDescent="0.3">
      <c r="A2104" s="1">
        <v>45887</v>
      </c>
      <c r="B2104" s="2" t="s">
        <v>2615</v>
      </c>
      <c r="C2104" s="2" t="s">
        <v>2533</v>
      </c>
      <c r="D2104" s="2" t="s">
        <v>2528</v>
      </c>
      <c r="E2104" s="2" t="s">
        <v>2529</v>
      </c>
      <c r="F2104" s="3">
        <v>64229</v>
      </c>
      <c r="G2104" s="3">
        <v>4631</v>
      </c>
      <c r="H2104" s="3">
        <v>51</v>
      </c>
      <c r="I2104" s="4">
        <v>7902.36</v>
      </c>
      <c r="J2104" s="4">
        <v>1897.58</v>
      </c>
      <c r="K2104" s="3">
        <v>23</v>
      </c>
      <c r="L2104" s="2" t="s">
        <v>2523</v>
      </c>
      <c r="M2104" s="2" t="s">
        <v>2526</v>
      </c>
      <c r="N2104" s="8">
        <f>IFERROR(G2104/F2104,0)</f>
        <v>7.21013872238397E-2</v>
      </c>
      <c r="O2104" s="8">
        <f>IFERROR(H2104/G2104,0)</f>
        <v>1.1012740228892247E-2</v>
      </c>
      <c r="P2104" s="4">
        <f>IFERROR(I2104/G2104,0)</f>
        <v>1.7064046642193911</v>
      </c>
      <c r="Q2104" s="4">
        <f>IFERROR(I2104/H2104,0)</f>
        <v>154.94823529411764</v>
      </c>
      <c r="R2104" s="12">
        <f>IFERROR(J2104/I2104,0)</f>
        <v>0.24012826548018568</v>
      </c>
      <c r="S2104" s="7">
        <f>Tabla_nuevas_columnas[[#This Row],[ROAS]]</f>
        <v>0.24012826548018568</v>
      </c>
      <c r="T2104" t="str">
        <f>_xlfn.CONCAT(C2104,"-",D2104)</f>
        <v>Paid Social-España</v>
      </c>
      <c r="U2104">
        <f>YEAR(A2104)</f>
        <v>2025</v>
      </c>
      <c r="V2104">
        <f>MONTH(A2104)</f>
        <v>8</v>
      </c>
      <c r="W2104" t="str">
        <f>PROPER(TEXT(A2104,"mmmm"))</f>
        <v>Agosto</v>
      </c>
      <c r="X2104" t="str">
        <f>PROPER(TEXT(A2104,"dddd"))</f>
        <v>Lunes</v>
      </c>
      <c r="Y2104" t="str" cm="1">
        <f t="array" ref="Y2104">_xlfn.IFS(R2104&gt;10,"Excelente",R2104&gt;=5,"Bueno",R2104&gt;=2,"Débil",R2104&lt;2,"Deficiente")</f>
        <v>Deficiente</v>
      </c>
      <c r="Z2104" t="str">
        <f>IF(AND(R2104&lt;2,Q2104&gt;=100),"Revisar","OK")</f>
        <v>Revisar</v>
      </c>
      <c r="AA2104" s="55">
        <f>_xlfn.XLOOKUP(C2104,'Preguntas de negocio'!$C$114:$C$119,'Preguntas de negocio'!$D$114:$D$119,0)</f>
        <v>6</v>
      </c>
      <c r="AB2104" s="55">
        <f>VLOOKUP(C2104,'Preguntas de negocio'!$C$121:$D$127,2,FALSE)</f>
        <v>0.8</v>
      </c>
    </row>
    <row r="2105" spans="1:28" x14ac:dyDescent="0.3">
      <c r="A2105" s="1">
        <v>45771</v>
      </c>
      <c r="B2105" s="2" t="s">
        <v>2644</v>
      </c>
      <c r="C2105" s="2" t="s">
        <v>2521</v>
      </c>
      <c r="D2105" s="2" t="s">
        <v>2516</v>
      </c>
      <c r="E2105" s="2" t="s">
        <v>2529</v>
      </c>
      <c r="F2105" s="3">
        <v>105694</v>
      </c>
      <c r="G2105" s="3">
        <v>837</v>
      </c>
      <c r="H2105" s="3">
        <v>16</v>
      </c>
      <c r="I2105" s="4">
        <v>1376.23</v>
      </c>
      <c r="J2105" s="4">
        <v>607</v>
      </c>
      <c r="K2105" s="3">
        <v>11</v>
      </c>
      <c r="L2105" s="2" t="s">
        <v>2536</v>
      </c>
      <c r="M2105" s="2" t="s">
        <v>2526</v>
      </c>
      <c r="N2105" s="8">
        <f>IFERROR(G2105/F2105,0)</f>
        <v>7.9190871761878629E-3</v>
      </c>
      <c r="O2105" s="8">
        <f>IFERROR(H2105/G2105,0)</f>
        <v>1.9115890083632018E-2</v>
      </c>
      <c r="P2105" s="4">
        <f>IFERROR(I2105/G2105,0)</f>
        <v>1.6442413381123058</v>
      </c>
      <c r="Q2105" s="4">
        <f>IFERROR(I2105/H2105,0)</f>
        <v>86.014375000000001</v>
      </c>
      <c r="R2105" s="12">
        <f>IFERROR(J2105/I2105,0)</f>
        <v>0.4410599972388336</v>
      </c>
      <c r="S2105" s="7">
        <f>Tabla_nuevas_columnas[[#This Row],[ROAS]]</f>
        <v>0.4410599972388336</v>
      </c>
      <c r="T2105" t="str">
        <f>_xlfn.CONCAT(C2105,"-",D2105)</f>
        <v>Paid Search-México</v>
      </c>
      <c r="U2105">
        <f>YEAR(A2105)</f>
        <v>2025</v>
      </c>
      <c r="V2105">
        <f>MONTH(A2105)</f>
        <v>4</v>
      </c>
      <c r="W2105" t="str">
        <f>PROPER(TEXT(A2105,"mmmm"))</f>
        <v>Abril</v>
      </c>
      <c r="X2105" t="str">
        <f>PROPER(TEXT(A2105,"dddd"))</f>
        <v>Jueves</v>
      </c>
      <c r="Y2105" t="str" cm="1">
        <f t="array" ref="Y2105">_xlfn.IFS(R2105&gt;10,"Excelente",R2105&gt;=5,"Bueno",R2105&gt;=2,"Débil",R2105&lt;2,"Deficiente")</f>
        <v>Deficiente</v>
      </c>
      <c r="Z2105" t="str">
        <f>IF(AND(R2105&lt;2,Q2105&gt;=100),"Revisar","OK")</f>
        <v>OK</v>
      </c>
      <c r="AA2105" s="55">
        <f>_xlfn.XLOOKUP(C2105,'Preguntas de negocio'!$C$114:$C$119,'Preguntas de negocio'!$D$114:$D$119,0)</f>
        <v>5</v>
      </c>
      <c r="AB2105" s="55">
        <f>VLOOKUP(C2105,'Preguntas de negocio'!$C$121:$D$127,2,FALSE)</f>
        <v>1.1000000000000001</v>
      </c>
    </row>
    <row r="2106" spans="1:28" x14ac:dyDescent="0.3">
      <c r="A2106" s="1">
        <v>45872</v>
      </c>
      <c r="B2106" s="2" t="s">
        <v>2644</v>
      </c>
      <c r="C2106" s="2" t="s">
        <v>2543</v>
      </c>
      <c r="D2106" s="2" t="s">
        <v>2528</v>
      </c>
      <c r="E2106" s="2" t="s">
        <v>2529</v>
      </c>
      <c r="F2106" s="3">
        <v>158706</v>
      </c>
      <c r="G2106" s="3">
        <v>11332</v>
      </c>
      <c r="H2106" s="3">
        <v>1074</v>
      </c>
      <c r="I2106" s="4">
        <v>11128.01</v>
      </c>
      <c r="J2106" s="4">
        <v>193634.02</v>
      </c>
      <c r="K2106" s="3">
        <v>666</v>
      </c>
      <c r="L2106" s="2" t="s">
        <v>2518</v>
      </c>
      <c r="M2106" s="2" t="s">
        <v>2519</v>
      </c>
      <c r="N2106" s="8">
        <f>IFERROR(G2106/F2106,0)</f>
        <v>7.1402467455546736E-2</v>
      </c>
      <c r="O2106" s="8">
        <f>IFERROR(H2106/G2106,0)</f>
        <v>9.4775855983056836E-2</v>
      </c>
      <c r="P2106" s="4">
        <f>IFERROR(I2106/G2106,0)</f>
        <v>0.98199876456053659</v>
      </c>
      <c r="Q2106" s="4">
        <f>IFERROR(I2106/H2106,0)</f>
        <v>10.361275605214153</v>
      </c>
      <c r="R2106" s="12">
        <f>IFERROR(J2106/I2106,0)</f>
        <v>17.40059723167035</v>
      </c>
      <c r="S2106" s="7">
        <f>Tabla_nuevas_columnas[[#This Row],[ROAS]]</f>
        <v>17.40059723167035</v>
      </c>
      <c r="T2106" t="str">
        <f>_xlfn.CONCAT(C2106,"-",D2106)</f>
        <v>Organic Social-España</v>
      </c>
      <c r="U2106">
        <f>YEAR(A2106)</f>
        <v>2025</v>
      </c>
      <c r="V2106">
        <f>MONTH(A2106)</f>
        <v>8</v>
      </c>
      <c r="W2106" t="str">
        <f>PROPER(TEXT(A2106,"mmmm"))</f>
        <v>Agosto</v>
      </c>
      <c r="X2106" t="str">
        <f>PROPER(TEXT(A2106,"dddd"))</f>
        <v>Domingo</v>
      </c>
      <c r="Y2106" t="str" cm="1">
        <f t="array" ref="Y2106">_xlfn.IFS(R2106&gt;10,"Excelente",R2106&gt;=5,"Bueno",R2106&gt;=2,"Débil",R2106&lt;2,"Deficiente")</f>
        <v>Excelente</v>
      </c>
      <c r="Z2106" t="str">
        <f>IF(AND(R2106&lt;2,Q2106&gt;=100),"Revisar","OK")</f>
        <v>OK</v>
      </c>
      <c r="AA2106" s="55">
        <f>_xlfn.XLOOKUP(C2106,'Preguntas de negocio'!$C$114:$C$119,'Preguntas de negocio'!$D$114:$D$119,0)</f>
        <v>4</v>
      </c>
      <c r="AB2106" s="55">
        <f>VLOOKUP(C2106,'Preguntas de negocio'!$C$121:$D$127,2,FALSE)</f>
        <v>0.95</v>
      </c>
    </row>
    <row r="2107" spans="1:28" x14ac:dyDescent="0.3">
      <c r="A2107" s="1">
        <v>45786</v>
      </c>
      <c r="B2107" s="2" t="s">
        <v>2623</v>
      </c>
      <c r="C2107" s="2" t="s">
        <v>2521</v>
      </c>
      <c r="D2107" s="2" t="s">
        <v>2516</v>
      </c>
      <c r="E2107" s="2" t="s">
        <v>2517</v>
      </c>
      <c r="F2107" s="3">
        <v>3407</v>
      </c>
      <c r="G2107" s="3">
        <v>24</v>
      </c>
      <c r="H2107" s="3">
        <v>1</v>
      </c>
      <c r="I2107" s="4">
        <v>39.200000000000003</v>
      </c>
      <c r="J2107" s="4">
        <v>172.19</v>
      </c>
      <c r="K2107" s="3">
        <v>0</v>
      </c>
      <c r="L2107" s="2" t="s">
        <v>2536</v>
      </c>
      <c r="M2107" s="2" t="s">
        <v>2524</v>
      </c>
      <c r="N2107" s="8">
        <f>IFERROR(G2107/F2107,0)</f>
        <v>7.0443205165835049E-3</v>
      </c>
      <c r="O2107" s="8">
        <f>IFERROR(H2107/G2107,0)</f>
        <v>4.1666666666666664E-2</v>
      </c>
      <c r="P2107" s="4">
        <f>IFERROR(I2107/G2107,0)</f>
        <v>1.6333333333333335</v>
      </c>
      <c r="Q2107" s="4">
        <f>IFERROR(I2107/H2107,0)</f>
        <v>39.200000000000003</v>
      </c>
      <c r="R2107" s="12">
        <f>IFERROR(J2107/I2107,0)</f>
        <v>4.3926020408163264</v>
      </c>
      <c r="S2107" s="7">
        <f>Tabla_nuevas_columnas[[#This Row],[ROAS]]</f>
        <v>4.3926020408163264</v>
      </c>
      <c r="T2107" t="str">
        <f>_xlfn.CONCAT(C2107,"-",D2107)</f>
        <v>Paid Search-México</v>
      </c>
      <c r="U2107">
        <f>YEAR(A2107)</f>
        <v>2025</v>
      </c>
      <c r="V2107">
        <f>MONTH(A2107)</f>
        <v>5</v>
      </c>
      <c r="W2107" t="str">
        <f>PROPER(TEXT(A2107,"mmmm"))</f>
        <v>Mayo</v>
      </c>
      <c r="X2107" t="str">
        <f>PROPER(TEXT(A2107,"dddd"))</f>
        <v>Viernes</v>
      </c>
      <c r="Y2107" t="str" cm="1">
        <f t="array" ref="Y2107">_xlfn.IFS(R2107&gt;10,"Excelente",R2107&gt;=5,"Bueno",R2107&gt;=2,"Débil",R2107&lt;2,"Deficiente")</f>
        <v>Débil</v>
      </c>
      <c r="Z2107" t="str">
        <f>IF(AND(R2107&lt;2,Q2107&gt;=100),"Revisar","OK")</f>
        <v>OK</v>
      </c>
      <c r="AA2107" s="55">
        <f>_xlfn.XLOOKUP(C2107,'Preguntas de negocio'!$C$114:$C$119,'Preguntas de negocio'!$D$114:$D$119,0)</f>
        <v>5</v>
      </c>
      <c r="AB2107" s="55">
        <f>VLOOKUP(C2107,'Preguntas de negocio'!$C$121:$D$127,2,FALSE)</f>
        <v>1.1000000000000001</v>
      </c>
    </row>
    <row r="2108" spans="1:28" x14ac:dyDescent="0.3">
      <c r="A2108" s="1">
        <v>45785</v>
      </c>
      <c r="B2108" s="2" t="s">
        <v>2637</v>
      </c>
      <c r="C2108" s="2" t="s">
        <v>2521</v>
      </c>
      <c r="D2108" s="2" t="s">
        <v>2525</v>
      </c>
      <c r="E2108" s="2" t="s">
        <v>2517</v>
      </c>
      <c r="F2108" s="3">
        <v>124110</v>
      </c>
      <c r="G2108" s="3">
        <v>1751</v>
      </c>
      <c r="H2108" s="3">
        <v>47</v>
      </c>
      <c r="I2108" s="4">
        <v>3573.66</v>
      </c>
      <c r="J2108" s="4">
        <v>8694.34</v>
      </c>
      <c r="K2108" s="3">
        <v>38</v>
      </c>
      <c r="L2108" s="2" t="s">
        <v>2539</v>
      </c>
      <c r="M2108" s="2" t="s">
        <v>2546</v>
      </c>
      <c r="N2108" s="8">
        <f>IFERROR(G2108/F2108,0)</f>
        <v>1.410845217951817E-2</v>
      </c>
      <c r="O2108" s="8">
        <f>IFERROR(H2108/G2108,0)</f>
        <v>2.6841804683038265E-2</v>
      </c>
      <c r="P2108" s="4">
        <f>IFERROR(I2108/G2108,0)</f>
        <v>2.040925185608224</v>
      </c>
      <c r="Q2108" s="4">
        <f>IFERROR(I2108/H2108,0)</f>
        <v>76.035319148936168</v>
      </c>
      <c r="R2108" s="12">
        <f>IFERROR(J2108/I2108,0)</f>
        <v>2.4328951271245729</v>
      </c>
      <c r="S2108" s="7">
        <f>Tabla_nuevas_columnas[[#This Row],[ROAS]]</f>
        <v>2.4328951271245729</v>
      </c>
      <c r="T2108" t="str">
        <f>_xlfn.CONCAT(C2108,"-",D2108)</f>
        <v>Paid Search-Francia</v>
      </c>
      <c r="U2108">
        <f>YEAR(A2108)</f>
        <v>2025</v>
      </c>
      <c r="V2108">
        <f>MONTH(A2108)</f>
        <v>5</v>
      </c>
      <c r="W2108" t="str">
        <f>PROPER(TEXT(A2108,"mmmm"))</f>
        <v>Mayo</v>
      </c>
      <c r="X2108" t="str">
        <f>PROPER(TEXT(A2108,"dddd"))</f>
        <v>Jueves</v>
      </c>
      <c r="Y2108" t="str" cm="1">
        <f t="array" ref="Y2108">_xlfn.IFS(R2108&gt;10,"Excelente",R2108&gt;=5,"Bueno",R2108&gt;=2,"Débil",R2108&lt;2,"Deficiente")</f>
        <v>Débil</v>
      </c>
      <c r="Z2108" t="str">
        <f>IF(AND(R2108&lt;2,Q2108&gt;=100),"Revisar","OK")</f>
        <v>OK</v>
      </c>
      <c r="AA2108" s="55">
        <f>_xlfn.XLOOKUP(C2108,'Preguntas de negocio'!$C$114:$C$119,'Preguntas de negocio'!$D$114:$D$119,0)</f>
        <v>5</v>
      </c>
      <c r="AB2108" s="55">
        <f>VLOOKUP(C2108,'Preguntas de negocio'!$C$121:$D$127,2,FALSE)</f>
        <v>1.1000000000000001</v>
      </c>
    </row>
    <row r="2109" spans="1:28" x14ac:dyDescent="0.3">
      <c r="A2109" s="1">
        <v>45732</v>
      </c>
      <c r="B2109" s="2" t="s">
        <v>2636</v>
      </c>
      <c r="C2109" s="2" t="s">
        <v>2527</v>
      </c>
      <c r="D2109" s="2" t="s">
        <v>2528</v>
      </c>
      <c r="E2109" s="2" t="s">
        <v>2517</v>
      </c>
      <c r="F2109" s="3">
        <v>103870</v>
      </c>
      <c r="G2109" s="3">
        <v>2016</v>
      </c>
      <c r="H2109" s="3">
        <v>70</v>
      </c>
      <c r="I2109" s="4">
        <v>3023.26</v>
      </c>
      <c r="J2109" s="4">
        <v>4189.51</v>
      </c>
      <c r="K2109" s="3">
        <v>44</v>
      </c>
      <c r="L2109" s="2" t="s">
        <v>2536</v>
      </c>
      <c r="M2109" s="2" t="s">
        <v>2537</v>
      </c>
      <c r="N2109" s="8">
        <f>IFERROR(G2109/F2109,0)</f>
        <v>1.9408876480215654E-2</v>
      </c>
      <c r="O2109" s="8">
        <f>IFERROR(H2109/G2109,0)</f>
        <v>3.4722222222222224E-2</v>
      </c>
      <c r="P2109" s="4">
        <f>IFERROR(I2109/G2109,0)</f>
        <v>1.4996329365079366</v>
      </c>
      <c r="Q2109" s="4">
        <f>IFERROR(I2109/H2109,0)</f>
        <v>43.189428571428572</v>
      </c>
      <c r="R2109" s="12">
        <f>IFERROR(J2109/I2109,0)</f>
        <v>1.3857590812566567</v>
      </c>
      <c r="S2109" s="7">
        <f>Tabla_nuevas_columnas[[#This Row],[ROAS]]</f>
        <v>1.3857590812566567</v>
      </c>
      <c r="T2109" t="str">
        <f>_xlfn.CONCAT(C2109,"-",D2109)</f>
        <v>Affiliate-España</v>
      </c>
      <c r="U2109">
        <f>YEAR(A2109)</f>
        <v>2025</v>
      </c>
      <c r="V2109">
        <f>MONTH(A2109)</f>
        <v>3</v>
      </c>
      <c r="W2109" t="str">
        <f>PROPER(TEXT(A2109,"mmmm"))</f>
        <v>Marzo</v>
      </c>
      <c r="X2109" t="str">
        <f>PROPER(TEXT(A2109,"dddd"))</f>
        <v>Domingo</v>
      </c>
      <c r="Y2109" t="str" cm="1">
        <f t="array" ref="Y2109">_xlfn.IFS(R2109&gt;10,"Excelente",R2109&gt;=5,"Bueno",R2109&gt;=2,"Débil",R2109&lt;2,"Deficiente")</f>
        <v>Deficiente</v>
      </c>
      <c r="Z2109" t="str">
        <f>IF(AND(R2109&lt;2,Q2109&gt;=100),"Revisar","OK")</f>
        <v>OK</v>
      </c>
      <c r="AA2109" s="55">
        <f>_xlfn.XLOOKUP(C2109,'Preguntas de negocio'!$C$114:$C$119,'Preguntas de negocio'!$D$114:$D$119,0)</f>
        <v>4.5</v>
      </c>
      <c r="AB2109" s="55">
        <f>VLOOKUP(C2109,'Preguntas de negocio'!$C$121:$D$127,2,FALSE)</f>
        <v>0.35</v>
      </c>
    </row>
    <row r="2110" spans="1:28" x14ac:dyDescent="0.3">
      <c r="A2110" s="1">
        <v>45730</v>
      </c>
      <c r="B2110" s="2" t="s">
        <v>2619</v>
      </c>
      <c r="C2110" s="2" t="s">
        <v>2541</v>
      </c>
      <c r="D2110" s="2" t="s">
        <v>2528</v>
      </c>
      <c r="E2110" s="2" t="s">
        <v>2529</v>
      </c>
      <c r="F2110" s="3">
        <v>75381</v>
      </c>
      <c r="G2110" s="3">
        <v>1741</v>
      </c>
      <c r="H2110" s="3">
        <v>218</v>
      </c>
      <c r="I2110" s="4">
        <v>1732.43</v>
      </c>
      <c r="J2110" s="4">
        <v>32543.71</v>
      </c>
      <c r="K2110" s="3">
        <v>98</v>
      </c>
      <c r="L2110" s="2" t="s">
        <v>2518</v>
      </c>
      <c r="M2110" s="2" t="s">
        <v>2524</v>
      </c>
      <c r="N2110" s="8">
        <f>IFERROR(G2110/F2110,0)</f>
        <v>2.3096005624759556E-2</v>
      </c>
      <c r="O2110" s="8">
        <f>IFERROR(H2110/G2110,0)</f>
        <v>0.12521539345203905</v>
      </c>
      <c r="P2110" s="4">
        <f>IFERROR(I2110/G2110,0)</f>
        <v>0.9950775416427341</v>
      </c>
      <c r="Q2110" s="4">
        <f>IFERROR(I2110/H2110,0)</f>
        <v>7.9469266055045873</v>
      </c>
      <c r="R2110" s="12">
        <f>IFERROR(J2110/I2110,0)</f>
        <v>18.785007186437547</v>
      </c>
      <c r="S2110" s="7">
        <f>Tabla_nuevas_columnas[[#This Row],[ROAS]]</f>
        <v>18.785007186437547</v>
      </c>
      <c r="T2110" t="str">
        <f>_xlfn.CONCAT(C2110,"-",D2110)</f>
        <v>Display-España</v>
      </c>
      <c r="U2110">
        <f>YEAR(A2110)</f>
        <v>2025</v>
      </c>
      <c r="V2110">
        <f>MONTH(A2110)</f>
        <v>3</v>
      </c>
      <c r="W2110" t="str">
        <f>PROPER(TEXT(A2110,"mmmm"))</f>
        <v>Marzo</v>
      </c>
      <c r="X2110" t="str">
        <f>PROPER(TEXT(A2110,"dddd"))</f>
        <v>Viernes</v>
      </c>
      <c r="Y2110" t="str" cm="1">
        <f t="array" ref="Y2110">_xlfn.IFS(R2110&gt;10,"Excelente",R2110&gt;=5,"Bueno",R2110&gt;=2,"Débil",R2110&lt;2,"Deficiente")</f>
        <v>Excelente</v>
      </c>
      <c r="Z2110" t="str">
        <f>IF(AND(R2110&lt;2,Q2110&gt;=100),"Revisar","OK")</f>
        <v>OK</v>
      </c>
      <c r="AA2110" s="55">
        <f>_xlfn.XLOOKUP(C2110,'Preguntas de negocio'!$C$114:$C$119,'Preguntas de negocio'!$D$114:$D$119,0)</f>
        <v>5</v>
      </c>
      <c r="AB2110" s="55">
        <f>VLOOKUP(C2110,'Preguntas de negocio'!$C$121:$D$127,2,FALSE)</f>
        <v>0.5</v>
      </c>
    </row>
    <row r="2111" spans="1:28" x14ac:dyDescent="0.3">
      <c r="A2111" s="1">
        <v>45680</v>
      </c>
      <c r="B2111" s="2" t="s">
        <v>2642</v>
      </c>
      <c r="C2111" s="2" t="s">
        <v>2521</v>
      </c>
      <c r="D2111" s="2" t="s">
        <v>2531</v>
      </c>
      <c r="E2111" s="2" t="s">
        <v>2517</v>
      </c>
      <c r="F2111" s="3">
        <v>171176</v>
      </c>
      <c r="G2111" s="3">
        <v>11005</v>
      </c>
      <c r="H2111" s="3">
        <v>724</v>
      </c>
      <c r="I2111" s="4">
        <v>20071.7</v>
      </c>
      <c r="J2111" s="4">
        <v>22382.26</v>
      </c>
      <c r="K2111" s="3">
        <v>527</v>
      </c>
      <c r="L2111" s="2" t="s">
        <v>2536</v>
      </c>
      <c r="M2111" s="2" t="s">
        <v>2546</v>
      </c>
      <c r="N2111" s="8">
        <f>IFERROR(G2111/F2111,0)</f>
        <v>6.4290554750665987E-2</v>
      </c>
      <c r="O2111" s="8">
        <f>IFERROR(H2111/G2111,0)</f>
        <v>6.5788278055429347E-2</v>
      </c>
      <c r="P2111" s="4">
        <f>IFERROR(I2111/G2111,0)</f>
        <v>1.8238709677419356</v>
      </c>
      <c r="Q2111" s="4">
        <f>IFERROR(I2111/H2111,0)</f>
        <v>27.723342541436466</v>
      </c>
      <c r="R2111" s="12">
        <f>IFERROR(J2111/I2111,0)</f>
        <v>1.1151153116078856</v>
      </c>
      <c r="S2111" s="7">
        <f>Tabla_nuevas_columnas[[#This Row],[ROAS]]</f>
        <v>1.1151153116078856</v>
      </c>
      <c r="T2111" t="str">
        <f>_xlfn.CONCAT(C2111,"-",D2111)</f>
        <v>Paid Search-Portugal</v>
      </c>
      <c r="U2111">
        <f>YEAR(A2111)</f>
        <v>2025</v>
      </c>
      <c r="V2111">
        <f>MONTH(A2111)</f>
        <v>1</v>
      </c>
      <c r="W2111" t="str">
        <f>PROPER(TEXT(A2111,"mmmm"))</f>
        <v>Enero</v>
      </c>
      <c r="X2111" t="str">
        <f>PROPER(TEXT(A2111,"dddd"))</f>
        <v>Jueves</v>
      </c>
      <c r="Y2111" t="str" cm="1">
        <f t="array" ref="Y2111">_xlfn.IFS(R2111&gt;10,"Excelente",R2111&gt;=5,"Bueno",R2111&gt;=2,"Débil",R2111&lt;2,"Deficiente")</f>
        <v>Deficiente</v>
      </c>
      <c r="Z2111" t="str">
        <f>IF(AND(R2111&lt;2,Q2111&gt;=100),"Revisar","OK")</f>
        <v>OK</v>
      </c>
      <c r="AA2111" s="55">
        <f>_xlfn.XLOOKUP(C2111,'Preguntas de negocio'!$C$114:$C$119,'Preguntas de negocio'!$D$114:$D$119,0)</f>
        <v>5</v>
      </c>
      <c r="AB2111" s="55">
        <f>VLOOKUP(C2111,'Preguntas de negocio'!$C$121:$D$127,2,FALSE)</f>
        <v>1.1000000000000001</v>
      </c>
    </row>
    <row r="2112" spans="1:28" x14ac:dyDescent="0.3">
      <c r="A2112" s="1">
        <v>46017</v>
      </c>
      <c r="B2112" s="2" t="s">
        <v>2617</v>
      </c>
      <c r="C2112" s="2" t="s">
        <v>2543</v>
      </c>
      <c r="D2112" s="2" t="s">
        <v>2528</v>
      </c>
      <c r="E2112" s="2" t="s">
        <v>2517</v>
      </c>
      <c r="F2112" s="3">
        <v>134355</v>
      </c>
      <c r="G2112" s="3">
        <v>867</v>
      </c>
      <c r="H2112" s="3">
        <v>27</v>
      </c>
      <c r="I2112" s="4">
        <v>1778.99</v>
      </c>
      <c r="J2112" s="4">
        <v>4043.15</v>
      </c>
      <c r="K2112" s="3">
        <v>21</v>
      </c>
      <c r="L2112" s="2" t="s">
        <v>2523</v>
      </c>
      <c r="M2112" s="2" t="s">
        <v>2537</v>
      </c>
      <c r="N2112" s="8">
        <f>IFERROR(G2112/F2112,0)</f>
        <v>6.4530534777269173E-3</v>
      </c>
      <c r="O2112" s="8">
        <f>IFERROR(H2112/G2112,0)</f>
        <v>3.1141868512110725E-2</v>
      </c>
      <c r="P2112" s="4">
        <f>IFERROR(I2112/G2112,0)</f>
        <v>2.0518915801614765</v>
      </c>
      <c r="Q2112" s="4">
        <f>IFERROR(I2112/H2112,0)</f>
        <v>65.888518518518524</v>
      </c>
      <c r="R2112" s="12">
        <f>IFERROR(J2112/I2112,0)</f>
        <v>2.2727221625753939</v>
      </c>
      <c r="S2112" s="7">
        <f>Tabla_nuevas_columnas[[#This Row],[ROAS]]</f>
        <v>2.2727221625753939</v>
      </c>
      <c r="T2112" t="str">
        <f>_xlfn.CONCAT(C2112,"-",D2112)</f>
        <v>Organic Social-España</v>
      </c>
      <c r="U2112">
        <f>YEAR(A2112)</f>
        <v>2025</v>
      </c>
      <c r="V2112">
        <f>MONTH(A2112)</f>
        <v>12</v>
      </c>
      <c r="W2112" t="str">
        <f>PROPER(TEXT(A2112,"mmmm"))</f>
        <v>Diciembre</v>
      </c>
      <c r="X2112" t="str">
        <f>PROPER(TEXT(A2112,"dddd"))</f>
        <v>Viernes</v>
      </c>
      <c r="Y2112" t="str" cm="1">
        <f t="array" ref="Y2112">_xlfn.IFS(R2112&gt;10,"Excelente",R2112&gt;=5,"Bueno",R2112&gt;=2,"Débil",R2112&lt;2,"Deficiente")</f>
        <v>Débil</v>
      </c>
      <c r="Z2112" t="str">
        <f>IF(AND(R2112&lt;2,Q2112&gt;=100),"Revisar","OK")</f>
        <v>OK</v>
      </c>
      <c r="AA2112" s="55">
        <f>_xlfn.XLOOKUP(C2112,'Preguntas de negocio'!$C$114:$C$119,'Preguntas de negocio'!$D$114:$D$119,0)</f>
        <v>4</v>
      </c>
      <c r="AB2112" s="55">
        <f>VLOOKUP(C2112,'Preguntas de negocio'!$C$121:$D$127,2,FALSE)</f>
        <v>0.95</v>
      </c>
    </row>
    <row r="2113" spans="1:28" x14ac:dyDescent="0.3">
      <c r="A2113" s="1">
        <v>45986</v>
      </c>
      <c r="B2113" s="2" t="s">
        <v>2626</v>
      </c>
      <c r="C2113" s="2" t="s">
        <v>2527</v>
      </c>
      <c r="D2113" s="2" t="s">
        <v>2528</v>
      </c>
      <c r="E2113" s="2" t="s">
        <v>2529</v>
      </c>
      <c r="F2113" s="3">
        <v>152677</v>
      </c>
      <c r="G2113" s="3">
        <v>12307</v>
      </c>
      <c r="H2113" s="3">
        <v>585</v>
      </c>
      <c r="I2113" s="4">
        <v>5434.15</v>
      </c>
      <c r="J2113" s="4">
        <v>12185.95</v>
      </c>
      <c r="K2113" s="3">
        <v>501</v>
      </c>
      <c r="L2113" s="2" t="s">
        <v>2518</v>
      </c>
      <c r="M2113" s="2" t="s">
        <v>2546</v>
      </c>
      <c r="N2113" s="8">
        <f>IFERROR(G2113/F2113,0)</f>
        <v>8.0608081112413785E-2</v>
      </c>
      <c r="O2113" s="8">
        <f>IFERROR(H2113/G2113,0)</f>
        <v>4.7533923783212806E-2</v>
      </c>
      <c r="P2113" s="4">
        <f>IFERROR(I2113/G2113,0)</f>
        <v>0.44154952466076214</v>
      </c>
      <c r="Q2113" s="4">
        <f>IFERROR(I2113/H2113,0)</f>
        <v>9.2891452991452983</v>
      </c>
      <c r="R2113" s="12">
        <f>IFERROR(J2113/I2113,0)</f>
        <v>2.2424758241859357</v>
      </c>
      <c r="S2113" s="7">
        <f>Tabla_nuevas_columnas[[#This Row],[ROAS]]</f>
        <v>2.2424758241859357</v>
      </c>
      <c r="T2113" t="str">
        <f>_xlfn.CONCAT(C2113,"-",D2113)</f>
        <v>Affiliate-España</v>
      </c>
      <c r="U2113">
        <f>YEAR(A2113)</f>
        <v>2025</v>
      </c>
      <c r="V2113">
        <f>MONTH(A2113)</f>
        <v>11</v>
      </c>
      <c r="W2113" t="str">
        <f>PROPER(TEXT(A2113,"mmmm"))</f>
        <v>Noviembre</v>
      </c>
      <c r="X2113" t="str">
        <f>PROPER(TEXT(A2113,"dddd"))</f>
        <v>Martes</v>
      </c>
      <c r="Y2113" t="str" cm="1">
        <f t="array" ref="Y2113">_xlfn.IFS(R2113&gt;10,"Excelente",R2113&gt;=5,"Bueno",R2113&gt;=2,"Débil",R2113&lt;2,"Deficiente")</f>
        <v>Débil</v>
      </c>
      <c r="Z2113" t="str">
        <f>IF(AND(R2113&lt;2,Q2113&gt;=100),"Revisar","OK")</f>
        <v>OK</v>
      </c>
      <c r="AA2113" s="55">
        <f>_xlfn.XLOOKUP(C2113,'Preguntas de negocio'!$C$114:$C$119,'Preguntas de negocio'!$D$114:$D$119,0)</f>
        <v>4.5</v>
      </c>
      <c r="AB2113" s="55">
        <f>VLOOKUP(C2113,'Preguntas de negocio'!$C$121:$D$127,2,FALSE)</f>
        <v>0.35</v>
      </c>
    </row>
    <row r="2114" spans="1:28" x14ac:dyDescent="0.3">
      <c r="A2114" s="1">
        <v>45804</v>
      </c>
      <c r="B2114" s="2" t="s">
        <v>2619</v>
      </c>
      <c r="C2114" s="2" t="s">
        <v>2521</v>
      </c>
      <c r="D2114" s="2" t="s">
        <v>2528</v>
      </c>
      <c r="E2114" s="2" t="s">
        <v>2529</v>
      </c>
      <c r="F2114" s="3">
        <v>47951</v>
      </c>
      <c r="G2114" s="3">
        <v>896</v>
      </c>
      <c r="H2114" s="3">
        <v>43</v>
      </c>
      <c r="I2114" s="4">
        <v>1668.04</v>
      </c>
      <c r="J2114" s="4">
        <v>2366.06</v>
      </c>
      <c r="K2114" s="3">
        <v>28</v>
      </c>
      <c r="L2114" s="2" t="s">
        <v>2536</v>
      </c>
      <c r="M2114" s="2" t="s">
        <v>2519</v>
      </c>
      <c r="N2114" s="8">
        <f>IFERROR(G2114/F2114,0)</f>
        <v>1.8685741694646617E-2</v>
      </c>
      <c r="O2114" s="8">
        <f>IFERROR(H2114/G2114,0)</f>
        <v>4.7991071428571432E-2</v>
      </c>
      <c r="P2114" s="4">
        <f>IFERROR(I2114/G2114,0)</f>
        <v>1.8616517857142856</v>
      </c>
      <c r="Q2114" s="4">
        <f>IFERROR(I2114/H2114,0)</f>
        <v>38.791627906976743</v>
      </c>
      <c r="R2114" s="12">
        <f>IFERROR(J2114/I2114,0)</f>
        <v>1.4184671830411741</v>
      </c>
      <c r="S2114" s="7">
        <f>Tabla_nuevas_columnas[[#This Row],[ROAS]]</f>
        <v>1.4184671830411741</v>
      </c>
      <c r="T2114" t="str">
        <f>_xlfn.CONCAT(C2114,"-",D2114)</f>
        <v>Paid Search-España</v>
      </c>
      <c r="U2114">
        <f>YEAR(A2114)</f>
        <v>2025</v>
      </c>
      <c r="V2114">
        <f>MONTH(A2114)</f>
        <v>5</v>
      </c>
      <c r="W2114" t="str">
        <f>PROPER(TEXT(A2114,"mmmm"))</f>
        <v>Mayo</v>
      </c>
      <c r="X2114" t="str">
        <f>PROPER(TEXT(A2114,"dddd"))</f>
        <v>Martes</v>
      </c>
      <c r="Y2114" t="str" cm="1">
        <f t="array" ref="Y2114">_xlfn.IFS(R2114&gt;10,"Excelente",R2114&gt;=5,"Bueno",R2114&gt;=2,"Débil",R2114&lt;2,"Deficiente")</f>
        <v>Deficiente</v>
      </c>
      <c r="Z2114" t="str">
        <f>IF(AND(R2114&lt;2,Q2114&gt;=100),"Revisar","OK")</f>
        <v>OK</v>
      </c>
      <c r="AA2114" s="55">
        <f>_xlfn.XLOOKUP(C2114,'Preguntas de negocio'!$C$114:$C$119,'Preguntas de negocio'!$D$114:$D$119,0)</f>
        <v>5</v>
      </c>
      <c r="AB2114" s="55">
        <f>VLOOKUP(C2114,'Preguntas de negocio'!$C$121:$D$127,2,FALSE)</f>
        <v>1.1000000000000001</v>
      </c>
    </row>
    <row r="2115" spans="1:28" x14ac:dyDescent="0.3">
      <c r="A2115" s="1">
        <v>45674</v>
      </c>
      <c r="B2115" s="2" t="s">
        <v>2622</v>
      </c>
      <c r="C2115" s="2" t="s">
        <v>2541</v>
      </c>
      <c r="D2115" s="2" t="s">
        <v>2528</v>
      </c>
      <c r="E2115" s="2" t="s">
        <v>2529</v>
      </c>
      <c r="F2115" s="3">
        <v>17221</v>
      </c>
      <c r="G2115" s="3">
        <v>1244</v>
      </c>
      <c r="H2115" s="3">
        <v>123</v>
      </c>
      <c r="I2115" s="4">
        <v>1902.44</v>
      </c>
      <c r="J2115" s="4">
        <v>23709.45</v>
      </c>
      <c r="K2115" s="3">
        <v>80</v>
      </c>
      <c r="L2115" s="2" t="s">
        <v>2536</v>
      </c>
      <c r="M2115" s="2" t="s">
        <v>2524</v>
      </c>
      <c r="N2115" s="8">
        <f>IFERROR(G2115/F2115,0)</f>
        <v>7.2237384588583711E-2</v>
      </c>
      <c r="O2115" s="8">
        <f>IFERROR(H2115/G2115,0)</f>
        <v>9.8874598070739547E-2</v>
      </c>
      <c r="P2115" s="4">
        <f>IFERROR(I2115/G2115,0)</f>
        <v>1.5292926045016078</v>
      </c>
      <c r="Q2115" s="4">
        <f>IFERROR(I2115/H2115,0)</f>
        <v>15.466991869918699</v>
      </c>
      <c r="R2115" s="12">
        <f>IFERROR(J2115/I2115,0)</f>
        <v>12.462653224280398</v>
      </c>
      <c r="S2115" s="7">
        <f>Tabla_nuevas_columnas[[#This Row],[ROAS]]</f>
        <v>12.462653224280398</v>
      </c>
      <c r="T2115" t="str">
        <f>_xlfn.CONCAT(C2115,"-",D2115)</f>
        <v>Display-España</v>
      </c>
      <c r="U2115">
        <f>YEAR(A2115)</f>
        <v>2025</v>
      </c>
      <c r="V2115">
        <f>MONTH(A2115)</f>
        <v>1</v>
      </c>
      <c r="W2115" t="str">
        <f>PROPER(TEXT(A2115,"mmmm"))</f>
        <v>Enero</v>
      </c>
      <c r="X2115" t="str">
        <f>PROPER(TEXT(A2115,"dddd"))</f>
        <v>Viernes</v>
      </c>
      <c r="Y2115" t="str" cm="1">
        <f t="array" ref="Y2115">_xlfn.IFS(R2115&gt;10,"Excelente",R2115&gt;=5,"Bueno",R2115&gt;=2,"Débil",R2115&lt;2,"Deficiente")</f>
        <v>Excelente</v>
      </c>
      <c r="Z2115" t="str">
        <f>IF(AND(R2115&lt;2,Q2115&gt;=100),"Revisar","OK")</f>
        <v>OK</v>
      </c>
      <c r="AA2115" s="55">
        <f>_xlfn.XLOOKUP(C2115,'Preguntas de negocio'!$C$114:$C$119,'Preguntas de negocio'!$D$114:$D$119,0)</f>
        <v>5</v>
      </c>
      <c r="AB2115" s="55">
        <f>VLOOKUP(C2115,'Preguntas de negocio'!$C$121:$D$127,2,FALSE)</f>
        <v>0.5</v>
      </c>
    </row>
    <row r="2116" spans="1:28" x14ac:dyDescent="0.3">
      <c r="A2116" s="1">
        <v>45714</v>
      </c>
      <c r="B2116" s="2" t="s">
        <v>2624</v>
      </c>
      <c r="C2116" s="2" t="s">
        <v>2533</v>
      </c>
      <c r="D2116" s="2" t="s">
        <v>2528</v>
      </c>
      <c r="E2116" s="2" t="s">
        <v>2529</v>
      </c>
      <c r="F2116" s="3">
        <v>64373</v>
      </c>
      <c r="G2116" s="3">
        <v>1115</v>
      </c>
      <c r="H2116" s="3">
        <v>122</v>
      </c>
      <c r="I2116" s="4">
        <v>962.21</v>
      </c>
      <c r="J2116" s="4">
        <v>12517.02</v>
      </c>
      <c r="K2116" s="3">
        <v>98</v>
      </c>
      <c r="L2116" s="2" t="s">
        <v>2536</v>
      </c>
      <c r="M2116" s="2" t="s">
        <v>2537</v>
      </c>
      <c r="N2116" s="8">
        <f>IFERROR(G2116/F2116,0)</f>
        <v>1.7320926475385644E-2</v>
      </c>
      <c r="O2116" s="8">
        <f>IFERROR(H2116/G2116,0)</f>
        <v>0.10941704035874439</v>
      </c>
      <c r="P2116" s="4">
        <f>IFERROR(I2116/G2116,0)</f>
        <v>0.86296860986547086</v>
      </c>
      <c r="Q2116" s="4">
        <f>IFERROR(I2116/H2116,0)</f>
        <v>7.8869672131147546</v>
      </c>
      <c r="R2116" s="12">
        <f>IFERROR(J2116/I2116,0)</f>
        <v>13.008615582876919</v>
      </c>
      <c r="S2116" s="7">
        <f>Tabla_nuevas_columnas[[#This Row],[ROAS]]</f>
        <v>13.008615582876919</v>
      </c>
      <c r="T2116" t="str">
        <f>_xlfn.CONCAT(C2116,"-",D2116)</f>
        <v>Paid Social-España</v>
      </c>
      <c r="U2116">
        <f>YEAR(A2116)</f>
        <v>2025</v>
      </c>
      <c r="V2116">
        <f>MONTH(A2116)</f>
        <v>2</v>
      </c>
      <c r="W2116" t="str">
        <f>PROPER(TEXT(A2116,"mmmm"))</f>
        <v>Febrero</v>
      </c>
      <c r="X2116" t="str">
        <f>PROPER(TEXT(A2116,"dddd"))</f>
        <v>Miércoles</v>
      </c>
      <c r="Y2116" t="str" cm="1">
        <f t="array" ref="Y2116">_xlfn.IFS(R2116&gt;10,"Excelente",R2116&gt;=5,"Bueno",R2116&gt;=2,"Débil",R2116&lt;2,"Deficiente")</f>
        <v>Excelente</v>
      </c>
      <c r="Z2116" t="str">
        <f>IF(AND(R2116&lt;2,Q2116&gt;=100),"Revisar","OK")</f>
        <v>OK</v>
      </c>
      <c r="AA2116" s="55">
        <f>_xlfn.XLOOKUP(C2116,'Preguntas de negocio'!$C$114:$C$119,'Preguntas de negocio'!$D$114:$D$119,0)</f>
        <v>6</v>
      </c>
      <c r="AB2116" s="55">
        <f>VLOOKUP(C2116,'Preguntas de negocio'!$C$121:$D$127,2,FALSE)</f>
        <v>0.8</v>
      </c>
    </row>
    <row r="2117" spans="1:28" x14ac:dyDescent="0.3">
      <c r="A2117" s="1">
        <v>45873</v>
      </c>
      <c r="B2117" s="2" t="s">
        <v>2623</v>
      </c>
      <c r="C2117" s="2" t="s">
        <v>2541</v>
      </c>
      <c r="D2117" s="2" t="s">
        <v>2528</v>
      </c>
      <c r="E2117" s="2" t="s">
        <v>2517</v>
      </c>
      <c r="F2117" s="3">
        <v>74397</v>
      </c>
      <c r="G2117" s="3">
        <v>1633</v>
      </c>
      <c r="H2117" s="3">
        <v>213</v>
      </c>
      <c r="I2117" s="4">
        <v>689.46</v>
      </c>
      <c r="J2117" s="4">
        <v>20691.45</v>
      </c>
      <c r="K2117" s="3">
        <v>95</v>
      </c>
      <c r="L2117" s="2" t="s">
        <v>2523</v>
      </c>
      <c r="M2117" s="2" t="s">
        <v>2519</v>
      </c>
      <c r="N2117" s="8">
        <f>IFERROR(G2117/F2117,0)</f>
        <v>2.1949809804158772E-2</v>
      </c>
      <c r="O2117" s="8">
        <f>IFERROR(H2117/G2117,0)</f>
        <v>0.13043478260869565</v>
      </c>
      <c r="P2117" s="4">
        <f>IFERROR(I2117/G2117,0)</f>
        <v>0.4222045315370484</v>
      </c>
      <c r="Q2117" s="4">
        <f>IFERROR(I2117/H2117,0)</f>
        <v>3.2369014084507044</v>
      </c>
      <c r="R2117" s="12">
        <f>IFERROR(J2117/I2117,0)</f>
        <v>30.011095640066138</v>
      </c>
      <c r="S2117" s="7">
        <f>Tabla_nuevas_columnas[[#This Row],[ROAS]]</f>
        <v>30.011095640066138</v>
      </c>
      <c r="T2117" t="str">
        <f>_xlfn.CONCAT(C2117,"-",D2117)</f>
        <v>Display-España</v>
      </c>
      <c r="U2117">
        <f>YEAR(A2117)</f>
        <v>2025</v>
      </c>
      <c r="V2117">
        <f>MONTH(A2117)</f>
        <v>8</v>
      </c>
      <c r="W2117" t="str">
        <f>PROPER(TEXT(A2117,"mmmm"))</f>
        <v>Agosto</v>
      </c>
      <c r="X2117" t="str">
        <f>PROPER(TEXT(A2117,"dddd"))</f>
        <v>Lunes</v>
      </c>
      <c r="Y2117" t="str" cm="1">
        <f t="array" ref="Y2117">_xlfn.IFS(R2117&gt;10,"Excelente",R2117&gt;=5,"Bueno",R2117&gt;=2,"Débil",R2117&lt;2,"Deficiente")</f>
        <v>Excelente</v>
      </c>
      <c r="Z2117" t="str">
        <f>IF(AND(R2117&lt;2,Q2117&gt;=100),"Revisar","OK")</f>
        <v>OK</v>
      </c>
      <c r="AA2117" s="55">
        <f>_xlfn.XLOOKUP(C2117,'Preguntas de negocio'!$C$114:$C$119,'Preguntas de negocio'!$D$114:$D$119,0)</f>
        <v>5</v>
      </c>
      <c r="AB2117" s="55">
        <f>VLOOKUP(C2117,'Preguntas de negocio'!$C$121:$D$127,2,FALSE)</f>
        <v>0.5</v>
      </c>
    </row>
    <row r="2118" spans="1:28" x14ac:dyDescent="0.3">
      <c r="A2118" s="1">
        <v>45936</v>
      </c>
      <c r="B2118" s="2" t="s">
        <v>2628</v>
      </c>
      <c r="C2118" s="2" t="s">
        <v>2521</v>
      </c>
      <c r="D2118" s="2" t="s">
        <v>2525</v>
      </c>
      <c r="E2118" s="2" t="s">
        <v>2517</v>
      </c>
      <c r="F2118" s="3">
        <v>68463</v>
      </c>
      <c r="G2118" s="3">
        <v>2798</v>
      </c>
      <c r="H2118" s="3">
        <v>113</v>
      </c>
      <c r="I2118" s="4">
        <v>5291.64</v>
      </c>
      <c r="J2118" s="4">
        <v>20327.22</v>
      </c>
      <c r="K2118" s="3">
        <v>80</v>
      </c>
      <c r="L2118" s="2" t="s">
        <v>2539</v>
      </c>
      <c r="M2118" s="2" t="s">
        <v>2546</v>
      </c>
      <c r="N2118" s="8">
        <f>IFERROR(G2118/F2118,0)</f>
        <v>4.0868790441552373E-2</v>
      </c>
      <c r="O2118" s="8">
        <f>IFERROR(H2118/G2118,0)</f>
        <v>4.0385989992852034E-2</v>
      </c>
      <c r="P2118" s="4">
        <f>IFERROR(I2118/G2118,0)</f>
        <v>1.8912223016440315</v>
      </c>
      <c r="Q2118" s="4">
        <f>IFERROR(I2118/H2118,0)</f>
        <v>46.828672566371687</v>
      </c>
      <c r="R2118" s="12">
        <f>IFERROR(J2118/I2118,0)</f>
        <v>3.8413837676032383</v>
      </c>
      <c r="S2118" s="7">
        <f>Tabla_nuevas_columnas[[#This Row],[ROAS]]</f>
        <v>3.8413837676032383</v>
      </c>
      <c r="T2118" t="str">
        <f>_xlfn.CONCAT(C2118,"-",D2118)</f>
        <v>Paid Search-Francia</v>
      </c>
      <c r="U2118">
        <f>YEAR(A2118)</f>
        <v>2025</v>
      </c>
      <c r="V2118">
        <f>MONTH(A2118)</f>
        <v>10</v>
      </c>
      <c r="W2118" t="str">
        <f>PROPER(TEXT(A2118,"mmmm"))</f>
        <v>Octubre</v>
      </c>
      <c r="X2118" t="str">
        <f>PROPER(TEXT(A2118,"dddd"))</f>
        <v>Lunes</v>
      </c>
      <c r="Y2118" t="str" cm="1">
        <f t="array" ref="Y2118">_xlfn.IFS(R2118&gt;10,"Excelente",R2118&gt;=5,"Bueno",R2118&gt;=2,"Débil",R2118&lt;2,"Deficiente")</f>
        <v>Débil</v>
      </c>
      <c r="Z2118" t="str">
        <f>IF(AND(R2118&lt;2,Q2118&gt;=100),"Revisar","OK")</f>
        <v>OK</v>
      </c>
      <c r="AA2118" s="55">
        <f>_xlfn.XLOOKUP(C2118,'Preguntas de negocio'!$C$114:$C$119,'Preguntas de negocio'!$D$114:$D$119,0)</f>
        <v>5</v>
      </c>
      <c r="AB2118" s="55">
        <f>VLOOKUP(C2118,'Preguntas de negocio'!$C$121:$D$127,2,FALSE)</f>
        <v>1.1000000000000001</v>
      </c>
    </row>
    <row r="2119" spans="1:28" x14ac:dyDescent="0.3">
      <c r="A2119" s="1">
        <v>45899</v>
      </c>
      <c r="B2119" s="2" t="s">
        <v>2639</v>
      </c>
      <c r="C2119" s="2" t="s">
        <v>2543</v>
      </c>
      <c r="D2119" s="2" t="s">
        <v>2528</v>
      </c>
      <c r="E2119" s="2" t="s">
        <v>2517</v>
      </c>
      <c r="F2119" s="3">
        <v>118978</v>
      </c>
      <c r="G2119" s="3">
        <v>8992</v>
      </c>
      <c r="H2119" s="3">
        <v>1171</v>
      </c>
      <c r="I2119" s="4">
        <v>1391.39</v>
      </c>
      <c r="J2119" s="4">
        <v>203724.65</v>
      </c>
      <c r="K2119" s="3">
        <v>557</v>
      </c>
      <c r="L2119" s="2" t="s">
        <v>2536</v>
      </c>
      <c r="M2119" s="2" t="s">
        <v>2546</v>
      </c>
      <c r="N2119" s="8">
        <f>IFERROR(G2119/F2119,0)</f>
        <v>7.5576997428095954E-2</v>
      </c>
      <c r="O2119" s="8">
        <f>IFERROR(H2119/G2119,0)</f>
        <v>0.13022686832740213</v>
      </c>
      <c r="P2119" s="4">
        <f>IFERROR(I2119/G2119,0)</f>
        <v>0.15473643238434165</v>
      </c>
      <c r="Q2119" s="4">
        <f>IFERROR(I2119/H2119,0)</f>
        <v>1.1882066609735269</v>
      </c>
      <c r="R2119" s="12">
        <f>IFERROR(J2119/I2119,0)</f>
        <v>146.41807832455314</v>
      </c>
      <c r="S2119" s="7">
        <f>Tabla_nuevas_columnas[[#This Row],[ROAS]]</f>
        <v>146.41807832455314</v>
      </c>
      <c r="T2119" t="str">
        <f>_xlfn.CONCAT(C2119,"-",D2119)</f>
        <v>Organic Social-España</v>
      </c>
      <c r="U2119">
        <f>YEAR(A2119)</f>
        <v>2025</v>
      </c>
      <c r="V2119">
        <f>MONTH(A2119)</f>
        <v>8</v>
      </c>
      <c r="W2119" t="str">
        <f>PROPER(TEXT(A2119,"mmmm"))</f>
        <v>Agosto</v>
      </c>
      <c r="X2119" t="str">
        <f>PROPER(TEXT(A2119,"dddd"))</f>
        <v>Sábado</v>
      </c>
      <c r="Y2119" t="str" cm="1">
        <f t="array" ref="Y2119">_xlfn.IFS(R2119&gt;10,"Excelente",R2119&gt;=5,"Bueno",R2119&gt;=2,"Débil",R2119&lt;2,"Deficiente")</f>
        <v>Excelente</v>
      </c>
      <c r="Z2119" t="str">
        <f>IF(AND(R2119&lt;2,Q2119&gt;=100),"Revisar","OK")</f>
        <v>OK</v>
      </c>
      <c r="AA2119" s="55">
        <f>_xlfn.XLOOKUP(C2119,'Preguntas de negocio'!$C$114:$C$119,'Preguntas de negocio'!$D$114:$D$119,0)</f>
        <v>4</v>
      </c>
      <c r="AB2119" s="55">
        <f>VLOOKUP(C2119,'Preguntas de negocio'!$C$121:$D$127,2,FALSE)</f>
        <v>0.95</v>
      </c>
    </row>
    <row r="2120" spans="1:28" x14ac:dyDescent="0.3">
      <c r="A2120" s="1">
        <v>45716</v>
      </c>
      <c r="B2120" s="2" t="s">
        <v>2641</v>
      </c>
      <c r="C2120" s="2" t="s">
        <v>2515</v>
      </c>
      <c r="D2120" s="2" t="s">
        <v>2525</v>
      </c>
      <c r="E2120" s="2" t="s">
        <v>2517</v>
      </c>
      <c r="F2120" s="3">
        <v>61899</v>
      </c>
      <c r="G2120" s="3">
        <v>2080</v>
      </c>
      <c r="H2120" s="3">
        <v>133</v>
      </c>
      <c r="I2120" s="4">
        <v>3165.87</v>
      </c>
      <c r="J2120" s="4">
        <v>7164.27</v>
      </c>
      <c r="K2120" s="3">
        <v>91</v>
      </c>
      <c r="L2120" s="2" t="s">
        <v>2539</v>
      </c>
      <c r="M2120" s="2" t="s">
        <v>2537</v>
      </c>
      <c r="N2120" s="8">
        <f>IFERROR(G2120/F2120,0)</f>
        <v>3.3603127675729816E-2</v>
      </c>
      <c r="O2120" s="8">
        <f>IFERROR(H2120/G2120,0)</f>
        <v>6.3942307692307687E-2</v>
      </c>
      <c r="P2120" s="4">
        <f>IFERROR(I2120/G2120,0)</f>
        <v>1.5220528846153845</v>
      </c>
      <c r="Q2120" s="4">
        <f>IFERROR(I2120/H2120,0)</f>
        <v>23.803533834586464</v>
      </c>
      <c r="R2120" s="12">
        <f>IFERROR(J2120/I2120,0)</f>
        <v>2.2629703683347708</v>
      </c>
      <c r="S2120" s="7">
        <f>Tabla_nuevas_columnas[[#This Row],[ROAS]]</f>
        <v>2.2629703683347708</v>
      </c>
      <c r="T2120" t="str">
        <f>_xlfn.CONCAT(C2120,"-",D2120)</f>
        <v>Email-Francia</v>
      </c>
      <c r="U2120">
        <f>YEAR(A2120)</f>
        <v>2025</v>
      </c>
      <c r="V2120">
        <f>MONTH(A2120)</f>
        <v>2</v>
      </c>
      <c r="W2120" t="str">
        <f>PROPER(TEXT(A2120,"mmmm"))</f>
        <v>Febrero</v>
      </c>
      <c r="X2120" t="str">
        <f>PROPER(TEXT(A2120,"dddd"))</f>
        <v>Viernes</v>
      </c>
      <c r="Y2120" t="str" cm="1">
        <f t="array" ref="Y2120">_xlfn.IFS(R2120&gt;10,"Excelente",R2120&gt;=5,"Bueno",R2120&gt;=2,"Débil",R2120&lt;2,"Deficiente")</f>
        <v>Débil</v>
      </c>
      <c r="Z2120" t="str">
        <f>IF(AND(R2120&lt;2,Q2120&gt;=100),"Revisar","OK")</f>
        <v>OK</v>
      </c>
      <c r="AA2120" s="55">
        <f>_xlfn.XLOOKUP(C2120,'Preguntas de negocio'!$C$114:$C$119,'Preguntas de negocio'!$D$114:$D$119,0)</f>
        <v>5.5</v>
      </c>
      <c r="AB2120" s="55">
        <f>VLOOKUP(C2120,'Preguntas de negocio'!$C$121:$D$127,2,FALSE)</f>
        <v>0.65</v>
      </c>
    </row>
    <row r="2121" spans="1:28" x14ac:dyDescent="0.3">
      <c r="A2121" s="1">
        <v>45954</v>
      </c>
      <c r="B2121" s="2" t="s">
        <v>2634</v>
      </c>
      <c r="C2121" s="2" t="s">
        <v>2527</v>
      </c>
      <c r="D2121" s="2" t="s">
        <v>2525</v>
      </c>
      <c r="E2121" s="2" t="s">
        <v>2517</v>
      </c>
      <c r="F2121" s="3">
        <v>38441</v>
      </c>
      <c r="G2121" s="3">
        <v>1203</v>
      </c>
      <c r="H2121" s="3">
        <v>83</v>
      </c>
      <c r="I2121" s="4">
        <v>353</v>
      </c>
      <c r="J2121" s="4">
        <v>4209.84</v>
      </c>
      <c r="K2121" s="3">
        <v>45</v>
      </c>
      <c r="L2121" s="2" t="s">
        <v>2539</v>
      </c>
      <c r="M2121" s="2" t="s">
        <v>2526</v>
      </c>
      <c r="N2121" s="8">
        <f>IFERROR(G2121/F2121,0)</f>
        <v>3.1294711375874716E-2</v>
      </c>
      <c r="O2121" s="8">
        <f>IFERROR(H2121/G2121,0)</f>
        <v>6.8994181213632585E-2</v>
      </c>
      <c r="P2121" s="4">
        <f>IFERROR(I2121/G2121,0)</f>
        <v>0.29343308395677475</v>
      </c>
      <c r="Q2121" s="4">
        <f>IFERROR(I2121/H2121,0)</f>
        <v>4.2530120481927707</v>
      </c>
      <c r="R2121" s="12">
        <f>IFERROR(J2121/I2121,0)</f>
        <v>11.925892351274788</v>
      </c>
      <c r="S2121" s="7">
        <f>Tabla_nuevas_columnas[[#This Row],[ROAS]]</f>
        <v>11.925892351274788</v>
      </c>
      <c r="T2121" t="str">
        <f>_xlfn.CONCAT(C2121,"-",D2121)</f>
        <v>Affiliate-Francia</v>
      </c>
      <c r="U2121">
        <f>YEAR(A2121)</f>
        <v>2025</v>
      </c>
      <c r="V2121">
        <f>MONTH(A2121)</f>
        <v>10</v>
      </c>
      <c r="W2121" t="str">
        <f>PROPER(TEXT(A2121,"mmmm"))</f>
        <v>Octubre</v>
      </c>
      <c r="X2121" t="str">
        <f>PROPER(TEXT(A2121,"dddd"))</f>
        <v>Viernes</v>
      </c>
      <c r="Y2121" t="str" cm="1">
        <f t="array" ref="Y2121">_xlfn.IFS(R2121&gt;10,"Excelente",R2121&gt;=5,"Bueno",R2121&gt;=2,"Débil",R2121&lt;2,"Deficiente")</f>
        <v>Excelente</v>
      </c>
      <c r="Z2121" t="str">
        <f>IF(AND(R2121&lt;2,Q2121&gt;=100),"Revisar","OK")</f>
        <v>OK</v>
      </c>
      <c r="AA2121" s="55">
        <f>_xlfn.XLOOKUP(C2121,'Preguntas de negocio'!$C$114:$C$119,'Preguntas de negocio'!$D$114:$D$119,0)</f>
        <v>4.5</v>
      </c>
      <c r="AB2121" s="55">
        <f>VLOOKUP(C2121,'Preguntas de negocio'!$C$121:$D$127,2,FALSE)</f>
        <v>0.35</v>
      </c>
    </row>
    <row r="2122" spans="1:28" x14ac:dyDescent="0.3">
      <c r="A2122" s="1">
        <v>45872</v>
      </c>
      <c r="B2122" s="2" t="s">
        <v>2617</v>
      </c>
      <c r="C2122" s="2" t="s">
        <v>2515</v>
      </c>
      <c r="D2122" s="2" t="s">
        <v>2528</v>
      </c>
      <c r="E2122" s="2" t="s">
        <v>2517</v>
      </c>
      <c r="F2122" s="3">
        <v>179572</v>
      </c>
      <c r="G2122" s="3">
        <v>12201</v>
      </c>
      <c r="H2122" s="3">
        <v>942</v>
      </c>
      <c r="I2122" s="4">
        <v>13510.98</v>
      </c>
      <c r="J2122" s="4">
        <v>167325.26999999999</v>
      </c>
      <c r="K2122" s="3">
        <v>512</v>
      </c>
      <c r="L2122" s="2" t="s">
        <v>2518</v>
      </c>
      <c r="M2122" s="2" t="s">
        <v>2519</v>
      </c>
      <c r="N2122" s="8">
        <f>IFERROR(G2122/F2122,0)</f>
        <v>6.7944891185708234E-2</v>
      </c>
      <c r="O2122" s="8">
        <f>IFERROR(H2122/G2122,0)</f>
        <v>7.7206786328989432E-2</v>
      </c>
      <c r="P2122" s="4">
        <f>IFERROR(I2122/G2122,0)</f>
        <v>1.1073666092943202</v>
      </c>
      <c r="Q2122" s="4">
        <f>IFERROR(I2122/H2122,0)</f>
        <v>14.342866242038216</v>
      </c>
      <c r="R2122" s="12">
        <f>IFERROR(J2122/I2122,0)</f>
        <v>12.384391805775746</v>
      </c>
      <c r="S2122" s="7">
        <f>Tabla_nuevas_columnas[[#This Row],[ROAS]]</f>
        <v>12.384391805775746</v>
      </c>
      <c r="T2122" t="str">
        <f>_xlfn.CONCAT(C2122,"-",D2122)</f>
        <v>Email-España</v>
      </c>
      <c r="U2122">
        <f>YEAR(A2122)</f>
        <v>2025</v>
      </c>
      <c r="V2122">
        <f>MONTH(A2122)</f>
        <v>8</v>
      </c>
      <c r="W2122" t="str">
        <f>PROPER(TEXT(A2122,"mmmm"))</f>
        <v>Agosto</v>
      </c>
      <c r="X2122" t="str">
        <f>PROPER(TEXT(A2122,"dddd"))</f>
        <v>Domingo</v>
      </c>
      <c r="Y2122" t="str" cm="1">
        <f t="array" ref="Y2122">_xlfn.IFS(R2122&gt;10,"Excelente",R2122&gt;=5,"Bueno",R2122&gt;=2,"Débil",R2122&lt;2,"Deficiente")</f>
        <v>Excelente</v>
      </c>
      <c r="Z2122" t="str">
        <f>IF(AND(R2122&lt;2,Q2122&gt;=100),"Revisar","OK")</f>
        <v>OK</v>
      </c>
      <c r="AA2122" s="55">
        <f>_xlfn.XLOOKUP(C2122,'Preguntas de negocio'!$C$114:$C$119,'Preguntas de negocio'!$D$114:$D$119,0)</f>
        <v>5.5</v>
      </c>
      <c r="AB2122" s="55">
        <f>VLOOKUP(C2122,'Preguntas de negocio'!$C$121:$D$127,2,FALSE)</f>
        <v>0.65</v>
      </c>
    </row>
    <row r="2123" spans="1:28" x14ac:dyDescent="0.3">
      <c r="A2123" s="1">
        <v>45825</v>
      </c>
      <c r="B2123" s="2" t="s">
        <v>2642</v>
      </c>
      <c r="C2123" s="2" t="s">
        <v>2541</v>
      </c>
      <c r="D2123" s="2" t="s">
        <v>2516</v>
      </c>
      <c r="E2123" s="2" t="s">
        <v>2517</v>
      </c>
      <c r="F2123" s="3">
        <v>15935</v>
      </c>
      <c r="G2123" s="3">
        <v>1301</v>
      </c>
      <c r="H2123" s="3">
        <v>115</v>
      </c>
      <c r="I2123" s="4">
        <v>1238.22</v>
      </c>
      <c r="J2123" s="4">
        <v>12768.87</v>
      </c>
      <c r="K2123" s="3">
        <v>91</v>
      </c>
      <c r="L2123" s="2" t="s">
        <v>2523</v>
      </c>
      <c r="M2123" s="2" t="s">
        <v>2546</v>
      </c>
      <c r="N2123" s="8">
        <f>IFERROR(G2123/F2123,0)</f>
        <v>8.164417947913398E-2</v>
      </c>
      <c r="O2123" s="8">
        <f>IFERROR(H2123/G2123,0)</f>
        <v>8.8393543428132201E-2</v>
      </c>
      <c r="P2123" s="4">
        <f>IFERROR(I2123/G2123,0)</f>
        <v>0.95174481168332059</v>
      </c>
      <c r="Q2123" s="4">
        <f>IFERROR(I2123/H2123,0)</f>
        <v>10.76713043478261</v>
      </c>
      <c r="R2123" s="12">
        <f>IFERROR(J2123/I2123,0)</f>
        <v>10.312278916509182</v>
      </c>
      <c r="S2123" s="7">
        <f>Tabla_nuevas_columnas[[#This Row],[ROAS]]</f>
        <v>10.312278916509182</v>
      </c>
      <c r="T2123" t="str">
        <f>_xlfn.CONCAT(C2123,"-",D2123)</f>
        <v>Display-México</v>
      </c>
      <c r="U2123">
        <f>YEAR(A2123)</f>
        <v>2025</v>
      </c>
      <c r="V2123">
        <f>MONTH(A2123)</f>
        <v>6</v>
      </c>
      <c r="W2123" t="str">
        <f>PROPER(TEXT(A2123,"mmmm"))</f>
        <v>Junio</v>
      </c>
      <c r="X2123" t="str">
        <f>PROPER(TEXT(A2123,"dddd"))</f>
        <v>Martes</v>
      </c>
      <c r="Y2123" t="str" cm="1">
        <f t="array" ref="Y2123">_xlfn.IFS(R2123&gt;10,"Excelente",R2123&gt;=5,"Bueno",R2123&gt;=2,"Débil",R2123&lt;2,"Deficiente")</f>
        <v>Excelente</v>
      </c>
      <c r="Z2123" t="str">
        <f>IF(AND(R2123&lt;2,Q2123&gt;=100),"Revisar","OK")</f>
        <v>OK</v>
      </c>
      <c r="AA2123" s="55">
        <f>_xlfn.XLOOKUP(C2123,'Preguntas de negocio'!$C$114:$C$119,'Preguntas de negocio'!$D$114:$D$119,0)</f>
        <v>5</v>
      </c>
      <c r="AB2123" s="55">
        <f>VLOOKUP(C2123,'Preguntas de negocio'!$C$121:$D$127,2,FALSE)</f>
        <v>0.5</v>
      </c>
    </row>
    <row r="2124" spans="1:28" x14ac:dyDescent="0.3">
      <c r="A2124" s="1">
        <v>45772</v>
      </c>
      <c r="B2124" s="2" t="s">
        <v>2617</v>
      </c>
      <c r="C2124" s="2" t="s">
        <v>2533</v>
      </c>
      <c r="D2124" s="2" t="s">
        <v>2522</v>
      </c>
      <c r="E2124" s="2" t="s">
        <v>2529</v>
      </c>
      <c r="F2124" s="3">
        <v>72739</v>
      </c>
      <c r="G2124" s="3">
        <v>1797</v>
      </c>
      <c r="H2124" s="3">
        <v>77</v>
      </c>
      <c r="I2124" s="4">
        <v>2076.1799999999998</v>
      </c>
      <c r="J2124" s="4">
        <v>10066.379999999999</v>
      </c>
      <c r="K2124" s="3">
        <v>39</v>
      </c>
      <c r="L2124" s="2" t="s">
        <v>2518</v>
      </c>
      <c r="M2124" s="2" t="s">
        <v>2519</v>
      </c>
      <c r="N2124" s="8">
        <f>IFERROR(G2124/F2124,0)</f>
        <v>2.4704766356425028E-2</v>
      </c>
      <c r="O2124" s="8">
        <f>IFERROR(H2124/G2124,0)</f>
        <v>4.2849193099610459E-2</v>
      </c>
      <c r="P2124" s="4">
        <f>IFERROR(I2124/G2124,0)</f>
        <v>1.1553589315525876</v>
      </c>
      <c r="Q2124" s="4">
        <f>IFERROR(I2124/H2124,0)</f>
        <v>26.963376623376622</v>
      </c>
      <c r="R2124" s="12">
        <f>IFERROR(J2124/I2124,0)</f>
        <v>4.8485102447764641</v>
      </c>
      <c r="S2124" s="7">
        <f>Tabla_nuevas_columnas[[#This Row],[ROAS]]</f>
        <v>4.8485102447764641</v>
      </c>
      <c r="T2124" t="str">
        <f>_xlfn.CONCAT(C2124,"-",D2124)</f>
        <v>Paid Social-Italia</v>
      </c>
      <c r="U2124">
        <f>YEAR(A2124)</f>
        <v>2025</v>
      </c>
      <c r="V2124">
        <f>MONTH(A2124)</f>
        <v>4</v>
      </c>
      <c r="W2124" t="str">
        <f>PROPER(TEXT(A2124,"mmmm"))</f>
        <v>Abril</v>
      </c>
      <c r="X2124" t="str">
        <f>PROPER(TEXT(A2124,"dddd"))</f>
        <v>Viernes</v>
      </c>
      <c r="Y2124" t="str" cm="1">
        <f t="array" ref="Y2124">_xlfn.IFS(R2124&gt;10,"Excelente",R2124&gt;=5,"Bueno",R2124&gt;=2,"Débil",R2124&lt;2,"Deficiente")</f>
        <v>Débil</v>
      </c>
      <c r="Z2124" t="str">
        <f>IF(AND(R2124&lt;2,Q2124&gt;=100),"Revisar","OK")</f>
        <v>OK</v>
      </c>
      <c r="AA2124" s="55">
        <f>_xlfn.XLOOKUP(C2124,'Preguntas de negocio'!$C$114:$C$119,'Preguntas de negocio'!$D$114:$D$119,0)</f>
        <v>6</v>
      </c>
      <c r="AB2124" s="55">
        <f>VLOOKUP(C2124,'Preguntas de negocio'!$C$121:$D$127,2,FALSE)</f>
        <v>0.8</v>
      </c>
    </row>
    <row r="2125" spans="1:28" x14ac:dyDescent="0.3">
      <c r="A2125" s="1">
        <v>45898</v>
      </c>
      <c r="B2125" s="2" t="s">
        <v>2617</v>
      </c>
      <c r="C2125" s="2" t="s">
        <v>2533</v>
      </c>
      <c r="D2125" s="2" t="s">
        <v>2528</v>
      </c>
      <c r="E2125" s="2" t="s">
        <v>2529</v>
      </c>
      <c r="F2125" s="3">
        <v>112626</v>
      </c>
      <c r="G2125" s="3">
        <v>1406</v>
      </c>
      <c r="H2125" s="3">
        <v>18</v>
      </c>
      <c r="I2125" s="4">
        <v>289.36</v>
      </c>
      <c r="J2125" s="4">
        <v>805.83</v>
      </c>
      <c r="K2125" s="3">
        <v>13</v>
      </c>
      <c r="L2125" s="2" t="s">
        <v>2518</v>
      </c>
      <c r="M2125" s="2" t="s">
        <v>2546</v>
      </c>
      <c r="N2125" s="8">
        <f>IFERROR(G2125/F2125,0)</f>
        <v>1.2483795926340276E-2</v>
      </c>
      <c r="O2125" s="8">
        <f>IFERROR(H2125/G2125,0)</f>
        <v>1.2802275960170697E-2</v>
      </c>
      <c r="P2125" s="4">
        <f>IFERROR(I2125/G2125,0)</f>
        <v>0.2058036984352774</v>
      </c>
      <c r="Q2125" s="4">
        <f>IFERROR(I2125/H2125,0)</f>
        <v>16.075555555555557</v>
      </c>
      <c r="R2125" s="12">
        <f>IFERROR(J2125/I2125,0)</f>
        <v>2.7848700580591652</v>
      </c>
      <c r="S2125" s="7">
        <f>Tabla_nuevas_columnas[[#This Row],[ROAS]]</f>
        <v>2.7848700580591652</v>
      </c>
      <c r="T2125" t="str">
        <f>_xlfn.CONCAT(C2125,"-",D2125)</f>
        <v>Paid Social-España</v>
      </c>
      <c r="U2125">
        <f>YEAR(A2125)</f>
        <v>2025</v>
      </c>
      <c r="V2125">
        <f>MONTH(A2125)</f>
        <v>8</v>
      </c>
      <c r="W2125" t="str">
        <f>PROPER(TEXT(A2125,"mmmm"))</f>
        <v>Agosto</v>
      </c>
      <c r="X2125" t="str">
        <f>PROPER(TEXT(A2125,"dddd"))</f>
        <v>Viernes</v>
      </c>
      <c r="Y2125" t="str" cm="1">
        <f t="array" ref="Y2125">_xlfn.IFS(R2125&gt;10,"Excelente",R2125&gt;=5,"Bueno",R2125&gt;=2,"Débil",R2125&lt;2,"Deficiente")</f>
        <v>Débil</v>
      </c>
      <c r="Z2125" t="str">
        <f>IF(AND(R2125&lt;2,Q2125&gt;=100),"Revisar","OK")</f>
        <v>OK</v>
      </c>
      <c r="AA2125" s="55">
        <f>_xlfn.XLOOKUP(C2125,'Preguntas de negocio'!$C$114:$C$119,'Preguntas de negocio'!$D$114:$D$119,0)</f>
        <v>6</v>
      </c>
      <c r="AB2125" s="55">
        <f>VLOOKUP(C2125,'Preguntas de negocio'!$C$121:$D$127,2,FALSE)</f>
        <v>0.8</v>
      </c>
    </row>
    <row r="2126" spans="1:28" x14ac:dyDescent="0.3">
      <c r="A2126" s="1">
        <v>45774</v>
      </c>
      <c r="B2126" s="2" t="s">
        <v>2627</v>
      </c>
      <c r="C2126" s="2" t="s">
        <v>2515</v>
      </c>
      <c r="D2126" s="2" t="s">
        <v>2528</v>
      </c>
      <c r="E2126" s="2" t="s">
        <v>2529</v>
      </c>
      <c r="F2126" s="3">
        <v>79966</v>
      </c>
      <c r="G2126" s="3">
        <v>4398</v>
      </c>
      <c r="H2126" s="3">
        <v>360</v>
      </c>
      <c r="I2126" s="4">
        <v>7998.2</v>
      </c>
      <c r="J2126" s="4">
        <v>10434.65</v>
      </c>
      <c r="K2126" s="3">
        <v>237</v>
      </c>
      <c r="L2126" s="2" t="s">
        <v>2536</v>
      </c>
      <c r="M2126" s="2" t="s">
        <v>2526</v>
      </c>
      <c r="N2126" s="8">
        <f>IFERROR(G2126/F2126,0)</f>
        <v>5.499837430908136E-2</v>
      </c>
      <c r="O2126" s="8">
        <f>IFERROR(H2126/G2126,0)</f>
        <v>8.1855388813096869E-2</v>
      </c>
      <c r="P2126" s="4">
        <f>IFERROR(I2126/G2126,0)</f>
        <v>1.8185993633469759</v>
      </c>
      <c r="Q2126" s="4">
        <f>IFERROR(I2126/H2126,0)</f>
        <v>22.217222222222222</v>
      </c>
      <c r="R2126" s="12">
        <f>IFERROR(J2126/I2126,0)</f>
        <v>1.3046247905778801</v>
      </c>
      <c r="S2126" s="7">
        <f>Tabla_nuevas_columnas[[#This Row],[ROAS]]</f>
        <v>1.3046247905778801</v>
      </c>
      <c r="T2126" t="str">
        <f>_xlfn.CONCAT(C2126,"-",D2126)</f>
        <v>Email-España</v>
      </c>
      <c r="U2126">
        <f>YEAR(A2126)</f>
        <v>2025</v>
      </c>
      <c r="V2126">
        <f>MONTH(A2126)</f>
        <v>4</v>
      </c>
      <c r="W2126" t="str">
        <f>PROPER(TEXT(A2126,"mmmm"))</f>
        <v>Abril</v>
      </c>
      <c r="X2126" t="str">
        <f>PROPER(TEXT(A2126,"dddd"))</f>
        <v>Domingo</v>
      </c>
      <c r="Y2126" t="str" cm="1">
        <f t="array" ref="Y2126">_xlfn.IFS(R2126&gt;10,"Excelente",R2126&gt;=5,"Bueno",R2126&gt;=2,"Débil",R2126&lt;2,"Deficiente")</f>
        <v>Deficiente</v>
      </c>
      <c r="Z2126" t="str">
        <f>IF(AND(R2126&lt;2,Q2126&gt;=100),"Revisar","OK")</f>
        <v>OK</v>
      </c>
      <c r="AA2126" s="55">
        <f>_xlfn.XLOOKUP(C2126,'Preguntas de negocio'!$C$114:$C$119,'Preguntas de negocio'!$D$114:$D$119,0)</f>
        <v>5.5</v>
      </c>
      <c r="AB2126" s="55">
        <f>VLOOKUP(C2126,'Preguntas de negocio'!$C$121:$D$127,2,FALSE)</f>
        <v>0.65</v>
      </c>
    </row>
    <row r="2127" spans="1:28" x14ac:dyDescent="0.3">
      <c r="A2127" s="1">
        <v>45674</v>
      </c>
      <c r="B2127" s="2" t="s">
        <v>2622</v>
      </c>
      <c r="C2127" s="2" t="s">
        <v>2533</v>
      </c>
      <c r="D2127" s="2" t="s">
        <v>2522</v>
      </c>
      <c r="E2127" s="2" t="s">
        <v>2529</v>
      </c>
      <c r="F2127" s="3">
        <v>20288</v>
      </c>
      <c r="G2127" s="3">
        <v>863</v>
      </c>
      <c r="H2127" s="3">
        <v>29</v>
      </c>
      <c r="I2127" s="4">
        <v>974.74</v>
      </c>
      <c r="J2127" s="4">
        <v>4127.5600000000004</v>
      </c>
      <c r="K2127" s="3">
        <v>19</v>
      </c>
      <c r="L2127" s="2" t="s">
        <v>2518</v>
      </c>
      <c r="M2127" s="2" t="s">
        <v>2524</v>
      </c>
      <c r="N2127" s="8">
        <f>IFERROR(G2127/F2127,0)</f>
        <v>4.2537460567823343E-2</v>
      </c>
      <c r="O2127" s="8">
        <f>IFERROR(H2127/G2127,0)</f>
        <v>3.3603707995365009E-2</v>
      </c>
      <c r="P2127" s="4">
        <f>IFERROR(I2127/G2127,0)</f>
        <v>1.1294785631517961</v>
      </c>
      <c r="Q2127" s="4">
        <f>IFERROR(I2127/H2127,0)</f>
        <v>33.611724137931034</v>
      </c>
      <c r="R2127" s="12">
        <f>IFERROR(J2127/I2127,0)</f>
        <v>4.2345240782157294</v>
      </c>
      <c r="S2127" s="7">
        <f>Tabla_nuevas_columnas[[#This Row],[ROAS]]</f>
        <v>4.2345240782157294</v>
      </c>
      <c r="T2127" t="str">
        <f>_xlfn.CONCAT(C2127,"-",D2127)</f>
        <v>Paid Social-Italia</v>
      </c>
      <c r="U2127">
        <f>YEAR(A2127)</f>
        <v>2025</v>
      </c>
      <c r="V2127">
        <f>MONTH(A2127)</f>
        <v>1</v>
      </c>
      <c r="W2127" t="str">
        <f>PROPER(TEXT(A2127,"mmmm"))</f>
        <v>Enero</v>
      </c>
      <c r="X2127" t="str">
        <f>PROPER(TEXT(A2127,"dddd"))</f>
        <v>Viernes</v>
      </c>
      <c r="Y2127" t="str" cm="1">
        <f t="array" ref="Y2127">_xlfn.IFS(R2127&gt;10,"Excelente",R2127&gt;=5,"Bueno",R2127&gt;=2,"Débil",R2127&lt;2,"Deficiente")</f>
        <v>Débil</v>
      </c>
      <c r="Z2127" t="str">
        <f>IF(AND(R2127&lt;2,Q2127&gt;=100),"Revisar","OK")</f>
        <v>OK</v>
      </c>
      <c r="AA2127" s="55">
        <f>_xlfn.XLOOKUP(C2127,'Preguntas de negocio'!$C$114:$C$119,'Preguntas de negocio'!$D$114:$D$119,0)</f>
        <v>6</v>
      </c>
      <c r="AB2127" s="55">
        <f>VLOOKUP(C2127,'Preguntas de negocio'!$C$121:$D$127,2,FALSE)</f>
        <v>0.8</v>
      </c>
    </row>
    <row r="2128" spans="1:28" x14ac:dyDescent="0.3">
      <c r="A2128" s="1">
        <v>45913</v>
      </c>
      <c r="B2128" s="2" t="s">
        <v>2622</v>
      </c>
      <c r="C2128" s="2" t="s">
        <v>2541</v>
      </c>
      <c r="D2128" s="2" t="s">
        <v>2528</v>
      </c>
      <c r="E2128" s="2" t="s">
        <v>2517</v>
      </c>
      <c r="F2128" s="3">
        <v>179624</v>
      </c>
      <c r="G2128" s="3">
        <v>7442</v>
      </c>
      <c r="H2128" s="3">
        <v>712</v>
      </c>
      <c r="I2128" s="4">
        <v>5662.89</v>
      </c>
      <c r="J2128" s="4">
        <v>151077.67000000001</v>
      </c>
      <c r="K2128" s="3">
        <v>455</v>
      </c>
      <c r="L2128" s="2" t="s">
        <v>2536</v>
      </c>
      <c r="M2128" s="2" t="s">
        <v>2526</v>
      </c>
      <c r="N2128" s="8">
        <f>IFERROR(G2128/F2128,0)</f>
        <v>4.1430989177392775E-2</v>
      </c>
      <c r="O2128" s="8">
        <f>IFERROR(H2128/G2128,0)</f>
        <v>9.5673206127385113E-2</v>
      </c>
      <c r="P2128" s="4">
        <f>IFERROR(I2128/G2128,0)</f>
        <v>0.76093657618919652</v>
      </c>
      <c r="Q2128" s="4">
        <f>IFERROR(I2128/H2128,0)</f>
        <v>7.9534971910112366</v>
      </c>
      <c r="R2128" s="12">
        <f>IFERROR(J2128/I2128,0)</f>
        <v>26.678545760203711</v>
      </c>
      <c r="S2128" s="7">
        <f>Tabla_nuevas_columnas[[#This Row],[ROAS]]</f>
        <v>26.678545760203711</v>
      </c>
      <c r="T2128" t="str">
        <f>_xlfn.CONCAT(C2128,"-",D2128)</f>
        <v>Display-España</v>
      </c>
      <c r="U2128">
        <f>YEAR(A2128)</f>
        <v>2025</v>
      </c>
      <c r="V2128">
        <f>MONTH(A2128)</f>
        <v>9</v>
      </c>
      <c r="W2128" t="str">
        <f>PROPER(TEXT(A2128,"mmmm"))</f>
        <v>Septiembre</v>
      </c>
      <c r="X2128" t="str">
        <f>PROPER(TEXT(A2128,"dddd"))</f>
        <v>Sábado</v>
      </c>
      <c r="Y2128" t="str" cm="1">
        <f t="array" ref="Y2128">_xlfn.IFS(R2128&gt;10,"Excelente",R2128&gt;=5,"Bueno",R2128&gt;=2,"Débil",R2128&lt;2,"Deficiente")</f>
        <v>Excelente</v>
      </c>
      <c r="Z2128" t="str">
        <f>IF(AND(R2128&lt;2,Q2128&gt;=100),"Revisar","OK")</f>
        <v>OK</v>
      </c>
      <c r="AA2128" s="55">
        <f>_xlfn.XLOOKUP(C2128,'Preguntas de negocio'!$C$114:$C$119,'Preguntas de negocio'!$D$114:$D$119,0)</f>
        <v>5</v>
      </c>
      <c r="AB2128" s="55">
        <f>VLOOKUP(C2128,'Preguntas de negocio'!$C$121:$D$127,2,FALSE)</f>
        <v>0.5</v>
      </c>
    </row>
    <row r="2129" spans="1:28" x14ac:dyDescent="0.3">
      <c r="A2129" s="1">
        <v>45704</v>
      </c>
      <c r="B2129" s="2" t="s">
        <v>2619</v>
      </c>
      <c r="C2129" s="2" t="s">
        <v>2543</v>
      </c>
      <c r="D2129" s="2" t="s">
        <v>2525</v>
      </c>
      <c r="E2129" s="2" t="s">
        <v>2517</v>
      </c>
      <c r="F2129" s="3">
        <v>131266</v>
      </c>
      <c r="G2129" s="3">
        <v>8744</v>
      </c>
      <c r="H2129" s="3">
        <v>394</v>
      </c>
      <c r="I2129" s="4">
        <v>1678.44</v>
      </c>
      <c r="J2129" s="4">
        <v>18661.669999999998</v>
      </c>
      <c r="K2129" s="3">
        <v>304</v>
      </c>
      <c r="L2129" s="2" t="s">
        <v>2518</v>
      </c>
      <c r="M2129" s="2" t="s">
        <v>2526</v>
      </c>
      <c r="N2129" s="8">
        <f>IFERROR(G2129/F2129,0)</f>
        <v>6.6612831959532548E-2</v>
      </c>
      <c r="O2129" s="8">
        <f>IFERROR(H2129/G2129,0)</f>
        <v>4.5059469350411711E-2</v>
      </c>
      <c r="P2129" s="4">
        <f>IFERROR(I2129/G2129,0)</f>
        <v>0.19195333943275389</v>
      </c>
      <c r="Q2129" s="4">
        <f>IFERROR(I2129/H2129,0)</f>
        <v>4.26</v>
      </c>
      <c r="R2129" s="12">
        <f>IFERROR(J2129/I2129,0)</f>
        <v>11.118461190152759</v>
      </c>
      <c r="S2129" s="7">
        <f>Tabla_nuevas_columnas[[#This Row],[ROAS]]</f>
        <v>11.118461190152759</v>
      </c>
      <c r="T2129" t="str">
        <f>_xlfn.CONCAT(C2129,"-",D2129)</f>
        <v>Organic Social-Francia</v>
      </c>
      <c r="U2129">
        <f>YEAR(A2129)</f>
        <v>2025</v>
      </c>
      <c r="V2129">
        <f>MONTH(A2129)</f>
        <v>2</v>
      </c>
      <c r="W2129" t="str">
        <f>PROPER(TEXT(A2129,"mmmm"))</f>
        <v>Febrero</v>
      </c>
      <c r="X2129" t="str">
        <f>PROPER(TEXT(A2129,"dddd"))</f>
        <v>Domingo</v>
      </c>
      <c r="Y2129" t="str" cm="1">
        <f t="array" ref="Y2129">_xlfn.IFS(R2129&gt;10,"Excelente",R2129&gt;=5,"Bueno",R2129&gt;=2,"Débil",R2129&lt;2,"Deficiente")</f>
        <v>Excelente</v>
      </c>
      <c r="Z2129" t="str">
        <f>IF(AND(R2129&lt;2,Q2129&gt;=100),"Revisar","OK")</f>
        <v>OK</v>
      </c>
      <c r="AA2129" s="55">
        <f>_xlfn.XLOOKUP(C2129,'Preguntas de negocio'!$C$114:$C$119,'Preguntas de negocio'!$D$114:$D$119,0)</f>
        <v>4</v>
      </c>
      <c r="AB2129" s="55">
        <f>VLOOKUP(C2129,'Preguntas de negocio'!$C$121:$D$127,2,FALSE)</f>
        <v>0.95</v>
      </c>
    </row>
    <row r="2130" spans="1:28" x14ac:dyDescent="0.3">
      <c r="A2130" s="1">
        <v>45707</v>
      </c>
      <c r="B2130" s="2" t="s">
        <v>2641</v>
      </c>
      <c r="C2130" s="2" t="s">
        <v>2543</v>
      </c>
      <c r="D2130" s="2" t="s">
        <v>2645</v>
      </c>
      <c r="E2130" s="2" t="s">
        <v>2517</v>
      </c>
      <c r="F2130" s="3">
        <v>62047</v>
      </c>
      <c r="G2130" s="3">
        <v>4603</v>
      </c>
      <c r="H2130" s="3">
        <v>213</v>
      </c>
      <c r="I2130" s="4">
        <v>8542.27</v>
      </c>
      <c r="J2130" s="4">
        <v>15293.41</v>
      </c>
      <c r="K2130" s="3">
        <v>123</v>
      </c>
      <c r="L2130" s="2" t="s">
        <v>2518</v>
      </c>
      <c r="M2130" s="2" t="s">
        <v>2519</v>
      </c>
      <c r="N2130" s="8">
        <f>IFERROR(G2130/F2130,0)</f>
        <v>7.4185697938659409E-2</v>
      </c>
      <c r="O2130" s="8">
        <f>IFERROR(H2130/G2130,0)</f>
        <v>4.6274169020204217E-2</v>
      </c>
      <c r="P2130" s="4">
        <f>IFERROR(I2130/G2130,0)</f>
        <v>1.8558049098414078</v>
      </c>
      <c r="Q2130" s="4">
        <f>IFERROR(I2130/H2130,0)</f>
        <v>40.104553990610327</v>
      </c>
      <c r="R2130" s="12">
        <f>IFERROR(J2130/I2130,0)</f>
        <v>1.7903215421661922</v>
      </c>
      <c r="S2130" s="7">
        <f>Tabla_nuevas_columnas[[#This Row],[ROAS]]</f>
        <v>1.7903215421661922</v>
      </c>
      <c r="T2130" t="str">
        <f>_xlfn.CONCAT(C2130,"-",D2130)</f>
        <v>Organic Social-Por identificar</v>
      </c>
      <c r="U2130">
        <f>YEAR(A2130)</f>
        <v>2025</v>
      </c>
      <c r="V2130">
        <f>MONTH(A2130)</f>
        <v>2</v>
      </c>
      <c r="W2130" t="str">
        <f>PROPER(TEXT(A2130,"mmmm"))</f>
        <v>Febrero</v>
      </c>
      <c r="X2130" t="str">
        <f>PROPER(TEXT(A2130,"dddd"))</f>
        <v>Miércoles</v>
      </c>
      <c r="Y2130" t="str" cm="1">
        <f t="array" ref="Y2130">_xlfn.IFS(R2130&gt;10,"Excelente",R2130&gt;=5,"Bueno",R2130&gt;=2,"Débil",R2130&lt;2,"Deficiente")</f>
        <v>Deficiente</v>
      </c>
      <c r="Z2130" t="str">
        <f>IF(AND(R2130&lt;2,Q2130&gt;=100),"Revisar","OK")</f>
        <v>OK</v>
      </c>
      <c r="AA2130" s="55">
        <f>_xlfn.XLOOKUP(C2130,'Preguntas de negocio'!$C$114:$C$119,'Preguntas de negocio'!$D$114:$D$119,0)</f>
        <v>4</v>
      </c>
      <c r="AB2130" s="55">
        <f>VLOOKUP(C2130,'Preguntas de negocio'!$C$121:$D$127,2,FALSE)</f>
        <v>0.95</v>
      </c>
    </row>
    <row r="2131" spans="1:28" x14ac:dyDescent="0.3">
      <c r="A2131" s="1">
        <v>45990</v>
      </c>
      <c r="B2131" s="2" t="s">
        <v>2627</v>
      </c>
      <c r="C2131" s="2" t="s">
        <v>2541</v>
      </c>
      <c r="D2131" s="2" t="s">
        <v>2528</v>
      </c>
      <c r="E2131" s="2" t="s">
        <v>2517</v>
      </c>
      <c r="F2131" s="3">
        <v>178805</v>
      </c>
      <c r="G2131" s="3">
        <v>4889</v>
      </c>
      <c r="H2131" s="3">
        <v>232</v>
      </c>
      <c r="I2131" s="4">
        <v>3787.09</v>
      </c>
      <c r="J2131" s="4">
        <v>42097.83</v>
      </c>
      <c r="K2131" s="3">
        <v>122</v>
      </c>
      <c r="L2131" s="2" t="s">
        <v>2536</v>
      </c>
      <c r="M2131" s="2" t="s">
        <v>2519</v>
      </c>
      <c r="N2131" s="8">
        <f>IFERROR(G2131/F2131,0)</f>
        <v>2.7342635832331312E-2</v>
      </c>
      <c r="O2131" s="8">
        <f>IFERROR(H2131/G2131,0)</f>
        <v>4.7453466966659849E-2</v>
      </c>
      <c r="P2131" s="4">
        <f>IFERROR(I2131/G2131,0)</f>
        <v>0.7746144405808959</v>
      </c>
      <c r="Q2131" s="4">
        <f>IFERROR(I2131/H2131,0)</f>
        <v>16.323663793103449</v>
      </c>
      <c r="R2131" s="12">
        <f>IFERROR(J2131/I2131,0)</f>
        <v>11.116141945398709</v>
      </c>
      <c r="S2131" s="7">
        <f>Tabla_nuevas_columnas[[#This Row],[ROAS]]</f>
        <v>11.116141945398709</v>
      </c>
      <c r="T2131" t="str">
        <f>_xlfn.CONCAT(C2131,"-",D2131)</f>
        <v>Display-España</v>
      </c>
      <c r="U2131">
        <f>YEAR(A2131)</f>
        <v>2025</v>
      </c>
      <c r="V2131">
        <f>MONTH(A2131)</f>
        <v>11</v>
      </c>
      <c r="W2131" t="str">
        <f>PROPER(TEXT(A2131,"mmmm"))</f>
        <v>Noviembre</v>
      </c>
      <c r="X2131" t="str">
        <f>PROPER(TEXT(A2131,"dddd"))</f>
        <v>Sábado</v>
      </c>
      <c r="Y2131" t="str" cm="1">
        <f t="array" ref="Y2131">_xlfn.IFS(R2131&gt;10,"Excelente",R2131&gt;=5,"Bueno",R2131&gt;=2,"Débil",R2131&lt;2,"Deficiente")</f>
        <v>Excelente</v>
      </c>
      <c r="Z2131" t="str">
        <f>IF(AND(R2131&lt;2,Q2131&gt;=100),"Revisar","OK")</f>
        <v>OK</v>
      </c>
      <c r="AA2131" s="55">
        <f>_xlfn.XLOOKUP(C2131,'Preguntas de negocio'!$C$114:$C$119,'Preguntas de negocio'!$D$114:$D$119,0)</f>
        <v>5</v>
      </c>
      <c r="AB2131" s="55">
        <f>VLOOKUP(C2131,'Preguntas de negocio'!$C$121:$D$127,2,FALSE)</f>
        <v>0.5</v>
      </c>
    </row>
    <row r="2132" spans="1:28" x14ac:dyDescent="0.3">
      <c r="A2132" s="1">
        <v>46021</v>
      </c>
      <c r="B2132" s="2" t="s">
        <v>2636</v>
      </c>
      <c r="C2132" s="2" t="s">
        <v>2541</v>
      </c>
      <c r="D2132" s="2" t="s">
        <v>2528</v>
      </c>
      <c r="E2132" s="2" t="s">
        <v>2517</v>
      </c>
      <c r="F2132" s="3">
        <v>150843</v>
      </c>
      <c r="G2132" s="3">
        <v>11566</v>
      </c>
      <c r="H2132" s="3">
        <v>412</v>
      </c>
      <c r="I2132" s="4">
        <v>22706.01</v>
      </c>
      <c r="J2132" s="4">
        <v>12086.79</v>
      </c>
      <c r="K2132" s="3">
        <v>317</v>
      </c>
      <c r="L2132" s="2" t="s">
        <v>2518</v>
      </c>
      <c r="M2132" s="2" t="s">
        <v>2526</v>
      </c>
      <c r="N2132" s="8">
        <f>IFERROR(G2132/F2132,0)</f>
        <v>7.667574895752538E-2</v>
      </c>
      <c r="O2132" s="8">
        <f>IFERROR(H2132/G2132,0)</f>
        <v>3.5621649662804775E-2</v>
      </c>
      <c r="P2132" s="4">
        <f>IFERROR(I2132/G2132,0)</f>
        <v>1.9631687705343246</v>
      </c>
      <c r="Q2132" s="4">
        <f>IFERROR(I2132/H2132,0)</f>
        <v>55.111674757281548</v>
      </c>
      <c r="R2132" s="12">
        <f>IFERROR(J2132/I2132,0)</f>
        <v>0.53231677428134672</v>
      </c>
      <c r="S2132" s="7">
        <f>Tabla_nuevas_columnas[[#This Row],[ROAS]]</f>
        <v>0.53231677428134672</v>
      </c>
      <c r="T2132" t="str">
        <f>_xlfn.CONCAT(C2132,"-",D2132)</f>
        <v>Display-España</v>
      </c>
      <c r="U2132">
        <f>YEAR(A2132)</f>
        <v>2025</v>
      </c>
      <c r="V2132">
        <f>MONTH(A2132)</f>
        <v>12</v>
      </c>
      <c r="W2132" t="str">
        <f>PROPER(TEXT(A2132,"mmmm"))</f>
        <v>Diciembre</v>
      </c>
      <c r="X2132" t="str">
        <f>PROPER(TEXT(A2132,"dddd"))</f>
        <v>Martes</v>
      </c>
      <c r="Y2132" t="str" cm="1">
        <f t="array" ref="Y2132">_xlfn.IFS(R2132&gt;10,"Excelente",R2132&gt;=5,"Bueno",R2132&gt;=2,"Débil",R2132&lt;2,"Deficiente")</f>
        <v>Deficiente</v>
      </c>
      <c r="Z2132" t="str">
        <f>IF(AND(R2132&lt;2,Q2132&gt;=100),"Revisar","OK")</f>
        <v>OK</v>
      </c>
      <c r="AA2132" s="55">
        <f>_xlfn.XLOOKUP(C2132,'Preguntas de negocio'!$C$114:$C$119,'Preguntas de negocio'!$D$114:$D$119,0)</f>
        <v>5</v>
      </c>
      <c r="AB2132" s="55">
        <f>VLOOKUP(C2132,'Preguntas de negocio'!$C$121:$D$127,2,FALSE)</f>
        <v>0.5</v>
      </c>
    </row>
    <row r="2133" spans="1:28" x14ac:dyDescent="0.3">
      <c r="A2133" s="1">
        <v>45757</v>
      </c>
      <c r="B2133" s="2" t="s">
        <v>2632</v>
      </c>
      <c r="C2133" s="2" t="s">
        <v>2527</v>
      </c>
      <c r="D2133" s="2" t="s">
        <v>2528</v>
      </c>
      <c r="E2133" s="2" t="s">
        <v>2517</v>
      </c>
      <c r="F2133" s="3">
        <v>120666</v>
      </c>
      <c r="G2133" s="3">
        <v>6149</v>
      </c>
      <c r="H2133" s="3">
        <v>428</v>
      </c>
      <c r="I2133" s="4">
        <v>8464.7900000000009</v>
      </c>
      <c r="J2133" s="4">
        <v>66365.919999999998</v>
      </c>
      <c r="K2133" s="3">
        <v>347</v>
      </c>
      <c r="L2133" s="2" t="s">
        <v>2523</v>
      </c>
      <c r="M2133" s="2" t="s">
        <v>2519</v>
      </c>
      <c r="N2133" s="8">
        <f>IFERROR(G2133/F2133,0)</f>
        <v>5.0958845076492135E-2</v>
      </c>
      <c r="O2133" s="8">
        <f>IFERROR(H2133/G2133,0)</f>
        <v>6.9604813790860309E-2</v>
      </c>
      <c r="P2133" s="4">
        <f>IFERROR(I2133/G2133,0)</f>
        <v>1.3766124573101319</v>
      </c>
      <c r="Q2133" s="4">
        <f>IFERROR(I2133/H2133,0)</f>
        <v>19.777546728971966</v>
      </c>
      <c r="R2133" s="12">
        <f>IFERROR(J2133/I2133,0)</f>
        <v>7.8402323034593877</v>
      </c>
      <c r="S2133" s="7">
        <f>Tabla_nuevas_columnas[[#This Row],[ROAS]]</f>
        <v>7.8402323034593877</v>
      </c>
      <c r="T2133" t="str">
        <f>_xlfn.CONCAT(C2133,"-",D2133)</f>
        <v>Affiliate-España</v>
      </c>
      <c r="U2133">
        <f>YEAR(A2133)</f>
        <v>2025</v>
      </c>
      <c r="V2133">
        <f>MONTH(A2133)</f>
        <v>4</v>
      </c>
      <c r="W2133" t="str">
        <f>PROPER(TEXT(A2133,"mmmm"))</f>
        <v>Abril</v>
      </c>
      <c r="X2133" t="str">
        <f>PROPER(TEXT(A2133,"dddd"))</f>
        <v>Jueves</v>
      </c>
      <c r="Y2133" t="str" cm="1">
        <f t="array" ref="Y2133">_xlfn.IFS(R2133&gt;10,"Excelente",R2133&gt;=5,"Bueno",R2133&gt;=2,"Débil",R2133&lt;2,"Deficiente")</f>
        <v>Bueno</v>
      </c>
      <c r="Z2133" t="str">
        <f>IF(AND(R2133&lt;2,Q2133&gt;=100),"Revisar","OK")</f>
        <v>OK</v>
      </c>
      <c r="AA2133" s="55">
        <f>_xlfn.XLOOKUP(C2133,'Preguntas de negocio'!$C$114:$C$119,'Preguntas de negocio'!$D$114:$D$119,0)</f>
        <v>4.5</v>
      </c>
      <c r="AB2133" s="55">
        <f>VLOOKUP(C2133,'Preguntas de negocio'!$C$121:$D$127,2,FALSE)</f>
        <v>0.35</v>
      </c>
    </row>
    <row r="2134" spans="1:28" x14ac:dyDescent="0.3">
      <c r="A2134" s="1">
        <v>45738</v>
      </c>
      <c r="B2134" s="2" t="s">
        <v>2638</v>
      </c>
      <c r="C2134" s="2" t="s">
        <v>2527</v>
      </c>
      <c r="D2134" s="2" t="s">
        <v>2525</v>
      </c>
      <c r="E2134" s="2" t="s">
        <v>2517</v>
      </c>
      <c r="F2134" s="3">
        <v>114607</v>
      </c>
      <c r="G2134" s="3">
        <v>2862</v>
      </c>
      <c r="H2134" s="3">
        <v>337</v>
      </c>
      <c r="I2134" s="4">
        <v>803.33</v>
      </c>
      <c r="J2134" s="4">
        <v>58408.58</v>
      </c>
      <c r="K2134" s="3">
        <v>254</v>
      </c>
      <c r="L2134" s="2" t="s">
        <v>2536</v>
      </c>
      <c r="M2134" s="2" t="s">
        <v>2519</v>
      </c>
      <c r="N2134" s="8">
        <f>IFERROR(G2134/F2134,0)</f>
        <v>2.4972296631095833E-2</v>
      </c>
      <c r="O2134" s="8">
        <f>IFERROR(H2134/G2134,0)</f>
        <v>0.11774982529699511</v>
      </c>
      <c r="P2134" s="4">
        <f>IFERROR(I2134/G2134,0)</f>
        <v>0.28068832983927328</v>
      </c>
      <c r="Q2134" s="4">
        <f>IFERROR(I2134/H2134,0)</f>
        <v>2.3837685459940654</v>
      </c>
      <c r="R2134" s="12">
        <f>IFERROR(J2134/I2134,0)</f>
        <v>72.708077626878122</v>
      </c>
      <c r="S2134" s="7">
        <f>Tabla_nuevas_columnas[[#This Row],[ROAS]]</f>
        <v>72.708077626878122</v>
      </c>
      <c r="T2134" t="str">
        <f>_xlfn.CONCAT(C2134,"-",D2134)</f>
        <v>Affiliate-Francia</v>
      </c>
      <c r="U2134">
        <f>YEAR(A2134)</f>
        <v>2025</v>
      </c>
      <c r="V2134">
        <f>MONTH(A2134)</f>
        <v>3</v>
      </c>
      <c r="W2134" t="str">
        <f>PROPER(TEXT(A2134,"mmmm"))</f>
        <v>Marzo</v>
      </c>
      <c r="X2134" t="str">
        <f>PROPER(TEXT(A2134,"dddd"))</f>
        <v>Sábado</v>
      </c>
      <c r="Y2134" t="str" cm="1">
        <f t="array" ref="Y2134">_xlfn.IFS(R2134&gt;10,"Excelente",R2134&gt;=5,"Bueno",R2134&gt;=2,"Débil",R2134&lt;2,"Deficiente")</f>
        <v>Excelente</v>
      </c>
      <c r="Z2134" t="str">
        <f>IF(AND(R2134&lt;2,Q2134&gt;=100),"Revisar","OK")</f>
        <v>OK</v>
      </c>
      <c r="AA2134" s="55">
        <f>_xlfn.XLOOKUP(C2134,'Preguntas de negocio'!$C$114:$C$119,'Preguntas de negocio'!$D$114:$D$119,0)</f>
        <v>4.5</v>
      </c>
      <c r="AB2134" s="55">
        <f>VLOOKUP(C2134,'Preguntas de negocio'!$C$121:$D$127,2,FALSE)</f>
        <v>0.35</v>
      </c>
    </row>
    <row r="2135" spans="1:28" x14ac:dyDescent="0.3">
      <c r="A2135" s="1">
        <v>45851</v>
      </c>
      <c r="B2135" s="2" t="s">
        <v>2640</v>
      </c>
      <c r="C2135" s="2" t="s">
        <v>2533</v>
      </c>
      <c r="D2135" s="2" t="s">
        <v>2525</v>
      </c>
      <c r="E2135" s="2" t="s">
        <v>2529</v>
      </c>
      <c r="F2135" s="3">
        <v>171491</v>
      </c>
      <c r="G2135" s="3">
        <v>8552</v>
      </c>
      <c r="H2135" s="3">
        <v>235</v>
      </c>
      <c r="I2135" s="4">
        <v>8114.71</v>
      </c>
      <c r="J2135" s="4">
        <v>40299.300000000003</v>
      </c>
      <c r="K2135" s="3">
        <v>151</v>
      </c>
      <c r="L2135" s="2" t="s">
        <v>2536</v>
      </c>
      <c r="M2135" s="2" t="s">
        <v>2526</v>
      </c>
      <c r="N2135" s="8">
        <f>IFERROR(G2135/F2135,0)</f>
        <v>4.9868506218985253E-2</v>
      </c>
      <c r="O2135" s="8">
        <f>IFERROR(H2135/G2135,0)</f>
        <v>2.7478952291861553E-2</v>
      </c>
      <c r="P2135" s="4">
        <f>IFERROR(I2135/G2135,0)</f>
        <v>0.9488669317118803</v>
      </c>
      <c r="Q2135" s="4">
        <f>IFERROR(I2135/H2135,0)</f>
        <v>34.530680851063828</v>
      </c>
      <c r="R2135" s="12">
        <f>IFERROR(J2135/I2135,0)</f>
        <v>4.9662033516909423</v>
      </c>
      <c r="S2135" s="7">
        <f>Tabla_nuevas_columnas[[#This Row],[ROAS]]</f>
        <v>4.9662033516909423</v>
      </c>
      <c r="T2135" t="str">
        <f>_xlfn.CONCAT(C2135,"-",D2135)</f>
        <v>Paid Social-Francia</v>
      </c>
      <c r="U2135">
        <f>YEAR(A2135)</f>
        <v>2025</v>
      </c>
      <c r="V2135">
        <f>MONTH(A2135)</f>
        <v>7</v>
      </c>
      <c r="W2135" t="str">
        <f>PROPER(TEXT(A2135,"mmmm"))</f>
        <v>Julio</v>
      </c>
      <c r="X2135" t="str">
        <f>PROPER(TEXT(A2135,"dddd"))</f>
        <v>Domingo</v>
      </c>
      <c r="Y2135" t="str" cm="1">
        <f t="array" ref="Y2135">_xlfn.IFS(R2135&gt;10,"Excelente",R2135&gt;=5,"Bueno",R2135&gt;=2,"Débil",R2135&lt;2,"Deficiente")</f>
        <v>Débil</v>
      </c>
      <c r="Z2135" t="str">
        <f>IF(AND(R2135&lt;2,Q2135&gt;=100),"Revisar","OK")</f>
        <v>OK</v>
      </c>
      <c r="AA2135" s="55">
        <f>_xlfn.XLOOKUP(C2135,'Preguntas de negocio'!$C$114:$C$119,'Preguntas de negocio'!$D$114:$D$119,0)</f>
        <v>6</v>
      </c>
      <c r="AB2135" s="55">
        <f>VLOOKUP(C2135,'Preguntas de negocio'!$C$121:$D$127,2,FALSE)</f>
        <v>0.8</v>
      </c>
    </row>
    <row r="2136" spans="1:28" x14ac:dyDescent="0.3">
      <c r="A2136" s="1">
        <v>45740</v>
      </c>
      <c r="B2136" s="2" t="s">
        <v>2618</v>
      </c>
      <c r="C2136" s="2" t="s">
        <v>2521</v>
      </c>
      <c r="D2136" s="2" t="s">
        <v>2528</v>
      </c>
      <c r="E2136" s="2" t="s">
        <v>2529</v>
      </c>
      <c r="F2136" s="3">
        <v>103572</v>
      </c>
      <c r="G2136" s="3">
        <v>1514</v>
      </c>
      <c r="H2136" s="3">
        <v>94</v>
      </c>
      <c r="I2136" s="4">
        <v>211.42</v>
      </c>
      <c r="J2136" s="4">
        <v>1413.25</v>
      </c>
      <c r="K2136" s="3">
        <v>69</v>
      </c>
      <c r="L2136" s="2" t="s">
        <v>2539</v>
      </c>
      <c r="M2136" s="2" t="s">
        <v>2524</v>
      </c>
      <c r="N2136" s="8">
        <f>IFERROR(G2136/F2136,0)</f>
        <v>1.4617850384273741E-2</v>
      </c>
      <c r="O2136" s="8">
        <f>IFERROR(H2136/G2136,0)</f>
        <v>6.2087186261558784E-2</v>
      </c>
      <c r="P2136" s="4">
        <f>IFERROR(I2136/G2136,0)</f>
        <v>0.13964332892998679</v>
      </c>
      <c r="Q2136" s="4">
        <f>IFERROR(I2136/H2136,0)</f>
        <v>2.2491489361702128</v>
      </c>
      <c r="R2136" s="12">
        <f>IFERROR(J2136/I2136,0)</f>
        <v>6.6845615362784985</v>
      </c>
      <c r="S2136" s="7">
        <f>Tabla_nuevas_columnas[[#This Row],[ROAS]]</f>
        <v>6.6845615362784985</v>
      </c>
      <c r="T2136" t="str">
        <f>_xlfn.CONCAT(C2136,"-",D2136)</f>
        <v>Paid Search-España</v>
      </c>
      <c r="U2136">
        <f>YEAR(A2136)</f>
        <v>2025</v>
      </c>
      <c r="V2136">
        <f>MONTH(A2136)</f>
        <v>3</v>
      </c>
      <c r="W2136" t="str">
        <f>PROPER(TEXT(A2136,"mmmm"))</f>
        <v>Marzo</v>
      </c>
      <c r="X2136" t="str">
        <f>PROPER(TEXT(A2136,"dddd"))</f>
        <v>Lunes</v>
      </c>
      <c r="Y2136" t="str" cm="1">
        <f t="array" ref="Y2136">_xlfn.IFS(R2136&gt;10,"Excelente",R2136&gt;=5,"Bueno",R2136&gt;=2,"Débil",R2136&lt;2,"Deficiente")</f>
        <v>Bueno</v>
      </c>
      <c r="Z2136" t="str">
        <f>IF(AND(R2136&lt;2,Q2136&gt;=100),"Revisar","OK")</f>
        <v>OK</v>
      </c>
      <c r="AA2136" s="55">
        <f>_xlfn.XLOOKUP(C2136,'Preguntas de negocio'!$C$114:$C$119,'Preguntas de negocio'!$D$114:$D$119,0)</f>
        <v>5</v>
      </c>
      <c r="AB2136" s="55">
        <f>VLOOKUP(C2136,'Preguntas de negocio'!$C$121:$D$127,2,FALSE)</f>
        <v>1.1000000000000001</v>
      </c>
    </row>
    <row r="2137" spans="1:28" x14ac:dyDescent="0.3">
      <c r="A2137" s="1">
        <v>45727</v>
      </c>
      <c r="B2137" s="2" t="s">
        <v>2621</v>
      </c>
      <c r="C2137" s="2" t="s">
        <v>2515</v>
      </c>
      <c r="D2137" s="2" t="s">
        <v>2528</v>
      </c>
      <c r="E2137" s="2" t="s">
        <v>2517</v>
      </c>
      <c r="F2137" s="3">
        <v>116849</v>
      </c>
      <c r="G2137" s="3">
        <v>10176</v>
      </c>
      <c r="H2137" s="3">
        <v>765</v>
      </c>
      <c r="I2137" s="4">
        <v>2679.28</v>
      </c>
      <c r="J2137" s="4">
        <v>20455.93</v>
      </c>
      <c r="K2137" s="3">
        <v>411</v>
      </c>
      <c r="L2137" s="2" t="s">
        <v>2523</v>
      </c>
      <c r="M2137" s="2" t="s">
        <v>2524</v>
      </c>
      <c r="N2137" s="8">
        <f>IFERROR(G2137/F2137,0)</f>
        <v>8.7086752988900201E-2</v>
      </c>
      <c r="O2137" s="8">
        <f>IFERROR(H2137/G2137,0)</f>
        <v>7.5176886792452824E-2</v>
      </c>
      <c r="P2137" s="4">
        <f>IFERROR(I2137/G2137,0)</f>
        <v>0.26329402515723271</v>
      </c>
      <c r="Q2137" s="4">
        <f>IFERROR(I2137/H2137,0)</f>
        <v>3.5023267973856211</v>
      </c>
      <c r="R2137" s="12">
        <f>IFERROR(J2137/I2137,0)</f>
        <v>7.6348608581409927</v>
      </c>
      <c r="S2137" s="7">
        <f>Tabla_nuevas_columnas[[#This Row],[ROAS]]</f>
        <v>7.6348608581409927</v>
      </c>
      <c r="T2137" t="str">
        <f>_xlfn.CONCAT(C2137,"-",D2137)</f>
        <v>Email-España</v>
      </c>
      <c r="U2137">
        <f>YEAR(A2137)</f>
        <v>2025</v>
      </c>
      <c r="V2137">
        <f>MONTH(A2137)</f>
        <v>3</v>
      </c>
      <c r="W2137" t="str">
        <f>PROPER(TEXT(A2137,"mmmm"))</f>
        <v>Marzo</v>
      </c>
      <c r="X2137" t="str">
        <f>PROPER(TEXT(A2137,"dddd"))</f>
        <v>Martes</v>
      </c>
      <c r="Y2137" t="str" cm="1">
        <f t="array" ref="Y2137">_xlfn.IFS(R2137&gt;10,"Excelente",R2137&gt;=5,"Bueno",R2137&gt;=2,"Débil",R2137&lt;2,"Deficiente")</f>
        <v>Bueno</v>
      </c>
      <c r="Z2137" t="str">
        <f>IF(AND(R2137&lt;2,Q2137&gt;=100),"Revisar","OK")</f>
        <v>OK</v>
      </c>
      <c r="AA2137" s="55">
        <f>_xlfn.XLOOKUP(C2137,'Preguntas de negocio'!$C$114:$C$119,'Preguntas de negocio'!$D$114:$D$119,0)</f>
        <v>5.5</v>
      </c>
      <c r="AB2137" s="55">
        <f>VLOOKUP(C2137,'Preguntas de negocio'!$C$121:$D$127,2,FALSE)</f>
        <v>0.65</v>
      </c>
    </row>
    <row r="2138" spans="1:28" x14ac:dyDescent="0.3">
      <c r="A2138" s="1">
        <v>45699</v>
      </c>
      <c r="B2138" s="2" t="s">
        <v>2615</v>
      </c>
      <c r="C2138" s="2" t="s">
        <v>2521</v>
      </c>
      <c r="D2138" s="2" t="s">
        <v>2531</v>
      </c>
      <c r="E2138" s="2" t="s">
        <v>2517</v>
      </c>
      <c r="F2138" s="3">
        <v>105814</v>
      </c>
      <c r="G2138" s="3">
        <v>1794</v>
      </c>
      <c r="H2138" s="3">
        <v>90</v>
      </c>
      <c r="I2138" s="4">
        <v>3585.65</v>
      </c>
      <c r="J2138" s="4">
        <v>17010.919999999998</v>
      </c>
      <c r="K2138" s="3">
        <v>57</v>
      </c>
      <c r="L2138" s="2" t="s">
        <v>2518</v>
      </c>
      <c r="M2138" s="2" t="s">
        <v>2526</v>
      </c>
      <c r="N2138" s="8">
        <f>IFERROR(G2138/F2138,0)</f>
        <v>1.695427826185571E-2</v>
      </c>
      <c r="O2138" s="8">
        <f>IFERROR(H2138/G2138,0)</f>
        <v>5.016722408026756E-2</v>
      </c>
      <c r="P2138" s="4">
        <f>IFERROR(I2138/G2138,0)</f>
        <v>1.9986900780379042</v>
      </c>
      <c r="Q2138" s="4">
        <f>IFERROR(I2138/H2138,0)</f>
        <v>39.840555555555554</v>
      </c>
      <c r="R2138" s="12">
        <f>IFERROR(J2138/I2138,0)</f>
        <v>4.7441663296752328</v>
      </c>
      <c r="S2138" s="7">
        <f>Tabla_nuevas_columnas[[#This Row],[ROAS]]</f>
        <v>4.7441663296752328</v>
      </c>
      <c r="T2138" t="str">
        <f>_xlfn.CONCAT(C2138,"-",D2138)</f>
        <v>Paid Search-Portugal</v>
      </c>
      <c r="U2138">
        <f>YEAR(A2138)</f>
        <v>2025</v>
      </c>
      <c r="V2138">
        <f>MONTH(A2138)</f>
        <v>2</v>
      </c>
      <c r="W2138" t="str">
        <f>PROPER(TEXT(A2138,"mmmm"))</f>
        <v>Febrero</v>
      </c>
      <c r="X2138" t="str">
        <f>PROPER(TEXT(A2138,"dddd"))</f>
        <v>Martes</v>
      </c>
      <c r="Y2138" t="str" cm="1">
        <f t="array" ref="Y2138">_xlfn.IFS(R2138&gt;10,"Excelente",R2138&gt;=5,"Bueno",R2138&gt;=2,"Débil",R2138&lt;2,"Deficiente")</f>
        <v>Débil</v>
      </c>
      <c r="Z2138" t="str">
        <f>IF(AND(R2138&lt;2,Q2138&gt;=100),"Revisar","OK")</f>
        <v>OK</v>
      </c>
      <c r="AA2138" s="55">
        <f>_xlfn.XLOOKUP(C2138,'Preguntas de negocio'!$C$114:$C$119,'Preguntas de negocio'!$D$114:$D$119,0)</f>
        <v>5</v>
      </c>
      <c r="AB2138" s="55">
        <f>VLOOKUP(C2138,'Preguntas de negocio'!$C$121:$D$127,2,FALSE)</f>
        <v>1.1000000000000001</v>
      </c>
    </row>
    <row r="2139" spans="1:28" x14ac:dyDescent="0.3">
      <c r="A2139" s="1">
        <v>45996</v>
      </c>
      <c r="B2139" s="2" t="s">
        <v>2630</v>
      </c>
      <c r="C2139" s="2" t="s">
        <v>2527</v>
      </c>
      <c r="D2139" s="2" t="s">
        <v>2528</v>
      </c>
      <c r="E2139" s="2" t="s">
        <v>2529</v>
      </c>
      <c r="F2139" s="3">
        <v>172769</v>
      </c>
      <c r="G2139" s="3">
        <v>833</v>
      </c>
      <c r="H2139" s="3">
        <v>19</v>
      </c>
      <c r="I2139" s="4">
        <v>1328</v>
      </c>
      <c r="J2139" s="4">
        <v>3828.01</v>
      </c>
      <c r="K2139" s="3">
        <v>15</v>
      </c>
      <c r="L2139" s="2" t="s">
        <v>2536</v>
      </c>
      <c r="M2139" s="2" t="s">
        <v>2524</v>
      </c>
      <c r="N2139" s="8">
        <f>IFERROR(G2139/F2139,0)</f>
        <v>4.8214668140696536E-3</v>
      </c>
      <c r="O2139" s="8">
        <f>IFERROR(H2139/G2139,0)</f>
        <v>2.2809123649459785E-2</v>
      </c>
      <c r="P2139" s="4">
        <f>IFERROR(I2139/G2139,0)</f>
        <v>1.5942376950780313</v>
      </c>
      <c r="Q2139" s="4">
        <f>IFERROR(I2139/H2139,0)</f>
        <v>69.89473684210526</v>
      </c>
      <c r="R2139" s="12">
        <f>IFERROR(J2139/I2139,0)</f>
        <v>2.8825376506024099</v>
      </c>
      <c r="S2139" s="7">
        <f>Tabla_nuevas_columnas[[#This Row],[ROAS]]</f>
        <v>2.8825376506024099</v>
      </c>
      <c r="T2139" t="str">
        <f>_xlfn.CONCAT(C2139,"-",D2139)</f>
        <v>Affiliate-España</v>
      </c>
      <c r="U2139">
        <f>YEAR(A2139)</f>
        <v>2025</v>
      </c>
      <c r="V2139">
        <f>MONTH(A2139)</f>
        <v>12</v>
      </c>
      <c r="W2139" t="str">
        <f>PROPER(TEXT(A2139,"mmmm"))</f>
        <v>Diciembre</v>
      </c>
      <c r="X2139" t="str">
        <f>PROPER(TEXT(A2139,"dddd"))</f>
        <v>Viernes</v>
      </c>
      <c r="Y2139" t="str" cm="1">
        <f t="array" ref="Y2139">_xlfn.IFS(R2139&gt;10,"Excelente",R2139&gt;=5,"Bueno",R2139&gt;=2,"Débil",R2139&lt;2,"Deficiente")</f>
        <v>Débil</v>
      </c>
      <c r="Z2139" t="str">
        <f>IF(AND(R2139&lt;2,Q2139&gt;=100),"Revisar","OK")</f>
        <v>OK</v>
      </c>
      <c r="AA2139" s="55">
        <f>_xlfn.XLOOKUP(C2139,'Preguntas de negocio'!$C$114:$C$119,'Preguntas de negocio'!$D$114:$D$119,0)</f>
        <v>4.5</v>
      </c>
      <c r="AB2139" s="55">
        <f>VLOOKUP(C2139,'Preguntas de negocio'!$C$121:$D$127,2,FALSE)</f>
        <v>0.35</v>
      </c>
    </row>
    <row r="2140" spans="1:28" x14ac:dyDescent="0.3">
      <c r="A2140" s="1">
        <v>45852</v>
      </c>
      <c r="B2140" s="2" t="s">
        <v>2638</v>
      </c>
      <c r="C2140" s="2" t="s">
        <v>2515</v>
      </c>
      <c r="D2140" s="2" t="s">
        <v>2531</v>
      </c>
      <c r="E2140" s="2" t="s">
        <v>2529</v>
      </c>
      <c r="F2140" s="3">
        <v>1162</v>
      </c>
      <c r="G2140" s="3">
        <v>95</v>
      </c>
      <c r="H2140" s="3">
        <v>7</v>
      </c>
      <c r="I2140" s="4">
        <v>177.98</v>
      </c>
      <c r="J2140" s="4">
        <v>373.6</v>
      </c>
      <c r="K2140" s="3">
        <v>4</v>
      </c>
      <c r="L2140" s="2" t="s">
        <v>2518</v>
      </c>
      <c r="M2140" s="2" t="s">
        <v>2526</v>
      </c>
      <c r="N2140" s="8">
        <f>IFERROR(G2140/F2140,0)</f>
        <v>8.175559380378658E-2</v>
      </c>
      <c r="O2140" s="8">
        <f>IFERROR(H2140/G2140,0)</f>
        <v>7.3684210526315783E-2</v>
      </c>
      <c r="P2140" s="4">
        <f>IFERROR(I2140/G2140,0)</f>
        <v>1.8734736842105262</v>
      </c>
      <c r="Q2140" s="4">
        <f>IFERROR(I2140/H2140,0)</f>
        <v>25.425714285714285</v>
      </c>
      <c r="R2140" s="12">
        <f>IFERROR(J2140/I2140,0)</f>
        <v>2.0991122598044725</v>
      </c>
      <c r="S2140" s="7">
        <f>Tabla_nuevas_columnas[[#This Row],[ROAS]]</f>
        <v>2.0991122598044725</v>
      </c>
      <c r="T2140" t="str">
        <f>_xlfn.CONCAT(C2140,"-",D2140)</f>
        <v>Email-Portugal</v>
      </c>
      <c r="U2140">
        <f>YEAR(A2140)</f>
        <v>2025</v>
      </c>
      <c r="V2140">
        <f>MONTH(A2140)</f>
        <v>7</v>
      </c>
      <c r="W2140" t="str">
        <f>PROPER(TEXT(A2140,"mmmm"))</f>
        <v>Julio</v>
      </c>
      <c r="X2140" t="str">
        <f>PROPER(TEXT(A2140,"dddd"))</f>
        <v>Lunes</v>
      </c>
      <c r="Y2140" t="str" cm="1">
        <f t="array" ref="Y2140">_xlfn.IFS(R2140&gt;10,"Excelente",R2140&gt;=5,"Bueno",R2140&gt;=2,"Débil",R2140&lt;2,"Deficiente")</f>
        <v>Débil</v>
      </c>
      <c r="Z2140" t="str">
        <f>IF(AND(R2140&lt;2,Q2140&gt;=100),"Revisar","OK")</f>
        <v>OK</v>
      </c>
      <c r="AA2140" s="55">
        <f>_xlfn.XLOOKUP(C2140,'Preguntas de negocio'!$C$114:$C$119,'Preguntas de negocio'!$D$114:$D$119,0)</f>
        <v>5.5</v>
      </c>
      <c r="AB2140" s="55">
        <f>VLOOKUP(C2140,'Preguntas de negocio'!$C$121:$D$127,2,FALSE)</f>
        <v>0.65</v>
      </c>
    </row>
    <row r="2141" spans="1:28" x14ac:dyDescent="0.3">
      <c r="A2141" s="1">
        <v>45862</v>
      </c>
      <c r="B2141" s="2" t="s">
        <v>2632</v>
      </c>
      <c r="C2141" s="2" t="s">
        <v>2521</v>
      </c>
      <c r="D2141" s="2" t="s">
        <v>2531</v>
      </c>
      <c r="E2141" s="2" t="s">
        <v>2517</v>
      </c>
      <c r="F2141" s="3">
        <v>142268</v>
      </c>
      <c r="G2141" s="3">
        <v>8529</v>
      </c>
      <c r="H2141" s="3">
        <v>598</v>
      </c>
      <c r="I2141" s="4">
        <v>13539.01</v>
      </c>
      <c r="J2141" s="4">
        <v>51756.65</v>
      </c>
      <c r="K2141" s="3">
        <v>294</v>
      </c>
      <c r="L2141" s="2" t="s">
        <v>2536</v>
      </c>
      <c r="M2141" s="2" t="s">
        <v>2524</v>
      </c>
      <c r="N2141" s="8">
        <f>IFERROR(G2141/F2141,0)</f>
        <v>5.9950234768183994E-2</v>
      </c>
      <c r="O2141" s="8">
        <f>IFERROR(H2141/G2141,0)</f>
        <v>7.011372962832689E-2</v>
      </c>
      <c r="P2141" s="4">
        <f>IFERROR(I2141/G2141,0)</f>
        <v>1.5874088404267792</v>
      </c>
      <c r="Q2141" s="4">
        <f>IFERROR(I2141/H2141,0)</f>
        <v>22.640484949832775</v>
      </c>
      <c r="R2141" s="12">
        <f>IFERROR(J2141/I2141,0)</f>
        <v>3.8227795089892096</v>
      </c>
      <c r="S2141" s="7">
        <f>Tabla_nuevas_columnas[[#This Row],[ROAS]]</f>
        <v>3.8227795089892096</v>
      </c>
      <c r="T2141" t="str">
        <f>_xlfn.CONCAT(C2141,"-",D2141)</f>
        <v>Paid Search-Portugal</v>
      </c>
      <c r="U2141">
        <f>YEAR(A2141)</f>
        <v>2025</v>
      </c>
      <c r="V2141">
        <f>MONTH(A2141)</f>
        <v>7</v>
      </c>
      <c r="W2141" t="str">
        <f>PROPER(TEXT(A2141,"mmmm"))</f>
        <v>Julio</v>
      </c>
      <c r="X2141" t="str">
        <f>PROPER(TEXT(A2141,"dddd"))</f>
        <v>Jueves</v>
      </c>
      <c r="Y2141" t="str" cm="1">
        <f t="array" ref="Y2141">_xlfn.IFS(R2141&gt;10,"Excelente",R2141&gt;=5,"Bueno",R2141&gt;=2,"Débil",R2141&lt;2,"Deficiente")</f>
        <v>Débil</v>
      </c>
      <c r="Z2141" t="str">
        <f>IF(AND(R2141&lt;2,Q2141&gt;=100),"Revisar","OK")</f>
        <v>OK</v>
      </c>
      <c r="AA2141" s="55">
        <f>_xlfn.XLOOKUP(C2141,'Preguntas de negocio'!$C$114:$C$119,'Preguntas de negocio'!$D$114:$D$119,0)</f>
        <v>5</v>
      </c>
      <c r="AB2141" s="55">
        <f>VLOOKUP(C2141,'Preguntas de negocio'!$C$121:$D$127,2,FALSE)</f>
        <v>1.1000000000000001</v>
      </c>
    </row>
    <row r="2142" spans="1:28" x14ac:dyDescent="0.3">
      <c r="A2142" s="1">
        <v>46020</v>
      </c>
      <c r="B2142" s="2" t="s">
        <v>2623</v>
      </c>
      <c r="C2142" s="2" t="s">
        <v>2543</v>
      </c>
      <c r="D2142" s="2" t="s">
        <v>2528</v>
      </c>
      <c r="E2142" s="2" t="s">
        <v>2517</v>
      </c>
      <c r="F2142" s="3">
        <v>82712</v>
      </c>
      <c r="G2142" s="3">
        <v>7252</v>
      </c>
      <c r="H2142" s="3">
        <v>172</v>
      </c>
      <c r="I2142" s="4">
        <v>2041.56</v>
      </c>
      <c r="J2142" s="4">
        <v>19367.77</v>
      </c>
      <c r="K2142" s="3">
        <v>82</v>
      </c>
      <c r="L2142" s="2" t="s">
        <v>2539</v>
      </c>
      <c r="M2142" s="2" t="s">
        <v>2537</v>
      </c>
      <c r="N2142" s="8">
        <f>IFERROR(G2142/F2142,0)</f>
        <v>8.7677725118483416E-2</v>
      </c>
      <c r="O2142" s="8">
        <f>IFERROR(H2142/G2142,0)</f>
        <v>2.3717595146166576E-2</v>
      </c>
      <c r="P2142" s="4">
        <f>IFERROR(I2142/G2142,0)</f>
        <v>0.28151682294539437</v>
      </c>
      <c r="Q2142" s="4">
        <f>IFERROR(I2142/H2142,0)</f>
        <v>11.869534883720929</v>
      </c>
      <c r="R2142" s="12">
        <f>IFERROR(J2142/I2142,0)</f>
        <v>9.4867503281804115</v>
      </c>
      <c r="S2142" s="7">
        <f>Tabla_nuevas_columnas[[#This Row],[ROAS]]</f>
        <v>9.4867503281804115</v>
      </c>
      <c r="T2142" t="str">
        <f>_xlfn.CONCAT(C2142,"-",D2142)</f>
        <v>Organic Social-España</v>
      </c>
      <c r="U2142">
        <f>YEAR(A2142)</f>
        <v>2025</v>
      </c>
      <c r="V2142">
        <f>MONTH(A2142)</f>
        <v>12</v>
      </c>
      <c r="W2142" t="str">
        <f>PROPER(TEXT(A2142,"mmmm"))</f>
        <v>Diciembre</v>
      </c>
      <c r="X2142" t="str">
        <f>PROPER(TEXT(A2142,"dddd"))</f>
        <v>Lunes</v>
      </c>
      <c r="Y2142" t="str" cm="1">
        <f t="array" ref="Y2142">_xlfn.IFS(R2142&gt;10,"Excelente",R2142&gt;=5,"Bueno",R2142&gt;=2,"Débil",R2142&lt;2,"Deficiente")</f>
        <v>Bueno</v>
      </c>
      <c r="Z2142" t="str">
        <f>IF(AND(R2142&lt;2,Q2142&gt;=100),"Revisar","OK")</f>
        <v>OK</v>
      </c>
      <c r="AA2142" s="55">
        <f>_xlfn.XLOOKUP(C2142,'Preguntas de negocio'!$C$114:$C$119,'Preguntas de negocio'!$D$114:$D$119,0)</f>
        <v>4</v>
      </c>
      <c r="AB2142" s="55">
        <f>VLOOKUP(C2142,'Preguntas de negocio'!$C$121:$D$127,2,FALSE)</f>
        <v>0.95</v>
      </c>
    </row>
    <row r="2143" spans="1:28" x14ac:dyDescent="0.3">
      <c r="A2143" s="1">
        <v>46003</v>
      </c>
      <c r="B2143" s="2" t="s">
        <v>2635</v>
      </c>
      <c r="C2143" s="2" t="s">
        <v>2533</v>
      </c>
      <c r="D2143" s="2" t="s">
        <v>2528</v>
      </c>
      <c r="E2143" s="2" t="s">
        <v>2529</v>
      </c>
      <c r="F2143" s="3">
        <v>97376</v>
      </c>
      <c r="G2143" s="3">
        <v>2244</v>
      </c>
      <c r="H2143" s="3">
        <v>120</v>
      </c>
      <c r="I2143" s="4">
        <v>4397.3</v>
      </c>
      <c r="J2143" s="4">
        <v>14261.13</v>
      </c>
      <c r="K2143" s="3">
        <v>104</v>
      </c>
      <c r="L2143" s="2" t="s">
        <v>2523</v>
      </c>
      <c r="M2143" s="2" t="s">
        <v>2526</v>
      </c>
      <c r="N2143" s="8">
        <f>IFERROR(G2143/F2143,0)</f>
        <v>2.3044692737430168E-2</v>
      </c>
      <c r="O2143" s="8">
        <f>IFERROR(H2143/G2143,0)</f>
        <v>5.3475935828877004E-2</v>
      </c>
      <c r="P2143" s="4">
        <f>IFERROR(I2143/G2143,0)</f>
        <v>1.9595811051693406</v>
      </c>
      <c r="Q2143" s="4">
        <f>IFERROR(I2143/H2143,0)</f>
        <v>36.644166666666671</v>
      </c>
      <c r="R2143" s="12">
        <f>IFERROR(J2143/I2143,0)</f>
        <v>3.2431560275623674</v>
      </c>
      <c r="S2143" s="7">
        <f>Tabla_nuevas_columnas[[#This Row],[ROAS]]</f>
        <v>3.2431560275623674</v>
      </c>
      <c r="T2143" t="str">
        <f>_xlfn.CONCAT(C2143,"-",D2143)</f>
        <v>Paid Social-España</v>
      </c>
      <c r="U2143">
        <f>YEAR(A2143)</f>
        <v>2025</v>
      </c>
      <c r="V2143">
        <f>MONTH(A2143)</f>
        <v>12</v>
      </c>
      <c r="W2143" t="str">
        <f>PROPER(TEXT(A2143,"mmmm"))</f>
        <v>Diciembre</v>
      </c>
      <c r="X2143" t="str">
        <f>PROPER(TEXT(A2143,"dddd"))</f>
        <v>Viernes</v>
      </c>
      <c r="Y2143" t="str" cm="1">
        <f t="array" ref="Y2143">_xlfn.IFS(R2143&gt;10,"Excelente",R2143&gt;=5,"Bueno",R2143&gt;=2,"Débil",R2143&lt;2,"Deficiente")</f>
        <v>Débil</v>
      </c>
      <c r="Z2143" t="str">
        <f>IF(AND(R2143&lt;2,Q2143&gt;=100),"Revisar","OK")</f>
        <v>OK</v>
      </c>
      <c r="AA2143" s="55">
        <f>_xlfn.XLOOKUP(C2143,'Preguntas de negocio'!$C$114:$C$119,'Preguntas de negocio'!$D$114:$D$119,0)</f>
        <v>6</v>
      </c>
      <c r="AB2143" s="55">
        <f>VLOOKUP(C2143,'Preguntas de negocio'!$C$121:$D$127,2,FALSE)</f>
        <v>0.8</v>
      </c>
    </row>
    <row r="2144" spans="1:28" x14ac:dyDescent="0.3">
      <c r="A2144" s="1">
        <v>45896</v>
      </c>
      <c r="B2144" s="2" t="s">
        <v>2621</v>
      </c>
      <c r="C2144" s="2" t="s">
        <v>2543</v>
      </c>
      <c r="D2144" s="2" t="s">
        <v>2525</v>
      </c>
      <c r="E2144" s="2" t="s">
        <v>2517</v>
      </c>
      <c r="F2144" s="3">
        <v>166563</v>
      </c>
      <c r="G2144" s="3">
        <v>8995</v>
      </c>
      <c r="H2144" s="3">
        <v>430</v>
      </c>
      <c r="I2144" s="4">
        <v>13758.51</v>
      </c>
      <c r="J2144" s="4">
        <v>30805.32</v>
      </c>
      <c r="K2144" s="3">
        <v>375</v>
      </c>
      <c r="L2144" s="2" t="s">
        <v>2539</v>
      </c>
      <c r="M2144" s="2" t="s">
        <v>2519</v>
      </c>
      <c r="N2144" s="8">
        <f>IFERROR(G2144/F2144,0)</f>
        <v>5.4003590233125003E-2</v>
      </c>
      <c r="O2144" s="8">
        <f>IFERROR(H2144/G2144,0)</f>
        <v>4.7804335742078929E-2</v>
      </c>
      <c r="P2144" s="4">
        <f>IFERROR(I2144/G2144,0)</f>
        <v>1.529573096164536</v>
      </c>
      <c r="Q2144" s="4">
        <f>IFERROR(I2144/H2144,0)</f>
        <v>31.99653488372093</v>
      </c>
      <c r="R2144" s="12">
        <f>IFERROR(J2144/I2144,0)</f>
        <v>2.2390011709116755</v>
      </c>
      <c r="S2144" s="7">
        <f>Tabla_nuevas_columnas[[#This Row],[ROAS]]</f>
        <v>2.2390011709116755</v>
      </c>
      <c r="T2144" t="str">
        <f>_xlfn.CONCAT(C2144,"-",D2144)</f>
        <v>Organic Social-Francia</v>
      </c>
      <c r="U2144">
        <f>YEAR(A2144)</f>
        <v>2025</v>
      </c>
      <c r="V2144">
        <f>MONTH(A2144)</f>
        <v>8</v>
      </c>
      <c r="W2144" t="str">
        <f>PROPER(TEXT(A2144,"mmmm"))</f>
        <v>Agosto</v>
      </c>
      <c r="X2144" t="str">
        <f>PROPER(TEXT(A2144,"dddd"))</f>
        <v>Miércoles</v>
      </c>
      <c r="Y2144" t="str" cm="1">
        <f t="array" ref="Y2144">_xlfn.IFS(R2144&gt;10,"Excelente",R2144&gt;=5,"Bueno",R2144&gt;=2,"Débil",R2144&lt;2,"Deficiente")</f>
        <v>Débil</v>
      </c>
      <c r="Z2144" t="str">
        <f>IF(AND(R2144&lt;2,Q2144&gt;=100),"Revisar","OK")</f>
        <v>OK</v>
      </c>
      <c r="AA2144" s="55">
        <f>_xlfn.XLOOKUP(C2144,'Preguntas de negocio'!$C$114:$C$119,'Preguntas de negocio'!$D$114:$D$119,0)</f>
        <v>4</v>
      </c>
      <c r="AB2144" s="55">
        <f>VLOOKUP(C2144,'Preguntas de negocio'!$C$121:$D$127,2,FALSE)</f>
        <v>0.95</v>
      </c>
    </row>
    <row r="2145" spans="1:28" x14ac:dyDescent="0.3">
      <c r="A2145" s="1">
        <v>45949</v>
      </c>
      <c r="B2145" s="2" t="s">
        <v>2616</v>
      </c>
      <c r="C2145" s="2" t="s">
        <v>2533</v>
      </c>
      <c r="D2145" s="2" t="s">
        <v>2525</v>
      </c>
      <c r="E2145" s="2" t="s">
        <v>2534</v>
      </c>
      <c r="F2145" s="3">
        <v>55100</v>
      </c>
      <c r="G2145" s="3">
        <v>390</v>
      </c>
      <c r="H2145" s="3">
        <v>16</v>
      </c>
      <c r="I2145" s="4">
        <v>702.4</v>
      </c>
      <c r="J2145" s="4">
        <v>3285.18</v>
      </c>
      <c r="K2145" s="3">
        <v>11</v>
      </c>
      <c r="L2145" s="2" t="s">
        <v>2518</v>
      </c>
      <c r="M2145" s="2" t="s">
        <v>2519</v>
      </c>
      <c r="N2145" s="8">
        <f>IFERROR(G2145/F2145,0)</f>
        <v>7.0780399274047185E-3</v>
      </c>
      <c r="O2145" s="8">
        <f>IFERROR(H2145/G2145,0)</f>
        <v>4.1025641025641026E-2</v>
      </c>
      <c r="P2145" s="4">
        <f>IFERROR(I2145/G2145,0)</f>
        <v>1.8010256410256409</v>
      </c>
      <c r="Q2145" s="4">
        <f>IFERROR(I2145/H2145,0)</f>
        <v>43.9</v>
      </c>
      <c r="R2145" s="12">
        <f>IFERROR(J2145/I2145,0)</f>
        <v>4.6770785876993166</v>
      </c>
      <c r="S2145" s="7">
        <f>Tabla_nuevas_columnas[[#This Row],[ROAS]]</f>
        <v>4.6770785876993166</v>
      </c>
      <c r="T2145" t="str">
        <f>_xlfn.CONCAT(C2145,"-",D2145)</f>
        <v>Paid Social-Francia</v>
      </c>
      <c r="U2145">
        <f>YEAR(A2145)</f>
        <v>2025</v>
      </c>
      <c r="V2145">
        <f>MONTH(A2145)</f>
        <v>10</v>
      </c>
      <c r="W2145" t="str">
        <f>PROPER(TEXT(A2145,"mmmm"))</f>
        <v>Octubre</v>
      </c>
      <c r="X2145" t="str">
        <f>PROPER(TEXT(A2145,"dddd"))</f>
        <v>Domingo</v>
      </c>
      <c r="Y2145" t="str" cm="1">
        <f t="array" ref="Y2145">_xlfn.IFS(R2145&gt;10,"Excelente",R2145&gt;=5,"Bueno",R2145&gt;=2,"Débil",R2145&lt;2,"Deficiente")</f>
        <v>Débil</v>
      </c>
      <c r="Z2145" t="str">
        <f>IF(AND(R2145&lt;2,Q2145&gt;=100),"Revisar","OK")</f>
        <v>OK</v>
      </c>
      <c r="AA2145" s="55">
        <f>_xlfn.XLOOKUP(C2145,'Preguntas de negocio'!$C$114:$C$119,'Preguntas de negocio'!$D$114:$D$119,0)</f>
        <v>6</v>
      </c>
      <c r="AB2145" s="55">
        <f>VLOOKUP(C2145,'Preguntas de negocio'!$C$121:$D$127,2,FALSE)</f>
        <v>0.8</v>
      </c>
    </row>
    <row r="2146" spans="1:28" x14ac:dyDescent="0.3">
      <c r="A2146" s="1">
        <v>45798</v>
      </c>
      <c r="B2146" s="2" t="s">
        <v>2629</v>
      </c>
      <c r="C2146" s="2" t="s">
        <v>2521</v>
      </c>
      <c r="D2146" s="2" t="s">
        <v>2522</v>
      </c>
      <c r="E2146" s="2" t="s">
        <v>2534</v>
      </c>
      <c r="F2146" s="3">
        <v>133127</v>
      </c>
      <c r="G2146" s="3">
        <v>1418</v>
      </c>
      <c r="H2146" s="3">
        <v>126</v>
      </c>
      <c r="I2146" s="4">
        <v>372.76</v>
      </c>
      <c r="J2146" s="4">
        <v>18393.2</v>
      </c>
      <c r="K2146" s="3">
        <v>99</v>
      </c>
      <c r="L2146" s="2" t="s">
        <v>2536</v>
      </c>
      <c r="M2146" s="2" t="s">
        <v>2537</v>
      </c>
      <c r="N2146" s="8">
        <f>IFERROR(G2146/F2146,0)</f>
        <v>1.0651483170205894E-2</v>
      </c>
      <c r="O2146" s="8">
        <f>IFERROR(H2146/G2146,0)</f>
        <v>8.8857545839210156E-2</v>
      </c>
      <c r="P2146" s="4">
        <f>IFERROR(I2146/G2146,0)</f>
        <v>0.26287729196050774</v>
      </c>
      <c r="Q2146" s="4">
        <f>IFERROR(I2146/H2146,0)</f>
        <v>2.9584126984126984</v>
      </c>
      <c r="R2146" s="12">
        <f>IFERROR(J2146/I2146,0)</f>
        <v>49.343277175662628</v>
      </c>
      <c r="S2146" s="7">
        <f>Tabla_nuevas_columnas[[#This Row],[ROAS]]</f>
        <v>49.343277175662628</v>
      </c>
      <c r="T2146" t="str">
        <f>_xlfn.CONCAT(C2146,"-",D2146)</f>
        <v>Paid Search-Italia</v>
      </c>
      <c r="U2146">
        <f>YEAR(A2146)</f>
        <v>2025</v>
      </c>
      <c r="V2146">
        <f>MONTH(A2146)</f>
        <v>5</v>
      </c>
      <c r="W2146" t="str">
        <f>PROPER(TEXT(A2146,"mmmm"))</f>
        <v>Mayo</v>
      </c>
      <c r="X2146" t="str">
        <f>PROPER(TEXT(A2146,"dddd"))</f>
        <v>Miércoles</v>
      </c>
      <c r="Y2146" t="str" cm="1">
        <f t="array" ref="Y2146">_xlfn.IFS(R2146&gt;10,"Excelente",R2146&gt;=5,"Bueno",R2146&gt;=2,"Débil",R2146&lt;2,"Deficiente")</f>
        <v>Excelente</v>
      </c>
      <c r="Z2146" t="str">
        <f>IF(AND(R2146&lt;2,Q2146&gt;=100),"Revisar","OK")</f>
        <v>OK</v>
      </c>
      <c r="AA2146" s="55">
        <f>_xlfn.XLOOKUP(C2146,'Preguntas de negocio'!$C$114:$C$119,'Preguntas de negocio'!$D$114:$D$119,0)</f>
        <v>5</v>
      </c>
      <c r="AB2146" s="55">
        <f>VLOOKUP(C2146,'Preguntas de negocio'!$C$121:$D$127,2,FALSE)</f>
        <v>1.1000000000000001</v>
      </c>
    </row>
    <row r="2147" spans="1:28" x14ac:dyDescent="0.3">
      <c r="A2147" s="1">
        <v>45727</v>
      </c>
      <c r="B2147" s="2" t="s">
        <v>2619</v>
      </c>
      <c r="C2147" s="2" t="s">
        <v>2515</v>
      </c>
      <c r="D2147" s="2" t="s">
        <v>2525</v>
      </c>
      <c r="E2147" s="2" t="s">
        <v>2534</v>
      </c>
      <c r="F2147" s="3">
        <v>20580</v>
      </c>
      <c r="G2147" s="3">
        <v>1144</v>
      </c>
      <c r="H2147" s="3">
        <v>113</v>
      </c>
      <c r="I2147" s="4">
        <v>2043.93</v>
      </c>
      <c r="J2147" s="4">
        <v>5066.7299999999996</v>
      </c>
      <c r="K2147" s="3">
        <v>59</v>
      </c>
      <c r="L2147" s="2" t="s">
        <v>2523</v>
      </c>
      <c r="M2147" s="2" t="s">
        <v>2546</v>
      </c>
      <c r="N2147" s="8">
        <f>IFERROR(G2147/F2147,0)</f>
        <v>5.5587949465500483E-2</v>
      </c>
      <c r="O2147" s="8">
        <f>IFERROR(H2147/G2147,0)</f>
        <v>9.8776223776223776E-2</v>
      </c>
      <c r="P2147" s="4">
        <f>IFERROR(I2147/G2147,0)</f>
        <v>1.7866520979020979</v>
      </c>
      <c r="Q2147" s="4">
        <f>IFERROR(I2147/H2147,0)</f>
        <v>18.087876106194692</v>
      </c>
      <c r="R2147" s="12">
        <f>IFERROR(J2147/I2147,0)</f>
        <v>2.4789156184409444</v>
      </c>
      <c r="S2147" s="7">
        <f>Tabla_nuevas_columnas[[#This Row],[ROAS]]</f>
        <v>2.4789156184409444</v>
      </c>
      <c r="T2147" t="str">
        <f>_xlfn.CONCAT(C2147,"-",D2147)</f>
        <v>Email-Francia</v>
      </c>
      <c r="U2147">
        <f>YEAR(A2147)</f>
        <v>2025</v>
      </c>
      <c r="V2147">
        <f>MONTH(A2147)</f>
        <v>3</v>
      </c>
      <c r="W2147" t="str">
        <f>PROPER(TEXT(A2147,"mmmm"))</f>
        <v>Marzo</v>
      </c>
      <c r="X2147" t="str">
        <f>PROPER(TEXT(A2147,"dddd"))</f>
        <v>Martes</v>
      </c>
      <c r="Y2147" t="str" cm="1">
        <f t="array" ref="Y2147">_xlfn.IFS(R2147&gt;10,"Excelente",R2147&gt;=5,"Bueno",R2147&gt;=2,"Débil",R2147&lt;2,"Deficiente")</f>
        <v>Débil</v>
      </c>
      <c r="Z2147" t="str">
        <f>IF(AND(R2147&lt;2,Q2147&gt;=100),"Revisar","OK")</f>
        <v>OK</v>
      </c>
      <c r="AA2147" s="55">
        <f>_xlfn.XLOOKUP(C2147,'Preguntas de negocio'!$C$114:$C$119,'Preguntas de negocio'!$D$114:$D$119,0)</f>
        <v>5.5</v>
      </c>
      <c r="AB2147" s="55">
        <f>VLOOKUP(C2147,'Preguntas de negocio'!$C$121:$D$127,2,FALSE)</f>
        <v>0.65</v>
      </c>
    </row>
    <row r="2148" spans="1:28" x14ac:dyDescent="0.3">
      <c r="A2148" s="1">
        <v>45866</v>
      </c>
      <c r="B2148" s="2" t="s">
        <v>2621</v>
      </c>
      <c r="C2148" s="2" t="s">
        <v>2521</v>
      </c>
      <c r="D2148" s="2" t="s">
        <v>2528</v>
      </c>
      <c r="E2148" s="2" t="s">
        <v>2529</v>
      </c>
      <c r="F2148" s="3">
        <v>165394</v>
      </c>
      <c r="G2148" s="3">
        <v>2853</v>
      </c>
      <c r="H2148" s="3">
        <v>192</v>
      </c>
      <c r="I2148" s="4">
        <v>5515.12</v>
      </c>
      <c r="J2148" s="4">
        <v>23758.79</v>
      </c>
      <c r="K2148" s="3">
        <v>147</v>
      </c>
      <c r="L2148" s="2" t="s">
        <v>2518</v>
      </c>
      <c r="M2148" s="2" t="s">
        <v>2537</v>
      </c>
      <c r="N2148" s="8">
        <f>IFERROR(G2148/F2148,0)</f>
        <v>1.7249718853162749E-2</v>
      </c>
      <c r="O2148" s="8">
        <f>IFERROR(H2148/G2148,0)</f>
        <v>6.7297581493165087E-2</v>
      </c>
      <c r="P2148" s="4">
        <f>IFERROR(I2148/G2148,0)</f>
        <v>1.9330949877322117</v>
      </c>
      <c r="Q2148" s="4">
        <f>IFERROR(I2148/H2148,0)</f>
        <v>28.724583333333332</v>
      </c>
      <c r="R2148" s="12">
        <f>IFERROR(J2148/I2148,0)</f>
        <v>4.3079370893108404</v>
      </c>
      <c r="S2148" s="7">
        <f>Tabla_nuevas_columnas[[#This Row],[ROAS]]</f>
        <v>4.3079370893108404</v>
      </c>
      <c r="T2148" t="str">
        <f>_xlfn.CONCAT(C2148,"-",D2148)</f>
        <v>Paid Search-España</v>
      </c>
      <c r="U2148">
        <f>YEAR(A2148)</f>
        <v>2025</v>
      </c>
      <c r="V2148">
        <f>MONTH(A2148)</f>
        <v>7</v>
      </c>
      <c r="W2148" t="str">
        <f>PROPER(TEXT(A2148,"mmmm"))</f>
        <v>Julio</v>
      </c>
      <c r="X2148" t="str">
        <f>PROPER(TEXT(A2148,"dddd"))</f>
        <v>Lunes</v>
      </c>
      <c r="Y2148" t="str" cm="1">
        <f t="array" ref="Y2148">_xlfn.IFS(R2148&gt;10,"Excelente",R2148&gt;=5,"Bueno",R2148&gt;=2,"Débil",R2148&lt;2,"Deficiente")</f>
        <v>Débil</v>
      </c>
      <c r="Z2148" t="str">
        <f>IF(AND(R2148&lt;2,Q2148&gt;=100),"Revisar","OK")</f>
        <v>OK</v>
      </c>
      <c r="AA2148" s="55">
        <f>_xlfn.XLOOKUP(C2148,'Preguntas de negocio'!$C$114:$C$119,'Preguntas de negocio'!$D$114:$D$119,0)</f>
        <v>5</v>
      </c>
      <c r="AB2148" s="55">
        <f>VLOOKUP(C2148,'Preguntas de negocio'!$C$121:$D$127,2,FALSE)</f>
        <v>1.1000000000000001</v>
      </c>
    </row>
    <row r="2149" spans="1:28" x14ac:dyDescent="0.3">
      <c r="A2149" s="1">
        <v>45742</v>
      </c>
      <c r="B2149" s="2" t="s">
        <v>2622</v>
      </c>
      <c r="C2149" s="2" t="s">
        <v>2521</v>
      </c>
      <c r="D2149" s="2" t="s">
        <v>2528</v>
      </c>
      <c r="E2149" s="2" t="s">
        <v>2529</v>
      </c>
      <c r="F2149" s="3">
        <v>153030</v>
      </c>
      <c r="G2149" s="3">
        <v>6948</v>
      </c>
      <c r="H2149" s="3">
        <v>615</v>
      </c>
      <c r="I2149" s="4">
        <v>2816.4</v>
      </c>
      <c r="J2149" s="4">
        <v>115556.33</v>
      </c>
      <c r="K2149" s="3">
        <v>551</v>
      </c>
      <c r="L2149" s="2" t="s">
        <v>2518</v>
      </c>
      <c r="M2149" s="2" t="s">
        <v>2546</v>
      </c>
      <c r="N2149" s="8">
        <f>IFERROR(G2149/F2149,0)</f>
        <v>4.5402862183885513E-2</v>
      </c>
      <c r="O2149" s="8">
        <f>IFERROR(H2149/G2149,0)</f>
        <v>8.8514680483592401E-2</v>
      </c>
      <c r="P2149" s="4">
        <f>IFERROR(I2149/G2149,0)</f>
        <v>0.40535405872193436</v>
      </c>
      <c r="Q2149" s="4">
        <f>IFERROR(I2149/H2149,0)</f>
        <v>4.5795121951219517</v>
      </c>
      <c r="R2149" s="12">
        <f>IFERROR(J2149/I2149,0)</f>
        <v>41.029800454480899</v>
      </c>
      <c r="S2149" s="7">
        <f>Tabla_nuevas_columnas[[#This Row],[ROAS]]</f>
        <v>41.029800454480899</v>
      </c>
      <c r="T2149" t="str">
        <f>_xlfn.CONCAT(C2149,"-",D2149)</f>
        <v>Paid Search-España</v>
      </c>
      <c r="U2149">
        <f>YEAR(A2149)</f>
        <v>2025</v>
      </c>
      <c r="V2149">
        <f>MONTH(A2149)</f>
        <v>3</v>
      </c>
      <c r="W2149" t="str">
        <f>PROPER(TEXT(A2149,"mmmm"))</f>
        <v>Marzo</v>
      </c>
      <c r="X2149" t="str">
        <f>PROPER(TEXT(A2149,"dddd"))</f>
        <v>Miércoles</v>
      </c>
      <c r="Y2149" t="str" cm="1">
        <f t="array" ref="Y2149">_xlfn.IFS(R2149&gt;10,"Excelente",R2149&gt;=5,"Bueno",R2149&gt;=2,"Débil",R2149&lt;2,"Deficiente")</f>
        <v>Excelente</v>
      </c>
      <c r="Z2149" t="str">
        <f>IF(AND(R2149&lt;2,Q2149&gt;=100),"Revisar","OK")</f>
        <v>OK</v>
      </c>
      <c r="AA2149" s="55">
        <f>_xlfn.XLOOKUP(C2149,'Preguntas de negocio'!$C$114:$C$119,'Preguntas de negocio'!$D$114:$D$119,0)</f>
        <v>5</v>
      </c>
      <c r="AB2149" s="55">
        <f>VLOOKUP(C2149,'Preguntas de negocio'!$C$121:$D$127,2,FALSE)</f>
        <v>1.1000000000000001</v>
      </c>
    </row>
    <row r="2150" spans="1:28" x14ac:dyDescent="0.3">
      <c r="A2150" s="1">
        <v>45841</v>
      </c>
      <c r="B2150" s="2" t="s">
        <v>2633</v>
      </c>
      <c r="C2150" s="2" t="s">
        <v>2533</v>
      </c>
      <c r="D2150" s="2" t="s">
        <v>2528</v>
      </c>
      <c r="E2150" s="2" t="s">
        <v>2517</v>
      </c>
      <c r="F2150" s="3">
        <v>3921</v>
      </c>
      <c r="G2150" s="3">
        <v>186</v>
      </c>
      <c r="H2150" s="3">
        <v>7</v>
      </c>
      <c r="I2150" s="4">
        <v>114.17</v>
      </c>
      <c r="J2150" s="4">
        <v>1171.28</v>
      </c>
      <c r="K2150" s="3">
        <v>4</v>
      </c>
      <c r="L2150" s="2" t="s">
        <v>2539</v>
      </c>
      <c r="M2150" s="2" t="s">
        <v>2524</v>
      </c>
      <c r="N2150" s="8">
        <f>IFERROR(G2150/F2150,0)</f>
        <v>4.7436878347360364E-2</v>
      </c>
      <c r="O2150" s="8">
        <f>IFERROR(H2150/G2150,0)</f>
        <v>3.7634408602150539E-2</v>
      </c>
      <c r="P2150" s="4">
        <f>IFERROR(I2150/G2150,0)</f>
        <v>0.61381720430107523</v>
      </c>
      <c r="Q2150" s="4">
        <f>IFERROR(I2150/H2150,0)</f>
        <v>16.309999999999999</v>
      </c>
      <c r="R2150" s="12">
        <f>IFERROR(J2150/I2150,0)</f>
        <v>10.259087325917491</v>
      </c>
      <c r="S2150" s="7">
        <f>Tabla_nuevas_columnas[[#This Row],[ROAS]]</f>
        <v>10.259087325917491</v>
      </c>
      <c r="T2150" t="str">
        <f>_xlfn.CONCAT(C2150,"-",D2150)</f>
        <v>Paid Social-España</v>
      </c>
      <c r="U2150">
        <f>YEAR(A2150)</f>
        <v>2025</v>
      </c>
      <c r="V2150">
        <f>MONTH(A2150)</f>
        <v>7</v>
      </c>
      <c r="W2150" t="str">
        <f>PROPER(TEXT(A2150,"mmmm"))</f>
        <v>Julio</v>
      </c>
      <c r="X2150" t="str">
        <f>PROPER(TEXT(A2150,"dddd"))</f>
        <v>Jueves</v>
      </c>
      <c r="Y2150" t="str" cm="1">
        <f t="array" ref="Y2150">_xlfn.IFS(R2150&gt;10,"Excelente",R2150&gt;=5,"Bueno",R2150&gt;=2,"Débil",R2150&lt;2,"Deficiente")</f>
        <v>Excelente</v>
      </c>
      <c r="Z2150" t="str">
        <f>IF(AND(R2150&lt;2,Q2150&gt;=100),"Revisar","OK")</f>
        <v>OK</v>
      </c>
      <c r="AA2150" s="55">
        <f>_xlfn.XLOOKUP(C2150,'Preguntas de negocio'!$C$114:$C$119,'Preguntas de negocio'!$D$114:$D$119,0)</f>
        <v>6</v>
      </c>
      <c r="AB2150" s="55">
        <f>VLOOKUP(C2150,'Preguntas de negocio'!$C$121:$D$127,2,FALSE)</f>
        <v>0.8</v>
      </c>
    </row>
    <row r="2151" spans="1:28" x14ac:dyDescent="0.3">
      <c r="A2151" s="1">
        <v>45763</v>
      </c>
      <c r="B2151" s="2" t="s">
        <v>2636</v>
      </c>
      <c r="C2151" s="2" t="s">
        <v>2533</v>
      </c>
      <c r="D2151" s="2" t="s">
        <v>2528</v>
      </c>
      <c r="E2151" s="2" t="s">
        <v>2517</v>
      </c>
      <c r="F2151" s="3">
        <v>80677</v>
      </c>
      <c r="G2151" s="3">
        <v>3625</v>
      </c>
      <c r="H2151" s="3">
        <v>494</v>
      </c>
      <c r="I2151" s="4">
        <v>3292.77</v>
      </c>
      <c r="J2151" s="4">
        <v>25757.86</v>
      </c>
      <c r="K2151" s="3">
        <v>414</v>
      </c>
      <c r="L2151" s="2" t="s">
        <v>2539</v>
      </c>
      <c r="M2151" s="2" t="s">
        <v>2524</v>
      </c>
      <c r="N2151" s="8">
        <f>IFERROR(G2151/F2151,0)</f>
        <v>4.4932260743458484E-2</v>
      </c>
      <c r="O2151" s="8">
        <f>IFERROR(H2151/G2151,0)</f>
        <v>0.13627586206896553</v>
      </c>
      <c r="P2151" s="4">
        <f>IFERROR(I2151/G2151,0)</f>
        <v>0.90835034482758625</v>
      </c>
      <c r="Q2151" s="4">
        <f>IFERROR(I2151/H2151,0)</f>
        <v>6.6655263157894735</v>
      </c>
      <c r="R2151" s="12">
        <f>IFERROR(J2151/I2151,0)</f>
        <v>7.8225506184762379</v>
      </c>
      <c r="S2151" s="7">
        <f>Tabla_nuevas_columnas[[#This Row],[ROAS]]</f>
        <v>7.8225506184762379</v>
      </c>
      <c r="T2151" t="str">
        <f>_xlfn.CONCAT(C2151,"-",D2151)</f>
        <v>Paid Social-España</v>
      </c>
      <c r="U2151">
        <f>YEAR(A2151)</f>
        <v>2025</v>
      </c>
      <c r="V2151">
        <f>MONTH(A2151)</f>
        <v>4</v>
      </c>
      <c r="W2151" t="str">
        <f>PROPER(TEXT(A2151,"mmmm"))</f>
        <v>Abril</v>
      </c>
      <c r="X2151" t="str">
        <f>PROPER(TEXT(A2151,"dddd"))</f>
        <v>Miércoles</v>
      </c>
      <c r="Y2151" t="str" cm="1">
        <f t="array" ref="Y2151">_xlfn.IFS(R2151&gt;10,"Excelente",R2151&gt;=5,"Bueno",R2151&gt;=2,"Débil",R2151&lt;2,"Deficiente")</f>
        <v>Bueno</v>
      </c>
      <c r="Z2151" t="str">
        <f>IF(AND(R2151&lt;2,Q2151&gt;=100),"Revisar","OK")</f>
        <v>OK</v>
      </c>
      <c r="AA2151" s="55">
        <f>_xlfn.XLOOKUP(C2151,'Preguntas de negocio'!$C$114:$C$119,'Preguntas de negocio'!$D$114:$D$119,0)</f>
        <v>6</v>
      </c>
      <c r="AB2151" s="55">
        <f>VLOOKUP(C2151,'Preguntas de negocio'!$C$121:$D$127,2,FALSE)</f>
        <v>0.8</v>
      </c>
    </row>
    <row r="2152" spans="1:28" x14ac:dyDescent="0.3">
      <c r="A2152" s="1">
        <v>45692</v>
      </c>
      <c r="B2152" s="2" t="s">
        <v>2640</v>
      </c>
      <c r="C2152" s="2" t="s">
        <v>2521</v>
      </c>
      <c r="D2152" s="2" t="s">
        <v>2528</v>
      </c>
      <c r="E2152" s="2" t="s">
        <v>2529</v>
      </c>
      <c r="F2152" s="3">
        <v>108337</v>
      </c>
      <c r="G2152" s="3">
        <v>3200</v>
      </c>
      <c r="H2152" s="3">
        <v>389</v>
      </c>
      <c r="I2152" s="4">
        <v>443.02</v>
      </c>
      <c r="J2152" s="4">
        <v>63561.87</v>
      </c>
      <c r="K2152" s="3">
        <v>307</v>
      </c>
      <c r="L2152" s="2" t="s">
        <v>2518</v>
      </c>
      <c r="M2152" s="2" t="s">
        <v>2519</v>
      </c>
      <c r="N2152" s="8">
        <f>IFERROR(G2152/F2152,0)</f>
        <v>2.9537461808984925E-2</v>
      </c>
      <c r="O2152" s="8">
        <f>IFERROR(H2152/G2152,0)</f>
        <v>0.1215625</v>
      </c>
      <c r="P2152" s="4">
        <f>IFERROR(I2152/G2152,0)</f>
        <v>0.13844375</v>
      </c>
      <c r="Q2152" s="4">
        <f>IFERROR(I2152/H2152,0)</f>
        <v>1.1388688946015424</v>
      </c>
      <c r="R2152" s="12">
        <f>IFERROR(J2152/I2152,0)</f>
        <v>143.47404180398178</v>
      </c>
      <c r="S2152" s="7">
        <f>Tabla_nuevas_columnas[[#This Row],[ROAS]]</f>
        <v>143.47404180398178</v>
      </c>
      <c r="T2152" t="str">
        <f>_xlfn.CONCAT(C2152,"-",D2152)</f>
        <v>Paid Search-España</v>
      </c>
      <c r="U2152">
        <f>YEAR(A2152)</f>
        <v>2025</v>
      </c>
      <c r="V2152">
        <f>MONTH(A2152)</f>
        <v>2</v>
      </c>
      <c r="W2152" t="str">
        <f>PROPER(TEXT(A2152,"mmmm"))</f>
        <v>Febrero</v>
      </c>
      <c r="X2152" t="str">
        <f>PROPER(TEXT(A2152,"dddd"))</f>
        <v>Martes</v>
      </c>
      <c r="Y2152" t="str" cm="1">
        <f t="array" ref="Y2152">_xlfn.IFS(R2152&gt;10,"Excelente",R2152&gt;=5,"Bueno",R2152&gt;=2,"Débil",R2152&lt;2,"Deficiente")</f>
        <v>Excelente</v>
      </c>
      <c r="Z2152" t="str">
        <f>IF(AND(R2152&lt;2,Q2152&gt;=100),"Revisar","OK")</f>
        <v>OK</v>
      </c>
      <c r="AA2152" s="55">
        <f>_xlfn.XLOOKUP(C2152,'Preguntas de negocio'!$C$114:$C$119,'Preguntas de negocio'!$D$114:$D$119,0)</f>
        <v>5</v>
      </c>
      <c r="AB2152" s="55">
        <f>VLOOKUP(C2152,'Preguntas de negocio'!$C$121:$D$127,2,FALSE)</f>
        <v>1.1000000000000001</v>
      </c>
    </row>
    <row r="2153" spans="1:28" x14ac:dyDescent="0.3">
      <c r="A2153" s="1">
        <v>45979</v>
      </c>
      <c r="B2153" s="2" t="s">
        <v>2627</v>
      </c>
      <c r="C2153" s="2" t="s">
        <v>2543</v>
      </c>
      <c r="D2153" s="2" t="s">
        <v>2528</v>
      </c>
      <c r="E2153" s="2" t="s">
        <v>2529</v>
      </c>
      <c r="F2153" s="3">
        <v>112306</v>
      </c>
      <c r="G2153" s="3">
        <v>9531</v>
      </c>
      <c r="H2153" s="3">
        <v>970</v>
      </c>
      <c r="I2153" s="4">
        <v>5696.44</v>
      </c>
      <c r="J2153" s="4">
        <v>193078.33</v>
      </c>
      <c r="K2153" s="3">
        <v>514</v>
      </c>
      <c r="L2153" s="2" t="s">
        <v>2539</v>
      </c>
      <c r="M2153" s="2" t="s">
        <v>2546</v>
      </c>
      <c r="N2153" s="8">
        <f>IFERROR(G2153/F2153,0)</f>
        <v>8.4866347301123718E-2</v>
      </c>
      <c r="O2153" s="8">
        <f>IFERROR(H2153/G2153,0)</f>
        <v>0.10177316126324625</v>
      </c>
      <c r="P2153" s="4">
        <f>IFERROR(I2153/G2153,0)</f>
        <v>0.59767495540866644</v>
      </c>
      <c r="Q2153" s="4">
        <f>IFERROR(I2153/H2153,0)</f>
        <v>5.8726185567010303</v>
      </c>
      <c r="R2153" s="12">
        <f>IFERROR(J2153/I2153,0)</f>
        <v>33.894560462323838</v>
      </c>
      <c r="S2153" s="7">
        <f>Tabla_nuevas_columnas[[#This Row],[ROAS]]</f>
        <v>33.894560462323838</v>
      </c>
      <c r="T2153" t="str">
        <f>_xlfn.CONCAT(C2153,"-",D2153)</f>
        <v>Organic Social-España</v>
      </c>
      <c r="U2153">
        <f>YEAR(A2153)</f>
        <v>2025</v>
      </c>
      <c r="V2153">
        <f>MONTH(A2153)</f>
        <v>11</v>
      </c>
      <c r="W2153" t="str">
        <f>PROPER(TEXT(A2153,"mmmm"))</f>
        <v>Noviembre</v>
      </c>
      <c r="X2153" t="str">
        <f>PROPER(TEXT(A2153,"dddd"))</f>
        <v>Martes</v>
      </c>
      <c r="Y2153" t="str" cm="1">
        <f t="array" ref="Y2153">_xlfn.IFS(R2153&gt;10,"Excelente",R2153&gt;=5,"Bueno",R2153&gt;=2,"Débil",R2153&lt;2,"Deficiente")</f>
        <v>Excelente</v>
      </c>
      <c r="Z2153" t="str">
        <f>IF(AND(R2153&lt;2,Q2153&gt;=100),"Revisar","OK")</f>
        <v>OK</v>
      </c>
      <c r="AA2153" s="55">
        <f>_xlfn.XLOOKUP(C2153,'Preguntas de negocio'!$C$114:$C$119,'Preguntas de negocio'!$D$114:$D$119,0)</f>
        <v>4</v>
      </c>
      <c r="AB2153" s="55">
        <f>VLOOKUP(C2153,'Preguntas de negocio'!$C$121:$D$127,2,FALSE)</f>
        <v>0.95</v>
      </c>
    </row>
    <row r="2154" spans="1:28" x14ac:dyDescent="0.3">
      <c r="A2154" s="1">
        <v>45925</v>
      </c>
      <c r="B2154" s="2" t="s">
        <v>2635</v>
      </c>
      <c r="C2154" s="2" t="s">
        <v>2521</v>
      </c>
      <c r="D2154" s="2" t="s">
        <v>2528</v>
      </c>
      <c r="E2154" s="2" t="s">
        <v>2517</v>
      </c>
      <c r="F2154" s="3">
        <v>80508</v>
      </c>
      <c r="G2154" s="3">
        <v>6174</v>
      </c>
      <c r="H2154" s="3">
        <v>831</v>
      </c>
      <c r="I2154" s="4">
        <v>12758.11</v>
      </c>
      <c r="J2154" s="4">
        <v>98280.13</v>
      </c>
      <c r="K2154" s="3">
        <v>638</v>
      </c>
      <c r="L2154" s="2" t="s">
        <v>2518</v>
      </c>
      <c r="M2154" s="2" t="s">
        <v>2546</v>
      </c>
      <c r="N2154" s="8">
        <f>IFERROR(G2154/F2154,0)</f>
        <v>7.6688031003130125E-2</v>
      </c>
      <c r="O2154" s="8">
        <f>IFERROR(H2154/G2154,0)</f>
        <v>0.13459669582118561</v>
      </c>
      <c r="P2154" s="4">
        <f>IFERROR(I2154/G2154,0)</f>
        <v>2.0664253320375772</v>
      </c>
      <c r="Q2154" s="4">
        <f>IFERROR(I2154/H2154,0)</f>
        <v>15.352719614921781</v>
      </c>
      <c r="R2154" s="12">
        <f>IFERROR(J2154/I2154,0)</f>
        <v>7.703345558237074</v>
      </c>
      <c r="S2154" s="7">
        <f>Tabla_nuevas_columnas[[#This Row],[ROAS]]</f>
        <v>7.703345558237074</v>
      </c>
      <c r="T2154" t="str">
        <f>_xlfn.CONCAT(C2154,"-",D2154)</f>
        <v>Paid Search-España</v>
      </c>
      <c r="U2154">
        <f>YEAR(A2154)</f>
        <v>2025</v>
      </c>
      <c r="V2154">
        <f>MONTH(A2154)</f>
        <v>9</v>
      </c>
      <c r="W2154" t="str">
        <f>PROPER(TEXT(A2154,"mmmm"))</f>
        <v>Septiembre</v>
      </c>
      <c r="X2154" t="str">
        <f>PROPER(TEXT(A2154,"dddd"))</f>
        <v>Jueves</v>
      </c>
      <c r="Y2154" t="str" cm="1">
        <f t="array" ref="Y2154">_xlfn.IFS(R2154&gt;10,"Excelente",R2154&gt;=5,"Bueno",R2154&gt;=2,"Débil",R2154&lt;2,"Deficiente")</f>
        <v>Bueno</v>
      </c>
      <c r="Z2154" t="str">
        <f>IF(AND(R2154&lt;2,Q2154&gt;=100),"Revisar","OK")</f>
        <v>OK</v>
      </c>
      <c r="AA2154" s="55">
        <f>_xlfn.XLOOKUP(C2154,'Preguntas de negocio'!$C$114:$C$119,'Preguntas de negocio'!$D$114:$D$119,0)</f>
        <v>5</v>
      </c>
      <c r="AB2154" s="55">
        <f>VLOOKUP(C2154,'Preguntas de negocio'!$C$121:$D$127,2,FALSE)</f>
        <v>1.1000000000000001</v>
      </c>
    </row>
    <row r="2155" spans="1:28" x14ac:dyDescent="0.3">
      <c r="A2155" s="1">
        <v>45979</v>
      </c>
      <c r="B2155" s="2" t="s">
        <v>2627</v>
      </c>
      <c r="C2155" s="2" t="s">
        <v>2515</v>
      </c>
      <c r="D2155" s="2" t="s">
        <v>2525</v>
      </c>
      <c r="E2155" s="2" t="s">
        <v>2517</v>
      </c>
      <c r="F2155" s="3">
        <v>6706</v>
      </c>
      <c r="G2155" s="3">
        <v>479</v>
      </c>
      <c r="H2155" s="3">
        <v>37</v>
      </c>
      <c r="I2155" s="4">
        <v>973.5</v>
      </c>
      <c r="J2155" s="4">
        <v>672.7</v>
      </c>
      <c r="K2155" s="3">
        <v>24</v>
      </c>
      <c r="L2155" s="2" t="s">
        <v>2523</v>
      </c>
      <c r="M2155" s="2" t="s">
        <v>2537</v>
      </c>
      <c r="N2155" s="8">
        <f>IFERROR(G2155/F2155,0)</f>
        <v>7.1428571428571425E-2</v>
      </c>
      <c r="O2155" s="8">
        <f>IFERROR(H2155/G2155,0)</f>
        <v>7.724425887265135E-2</v>
      </c>
      <c r="P2155" s="4">
        <f>IFERROR(I2155/G2155,0)</f>
        <v>2.0323590814196244</v>
      </c>
      <c r="Q2155" s="4">
        <f>IFERROR(I2155/H2155,0)</f>
        <v>26.310810810810811</v>
      </c>
      <c r="R2155" s="12">
        <f>IFERROR(J2155/I2155,0)</f>
        <v>0.69101181304571135</v>
      </c>
      <c r="S2155" s="7">
        <f>Tabla_nuevas_columnas[[#This Row],[ROAS]]</f>
        <v>0.69101181304571135</v>
      </c>
      <c r="T2155" t="str">
        <f>_xlfn.CONCAT(C2155,"-",D2155)</f>
        <v>Email-Francia</v>
      </c>
      <c r="U2155">
        <f>YEAR(A2155)</f>
        <v>2025</v>
      </c>
      <c r="V2155">
        <f>MONTH(A2155)</f>
        <v>11</v>
      </c>
      <c r="W2155" t="str">
        <f>PROPER(TEXT(A2155,"mmmm"))</f>
        <v>Noviembre</v>
      </c>
      <c r="X2155" t="str">
        <f>PROPER(TEXT(A2155,"dddd"))</f>
        <v>Martes</v>
      </c>
      <c r="Y2155" t="str" cm="1">
        <f t="array" ref="Y2155">_xlfn.IFS(R2155&gt;10,"Excelente",R2155&gt;=5,"Bueno",R2155&gt;=2,"Débil",R2155&lt;2,"Deficiente")</f>
        <v>Deficiente</v>
      </c>
      <c r="Z2155" t="str">
        <f>IF(AND(R2155&lt;2,Q2155&gt;=100),"Revisar","OK")</f>
        <v>OK</v>
      </c>
      <c r="AA2155" s="55">
        <f>_xlfn.XLOOKUP(C2155,'Preguntas de negocio'!$C$114:$C$119,'Preguntas de negocio'!$D$114:$D$119,0)</f>
        <v>5.5</v>
      </c>
      <c r="AB2155" s="55">
        <f>VLOOKUP(C2155,'Preguntas de negocio'!$C$121:$D$127,2,FALSE)</f>
        <v>0.65</v>
      </c>
    </row>
    <row r="2156" spans="1:28" x14ac:dyDescent="0.3">
      <c r="A2156" s="1">
        <v>45785</v>
      </c>
      <c r="B2156" s="2" t="s">
        <v>2626</v>
      </c>
      <c r="C2156" s="2" t="s">
        <v>2527</v>
      </c>
      <c r="D2156" s="2" t="s">
        <v>2522</v>
      </c>
      <c r="E2156" s="2" t="s">
        <v>2529</v>
      </c>
      <c r="F2156" s="3">
        <v>49150</v>
      </c>
      <c r="G2156" s="3">
        <v>3695</v>
      </c>
      <c r="H2156" s="3">
        <v>51</v>
      </c>
      <c r="I2156" s="4">
        <v>4441.67</v>
      </c>
      <c r="J2156" s="4">
        <v>7828.93</v>
      </c>
      <c r="K2156" s="3">
        <v>24</v>
      </c>
      <c r="L2156" s="2" t="s">
        <v>2518</v>
      </c>
      <c r="M2156" s="2" t="s">
        <v>2546</v>
      </c>
      <c r="N2156" s="8">
        <f>IFERROR(G2156/F2156,0)</f>
        <v>7.5178026449643942E-2</v>
      </c>
      <c r="O2156" s="8">
        <f>IFERROR(H2156/G2156,0)</f>
        <v>1.3802435723951286E-2</v>
      </c>
      <c r="P2156" s="4">
        <f>IFERROR(I2156/G2156,0)</f>
        <v>1.2020757780784845</v>
      </c>
      <c r="Q2156" s="4">
        <f>IFERROR(I2156/H2156,0)</f>
        <v>87.091568627450982</v>
      </c>
      <c r="R2156" s="12">
        <f>IFERROR(J2156/I2156,0)</f>
        <v>1.7626095590172166</v>
      </c>
      <c r="S2156" s="7">
        <f>Tabla_nuevas_columnas[[#This Row],[ROAS]]</f>
        <v>1.7626095590172166</v>
      </c>
      <c r="T2156" t="str">
        <f>_xlfn.CONCAT(C2156,"-",D2156)</f>
        <v>Affiliate-Italia</v>
      </c>
      <c r="U2156">
        <f>YEAR(A2156)</f>
        <v>2025</v>
      </c>
      <c r="V2156">
        <f>MONTH(A2156)</f>
        <v>5</v>
      </c>
      <c r="W2156" t="str">
        <f>PROPER(TEXT(A2156,"mmmm"))</f>
        <v>Mayo</v>
      </c>
      <c r="X2156" t="str">
        <f>PROPER(TEXT(A2156,"dddd"))</f>
        <v>Jueves</v>
      </c>
      <c r="Y2156" t="str" cm="1">
        <f t="array" ref="Y2156">_xlfn.IFS(R2156&gt;10,"Excelente",R2156&gt;=5,"Bueno",R2156&gt;=2,"Débil",R2156&lt;2,"Deficiente")</f>
        <v>Deficiente</v>
      </c>
      <c r="Z2156" t="str">
        <f>IF(AND(R2156&lt;2,Q2156&gt;=100),"Revisar","OK")</f>
        <v>OK</v>
      </c>
      <c r="AA2156" s="55">
        <f>_xlfn.XLOOKUP(C2156,'Preguntas de negocio'!$C$114:$C$119,'Preguntas de negocio'!$D$114:$D$119,0)</f>
        <v>4.5</v>
      </c>
      <c r="AB2156" s="55">
        <f>VLOOKUP(C2156,'Preguntas de negocio'!$C$121:$D$127,2,FALSE)</f>
        <v>0.35</v>
      </c>
    </row>
    <row r="2157" spans="1:28" x14ac:dyDescent="0.3">
      <c r="A2157" s="1">
        <v>45807</v>
      </c>
      <c r="B2157" s="2" t="s">
        <v>2625</v>
      </c>
      <c r="C2157" s="2" t="s">
        <v>2543</v>
      </c>
      <c r="D2157" s="2" t="s">
        <v>2531</v>
      </c>
      <c r="E2157" s="2" t="s">
        <v>2517</v>
      </c>
      <c r="F2157" s="3">
        <v>9589</v>
      </c>
      <c r="G2157" s="3">
        <v>638</v>
      </c>
      <c r="H2157" s="3">
        <v>36</v>
      </c>
      <c r="I2157" s="4">
        <v>232.95</v>
      </c>
      <c r="J2157" s="4">
        <v>7886.28</v>
      </c>
      <c r="K2157" s="3">
        <v>23</v>
      </c>
      <c r="L2157" s="2" t="s">
        <v>2523</v>
      </c>
      <c r="M2157" s="2" t="s">
        <v>2537</v>
      </c>
      <c r="N2157" s="8">
        <f>IFERROR(G2157/F2157,0)</f>
        <v>6.653457086244656E-2</v>
      </c>
      <c r="O2157" s="8">
        <f>IFERROR(H2157/G2157,0)</f>
        <v>5.6426332288401257E-2</v>
      </c>
      <c r="P2157" s="4">
        <f>IFERROR(I2157/G2157,0)</f>
        <v>0.36512539184952975</v>
      </c>
      <c r="Q2157" s="4">
        <f>IFERROR(I2157/H2157,0)</f>
        <v>6.4708333333333332</v>
      </c>
      <c r="R2157" s="12">
        <f>IFERROR(J2157/I2157,0)</f>
        <v>33.853960077269804</v>
      </c>
      <c r="S2157" s="7">
        <f>Tabla_nuevas_columnas[[#This Row],[ROAS]]</f>
        <v>33.853960077269804</v>
      </c>
      <c r="T2157" t="str">
        <f>_xlfn.CONCAT(C2157,"-",D2157)</f>
        <v>Organic Social-Portugal</v>
      </c>
      <c r="U2157">
        <f>YEAR(A2157)</f>
        <v>2025</v>
      </c>
      <c r="V2157">
        <f>MONTH(A2157)</f>
        <v>5</v>
      </c>
      <c r="W2157" t="str">
        <f>PROPER(TEXT(A2157,"mmmm"))</f>
        <v>Mayo</v>
      </c>
      <c r="X2157" t="str">
        <f>PROPER(TEXT(A2157,"dddd"))</f>
        <v>Viernes</v>
      </c>
      <c r="Y2157" t="str" cm="1">
        <f t="array" ref="Y2157">_xlfn.IFS(R2157&gt;10,"Excelente",R2157&gt;=5,"Bueno",R2157&gt;=2,"Débil",R2157&lt;2,"Deficiente")</f>
        <v>Excelente</v>
      </c>
      <c r="Z2157" t="str">
        <f>IF(AND(R2157&lt;2,Q2157&gt;=100),"Revisar","OK")</f>
        <v>OK</v>
      </c>
      <c r="AA2157" s="55">
        <f>_xlfn.XLOOKUP(C2157,'Preguntas de negocio'!$C$114:$C$119,'Preguntas de negocio'!$D$114:$D$119,0)</f>
        <v>4</v>
      </c>
      <c r="AB2157" s="55">
        <f>VLOOKUP(C2157,'Preguntas de negocio'!$C$121:$D$127,2,FALSE)</f>
        <v>0.95</v>
      </c>
    </row>
    <row r="2158" spans="1:28" x14ac:dyDescent="0.3">
      <c r="A2158" s="1">
        <v>45709</v>
      </c>
      <c r="B2158" s="2" t="s">
        <v>2621</v>
      </c>
      <c r="C2158" s="2" t="s">
        <v>2521</v>
      </c>
      <c r="D2158" s="2" t="s">
        <v>2528</v>
      </c>
      <c r="E2158" s="2" t="s">
        <v>2517</v>
      </c>
      <c r="F2158" s="3">
        <v>76120</v>
      </c>
      <c r="G2158" s="3">
        <v>4014</v>
      </c>
      <c r="H2158" s="3">
        <v>546</v>
      </c>
      <c r="I2158" s="4">
        <v>2136.65</v>
      </c>
      <c r="J2158" s="4">
        <v>65611.149999999994</v>
      </c>
      <c r="K2158" s="3">
        <v>361</v>
      </c>
      <c r="L2158" s="2" t="s">
        <v>2536</v>
      </c>
      <c r="M2158" s="2" t="s">
        <v>2526</v>
      </c>
      <c r="N2158" s="8">
        <f>IFERROR(G2158/F2158,0)</f>
        <v>5.273252758801892E-2</v>
      </c>
      <c r="O2158" s="8">
        <f>IFERROR(H2158/G2158,0)</f>
        <v>0.13602391629297458</v>
      </c>
      <c r="P2158" s="4">
        <f>IFERROR(I2158/G2158,0)</f>
        <v>0.53229945191828598</v>
      </c>
      <c r="Q2158" s="4">
        <f>IFERROR(I2158/H2158,0)</f>
        <v>3.9132783882783886</v>
      </c>
      <c r="R2158" s="12">
        <f>IFERROR(J2158/I2158,0)</f>
        <v>30.707486017831648</v>
      </c>
      <c r="S2158" s="7">
        <f>Tabla_nuevas_columnas[[#This Row],[ROAS]]</f>
        <v>30.707486017831648</v>
      </c>
      <c r="T2158" t="str">
        <f>_xlfn.CONCAT(C2158,"-",D2158)</f>
        <v>Paid Search-España</v>
      </c>
      <c r="U2158">
        <f>YEAR(A2158)</f>
        <v>2025</v>
      </c>
      <c r="V2158">
        <f>MONTH(A2158)</f>
        <v>2</v>
      </c>
      <c r="W2158" t="str">
        <f>PROPER(TEXT(A2158,"mmmm"))</f>
        <v>Febrero</v>
      </c>
      <c r="X2158" t="str">
        <f>PROPER(TEXT(A2158,"dddd"))</f>
        <v>Viernes</v>
      </c>
      <c r="Y2158" t="str" cm="1">
        <f t="array" ref="Y2158">_xlfn.IFS(R2158&gt;10,"Excelente",R2158&gt;=5,"Bueno",R2158&gt;=2,"Débil",R2158&lt;2,"Deficiente")</f>
        <v>Excelente</v>
      </c>
      <c r="Z2158" t="str">
        <f>IF(AND(R2158&lt;2,Q2158&gt;=100),"Revisar","OK")</f>
        <v>OK</v>
      </c>
      <c r="AA2158" s="55">
        <f>_xlfn.XLOOKUP(C2158,'Preguntas de negocio'!$C$114:$C$119,'Preguntas de negocio'!$D$114:$D$119,0)</f>
        <v>5</v>
      </c>
      <c r="AB2158" s="55">
        <f>VLOOKUP(C2158,'Preguntas de negocio'!$C$121:$D$127,2,FALSE)</f>
        <v>1.1000000000000001</v>
      </c>
    </row>
    <row r="2159" spans="1:28" x14ac:dyDescent="0.3">
      <c r="A2159" s="1">
        <v>45698</v>
      </c>
      <c r="B2159" s="2" t="s">
        <v>2631</v>
      </c>
      <c r="C2159" s="2" t="s">
        <v>2533</v>
      </c>
      <c r="D2159" s="2" t="s">
        <v>2525</v>
      </c>
      <c r="E2159" s="2" t="s">
        <v>2529</v>
      </c>
      <c r="F2159" s="3">
        <v>95972</v>
      </c>
      <c r="G2159" s="3">
        <v>986</v>
      </c>
      <c r="H2159" s="3">
        <v>28</v>
      </c>
      <c r="I2159" s="4">
        <v>1072.3399999999999</v>
      </c>
      <c r="J2159" s="4">
        <v>5741.78</v>
      </c>
      <c r="K2159" s="3">
        <v>22</v>
      </c>
      <c r="L2159" s="2" t="s">
        <v>2536</v>
      </c>
      <c r="M2159" s="2" t="s">
        <v>2519</v>
      </c>
      <c r="N2159" s="8">
        <f>IFERROR(G2159/F2159,0)</f>
        <v>1.0273829867044554E-2</v>
      </c>
      <c r="O2159" s="8">
        <f>IFERROR(H2159/G2159,0)</f>
        <v>2.8397565922920892E-2</v>
      </c>
      <c r="P2159" s="4">
        <f>IFERROR(I2159/G2159,0)</f>
        <v>1.0875659229208925</v>
      </c>
      <c r="Q2159" s="4">
        <f>IFERROR(I2159/H2159,0)</f>
        <v>38.29785714285714</v>
      </c>
      <c r="R2159" s="12">
        <f>IFERROR(J2159/I2159,0)</f>
        <v>5.3544398231904058</v>
      </c>
      <c r="S2159" s="7">
        <f>Tabla_nuevas_columnas[[#This Row],[ROAS]]</f>
        <v>5.3544398231904058</v>
      </c>
      <c r="T2159" t="str">
        <f>_xlfn.CONCAT(C2159,"-",D2159)</f>
        <v>Paid Social-Francia</v>
      </c>
      <c r="U2159">
        <f>YEAR(A2159)</f>
        <v>2025</v>
      </c>
      <c r="V2159">
        <f>MONTH(A2159)</f>
        <v>2</v>
      </c>
      <c r="W2159" t="str">
        <f>PROPER(TEXT(A2159,"mmmm"))</f>
        <v>Febrero</v>
      </c>
      <c r="X2159" t="str">
        <f>PROPER(TEXT(A2159,"dddd"))</f>
        <v>Lunes</v>
      </c>
      <c r="Y2159" t="str" cm="1">
        <f t="array" ref="Y2159">_xlfn.IFS(R2159&gt;10,"Excelente",R2159&gt;=5,"Bueno",R2159&gt;=2,"Débil",R2159&lt;2,"Deficiente")</f>
        <v>Bueno</v>
      </c>
      <c r="Z2159" t="str">
        <f>IF(AND(R2159&lt;2,Q2159&gt;=100),"Revisar","OK")</f>
        <v>OK</v>
      </c>
      <c r="AA2159" s="55">
        <f>_xlfn.XLOOKUP(C2159,'Preguntas de negocio'!$C$114:$C$119,'Preguntas de negocio'!$D$114:$D$119,0)</f>
        <v>6</v>
      </c>
      <c r="AB2159" s="55">
        <f>VLOOKUP(C2159,'Preguntas de negocio'!$C$121:$D$127,2,FALSE)</f>
        <v>0.8</v>
      </c>
    </row>
    <row r="2160" spans="1:28" x14ac:dyDescent="0.3">
      <c r="A2160" s="1">
        <v>45687</v>
      </c>
      <c r="B2160" s="2" t="s">
        <v>2641</v>
      </c>
      <c r="C2160" s="2" t="s">
        <v>2527</v>
      </c>
      <c r="D2160" s="2" t="s">
        <v>2528</v>
      </c>
      <c r="E2160" s="2" t="s">
        <v>2529</v>
      </c>
      <c r="F2160" s="3">
        <v>176952</v>
      </c>
      <c r="G2160" s="3">
        <v>10671</v>
      </c>
      <c r="H2160" s="3">
        <v>955</v>
      </c>
      <c r="I2160" s="4">
        <v>16314.27</v>
      </c>
      <c r="J2160" s="4">
        <v>168400.17</v>
      </c>
      <c r="K2160" s="3">
        <v>670</v>
      </c>
      <c r="L2160" s="2" t="s">
        <v>2523</v>
      </c>
      <c r="M2160" s="2" t="s">
        <v>2526</v>
      </c>
      <c r="N2160" s="8">
        <f>IFERROR(G2160/F2160,0)</f>
        <v>6.0304489353044895E-2</v>
      </c>
      <c r="O2160" s="8">
        <f>IFERROR(H2160/G2160,0)</f>
        <v>8.9494892699840692E-2</v>
      </c>
      <c r="P2160" s="4">
        <f>IFERROR(I2160/G2160,0)</f>
        <v>1.5288417205510263</v>
      </c>
      <c r="Q2160" s="4">
        <f>IFERROR(I2160/H2160,0)</f>
        <v>17.083005235602094</v>
      </c>
      <c r="R2160" s="12">
        <f>IFERROR(J2160/I2160,0)</f>
        <v>10.322262044210376</v>
      </c>
      <c r="S2160" s="7">
        <f>Tabla_nuevas_columnas[[#This Row],[ROAS]]</f>
        <v>10.322262044210376</v>
      </c>
      <c r="T2160" t="str">
        <f>_xlfn.CONCAT(C2160,"-",D2160)</f>
        <v>Affiliate-España</v>
      </c>
      <c r="U2160">
        <f>YEAR(A2160)</f>
        <v>2025</v>
      </c>
      <c r="V2160">
        <f>MONTH(A2160)</f>
        <v>1</v>
      </c>
      <c r="W2160" t="str">
        <f>PROPER(TEXT(A2160,"mmmm"))</f>
        <v>Enero</v>
      </c>
      <c r="X2160" t="str">
        <f>PROPER(TEXT(A2160,"dddd"))</f>
        <v>Jueves</v>
      </c>
      <c r="Y2160" t="str" cm="1">
        <f t="array" ref="Y2160">_xlfn.IFS(R2160&gt;10,"Excelente",R2160&gt;=5,"Bueno",R2160&gt;=2,"Débil",R2160&lt;2,"Deficiente")</f>
        <v>Excelente</v>
      </c>
      <c r="Z2160" t="str">
        <f>IF(AND(R2160&lt;2,Q2160&gt;=100),"Revisar","OK")</f>
        <v>OK</v>
      </c>
      <c r="AA2160" s="55">
        <f>_xlfn.XLOOKUP(C2160,'Preguntas de negocio'!$C$114:$C$119,'Preguntas de negocio'!$D$114:$D$119,0)</f>
        <v>4.5</v>
      </c>
      <c r="AB2160" s="55">
        <f>VLOOKUP(C2160,'Preguntas de negocio'!$C$121:$D$127,2,FALSE)</f>
        <v>0.35</v>
      </c>
    </row>
    <row r="2161" spans="1:28" x14ac:dyDescent="0.3">
      <c r="A2161" s="1">
        <v>45795</v>
      </c>
      <c r="B2161" s="2" t="s">
        <v>2624</v>
      </c>
      <c r="C2161" s="2" t="s">
        <v>2527</v>
      </c>
      <c r="D2161" s="2" t="s">
        <v>2516</v>
      </c>
      <c r="E2161" s="2" t="s">
        <v>2529</v>
      </c>
      <c r="F2161" s="3">
        <v>53552</v>
      </c>
      <c r="G2161" s="3">
        <v>2249</v>
      </c>
      <c r="H2161" s="3">
        <v>170</v>
      </c>
      <c r="I2161" s="4">
        <v>3539.52</v>
      </c>
      <c r="J2161" s="4">
        <v>20810.72</v>
      </c>
      <c r="K2161" s="3">
        <v>141</v>
      </c>
      <c r="L2161" s="2" t="s">
        <v>2523</v>
      </c>
      <c r="M2161" s="2" t="s">
        <v>2546</v>
      </c>
      <c r="N2161" s="8">
        <f>IFERROR(G2161/F2161,0)</f>
        <v>4.1996564087242304E-2</v>
      </c>
      <c r="O2161" s="8">
        <f>IFERROR(H2161/G2161,0)</f>
        <v>7.5589150733659405E-2</v>
      </c>
      <c r="P2161" s="4">
        <f>IFERROR(I2161/G2161,0)</f>
        <v>1.5738194753223655</v>
      </c>
      <c r="Q2161" s="4">
        <f>IFERROR(I2161/H2161,0)</f>
        <v>20.820705882352939</v>
      </c>
      <c r="R2161" s="12">
        <f>IFERROR(J2161/I2161,0)</f>
        <v>5.8795316879124853</v>
      </c>
      <c r="S2161" s="7">
        <f>Tabla_nuevas_columnas[[#This Row],[ROAS]]</f>
        <v>5.8795316879124853</v>
      </c>
      <c r="T2161" t="str">
        <f>_xlfn.CONCAT(C2161,"-",D2161)</f>
        <v>Affiliate-México</v>
      </c>
      <c r="U2161">
        <f>YEAR(A2161)</f>
        <v>2025</v>
      </c>
      <c r="V2161">
        <f>MONTH(A2161)</f>
        <v>5</v>
      </c>
      <c r="W2161" t="str">
        <f>PROPER(TEXT(A2161,"mmmm"))</f>
        <v>Mayo</v>
      </c>
      <c r="X2161" t="str">
        <f>PROPER(TEXT(A2161,"dddd"))</f>
        <v>Domingo</v>
      </c>
      <c r="Y2161" t="str" cm="1">
        <f t="array" ref="Y2161">_xlfn.IFS(R2161&gt;10,"Excelente",R2161&gt;=5,"Bueno",R2161&gt;=2,"Débil",R2161&lt;2,"Deficiente")</f>
        <v>Bueno</v>
      </c>
      <c r="Z2161" t="str">
        <f>IF(AND(R2161&lt;2,Q2161&gt;=100),"Revisar","OK")</f>
        <v>OK</v>
      </c>
      <c r="AA2161" s="55">
        <f>_xlfn.XLOOKUP(C2161,'Preguntas de negocio'!$C$114:$C$119,'Preguntas de negocio'!$D$114:$D$119,0)</f>
        <v>4.5</v>
      </c>
      <c r="AB2161" s="55">
        <f>VLOOKUP(C2161,'Preguntas de negocio'!$C$121:$D$127,2,FALSE)</f>
        <v>0.35</v>
      </c>
    </row>
    <row r="2162" spans="1:28" x14ac:dyDescent="0.3">
      <c r="A2162" s="1">
        <v>45745</v>
      </c>
      <c r="B2162" s="2" t="s">
        <v>2639</v>
      </c>
      <c r="C2162" s="2" t="s">
        <v>2527</v>
      </c>
      <c r="D2162" s="2" t="s">
        <v>2528</v>
      </c>
      <c r="E2162" s="2" t="s">
        <v>2517</v>
      </c>
      <c r="F2162" s="3">
        <v>93683</v>
      </c>
      <c r="G2162" s="3">
        <v>661</v>
      </c>
      <c r="H2162" s="3">
        <v>4</v>
      </c>
      <c r="I2162" s="4">
        <v>655.41</v>
      </c>
      <c r="J2162" s="4">
        <v>604.12</v>
      </c>
      <c r="K2162" s="3">
        <v>2</v>
      </c>
      <c r="L2162" s="2" t="s">
        <v>2536</v>
      </c>
      <c r="M2162" s="2" t="s">
        <v>2519</v>
      </c>
      <c r="N2162" s="8">
        <f>IFERROR(G2162/F2162,0)</f>
        <v>7.0557091468035826E-3</v>
      </c>
      <c r="O2162" s="8">
        <f>IFERROR(H2162/G2162,0)</f>
        <v>6.0514372163388806E-3</v>
      </c>
      <c r="P2162" s="4">
        <f>IFERROR(I2162/G2162,0)</f>
        <v>0.99154311649016635</v>
      </c>
      <c r="Q2162" s="4">
        <f>IFERROR(I2162/H2162,0)</f>
        <v>163.85249999999999</v>
      </c>
      <c r="R2162" s="12">
        <f>IFERROR(J2162/I2162,0)</f>
        <v>0.92174364138478204</v>
      </c>
      <c r="S2162" s="7">
        <f>Tabla_nuevas_columnas[[#This Row],[ROAS]]</f>
        <v>0.92174364138478204</v>
      </c>
      <c r="T2162" t="str">
        <f>_xlfn.CONCAT(C2162,"-",D2162)</f>
        <v>Affiliate-España</v>
      </c>
      <c r="U2162">
        <f>YEAR(A2162)</f>
        <v>2025</v>
      </c>
      <c r="V2162">
        <f>MONTH(A2162)</f>
        <v>3</v>
      </c>
      <c r="W2162" t="str">
        <f>PROPER(TEXT(A2162,"mmmm"))</f>
        <v>Marzo</v>
      </c>
      <c r="X2162" t="str">
        <f>PROPER(TEXT(A2162,"dddd"))</f>
        <v>Sábado</v>
      </c>
      <c r="Y2162" t="str" cm="1">
        <f t="array" ref="Y2162">_xlfn.IFS(R2162&gt;10,"Excelente",R2162&gt;=5,"Bueno",R2162&gt;=2,"Débil",R2162&lt;2,"Deficiente")</f>
        <v>Deficiente</v>
      </c>
      <c r="Z2162" t="str">
        <f>IF(AND(R2162&lt;2,Q2162&gt;=100),"Revisar","OK")</f>
        <v>Revisar</v>
      </c>
      <c r="AA2162" s="55">
        <f>_xlfn.XLOOKUP(C2162,'Preguntas de negocio'!$C$114:$C$119,'Preguntas de negocio'!$D$114:$D$119,0)</f>
        <v>4.5</v>
      </c>
      <c r="AB2162" s="55">
        <f>VLOOKUP(C2162,'Preguntas de negocio'!$C$121:$D$127,2,FALSE)</f>
        <v>0.35</v>
      </c>
    </row>
    <row r="2163" spans="1:28" x14ac:dyDescent="0.3">
      <c r="A2163" s="1">
        <v>45886</v>
      </c>
      <c r="B2163" s="2" t="s">
        <v>2615</v>
      </c>
      <c r="C2163" s="2" t="s">
        <v>2515</v>
      </c>
      <c r="D2163" s="2" t="s">
        <v>2516</v>
      </c>
      <c r="E2163" s="2" t="s">
        <v>2534</v>
      </c>
      <c r="F2163" s="3">
        <v>56276</v>
      </c>
      <c r="G2163" s="3">
        <v>460</v>
      </c>
      <c r="H2163" s="3">
        <v>14</v>
      </c>
      <c r="I2163" s="4">
        <v>369.18</v>
      </c>
      <c r="J2163" s="4">
        <v>3077.41</v>
      </c>
      <c r="K2163" s="3">
        <v>10</v>
      </c>
      <c r="L2163" s="2" t="s">
        <v>2536</v>
      </c>
      <c r="M2163" s="2" t="s">
        <v>2526</v>
      </c>
      <c r="N2163" s="8">
        <f>IFERROR(G2163/F2163,0)</f>
        <v>8.173999573530457E-3</v>
      </c>
      <c r="O2163" s="8">
        <f>IFERROR(H2163/G2163,0)</f>
        <v>3.0434782608695653E-2</v>
      </c>
      <c r="P2163" s="4">
        <f>IFERROR(I2163/G2163,0)</f>
        <v>0.80256521739130438</v>
      </c>
      <c r="Q2163" s="4">
        <f>IFERROR(I2163/H2163,0)</f>
        <v>26.37</v>
      </c>
      <c r="R2163" s="12">
        <f>IFERROR(J2163/I2163,0)</f>
        <v>8.3357982555934775</v>
      </c>
      <c r="S2163" s="7">
        <f>Tabla_nuevas_columnas[[#This Row],[ROAS]]</f>
        <v>8.3357982555934775</v>
      </c>
      <c r="T2163" t="str">
        <f>_xlfn.CONCAT(C2163,"-",D2163)</f>
        <v>Email-México</v>
      </c>
      <c r="U2163">
        <f>YEAR(A2163)</f>
        <v>2025</v>
      </c>
      <c r="V2163">
        <f>MONTH(A2163)</f>
        <v>8</v>
      </c>
      <c r="W2163" t="str">
        <f>PROPER(TEXT(A2163,"mmmm"))</f>
        <v>Agosto</v>
      </c>
      <c r="X2163" t="str">
        <f>PROPER(TEXT(A2163,"dddd"))</f>
        <v>Domingo</v>
      </c>
      <c r="Y2163" t="str" cm="1">
        <f t="array" ref="Y2163">_xlfn.IFS(R2163&gt;10,"Excelente",R2163&gt;=5,"Bueno",R2163&gt;=2,"Débil",R2163&lt;2,"Deficiente")</f>
        <v>Bueno</v>
      </c>
      <c r="Z2163" t="str">
        <f>IF(AND(R2163&lt;2,Q2163&gt;=100),"Revisar","OK")</f>
        <v>OK</v>
      </c>
      <c r="AA2163" s="55">
        <f>_xlfn.XLOOKUP(C2163,'Preguntas de negocio'!$C$114:$C$119,'Preguntas de negocio'!$D$114:$D$119,0)</f>
        <v>5.5</v>
      </c>
      <c r="AB2163" s="55">
        <f>VLOOKUP(C2163,'Preguntas de negocio'!$C$121:$D$127,2,FALSE)</f>
        <v>0.65</v>
      </c>
    </row>
    <row r="2164" spans="1:28" x14ac:dyDescent="0.3">
      <c r="A2164" s="1">
        <v>45892</v>
      </c>
      <c r="B2164" s="2" t="s">
        <v>2634</v>
      </c>
      <c r="C2164" s="2" t="s">
        <v>2515</v>
      </c>
      <c r="D2164" s="2" t="s">
        <v>2525</v>
      </c>
      <c r="E2164" s="2" t="s">
        <v>2534</v>
      </c>
      <c r="F2164" s="3">
        <v>23456</v>
      </c>
      <c r="G2164" s="3">
        <v>1825</v>
      </c>
      <c r="H2164" s="3">
        <v>32</v>
      </c>
      <c r="I2164" s="4">
        <v>3777.26</v>
      </c>
      <c r="J2164" s="4">
        <v>6704.32</v>
      </c>
      <c r="K2164" s="3">
        <v>14</v>
      </c>
      <c r="L2164" s="2" t="s">
        <v>2518</v>
      </c>
      <c r="M2164" s="2" t="s">
        <v>2546</v>
      </c>
      <c r="N2164" s="8">
        <f>IFERROR(G2164/F2164,0)</f>
        <v>7.7805252387448842E-2</v>
      </c>
      <c r="O2164" s="8">
        <f>IFERROR(H2164/G2164,0)</f>
        <v>1.7534246575342465E-2</v>
      </c>
      <c r="P2164" s="4">
        <f>IFERROR(I2164/G2164,0)</f>
        <v>2.0697315068493154</v>
      </c>
      <c r="Q2164" s="4">
        <f>IFERROR(I2164/H2164,0)</f>
        <v>118.03937500000001</v>
      </c>
      <c r="R2164" s="12">
        <f>IFERROR(J2164/I2164,0)</f>
        <v>1.7749162091039534</v>
      </c>
      <c r="S2164" s="7">
        <f>Tabla_nuevas_columnas[[#This Row],[ROAS]]</f>
        <v>1.7749162091039534</v>
      </c>
      <c r="T2164" t="str">
        <f>_xlfn.CONCAT(C2164,"-",D2164)</f>
        <v>Email-Francia</v>
      </c>
      <c r="U2164">
        <f>YEAR(A2164)</f>
        <v>2025</v>
      </c>
      <c r="V2164">
        <f>MONTH(A2164)</f>
        <v>8</v>
      </c>
      <c r="W2164" t="str">
        <f>PROPER(TEXT(A2164,"mmmm"))</f>
        <v>Agosto</v>
      </c>
      <c r="X2164" t="str">
        <f>PROPER(TEXT(A2164,"dddd"))</f>
        <v>Sábado</v>
      </c>
      <c r="Y2164" t="str" cm="1">
        <f t="array" ref="Y2164">_xlfn.IFS(R2164&gt;10,"Excelente",R2164&gt;=5,"Bueno",R2164&gt;=2,"Débil",R2164&lt;2,"Deficiente")</f>
        <v>Deficiente</v>
      </c>
      <c r="Z2164" t="str">
        <f>IF(AND(R2164&lt;2,Q2164&gt;=100),"Revisar","OK")</f>
        <v>Revisar</v>
      </c>
      <c r="AA2164" s="55">
        <f>_xlfn.XLOOKUP(C2164,'Preguntas de negocio'!$C$114:$C$119,'Preguntas de negocio'!$D$114:$D$119,0)</f>
        <v>5.5</v>
      </c>
      <c r="AB2164" s="55">
        <f>VLOOKUP(C2164,'Preguntas de negocio'!$C$121:$D$127,2,FALSE)</f>
        <v>0.65</v>
      </c>
    </row>
    <row r="2165" spans="1:28" x14ac:dyDescent="0.3">
      <c r="A2165" s="1">
        <v>45711</v>
      </c>
      <c r="B2165" s="2" t="s">
        <v>2634</v>
      </c>
      <c r="C2165" s="2" t="s">
        <v>2533</v>
      </c>
      <c r="D2165" s="2" t="s">
        <v>2528</v>
      </c>
      <c r="E2165" s="2" t="s">
        <v>2517</v>
      </c>
      <c r="F2165" s="3">
        <v>2439</v>
      </c>
      <c r="G2165" s="3">
        <v>149</v>
      </c>
      <c r="H2165" s="3">
        <v>8</v>
      </c>
      <c r="I2165" s="4">
        <v>100</v>
      </c>
      <c r="J2165" s="4">
        <v>327.49</v>
      </c>
      <c r="K2165" s="3">
        <v>5</v>
      </c>
      <c r="L2165" s="2" t="s">
        <v>2523</v>
      </c>
      <c r="M2165" s="2" t="s">
        <v>2519</v>
      </c>
      <c r="N2165" s="8">
        <f>IFERROR(G2165/F2165,0)</f>
        <v>6.1090610906109059E-2</v>
      </c>
      <c r="O2165" s="8">
        <f>IFERROR(H2165/G2165,0)</f>
        <v>5.3691275167785234E-2</v>
      </c>
      <c r="P2165" s="4">
        <f>IFERROR(I2165/G2165,0)</f>
        <v>0.67114093959731547</v>
      </c>
      <c r="Q2165" s="4">
        <f>IFERROR(I2165/H2165,0)</f>
        <v>12.5</v>
      </c>
      <c r="R2165" s="12">
        <f>IFERROR(J2165/I2165,0)</f>
        <v>3.2749000000000001</v>
      </c>
      <c r="S2165" s="7">
        <f>Tabla_nuevas_columnas[[#This Row],[ROAS]]</f>
        <v>3.2749000000000001</v>
      </c>
      <c r="T2165" t="str">
        <f>_xlfn.CONCAT(C2165,"-",D2165)</f>
        <v>Paid Social-España</v>
      </c>
      <c r="U2165">
        <f>YEAR(A2165)</f>
        <v>2025</v>
      </c>
      <c r="V2165">
        <f>MONTH(A2165)</f>
        <v>2</v>
      </c>
      <c r="W2165" t="str">
        <f>PROPER(TEXT(A2165,"mmmm"))</f>
        <v>Febrero</v>
      </c>
      <c r="X2165" t="str">
        <f>PROPER(TEXT(A2165,"dddd"))</f>
        <v>Domingo</v>
      </c>
      <c r="Y2165" t="str" cm="1">
        <f t="array" ref="Y2165">_xlfn.IFS(R2165&gt;10,"Excelente",R2165&gt;=5,"Bueno",R2165&gt;=2,"Débil",R2165&lt;2,"Deficiente")</f>
        <v>Débil</v>
      </c>
      <c r="Z2165" t="str">
        <f>IF(AND(R2165&lt;2,Q2165&gt;=100),"Revisar","OK")</f>
        <v>OK</v>
      </c>
      <c r="AA2165" s="55">
        <f>_xlfn.XLOOKUP(C2165,'Preguntas de negocio'!$C$114:$C$119,'Preguntas de negocio'!$D$114:$D$119,0)</f>
        <v>6</v>
      </c>
      <c r="AB2165" s="55">
        <f>VLOOKUP(C2165,'Preguntas de negocio'!$C$121:$D$127,2,FALSE)</f>
        <v>0.8</v>
      </c>
    </row>
    <row r="2166" spans="1:28" x14ac:dyDescent="0.3">
      <c r="A2166" s="1">
        <v>45761</v>
      </c>
      <c r="B2166" s="2" t="s">
        <v>2633</v>
      </c>
      <c r="C2166" s="2" t="s">
        <v>2533</v>
      </c>
      <c r="D2166" s="2" t="s">
        <v>2516</v>
      </c>
      <c r="E2166" s="2" t="s">
        <v>2517</v>
      </c>
      <c r="F2166" s="3">
        <v>156012</v>
      </c>
      <c r="G2166" s="3">
        <v>3591</v>
      </c>
      <c r="H2166" s="3">
        <v>3628</v>
      </c>
      <c r="I2166" s="4">
        <v>5485.86</v>
      </c>
      <c r="J2166" s="4">
        <v>88579.93</v>
      </c>
      <c r="K2166" s="3">
        <v>296</v>
      </c>
      <c r="L2166" s="2" t="s">
        <v>2523</v>
      </c>
      <c r="M2166" s="2" t="s">
        <v>2524</v>
      </c>
      <c r="N2166" s="8">
        <f>IFERROR(G2166/F2166,0)</f>
        <v>2.3017460195369589E-2</v>
      </c>
      <c r="O2166" s="8">
        <f>IFERROR(H2166/G2166,0)</f>
        <v>1.010303536619326</v>
      </c>
      <c r="P2166" s="4">
        <f>IFERROR(I2166/G2166,0)</f>
        <v>1.5276691729323308</v>
      </c>
      <c r="Q2166" s="4">
        <f>IFERROR(I2166/H2166,0)</f>
        <v>1.5120893054024256</v>
      </c>
      <c r="R2166" s="12">
        <f>IFERROR(J2166/I2166,0)</f>
        <v>16.146954169446541</v>
      </c>
      <c r="S2166" s="7">
        <f>Tabla_nuevas_columnas[[#This Row],[ROAS]]</f>
        <v>16.146954169446541</v>
      </c>
      <c r="T2166" t="str">
        <f>_xlfn.CONCAT(C2166,"-",D2166)</f>
        <v>Paid Social-México</v>
      </c>
      <c r="U2166">
        <f>YEAR(A2166)</f>
        <v>2025</v>
      </c>
      <c r="V2166">
        <f>MONTH(A2166)</f>
        <v>4</v>
      </c>
      <c r="W2166" t="str">
        <f>PROPER(TEXT(A2166,"mmmm"))</f>
        <v>Abril</v>
      </c>
      <c r="X2166" t="str">
        <f>PROPER(TEXT(A2166,"dddd"))</f>
        <v>Lunes</v>
      </c>
      <c r="Y2166" t="str" cm="1">
        <f t="array" ref="Y2166">_xlfn.IFS(R2166&gt;10,"Excelente",R2166&gt;=5,"Bueno",R2166&gt;=2,"Débil",R2166&lt;2,"Deficiente")</f>
        <v>Excelente</v>
      </c>
      <c r="Z2166" t="str">
        <f>IF(AND(R2166&lt;2,Q2166&gt;=100),"Revisar","OK")</f>
        <v>OK</v>
      </c>
      <c r="AA2166" s="55">
        <f>_xlfn.XLOOKUP(C2166,'Preguntas de negocio'!$C$114:$C$119,'Preguntas de negocio'!$D$114:$D$119,0)</f>
        <v>6</v>
      </c>
      <c r="AB2166" s="55">
        <f>VLOOKUP(C2166,'Preguntas de negocio'!$C$121:$D$127,2,FALSE)</f>
        <v>0.8</v>
      </c>
    </row>
    <row r="2167" spans="1:28" x14ac:dyDescent="0.3">
      <c r="A2167" s="1">
        <v>45874</v>
      </c>
      <c r="B2167" s="2" t="s">
        <v>2642</v>
      </c>
      <c r="C2167" s="2" t="s">
        <v>2515</v>
      </c>
      <c r="D2167" s="2" t="s">
        <v>2516</v>
      </c>
      <c r="E2167" s="2" t="s">
        <v>2517</v>
      </c>
      <c r="F2167" s="3">
        <v>173230</v>
      </c>
      <c r="G2167" s="3">
        <v>11924</v>
      </c>
      <c r="H2167" s="3">
        <v>1645</v>
      </c>
      <c r="I2167" s="4">
        <v>11479.55</v>
      </c>
      <c r="J2167" s="4">
        <v>304204.21999999997</v>
      </c>
      <c r="K2167" s="3">
        <v>1144</v>
      </c>
      <c r="L2167" s="2" t="s">
        <v>2536</v>
      </c>
      <c r="M2167" s="2" t="s">
        <v>2524</v>
      </c>
      <c r="N2167" s="8">
        <f>IFERROR(G2167/F2167,0)</f>
        <v>6.8833342954453619E-2</v>
      </c>
      <c r="O2167" s="8">
        <f>IFERROR(H2167/G2167,0)</f>
        <v>0.13795706138879571</v>
      </c>
      <c r="P2167" s="4">
        <f>IFERROR(I2167/G2167,0)</f>
        <v>0.96272643408252256</v>
      </c>
      <c r="Q2167" s="4">
        <f>IFERROR(I2167/H2167,0)</f>
        <v>6.978449848024316</v>
      </c>
      <c r="R2167" s="12">
        <f>IFERROR(J2167/I2167,0)</f>
        <v>26.499664185442807</v>
      </c>
      <c r="S2167" s="7">
        <f>Tabla_nuevas_columnas[[#This Row],[ROAS]]</f>
        <v>26.499664185442807</v>
      </c>
      <c r="T2167" t="str">
        <f>_xlfn.CONCAT(C2167,"-",D2167)</f>
        <v>Email-México</v>
      </c>
      <c r="U2167">
        <f>YEAR(A2167)</f>
        <v>2025</v>
      </c>
      <c r="V2167">
        <f>MONTH(A2167)</f>
        <v>8</v>
      </c>
      <c r="W2167" t="str">
        <f>PROPER(TEXT(A2167,"mmmm"))</f>
        <v>Agosto</v>
      </c>
      <c r="X2167" t="str">
        <f>PROPER(TEXT(A2167,"dddd"))</f>
        <v>Martes</v>
      </c>
      <c r="Y2167" t="str" cm="1">
        <f t="array" ref="Y2167">_xlfn.IFS(R2167&gt;10,"Excelente",R2167&gt;=5,"Bueno",R2167&gt;=2,"Débil",R2167&lt;2,"Deficiente")</f>
        <v>Excelente</v>
      </c>
      <c r="Z2167" t="str">
        <f>IF(AND(R2167&lt;2,Q2167&gt;=100),"Revisar","OK")</f>
        <v>OK</v>
      </c>
      <c r="AA2167" s="55">
        <f>_xlfn.XLOOKUP(C2167,'Preguntas de negocio'!$C$114:$C$119,'Preguntas de negocio'!$D$114:$D$119,0)</f>
        <v>5.5</v>
      </c>
      <c r="AB2167" s="55">
        <f>VLOOKUP(C2167,'Preguntas de negocio'!$C$121:$D$127,2,FALSE)</f>
        <v>0.65</v>
      </c>
    </row>
    <row r="2168" spans="1:28" x14ac:dyDescent="0.3">
      <c r="A2168" s="1">
        <v>45995</v>
      </c>
      <c r="B2168" s="2" t="s">
        <v>2641</v>
      </c>
      <c r="C2168" s="2" t="s">
        <v>2543</v>
      </c>
      <c r="D2168" s="2" t="s">
        <v>2531</v>
      </c>
      <c r="E2168" s="2" t="s">
        <v>2517</v>
      </c>
      <c r="F2168" s="3">
        <v>22865</v>
      </c>
      <c r="G2168" s="3">
        <v>460</v>
      </c>
      <c r="H2168" s="3">
        <v>25</v>
      </c>
      <c r="I2168" s="4">
        <v>927.36</v>
      </c>
      <c r="J2168" s="4">
        <v>3465.97</v>
      </c>
      <c r="K2168" s="3">
        <v>11</v>
      </c>
      <c r="L2168" s="2" t="s">
        <v>2536</v>
      </c>
      <c r="M2168" s="2" t="s">
        <v>2524</v>
      </c>
      <c r="N2168" s="8">
        <f>IFERROR(G2168/F2168,0)</f>
        <v>2.0118084408484584E-2</v>
      </c>
      <c r="O2168" s="8">
        <f>IFERROR(H2168/G2168,0)</f>
        <v>5.434782608695652E-2</v>
      </c>
      <c r="P2168" s="4">
        <f>IFERROR(I2168/G2168,0)</f>
        <v>2.016</v>
      </c>
      <c r="Q2168" s="4">
        <f>IFERROR(I2168/H2168,0)</f>
        <v>37.0944</v>
      </c>
      <c r="R2168" s="12">
        <f>IFERROR(J2168/I2168,0)</f>
        <v>3.7374590234644578</v>
      </c>
      <c r="S2168" s="7">
        <f>Tabla_nuevas_columnas[[#This Row],[ROAS]]</f>
        <v>3.7374590234644578</v>
      </c>
      <c r="T2168" t="str">
        <f>_xlfn.CONCAT(C2168,"-",D2168)</f>
        <v>Organic Social-Portugal</v>
      </c>
      <c r="U2168">
        <f>YEAR(A2168)</f>
        <v>2025</v>
      </c>
      <c r="V2168">
        <f>MONTH(A2168)</f>
        <v>12</v>
      </c>
      <c r="W2168" t="str">
        <f>PROPER(TEXT(A2168,"mmmm"))</f>
        <v>Diciembre</v>
      </c>
      <c r="X2168" t="str">
        <f>PROPER(TEXT(A2168,"dddd"))</f>
        <v>Jueves</v>
      </c>
      <c r="Y2168" t="str" cm="1">
        <f t="array" ref="Y2168">_xlfn.IFS(R2168&gt;10,"Excelente",R2168&gt;=5,"Bueno",R2168&gt;=2,"Débil",R2168&lt;2,"Deficiente")</f>
        <v>Débil</v>
      </c>
      <c r="Z2168" t="str">
        <f>IF(AND(R2168&lt;2,Q2168&gt;=100),"Revisar","OK")</f>
        <v>OK</v>
      </c>
      <c r="AA2168" s="55">
        <f>_xlfn.XLOOKUP(C2168,'Preguntas de negocio'!$C$114:$C$119,'Preguntas de negocio'!$D$114:$D$119,0)</f>
        <v>4</v>
      </c>
      <c r="AB2168" s="55">
        <f>VLOOKUP(C2168,'Preguntas de negocio'!$C$121:$D$127,2,FALSE)</f>
        <v>0.95</v>
      </c>
    </row>
    <row r="2169" spans="1:28" x14ac:dyDescent="0.3">
      <c r="A2169" s="1">
        <v>45668</v>
      </c>
      <c r="B2169" s="2" t="s">
        <v>2639</v>
      </c>
      <c r="C2169" s="2" t="s">
        <v>2521</v>
      </c>
      <c r="D2169" s="2" t="s">
        <v>2528</v>
      </c>
      <c r="E2169" s="2" t="s">
        <v>2517</v>
      </c>
      <c r="F2169" s="3">
        <v>65882</v>
      </c>
      <c r="G2169" s="3">
        <v>1224</v>
      </c>
      <c r="H2169" s="3">
        <v>50</v>
      </c>
      <c r="I2169" s="4">
        <v>2353.34</v>
      </c>
      <c r="J2169" s="4">
        <v>7977.19</v>
      </c>
      <c r="K2169" s="3">
        <v>33</v>
      </c>
      <c r="L2169" s="2" t="s">
        <v>2523</v>
      </c>
      <c r="M2169" s="2" t="s">
        <v>2524</v>
      </c>
      <c r="N2169" s="8">
        <f>IFERROR(G2169/F2169,0)</f>
        <v>1.8578670957165842E-2</v>
      </c>
      <c r="O2169" s="8">
        <f>IFERROR(H2169/G2169,0)</f>
        <v>4.084967320261438E-2</v>
      </c>
      <c r="P2169" s="4">
        <f>IFERROR(I2169/G2169,0)</f>
        <v>1.9226633986928106</v>
      </c>
      <c r="Q2169" s="4">
        <f>IFERROR(I2169/H2169,0)</f>
        <v>47.066800000000001</v>
      </c>
      <c r="R2169" s="12">
        <f>IFERROR(J2169/I2169,0)</f>
        <v>3.3897311905631993</v>
      </c>
      <c r="S2169" s="7">
        <f>Tabla_nuevas_columnas[[#This Row],[ROAS]]</f>
        <v>3.3897311905631993</v>
      </c>
      <c r="T2169" t="str">
        <f>_xlfn.CONCAT(C2169,"-",D2169)</f>
        <v>Paid Search-España</v>
      </c>
      <c r="U2169">
        <f>YEAR(A2169)</f>
        <v>2025</v>
      </c>
      <c r="V2169">
        <f>MONTH(A2169)</f>
        <v>1</v>
      </c>
      <c r="W2169" t="str">
        <f>PROPER(TEXT(A2169,"mmmm"))</f>
        <v>Enero</v>
      </c>
      <c r="X2169" t="str">
        <f>PROPER(TEXT(A2169,"dddd"))</f>
        <v>Sábado</v>
      </c>
      <c r="Y2169" t="str" cm="1">
        <f t="array" ref="Y2169">_xlfn.IFS(R2169&gt;10,"Excelente",R2169&gt;=5,"Bueno",R2169&gt;=2,"Débil",R2169&lt;2,"Deficiente")</f>
        <v>Débil</v>
      </c>
      <c r="Z2169" t="str">
        <f>IF(AND(R2169&lt;2,Q2169&gt;=100),"Revisar","OK")</f>
        <v>OK</v>
      </c>
      <c r="AA2169" s="55">
        <f>_xlfn.XLOOKUP(C2169,'Preguntas de negocio'!$C$114:$C$119,'Preguntas de negocio'!$D$114:$D$119,0)</f>
        <v>5</v>
      </c>
      <c r="AB2169" s="55">
        <f>VLOOKUP(C2169,'Preguntas de negocio'!$C$121:$D$127,2,FALSE)</f>
        <v>1.1000000000000001</v>
      </c>
    </row>
    <row r="2170" spans="1:28" x14ac:dyDescent="0.3">
      <c r="A2170" s="1">
        <v>45697</v>
      </c>
      <c r="B2170" s="2" t="s">
        <v>2640</v>
      </c>
      <c r="C2170" s="2" t="s">
        <v>2521</v>
      </c>
      <c r="D2170" s="2" t="s">
        <v>2528</v>
      </c>
      <c r="E2170" s="2" t="s">
        <v>2529</v>
      </c>
      <c r="F2170" s="3">
        <v>178182</v>
      </c>
      <c r="G2170" s="3">
        <v>8974</v>
      </c>
      <c r="H2170" s="3">
        <v>511</v>
      </c>
      <c r="I2170" s="4">
        <v>13140.71</v>
      </c>
      <c r="J2170" s="4">
        <v>111714.96</v>
      </c>
      <c r="K2170" s="3">
        <v>422</v>
      </c>
      <c r="L2170" s="2" t="s">
        <v>2536</v>
      </c>
      <c r="M2170" s="2" t="s">
        <v>2526</v>
      </c>
      <c r="N2170" s="8">
        <f>IFERROR(G2170/F2170,0)</f>
        <v>5.0364234322209878E-2</v>
      </c>
      <c r="O2170" s="8">
        <f>IFERROR(H2170/G2170,0)</f>
        <v>5.6942277691107643E-2</v>
      </c>
      <c r="P2170" s="4">
        <f>IFERROR(I2170/G2170,0)</f>
        <v>1.4643091152217516</v>
      </c>
      <c r="Q2170" s="4">
        <f>IFERROR(I2170/H2170,0)</f>
        <v>25.715675146771037</v>
      </c>
      <c r="R2170" s="12">
        <f>IFERROR(J2170/I2170,0)</f>
        <v>8.5014401809339084</v>
      </c>
      <c r="S2170" s="7">
        <f>Tabla_nuevas_columnas[[#This Row],[ROAS]]</f>
        <v>8.5014401809339084</v>
      </c>
      <c r="T2170" t="str">
        <f>_xlfn.CONCAT(C2170,"-",D2170)</f>
        <v>Paid Search-España</v>
      </c>
      <c r="U2170">
        <f>YEAR(A2170)</f>
        <v>2025</v>
      </c>
      <c r="V2170">
        <f>MONTH(A2170)</f>
        <v>2</v>
      </c>
      <c r="W2170" t="str">
        <f>PROPER(TEXT(A2170,"mmmm"))</f>
        <v>Febrero</v>
      </c>
      <c r="X2170" t="str">
        <f>PROPER(TEXT(A2170,"dddd"))</f>
        <v>Domingo</v>
      </c>
      <c r="Y2170" t="str" cm="1">
        <f t="array" ref="Y2170">_xlfn.IFS(R2170&gt;10,"Excelente",R2170&gt;=5,"Bueno",R2170&gt;=2,"Débil",R2170&lt;2,"Deficiente")</f>
        <v>Bueno</v>
      </c>
      <c r="Z2170" t="str">
        <f>IF(AND(R2170&lt;2,Q2170&gt;=100),"Revisar","OK")</f>
        <v>OK</v>
      </c>
      <c r="AA2170" s="55">
        <f>_xlfn.XLOOKUP(C2170,'Preguntas de negocio'!$C$114:$C$119,'Preguntas de negocio'!$D$114:$D$119,0)</f>
        <v>5</v>
      </c>
      <c r="AB2170" s="55">
        <f>VLOOKUP(C2170,'Preguntas de negocio'!$C$121:$D$127,2,FALSE)</f>
        <v>1.1000000000000001</v>
      </c>
    </row>
    <row r="2171" spans="1:28" x14ac:dyDescent="0.3">
      <c r="A2171" s="1">
        <v>45757</v>
      </c>
      <c r="B2171" s="2" t="s">
        <v>2631</v>
      </c>
      <c r="C2171" s="2" t="s">
        <v>2521</v>
      </c>
      <c r="D2171" s="2" t="s">
        <v>2525</v>
      </c>
      <c r="E2171" s="2" t="s">
        <v>2529</v>
      </c>
      <c r="F2171" s="3">
        <v>77014</v>
      </c>
      <c r="G2171" s="3">
        <v>3981</v>
      </c>
      <c r="H2171" s="3">
        <v>280</v>
      </c>
      <c r="I2171" s="4">
        <v>4426.57</v>
      </c>
      <c r="J2171" s="4">
        <v>40102.15</v>
      </c>
      <c r="K2171" s="3">
        <v>198</v>
      </c>
      <c r="L2171" s="2" t="s">
        <v>2523</v>
      </c>
      <c r="M2171" s="2" t="s">
        <v>2526</v>
      </c>
      <c r="N2171" s="8">
        <f>IFERROR(G2171/F2171,0)</f>
        <v>5.1691900173994339E-2</v>
      </c>
      <c r="O2171" s="8">
        <f>IFERROR(H2171/G2171,0)</f>
        <v>7.0334086912835977E-2</v>
      </c>
      <c r="P2171" s="4">
        <f>IFERROR(I2171/G2171,0)</f>
        <v>1.111924139663401</v>
      </c>
      <c r="Q2171" s="4">
        <f>IFERROR(I2171/H2171,0)</f>
        <v>15.80917857142857</v>
      </c>
      <c r="R2171" s="12">
        <f>IFERROR(J2171/I2171,0)</f>
        <v>9.059418466216508</v>
      </c>
      <c r="S2171" s="7">
        <f>Tabla_nuevas_columnas[[#This Row],[ROAS]]</f>
        <v>9.059418466216508</v>
      </c>
      <c r="T2171" t="str">
        <f>_xlfn.CONCAT(C2171,"-",D2171)</f>
        <v>Paid Search-Francia</v>
      </c>
      <c r="U2171">
        <f>YEAR(A2171)</f>
        <v>2025</v>
      </c>
      <c r="V2171">
        <f>MONTH(A2171)</f>
        <v>4</v>
      </c>
      <c r="W2171" t="str">
        <f>PROPER(TEXT(A2171,"mmmm"))</f>
        <v>Abril</v>
      </c>
      <c r="X2171" t="str">
        <f>PROPER(TEXT(A2171,"dddd"))</f>
        <v>Jueves</v>
      </c>
      <c r="Y2171" t="str" cm="1">
        <f t="array" ref="Y2171">_xlfn.IFS(R2171&gt;10,"Excelente",R2171&gt;=5,"Bueno",R2171&gt;=2,"Débil",R2171&lt;2,"Deficiente")</f>
        <v>Bueno</v>
      </c>
      <c r="Z2171" t="str">
        <f>IF(AND(R2171&lt;2,Q2171&gt;=100),"Revisar","OK")</f>
        <v>OK</v>
      </c>
      <c r="AA2171" s="55">
        <f>_xlfn.XLOOKUP(C2171,'Preguntas de negocio'!$C$114:$C$119,'Preguntas de negocio'!$D$114:$D$119,0)</f>
        <v>5</v>
      </c>
      <c r="AB2171" s="55">
        <f>VLOOKUP(C2171,'Preguntas de negocio'!$C$121:$D$127,2,FALSE)</f>
        <v>1.1000000000000001</v>
      </c>
    </row>
    <row r="2172" spans="1:28" x14ac:dyDescent="0.3">
      <c r="A2172" s="1">
        <v>45906</v>
      </c>
      <c r="B2172" s="2" t="s">
        <v>2621</v>
      </c>
      <c r="C2172" s="2" t="s">
        <v>2515</v>
      </c>
      <c r="D2172" s="2" t="s">
        <v>2531</v>
      </c>
      <c r="E2172" s="2" t="s">
        <v>2517</v>
      </c>
      <c r="F2172" s="3">
        <v>176682</v>
      </c>
      <c r="G2172" s="3">
        <v>13206</v>
      </c>
      <c r="H2172" s="3">
        <v>1272</v>
      </c>
      <c r="I2172" s="4">
        <v>4385.3100000000004</v>
      </c>
      <c r="J2172" s="4">
        <v>277076.03999999998</v>
      </c>
      <c r="K2172" s="3">
        <v>672</v>
      </c>
      <c r="L2172" s="2" t="s">
        <v>2523</v>
      </c>
      <c r="M2172" s="2" t="s">
        <v>2526</v>
      </c>
      <c r="N2172" s="8">
        <f>IFERROR(G2172/F2172,0)</f>
        <v>7.4744456141542431E-2</v>
      </c>
      <c r="O2172" s="8">
        <f>IFERROR(H2172/G2172,0)</f>
        <v>9.6319854611540204E-2</v>
      </c>
      <c r="P2172" s="4">
        <f>IFERROR(I2172/G2172,0)</f>
        <v>0.33206951385733763</v>
      </c>
      <c r="Q2172" s="4">
        <f>IFERROR(I2172/H2172,0)</f>
        <v>3.4475707547169816</v>
      </c>
      <c r="R2172" s="12">
        <f>IFERROR(J2172/I2172,0)</f>
        <v>63.182771571451042</v>
      </c>
      <c r="S2172" s="7">
        <f>Tabla_nuevas_columnas[[#This Row],[ROAS]]</f>
        <v>63.182771571451042</v>
      </c>
      <c r="T2172" t="str">
        <f>_xlfn.CONCAT(C2172,"-",D2172)</f>
        <v>Email-Portugal</v>
      </c>
      <c r="U2172">
        <f>YEAR(A2172)</f>
        <v>2025</v>
      </c>
      <c r="V2172">
        <f>MONTH(A2172)</f>
        <v>9</v>
      </c>
      <c r="W2172" t="str">
        <f>PROPER(TEXT(A2172,"mmmm"))</f>
        <v>Septiembre</v>
      </c>
      <c r="X2172" t="str">
        <f>PROPER(TEXT(A2172,"dddd"))</f>
        <v>Sábado</v>
      </c>
      <c r="Y2172" t="str" cm="1">
        <f t="array" ref="Y2172">_xlfn.IFS(R2172&gt;10,"Excelente",R2172&gt;=5,"Bueno",R2172&gt;=2,"Débil",R2172&lt;2,"Deficiente")</f>
        <v>Excelente</v>
      </c>
      <c r="Z2172" t="str">
        <f>IF(AND(R2172&lt;2,Q2172&gt;=100),"Revisar","OK")</f>
        <v>OK</v>
      </c>
      <c r="AA2172" s="55">
        <f>_xlfn.XLOOKUP(C2172,'Preguntas de negocio'!$C$114:$C$119,'Preguntas de negocio'!$D$114:$D$119,0)</f>
        <v>5.5</v>
      </c>
      <c r="AB2172" s="55">
        <f>VLOOKUP(C2172,'Preguntas de negocio'!$C$121:$D$127,2,FALSE)</f>
        <v>0.65</v>
      </c>
    </row>
    <row r="2173" spans="1:28" x14ac:dyDescent="0.3">
      <c r="A2173" s="1">
        <v>45797</v>
      </c>
      <c r="B2173" s="2" t="s">
        <v>2615</v>
      </c>
      <c r="C2173" s="2" t="s">
        <v>2541</v>
      </c>
      <c r="D2173" s="2" t="s">
        <v>2516</v>
      </c>
      <c r="E2173" s="2" t="s">
        <v>2529</v>
      </c>
      <c r="F2173" s="3">
        <v>142911</v>
      </c>
      <c r="G2173" s="3">
        <v>8008</v>
      </c>
      <c r="H2173" s="3">
        <v>867</v>
      </c>
      <c r="I2173" s="4">
        <v>13892.23</v>
      </c>
      <c r="J2173" s="4">
        <v>81223.240000000005</v>
      </c>
      <c r="K2173" s="3">
        <v>753</v>
      </c>
      <c r="L2173" s="2" t="s">
        <v>2539</v>
      </c>
      <c r="M2173" s="2" t="s">
        <v>2526</v>
      </c>
      <c r="N2173" s="8">
        <f>IFERROR(G2173/F2173,0)</f>
        <v>5.6034874852180727E-2</v>
      </c>
      <c r="O2173" s="8">
        <f>IFERROR(H2173/G2173,0)</f>
        <v>0.10826673326673326</v>
      </c>
      <c r="P2173" s="4">
        <f>IFERROR(I2173/G2173,0)</f>
        <v>1.734793956043956</v>
      </c>
      <c r="Q2173" s="4">
        <f>IFERROR(I2173/H2173,0)</f>
        <v>16.023333333333333</v>
      </c>
      <c r="R2173" s="12">
        <f>IFERROR(J2173/I2173,0)</f>
        <v>5.8466668058331894</v>
      </c>
      <c r="S2173" s="7">
        <f>Tabla_nuevas_columnas[[#This Row],[ROAS]]</f>
        <v>5.8466668058331894</v>
      </c>
      <c r="T2173" t="str">
        <f>_xlfn.CONCAT(C2173,"-",D2173)</f>
        <v>Display-México</v>
      </c>
      <c r="U2173">
        <f>YEAR(A2173)</f>
        <v>2025</v>
      </c>
      <c r="V2173">
        <f>MONTH(A2173)</f>
        <v>5</v>
      </c>
      <c r="W2173" t="str">
        <f>PROPER(TEXT(A2173,"mmmm"))</f>
        <v>Mayo</v>
      </c>
      <c r="X2173" t="str">
        <f>PROPER(TEXT(A2173,"dddd"))</f>
        <v>Martes</v>
      </c>
      <c r="Y2173" t="str" cm="1">
        <f t="array" ref="Y2173">_xlfn.IFS(R2173&gt;10,"Excelente",R2173&gt;=5,"Bueno",R2173&gt;=2,"Débil",R2173&lt;2,"Deficiente")</f>
        <v>Bueno</v>
      </c>
      <c r="Z2173" t="str">
        <f>IF(AND(R2173&lt;2,Q2173&gt;=100),"Revisar","OK")</f>
        <v>OK</v>
      </c>
      <c r="AA2173" s="55">
        <f>_xlfn.XLOOKUP(C2173,'Preguntas de negocio'!$C$114:$C$119,'Preguntas de negocio'!$D$114:$D$119,0)</f>
        <v>5</v>
      </c>
      <c r="AB2173" s="55">
        <f>VLOOKUP(C2173,'Preguntas de negocio'!$C$121:$D$127,2,FALSE)</f>
        <v>0.5</v>
      </c>
    </row>
    <row r="2174" spans="1:28" x14ac:dyDescent="0.3">
      <c r="A2174" s="1">
        <v>45877</v>
      </c>
      <c r="B2174" s="2" t="s">
        <v>2624</v>
      </c>
      <c r="C2174" s="2" t="s">
        <v>2541</v>
      </c>
      <c r="D2174" s="2" t="s">
        <v>2528</v>
      </c>
      <c r="E2174" s="2" t="s">
        <v>2517</v>
      </c>
      <c r="F2174" s="3">
        <v>39450</v>
      </c>
      <c r="G2174" s="3">
        <v>2980</v>
      </c>
      <c r="H2174" s="3">
        <v>223</v>
      </c>
      <c r="I2174" s="4">
        <v>595.88</v>
      </c>
      <c r="J2174" s="4">
        <v>47662.21</v>
      </c>
      <c r="K2174" s="3">
        <v>113</v>
      </c>
      <c r="L2174" s="2" t="s">
        <v>2536</v>
      </c>
      <c r="M2174" s="2" t="s">
        <v>2519</v>
      </c>
      <c r="N2174" s="8">
        <f>IFERROR(G2174/F2174,0)</f>
        <v>7.5538656527249684E-2</v>
      </c>
      <c r="O2174" s="8">
        <f>IFERROR(H2174/G2174,0)</f>
        <v>7.4832214765100671E-2</v>
      </c>
      <c r="P2174" s="4">
        <f>IFERROR(I2174/G2174,0)</f>
        <v>0.19995973154362415</v>
      </c>
      <c r="Q2174" s="4">
        <f>IFERROR(I2174/H2174,0)</f>
        <v>2.6721076233183858</v>
      </c>
      <c r="R2174" s="12">
        <f>IFERROR(J2174/I2174,0)</f>
        <v>79.986255621937303</v>
      </c>
      <c r="S2174" s="7">
        <f>Tabla_nuevas_columnas[[#This Row],[ROAS]]</f>
        <v>79.986255621937303</v>
      </c>
      <c r="T2174" t="str">
        <f>_xlfn.CONCAT(C2174,"-",D2174)</f>
        <v>Display-España</v>
      </c>
      <c r="U2174">
        <f>YEAR(A2174)</f>
        <v>2025</v>
      </c>
      <c r="V2174">
        <f>MONTH(A2174)</f>
        <v>8</v>
      </c>
      <c r="W2174" t="str">
        <f>PROPER(TEXT(A2174,"mmmm"))</f>
        <v>Agosto</v>
      </c>
      <c r="X2174" t="str">
        <f>PROPER(TEXT(A2174,"dddd"))</f>
        <v>Viernes</v>
      </c>
      <c r="Y2174" t="str" cm="1">
        <f t="array" ref="Y2174">_xlfn.IFS(R2174&gt;10,"Excelente",R2174&gt;=5,"Bueno",R2174&gt;=2,"Débil",R2174&lt;2,"Deficiente")</f>
        <v>Excelente</v>
      </c>
      <c r="Z2174" t="str">
        <f>IF(AND(R2174&lt;2,Q2174&gt;=100),"Revisar","OK")</f>
        <v>OK</v>
      </c>
      <c r="AA2174" s="55">
        <f>_xlfn.XLOOKUP(C2174,'Preguntas de negocio'!$C$114:$C$119,'Preguntas de negocio'!$D$114:$D$119,0)</f>
        <v>5</v>
      </c>
      <c r="AB2174" s="55">
        <f>VLOOKUP(C2174,'Preguntas de negocio'!$C$121:$D$127,2,FALSE)</f>
        <v>0.5</v>
      </c>
    </row>
    <row r="2175" spans="1:28" x14ac:dyDescent="0.3">
      <c r="A2175" s="1">
        <v>45956</v>
      </c>
      <c r="B2175" s="2" t="s">
        <v>2637</v>
      </c>
      <c r="C2175" s="2" t="s">
        <v>2515</v>
      </c>
      <c r="D2175" s="2" t="s">
        <v>2528</v>
      </c>
      <c r="E2175" s="2" t="s">
        <v>2529</v>
      </c>
      <c r="F2175" s="3">
        <v>39011</v>
      </c>
      <c r="G2175" s="3">
        <v>3388</v>
      </c>
      <c r="H2175" s="3">
        <v>373</v>
      </c>
      <c r="I2175" s="4">
        <v>6701.66</v>
      </c>
      <c r="J2175" s="4">
        <v>62472.22</v>
      </c>
      <c r="K2175" s="3">
        <v>175</v>
      </c>
      <c r="L2175" s="2" t="s">
        <v>2536</v>
      </c>
      <c r="M2175" s="2" t="s">
        <v>2526</v>
      </c>
      <c r="N2175" s="8">
        <f>IFERROR(G2175/F2175,0)</f>
        <v>8.6847299479633946E-2</v>
      </c>
      <c r="O2175" s="8">
        <f>IFERROR(H2175/G2175,0)</f>
        <v>0.11009445100354191</v>
      </c>
      <c r="P2175" s="4">
        <f>IFERROR(I2175/G2175,0)</f>
        <v>1.9780578512396694</v>
      </c>
      <c r="Q2175" s="4">
        <f>IFERROR(I2175/H2175,0)</f>
        <v>17.96691689008043</v>
      </c>
      <c r="R2175" s="12">
        <f>IFERROR(J2175/I2175,0)</f>
        <v>9.321902334645447</v>
      </c>
      <c r="S2175" s="7">
        <f>Tabla_nuevas_columnas[[#This Row],[ROAS]]</f>
        <v>9.321902334645447</v>
      </c>
      <c r="T2175" t="str">
        <f>_xlfn.CONCAT(C2175,"-",D2175)</f>
        <v>Email-España</v>
      </c>
      <c r="U2175">
        <f>YEAR(A2175)</f>
        <v>2025</v>
      </c>
      <c r="V2175">
        <f>MONTH(A2175)</f>
        <v>10</v>
      </c>
      <c r="W2175" t="str">
        <f>PROPER(TEXT(A2175,"mmmm"))</f>
        <v>Octubre</v>
      </c>
      <c r="X2175" t="str">
        <f>PROPER(TEXT(A2175,"dddd"))</f>
        <v>Domingo</v>
      </c>
      <c r="Y2175" t="str" cm="1">
        <f t="array" ref="Y2175">_xlfn.IFS(R2175&gt;10,"Excelente",R2175&gt;=5,"Bueno",R2175&gt;=2,"Débil",R2175&lt;2,"Deficiente")</f>
        <v>Bueno</v>
      </c>
      <c r="Z2175" t="str">
        <f>IF(AND(R2175&lt;2,Q2175&gt;=100),"Revisar","OK")</f>
        <v>OK</v>
      </c>
      <c r="AA2175" s="55">
        <f>_xlfn.XLOOKUP(C2175,'Preguntas de negocio'!$C$114:$C$119,'Preguntas de negocio'!$D$114:$D$119,0)</f>
        <v>5.5</v>
      </c>
      <c r="AB2175" s="55">
        <f>VLOOKUP(C2175,'Preguntas de negocio'!$C$121:$D$127,2,FALSE)</f>
        <v>0.65</v>
      </c>
    </row>
    <row r="2176" spans="1:28" x14ac:dyDescent="0.3">
      <c r="A2176" s="1">
        <v>45944</v>
      </c>
      <c r="B2176" s="2" t="s">
        <v>2629</v>
      </c>
      <c r="C2176" s="2" t="s">
        <v>2521</v>
      </c>
      <c r="D2176" s="2" t="s">
        <v>2528</v>
      </c>
      <c r="E2176" s="2" t="s">
        <v>2517</v>
      </c>
      <c r="F2176" s="3">
        <v>73538</v>
      </c>
      <c r="G2176" s="3">
        <v>2640</v>
      </c>
      <c r="H2176" s="3">
        <v>298</v>
      </c>
      <c r="I2176" s="4">
        <v>2968.35</v>
      </c>
      <c r="J2176" s="4">
        <v>17641.77</v>
      </c>
      <c r="K2176" s="3">
        <v>215</v>
      </c>
      <c r="L2176" s="2" t="s">
        <v>2539</v>
      </c>
      <c r="M2176" s="2" t="s">
        <v>2526</v>
      </c>
      <c r="N2176" s="8">
        <f>IFERROR(G2176/F2176,0)</f>
        <v>3.5899806902553781E-2</v>
      </c>
      <c r="O2176" s="8">
        <f>IFERROR(H2176/G2176,0)</f>
        <v>0.11287878787878788</v>
      </c>
      <c r="P2176" s="4">
        <f>IFERROR(I2176/G2176,0)</f>
        <v>1.1243749999999999</v>
      </c>
      <c r="Q2176" s="4">
        <f>IFERROR(I2176/H2176,0)</f>
        <v>9.9609060402684566</v>
      </c>
      <c r="R2176" s="12">
        <f>IFERROR(J2176/I2176,0)</f>
        <v>5.9432917277275257</v>
      </c>
      <c r="S2176" s="7">
        <f>Tabla_nuevas_columnas[[#This Row],[ROAS]]</f>
        <v>5.9432917277275257</v>
      </c>
      <c r="T2176" t="str">
        <f>_xlfn.CONCAT(C2176,"-",D2176)</f>
        <v>Paid Search-España</v>
      </c>
      <c r="U2176">
        <f>YEAR(A2176)</f>
        <v>2025</v>
      </c>
      <c r="V2176">
        <f>MONTH(A2176)</f>
        <v>10</v>
      </c>
      <c r="W2176" t="str">
        <f>PROPER(TEXT(A2176,"mmmm"))</f>
        <v>Octubre</v>
      </c>
      <c r="X2176" t="str">
        <f>PROPER(TEXT(A2176,"dddd"))</f>
        <v>Martes</v>
      </c>
      <c r="Y2176" t="str" cm="1">
        <f t="array" ref="Y2176">_xlfn.IFS(R2176&gt;10,"Excelente",R2176&gt;=5,"Bueno",R2176&gt;=2,"Débil",R2176&lt;2,"Deficiente")</f>
        <v>Bueno</v>
      </c>
      <c r="Z2176" t="str">
        <f>IF(AND(R2176&lt;2,Q2176&gt;=100),"Revisar","OK")</f>
        <v>OK</v>
      </c>
      <c r="AA2176" s="55">
        <f>_xlfn.XLOOKUP(C2176,'Preguntas de negocio'!$C$114:$C$119,'Preguntas de negocio'!$D$114:$D$119,0)</f>
        <v>5</v>
      </c>
      <c r="AB2176" s="55">
        <f>VLOOKUP(C2176,'Preguntas de negocio'!$C$121:$D$127,2,FALSE)</f>
        <v>1.1000000000000001</v>
      </c>
    </row>
    <row r="2177" spans="1:28" x14ac:dyDescent="0.3">
      <c r="A2177" s="1">
        <v>45856</v>
      </c>
      <c r="B2177" s="2" t="s">
        <v>2615</v>
      </c>
      <c r="C2177" s="2" t="s">
        <v>2533</v>
      </c>
      <c r="D2177" s="2" t="s">
        <v>2528</v>
      </c>
      <c r="E2177" s="2" t="s">
        <v>2517</v>
      </c>
      <c r="F2177" s="3">
        <v>34831</v>
      </c>
      <c r="G2177" s="3">
        <v>2795</v>
      </c>
      <c r="H2177" s="3">
        <v>66</v>
      </c>
      <c r="I2177" s="4">
        <v>633.70000000000005</v>
      </c>
      <c r="J2177" s="4">
        <v>8768.14</v>
      </c>
      <c r="K2177" s="3">
        <v>38</v>
      </c>
      <c r="L2177" s="2" t="s">
        <v>2536</v>
      </c>
      <c r="M2177" s="2" t="s">
        <v>2524</v>
      </c>
      <c r="N2177" s="8">
        <f>IFERROR(G2177/F2177,0)</f>
        <v>8.0244609686773272E-2</v>
      </c>
      <c r="O2177" s="8">
        <f>IFERROR(H2177/G2177,0)</f>
        <v>2.3613595706618962E-2</v>
      </c>
      <c r="P2177" s="4">
        <f>IFERROR(I2177/G2177,0)</f>
        <v>0.22672629695885513</v>
      </c>
      <c r="Q2177" s="4">
        <f>IFERROR(I2177/H2177,0)</f>
        <v>9.6015151515151516</v>
      </c>
      <c r="R2177" s="12">
        <f>IFERROR(J2177/I2177,0)</f>
        <v>13.836421019409814</v>
      </c>
      <c r="S2177" s="7">
        <f>Tabla_nuevas_columnas[[#This Row],[ROAS]]</f>
        <v>13.836421019409814</v>
      </c>
      <c r="T2177" t="str">
        <f>_xlfn.CONCAT(C2177,"-",D2177)</f>
        <v>Paid Social-España</v>
      </c>
      <c r="U2177">
        <f>YEAR(A2177)</f>
        <v>2025</v>
      </c>
      <c r="V2177">
        <f>MONTH(A2177)</f>
        <v>7</v>
      </c>
      <c r="W2177" t="str">
        <f>PROPER(TEXT(A2177,"mmmm"))</f>
        <v>Julio</v>
      </c>
      <c r="X2177" t="str">
        <f>PROPER(TEXT(A2177,"dddd"))</f>
        <v>Viernes</v>
      </c>
      <c r="Y2177" t="str" cm="1">
        <f t="array" ref="Y2177">_xlfn.IFS(R2177&gt;10,"Excelente",R2177&gt;=5,"Bueno",R2177&gt;=2,"Débil",R2177&lt;2,"Deficiente")</f>
        <v>Excelente</v>
      </c>
      <c r="Z2177" t="str">
        <f>IF(AND(R2177&lt;2,Q2177&gt;=100),"Revisar","OK")</f>
        <v>OK</v>
      </c>
      <c r="AA2177" s="55">
        <f>_xlfn.XLOOKUP(C2177,'Preguntas de negocio'!$C$114:$C$119,'Preguntas de negocio'!$D$114:$D$119,0)</f>
        <v>6</v>
      </c>
      <c r="AB2177" s="55">
        <f>VLOOKUP(C2177,'Preguntas de negocio'!$C$121:$D$127,2,FALSE)</f>
        <v>0.8</v>
      </c>
    </row>
    <row r="2178" spans="1:28" x14ac:dyDescent="0.3">
      <c r="A2178" s="1">
        <v>45767</v>
      </c>
      <c r="B2178" s="2" t="s">
        <v>2620</v>
      </c>
      <c r="C2178" s="2" t="s">
        <v>2515</v>
      </c>
      <c r="D2178" s="2" t="s">
        <v>2522</v>
      </c>
      <c r="E2178" s="2" t="s">
        <v>2517</v>
      </c>
      <c r="F2178" s="3">
        <v>57008</v>
      </c>
      <c r="G2178" s="3">
        <v>1663</v>
      </c>
      <c r="H2178" s="3">
        <v>182</v>
      </c>
      <c r="I2178" s="4">
        <v>2872.78</v>
      </c>
      <c r="J2178" s="4">
        <v>18341.77</v>
      </c>
      <c r="K2178" s="3">
        <v>135</v>
      </c>
      <c r="L2178" s="2" t="s">
        <v>2536</v>
      </c>
      <c r="M2178" s="2" t="s">
        <v>2524</v>
      </c>
      <c r="N2178" s="8">
        <f>IFERROR(G2178/F2178,0)</f>
        <v>2.9171344372719617E-2</v>
      </c>
      <c r="O2178" s="8">
        <f>IFERROR(H2178/G2178,0)</f>
        <v>0.10944076969332532</v>
      </c>
      <c r="P2178" s="4">
        <f>IFERROR(I2178/G2178,0)</f>
        <v>1.7274684305472039</v>
      </c>
      <c r="Q2178" s="4">
        <f>IFERROR(I2178/H2178,0)</f>
        <v>15.784505494505495</v>
      </c>
      <c r="R2178" s="12">
        <f>IFERROR(J2178/I2178,0)</f>
        <v>6.3846761673361687</v>
      </c>
      <c r="S2178" s="7">
        <f>Tabla_nuevas_columnas[[#This Row],[ROAS]]</f>
        <v>6.3846761673361687</v>
      </c>
      <c r="T2178" t="str">
        <f>_xlfn.CONCAT(C2178,"-",D2178)</f>
        <v>Email-Italia</v>
      </c>
      <c r="U2178">
        <f>YEAR(A2178)</f>
        <v>2025</v>
      </c>
      <c r="V2178">
        <f>MONTH(A2178)</f>
        <v>4</v>
      </c>
      <c r="W2178" t="str">
        <f>PROPER(TEXT(A2178,"mmmm"))</f>
        <v>Abril</v>
      </c>
      <c r="X2178" t="str">
        <f>PROPER(TEXT(A2178,"dddd"))</f>
        <v>Domingo</v>
      </c>
      <c r="Y2178" t="str" cm="1">
        <f t="array" ref="Y2178">_xlfn.IFS(R2178&gt;10,"Excelente",R2178&gt;=5,"Bueno",R2178&gt;=2,"Débil",R2178&lt;2,"Deficiente")</f>
        <v>Bueno</v>
      </c>
      <c r="Z2178" t="str">
        <f>IF(AND(R2178&lt;2,Q2178&gt;=100),"Revisar","OK")</f>
        <v>OK</v>
      </c>
      <c r="AA2178" s="55">
        <f>_xlfn.XLOOKUP(C2178,'Preguntas de negocio'!$C$114:$C$119,'Preguntas de negocio'!$D$114:$D$119,0)</f>
        <v>5.5</v>
      </c>
      <c r="AB2178" s="55">
        <f>VLOOKUP(C2178,'Preguntas de negocio'!$C$121:$D$127,2,FALSE)</f>
        <v>0.65</v>
      </c>
    </row>
    <row r="2179" spans="1:28" x14ac:dyDescent="0.3">
      <c r="A2179" s="1">
        <v>45780</v>
      </c>
      <c r="B2179" s="2" t="s">
        <v>2622</v>
      </c>
      <c r="C2179" s="2" t="s">
        <v>2541</v>
      </c>
      <c r="D2179" s="2" t="s">
        <v>2516</v>
      </c>
      <c r="E2179" s="2" t="s">
        <v>2529</v>
      </c>
      <c r="F2179" s="3">
        <v>159247</v>
      </c>
      <c r="G2179" s="3">
        <v>2760</v>
      </c>
      <c r="H2179" s="3">
        <v>341</v>
      </c>
      <c r="I2179" s="4">
        <v>1344.65</v>
      </c>
      <c r="J2179" s="4">
        <v>5226.42</v>
      </c>
      <c r="K2179" s="3">
        <v>214</v>
      </c>
      <c r="L2179" s="2" t="s">
        <v>2518</v>
      </c>
      <c r="M2179" s="2" t="s">
        <v>2524</v>
      </c>
      <c r="N2179" s="8">
        <f>IFERROR(G2179/F2179,0)</f>
        <v>1.7331566685714644E-2</v>
      </c>
      <c r="O2179" s="8">
        <f>IFERROR(H2179/G2179,0)</f>
        <v>0.12355072463768116</v>
      </c>
      <c r="P2179" s="4">
        <f>IFERROR(I2179/G2179,0)</f>
        <v>0.48719202898550729</v>
      </c>
      <c r="Q2179" s="4">
        <f>IFERROR(I2179/H2179,0)</f>
        <v>3.9432551319648095</v>
      </c>
      <c r="R2179" s="12">
        <f>IFERROR(J2179/I2179,0)</f>
        <v>3.8868255679916706</v>
      </c>
      <c r="S2179" s="7">
        <f>Tabla_nuevas_columnas[[#This Row],[ROAS]]</f>
        <v>3.8868255679916706</v>
      </c>
      <c r="T2179" t="str">
        <f>_xlfn.CONCAT(C2179,"-",D2179)</f>
        <v>Display-México</v>
      </c>
      <c r="U2179">
        <f>YEAR(A2179)</f>
        <v>2025</v>
      </c>
      <c r="V2179">
        <f>MONTH(A2179)</f>
        <v>5</v>
      </c>
      <c r="W2179" t="str">
        <f>PROPER(TEXT(A2179,"mmmm"))</f>
        <v>Mayo</v>
      </c>
      <c r="X2179" t="str">
        <f>PROPER(TEXT(A2179,"dddd"))</f>
        <v>Sábado</v>
      </c>
      <c r="Y2179" t="str" cm="1">
        <f t="array" ref="Y2179">_xlfn.IFS(R2179&gt;10,"Excelente",R2179&gt;=5,"Bueno",R2179&gt;=2,"Débil",R2179&lt;2,"Deficiente")</f>
        <v>Débil</v>
      </c>
      <c r="Z2179" t="str">
        <f>IF(AND(R2179&lt;2,Q2179&gt;=100),"Revisar","OK")</f>
        <v>OK</v>
      </c>
      <c r="AA2179" s="55">
        <f>_xlfn.XLOOKUP(C2179,'Preguntas de negocio'!$C$114:$C$119,'Preguntas de negocio'!$D$114:$D$119,0)</f>
        <v>5</v>
      </c>
      <c r="AB2179" s="55">
        <f>VLOOKUP(C2179,'Preguntas de negocio'!$C$121:$D$127,2,FALSE)</f>
        <v>0.5</v>
      </c>
    </row>
    <row r="2180" spans="1:28" x14ac:dyDescent="0.3">
      <c r="A2180" s="1">
        <v>45823</v>
      </c>
      <c r="B2180" s="2" t="s">
        <v>2628</v>
      </c>
      <c r="C2180" s="2" t="s">
        <v>2515</v>
      </c>
      <c r="D2180" s="2" t="s">
        <v>2528</v>
      </c>
      <c r="E2180" s="2" t="s">
        <v>2517</v>
      </c>
      <c r="F2180" s="3">
        <v>20808</v>
      </c>
      <c r="G2180" s="3">
        <v>514</v>
      </c>
      <c r="H2180" s="3">
        <v>46</v>
      </c>
      <c r="I2180" s="4">
        <v>166.89</v>
      </c>
      <c r="J2180" s="4">
        <v>7574.86</v>
      </c>
      <c r="K2180" s="3">
        <v>34</v>
      </c>
      <c r="L2180" s="2" t="s">
        <v>2539</v>
      </c>
      <c r="M2180" s="2" t="s">
        <v>2524</v>
      </c>
      <c r="N2180" s="8">
        <f>IFERROR(G2180/F2180,0)</f>
        <v>2.4702037677816223E-2</v>
      </c>
      <c r="O2180" s="8">
        <f>IFERROR(H2180/G2180,0)</f>
        <v>8.9494163424124515E-2</v>
      </c>
      <c r="P2180" s="4">
        <f>IFERROR(I2180/G2180,0)</f>
        <v>0.32468871595330739</v>
      </c>
      <c r="Q2180" s="4">
        <f>IFERROR(I2180/H2180,0)</f>
        <v>3.6280434782608695</v>
      </c>
      <c r="R2180" s="12">
        <f>IFERROR(J2180/I2180,0)</f>
        <v>45.388339624902635</v>
      </c>
      <c r="S2180" s="7">
        <f>Tabla_nuevas_columnas[[#This Row],[ROAS]]</f>
        <v>45.388339624902635</v>
      </c>
      <c r="T2180" t="str">
        <f>_xlfn.CONCAT(C2180,"-",D2180)</f>
        <v>Email-España</v>
      </c>
      <c r="U2180">
        <f>YEAR(A2180)</f>
        <v>2025</v>
      </c>
      <c r="V2180">
        <f>MONTH(A2180)</f>
        <v>6</v>
      </c>
      <c r="W2180" t="str">
        <f>PROPER(TEXT(A2180,"mmmm"))</f>
        <v>Junio</v>
      </c>
      <c r="X2180" t="str">
        <f>PROPER(TEXT(A2180,"dddd"))</f>
        <v>Domingo</v>
      </c>
      <c r="Y2180" t="str" cm="1">
        <f t="array" ref="Y2180">_xlfn.IFS(R2180&gt;10,"Excelente",R2180&gt;=5,"Bueno",R2180&gt;=2,"Débil",R2180&lt;2,"Deficiente")</f>
        <v>Excelente</v>
      </c>
      <c r="Z2180" t="str">
        <f>IF(AND(R2180&lt;2,Q2180&gt;=100),"Revisar","OK")</f>
        <v>OK</v>
      </c>
      <c r="AA2180" s="55">
        <f>_xlfn.XLOOKUP(C2180,'Preguntas de negocio'!$C$114:$C$119,'Preguntas de negocio'!$D$114:$D$119,0)</f>
        <v>5.5</v>
      </c>
      <c r="AB2180" s="55">
        <f>VLOOKUP(C2180,'Preguntas de negocio'!$C$121:$D$127,2,FALSE)</f>
        <v>0.65</v>
      </c>
    </row>
    <row r="2181" spans="1:28" x14ac:dyDescent="0.3">
      <c r="A2181" s="1">
        <v>45989</v>
      </c>
      <c r="B2181" s="2" t="s">
        <v>2628</v>
      </c>
      <c r="C2181" s="2" t="s">
        <v>2541</v>
      </c>
      <c r="D2181" s="2" t="s">
        <v>2528</v>
      </c>
      <c r="E2181" s="2" t="s">
        <v>2517</v>
      </c>
      <c r="F2181" s="3">
        <v>41853</v>
      </c>
      <c r="G2181" s="3">
        <v>585</v>
      </c>
      <c r="H2181" s="3">
        <v>53</v>
      </c>
      <c r="I2181" s="4">
        <v>906.25</v>
      </c>
      <c r="J2181" s="4">
        <v>5643.16</v>
      </c>
      <c r="K2181" s="3">
        <v>27</v>
      </c>
      <c r="L2181" s="2" t="s">
        <v>2523</v>
      </c>
      <c r="M2181" s="2" t="s">
        <v>2519</v>
      </c>
      <c r="N2181" s="8">
        <f>IFERROR(G2181/F2181,0)</f>
        <v>1.3977492652856426E-2</v>
      </c>
      <c r="O2181" s="8">
        <f>IFERROR(H2181/G2181,0)</f>
        <v>9.0598290598290596E-2</v>
      </c>
      <c r="P2181" s="4">
        <f>IFERROR(I2181/G2181,0)</f>
        <v>1.5491452991452992</v>
      </c>
      <c r="Q2181" s="4">
        <f>IFERROR(I2181/H2181,0)</f>
        <v>17.099056603773583</v>
      </c>
      <c r="R2181" s="12">
        <f>IFERROR(J2181/I2181,0)</f>
        <v>6.2269351724137927</v>
      </c>
      <c r="S2181" s="7">
        <f>Tabla_nuevas_columnas[[#This Row],[ROAS]]</f>
        <v>6.2269351724137927</v>
      </c>
      <c r="T2181" t="str">
        <f>_xlfn.CONCAT(C2181,"-",D2181)</f>
        <v>Display-España</v>
      </c>
      <c r="U2181">
        <f>YEAR(A2181)</f>
        <v>2025</v>
      </c>
      <c r="V2181">
        <f>MONTH(A2181)</f>
        <v>11</v>
      </c>
      <c r="W2181" t="str">
        <f>PROPER(TEXT(A2181,"mmmm"))</f>
        <v>Noviembre</v>
      </c>
      <c r="X2181" t="str">
        <f>PROPER(TEXT(A2181,"dddd"))</f>
        <v>Viernes</v>
      </c>
      <c r="Y2181" t="str" cm="1">
        <f t="array" ref="Y2181">_xlfn.IFS(R2181&gt;10,"Excelente",R2181&gt;=5,"Bueno",R2181&gt;=2,"Débil",R2181&lt;2,"Deficiente")</f>
        <v>Bueno</v>
      </c>
      <c r="Z2181" t="str">
        <f>IF(AND(R2181&lt;2,Q2181&gt;=100),"Revisar","OK")</f>
        <v>OK</v>
      </c>
      <c r="AA2181" s="55">
        <f>_xlfn.XLOOKUP(C2181,'Preguntas de negocio'!$C$114:$C$119,'Preguntas de negocio'!$D$114:$D$119,0)</f>
        <v>5</v>
      </c>
      <c r="AB2181" s="55">
        <f>VLOOKUP(C2181,'Preguntas de negocio'!$C$121:$D$127,2,FALSE)</f>
        <v>0.5</v>
      </c>
    </row>
    <row r="2182" spans="1:28" x14ac:dyDescent="0.3">
      <c r="A2182" s="1">
        <v>45844</v>
      </c>
      <c r="B2182" s="2" t="s">
        <v>2615</v>
      </c>
      <c r="C2182" s="2" t="s">
        <v>2533</v>
      </c>
      <c r="D2182" s="2" t="s">
        <v>2528</v>
      </c>
      <c r="E2182" s="2" t="s">
        <v>2517</v>
      </c>
      <c r="F2182" s="3">
        <v>104588</v>
      </c>
      <c r="G2182" s="3">
        <v>2472</v>
      </c>
      <c r="H2182" s="3">
        <v>142</v>
      </c>
      <c r="I2182" s="4">
        <v>832.3</v>
      </c>
      <c r="J2182" s="4">
        <v>11870.18</v>
      </c>
      <c r="K2182" s="3">
        <v>102</v>
      </c>
      <c r="L2182" s="2" t="s">
        <v>2539</v>
      </c>
      <c r="M2182" s="2" t="s">
        <v>2524</v>
      </c>
      <c r="N2182" s="8">
        <f>IFERROR(G2182/F2182,0)</f>
        <v>2.363559873025586E-2</v>
      </c>
      <c r="O2182" s="8">
        <f>IFERROR(H2182/G2182,0)</f>
        <v>5.7443365695792878E-2</v>
      </c>
      <c r="P2182" s="4">
        <f>IFERROR(I2182/G2182,0)</f>
        <v>0.33669093851132686</v>
      </c>
      <c r="Q2182" s="4">
        <f>IFERROR(I2182/H2182,0)</f>
        <v>5.8612676056338024</v>
      </c>
      <c r="R2182" s="12">
        <f>IFERROR(J2182/I2182,0)</f>
        <v>14.261900756938605</v>
      </c>
      <c r="S2182" s="7">
        <f>Tabla_nuevas_columnas[[#This Row],[ROAS]]</f>
        <v>14.261900756938605</v>
      </c>
      <c r="T2182" t="str">
        <f>_xlfn.CONCAT(C2182,"-",D2182)</f>
        <v>Paid Social-España</v>
      </c>
      <c r="U2182">
        <f>YEAR(A2182)</f>
        <v>2025</v>
      </c>
      <c r="V2182">
        <f>MONTH(A2182)</f>
        <v>7</v>
      </c>
      <c r="W2182" t="str">
        <f>PROPER(TEXT(A2182,"mmmm"))</f>
        <v>Julio</v>
      </c>
      <c r="X2182" t="str">
        <f>PROPER(TEXT(A2182,"dddd"))</f>
        <v>Domingo</v>
      </c>
      <c r="Y2182" t="str" cm="1">
        <f t="array" ref="Y2182">_xlfn.IFS(R2182&gt;10,"Excelente",R2182&gt;=5,"Bueno",R2182&gt;=2,"Débil",R2182&lt;2,"Deficiente")</f>
        <v>Excelente</v>
      </c>
      <c r="Z2182" t="str">
        <f>IF(AND(R2182&lt;2,Q2182&gt;=100),"Revisar","OK")</f>
        <v>OK</v>
      </c>
      <c r="AA2182" s="55">
        <f>_xlfn.XLOOKUP(C2182,'Preguntas de negocio'!$C$114:$C$119,'Preguntas de negocio'!$D$114:$D$119,0)</f>
        <v>6</v>
      </c>
      <c r="AB2182" s="55">
        <f>VLOOKUP(C2182,'Preguntas de negocio'!$C$121:$D$127,2,FALSE)</f>
        <v>0.8</v>
      </c>
    </row>
    <row r="2183" spans="1:28" x14ac:dyDescent="0.3">
      <c r="A2183" s="1">
        <v>45940</v>
      </c>
      <c r="B2183" s="2" t="s">
        <v>2622</v>
      </c>
      <c r="C2183" s="2" t="s">
        <v>2515</v>
      </c>
      <c r="D2183" s="2" t="s">
        <v>2528</v>
      </c>
      <c r="E2183" s="2" t="s">
        <v>2529</v>
      </c>
      <c r="F2183" s="3">
        <v>145436</v>
      </c>
      <c r="G2183" s="3">
        <v>1104</v>
      </c>
      <c r="H2183" s="3">
        <v>27</v>
      </c>
      <c r="I2183" s="4">
        <v>572.88</v>
      </c>
      <c r="J2183" s="4">
        <v>4268.9399999999996</v>
      </c>
      <c r="K2183" s="3">
        <v>23</v>
      </c>
      <c r="L2183" s="2" t="s">
        <v>2536</v>
      </c>
      <c r="M2183" s="2" t="s">
        <v>2524</v>
      </c>
      <c r="N2183" s="8">
        <f>IFERROR(G2183/F2183,0)</f>
        <v>7.5909678484006714E-3</v>
      </c>
      <c r="O2183" s="8">
        <f>IFERROR(H2183/G2183,0)</f>
        <v>2.4456521739130436E-2</v>
      </c>
      <c r="P2183" s="4">
        <f>IFERROR(I2183/G2183,0)</f>
        <v>0.51891304347826084</v>
      </c>
      <c r="Q2183" s="4">
        <f>IFERROR(I2183/H2183,0)</f>
        <v>21.217777777777776</v>
      </c>
      <c r="R2183" s="12">
        <f>IFERROR(J2183/I2183,0)</f>
        <v>7.4517176372015079</v>
      </c>
      <c r="S2183" s="7">
        <f>Tabla_nuevas_columnas[[#This Row],[ROAS]]</f>
        <v>7.4517176372015079</v>
      </c>
      <c r="T2183" t="str">
        <f>_xlfn.CONCAT(C2183,"-",D2183)</f>
        <v>Email-España</v>
      </c>
      <c r="U2183">
        <f>YEAR(A2183)</f>
        <v>2025</v>
      </c>
      <c r="V2183">
        <f>MONTH(A2183)</f>
        <v>10</v>
      </c>
      <c r="W2183" t="str">
        <f>PROPER(TEXT(A2183,"mmmm"))</f>
        <v>Octubre</v>
      </c>
      <c r="X2183" t="str">
        <f>PROPER(TEXT(A2183,"dddd"))</f>
        <v>Viernes</v>
      </c>
      <c r="Y2183" t="str" cm="1">
        <f t="array" ref="Y2183">_xlfn.IFS(R2183&gt;10,"Excelente",R2183&gt;=5,"Bueno",R2183&gt;=2,"Débil",R2183&lt;2,"Deficiente")</f>
        <v>Bueno</v>
      </c>
      <c r="Z2183" t="str">
        <f>IF(AND(R2183&lt;2,Q2183&gt;=100),"Revisar","OK")</f>
        <v>OK</v>
      </c>
      <c r="AA2183" s="55">
        <f>_xlfn.XLOOKUP(C2183,'Preguntas de negocio'!$C$114:$C$119,'Preguntas de negocio'!$D$114:$D$119,0)</f>
        <v>5.5</v>
      </c>
      <c r="AB2183" s="55">
        <f>VLOOKUP(C2183,'Preguntas de negocio'!$C$121:$D$127,2,FALSE)</f>
        <v>0.65</v>
      </c>
    </row>
    <row r="2184" spans="1:28" x14ac:dyDescent="0.3">
      <c r="A2184" s="1">
        <v>45981</v>
      </c>
      <c r="B2184" s="2" t="s">
        <v>2620</v>
      </c>
      <c r="C2184" s="2" t="s">
        <v>2527</v>
      </c>
      <c r="D2184" s="2" t="s">
        <v>2528</v>
      </c>
      <c r="E2184" s="2" t="s">
        <v>2529</v>
      </c>
      <c r="F2184" s="3">
        <v>25969</v>
      </c>
      <c r="G2184" s="3">
        <v>516</v>
      </c>
      <c r="H2184" s="3">
        <v>64</v>
      </c>
      <c r="I2184" s="4">
        <v>745.61</v>
      </c>
      <c r="J2184" s="4">
        <v>2220.69</v>
      </c>
      <c r="K2184" s="3">
        <v>37</v>
      </c>
      <c r="L2184" s="2" t="s">
        <v>2539</v>
      </c>
      <c r="M2184" s="2" t="s">
        <v>2519</v>
      </c>
      <c r="N2184" s="8">
        <f>IFERROR(G2184/F2184,0)</f>
        <v>1.9869844814971695E-2</v>
      </c>
      <c r="O2184" s="8">
        <f>IFERROR(H2184/G2184,0)</f>
        <v>0.12403100775193798</v>
      </c>
      <c r="P2184" s="4">
        <f>IFERROR(I2184/G2184,0)</f>
        <v>1.4449806201550388</v>
      </c>
      <c r="Q2184" s="4">
        <f>IFERROR(I2184/H2184,0)</f>
        <v>11.65015625</v>
      </c>
      <c r="R2184" s="12">
        <f>IFERROR(J2184/I2184,0)</f>
        <v>2.9783532946178295</v>
      </c>
      <c r="S2184" s="7">
        <f>Tabla_nuevas_columnas[[#This Row],[ROAS]]</f>
        <v>2.9783532946178295</v>
      </c>
      <c r="T2184" t="str">
        <f>_xlfn.CONCAT(C2184,"-",D2184)</f>
        <v>Affiliate-España</v>
      </c>
      <c r="U2184">
        <f>YEAR(A2184)</f>
        <v>2025</v>
      </c>
      <c r="V2184">
        <f>MONTH(A2184)</f>
        <v>11</v>
      </c>
      <c r="W2184" t="str">
        <f>PROPER(TEXT(A2184,"mmmm"))</f>
        <v>Noviembre</v>
      </c>
      <c r="X2184" t="str">
        <f>PROPER(TEXT(A2184,"dddd"))</f>
        <v>Jueves</v>
      </c>
      <c r="Y2184" t="str" cm="1">
        <f t="array" ref="Y2184">_xlfn.IFS(R2184&gt;10,"Excelente",R2184&gt;=5,"Bueno",R2184&gt;=2,"Débil",R2184&lt;2,"Deficiente")</f>
        <v>Débil</v>
      </c>
      <c r="Z2184" t="str">
        <f>IF(AND(R2184&lt;2,Q2184&gt;=100),"Revisar","OK")</f>
        <v>OK</v>
      </c>
      <c r="AA2184" s="55">
        <f>_xlfn.XLOOKUP(C2184,'Preguntas de negocio'!$C$114:$C$119,'Preguntas de negocio'!$D$114:$D$119,0)</f>
        <v>4.5</v>
      </c>
      <c r="AB2184" s="55">
        <f>VLOOKUP(C2184,'Preguntas de negocio'!$C$121:$D$127,2,FALSE)</f>
        <v>0.35</v>
      </c>
    </row>
    <row r="2185" spans="1:28" x14ac:dyDescent="0.3">
      <c r="A2185" s="1">
        <v>45883</v>
      </c>
      <c r="B2185" s="2" t="s">
        <v>2631</v>
      </c>
      <c r="C2185" s="2" t="s">
        <v>2515</v>
      </c>
      <c r="D2185" s="2" t="s">
        <v>2522</v>
      </c>
      <c r="E2185" s="2" t="s">
        <v>2517</v>
      </c>
      <c r="F2185" s="3">
        <v>80817</v>
      </c>
      <c r="G2185" s="3">
        <v>5906</v>
      </c>
      <c r="H2185" s="3">
        <v>496</v>
      </c>
      <c r="I2185" s="4">
        <v>11741.17</v>
      </c>
      <c r="J2185" s="4">
        <v>82847.679999999993</v>
      </c>
      <c r="K2185" s="3">
        <v>439</v>
      </c>
      <c r="L2185" s="2" t="s">
        <v>2523</v>
      </c>
      <c r="M2185" s="2" t="s">
        <v>2524</v>
      </c>
      <c r="N2185" s="8">
        <f>IFERROR(G2185/F2185,0)</f>
        <v>7.3078683940260097E-2</v>
      </c>
      <c r="O2185" s="8">
        <f>IFERROR(H2185/G2185,0)</f>
        <v>8.3982390789028111E-2</v>
      </c>
      <c r="P2185" s="4">
        <f>IFERROR(I2185/G2185,0)</f>
        <v>1.9880071114121234</v>
      </c>
      <c r="Q2185" s="4">
        <f>IFERROR(I2185/H2185,0)</f>
        <v>23.67171370967742</v>
      </c>
      <c r="R2185" s="12">
        <f>IFERROR(J2185/I2185,0)</f>
        <v>7.056169018930821</v>
      </c>
      <c r="S2185" s="7">
        <f>Tabla_nuevas_columnas[[#This Row],[ROAS]]</f>
        <v>7.056169018930821</v>
      </c>
      <c r="T2185" t="str">
        <f>_xlfn.CONCAT(C2185,"-",D2185)</f>
        <v>Email-Italia</v>
      </c>
      <c r="U2185">
        <f>YEAR(A2185)</f>
        <v>2025</v>
      </c>
      <c r="V2185">
        <f>MONTH(A2185)</f>
        <v>8</v>
      </c>
      <c r="W2185" t="str">
        <f>PROPER(TEXT(A2185,"mmmm"))</f>
        <v>Agosto</v>
      </c>
      <c r="X2185" t="str">
        <f>PROPER(TEXT(A2185,"dddd"))</f>
        <v>Jueves</v>
      </c>
      <c r="Y2185" t="str" cm="1">
        <f t="array" ref="Y2185">_xlfn.IFS(R2185&gt;10,"Excelente",R2185&gt;=5,"Bueno",R2185&gt;=2,"Débil",R2185&lt;2,"Deficiente")</f>
        <v>Bueno</v>
      </c>
      <c r="Z2185" t="str">
        <f>IF(AND(R2185&lt;2,Q2185&gt;=100),"Revisar","OK")</f>
        <v>OK</v>
      </c>
      <c r="AA2185" s="55">
        <f>_xlfn.XLOOKUP(C2185,'Preguntas de negocio'!$C$114:$C$119,'Preguntas de negocio'!$D$114:$D$119,0)</f>
        <v>5.5</v>
      </c>
      <c r="AB2185" s="55">
        <f>VLOOKUP(C2185,'Preguntas de negocio'!$C$121:$D$127,2,FALSE)</f>
        <v>0.65</v>
      </c>
    </row>
    <row r="2186" spans="1:28" x14ac:dyDescent="0.3">
      <c r="A2186" s="1">
        <v>45948</v>
      </c>
      <c r="B2186" s="2" t="s">
        <v>2628</v>
      </c>
      <c r="C2186" s="2" t="s">
        <v>2515</v>
      </c>
      <c r="D2186" s="2" t="s">
        <v>2528</v>
      </c>
      <c r="E2186" s="2" t="s">
        <v>2529</v>
      </c>
      <c r="F2186" s="3">
        <v>97690</v>
      </c>
      <c r="G2186" s="3">
        <v>3481</v>
      </c>
      <c r="H2186" s="3">
        <v>217</v>
      </c>
      <c r="I2186" s="4">
        <v>1952.13</v>
      </c>
      <c r="J2186" s="4">
        <v>37073.89</v>
      </c>
      <c r="K2186" s="3">
        <v>148</v>
      </c>
      <c r="L2186" s="2" t="s">
        <v>2539</v>
      </c>
      <c r="M2186" s="2" t="s">
        <v>2645</v>
      </c>
      <c r="N2186" s="8">
        <f>IFERROR(G2186/F2186,0)</f>
        <v>3.5633125191933665E-2</v>
      </c>
      <c r="O2186" s="8">
        <f>IFERROR(H2186/G2186,0)</f>
        <v>6.2338408503303647E-2</v>
      </c>
      <c r="P2186" s="4">
        <f>IFERROR(I2186/G2186,0)</f>
        <v>0.5607957483481758</v>
      </c>
      <c r="Q2186" s="4">
        <f>IFERROR(I2186/H2186,0)</f>
        <v>8.9959907834101394</v>
      </c>
      <c r="R2186" s="12">
        <f>IFERROR(J2186/I2186,0)</f>
        <v>18.991506713179962</v>
      </c>
      <c r="S2186" s="7">
        <f>Tabla_nuevas_columnas[[#This Row],[ROAS]]</f>
        <v>18.991506713179962</v>
      </c>
      <c r="T2186" t="str">
        <f>_xlfn.CONCAT(C2186,"-",D2186)</f>
        <v>Email-España</v>
      </c>
      <c r="U2186">
        <f>YEAR(A2186)</f>
        <v>2025</v>
      </c>
      <c r="V2186">
        <f>MONTH(A2186)</f>
        <v>10</v>
      </c>
      <c r="W2186" t="str">
        <f>PROPER(TEXT(A2186,"mmmm"))</f>
        <v>Octubre</v>
      </c>
      <c r="X2186" t="str">
        <f>PROPER(TEXT(A2186,"dddd"))</f>
        <v>Sábado</v>
      </c>
      <c r="Y2186" t="str" cm="1">
        <f t="array" ref="Y2186">_xlfn.IFS(R2186&gt;10,"Excelente",R2186&gt;=5,"Bueno",R2186&gt;=2,"Débil",R2186&lt;2,"Deficiente")</f>
        <v>Excelente</v>
      </c>
      <c r="Z2186" t="str">
        <f>IF(AND(R2186&lt;2,Q2186&gt;=100),"Revisar","OK")</f>
        <v>OK</v>
      </c>
      <c r="AA2186" s="55">
        <f>_xlfn.XLOOKUP(C2186,'Preguntas de negocio'!$C$114:$C$119,'Preguntas de negocio'!$D$114:$D$119,0)</f>
        <v>5.5</v>
      </c>
      <c r="AB2186" s="55">
        <f>VLOOKUP(C2186,'Preguntas de negocio'!$C$121:$D$127,2,FALSE)</f>
        <v>0.65</v>
      </c>
    </row>
    <row r="2187" spans="1:28" x14ac:dyDescent="0.3">
      <c r="A2187" s="1">
        <v>45885</v>
      </c>
      <c r="B2187" s="2" t="s">
        <v>2624</v>
      </c>
      <c r="C2187" s="2" t="s">
        <v>2533</v>
      </c>
      <c r="D2187" s="2" t="s">
        <v>2528</v>
      </c>
      <c r="E2187" s="2" t="s">
        <v>2517</v>
      </c>
      <c r="F2187" s="3">
        <v>11816</v>
      </c>
      <c r="G2187" s="3">
        <v>803</v>
      </c>
      <c r="H2187" s="3">
        <v>8</v>
      </c>
      <c r="I2187" s="4">
        <v>346.29</v>
      </c>
      <c r="J2187" s="4">
        <v>745.29</v>
      </c>
      <c r="K2187" s="3">
        <v>4</v>
      </c>
      <c r="L2187" s="2" t="s">
        <v>2536</v>
      </c>
      <c r="M2187" s="2" t="s">
        <v>2526</v>
      </c>
      <c r="N2187" s="8">
        <f>IFERROR(G2187/F2187,0)</f>
        <v>6.7958700067704811E-2</v>
      </c>
      <c r="O2187" s="8">
        <f>IFERROR(H2187/G2187,0)</f>
        <v>9.9626400996264009E-3</v>
      </c>
      <c r="P2187" s="4">
        <f>IFERROR(I2187/G2187,0)</f>
        <v>0.4312453300124533</v>
      </c>
      <c r="Q2187" s="4">
        <f>IFERROR(I2187/H2187,0)</f>
        <v>43.286250000000003</v>
      </c>
      <c r="R2187" s="12">
        <f>IFERROR(J2187/I2187,0)</f>
        <v>2.1522134627046694</v>
      </c>
      <c r="S2187" s="7">
        <f>Tabla_nuevas_columnas[[#This Row],[ROAS]]</f>
        <v>2.1522134627046694</v>
      </c>
      <c r="T2187" t="str">
        <f>_xlfn.CONCAT(C2187,"-",D2187)</f>
        <v>Paid Social-España</v>
      </c>
      <c r="U2187">
        <f>YEAR(A2187)</f>
        <v>2025</v>
      </c>
      <c r="V2187">
        <f>MONTH(A2187)</f>
        <v>8</v>
      </c>
      <c r="W2187" t="str">
        <f>PROPER(TEXT(A2187,"mmmm"))</f>
        <v>Agosto</v>
      </c>
      <c r="X2187" t="str">
        <f>PROPER(TEXT(A2187,"dddd"))</f>
        <v>Sábado</v>
      </c>
      <c r="Y2187" t="str" cm="1">
        <f t="array" ref="Y2187">_xlfn.IFS(R2187&gt;10,"Excelente",R2187&gt;=5,"Bueno",R2187&gt;=2,"Débil",R2187&lt;2,"Deficiente")</f>
        <v>Débil</v>
      </c>
      <c r="Z2187" t="str">
        <f>IF(AND(R2187&lt;2,Q2187&gt;=100),"Revisar","OK")</f>
        <v>OK</v>
      </c>
      <c r="AA2187" s="55">
        <f>_xlfn.XLOOKUP(C2187,'Preguntas de negocio'!$C$114:$C$119,'Preguntas de negocio'!$D$114:$D$119,0)</f>
        <v>6</v>
      </c>
      <c r="AB2187" s="55">
        <f>VLOOKUP(C2187,'Preguntas de negocio'!$C$121:$D$127,2,FALSE)</f>
        <v>0.8</v>
      </c>
    </row>
    <row r="2188" spans="1:28" x14ac:dyDescent="0.3">
      <c r="A2188" s="1">
        <v>45819</v>
      </c>
      <c r="B2188" s="2" t="s">
        <v>2616</v>
      </c>
      <c r="C2188" s="2" t="s">
        <v>2543</v>
      </c>
      <c r="D2188" s="2" t="s">
        <v>2516</v>
      </c>
      <c r="E2188" s="2" t="s">
        <v>2529</v>
      </c>
      <c r="F2188" s="3">
        <v>85263</v>
      </c>
      <c r="G2188" s="3">
        <v>2892</v>
      </c>
      <c r="H2188" s="3">
        <v>324</v>
      </c>
      <c r="I2188" s="4">
        <v>356.14</v>
      </c>
      <c r="J2188" s="4">
        <v>40983.31</v>
      </c>
      <c r="K2188" s="3">
        <v>200</v>
      </c>
      <c r="L2188" s="2" t="s">
        <v>2523</v>
      </c>
      <c r="M2188" s="2" t="s">
        <v>2537</v>
      </c>
      <c r="N2188" s="8">
        <f>IFERROR(G2188/F2188,0)</f>
        <v>3.3918581330706167E-2</v>
      </c>
      <c r="O2188" s="8">
        <f>IFERROR(H2188/G2188,0)</f>
        <v>0.11203319502074689</v>
      </c>
      <c r="P2188" s="4">
        <f>IFERROR(I2188/G2188,0)</f>
        <v>0.12314661134163209</v>
      </c>
      <c r="Q2188" s="4">
        <f>IFERROR(I2188/H2188,0)</f>
        <v>1.0991975308641975</v>
      </c>
      <c r="R2188" s="12">
        <f>IFERROR(J2188/I2188,0)</f>
        <v>115.07640253832763</v>
      </c>
      <c r="S2188" s="7">
        <f>Tabla_nuevas_columnas[[#This Row],[ROAS]]</f>
        <v>115.07640253832763</v>
      </c>
      <c r="T2188" t="str">
        <f>_xlfn.CONCAT(C2188,"-",D2188)</f>
        <v>Organic Social-México</v>
      </c>
      <c r="U2188">
        <f>YEAR(A2188)</f>
        <v>2025</v>
      </c>
      <c r="V2188">
        <f>MONTH(A2188)</f>
        <v>6</v>
      </c>
      <c r="W2188" t="str">
        <f>PROPER(TEXT(A2188,"mmmm"))</f>
        <v>Junio</v>
      </c>
      <c r="X2188" t="str">
        <f>PROPER(TEXT(A2188,"dddd"))</f>
        <v>Miércoles</v>
      </c>
      <c r="Y2188" t="str" cm="1">
        <f t="array" ref="Y2188">_xlfn.IFS(R2188&gt;10,"Excelente",R2188&gt;=5,"Bueno",R2188&gt;=2,"Débil",R2188&lt;2,"Deficiente")</f>
        <v>Excelente</v>
      </c>
      <c r="Z2188" t="str">
        <f>IF(AND(R2188&lt;2,Q2188&gt;=100),"Revisar","OK")</f>
        <v>OK</v>
      </c>
      <c r="AA2188" s="55">
        <f>_xlfn.XLOOKUP(C2188,'Preguntas de negocio'!$C$114:$C$119,'Preguntas de negocio'!$D$114:$D$119,0)</f>
        <v>4</v>
      </c>
      <c r="AB2188" s="55">
        <f>VLOOKUP(C2188,'Preguntas de negocio'!$C$121:$D$127,2,FALSE)</f>
        <v>0.95</v>
      </c>
    </row>
    <row r="2189" spans="1:28" x14ac:dyDescent="0.3">
      <c r="A2189" s="1">
        <v>45954</v>
      </c>
      <c r="B2189" s="2" t="s">
        <v>2637</v>
      </c>
      <c r="C2189" s="2" t="s">
        <v>2533</v>
      </c>
      <c r="D2189" s="2" t="s">
        <v>2528</v>
      </c>
      <c r="E2189" s="2" t="s">
        <v>2529</v>
      </c>
      <c r="F2189" s="3">
        <v>75858</v>
      </c>
      <c r="G2189" s="3">
        <v>6028</v>
      </c>
      <c r="H2189" s="3">
        <v>377</v>
      </c>
      <c r="I2189" s="4">
        <v>683.81</v>
      </c>
      <c r="J2189" s="4">
        <v>69660.91</v>
      </c>
      <c r="K2189" s="3">
        <v>193</v>
      </c>
      <c r="L2189" s="2" t="s">
        <v>2539</v>
      </c>
      <c r="M2189" s="2" t="s">
        <v>2524</v>
      </c>
      <c r="N2189" s="8">
        <f>IFERROR(G2189/F2189,0)</f>
        <v>7.9464262174062064E-2</v>
      </c>
      <c r="O2189" s="8">
        <f>IFERROR(H2189/G2189,0)</f>
        <v>6.2541473125414734E-2</v>
      </c>
      <c r="P2189" s="4">
        <f>IFERROR(I2189/G2189,0)</f>
        <v>0.1134389515593895</v>
      </c>
      <c r="Q2189" s="4">
        <f>IFERROR(I2189/H2189,0)</f>
        <v>1.8138196286472148</v>
      </c>
      <c r="R2189" s="12">
        <f>IFERROR(J2189/I2189,0)</f>
        <v>101.87173337623025</v>
      </c>
      <c r="S2189" s="7">
        <f>Tabla_nuevas_columnas[[#This Row],[ROAS]]</f>
        <v>101.87173337623025</v>
      </c>
      <c r="T2189" t="str">
        <f>_xlfn.CONCAT(C2189,"-",D2189)</f>
        <v>Paid Social-España</v>
      </c>
      <c r="U2189">
        <f>YEAR(A2189)</f>
        <v>2025</v>
      </c>
      <c r="V2189">
        <f>MONTH(A2189)</f>
        <v>10</v>
      </c>
      <c r="W2189" t="str">
        <f>PROPER(TEXT(A2189,"mmmm"))</f>
        <v>Octubre</v>
      </c>
      <c r="X2189" t="str">
        <f>PROPER(TEXT(A2189,"dddd"))</f>
        <v>Viernes</v>
      </c>
      <c r="Y2189" t="str" cm="1">
        <f t="array" ref="Y2189">_xlfn.IFS(R2189&gt;10,"Excelente",R2189&gt;=5,"Bueno",R2189&gt;=2,"Débil",R2189&lt;2,"Deficiente")</f>
        <v>Excelente</v>
      </c>
      <c r="Z2189" t="str">
        <f>IF(AND(R2189&lt;2,Q2189&gt;=100),"Revisar","OK")</f>
        <v>OK</v>
      </c>
      <c r="AA2189" s="55">
        <f>_xlfn.XLOOKUP(C2189,'Preguntas de negocio'!$C$114:$C$119,'Preguntas de negocio'!$D$114:$D$119,0)</f>
        <v>6</v>
      </c>
      <c r="AB2189" s="55">
        <f>VLOOKUP(C2189,'Preguntas de negocio'!$C$121:$D$127,2,FALSE)</f>
        <v>0.8</v>
      </c>
    </row>
    <row r="2190" spans="1:28" x14ac:dyDescent="0.3">
      <c r="A2190" s="1">
        <v>45986</v>
      </c>
      <c r="B2190" s="2" t="s">
        <v>2639</v>
      </c>
      <c r="C2190" s="2" t="s">
        <v>2515</v>
      </c>
      <c r="D2190" s="2" t="s">
        <v>2528</v>
      </c>
      <c r="E2190" s="2" t="s">
        <v>2529</v>
      </c>
      <c r="F2190" s="3">
        <v>46519</v>
      </c>
      <c r="G2190" s="3">
        <v>896</v>
      </c>
      <c r="H2190" s="3">
        <v>26</v>
      </c>
      <c r="I2190" s="4">
        <v>1246.43</v>
      </c>
      <c r="J2190" s="4">
        <v>4074.71</v>
      </c>
      <c r="K2190" s="3">
        <v>12</v>
      </c>
      <c r="L2190" s="2" t="s">
        <v>2523</v>
      </c>
      <c r="M2190" s="2" t="s">
        <v>2546</v>
      </c>
      <c r="N2190" s="8">
        <f>IFERROR(G2190/F2190,0)</f>
        <v>1.9260947139878328E-2</v>
      </c>
      <c r="O2190" s="8">
        <f>IFERROR(H2190/G2190,0)</f>
        <v>2.9017857142857144E-2</v>
      </c>
      <c r="P2190" s="4">
        <f>IFERROR(I2190/G2190,0)</f>
        <v>1.3911049107142859</v>
      </c>
      <c r="Q2190" s="4">
        <f>IFERROR(I2190/H2190,0)</f>
        <v>47.939615384615387</v>
      </c>
      <c r="R2190" s="12">
        <f>IFERROR(J2190/I2190,0)</f>
        <v>3.2691045626308735</v>
      </c>
      <c r="S2190" s="7">
        <f>Tabla_nuevas_columnas[[#This Row],[ROAS]]</f>
        <v>3.2691045626308735</v>
      </c>
      <c r="T2190" t="str">
        <f>_xlfn.CONCAT(C2190,"-",D2190)</f>
        <v>Email-España</v>
      </c>
      <c r="U2190">
        <f>YEAR(A2190)</f>
        <v>2025</v>
      </c>
      <c r="V2190">
        <f>MONTH(A2190)</f>
        <v>11</v>
      </c>
      <c r="W2190" t="str">
        <f>PROPER(TEXT(A2190,"mmmm"))</f>
        <v>Noviembre</v>
      </c>
      <c r="X2190" t="str">
        <f>PROPER(TEXT(A2190,"dddd"))</f>
        <v>Martes</v>
      </c>
      <c r="Y2190" t="str" cm="1">
        <f t="array" ref="Y2190">_xlfn.IFS(R2190&gt;10,"Excelente",R2190&gt;=5,"Bueno",R2190&gt;=2,"Débil",R2190&lt;2,"Deficiente")</f>
        <v>Débil</v>
      </c>
      <c r="Z2190" t="str">
        <f>IF(AND(R2190&lt;2,Q2190&gt;=100),"Revisar","OK")</f>
        <v>OK</v>
      </c>
      <c r="AA2190" s="55">
        <f>_xlfn.XLOOKUP(C2190,'Preguntas de negocio'!$C$114:$C$119,'Preguntas de negocio'!$D$114:$D$119,0)</f>
        <v>5.5</v>
      </c>
      <c r="AB2190" s="55">
        <f>VLOOKUP(C2190,'Preguntas de negocio'!$C$121:$D$127,2,FALSE)</f>
        <v>0.65</v>
      </c>
    </row>
    <row r="2191" spans="1:28" x14ac:dyDescent="0.3">
      <c r="A2191" s="1">
        <v>45734</v>
      </c>
      <c r="B2191" s="2" t="s">
        <v>2621</v>
      </c>
      <c r="C2191" s="2" t="s">
        <v>2521</v>
      </c>
      <c r="D2191" s="2" t="s">
        <v>2531</v>
      </c>
      <c r="E2191" s="2" t="s">
        <v>2517</v>
      </c>
      <c r="F2191" s="3">
        <v>8716</v>
      </c>
      <c r="G2191" s="3">
        <v>633</v>
      </c>
      <c r="H2191" s="3">
        <v>28</v>
      </c>
      <c r="I2191" s="4">
        <v>425.02</v>
      </c>
      <c r="J2191" s="4">
        <v>3925.31</v>
      </c>
      <c r="K2191" s="3">
        <v>17</v>
      </c>
      <c r="L2191" s="2" t="s">
        <v>2536</v>
      </c>
      <c r="M2191" s="2" t="s">
        <v>2519</v>
      </c>
      <c r="N2191" s="8">
        <f>IFERROR(G2191/F2191,0)</f>
        <v>7.2625057365764106E-2</v>
      </c>
      <c r="O2191" s="8">
        <f>IFERROR(H2191/G2191,0)</f>
        <v>4.4233807266982623E-2</v>
      </c>
      <c r="P2191" s="4">
        <f>IFERROR(I2191/G2191,0)</f>
        <v>0.67143759873617692</v>
      </c>
      <c r="Q2191" s="4">
        <f>IFERROR(I2191/H2191,0)</f>
        <v>15.179285714285713</v>
      </c>
      <c r="R2191" s="12">
        <f>IFERROR(J2191/I2191,0)</f>
        <v>9.2355889134628963</v>
      </c>
      <c r="S2191" s="7">
        <f>Tabla_nuevas_columnas[[#This Row],[ROAS]]</f>
        <v>9.2355889134628963</v>
      </c>
      <c r="T2191" t="str">
        <f>_xlfn.CONCAT(C2191,"-",D2191)</f>
        <v>Paid Search-Portugal</v>
      </c>
      <c r="U2191">
        <f>YEAR(A2191)</f>
        <v>2025</v>
      </c>
      <c r="V2191">
        <f>MONTH(A2191)</f>
        <v>3</v>
      </c>
      <c r="W2191" t="str">
        <f>PROPER(TEXT(A2191,"mmmm"))</f>
        <v>Marzo</v>
      </c>
      <c r="X2191" t="str">
        <f>PROPER(TEXT(A2191,"dddd"))</f>
        <v>Martes</v>
      </c>
      <c r="Y2191" t="str" cm="1">
        <f t="array" ref="Y2191">_xlfn.IFS(R2191&gt;10,"Excelente",R2191&gt;=5,"Bueno",R2191&gt;=2,"Débil",R2191&lt;2,"Deficiente")</f>
        <v>Bueno</v>
      </c>
      <c r="Z2191" t="str">
        <f>IF(AND(R2191&lt;2,Q2191&gt;=100),"Revisar","OK")</f>
        <v>OK</v>
      </c>
      <c r="AA2191" s="55">
        <f>_xlfn.XLOOKUP(C2191,'Preguntas de negocio'!$C$114:$C$119,'Preguntas de negocio'!$D$114:$D$119,0)</f>
        <v>5</v>
      </c>
      <c r="AB2191" s="55">
        <f>VLOOKUP(C2191,'Preguntas de negocio'!$C$121:$D$127,2,FALSE)</f>
        <v>1.1000000000000001</v>
      </c>
    </row>
    <row r="2192" spans="1:28" x14ac:dyDescent="0.3">
      <c r="A2192" s="1">
        <v>45674</v>
      </c>
      <c r="B2192" s="2" t="s">
        <v>2616</v>
      </c>
      <c r="C2192" s="2" t="s">
        <v>2541</v>
      </c>
      <c r="D2192" s="2" t="s">
        <v>2516</v>
      </c>
      <c r="E2192" s="2" t="s">
        <v>2529</v>
      </c>
      <c r="F2192" s="3">
        <v>17438</v>
      </c>
      <c r="G2192" s="3">
        <v>211</v>
      </c>
      <c r="H2192" s="3">
        <v>26</v>
      </c>
      <c r="I2192" s="4">
        <v>37.340000000000003</v>
      </c>
      <c r="J2192" s="4">
        <v>4020.37</v>
      </c>
      <c r="K2192" s="3">
        <v>14</v>
      </c>
      <c r="L2192" s="2" t="s">
        <v>2518</v>
      </c>
      <c r="M2192" s="2" t="s">
        <v>2546</v>
      </c>
      <c r="N2192" s="8">
        <f>IFERROR(G2192/F2192,0)</f>
        <v>1.2100011469205184E-2</v>
      </c>
      <c r="O2192" s="8">
        <f>IFERROR(H2192/G2192,0)</f>
        <v>0.12322274881516587</v>
      </c>
      <c r="P2192" s="4">
        <f>IFERROR(I2192/G2192,0)</f>
        <v>0.17696682464454977</v>
      </c>
      <c r="Q2192" s="4">
        <f>IFERROR(I2192/H2192,0)</f>
        <v>1.4361538461538463</v>
      </c>
      <c r="R2192" s="12">
        <f>IFERROR(J2192/I2192,0)</f>
        <v>107.66925549009105</v>
      </c>
      <c r="S2192" s="7">
        <f>Tabla_nuevas_columnas[[#This Row],[ROAS]]</f>
        <v>107.66925549009105</v>
      </c>
      <c r="T2192" t="str">
        <f>_xlfn.CONCAT(C2192,"-",D2192)</f>
        <v>Display-México</v>
      </c>
      <c r="U2192">
        <f>YEAR(A2192)</f>
        <v>2025</v>
      </c>
      <c r="V2192">
        <f>MONTH(A2192)</f>
        <v>1</v>
      </c>
      <c r="W2192" t="str">
        <f>PROPER(TEXT(A2192,"mmmm"))</f>
        <v>Enero</v>
      </c>
      <c r="X2192" t="str">
        <f>PROPER(TEXT(A2192,"dddd"))</f>
        <v>Viernes</v>
      </c>
      <c r="Y2192" t="str" cm="1">
        <f t="array" ref="Y2192">_xlfn.IFS(R2192&gt;10,"Excelente",R2192&gt;=5,"Bueno",R2192&gt;=2,"Débil",R2192&lt;2,"Deficiente")</f>
        <v>Excelente</v>
      </c>
      <c r="Z2192" t="str">
        <f>IF(AND(R2192&lt;2,Q2192&gt;=100),"Revisar","OK")</f>
        <v>OK</v>
      </c>
      <c r="AA2192" s="55">
        <f>_xlfn.XLOOKUP(C2192,'Preguntas de negocio'!$C$114:$C$119,'Preguntas de negocio'!$D$114:$D$119,0)</f>
        <v>5</v>
      </c>
      <c r="AB2192" s="55">
        <f>VLOOKUP(C2192,'Preguntas de negocio'!$C$121:$D$127,2,FALSE)</f>
        <v>0.5</v>
      </c>
    </row>
    <row r="2193" spans="1:28" x14ac:dyDescent="0.3">
      <c r="A2193" s="1">
        <v>45864</v>
      </c>
      <c r="B2193" s="2" t="s">
        <v>2624</v>
      </c>
      <c r="C2193" s="2" t="s">
        <v>2543</v>
      </c>
      <c r="D2193" s="2" t="s">
        <v>2522</v>
      </c>
      <c r="E2193" s="2" t="s">
        <v>2529</v>
      </c>
      <c r="F2193" s="3">
        <v>3011</v>
      </c>
      <c r="G2193" s="3">
        <v>123</v>
      </c>
      <c r="H2193" s="3">
        <v>2</v>
      </c>
      <c r="I2193" s="4">
        <v>19.64</v>
      </c>
      <c r="J2193" s="4">
        <v>396.37</v>
      </c>
      <c r="K2193" s="3">
        <v>1</v>
      </c>
      <c r="L2193" s="2" t="s">
        <v>2536</v>
      </c>
      <c r="M2193" s="2" t="s">
        <v>2537</v>
      </c>
      <c r="N2193" s="8">
        <f>IFERROR(G2193/F2193,0)</f>
        <v>4.0850215875124544E-2</v>
      </c>
      <c r="O2193" s="8">
        <f>IFERROR(H2193/G2193,0)</f>
        <v>1.6260162601626018E-2</v>
      </c>
      <c r="P2193" s="4">
        <f>IFERROR(I2193/G2193,0)</f>
        <v>0.15967479674796747</v>
      </c>
      <c r="Q2193" s="4">
        <f>IFERROR(I2193/H2193,0)</f>
        <v>9.82</v>
      </c>
      <c r="R2193" s="12">
        <f>IFERROR(J2193/I2193,0)</f>
        <v>20.181771894093686</v>
      </c>
      <c r="S2193" s="7">
        <f>Tabla_nuevas_columnas[[#This Row],[ROAS]]</f>
        <v>20.181771894093686</v>
      </c>
      <c r="T2193" t="str">
        <f>_xlfn.CONCAT(C2193,"-",D2193)</f>
        <v>Organic Social-Italia</v>
      </c>
      <c r="U2193">
        <f>YEAR(A2193)</f>
        <v>2025</v>
      </c>
      <c r="V2193">
        <f>MONTH(A2193)</f>
        <v>7</v>
      </c>
      <c r="W2193" t="str">
        <f>PROPER(TEXT(A2193,"mmmm"))</f>
        <v>Julio</v>
      </c>
      <c r="X2193" t="str">
        <f>PROPER(TEXT(A2193,"dddd"))</f>
        <v>Sábado</v>
      </c>
      <c r="Y2193" t="str" cm="1">
        <f t="array" ref="Y2193">_xlfn.IFS(R2193&gt;10,"Excelente",R2193&gt;=5,"Bueno",R2193&gt;=2,"Débil",R2193&lt;2,"Deficiente")</f>
        <v>Excelente</v>
      </c>
      <c r="Z2193" t="str">
        <f>IF(AND(R2193&lt;2,Q2193&gt;=100),"Revisar","OK")</f>
        <v>OK</v>
      </c>
      <c r="AA2193" s="55">
        <f>_xlfn.XLOOKUP(C2193,'Preguntas de negocio'!$C$114:$C$119,'Preguntas de negocio'!$D$114:$D$119,0)</f>
        <v>4</v>
      </c>
      <c r="AB2193" s="55">
        <f>VLOOKUP(C2193,'Preguntas de negocio'!$C$121:$D$127,2,FALSE)</f>
        <v>0.95</v>
      </c>
    </row>
    <row r="2194" spans="1:28" x14ac:dyDescent="0.3">
      <c r="A2194" s="1">
        <v>45697</v>
      </c>
      <c r="B2194" s="2" t="s">
        <v>2629</v>
      </c>
      <c r="C2194" s="2" t="s">
        <v>2543</v>
      </c>
      <c r="D2194" s="2" t="s">
        <v>2531</v>
      </c>
      <c r="E2194" s="2" t="s">
        <v>2517</v>
      </c>
      <c r="F2194" s="3">
        <v>23510</v>
      </c>
      <c r="G2194" s="3">
        <v>470</v>
      </c>
      <c r="H2194" s="3">
        <v>33</v>
      </c>
      <c r="I2194" s="4">
        <v>839.59</v>
      </c>
      <c r="J2194" s="4">
        <v>6278.69</v>
      </c>
      <c r="K2194" s="3">
        <v>22</v>
      </c>
      <c r="L2194" s="2" t="s">
        <v>2523</v>
      </c>
      <c r="M2194" s="2" t="s">
        <v>2526</v>
      </c>
      <c r="N2194" s="8">
        <f>IFERROR(G2194/F2194,0)</f>
        <v>1.9991492981709911E-2</v>
      </c>
      <c r="O2194" s="8">
        <f>IFERROR(H2194/G2194,0)</f>
        <v>7.0212765957446813E-2</v>
      </c>
      <c r="P2194" s="4">
        <f>IFERROR(I2194/G2194,0)</f>
        <v>1.7863617021276597</v>
      </c>
      <c r="Q2194" s="4">
        <f>IFERROR(I2194/H2194,0)</f>
        <v>25.442121212121211</v>
      </c>
      <c r="R2194" s="12">
        <f>IFERROR(J2194/I2194,0)</f>
        <v>7.4782810657582859</v>
      </c>
      <c r="S2194" s="7">
        <f>Tabla_nuevas_columnas[[#This Row],[ROAS]]</f>
        <v>7.4782810657582859</v>
      </c>
      <c r="T2194" t="str">
        <f>_xlfn.CONCAT(C2194,"-",D2194)</f>
        <v>Organic Social-Portugal</v>
      </c>
      <c r="U2194">
        <f>YEAR(A2194)</f>
        <v>2025</v>
      </c>
      <c r="V2194">
        <f>MONTH(A2194)</f>
        <v>2</v>
      </c>
      <c r="W2194" t="str">
        <f>PROPER(TEXT(A2194,"mmmm"))</f>
        <v>Febrero</v>
      </c>
      <c r="X2194" t="str">
        <f>PROPER(TEXT(A2194,"dddd"))</f>
        <v>Domingo</v>
      </c>
      <c r="Y2194" t="str" cm="1">
        <f t="array" ref="Y2194">_xlfn.IFS(R2194&gt;10,"Excelente",R2194&gt;=5,"Bueno",R2194&gt;=2,"Débil",R2194&lt;2,"Deficiente")</f>
        <v>Bueno</v>
      </c>
      <c r="Z2194" t="str">
        <f>IF(AND(R2194&lt;2,Q2194&gt;=100),"Revisar","OK")</f>
        <v>OK</v>
      </c>
      <c r="AA2194" s="55">
        <f>_xlfn.XLOOKUP(C2194,'Preguntas de negocio'!$C$114:$C$119,'Preguntas de negocio'!$D$114:$D$119,0)</f>
        <v>4</v>
      </c>
      <c r="AB2194" s="55">
        <f>VLOOKUP(C2194,'Preguntas de negocio'!$C$121:$D$127,2,FALSE)</f>
        <v>0.95</v>
      </c>
    </row>
    <row r="2195" spans="1:28" x14ac:dyDescent="0.3">
      <c r="A2195" s="1">
        <v>45936</v>
      </c>
      <c r="B2195" s="2" t="s">
        <v>2615</v>
      </c>
      <c r="C2195" s="2" t="s">
        <v>2521</v>
      </c>
      <c r="D2195" s="2" t="s">
        <v>2525</v>
      </c>
      <c r="E2195" s="2" t="s">
        <v>2517</v>
      </c>
      <c r="F2195" s="3">
        <v>158769</v>
      </c>
      <c r="G2195" s="3">
        <v>8117</v>
      </c>
      <c r="H2195" s="3">
        <v>365</v>
      </c>
      <c r="I2195" s="4">
        <v>13976.51</v>
      </c>
      <c r="J2195" s="4">
        <v>27294.44</v>
      </c>
      <c r="K2195" s="3">
        <v>257</v>
      </c>
      <c r="L2195" s="2" t="s">
        <v>2523</v>
      </c>
      <c r="M2195" s="2" t="s">
        <v>2526</v>
      </c>
      <c r="N2195" s="8">
        <f>IFERROR(G2195/F2195,0)</f>
        <v>5.1124589812872788E-2</v>
      </c>
      <c r="O2195" s="8">
        <f>IFERROR(H2195/G2195,0)</f>
        <v>4.4967352470124428E-2</v>
      </c>
      <c r="P2195" s="4">
        <f>IFERROR(I2195/G2195,0)</f>
        <v>1.7218812369101886</v>
      </c>
      <c r="Q2195" s="4">
        <f>IFERROR(I2195/H2195,0)</f>
        <v>38.29180821917808</v>
      </c>
      <c r="R2195" s="12">
        <f>IFERROR(J2195/I2195,0)</f>
        <v>1.9528795099778127</v>
      </c>
      <c r="S2195" s="7">
        <f>Tabla_nuevas_columnas[[#This Row],[ROAS]]</f>
        <v>1.9528795099778127</v>
      </c>
      <c r="T2195" t="str">
        <f>_xlfn.CONCAT(C2195,"-",D2195)</f>
        <v>Paid Search-Francia</v>
      </c>
      <c r="U2195">
        <f>YEAR(A2195)</f>
        <v>2025</v>
      </c>
      <c r="V2195">
        <f>MONTH(A2195)</f>
        <v>10</v>
      </c>
      <c r="W2195" t="str">
        <f>PROPER(TEXT(A2195,"mmmm"))</f>
        <v>Octubre</v>
      </c>
      <c r="X2195" t="str">
        <f>PROPER(TEXT(A2195,"dddd"))</f>
        <v>Lunes</v>
      </c>
      <c r="Y2195" t="str" cm="1">
        <f t="array" ref="Y2195">_xlfn.IFS(R2195&gt;10,"Excelente",R2195&gt;=5,"Bueno",R2195&gt;=2,"Débil",R2195&lt;2,"Deficiente")</f>
        <v>Deficiente</v>
      </c>
      <c r="Z2195" t="str">
        <f>IF(AND(R2195&lt;2,Q2195&gt;=100),"Revisar","OK")</f>
        <v>OK</v>
      </c>
      <c r="AA2195" s="55">
        <f>_xlfn.XLOOKUP(C2195,'Preguntas de negocio'!$C$114:$C$119,'Preguntas de negocio'!$D$114:$D$119,0)</f>
        <v>5</v>
      </c>
      <c r="AB2195" s="55">
        <f>VLOOKUP(C2195,'Preguntas de negocio'!$C$121:$D$127,2,FALSE)</f>
        <v>1.1000000000000001</v>
      </c>
    </row>
    <row r="2196" spans="1:28" x14ac:dyDescent="0.3">
      <c r="A2196" s="1">
        <v>46013</v>
      </c>
      <c r="B2196" s="2" t="s">
        <v>2627</v>
      </c>
      <c r="C2196" s="2" t="s">
        <v>2543</v>
      </c>
      <c r="D2196" s="2" t="s">
        <v>2528</v>
      </c>
      <c r="E2196" s="2" t="s">
        <v>2517</v>
      </c>
      <c r="F2196" s="3">
        <v>80262</v>
      </c>
      <c r="G2196" s="3">
        <v>4565</v>
      </c>
      <c r="H2196" s="3">
        <v>272</v>
      </c>
      <c r="I2196" s="4">
        <v>2446.7600000000002</v>
      </c>
      <c r="J2196" s="4">
        <v>43241.66</v>
      </c>
      <c r="K2196" s="3">
        <v>185</v>
      </c>
      <c r="L2196" s="2" t="s">
        <v>2536</v>
      </c>
      <c r="M2196" s="2" t="s">
        <v>2524</v>
      </c>
      <c r="N2196" s="8">
        <f>IFERROR(G2196/F2196,0)</f>
        <v>5.6876230345618103E-2</v>
      </c>
      <c r="O2196" s="8">
        <f>IFERROR(H2196/G2196,0)</f>
        <v>5.9583789704271632E-2</v>
      </c>
      <c r="P2196" s="4">
        <f>IFERROR(I2196/G2196,0)</f>
        <v>0.53598247535596943</v>
      </c>
      <c r="Q2196" s="4">
        <f>IFERROR(I2196/H2196,0)</f>
        <v>8.9954411764705888</v>
      </c>
      <c r="R2196" s="12">
        <f>IFERROR(J2196/I2196,0)</f>
        <v>17.673028821788815</v>
      </c>
      <c r="S2196" s="7">
        <f>Tabla_nuevas_columnas[[#This Row],[ROAS]]</f>
        <v>17.673028821788815</v>
      </c>
      <c r="T2196" t="str">
        <f>_xlfn.CONCAT(C2196,"-",D2196)</f>
        <v>Organic Social-España</v>
      </c>
      <c r="U2196">
        <f>YEAR(A2196)</f>
        <v>2025</v>
      </c>
      <c r="V2196">
        <f>MONTH(A2196)</f>
        <v>12</v>
      </c>
      <c r="W2196" t="str">
        <f>PROPER(TEXT(A2196,"mmmm"))</f>
        <v>Diciembre</v>
      </c>
      <c r="X2196" t="str">
        <f>PROPER(TEXT(A2196,"dddd"))</f>
        <v>Lunes</v>
      </c>
      <c r="Y2196" t="str" cm="1">
        <f t="array" ref="Y2196">_xlfn.IFS(R2196&gt;10,"Excelente",R2196&gt;=5,"Bueno",R2196&gt;=2,"Débil",R2196&lt;2,"Deficiente")</f>
        <v>Excelente</v>
      </c>
      <c r="Z2196" t="str">
        <f>IF(AND(R2196&lt;2,Q2196&gt;=100),"Revisar","OK")</f>
        <v>OK</v>
      </c>
      <c r="AA2196" s="55">
        <f>_xlfn.XLOOKUP(C2196,'Preguntas de negocio'!$C$114:$C$119,'Preguntas de negocio'!$D$114:$D$119,0)</f>
        <v>4</v>
      </c>
      <c r="AB2196" s="55">
        <f>VLOOKUP(C2196,'Preguntas de negocio'!$C$121:$D$127,2,FALSE)</f>
        <v>0.95</v>
      </c>
    </row>
    <row r="2197" spans="1:28" x14ac:dyDescent="0.3">
      <c r="A2197" s="1">
        <v>45926</v>
      </c>
      <c r="B2197" s="2" t="s">
        <v>2626</v>
      </c>
      <c r="C2197" s="2" t="s">
        <v>2521</v>
      </c>
      <c r="D2197" s="2" t="s">
        <v>2516</v>
      </c>
      <c r="E2197" s="2" t="s">
        <v>2517</v>
      </c>
      <c r="F2197" s="3">
        <v>118229</v>
      </c>
      <c r="G2197" s="3">
        <v>10169</v>
      </c>
      <c r="H2197" s="3">
        <v>214</v>
      </c>
      <c r="I2197" s="4">
        <v>8244.91</v>
      </c>
      <c r="J2197" s="4">
        <v>19736.330000000002</v>
      </c>
      <c r="K2197" s="3">
        <v>175</v>
      </c>
      <c r="L2197" s="2" t="s">
        <v>2539</v>
      </c>
      <c r="M2197" s="2" t="s">
        <v>2526</v>
      </c>
      <c r="N2197" s="8">
        <f>IFERROR(G2197/F2197,0)</f>
        <v>8.6011046359184301E-2</v>
      </c>
      <c r="O2197" s="8">
        <f>IFERROR(H2197/G2197,0)</f>
        <v>2.104435047693972E-2</v>
      </c>
      <c r="P2197" s="4">
        <f>IFERROR(I2197/G2197,0)</f>
        <v>0.81078867145245348</v>
      </c>
      <c r="Q2197" s="4">
        <f>IFERROR(I2197/H2197,0)</f>
        <v>38.527616822429906</v>
      </c>
      <c r="R2197" s="12">
        <f>IFERROR(J2197/I2197,0)</f>
        <v>2.3937593011931</v>
      </c>
      <c r="S2197" s="7">
        <f>Tabla_nuevas_columnas[[#This Row],[ROAS]]</f>
        <v>2.3937593011931</v>
      </c>
      <c r="T2197" t="str">
        <f>_xlfn.CONCAT(C2197,"-",D2197)</f>
        <v>Paid Search-México</v>
      </c>
      <c r="U2197">
        <f>YEAR(A2197)</f>
        <v>2025</v>
      </c>
      <c r="V2197">
        <f>MONTH(A2197)</f>
        <v>9</v>
      </c>
      <c r="W2197" t="str">
        <f>PROPER(TEXT(A2197,"mmmm"))</f>
        <v>Septiembre</v>
      </c>
      <c r="X2197" t="str">
        <f>PROPER(TEXT(A2197,"dddd"))</f>
        <v>Viernes</v>
      </c>
      <c r="Y2197" t="str" cm="1">
        <f t="array" ref="Y2197">_xlfn.IFS(R2197&gt;10,"Excelente",R2197&gt;=5,"Bueno",R2197&gt;=2,"Débil",R2197&lt;2,"Deficiente")</f>
        <v>Débil</v>
      </c>
      <c r="Z2197" t="str">
        <f>IF(AND(R2197&lt;2,Q2197&gt;=100),"Revisar","OK")</f>
        <v>OK</v>
      </c>
      <c r="AA2197" s="55">
        <f>_xlfn.XLOOKUP(C2197,'Preguntas de negocio'!$C$114:$C$119,'Preguntas de negocio'!$D$114:$D$119,0)</f>
        <v>5</v>
      </c>
      <c r="AB2197" s="55">
        <f>VLOOKUP(C2197,'Preguntas de negocio'!$C$121:$D$127,2,FALSE)</f>
        <v>1.1000000000000001</v>
      </c>
    </row>
    <row r="2198" spans="1:28" x14ac:dyDescent="0.3">
      <c r="A2198" s="1">
        <v>45940</v>
      </c>
      <c r="B2198" s="2" t="s">
        <v>2626</v>
      </c>
      <c r="C2198" s="2" t="s">
        <v>2521</v>
      </c>
      <c r="D2198" s="2" t="s">
        <v>2516</v>
      </c>
      <c r="E2198" s="2" t="s">
        <v>2517</v>
      </c>
      <c r="F2198" s="3">
        <v>148462</v>
      </c>
      <c r="G2198" s="3">
        <v>8117</v>
      </c>
      <c r="H2198" s="3">
        <v>784</v>
      </c>
      <c r="I2198" s="4">
        <v>3246.35</v>
      </c>
      <c r="J2198" s="4">
        <v>111959.65</v>
      </c>
      <c r="K2198" s="3">
        <v>408</v>
      </c>
      <c r="L2198" s="2" t="s">
        <v>2539</v>
      </c>
      <c r="M2198" s="2" t="s">
        <v>2524</v>
      </c>
      <c r="N2198" s="8">
        <f>IFERROR(G2198/F2198,0)</f>
        <v>5.4673923293502714E-2</v>
      </c>
      <c r="O2198" s="8">
        <f>IFERROR(H2198/G2198,0)</f>
        <v>9.6587409141308367E-2</v>
      </c>
      <c r="P2198" s="4">
        <f>IFERROR(I2198/G2198,0)</f>
        <v>0.39994456079832447</v>
      </c>
      <c r="Q2198" s="4">
        <f>IFERROR(I2198/H2198,0)</f>
        <v>4.140752551020408</v>
      </c>
      <c r="R2198" s="12">
        <f>IFERROR(J2198/I2198,0)</f>
        <v>34.487855591664484</v>
      </c>
      <c r="S2198" s="7">
        <f>Tabla_nuevas_columnas[[#This Row],[ROAS]]</f>
        <v>34.487855591664484</v>
      </c>
      <c r="T2198" t="str">
        <f>_xlfn.CONCAT(C2198,"-",D2198)</f>
        <v>Paid Search-México</v>
      </c>
      <c r="U2198">
        <f>YEAR(A2198)</f>
        <v>2025</v>
      </c>
      <c r="V2198">
        <f>MONTH(A2198)</f>
        <v>10</v>
      </c>
      <c r="W2198" t="str">
        <f>PROPER(TEXT(A2198,"mmmm"))</f>
        <v>Octubre</v>
      </c>
      <c r="X2198" t="str">
        <f>PROPER(TEXT(A2198,"dddd"))</f>
        <v>Viernes</v>
      </c>
      <c r="Y2198" t="str" cm="1">
        <f t="array" ref="Y2198">_xlfn.IFS(R2198&gt;10,"Excelente",R2198&gt;=5,"Bueno",R2198&gt;=2,"Débil",R2198&lt;2,"Deficiente")</f>
        <v>Excelente</v>
      </c>
      <c r="Z2198" t="str">
        <f>IF(AND(R2198&lt;2,Q2198&gt;=100),"Revisar","OK")</f>
        <v>OK</v>
      </c>
      <c r="AA2198" s="55">
        <f>_xlfn.XLOOKUP(C2198,'Preguntas de negocio'!$C$114:$C$119,'Preguntas de negocio'!$D$114:$D$119,0)</f>
        <v>5</v>
      </c>
      <c r="AB2198" s="55">
        <f>VLOOKUP(C2198,'Preguntas de negocio'!$C$121:$D$127,2,FALSE)</f>
        <v>1.1000000000000001</v>
      </c>
    </row>
    <row r="2199" spans="1:28" x14ac:dyDescent="0.3">
      <c r="A2199" s="1">
        <v>45837</v>
      </c>
      <c r="B2199" s="2" t="s">
        <v>2627</v>
      </c>
      <c r="C2199" s="2" t="s">
        <v>2521</v>
      </c>
      <c r="D2199" s="2" t="s">
        <v>2516</v>
      </c>
      <c r="E2199" s="2" t="s">
        <v>2529</v>
      </c>
      <c r="F2199" s="3">
        <v>123827</v>
      </c>
      <c r="G2199" s="3">
        <v>1661</v>
      </c>
      <c r="H2199" s="3">
        <v>89</v>
      </c>
      <c r="I2199" s="4">
        <v>3477.56</v>
      </c>
      <c r="J2199" s="4">
        <v>2944.48</v>
      </c>
      <c r="K2199" s="3">
        <v>66</v>
      </c>
      <c r="L2199" s="2" t="s">
        <v>2536</v>
      </c>
      <c r="M2199" s="2" t="s">
        <v>2537</v>
      </c>
      <c r="N2199" s="8">
        <f>IFERROR(G2199/F2199,0)</f>
        <v>1.3413875810606733E-2</v>
      </c>
      <c r="O2199" s="8">
        <f>IFERROR(H2199/G2199,0)</f>
        <v>5.3582179409993977E-2</v>
      </c>
      <c r="P2199" s="4">
        <f>IFERROR(I2199/G2199,0)</f>
        <v>2.0936544250451536</v>
      </c>
      <c r="Q2199" s="4">
        <f>IFERROR(I2199/H2199,0)</f>
        <v>39.073707865168537</v>
      </c>
      <c r="R2199" s="12">
        <f>IFERROR(J2199/I2199,0)</f>
        <v>0.84670861178527479</v>
      </c>
      <c r="S2199" s="7">
        <f>Tabla_nuevas_columnas[[#This Row],[ROAS]]</f>
        <v>0.84670861178527479</v>
      </c>
      <c r="T2199" t="str">
        <f>_xlfn.CONCAT(C2199,"-",D2199)</f>
        <v>Paid Search-México</v>
      </c>
      <c r="U2199">
        <f>YEAR(A2199)</f>
        <v>2025</v>
      </c>
      <c r="V2199">
        <f>MONTH(A2199)</f>
        <v>6</v>
      </c>
      <c r="W2199" t="str">
        <f>PROPER(TEXT(A2199,"mmmm"))</f>
        <v>Junio</v>
      </c>
      <c r="X2199" t="str">
        <f>PROPER(TEXT(A2199,"dddd"))</f>
        <v>Domingo</v>
      </c>
      <c r="Y2199" t="str" cm="1">
        <f t="array" ref="Y2199">_xlfn.IFS(R2199&gt;10,"Excelente",R2199&gt;=5,"Bueno",R2199&gt;=2,"Débil",R2199&lt;2,"Deficiente")</f>
        <v>Deficiente</v>
      </c>
      <c r="Z2199" t="str">
        <f>IF(AND(R2199&lt;2,Q2199&gt;=100),"Revisar","OK")</f>
        <v>OK</v>
      </c>
      <c r="AA2199" s="55">
        <f>_xlfn.XLOOKUP(C2199,'Preguntas de negocio'!$C$114:$C$119,'Preguntas de negocio'!$D$114:$D$119,0)</f>
        <v>5</v>
      </c>
      <c r="AB2199" s="55">
        <f>VLOOKUP(C2199,'Preguntas de negocio'!$C$121:$D$127,2,FALSE)</f>
        <v>1.1000000000000001</v>
      </c>
    </row>
    <row r="2200" spans="1:28" x14ac:dyDescent="0.3">
      <c r="A2200" s="1">
        <v>45749</v>
      </c>
      <c r="B2200" s="2" t="s">
        <v>2642</v>
      </c>
      <c r="C2200" s="2" t="s">
        <v>2515</v>
      </c>
      <c r="D2200" s="2" t="s">
        <v>2525</v>
      </c>
      <c r="E2200" s="2" t="s">
        <v>2517</v>
      </c>
      <c r="F2200" s="3">
        <v>49315</v>
      </c>
      <c r="G2200" s="3">
        <v>1724</v>
      </c>
      <c r="H2200" s="3">
        <v>9</v>
      </c>
      <c r="I2200" s="4">
        <v>374.6</v>
      </c>
      <c r="J2200" s="4">
        <v>1972.92</v>
      </c>
      <c r="K2200" s="3">
        <v>4</v>
      </c>
      <c r="L2200" s="2" t="s">
        <v>2518</v>
      </c>
      <c r="M2200" s="2" t="s">
        <v>2526</v>
      </c>
      <c r="N2200" s="8">
        <f>IFERROR(G2200/F2200,0)</f>
        <v>3.4958937442968671E-2</v>
      </c>
      <c r="O2200" s="8">
        <f>IFERROR(H2200/G2200,0)</f>
        <v>5.2204176334106726E-3</v>
      </c>
      <c r="P2200" s="4">
        <f>IFERROR(I2200/G2200,0)</f>
        <v>0.21728538283062646</v>
      </c>
      <c r="Q2200" s="4">
        <f>IFERROR(I2200/H2200,0)</f>
        <v>41.622222222222227</v>
      </c>
      <c r="R2200" s="12">
        <f>IFERROR(J2200/I2200,0)</f>
        <v>5.2667378537106249</v>
      </c>
      <c r="S2200" s="7">
        <f>Tabla_nuevas_columnas[[#This Row],[ROAS]]</f>
        <v>5.2667378537106249</v>
      </c>
      <c r="T2200" t="str">
        <f>_xlfn.CONCAT(C2200,"-",D2200)</f>
        <v>Email-Francia</v>
      </c>
      <c r="U2200">
        <f>YEAR(A2200)</f>
        <v>2025</v>
      </c>
      <c r="V2200">
        <f>MONTH(A2200)</f>
        <v>4</v>
      </c>
      <c r="W2200" t="str">
        <f>PROPER(TEXT(A2200,"mmmm"))</f>
        <v>Abril</v>
      </c>
      <c r="X2200" t="str">
        <f>PROPER(TEXT(A2200,"dddd"))</f>
        <v>Miércoles</v>
      </c>
      <c r="Y2200" t="str" cm="1">
        <f t="array" ref="Y2200">_xlfn.IFS(R2200&gt;10,"Excelente",R2200&gt;=5,"Bueno",R2200&gt;=2,"Débil",R2200&lt;2,"Deficiente")</f>
        <v>Bueno</v>
      </c>
      <c r="Z2200" t="str">
        <f>IF(AND(R2200&lt;2,Q2200&gt;=100),"Revisar","OK")</f>
        <v>OK</v>
      </c>
      <c r="AA2200" s="55">
        <f>_xlfn.XLOOKUP(C2200,'Preguntas de negocio'!$C$114:$C$119,'Preguntas de negocio'!$D$114:$D$119,0)</f>
        <v>5.5</v>
      </c>
      <c r="AB2200" s="55">
        <f>VLOOKUP(C2200,'Preguntas de negocio'!$C$121:$D$127,2,FALSE)</f>
        <v>0.65</v>
      </c>
    </row>
    <row r="2201" spans="1:28" x14ac:dyDescent="0.3">
      <c r="A2201" s="1">
        <v>45821</v>
      </c>
      <c r="B2201" s="2" t="s">
        <v>2636</v>
      </c>
      <c r="C2201" s="2" t="s">
        <v>2521</v>
      </c>
      <c r="D2201" s="2" t="s">
        <v>2531</v>
      </c>
      <c r="E2201" s="2" t="s">
        <v>2529</v>
      </c>
      <c r="F2201" s="3">
        <v>46109</v>
      </c>
      <c r="G2201" s="3">
        <v>3417</v>
      </c>
      <c r="H2201" s="3">
        <v>321</v>
      </c>
      <c r="I2201" s="4">
        <v>3192.09</v>
      </c>
      <c r="J2201" s="4">
        <v>26471.119999999999</v>
      </c>
      <c r="K2201" s="3">
        <v>223</v>
      </c>
      <c r="L2201" s="2" t="s">
        <v>2539</v>
      </c>
      <c r="M2201" s="2" t="s">
        <v>2546</v>
      </c>
      <c r="N2201" s="8">
        <f>IFERROR(G2201/F2201,0)</f>
        <v>7.4107007308768347E-2</v>
      </c>
      <c r="O2201" s="8">
        <f>IFERROR(H2201/G2201,0)</f>
        <v>9.3942054433713784E-2</v>
      </c>
      <c r="P2201" s="4">
        <f>IFERROR(I2201/G2201,0)</f>
        <v>0.93417910447761199</v>
      </c>
      <c r="Q2201" s="4">
        <f>IFERROR(I2201/H2201,0)</f>
        <v>9.9442056074766363</v>
      </c>
      <c r="R2201" s="12">
        <f>IFERROR(J2201/I2201,0)</f>
        <v>8.2927235760896458</v>
      </c>
      <c r="S2201" s="7">
        <f>Tabla_nuevas_columnas[[#This Row],[ROAS]]</f>
        <v>8.2927235760896458</v>
      </c>
      <c r="T2201" t="str">
        <f>_xlfn.CONCAT(C2201,"-",D2201)</f>
        <v>Paid Search-Portugal</v>
      </c>
      <c r="U2201">
        <f>YEAR(A2201)</f>
        <v>2025</v>
      </c>
      <c r="V2201">
        <f>MONTH(A2201)</f>
        <v>6</v>
      </c>
      <c r="W2201" t="str">
        <f>PROPER(TEXT(A2201,"mmmm"))</f>
        <v>Junio</v>
      </c>
      <c r="X2201" t="str">
        <f>PROPER(TEXT(A2201,"dddd"))</f>
        <v>Viernes</v>
      </c>
      <c r="Y2201" t="str" cm="1">
        <f t="array" ref="Y2201">_xlfn.IFS(R2201&gt;10,"Excelente",R2201&gt;=5,"Bueno",R2201&gt;=2,"Débil",R2201&lt;2,"Deficiente")</f>
        <v>Bueno</v>
      </c>
      <c r="Z2201" t="str">
        <f>IF(AND(R2201&lt;2,Q2201&gt;=100),"Revisar","OK")</f>
        <v>OK</v>
      </c>
      <c r="AA2201" s="55">
        <f>_xlfn.XLOOKUP(C2201,'Preguntas de negocio'!$C$114:$C$119,'Preguntas de negocio'!$D$114:$D$119,0)</f>
        <v>5</v>
      </c>
      <c r="AB2201" s="55">
        <f>VLOOKUP(C2201,'Preguntas de negocio'!$C$121:$D$127,2,FALSE)</f>
        <v>1.1000000000000001</v>
      </c>
    </row>
    <row r="2202" spans="1:28" x14ac:dyDescent="0.3">
      <c r="A2202" s="1">
        <v>45854</v>
      </c>
      <c r="B2202" s="2" t="s">
        <v>2631</v>
      </c>
      <c r="C2202" s="2" t="s">
        <v>2521</v>
      </c>
      <c r="D2202" s="2" t="s">
        <v>2528</v>
      </c>
      <c r="E2202" s="2" t="s">
        <v>2529</v>
      </c>
      <c r="F2202" s="3">
        <v>23638</v>
      </c>
      <c r="G2202" s="3">
        <v>128</v>
      </c>
      <c r="H2202" s="3">
        <v>1</v>
      </c>
      <c r="I2202" s="4">
        <v>13.76</v>
      </c>
      <c r="J2202" s="4">
        <v>66.05</v>
      </c>
      <c r="K2202" s="3">
        <v>0</v>
      </c>
      <c r="L2202" s="2" t="s">
        <v>2518</v>
      </c>
      <c r="M2202" s="2" t="s">
        <v>2524</v>
      </c>
      <c r="N2202" s="8">
        <f>IFERROR(G2202/F2202,0)</f>
        <v>5.4150097300956091E-3</v>
      </c>
      <c r="O2202" s="8">
        <f>IFERROR(H2202/G2202,0)</f>
        <v>7.8125E-3</v>
      </c>
      <c r="P2202" s="4">
        <f>IFERROR(I2202/G2202,0)</f>
        <v>0.1075</v>
      </c>
      <c r="Q2202" s="4">
        <f>IFERROR(I2202/H2202,0)</f>
        <v>13.76</v>
      </c>
      <c r="R2202" s="12">
        <f>IFERROR(J2202/I2202,0)</f>
        <v>4.8001453488372094</v>
      </c>
      <c r="S2202" s="7">
        <f>Tabla_nuevas_columnas[[#This Row],[ROAS]]</f>
        <v>4.8001453488372094</v>
      </c>
      <c r="T2202" t="str">
        <f>_xlfn.CONCAT(C2202,"-",D2202)</f>
        <v>Paid Search-España</v>
      </c>
      <c r="U2202">
        <f>YEAR(A2202)</f>
        <v>2025</v>
      </c>
      <c r="V2202">
        <f>MONTH(A2202)</f>
        <v>7</v>
      </c>
      <c r="W2202" t="str">
        <f>PROPER(TEXT(A2202,"mmmm"))</f>
        <v>Julio</v>
      </c>
      <c r="X2202" t="str">
        <f>PROPER(TEXT(A2202,"dddd"))</f>
        <v>Miércoles</v>
      </c>
      <c r="Y2202" t="str" cm="1">
        <f t="array" ref="Y2202">_xlfn.IFS(R2202&gt;10,"Excelente",R2202&gt;=5,"Bueno",R2202&gt;=2,"Débil",R2202&lt;2,"Deficiente")</f>
        <v>Débil</v>
      </c>
      <c r="Z2202" t="str">
        <f>IF(AND(R2202&lt;2,Q2202&gt;=100),"Revisar","OK")</f>
        <v>OK</v>
      </c>
      <c r="AA2202" s="55">
        <f>_xlfn.XLOOKUP(C2202,'Preguntas de negocio'!$C$114:$C$119,'Preguntas de negocio'!$D$114:$D$119,0)</f>
        <v>5</v>
      </c>
      <c r="AB2202" s="55">
        <f>VLOOKUP(C2202,'Preguntas de negocio'!$C$121:$D$127,2,FALSE)</f>
        <v>1.1000000000000001</v>
      </c>
    </row>
    <row r="2203" spans="1:28" x14ac:dyDescent="0.3">
      <c r="A2203" s="1">
        <v>45982</v>
      </c>
      <c r="B2203" s="2" t="s">
        <v>2633</v>
      </c>
      <c r="C2203" s="2" t="s">
        <v>2521</v>
      </c>
      <c r="D2203" s="2" t="s">
        <v>2531</v>
      </c>
      <c r="E2203" s="2" t="s">
        <v>2517</v>
      </c>
      <c r="F2203" s="3">
        <v>150337</v>
      </c>
      <c r="G2203" s="3">
        <v>4507</v>
      </c>
      <c r="H2203" s="3">
        <v>330</v>
      </c>
      <c r="I2203" s="4">
        <v>8435.9500000000007</v>
      </c>
      <c r="J2203" s="4">
        <v>19284.84</v>
      </c>
      <c r="K2203" s="3">
        <v>199</v>
      </c>
      <c r="L2203" s="2" t="s">
        <v>2518</v>
      </c>
      <c r="M2203" s="2" t="s">
        <v>2524</v>
      </c>
      <c r="N2203" s="8">
        <f>IFERROR(G2203/F2203,0)</f>
        <v>2.9979313143138415E-2</v>
      </c>
      <c r="O2203" s="8">
        <f>IFERROR(H2203/G2203,0)</f>
        <v>7.3219436432216553E-2</v>
      </c>
      <c r="P2203" s="4">
        <f>IFERROR(I2203/G2203,0)</f>
        <v>1.8717439538495675</v>
      </c>
      <c r="Q2203" s="4">
        <f>IFERROR(I2203/H2203,0)</f>
        <v>25.563484848484851</v>
      </c>
      <c r="R2203" s="12">
        <f>IFERROR(J2203/I2203,0)</f>
        <v>2.286030618958149</v>
      </c>
      <c r="S2203" s="7">
        <f>Tabla_nuevas_columnas[[#This Row],[ROAS]]</f>
        <v>2.286030618958149</v>
      </c>
      <c r="T2203" t="str">
        <f>_xlfn.CONCAT(C2203,"-",D2203)</f>
        <v>Paid Search-Portugal</v>
      </c>
      <c r="U2203">
        <f>YEAR(A2203)</f>
        <v>2025</v>
      </c>
      <c r="V2203">
        <f>MONTH(A2203)</f>
        <v>11</v>
      </c>
      <c r="W2203" t="str">
        <f>PROPER(TEXT(A2203,"mmmm"))</f>
        <v>Noviembre</v>
      </c>
      <c r="X2203" t="str">
        <f>PROPER(TEXT(A2203,"dddd"))</f>
        <v>Viernes</v>
      </c>
      <c r="Y2203" t="str" cm="1">
        <f t="array" ref="Y2203">_xlfn.IFS(R2203&gt;10,"Excelente",R2203&gt;=5,"Bueno",R2203&gt;=2,"Débil",R2203&lt;2,"Deficiente")</f>
        <v>Débil</v>
      </c>
      <c r="Z2203" t="str">
        <f>IF(AND(R2203&lt;2,Q2203&gt;=100),"Revisar","OK")</f>
        <v>OK</v>
      </c>
      <c r="AA2203" s="55">
        <f>_xlfn.XLOOKUP(C2203,'Preguntas de negocio'!$C$114:$C$119,'Preguntas de negocio'!$D$114:$D$119,0)</f>
        <v>5</v>
      </c>
      <c r="AB2203" s="55">
        <f>VLOOKUP(C2203,'Preguntas de negocio'!$C$121:$D$127,2,FALSE)</f>
        <v>1.1000000000000001</v>
      </c>
    </row>
    <row r="2204" spans="1:28" x14ac:dyDescent="0.3">
      <c r="A2204" s="1">
        <v>45985</v>
      </c>
      <c r="B2204" s="2" t="s">
        <v>2619</v>
      </c>
      <c r="C2204" s="2" t="s">
        <v>2521</v>
      </c>
      <c r="D2204" s="2" t="s">
        <v>2525</v>
      </c>
      <c r="E2204" s="2" t="s">
        <v>2529</v>
      </c>
      <c r="F2204" s="3">
        <v>24563</v>
      </c>
      <c r="G2204" s="3">
        <v>1730</v>
      </c>
      <c r="H2204" s="3">
        <v>225</v>
      </c>
      <c r="I2204" s="4">
        <v>1997.52</v>
      </c>
      <c r="J2204" s="4">
        <v>47315.39</v>
      </c>
      <c r="K2204" s="3">
        <v>161</v>
      </c>
      <c r="L2204" s="2" t="s">
        <v>2518</v>
      </c>
      <c r="M2204" s="2" t="s">
        <v>2537</v>
      </c>
      <c r="N2204" s="8">
        <f>IFERROR(G2204/F2204,0)</f>
        <v>7.0431136261857263E-2</v>
      </c>
      <c r="O2204" s="8">
        <f>IFERROR(H2204/G2204,0)</f>
        <v>0.13005780346820808</v>
      </c>
      <c r="P2204" s="4">
        <f>IFERROR(I2204/G2204,0)</f>
        <v>1.154635838150289</v>
      </c>
      <c r="Q2204" s="4">
        <f>IFERROR(I2204/H2204,0)</f>
        <v>8.8778666666666659</v>
      </c>
      <c r="R2204" s="12">
        <f>IFERROR(J2204/I2204,0)</f>
        <v>23.687066963034162</v>
      </c>
      <c r="S2204" s="7">
        <f>Tabla_nuevas_columnas[[#This Row],[ROAS]]</f>
        <v>23.687066963034162</v>
      </c>
      <c r="T2204" t="str">
        <f>_xlfn.CONCAT(C2204,"-",D2204)</f>
        <v>Paid Search-Francia</v>
      </c>
      <c r="U2204">
        <f>YEAR(A2204)</f>
        <v>2025</v>
      </c>
      <c r="V2204">
        <f>MONTH(A2204)</f>
        <v>11</v>
      </c>
      <c r="W2204" t="str">
        <f>PROPER(TEXT(A2204,"mmmm"))</f>
        <v>Noviembre</v>
      </c>
      <c r="X2204" t="str">
        <f>PROPER(TEXT(A2204,"dddd"))</f>
        <v>Lunes</v>
      </c>
      <c r="Y2204" t="str" cm="1">
        <f t="array" ref="Y2204">_xlfn.IFS(R2204&gt;10,"Excelente",R2204&gt;=5,"Bueno",R2204&gt;=2,"Débil",R2204&lt;2,"Deficiente")</f>
        <v>Excelente</v>
      </c>
      <c r="Z2204" t="str">
        <f>IF(AND(R2204&lt;2,Q2204&gt;=100),"Revisar","OK")</f>
        <v>OK</v>
      </c>
      <c r="AA2204" s="55">
        <f>_xlfn.XLOOKUP(C2204,'Preguntas de negocio'!$C$114:$C$119,'Preguntas de negocio'!$D$114:$D$119,0)</f>
        <v>5</v>
      </c>
      <c r="AB2204" s="55">
        <f>VLOOKUP(C2204,'Preguntas de negocio'!$C$121:$D$127,2,FALSE)</f>
        <v>1.1000000000000001</v>
      </c>
    </row>
    <row r="2205" spans="1:28" x14ac:dyDescent="0.3">
      <c r="A2205" s="1">
        <v>45889</v>
      </c>
      <c r="B2205" s="2" t="s">
        <v>2643</v>
      </c>
      <c r="C2205" s="2" t="s">
        <v>2515</v>
      </c>
      <c r="D2205" s="2" t="s">
        <v>2528</v>
      </c>
      <c r="E2205" s="2" t="s">
        <v>2517</v>
      </c>
      <c r="F2205" s="3">
        <v>62233</v>
      </c>
      <c r="G2205" s="3">
        <v>3567</v>
      </c>
      <c r="H2205" s="3">
        <v>218</v>
      </c>
      <c r="I2205" s="4">
        <v>6164.11</v>
      </c>
      <c r="J2205" s="4">
        <v>19257.61</v>
      </c>
      <c r="K2205" s="3">
        <v>179</v>
      </c>
      <c r="L2205" s="2" t="s">
        <v>2536</v>
      </c>
      <c r="M2205" s="2" t="s">
        <v>2524</v>
      </c>
      <c r="N2205" s="8">
        <f>IFERROR(G2205/F2205,0)</f>
        <v>5.7316857615734421E-2</v>
      </c>
      <c r="O2205" s="8">
        <f>IFERROR(H2205/G2205,0)</f>
        <v>6.1115783571628821E-2</v>
      </c>
      <c r="P2205" s="4">
        <f>IFERROR(I2205/G2205,0)</f>
        <v>1.7280936361087749</v>
      </c>
      <c r="Q2205" s="4">
        <f>IFERROR(I2205/H2205,0)</f>
        <v>28.275733944954126</v>
      </c>
      <c r="R2205" s="12">
        <f>IFERROR(J2205/I2205,0)</f>
        <v>3.1241509317646834</v>
      </c>
      <c r="S2205" s="7">
        <f>Tabla_nuevas_columnas[[#This Row],[ROAS]]</f>
        <v>3.1241509317646834</v>
      </c>
      <c r="T2205" t="str">
        <f>_xlfn.CONCAT(C2205,"-",D2205)</f>
        <v>Email-España</v>
      </c>
      <c r="U2205">
        <f>YEAR(A2205)</f>
        <v>2025</v>
      </c>
      <c r="V2205">
        <f>MONTH(A2205)</f>
        <v>8</v>
      </c>
      <c r="W2205" t="str">
        <f>PROPER(TEXT(A2205,"mmmm"))</f>
        <v>Agosto</v>
      </c>
      <c r="X2205" t="str">
        <f>PROPER(TEXT(A2205,"dddd"))</f>
        <v>Miércoles</v>
      </c>
      <c r="Y2205" t="str" cm="1">
        <f t="array" ref="Y2205">_xlfn.IFS(R2205&gt;10,"Excelente",R2205&gt;=5,"Bueno",R2205&gt;=2,"Débil",R2205&lt;2,"Deficiente")</f>
        <v>Débil</v>
      </c>
      <c r="Z2205" t="str">
        <f>IF(AND(R2205&lt;2,Q2205&gt;=100),"Revisar","OK")</f>
        <v>OK</v>
      </c>
      <c r="AA2205" s="55">
        <f>_xlfn.XLOOKUP(C2205,'Preguntas de negocio'!$C$114:$C$119,'Preguntas de negocio'!$D$114:$D$119,0)</f>
        <v>5.5</v>
      </c>
      <c r="AB2205" s="55">
        <f>VLOOKUP(C2205,'Preguntas de negocio'!$C$121:$D$127,2,FALSE)</f>
        <v>0.65</v>
      </c>
    </row>
    <row r="2206" spans="1:28" x14ac:dyDescent="0.3">
      <c r="A2206" s="1">
        <v>45904</v>
      </c>
      <c r="B2206" s="2" t="s">
        <v>2622</v>
      </c>
      <c r="C2206" s="2" t="s">
        <v>2541</v>
      </c>
      <c r="D2206" s="2" t="s">
        <v>2525</v>
      </c>
      <c r="E2206" s="2" t="s">
        <v>2517</v>
      </c>
      <c r="F2206" s="3">
        <v>16619</v>
      </c>
      <c r="G2206" s="3">
        <v>508</v>
      </c>
      <c r="H2206" s="3">
        <v>16</v>
      </c>
      <c r="I2206" s="4">
        <v>114.47</v>
      </c>
      <c r="J2206" s="4">
        <v>2210.91</v>
      </c>
      <c r="K2206" s="3">
        <v>10</v>
      </c>
      <c r="L2206" s="2" t="s">
        <v>2536</v>
      </c>
      <c r="M2206" s="2" t="s">
        <v>2524</v>
      </c>
      <c r="N2206" s="8">
        <f>IFERROR(G2206/F2206,0)</f>
        <v>3.0567422829291774E-2</v>
      </c>
      <c r="O2206" s="8">
        <f>IFERROR(H2206/G2206,0)</f>
        <v>3.1496062992125984E-2</v>
      </c>
      <c r="P2206" s="4">
        <f>IFERROR(I2206/G2206,0)</f>
        <v>0.22533464566929134</v>
      </c>
      <c r="Q2206" s="4">
        <f>IFERROR(I2206/H2206,0)</f>
        <v>7.1543749999999999</v>
      </c>
      <c r="R2206" s="12">
        <f>IFERROR(J2206/I2206,0)</f>
        <v>19.314318161963833</v>
      </c>
      <c r="S2206" s="7">
        <f>Tabla_nuevas_columnas[[#This Row],[ROAS]]</f>
        <v>19.314318161963833</v>
      </c>
      <c r="T2206" t="str">
        <f>_xlfn.CONCAT(C2206,"-",D2206)</f>
        <v>Display-Francia</v>
      </c>
      <c r="U2206">
        <f>YEAR(A2206)</f>
        <v>2025</v>
      </c>
      <c r="V2206">
        <f>MONTH(A2206)</f>
        <v>9</v>
      </c>
      <c r="W2206" t="str">
        <f>PROPER(TEXT(A2206,"mmmm"))</f>
        <v>Septiembre</v>
      </c>
      <c r="X2206" t="str">
        <f>PROPER(TEXT(A2206,"dddd"))</f>
        <v>Jueves</v>
      </c>
      <c r="Y2206" t="str" cm="1">
        <f t="array" ref="Y2206">_xlfn.IFS(R2206&gt;10,"Excelente",R2206&gt;=5,"Bueno",R2206&gt;=2,"Débil",R2206&lt;2,"Deficiente")</f>
        <v>Excelente</v>
      </c>
      <c r="Z2206" t="str">
        <f>IF(AND(R2206&lt;2,Q2206&gt;=100),"Revisar","OK")</f>
        <v>OK</v>
      </c>
      <c r="AA2206" s="55">
        <f>_xlfn.XLOOKUP(C2206,'Preguntas de negocio'!$C$114:$C$119,'Preguntas de negocio'!$D$114:$D$119,0)</f>
        <v>5</v>
      </c>
      <c r="AB2206" s="55">
        <f>VLOOKUP(C2206,'Preguntas de negocio'!$C$121:$D$127,2,FALSE)</f>
        <v>0.5</v>
      </c>
    </row>
    <row r="2207" spans="1:28" x14ac:dyDescent="0.3">
      <c r="A2207" s="1">
        <v>45848</v>
      </c>
      <c r="B2207" s="2" t="s">
        <v>2631</v>
      </c>
      <c r="C2207" s="2" t="s">
        <v>2533</v>
      </c>
      <c r="D2207" s="2" t="s">
        <v>2528</v>
      </c>
      <c r="E2207" s="2" t="s">
        <v>2529</v>
      </c>
      <c r="F2207" s="3">
        <v>169528</v>
      </c>
      <c r="G2207" s="3">
        <v>7933</v>
      </c>
      <c r="H2207" s="3">
        <v>628</v>
      </c>
      <c r="I2207" s="4">
        <v>13027.5</v>
      </c>
      <c r="J2207" s="4">
        <v>100367.9</v>
      </c>
      <c r="K2207" s="3">
        <v>523</v>
      </c>
      <c r="L2207" s="2" t="s">
        <v>2518</v>
      </c>
      <c r="M2207" s="2" t="s">
        <v>2546</v>
      </c>
      <c r="N2207" s="8">
        <f>IFERROR(G2207/F2207,0)</f>
        <v>4.6794629795667973E-2</v>
      </c>
      <c r="O2207" s="8">
        <f>IFERROR(H2207/G2207,0)</f>
        <v>7.916299004159838E-2</v>
      </c>
      <c r="P2207" s="4">
        <f>IFERROR(I2207/G2207,0)</f>
        <v>1.642190848354973</v>
      </c>
      <c r="Q2207" s="4">
        <f>IFERROR(I2207/H2207,0)</f>
        <v>20.744426751592357</v>
      </c>
      <c r="R2207" s="12">
        <f>IFERROR(J2207/I2207,0)</f>
        <v>7.7043101132220295</v>
      </c>
      <c r="S2207" s="7">
        <f>Tabla_nuevas_columnas[[#This Row],[ROAS]]</f>
        <v>7.7043101132220295</v>
      </c>
      <c r="T2207" t="str">
        <f>_xlfn.CONCAT(C2207,"-",D2207)</f>
        <v>Paid Social-España</v>
      </c>
      <c r="U2207">
        <f>YEAR(A2207)</f>
        <v>2025</v>
      </c>
      <c r="V2207">
        <f>MONTH(A2207)</f>
        <v>7</v>
      </c>
      <c r="W2207" t="str">
        <f>PROPER(TEXT(A2207,"mmmm"))</f>
        <v>Julio</v>
      </c>
      <c r="X2207" t="str">
        <f>PROPER(TEXT(A2207,"dddd"))</f>
        <v>Jueves</v>
      </c>
      <c r="Y2207" t="str" cm="1">
        <f t="array" ref="Y2207">_xlfn.IFS(R2207&gt;10,"Excelente",R2207&gt;=5,"Bueno",R2207&gt;=2,"Débil",R2207&lt;2,"Deficiente")</f>
        <v>Bueno</v>
      </c>
      <c r="Z2207" t="str">
        <f>IF(AND(R2207&lt;2,Q2207&gt;=100),"Revisar","OK")</f>
        <v>OK</v>
      </c>
      <c r="AA2207" s="55">
        <f>_xlfn.XLOOKUP(C2207,'Preguntas de negocio'!$C$114:$C$119,'Preguntas de negocio'!$D$114:$D$119,0)</f>
        <v>6</v>
      </c>
      <c r="AB2207" s="55">
        <f>VLOOKUP(C2207,'Preguntas de negocio'!$C$121:$D$127,2,FALSE)</f>
        <v>0.8</v>
      </c>
    </row>
    <row r="2208" spans="1:28" x14ac:dyDescent="0.3">
      <c r="A2208" s="1">
        <v>45794</v>
      </c>
      <c r="B2208" s="2" t="s">
        <v>2618</v>
      </c>
      <c r="C2208" s="2" t="s">
        <v>2543</v>
      </c>
      <c r="D2208" s="2" t="s">
        <v>2528</v>
      </c>
      <c r="E2208" s="2" t="s">
        <v>2517</v>
      </c>
      <c r="F2208" s="3">
        <v>140744</v>
      </c>
      <c r="G2208" s="3">
        <v>6832</v>
      </c>
      <c r="H2208" s="3">
        <v>160</v>
      </c>
      <c r="I2208" s="4">
        <v>2048.9</v>
      </c>
      <c r="J2208" s="4">
        <v>29697.01</v>
      </c>
      <c r="K2208" s="3">
        <v>83</v>
      </c>
      <c r="L2208" s="2" t="s">
        <v>2536</v>
      </c>
      <c r="M2208" s="2" t="s">
        <v>2537</v>
      </c>
      <c r="N2208" s="8">
        <f>IFERROR(G2208/F2208,0)</f>
        <v>4.8542033763428638E-2</v>
      </c>
      <c r="O2208" s="8">
        <f>IFERROR(H2208/G2208,0)</f>
        <v>2.3419203747072601E-2</v>
      </c>
      <c r="P2208" s="4">
        <f>IFERROR(I2208/G2208,0)</f>
        <v>0.29989754098360655</v>
      </c>
      <c r="Q2208" s="4">
        <f>IFERROR(I2208/H2208,0)</f>
        <v>12.805625000000001</v>
      </c>
      <c r="R2208" s="12">
        <f>IFERROR(J2208/I2208,0)</f>
        <v>14.494123676118893</v>
      </c>
      <c r="S2208" s="7">
        <f>Tabla_nuevas_columnas[[#This Row],[ROAS]]</f>
        <v>14.494123676118893</v>
      </c>
      <c r="T2208" t="str">
        <f>_xlfn.CONCAT(C2208,"-",D2208)</f>
        <v>Organic Social-España</v>
      </c>
      <c r="U2208">
        <f>YEAR(A2208)</f>
        <v>2025</v>
      </c>
      <c r="V2208">
        <f>MONTH(A2208)</f>
        <v>5</v>
      </c>
      <c r="W2208" t="str">
        <f>PROPER(TEXT(A2208,"mmmm"))</f>
        <v>Mayo</v>
      </c>
      <c r="X2208" t="str">
        <f>PROPER(TEXT(A2208,"dddd"))</f>
        <v>Sábado</v>
      </c>
      <c r="Y2208" t="str" cm="1">
        <f t="array" ref="Y2208">_xlfn.IFS(R2208&gt;10,"Excelente",R2208&gt;=5,"Bueno",R2208&gt;=2,"Débil",R2208&lt;2,"Deficiente")</f>
        <v>Excelente</v>
      </c>
      <c r="Z2208" t="str">
        <f>IF(AND(R2208&lt;2,Q2208&gt;=100),"Revisar","OK")</f>
        <v>OK</v>
      </c>
      <c r="AA2208" s="55">
        <f>_xlfn.XLOOKUP(C2208,'Preguntas de negocio'!$C$114:$C$119,'Preguntas de negocio'!$D$114:$D$119,0)</f>
        <v>4</v>
      </c>
      <c r="AB2208" s="55">
        <f>VLOOKUP(C2208,'Preguntas de negocio'!$C$121:$D$127,2,FALSE)</f>
        <v>0.95</v>
      </c>
    </row>
    <row r="2209" spans="1:28" x14ac:dyDescent="0.3">
      <c r="A2209" s="1">
        <v>45789</v>
      </c>
      <c r="B2209" s="2" t="s">
        <v>2618</v>
      </c>
      <c r="C2209" s="2" t="s">
        <v>2543</v>
      </c>
      <c r="D2209" s="2" t="s">
        <v>2522</v>
      </c>
      <c r="E2209" s="2" t="s">
        <v>2529</v>
      </c>
      <c r="F2209" s="3">
        <v>91058</v>
      </c>
      <c r="G2209" s="3">
        <v>4463</v>
      </c>
      <c r="H2209" s="3">
        <v>325</v>
      </c>
      <c r="I2209" s="4">
        <v>953.8</v>
      </c>
      <c r="J2209" s="4">
        <v>7459.12</v>
      </c>
      <c r="K2209" s="3">
        <v>272</v>
      </c>
      <c r="L2209" s="2" t="s">
        <v>2523</v>
      </c>
      <c r="M2209" s="2" t="s">
        <v>2537</v>
      </c>
      <c r="N2209" s="8">
        <f>IFERROR(G2209/F2209,0)</f>
        <v>4.9012717169276722E-2</v>
      </c>
      <c r="O2209" s="8">
        <f>IFERROR(H2209/G2209,0)</f>
        <v>7.2820972440062734E-2</v>
      </c>
      <c r="P2209" s="4">
        <f>IFERROR(I2209/G2209,0)</f>
        <v>0.21371274927179026</v>
      </c>
      <c r="Q2209" s="4">
        <f>IFERROR(I2209/H2209,0)</f>
        <v>2.9347692307692306</v>
      </c>
      <c r="R2209" s="12">
        <f>IFERROR(J2209/I2209,0)</f>
        <v>7.8204235688823651</v>
      </c>
      <c r="S2209" s="7">
        <f>Tabla_nuevas_columnas[[#This Row],[ROAS]]</f>
        <v>7.8204235688823651</v>
      </c>
      <c r="T2209" t="str">
        <f>_xlfn.CONCAT(C2209,"-",D2209)</f>
        <v>Organic Social-Italia</v>
      </c>
      <c r="U2209">
        <f>YEAR(A2209)</f>
        <v>2025</v>
      </c>
      <c r="V2209">
        <f>MONTH(A2209)</f>
        <v>5</v>
      </c>
      <c r="W2209" t="str">
        <f>PROPER(TEXT(A2209,"mmmm"))</f>
        <v>Mayo</v>
      </c>
      <c r="X2209" t="str">
        <f>PROPER(TEXT(A2209,"dddd"))</f>
        <v>Lunes</v>
      </c>
      <c r="Y2209" t="str" cm="1">
        <f t="array" ref="Y2209">_xlfn.IFS(R2209&gt;10,"Excelente",R2209&gt;=5,"Bueno",R2209&gt;=2,"Débil",R2209&lt;2,"Deficiente")</f>
        <v>Bueno</v>
      </c>
      <c r="Z2209" t="str">
        <f>IF(AND(R2209&lt;2,Q2209&gt;=100),"Revisar","OK")</f>
        <v>OK</v>
      </c>
      <c r="AA2209" s="55">
        <f>_xlfn.XLOOKUP(C2209,'Preguntas de negocio'!$C$114:$C$119,'Preguntas de negocio'!$D$114:$D$119,0)</f>
        <v>4</v>
      </c>
      <c r="AB2209" s="55">
        <f>VLOOKUP(C2209,'Preguntas de negocio'!$C$121:$D$127,2,FALSE)</f>
        <v>0.95</v>
      </c>
    </row>
    <row r="2210" spans="1:28" x14ac:dyDescent="0.3">
      <c r="A2210" s="1">
        <v>45755</v>
      </c>
      <c r="B2210" s="2" t="s">
        <v>2633</v>
      </c>
      <c r="C2210" s="2" t="s">
        <v>2515</v>
      </c>
      <c r="D2210" s="2" t="s">
        <v>2528</v>
      </c>
      <c r="E2210" s="2" t="s">
        <v>2517</v>
      </c>
      <c r="F2210" s="3">
        <v>52778</v>
      </c>
      <c r="G2210" s="3">
        <v>1859</v>
      </c>
      <c r="H2210" s="3">
        <v>88</v>
      </c>
      <c r="I2210" s="4">
        <v>3484.66</v>
      </c>
      <c r="J2210" s="4">
        <v>14022.66</v>
      </c>
      <c r="K2210" s="3">
        <v>44</v>
      </c>
      <c r="L2210" s="2" t="s">
        <v>2536</v>
      </c>
      <c r="M2210" s="2" t="s">
        <v>2537</v>
      </c>
      <c r="N2210" s="8">
        <f>IFERROR(G2210/F2210,0)</f>
        <v>3.5223009587328054E-2</v>
      </c>
      <c r="O2210" s="8">
        <f>IFERROR(H2210/G2210,0)</f>
        <v>4.7337278106508875E-2</v>
      </c>
      <c r="P2210" s="4">
        <f>IFERROR(I2210/G2210,0)</f>
        <v>1.874480903711673</v>
      </c>
      <c r="Q2210" s="4">
        <f>IFERROR(I2210/H2210,0)</f>
        <v>39.598409090909087</v>
      </c>
      <c r="R2210" s="12">
        <f>IFERROR(J2210/I2210,0)</f>
        <v>4.0241113910682822</v>
      </c>
      <c r="S2210" s="7">
        <f>Tabla_nuevas_columnas[[#This Row],[ROAS]]</f>
        <v>4.0241113910682822</v>
      </c>
      <c r="T2210" t="str">
        <f>_xlfn.CONCAT(C2210,"-",D2210)</f>
        <v>Email-España</v>
      </c>
      <c r="U2210">
        <f>YEAR(A2210)</f>
        <v>2025</v>
      </c>
      <c r="V2210">
        <f>MONTH(A2210)</f>
        <v>4</v>
      </c>
      <c r="W2210" t="str">
        <f>PROPER(TEXT(A2210,"mmmm"))</f>
        <v>Abril</v>
      </c>
      <c r="X2210" t="str">
        <f>PROPER(TEXT(A2210,"dddd"))</f>
        <v>Martes</v>
      </c>
      <c r="Y2210" t="str" cm="1">
        <f t="array" ref="Y2210">_xlfn.IFS(R2210&gt;10,"Excelente",R2210&gt;=5,"Bueno",R2210&gt;=2,"Débil",R2210&lt;2,"Deficiente")</f>
        <v>Débil</v>
      </c>
      <c r="Z2210" t="str">
        <f>IF(AND(R2210&lt;2,Q2210&gt;=100),"Revisar","OK")</f>
        <v>OK</v>
      </c>
      <c r="AA2210" s="55">
        <f>_xlfn.XLOOKUP(C2210,'Preguntas de negocio'!$C$114:$C$119,'Preguntas de negocio'!$D$114:$D$119,0)</f>
        <v>5.5</v>
      </c>
      <c r="AB2210" s="55">
        <f>VLOOKUP(C2210,'Preguntas de negocio'!$C$121:$D$127,2,FALSE)</f>
        <v>0.65</v>
      </c>
    </row>
    <row r="2211" spans="1:28" x14ac:dyDescent="0.3">
      <c r="A2211" s="1">
        <v>45663</v>
      </c>
      <c r="B2211" s="2" t="s">
        <v>2629</v>
      </c>
      <c r="C2211" s="2" t="s">
        <v>2521</v>
      </c>
      <c r="D2211" s="2" t="s">
        <v>2531</v>
      </c>
      <c r="E2211" s="2" t="s">
        <v>2529</v>
      </c>
      <c r="F2211" s="3">
        <v>88726</v>
      </c>
      <c r="G2211" s="3">
        <v>1710</v>
      </c>
      <c r="H2211" s="3">
        <v>75</v>
      </c>
      <c r="I2211" s="4">
        <v>1350.76</v>
      </c>
      <c r="J2211" s="4">
        <v>12830.36</v>
      </c>
      <c r="K2211" s="3">
        <v>59</v>
      </c>
      <c r="L2211" s="2" t="s">
        <v>2518</v>
      </c>
      <c r="M2211" s="2" t="s">
        <v>2524</v>
      </c>
      <c r="N2211" s="8">
        <f>IFERROR(G2211/F2211,0)</f>
        <v>1.9272817437955052E-2</v>
      </c>
      <c r="O2211" s="8">
        <f>IFERROR(H2211/G2211,0)</f>
        <v>4.3859649122807015E-2</v>
      </c>
      <c r="P2211" s="4">
        <f>IFERROR(I2211/G2211,0)</f>
        <v>0.7899181286549708</v>
      </c>
      <c r="Q2211" s="4">
        <f>IFERROR(I2211/H2211,0)</f>
        <v>18.010133333333332</v>
      </c>
      <c r="R2211" s="12">
        <f>IFERROR(J2211/I2211,0)</f>
        <v>9.4986229974236736</v>
      </c>
      <c r="S2211" s="7">
        <f>Tabla_nuevas_columnas[[#This Row],[ROAS]]</f>
        <v>9.4986229974236736</v>
      </c>
      <c r="T2211" t="str">
        <f>_xlfn.CONCAT(C2211,"-",D2211)</f>
        <v>Paid Search-Portugal</v>
      </c>
      <c r="U2211">
        <f>YEAR(A2211)</f>
        <v>2025</v>
      </c>
      <c r="V2211">
        <f>MONTH(A2211)</f>
        <v>1</v>
      </c>
      <c r="W2211" t="str">
        <f>PROPER(TEXT(A2211,"mmmm"))</f>
        <v>Enero</v>
      </c>
      <c r="X2211" t="str">
        <f>PROPER(TEXT(A2211,"dddd"))</f>
        <v>Lunes</v>
      </c>
      <c r="Y2211" t="str" cm="1">
        <f t="array" ref="Y2211">_xlfn.IFS(R2211&gt;10,"Excelente",R2211&gt;=5,"Bueno",R2211&gt;=2,"Débil",R2211&lt;2,"Deficiente")</f>
        <v>Bueno</v>
      </c>
      <c r="Z2211" t="str">
        <f>IF(AND(R2211&lt;2,Q2211&gt;=100),"Revisar","OK")</f>
        <v>OK</v>
      </c>
      <c r="AA2211" s="55">
        <f>_xlfn.XLOOKUP(C2211,'Preguntas de negocio'!$C$114:$C$119,'Preguntas de negocio'!$D$114:$D$119,0)</f>
        <v>5</v>
      </c>
      <c r="AB2211" s="55">
        <f>VLOOKUP(C2211,'Preguntas de negocio'!$C$121:$D$127,2,FALSE)</f>
        <v>1.1000000000000001</v>
      </c>
    </row>
    <row r="2212" spans="1:28" x14ac:dyDescent="0.3">
      <c r="A2212" s="1">
        <v>45952</v>
      </c>
      <c r="B2212" s="2" t="s">
        <v>2643</v>
      </c>
      <c r="C2212" s="2" t="s">
        <v>2533</v>
      </c>
      <c r="D2212" s="2" t="s">
        <v>2522</v>
      </c>
      <c r="E2212" s="2" t="s">
        <v>2529</v>
      </c>
      <c r="F2212" s="3">
        <v>151314</v>
      </c>
      <c r="G2212" s="3">
        <v>9761</v>
      </c>
      <c r="H2212" s="3">
        <v>9790</v>
      </c>
      <c r="I2212" s="4">
        <v>11377.62</v>
      </c>
      <c r="J2212" s="4">
        <v>61417.41</v>
      </c>
      <c r="K2212" s="3">
        <v>834</v>
      </c>
      <c r="L2212" s="2" t="s">
        <v>2518</v>
      </c>
      <c r="M2212" s="2" t="s">
        <v>2519</v>
      </c>
      <c r="N2212" s="8">
        <f>IFERROR(G2212/F2212,0)</f>
        <v>6.4508241140938713E-2</v>
      </c>
      <c r="O2212" s="8">
        <f>IFERROR(H2212/G2212,0)</f>
        <v>1.0029710070689479</v>
      </c>
      <c r="P2212" s="4">
        <f>IFERROR(I2212/G2212,0)</f>
        <v>1.1656203257862925</v>
      </c>
      <c r="Q2212" s="4">
        <f>IFERROR(I2212/H2212,0)</f>
        <v>1.1621675178753832</v>
      </c>
      <c r="R2212" s="12">
        <f>IFERROR(J2212/I2212,0)</f>
        <v>5.3980894070992003</v>
      </c>
      <c r="S2212" s="7">
        <f>Tabla_nuevas_columnas[[#This Row],[ROAS]]</f>
        <v>5.3980894070992003</v>
      </c>
      <c r="T2212" t="str">
        <f>_xlfn.CONCAT(C2212,"-",D2212)</f>
        <v>Paid Social-Italia</v>
      </c>
      <c r="U2212">
        <f>YEAR(A2212)</f>
        <v>2025</v>
      </c>
      <c r="V2212">
        <f>MONTH(A2212)</f>
        <v>10</v>
      </c>
      <c r="W2212" t="str">
        <f>PROPER(TEXT(A2212,"mmmm"))</f>
        <v>Octubre</v>
      </c>
      <c r="X2212" t="str">
        <f>PROPER(TEXT(A2212,"dddd"))</f>
        <v>Miércoles</v>
      </c>
      <c r="Y2212" t="str" cm="1">
        <f t="array" ref="Y2212">_xlfn.IFS(R2212&gt;10,"Excelente",R2212&gt;=5,"Bueno",R2212&gt;=2,"Débil",R2212&lt;2,"Deficiente")</f>
        <v>Bueno</v>
      </c>
      <c r="Z2212" t="str">
        <f>IF(AND(R2212&lt;2,Q2212&gt;=100),"Revisar","OK")</f>
        <v>OK</v>
      </c>
      <c r="AA2212" s="55">
        <f>_xlfn.XLOOKUP(C2212,'Preguntas de negocio'!$C$114:$C$119,'Preguntas de negocio'!$D$114:$D$119,0)</f>
        <v>6</v>
      </c>
      <c r="AB2212" s="55">
        <f>VLOOKUP(C2212,'Preguntas de negocio'!$C$121:$D$127,2,FALSE)</f>
        <v>0.8</v>
      </c>
    </row>
    <row r="2213" spans="1:28" x14ac:dyDescent="0.3">
      <c r="A2213" s="1">
        <v>45991</v>
      </c>
      <c r="B2213" s="2" t="s">
        <v>2626</v>
      </c>
      <c r="C2213" s="2" t="s">
        <v>2521</v>
      </c>
      <c r="D2213" s="2" t="s">
        <v>2516</v>
      </c>
      <c r="E2213" s="2" t="s">
        <v>2517</v>
      </c>
      <c r="F2213" s="3">
        <v>96731</v>
      </c>
      <c r="G2213" s="3">
        <v>7280</v>
      </c>
      <c r="H2213" s="3">
        <v>261</v>
      </c>
      <c r="I2213" s="4">
        <v>2957.33</v>
      </c>
      <c r="J2213" s="4">
        <v>6192.78</v>
      </c>
      <c r="K2213" s="3">
        <v>211</v>
      </c>
      <c r="L2213" s="2" t="s">
        <v>2523</v>
      </c>
      <c r="M2213" s="2" t="s">
        <v>2537</v>
      </c>
      <c r="N2213" s="8">
        <f>IFERROR(G2213/F2213,0)</f>
        <v>7.5260257828410754E-2</v>
      </c>
      <c r="O2213" s="8">
        <f>IFERROR(H2213/G2213,0)</f>
        <v>3.5851648351648349E-2</v>
      </c>
      <c r="P2213" s="4">
        <f>IFERROR(I2213/G2213,0)</f>
        <v>0.40622664835164835</v>
      </c>
      <c r="Q2213" s="4">
        <f>IFERROR(I2213/H2213,0)</f>
        <v>11.330766283524904</v>
      </c>
      <c r="R2213" s="12">
        <f>IFERROR(J2213/I2213,0)</f>
        <v>2.0940442899507326</v>
      </c>
      <c r="S2213" s="7">
        <f>Tabla_nuevas_columnas[[#This Row],[ROAS]]</f>
        <v>2.0940442899507326</v>
      </c>
      <c r="T2213" t="str">
        <f>_xlfn.CONCAT(C2213,"-",D2213)</f>
        <v>Paid Search-México</v>
      </c>
      <c r="U2213">
        <f>YEAR(A2213)</f>
        <v>2025</v>
      </c>
      <c r="V2213">
        <f>MONTH(A2213)</f>
        <v>11</v>
      </c>
      <c r="W2213" t="str">
        <f>PROPER(TEXT(A2213,"mmmm"))</f>
        <v>Noviembre</v>
      </c>
      <c r="X2213" t="str">
        <f>PROPER(TEXT(A2213,"dddd"))</f>
        <v>Domingo</v>
      </c>
      <c r="Y2213" t="str" cm="1">
        <f t="array" ref="Y2213">_xlfn.IFS(R2213&gt;10,"Excelente",R2213&gt;=5,"Bueno",R2213&gt;=2,"Débil",R2213&lt;2,"Deficiente")</f>
        <v>Débil</v>
      </c>
      <c r="Z2213" t="str">
        <f>IF(AND(R2213&lt;2,Q2213&gt;=100),"Revisar","OK")</f>
        <v>OK</v>
      </c>
      <c r="AA2213" s="55">
        <f>_xlfn.XLOOKUP(C2213,'Preguntas de negocio'!$C$114:$C$119,'Preguntas de negocio'!$D$114:$D$119,0)</f>
        <v>5</v>
      </c>
      <c r="AB2213" s="55">
        <f>VLOOKUP(C2213,'Preguntas de negocio'!$C$121:$D$127,2,FALSE)</f>
        <v>1.1000000000000001</v>
      </c>
    </row>
    <row r="2214" spans="1:28" x14ac:dyDescent="0.3">
      <c r="A2214" s="1">
        <v>45827</v>
      </c>
      <c r="B2214" s="2" t="s">
        <v>2642</v>
      </c>
      <c r="C2214" s="2" t="s">
        <v>2543</v>
      </c>
      <c r="D2214" s="2" t="s">
        <v>2525</v>
      </c>
      <c r="E2214" s="2" t="s">
        <v>2517</v>
      </c>
      <c r="F2214" s="3">
        <v>39027</v>
      </c>
      <c r="G2214" s="3">
        <v>2516</v>
      </c>
      <c r="H2214" s="3">
        <v>225</v>
      </c>
      <c r="I2214" s="4">
        <v>3206.42</v>
      </c>
      <c r="J2214" s="4">
        <v>30724.28</v>
      </c>
      <c r="K2214" s="3">
        <v>192</v>
      </c>
      <c r="L2214" s="2" t="s">
        <v>2523</v>
      </c>
      <c r="M2214" s="2" t="s">
        <v>2546</v>
      </c>
      <c r="N2214" s="8">
        <f>IFERROR(G2214/F2214,0)</f>
        <v>6.446818868988137E-2</v>
      </c>
      <c r="O2214" s="8">
        <f>IFERROR(H2214/G2214,0)</f>
        <v>8.9427662957074716E-2</v>
      </c>
      <c r="P2214" s="4">
        <f>IFERROR(I2214/G2214,0)</f>
        <v>1.2744117647058824</v>
      </c>
      <c r="Q2214" s="4">
        <f>IFERROR(I2214/H2214,0)</f>
        <v>14.250755555555555</v>
      </c>
      <c r="R2214" s="12">
        <f>IFERROR(J2214/I2214,0)</f>
        <v>9.5821133850212998</v>
      </c>
      <c r="S2214" s="7">
        <f>Tabla_nuevas_columnas[[#This Row],[ROAS]]</f>
        <v>9.5821133850212998</v>
      </c>
      <c r="T2214" t="str">
        <f>_xlfn.CONCAT(C2214,"-",D2214)</f>
        <v>Organic Social-Francia</v>
      </c>
      <c r="U2214">
        <f>YEAR(A2214)</f>
        <v>2025</v>
      </c>
      <c r="V2214">
        <f>MONTH(A2214)</f>
        <v>6</v>
      </c>
      <c r="W2214" t="str">
        <f>PROPER(TEXT(A2214,"mmmm"))</f>
        <v>Junio</v>
      </c>
      <c r="X2214" t="str">
        <f>PROPER(TEXT(A2214,"dddd"))</f>
        <v>Jueves</v>
      </c>
      <c r="Y2214" t="str" cm="1">
        <f t="array" ref="Y2214">_xlfn.IFS(R2214&gt;10,"Excelente",R2214&gt;=5,"Bueno",R2214&gt;=2,"Débil",R2214&lt;2,"Deficiente")</f>
        <v>Bueno</v>
      </c>
      <c r="Z2214" t="str">
        <f>IF(AND(R2214&lt;2,Q2214&gt;=100),"Revisar","OK")</f>
        <v>OK</v>
      </c>
      <c r="AA2214" s="55">
        <f>_xlfn.XLOOKUP(C2214,'Preguntas de negocio'!$C$114:$C$119,'Preguntas de negocio'!$D$114:$D$119,0)</f>
        <v>4</v>
      </c>
      <c r="AB2214" s="55">
        <f>VLOOKUP(C2214,'Preguntas de negocio'!$C$121:$D$127,2,FALSE)</f>
        <v>0.95</v>
      </c>
    </row>
    <row r="2215" spans="1:28" x14ac:dyDescent="0.3">
      <c r="A2215" s="1">
        <v>45745</v>
      </c>
      <c r="B2215" s="2" t="s">
        <v>2626</v>
      </c>
      <c r="C2215" s="2" t="s">
        <v>2527</v>
      </c>
      <c r="D2215" s="2" t="s">
        <v>2528</v>
      </c>
      <c r="E2215" s="2" t="s">
        <v>2534</v>
      </c>
      <c r="F2215" s="3">
        <v>169346</v>
      </c>
      <c r="G2215" s="3">
        <v>9690</v>
      </c>
      <c r="H2215" s="3">
        <v>944</v>
      </c>
      <c r="I2215" s="4">
        <v>4182.46</v>
      </c>
      <c r="J2215" s="4">
        <v>151059.42000000001</v>
      </c>
      <c r="K2215" s="3">
        <v>699</v>
      </c>
      <c r="L2215" s="2" t="s">
        <v>2536</v>
      </c>
      <c r="M2215" s="2" t="s">
        <v>2524</v>
      </c>
      <c r="N2215" s="8">
        <f>IFERROR(G2215/F2215,0)</f>
        <v>5.7220129202933637E-2</v>
      </c>
      <c r="O2215" s="8">
        <f>IFERROR(H2215/G2215,0)</f>
        <v>9.7420020639834876E-2</v>
      </c>
      <c r="P2215" s="4">
        <f>IFERROR(I2215/G2215,0)</f>
        <v>0.43162641898864812</v>
      </c>
      <c r="Q2215" s="4">
        <f>IFERROR(I2215/H2215,0)</f>
        <v>4.4305720338983052</v>
      </c>
      <c r="R2215" s="12">
        <f>IFERROR(J2215/I2215,0)</f>
        <v>36.117361552770383</v>
      </c>
      <c r="S2215" s="7">
        <f>Tabla_nuevas_columnas[[#This Row],[ROAS]]</f>
        <v>36.117361552770383</v>
      </c>
      <c r="T2215" t="str">
        <f>_xlfn.CONCAT(C2215,"-",D2215)</f>
        <v>Affiliate-España</v>
      </c>
      <c r="U2215">
        <f>YEAR(A2215)</f>
        <v>2025</v>
      </c>
      <c r="V2215">
        <f>MONTH(A2215)</f>
        <v>3</v>
      </c>
      <c r="W2215" t="str">
        <f>PROPER(TEXT(A2215,"mmmm"))</f>
        <v>Marzo</v>
      </c>
      <c r="X2215" t="str">
        <f>PROPER(TEXT(A2215,"dddd"))</f>
        <v>Sábado</v>
      </c>
      <c r="Y2215" t="str" cm="1">
        <f t="array" ref="Y2215">_xlfn.IFS(R2215&gt;10,"Excelente",R2215&gt;=5,"Bueno",R2215&gt;=2,"Débil",R2215&lt;2,"Deficiente")</f>
        <v>Excelente</v>
      </c>
      <c r="Z2215" t="str">
        <f>IF(AND(R2215&lt;2,Q2215&gt;=100),"Revisar","OK")</f>
        <v>OK</v>
      </c>
      <c r="AA2215" s="55">
        <f>_xlfn.XLOOKUP(C2215,'Preguntas de negocio'!$C$114:$C$119,'Preguntas de negocio'!$D$114:$D$119,0)</f>
        <v>4.5</v>
      </c>
      <c r="AB2215" s="55">
        <f>VLOOKUP(C2215,'Preguntas de negocio'!$C$121:$D$127,2,FALSE)</f>
        <v>0.35</v>
      </c>
    </row>
    <row r="2216" spans="1:28" x14ac:dyDescent="0.3">
      <c r="A2216" s="1">
        <v>45826</v>
      </c>
      <c r="B2216" s="2" t="s">
        <v>2619</v>
      </c>
      <c r="C2216" s="2" t="s">
        <v>2527</v>
      </c>
      <c r="D2216" s="2" t="s">
        <v>2528</v>
      </c>
      <c r="E2216" s="2" t="s">
        <v>2517</v>
      </c>
      <c r="F2216" s="3">
        <v>178812</v>
      </c>
      <c r="G2216" s="3">
        <v>1519</v>
      </c>
      <c r="H2216" s="3">
        <v>56</v>
      </c>
      <c r="I2216" s="4">
        <v>2311.06</v>
      </c>
      <c r="J2216" s="4">
        <v>4607.66</v>
      </c>
      <c r="K2216" s="3">
        <v>42</v>
      </c>
      <c r="L2216" s="2" t="s">
        <v>2518</v>
      </c>
      <c r="M2216" s="2" t="s">
        <v>2526</v>
      </c>
      <c r="N2216" s="8">
        <f>IFERROR(G2216/F2216,0)</f>
        <v>8.4949555958213092E-3</v>
      </c>
      <c r="O2216" s="8">
        <f>IFERROR(H2216/G2216,0)</f>
        <v>3.6866359447004608E-2</v>
      </c>
      <c r="P2216" s="4">
        <f>IFERROR(I2216/G2216,0)</f>
        <v>1.5214351547070442</v>
      </c>
      <c r="Q2216" s="4">
        <f>IFERROR(I2216/H2216,0)</f>
        <v>41.268928571428567</v>
      </c>
      <c r="R2216" s="12">
        <f>IFERROR(J2216/I2216,0)</f>
        <v>1.9937431308577016</v>
      </c>
      <c r="S2216" s="7">
        <f>Tabla_nuevas_columnas[[#This Row],[ROAS]]</f>
        <v>1.9937431308577016</v>
      </c>
      <c r="T2216" t="str">
        <f>_xlfn.CONCAT(C2216,"-",D2216)</f>
        <v>Affiliate-España</v>
      </c>
      <c r="U2216">
        <f>YEAR(A2216)</f>
        <v>2025</v>
      </c>
      <c r="V2216">
        <f>MONTH(A2216)</f>
        <v>6</v>
      </c>
      <c r="W2216" t="str">
        <f>PROPER(TEXT(A2216,"mmmm"))</f>
        <v>Junio</v>
      </c>
      <c r="X2216" t="str">
        <f>PROPER(TEXT(A2216,"dddd"))</f>
        <v>Miércoles</v>
      </c>
      <c r="Y2216" t="str" cm="1">
        <f t="array" ref="Y2216">_xlfn.IFS(R2216&gt;10,"Excelente",R2216&gt;=5,"Bueno",R2216&gt;=2,"Débil",R2216&lt;2,"Deficiente")</f>
        <v>Deficiente</v>
      </c>
      <c r="Z2216" t="str">
        <f>IF(AND(R2216&lt;2,Q2216&gt;=100),"Revisar","OK")</f>
        <v>OK</v>
      </c>
      <c r="AA2216" s="55">
        <f>_xlfn.XLOOKUP(C2216,'Preguntas de negocio'!$C$114:$C$119,'Preguntas de negocio'!$D$114:$D$119,0)</f>
        <v>4.5</v>
      </c>
      <c r="AB2216" s="55">
        <f>VLOOKUP(C2216,'Preguntas de negocio'!$C$121:$D$127,2,FALSE)</f>
        <v>0.35</v>
      </c>
    </row>
    <row r="2217" spans="1:28" x14ac:dyDescent="0.3">
      <c r="A2217" s="1">
        <v>45724</v>
      </c>
      <c r="B2217" s="2" t="s">
        <v>2637</v>
      </c>
      <c r="C2217" s="2" t="s">
        <v>2527</v>
      </c>
      <c r="D2217" s="2" t="s">
        <v>2516</v>
      </c>
      <c r="E2217" s="2" t="s">
        <v>2529</v>
      </c>
      <c r="F2217" s="3">
        <v>111279</v>
      </c>
      <c r="G2217" s="3">
        <v>7583</v>
      </c>
      <c r="H2217" s="3">
        <v>432</v>
      </c>
      <c r="I2217" s="4">
        <v>2838.59</v>
      </c>
      <c r="J2217" s="4">
        <v>55583.3</v>
      </c>
      <c r="K2217" s="3">
        <v>346</v>
      </c>
      <c r="L2217" s="2" t="s">
        <v>2539</v>
      </c>
      <c r="M2217" s="2" t="s">
        <v>2526</v>
      </c>
      <c r="N2217" s="8">
        <f>IFERROR(G2217/F2217,0)</f>
        <v>6.8144034364075887E-2</v>
      </c>
      <c r="O2217" s="8">
        <f>IFERROR(H2217/G2217,0)</f>
        <v>5.6969537122510877E-2</v>
      </c>
      <c r="P2217" s="4">
        <f>IFERROR(I2217/G2217,0)</f>
        <v>0.37433601476987999</v>
      </c>
      <c r="Q2217" s="4">
        <f>IFERROR(I2217/H2217,0)</f>
        <v>6.5708101851851852</v>
      </c>
      <c r="R2217" s="12">
        <f>IFERROR(J2217/I2217,0)</f>
        <v>19.581306211886886</v>
      </c>
      <c r="S2217" s="7">
        <f>Tabla_nuevas_columnas[[#This Row],[ROAS]]</f>
        <v>19.581306211886886</v>
      </c>
      <c r="T2217" t="str">
        <f>_xlfn.CONCAT(C2217,"-",D2217)</f>
        <v>Affiliate-México</v>
      </c>
      <c r="U2217">
        <f>YEAR(A2217)</f>
        <v>2025</v>
      </c>
      <c r="V2217">
        <f>MONTH(A2217)</f>
        <v>3</v>
      </c>
      <c r="W2217" t="str">
        <f>PROPER(TEXT(A2217,"mmmm"))</f>
        <v>Marzo</v>
      </c>
      <c r="X2217" t="str">
        <f>PROPER(TEXT(A2217,"dddd"))</f>
        <v>Sábado</v>
      </c>
      <c r="Y2217" t="str" cm="1">
        <f t="array" ref="Y2217">_xlfn.IFS(R2217&gt;10,"Excelente",R2217&gt;=5,"Bueno",R2217&gt;=2,"Débil",R2217&lt;2,"Deficiente")</f>
        <v>Excelente</v>
      </c>
      <c r="Z2217" t="str">
        <f>IF(AND(R2217&lt;2,Q2217&gt;=100),"Revisar","OK")</f>
        <v>OK</v>
      </c>
      <c r="AA2217" s="55">
        <f>_xlfn.XLOOKUP(C2217,'Preguntas de negocio'!$C$114:$C$119,'Preguntas de negocio'!$D$114:$D$119,0)</f>
        <v>4.5</v>
      </c>
      <c r="AB2217" s="55">
        <f>VLOOKUP(C2217,'Preguntas de negocio'!$C$121:$D$127,2,FALSE)</f>
        <v>0.35</v>
      </c>
    </row>
    <row r="2218" spans="1:28" x14ac:dyDescent="0.3">
      <c r="A2218" s="1">
        <v>46000</v>
      </c>
      <c r="B2218" s="2" t="s">
        <v>2637</v>
      </c>
      <c r="C2218" s="2" t="s">
        <v>2541</v>
      </c>
      <c r="D2218" s="2" t="s">
        <v>2525</v>
      </c>
      <c r="E2218" s="2" t="s">
        <v>2529</v>
      </c>
      <c r="F2218" s="3">
        <v>138731</v>
      </c>
      <c r="G2218" s="3">
        <v>11011</v>
      </c>
      <c r="H2218" s="3">
        <v>1069</v>
      </c>
      <c r="I2218" s="4">
        <v>3982.96</v>
      </c>
      <c r="J2218" s="4">
        <v>36314.43</v>
      </c>
      <c r="K2218" s="3">
        <v>534</v>
      </c>
      <c r="L2218" s="2" t="s">
        <v>2518</v>
      </c>
      <c r="M2218" s="2" t="s">
        <v>2519</v>
      </c>
      <c r="N2218" s="8">
        <f>IFERROR(G2218/F2218,0)</f>
        <v>7.9369427164800943E-2</v>
      </c>
      <c r="O2218" s="8">
        <f>IFERROR(H2218/G2218,0)</f>
        <v>9.7084733448369806E-2</v>
      </c>
      <c r="P2218" s="4">
        <f>IFERROR(I2218/G2218,0)</f>
        <v>0.36172554718009264</v>
      </c>
      <c r="Q2218" s="4">
        <f>IFERROR(I2218/H2218,0)</f>
        <v>3.7258746492048642</v>
      </c>
      <c r="R2218" s="12">
        <f>IFERROR(J2218/I2218,0)</f>
        <v>9.117447827746199</v>
      </c>
      <c r="S2218" s="7">
        <f>Tabla_nuevas_columnas[[#This Row],[ROAS]]</f>
        <v>9.117447827746199</v>
      </c>
      <c r="T2218" t="str">
        <f>_xlfn.CONCAT(C2218,"-",D2218)</f>
        <v>Display-Francia</v>
      </c>
      <c r="U2218">
        <f>YEAR(A2218)</f>
        <v>2025</v>
      </c>
      <c r="V2218">
        <f>MONTH(A2218)</f>
        <v>12</v>
      </c>
      <c r="W2218" t="str">
        <f>PROPER(TEXT(A2218,"mmmm"))</f>
        <v>Diciembre</v>
      </c>
      <c r="X2218" t="str">
        <f>PROPER(TEXT(A2218,"dddd"))</f>
        <v>Martes</v>
      </c>
      <c r="Y2218" t="str" cm="1">
        <f t="array" ref="Y2218">_xlfn.IFS(R2218&gt;10,"Excelente",R2218&gt;=5,"Bueno",R2218&gt;=2,"Débil",R2218&lt;2,"Deficiente")</f>
        <v>Bueno</v>
      </c>
      <c r="Z2218" t="str">
        <f>IF(AND(R2218&lt;2,Q2218&gt;=100),"Revisar","OK")</f>
        <v>OK</v>
      </c>
      <c r="AA2218" s="55">
        <f>_xlfn.XLOOKUP(C2218,'Preguntas de negocio'!$C$114:$C$119,'Preguntas de negocio'!$D$114:$D$119,0)</f>
        <v>5</v>
      </c>
      <c r="AB2218" s="55">
        <f>VLOOKUP(C2218,'Preguntas de negocio'!$C$121:$D$127,2,FALSE)</f>
        <v>0.5</v>
      </c>
    </row>
    <row r="2219" spans="1:28" x14ac:dyDescent="0.3">
      <c r="A2219" s="1">
        <v>45917</v>
      </c>
      <c r="B2219" s="2" t="s">
        <v>2640</v>
      </c>
      <c r="C2219" s="2" t="s">
        <v>2521</v>
      </c>
      <c r="D2219" s="2" t="s">
        <v>2516</v>
      </c>
      <c r="E2219" s="2" t="s">
        <v>2529</v>
      </c>
      <c r="F2219" s="3">
        <v>13383</v>
      </c>
      <c r="G2219" s="3">
        <v>663</v>
      </c>
      <c r="H2219" s="3">
        <v>63</v>
      </c>
      <c r="I2219" s="4">
        <v>129.6</v>
      </c>
      <c r="J2219" s="4">
        <v>1082.6199999999999</v>
      </c>
      <c r="K2219" s="3">
        <v>36</v>
      </c>
      <c r="L2219" s="2" t="s">
        <v>2536</v>
      </c>
      <c r="M2219" s="2" t="s">
        <v>2519</v>
      </c>
      <c r="N2219" s="8">
        <f>IFERROR(G2219/F2219,0)</f>
        <v>4.9540461779869982E-2</v>
      </c>
      <c r="O2219" s="8">
        <f>IFERROR(H2219/G2219,0)</f>
        <v>9.5022624434389136E-2</v>
      </c>
      <c r="P2219" s="4">
        <f>IFERROR(I2219/G2219,0)</f>
        <v>0.19547511312217195</v>
      </c>
      <c r="Q2219" s="4">
        <f>IFERROR(I2219/H2219,0)</f>
        <v>2.0571428571428569</v>
      </c>
      <c r="R2219" s="12">
        <f>IFERROR(J2219/I2219,0)</f>
        <v>8.3535493827160483</v>
      </c>
      <c r="S2219" s="7">
        <f>Tabla_nuevas_columnas[[#This Row],[ROAS]]</f>
        <v>8.3535493827160483</v>
      </c>
      <c r="T2219" t="str">
        <f>_xlfn.CONCAT(C2219,"-",D2219)</f>
        <v>Paid Search-México</v>
      </c>
      <c r="U2219">
        <f>YEAR(A2219)</f>
        <v>2025</v>
      </c>
      <c r="V2219">
        <f>MONTH(A2219)</f>
        <v>9</v>
      </c>
      <c r="W2219" t="str">
        <f>PROPER(TEXT(A2219,"mmmm"))</f>
        <v>Septiembre</v>
      </c>
      <c r="X2219" t="str">
        <f>PROPER(TEXT(A2219,"dddd"))</f>
        <v>Miércoles</v>
      </c>
      <c r="Y2219" t="str" cm="1">
        <f t="array" ref="Y2219">_xlfn.IFS(R2219&gt;10,"Excelente",R2219&gt;=5,"Bueno",R2219&gt;=2,"Débil",R2219&lt;2,"Deficiente")</f>
        <v>Bueno</v>
      </c>
      <c r="Z2219" t="str">
        <f>IF(AND(R2219&lt;2,Q2219&gt;=100),"Revisar","OK")</f>
        <v>OK</v>
      </c>
      <c r="AA2219" s="55">
        <f>_xlfn.XLOOKUP(C2219,'Preguntas de negocio'!$C$114:$C$119,'Preguntas de negocio'!$D$114:$D$119,0)</f>
        <v>5</v>
      </c>
      <c r="AB2219" s="55">
        <f>VLOOKUP(C2219,'Preguntas de negocio'!$C$121:$D$127,2,FALSE)</f>
        <v>1.1000000000000001</v>
      </c>
    </row>
    <row r="2220" spans="1:28" x14ac:dyDescent="0.3">
      <c r="A2220" s="1">
        <v>45815</v>
      </c>
      <c r="B2220" s="2" t="s">
        <v>2630</v>
      </c>
      <c r="C2220" s="2" t="s">
        <v>2543</v>
      </c>
      <c r="D2220" s="2" t="s">
        <v>2528</v>
      </c>
      <c r="E2220" s="2" t="s">
        <v>2529</v>
      </c>
      <c r="F2220" s="3">
        <v>54845</v>
      </c>
      <c r="G2220" s="3">
        <v>2453</v>
      </c>
      <c r="H2220" s="3">
        <v>25</v>
      </c>
      <c r="I2220" s="4">
        <v>4036.48</v>
      </c>
      <c r="J2220" s="4">
        <v>1395.53</v>
      </c>
      <c r="K2220" s="3">
        <v>15</v>
      </c>
      <c r="L2220" s="2" t="s">
        <v>2518</v>
      </c>
      <c r="M2220" s="2" t="s">
        <v>2526</v>
      </c>
      <c r="N2220" s="8">
        <f>IFERROR(G2220/F2220,0)</f>
        <v>4.4726046130002736E-2</v>
      </c>
      <c r="O2220" s="8">
        <f>IFERROR(H2220/G2220,0)</f>
        <v>1.0191602119853241E-2</v>
      </c>
      <c r="P2220" s="4">
        <f>IFERROR(I2220/G2220,0)</f>
        <v>1.6455279249898085</v>
      </c>
      <c r="Q2220" s="4">
        <f>IFERROR(I2220/H2220,0)</f>
        <v>161.45920000000001</v>
      </c>
      <c r="R2220" s="12">
        <f>IFERROR(J2220/I2220,0)</f>
        <v>0.34572944743935308</v>
      </c>
      <c r="S2220" s="7">
        <f>Tabla_nuevas_columnas[[#This Row],[ROAS]]</f>
        <v>0.34572944743935308</v>
      </c>
      <c r="T2220" t="str">
        <f>_xlfn.CONCAT(C2220,"-",D2220)</f>
        <v>Organic Social-España</v>
      </c>
      <c r="U2220">
        <f>YEAR(A2220)</f>
        <v>2025</v>
      </c>
      <c r="V2220">
        <f>MONTH(A2220)</f>
        <v>6</v>
      </c>
      <c r="W2220" t="str">
        <f>PROPER(TEXT(A2220,"mmmm"))</f>
        <v>Junio</v>
      </c>
      <c r="X2220" t="str">
        <f>PROPER(TEXT(A2220,"dddd"))</f>
        <v>Sábado</v>
      </c>
      <c r="Y2220" t="str" cm="1">
        <f t="array" ref="Y2220">_xlfn.IFS(R2220&gt;10,"Excelente",R2220&gt;=5,"Bueno",R2220&gt;=2,"Débil",R2220&lt;2,"Deficiente")</f>
        <v>Deficiente</v>
      </c>
      <c r="Z2220" t="str">
        <f>IF(AND(R2220&lt;2,Q2220&gt;=100),"Revisar","OK")</f>
        <v>Revisar</v>
      </c>
      <c r="AA2220" s="55">
        <f>_xlfn.XLOOKUP(C2220,'Preguntas de negocio'!$C$114:$C$119,'Preguntas de negocio'!$D$114:$D$119,0)</f>
        <v>4</v>
      </c>
      <c r="AB2220" s="55">
        <f>VLOOKUP(C2220,'Preguntas de negocio'!$C$121:$D$127,2,FALSE)</f>
        <v>0.95</v>
      </c>
    </row>
    <row r="2221" spans="1:28" x14ac:dyDescent="0.3">
      <c r="A2221" s="1">
        <v>45791</v>
      </c>
      <c r="B2221" s="2" t="s">
        <v>2619</v>
      </c>
      <c r="C2221" s="2" t="s">
        <v>2543</v>
      </c>
      <c r="D2221" s="2" t="s">
        <v>2528</v>
      </c>
      <c r="E2221" s="2" t="s">
        <v>2517</v>
      </c>
      <c r="F2221" s="3">
        <v>111803</v>
      </c>
      <c r="G2221" s="3">
        <v>1084</v>
      </c>
      <c r="H2221" s="3">
        <v>135</v>
      </c>
      <c r="I2221" s="4">
        <v>1072.3900000000001</v>
      </c>
      <c r="J2221" s="4">
        <v>17073.8</v>
      </c>
      <c r="K2221" s="3">
        <v>120</v>
      </c>
      <c r="L2221" s="2" t="s">
        <v>2518</v>
      </c>
      <c r="M2221" s="2" t="s">
        <v>2524</v>
      </c>
      <c r="N2221" s="8">
        <f>IFERROR(G2221/F2221,0)</f>
        <v>9.695625341001584E-3</v>
      </c>
      <c r="O2221" s="8">
        <f>IFERROR(H2221/G2221,0)</f>
        <v>0.12453874538745388</v>
      </c>
      <c r="P2221" s="4">
        <f>IFERROR(I2221/G2221,0)</f>
        <v>0.98928966789667905</v>
      </c>
      <c r="Q2221" s="4">
        <f>IFERROR(I2221/H2221,0)</f>
        <v>7.9436296296296307</v>
      </c>
      <c r="R2221" s="12">
        <f>IFERROR(J2221/I2221,0)</f>
        <v>15.921259989369537</v>
      </c>
      <c r="S2221" s="7">
        <f>Tabla_nuevas_columnas[[#This Row],[ROAS]]</f>
        <v>15.921259989369537</v>
      </c>
      <c r="T2221" t="str">
        <f>_xlfn.CONCAT(C2221,"-",D2221)</f>
        <v>Organic Social-España</v>
      </c>
      <c r="U2221">
        <f>YEAR(A2221)</f>
        <v>2025</v>
      </c>
      <c r="V2221">
        <f>MONTH(A2221)</f>
        <v>5</v>
      </c>
      <c r="W2221" t="str">
        <f>PROPER(TEXT(A2221,"mmmm"))</f>
        <v>Mayo</v>
      </c>
      <c r="X2221" t="str">
        <f>PROPER(TEXT(A2221,"dddd"))</f>
        <v>Miércoles</v>
      </c>
      <c r="Y2221" t="str" cm="1">
        <f t="array" ref="Y2221">_xlfn.IFS(R2221&gt;10,"Excelente",R2221&gt;=5,"Bueno",R2221&gt;=2,"Débil",R2221&lt;2,"Deficiente")</f>
        <v>Excelente</v>
      </c>
      <c r="Z2221" t="str">
        <f>IF(AND(R2221&lt;2,Q2221&gt;=100),"Revisar","OK")</f>
        <v>OK</v>
      </c>
      <c r="AA2221" s="55">
        <f>_xlfn.XLOOKUP(C2221,'Preguntas de negocio'!$C$114:$C$119,'Preguntas de negocio'!$D$114:$D$119,0)</f>
        <v>4</v>
      </c>
      <c r="AB2221" s="55">
        <f>VLOOKUP(C2221,'Preguntas de negocio'!$C$121:$D$127,2,FALSE)</f>
        <v>0.95</v>
      </c>
    </row>
    <row r="2222" spans="1:28" x14ac:dyDescent="0.3">
      <c r="A2222" s="1">
        <v>45753</v>
      </c>
      <c r="B2222" s="2" t="s">
        <v>2644</v>
      </c>
      <c r="C2222" s="2" t="s">
        <v>2533</v>
      </c>
      <c r="D2222" s="2" t="s">
        <v>2528</v>
      </c>
      <c r="E2222" s="2" t="s">
        <v>2517</v>
      </c>
      <c r="F2222" s="3">
        <v>110939</v>
      </c>
      <c r="G2222" s="3">
        <v>4039</v>
      </c>
      <c r="H2222" s="3">
        <v>117</v>
      </c>
      <c r="I2222" s="4">
        <v>6618.77</v>
      </c>
      <c r="J2222" s="4">
        <v>20530.71</v>
      </c>
      <c r="K2222" s="3">
        <v>98</v>
      </c>
      <c r="L2222" s="2" t="s">
        <v>2523</v>
      </c>
      <c r="M2222" s="2" t="s">
        <v>2526</v>
      </c>
      <c r="N2222" s="8">
        <f>IFERROR(G2222/F2222,0)</f>
        <v>3.6407395054940103E-2</v>
      </c>
      <c r="O2222" s="8">
        <f>IFERROR(H2222/G2222,0)</f>
        <v>2.896756622926467E-2</v>
      </c>
      <c r="P2222" s="4">
        <f>IFERROR(I2222/G2222,0)</f>
        <v>1.6387150284723944</v>
      </c>
      <c r="Q2222" s="4">
        <f>IFERROR(I2222/H2222,0)</f>
        <v>56.570683760683764</v>
      </c>
      <c r="R2222" s="12">
        <f>IFERROR(J2222/I2222,0)</f>
        <v>3.1018920433857042</v>
      </c>
      <c r="S2222" s="7">
        <f>Tabla_nuevas_columnas[[#This Row],[ROAS]]</f>
        <v>3.1018920433857042</v>
      </c>
      <c r="T2222" t="str">
        <f>_xlfn.CONCAT(C2222,"-",D2222)</f>
        <v>Paid Social-España</v>
      </c>
      <c r="U2222">
        <f>YEAR(A2222)</f>
        <v>2025</v>
      </c>
      <c r="V2222">
        <f>MONTH(A2222)</f>
        <v>4</v>
      </c>
      <c r="W2222" t="str">
        <f>PROPER(TEXT(A2222,"mmmm"))</f>
        <v>Abril</v>
      </c>
      <c r="X2222" t="str">
        <f>PROPER(TEXT(A2222,"dddd"))</f>
        <v>Domingo</v>
      </c>
      <c r="Y2222" t="str" cm="1">
        <f t="array" ref="Y2222">_xlfn.IFS(R2222&gt;10,"Excelente",R2222&gt;=5,"Bueno",R2222&gt;=2,"Débil",R2222&lt;2,"Deficiente")</f>
        <v>Débil</v>
      </c>
      <c r="Z2222" t="str">
        <f>IF(AND(R2222&lt;2,Q2222&gt;=100),"Revisar","OK")</f>
        <v>OK</v>
      </c>
      <c r="AA2222" s="55">
        <f>_xlfn.XLOOKUP(C2222,'Preguntas de negocio'!$C$114:$C$119,'Preguntas de negocio'!$D$114:$D$119,0)</f>
        <v>6</v>
      </c>
      <c r="AB2222" s="55">
        <f>VLOOKUP(C2222,'Preguntas de negocio'!$C$121:$D$127,2,FALSE)</f>
        <v>0.8</v>
      </c>
    </row>
    <row r="2223" spans="1:28" x14ac:dyDescent="0.3">
      <c r="A2223" s="1">
        <v>45797</v>
      </c>
      <c r="B2223" s="2" t="s">
        <v>2631</v>
      </c>
      <c r="C2223" s="2" t="s">
        <v>2543</v>
      </c>
      <c r="D2223" s="2" t="s">
        <v>2525</v>
      </c>
      <c r="E2223" s="2" t="s">
        <v>2529</v>
      </c>
      <c r="F2223" s="3">
        <v>129790</v>
      </c>
      <c r="G2223" s="3">
        <v>790</v>
      </c>
      <c r="H2223" s="3">
        <v>87</v>
      </c>
      <c r="I2223" s="4">
        <v>1352.45</v>
      </c>
      <c r="J2223" s="4">
        <v>14281.58</v>
      </c>
      <c r="K2223" s="3">
        <v>43</v>
      </c>
      <c r="L2223" s="2" t="s">
        <v>2518</v>
      </c>
      <c r="M2223" s="2" t="s">
        <v>2524</v>
      </c>
      <c r="N2223" s="8">
        <f>IFERROR(G2223/F2223,0)</f>
        <v>6.0867555281608754E-3</v>
      </c>
      <c r="O2223" s="8">
        <f>IFERROR(H2223/G2223,0)</f>
        <v>0.11012658227848102</v>
      </c>
      <c r="P2223" s="4">
        <f>IFERROR(I2223/G2223,0)</f>
        <v>1.7119620253164558</v>
      </c>
      <c r="Q2223" s="4">
        <f>IFERROR(I2223/H2223,0)</f>
        <v>15.545402298850576</v>
      </c>
      <c r="R2223" s="12">
        <f>IFERROR(J2223/I2223,0)</f>
        <v>10.559784095530333</v>
      </c>
      <c r="S2223" s="7">
        <f>Tabla_nuevas_columnas[[#This Row],[ROAS]]</f>
        <v>10.559784095530333</v>
      </c>
      <c r="T2223" t="str">
        <f>_xlfn.CONCAT(C2223,"-",D2223)</f>
        <v>Organic Social-Francia</v>
      </c>
      <c r="U2223">
        <f>YEAR(A2223)</f>
        <v>2025</v>
      </c>
      <c r="V2223">
        <f>MONTH(A2223)</f>
        <v>5</v>
      </c>
      <c r="W2223" t="str">
        <f>PROPER(TEXT(A2223,"mmmm"))</f>
        <v>Mayo</v>
      </c>
      <c r="X2223" t="str">
        <f>PROPER(TEXT(A2223,"dddd"))</f>
        <v>Martes</v>
      </c>
      <c r="Y2223" t="str" cm="1">
        <f t="array" ref="Y2223">_xlfn.IFS(R2223&gt;10,"Excelente",R2223&gt;=5,"Bueno",R2223&gt;=2,"Débil",R2223&lt;2,"Deficiente")</f>
        <v>Excelente</v>
      </c>
      <c r="Z2223" t="str">
        <f>IF(AND(R2223&lt;2,Q2223&gt;=100),"Revisar","OK")</f>
        <v>OK</v>
      </c>
      <c r="AA2223" s="55">
        <f>_xlfn.XLOOKUP(C2223,'Preguntas de negocio'!$C$114:$C$119,'Preguntas de negocio'!$D$114:$D$119,0)</f>
        <v>4</v>
      </c>
      <c r="AB2223" s="55">
        <f>VLOOKUP(C2223,'Preguntas de negocio'!$C$121:$D$127,2,FALSE)</f>
        <v>0.95</v>
      </c>
    </row>
    <row r="2224" spans="1:28" x14ac:dyDescent="0.3">
      <c r="A2224" s="1">
        <v>45997</v>
      </c>
      <c r="B2224" s="2" t="s">
        <v>2622</v>
      </c>
      <c r="C2224" s="2" t="s">
        <v>2521</v>
      </c>
      <c r="D2224" s="2" t="s">
        <v>2516</v>
      </c>
      <c r="E2224" s="2" t="s">
        <v>2517</v>
      </c>
      <c r="F2224" s="3">
        <v>124952</v>
      </c>
      <c r="G2224" s="3">
        <v>6875</v>
      </c>
      <c r="H2224" s="3">
        <v>91</v>
      </c>
      <c r="I2224" s="4">
        <v>3521.97</v>
      </c>
      <c r="J2224" s="4">
        <v>4253.42</v>
      </c>
      <c r="K2224" s="3">
        <v>70</v>
      </c>
      <c r="L2224" s="2" t="s">
        <v>2523</v>
      </c>
      <c r="M2224" s="2" t="s">
        <v>2524</v>
      </c>
      <c r="N2224" s="8">
        <f>IFERROR(G2224/F2224,0)</f>
        <v>5.5021128113195469E-2</v>
      </c>
      <c r="O2224" s="8">
        <f>IFERROR(H2224/G2224,0)</f>
        <v>1.3236363636363636E-2</v>
      </c>
      <c r="P2224" s="4">
        <f>IFERROR(I2224/G2224,0)</f>
        <v>0.51228654545454544</v>
      </c>
      <c r="Q2224" s="4">
        <f>IFERROR(I2224/H2224,0)</f>
        <v>38.702967032967031</v>
      </c>
      <c r="R2224" s="12">
        <f>IFERROR(J2224/I2224,0)</f>
        <v>1.2076820642992416</v>
      </c>
      <c r="S2224" s="7">
        <f>Tabla_nuevas_columnas[[#This Row],[ROAS]]</f>
        <v>1.2076820642992416</v>
      </c>
      <c r="T2224" t="str">
        <f>_xlfn.CONCAT(C2224,"-",D2224)</f>
        <v>Paid Search-México</v>
      </c>
      <c r="U2224">
        <f>YEAR(A2224)</f>
        <v>2025</v>
      </c>
      <c r="V2224">
        <f>MONTH(A2224)</f>
        <v>12</v>
      </c>
      <c r="W2224" t="str">
        <f>PROPER(TEXT(A2224,"mmmm"))</f>
        <v>Diciembre</v>
      </c>
      <c r="X2224" t="str">
        <f>PROPER(TEXT(A2224,"dddd"))</f>
        <v>Sábado</v>
      </c>
      <c r="Y2224" t="str" cm="1">
        <f t="array" ref="Y2224">_xlfn.IFS(R2224&gt;10,"Excelente",R2224&gt;=5,"Bueno",R2224&gt;=2,"Débil",R2224&lt;2,"Deficiente")</f>
        <v>Deficiente</v>
      </c>
      <c r="Z2224" t="str">
        <f>IF(AND(R2224&lt;2,Q2224&gt;=100),"Revisar","OK")</f>
        <v>OK</v>
      </c>
      <c r="AA2224" s="55">
        <f>_xlfn.XLOOKUP(C2224,'Preguntas de negocio'!$C$114:$C$119,'Preguntas de negocio'!$D$114:$D$119,0)</f>
        <v>5</v>
      </c>
      <c r="AB2224" s="55">
        <f>VLOOKUP(C2224,'Preguntas de negocio'!$C$121:$D$127,2,FALSE)</f>
        <v>1.1000000000000001</v>
      </c>
    </row>
    <row r="2225" spans="1:28" x14ac:dyDescent="0.3">
      <c r="A2225" s="1">
        <v>45679</v>
      </c>
      <c r="B2225" s="2" t="s">
        <v>2639</v>
      </c>
      <c r="C2225" s="2" t="s">
        <v>2541</v>
      </c>
      <c r="D2225" s="2" t="s">
        <v>2528</v>
      </c>
      <c r="E2225" s="2" t="s">
        <v>2529</v>
      </c>
      <c r="F2225" s="3">
        <v>141781</v>
      </c>
      <c r="G2225" s="3">
        <v>11568</v>
      </c>
      <c r="H2225" s="3">
        <v>796</v>
      </c>
      <c r="I2225" s="4">
        <v>9844.5300000000007</v>
      </c>
      <c r="J2225" s="4">
        <v>50838.76</v>
      </c>
      <c r="K2225" s="3">
        <v>503</v>
      </c>
      <c r="L2225" s="2" t="s">
        <v>2539</v>
      </c>
      <c r="M2225" s="2" t="s">
        <v>2537</v>
      </c>
      <c r="N2225" s="8">
        <f>IFERROR(G2225/F2225,0)</f>
        <v>8.1590622156706469E-2</v>
      </c>
      <c r="O2225" s="8">
        <f>IFERROR(H2225/G2225,0)</f>
        <v>6.8810511756569853E-2</v>
      </c>
      <c r="P2225" s="4">
        <f>IFERROR(I2225/G2225,0)</f>
        <v>0.85101400414937767</v>
      </c>
      <c r="Q2225" s="4">
        <f>IFERROR(I2225/H2225,0)</f>
        <v>12.367500000000001</v>
      </c>
      <c r="R2225" s="12">
        <f>IFERROR(J2225/I2225,0)</f>
        <v>5.1641632459853337</v>
      </c>
      <c r="S2225" s="7">
        <f>Tabla_nuevas_columnas[[#This Row],[ROAS]]</f>
        <v>5.1641632459853337</v>
      </c>
      <c r="T2225" t="str">
        <f>_xlfn.CONCAT(C2225,"-",D2225)</f>
        <v>Display-España</v>
      </c>
      <c r="U2225">
        <f>YEAR(A2225)</f>
        <v>2025</v>
      </c>
      <c r="V2225">
        <f>MONTH(A2225)</f>
        <v>1</v>
      </c>
      <c r="W2225" t="str">
        <f>PROPER(TEXT(A2225,"mmmm"))</f>
        <v>Enero</v>
      </c>
      <c r="X2225" t="str">
        <f>PROPER(TEXT(A2225,"dddd"))</f>
        <v>Miércoles</v>
      </c>
      <c r="Y2225" t="str" cm="1">
        <f t="array" ref="Y2225">_xlfn.IFS(R2225&gt;10,"Excelente",R2225&gt;=5,"Bueno",R2225&gt;=2,"Débil",R2225&lt;2,"Deficiente")</f>
        <v>Bueno</v>
      </c>
      <c r="Z2225" t="str">
        <f>IF(AND(R2225&lt;2,Q2225&gt;=100),"Revisar","OK")</f>
        <v>OK</v>
      </c>
      <c r="AA2225" s="55">
        <f>_xlfn.XLOOKUP(C2225,'Preguntas de negocio'!$C$114:$C$119,'Preguntas de negocio'!$D$114:$D$119,0)</f>
        <v>5</v>
      </c>
      <c r="AB2225" s="55">
        <f>VLOOKUP(C2225,'Preguntas de negocio'!$C$121:$D$127,2,FALSE)</f>
        <v>0.5</v>
      </c>
    </row>
    <row r="2226" spans="1:28" x14ac:dyDescent="0.3">
      <c r="A2226" s="1">
        <v>45814</v>
      </c>
      <c r="B2226" s="2" t="s">
        <v>2626</v>
      </c>
      <c r="C2226" s="2" t="s">
        <v>2543</v>
      </c>
      <c r="D2226" s="2" t="s">
        <v>2528</v>
      </c>
      <c r="E2226" s="2" t="s">
        <v>2517</v>
      </c>
      <c r="F2226" s="3">
        <v>20277</v>
      </c>
      <c r="G2226" s="3">
        <v>1600</v>
      </c>
      <c r="H2226" s="3">
        <v>140</v>
      </c>
      <c r="I2226" s="4">
        <v>1806.65</v>
      </c>
      <c r="J2226" s="4">
        <v>6237.7</v>
      </c>
      <c r="K2226" s="3">
        <v>117</v>
      </c>
      <c r="L2226" s="2" t="s">
        <v>2523</v>
      </c>
      <c r="M2226" s="2" t="s">
        <v>2519</v>
      </c>
      <c r="N2226" s="8">
        <f>IFERROR(G2226/F2226,0)</f>
        <v>7.890713616412684E-2</v>
      </c>
      <c r="O2226" s="8">
        <f>IFERROR(H2226/G2226,0)</f>
        <v>8.7499999999999994E-2</v>
      </c>
      <c r="P2226" s="4">
        <f>IFERROR(I2226/G2226,0)</f>
        <v>1.1291562500000001</v>
      </c>
      <c r="Q2226" s="4">
        <f>IFERROR(I2226/H2226,0)</f>
        <v>12.904642857142857</v>
      </c>
      <c r="R2226" s="12">
        <f>IFERROR(J2226/I2226,0)</f>
        <v>3.4526333268757088</v>
      </c>
      <c r="S2226" s="7">
        <f>Tabla_nuevas_columnas[[#This Row],[ROAS]]</f>
        <v>3.4526333268757088</v>
      </c>
      <c r="T2226" t="str">
        <f>_xlfn.CONCAT(C2226,"-",D2226)</f>
        <v>Organic Social-España</v>
      </c>
      <c r="U2226">
        <f>YEAR(A2226)</f>
        <v>2025</v>
      </c>
      <c r="V2226">
        <f>MONTH(A2226)</f>
        <v>6</v>
      </c>
      <c r="W2226" t="str">
        <f>PROPER(TEXT(A2226,"mmmm"))</f>
        <v>Junio</v>
      </c>
      <c r="X2226" t="str">
        <f>PROPER(TEXT(A2226,"dddd"))</f>
        <v>Viernes</v>
      </c>
      <c r="Y2226" t="str" cm="1">
        <f t="array" ref="Y2226">_xlfn.IFS(R2226&gt;10,"Excelente",R2226&gt;=5,"Bueno",R2226&gt;=2,"Débil",R2226&lt;2,"Deficiente")</f>
        <v>Débil</v>
      </c>
      <c r="Z2226" t="str">
        <f>IF(AND(R2226&lt;2,Q2226&gt;=100),"Revisar","OK")</f>
        <v>OK</v>
      </c>
      <c r="AA2226" s="55">
        <f>_xlfn.XLOOKUP(C2226,'Preguntas de negocio'!$C$114:$C$119,'Preguntas de negocio'!$D$114:$D$119,0)</f>
        <v>4</v>
      </c>
      <c r="AB2226" s="55">
        <f>VLOOKUP(C2226,'Preguntas de negocio'!$C$121:$D$127,2,FALSE)</f>
        <v>0.95</v>
      </c>
    </row>
    <row r="2227" spans="1:28" x14ac:dyDescent="0.3">
      <c r="A2227" s="1">
        <v>45940</v>
      </c>
      <c r="B2227" s="2" t="s">
        <v>2636</v>
      </c>
      <c r="C2227" s="2" t="s">
        <v>2645</v>
      </c>
      <c r="D2227" s="2" t="s">
        <v>2531</v>
      </c>
      <c r="E2227" s="2" t="s">
        <v>2529</v>
      </c>
      <c r="F2227" s="3">
        <v>18500</v>
      </c>
      <c r="G2227" s="3">
        <v>1656</v>
      </c>
      <c r="H2227" s="3">
        <v>18</v>
      </c>
      <c r="I2227" s="4">
        <v>2295.0300000000002</v>
      </c>
      <c r="J2227" s="4">
        <v>3644.14</v>
      </c>
      <c r="K2227" s="3">
        <v>14</v>
      </c>
      <c r="L2227" s="2" t="s">
        <v>2523</v>
      </c>
      <c r="M2227" s="2" t="s">
        <v>2519</v>
      </c>
      <c r="N2227" s="8">
        <f>IFERROR(G2227/F2227,0)</f>
        <v>8.9513513513513512E-2</v>
      </c>
      <c r="O2227" s="8">
        <f>IFERROR(H2227/G2227,0)</f>
        <v>1.0869565217391304E-2</v>
      </c>
      <c r="P2227" s="4">
        <f>IFERROR(I2227/G2227,0)</f>
        <v>1.3858876811594205</v>
      </c>
      <c r="Q2227" s="4">
        <f>IFERROR(I2227/H2227,0)</f>
        <v>127.50166666666668</v>
      </c>
      <c r="R2227" s="12">
        <f>IFERROR(J2227/I2227,0)</f>
        <v>1.587839810372849</v>
      </c>
      <c r="S2227" s="7">
        <f>Tabla_nuevas_columnas[[#This Row],[ROAS]]</f>
        <v>1.587839810372849</v>
      </c>
      <c r="T2227" t="str">
        <f>_xlfn.CONCAT(C2227,"-",D2227)</f>
        <v>Por identificar-Portugal</v>
      </c>
      <c r="U2227">
        <f>YEAR(A2227)</f>
        <v>2025</v>
      </c>
      <c r="V2227">
        <f>MONTH(A2227)</f>
        <v>10</v>
      </c>
      <c r="W2227" t="str">
        <f>PROPER(TEXT(A2227,"mmmm"))</f>
        <v>Octubre</v>
      </c>
      <c r="X2227" t="str">
        <f>PROPER(TEXT(A2227,"dddd"))</f>
        <v>Viernes</v>
      </c>
      <c r="Y2227" t="str" cm="1">
        <f t="array" ref="Y2227">_xlfn.IFS(R2227&gt;10,"Excelente",R2227&gt;=5,"Bueno",R2227&gt;=2,"Débil",R2227&lt;2,"Deficiente")</f>
        <v>Deficiente</v>
      </c>
      <c r="Z2227" t="str">
        <f>IF(AND(R2227&lt;2,Q2227&gt;=100),"Revisar","OK")</f>
        <v>Revisar</v>
      </c>
      <c r="AA2227" s="55">
        <f>_xlfn.XLOOKUP(C2227,'Preguntas de negocio'!$C$114:$C$119,'Preguntas de negocio'!$D$114:$D$119,0)</f>
        <v>0</v>
      </c>
      <c r="AB2227" s="55">
        <f>VLOOKUP(C2227,'Preguntas de negocio'!$C$121:$D$127,2,FALSE)</f>
        <v>0</v>
      </c>
    </row>
    <row r="2228" spans="1:28" x14ac:dyDescent="0.3">
      <c r="A2228" s="1">
        <v>45681</v>
      </c>
      <c r="B2228" s="2" t="s">
        <v>2633</v>
      </c>
      <c r="C2228" s="2" t="s">
        <v>2527</v>
      </c>
      <c r="D2228" s="2" t="s">
        <v>2522</v>
      </c>
      <c r="E2228" s="2" t="s">
        <v>2529</v>
      </c>
      <c r="F2228" s="3">
        <v>47596</v>
      </c>
      <c r="G2228" s="3">
        <v>1850</v>
      </c>
      <c r="H2228" s="3">
        <v>245</v>
      </c>
      <c r="I2228" s="4">
        <v>2493.3000000000002</v>
      </c>
      <c r="J2228" s="4">
        <v>53588.42</v>
      </c>
      <c r="K2228" s="3">
        <v>131</v>
      </c>
      <c r="L2228" s="2" t="s">
        <v>2523</v>
      </c>
      <c r="M2228" s="2" t="s">
        <v>2526</v>
      </c>
      <c r="N2228" s="8">
        <f>IFERROR(G2228/F2228,0)</f>
        <v>3.8868812505252544E-2</v>
      </c>
      <c r="O2228" s="8">
        <f>IFERROR(H2228/G2228,0)</f>
        <v>0.13243243243243244</v>
      </c>
      <c r="P2228" s="4">
        <f>IFERROR(I2228/G2228,0)</f>
        <v>1.3477297297297299</v>
      </c>
      <c r="Q2228" s="4">
        <f>IFERROR(I2228/H2228,0)</f>
        <v>10.176734693877552</v>
      </c>
      <c r="R2228" s="12">
        <f>IFERROR(J2228/I2228,0)</f>
        <v>21.492969157341673</v>
      </c>
      <c r="S2228" s="7">
        <f>Tabla_nuevas_columnas[[#This Row],[ROAS]]</f>
        <v>21.492969157341673</v>
      </c>
      <c r="T2228" t="str">
        <f>_xlfn.CONCAT(C2228,"-",D2228)</f>
        <v>Affiliate-Italia</v>
      </c>
      <c r="U2228">
        <f>YEAR(A2228)</f>
        <v>2025</v>
      </c>
      <c r="V2228">
        <f>MONTH(A2228)</f>
        <v>1</v>
      </c>
      <c r="W2228" t="str">
        <f>PROPER(TEXT(A2228,"mmmm"))</f>
        <v>Enero</v>
      </c>
      <c r="X2228" t="str">
        <f>PROPER(TEXT(A2228,"dddd"))</f>
        <v>Viernes</v>
      </c>
      <c r="Y2228" t="str" cm="1">
        <f t="array" ref="Y2228">_xlfn.IFS(R2228&gt;10,"Excelente",R2228&gt;=5,"Bueno",R2228&gt;=2,"Débil",R2228&lt;2,"Deficiente")</f>
        <v>Excelente</v>
      </c>
      <c r="Z2228" t="str">
        <f>IF(AND(R2228&lt;2,Q2228&gt;=100),"Revisar","OK")</f>
        <v>OK</v>
      </c>
      <c r="AA2228" s="55">
        <f>_xlfn.XLOOKUP(C2228,'Preguntas de negocio'!$C$114:$C$119,'Preguntas de negocio'!$D$114:$D$119,0)</f>
        <v>4.5</v>
      </c>
      <c r="AB2228" s="55">
        <f>VLOOKUP(C2228,'Preguntas de negocio'!$C$121:$D$127,2,FALSE)</f>
        <v>0.35</v>
      </c>
    </row>
    <row r="2229" spans="1:28" x14ac:dyDescent="0.3">
      <c r="A2229" s="1">
        <v>45889</v>
      </c>
      <c r="B2229" s="2" t="s">
        <v>2621</v>
      </c>
      <c r="C2229" s="2" t="s">
        <v>2533</v>
      </c>
      <c r="D2229" s="2" t="s">
        <v>2528</v>
      </c>
      <c r="E2229" s="2" t="s">
        <v>2529</v>
      </c>
      <c r="F2229" s="3">
        <v>108306</v>
      </c>
      <c r="G2229" s="3">
        <v>8389</v>
      </c>
      <c r="H2229" s="3">
        <v>967</v>
      </c>
      <c r="I2229" s="4">
        <v>7668.25</v>
      </c>
      <c r="J2229" s="4">
        <v>130326.22</v>
      </c>
      <c r="K2229" s="3">
        <v>650</v>
      </c>
      <c r="L2229" s="2" t="s">
        <v>2539</v>
      </c>
      <c r="M2229" s="2" t="s">
        <v>2537</v>
      </c>
      <c r="N2229" s="8">
        <f>IFERROR(G2229/F2229,0)</f>
        <v>7.7456465939098482E-2</v>
      </c>
      <c r="O2229" s="8">
        <f>IFERROR(H2229/G2229,0)</f>
        <v>0.11526999642388842</v>
      </c>
      <c r="P2229" s="4">
        <f>IFERROR(I2229/G2229,0)</f>
        <v>0.91408391941828582</v>
      </c>
      <c r="Q2229" s="4">
        <f>IFERROR(I2229/H2229,0)</f>
        <v>7.9299379524301967</v>
      </c>
      <c r="R2229" s="12">
        <f>IFERROR(J2229/I2229,0)</f>
        <v>16.995562220845695</v>
      </c>
      <c r="S2229" s="7">
        <f>Tabla_nuevas_columnas[[#This Row],[ROAS]]</f>
        <v>16.995562220845695</v>
      </c>
      <c r="T2229" t="str">
        <f>_xlfn.CONCAT(C2229,"-",D2229)</f>
        <v>Paid Social-España</v>
      </c>
      <c r="U2229">
        <f>YEAR(A2229)</f>
        <v>2025</v>
      </c>
      <c r="V2229">
        <f>MONTH(A2229)</f>
        <v>8</v>
      </c>
      <c r="W2229" t="str">
        <f>PROPER(TEXT(A2229,"mmmm"))</f>
        <v>Agosto</v>
      </c>
      <c r="X2229" t="str">
        <f>PROPER(TEXT(A2229,"dddd"))</f>
        <v>Miércoles</v>
      </c>
      <c r="Y2229" t="str" cm="1">
        <f t="array" ref="Y2229">_xlfn.IFS(R2229&gt;10,"Excelente",R2229&gt;=5,"Bueno",R2229&gt;=2,"Débil",R2229&lt;2,"Deficiente")</f>
        <v>Excelente</v>
      </c>
      <c r="Z2229" t="str">
        <f>IF(AND(R2229&lt;2,Q2229&gt;=100),"Revisar","OK")</f>
        <v>OK</v>
      </c>
      <c r="AA2229" s="55">
        <f>_xlfn.XLOOKUP(C2229,'Preguntas de negocio'!$C$114:$C$119,'Preguntas de negocio'!$D$114:$D$119,0)</f>
        <v>6</v>
      </c>
      <c r="AB2229" s="55">
        <f>VLOOKUP(C2229,'Preguntas de negocio'!$C$121:$D$127,2,FALSE)</f>
        <v>0.8</v>
      </c>
    </row>
    <row r="2230" spans="1:28" x14ac:dyDescent="0.3">
      <c r="A2230" s="1">
        <v>45831</v>
      </c>
      <c r="B2230" s="2" t="s">
        <v>2631</v>
      </c>
      <c r="C2230" s="2" t="s">
        <v>2541</v>
      </c>
      <c r="D2230" s="2" t="s">
        <v>2528</v>
      </c>
      <c r="E2230" s="2" t="s">
        <v>2517</v>
      </c>
      <c r="F2230" s="3">
        <v>170870</v>
      </c>
      <c r="G2230" s="3">
        <v>2505</v>
      </c>
      <c r="H2230" s="3">
        <v>58</v>
      </c>
      <c r="I2230" s="4">
        <v>3533.01</v>
      </c>
      <c r="J2230" s="4">
        <v>4634.3900000000003</v>
      </c>
      <c r="K2230" s="3">
        <v>43</v>
      </c>
      <c r="L2230" s="2" t="s">
        <v>2518</v>
      </c>
      <c r="M2230" s="2" t="s">
        <v>2519</v>
      </c>
      <c r="N2230" s="8">
        <f>IFERROR(G2230/F2230,0)</f>
        <v>1.4660268040030433E-2</v>
      </c>
      <c r="O2230" s="8">
        <f>IFERROR(H2230/G2230,0)</f>
        <v>2.315369261477046E-2</v>
      </c>
      <c r="P2230" s="4">
        <f>IFERROR(I2230/G2230,0)</f>
        <v>1.4103832335329343</v>
      </c>
      <c r="Q2230" s="4">
        <f>IFERROR(I2230/H2230,0)</f>
        <v>60.91396551724138</v>
      </c>
      <c r="R2230" s="12">
        <f>IFERROR(J2230/I2230,0)</f>
        <v>1.311739847891741</v>
      </c>
      <c r="S2230" s="7">
        <f>Tabla_nuevas_columnas[[#This Row],[ROAS]]</f>
        <v>1.311739847891741</v>
      </c>
      <c r="T2230" t="str">
        <f>_xlfn.CONCAT(C2230,"-",D2230)</f>
        <v>Display-España</v>
      </c>
      <c r="U2230">
        <f>YEAR(A2230)</f>
        <v>2025</v>
      </c>
      <c r="V2230">
        <f>MONTH(A2230)</f>
        <v>6</v>
      </c>
      <c r="W2230" t="str">
        <f>PROPER(TEXT(A2230,"mmmm"))</f>
        <v>Junio</v>
      </c>
      <c r="X2230" t="str">
        <f>PROPER(TEXT(A2230,"dddd"))</f>
        <v>Lunes</v>
      </c>
      <c r="Y2230" t="str" cm="1">
        <f t="array" ref="Y2230">_xlfn.IFS(R2230&gt;10,"Excelente",R2230&gt;=5,"Bueno",R2230&gt;=2,"Débil",R2230&lt;2,"Deficiente")</f>
        <v>Deficiente</v>
      </c>
      <c r="Z2230" t="str">
        <f>IF(AND(R2230&lt;2,Q2230&gt;=100),"Revisar","OK")</f>
        <v>OK</v>
      </c>
      <c r="AA2230" s="55">
        <f>_xlfn.XLOOKUP(C2230,'Preguntas de negocio'!$C$114:$C$119,'Preguntas de negocio'!$D$114:$D$119,0)</f>
        <v>5</v>
      </c>
      <c r="AB2230" s="55">
        <f>VLOOKUP(C2230,'Preguntas de negocio'!$C$121:$D$127,2,FALSE)</f>
        <v>0.5</v>
      </c>
    </row>
    <row r="2231" spans="1:28" x14ac:dyDescent="0.3">
      <c r="A2231" s="1">
        <v>45961</v>
      </c>
      <c r="B2231" s="2" t="s">
        <v>2641</v>
      </c>
      <c r="C2231" s="2" t="s">
        <v>2521</v>
      </c>
      <c r="D2231" s="2" t="s">
        <v>2516</v>
      </c>
      <c r="E2231" s="2" t="s">
        <v>2529</v>
      </c>
      <c r="F2231" s="3">
        <v>154720</v>
      </c>
      <c r="G2231" s="3">
        <v>5156</v>
      </c>
      <c r="H2231" s="3">
        <v>344</v>
      </c>
      <c r="I2231" s="4">
        <v>5514.36</v>
      </c>
      <c r="J2231" s="4">
        <v>65999.41</v>
      </c>
      <c r="K2231" s="3">
        <v>291</v>
      </c>
      <c r="L2231" s="2" t="s">
        <v>2536</v>
      </c>
      <c r="M2231" s="2" t="s">
        <v>2519</v>
      </c>
      <c r="N2231" s="8">
        <f>IFERROR(G2231/F2231,0)</f>
        <v>3.3324715615305069E-2</v>
      </c>
      <c r="O2231" s="8">
        <f>IFERROR(H2231/G2231,0)</f>
        <v>6.671838634600466E-2</v>
      </c>
      <c r="P2231" s="4">
        <f>IFERROR(I2231/G2231,0)</f>
        <v>1.0695034910783552</v>
      </c>
      <c r="Q2231" s="4">
        <f>IFERROR(I2231/H2231,0)</f>
        <v>16.030116279069766</v>
      </c>
      <c r="R2231" s="12">
        <f>IFERROR(J2231/I2231,0)</f>
        <v>11.968643686665363</v>
      </c>
      <c r="S2231" s="7">
        <f>Tabla_nuevas_columnas[[#This Row],[ROAS]]</f>
        <v>11.968643686665363</v>
      </c>
      <c r="T2231" t="str">
        <f>_xlfn.CONCAT(C2231,"-",D2231)</f>
        <v>Paid Search-México</v>
      </c>
      <c r="U2231">
        <f>YEAR(A2231)</f>
        <v>2025</v>
      </c>
      <c r="V2231">
        <f>MONTH(A2231)</f>
        <v>10</v>
      </c>
      <c r="W2231" t="str">
        <f>PROPER(TEXT(A2231,"mmmm"))</f>
        <v>Octubre</v>
      </c>
      <c r="X2231" t="str">
        <f>PROPER(TEXT(A2231,"dddd"))</f>
        <v>Viernes</v>
      </c>
      <c r="Y2231" t="str" cm="1">
        <f t="array" ref="Y2231">_xlfn.IFS(R2231&gt;10,"Excelente",R2231&gt;=5,"Bueno",R2231&gt;=2,"Débil",R2231&lt;2,"Deficiente")</f>
        <v>Excelente</v>
      </c>
      <c r="Z2231" t="str">
        <f>IF(AND(R2231&lt;2,Q2231&gt;=100),"Revisar","OK")</f>
        <v>OK</v>
      </c>
      <c r="AA2231" s="55">
        <f>_xlfn.XLOOKUP(C2231,'Preguntas de negocio'!$C$114:$C$119,'Preguntas de negocio'!$D$114:$D$119,0)</f>
        <v>5</v>
      </c>
      <c r="AB2231" s="55">
        <f>VLOOKUP(C2231,'Preguntas de negocio'!$C$121:$D$127,2,FALSE)</f>
        <v>1.1000000000000001</v>
      </c>
    </row>
    <row r="2232" spans="1:28" x14ac:dyDescent="0.3">
      <c r="A2232" s="1">
        <v>45857</v>
      </c>
      <c r="B2232" s="2" t="s">
        <v>2642</v>
      </c>
      <c r="C2232" s="2" t="s">
        <v>2515</v>
      </c>
      <c r="D2232" s="2" t="s">
        <v>2516</v>
      </c>
      <c r="E2232" s="2" t="s">
        <v>2517</v>
      </c>
      <c r="F2232" s="3">
        <v>105531</v>
      </c>
      <c r="G2232" s="3">
        <v>1779</v>
      </c>
      <c r="H2232" s="3">
        <v>97</v>
      </c>
      <c r="I2232" s="4">
        <v>2397.8200000000002</v>
      </c>
      <c r="J2232" s="4">
        <v>14815.12</v>
      </c>
      <c r="K2232" s="3">
        <v>45</v>
      </c>
      <c r="L2232" s="2" t="s">
        <v>2536</v>
      </c>
      <c r="M2232" s="2" t="s">
        <v>2537</v>
      </c>
      <c r="N2232" s="8">
        <f>IFERROR(G2232/F2232,0)</f>
        <v>1.6857605821985956E-2</v>
      </c>
      <c r="O2232" s="8">
        <f>IFERROR(H2232/G2232,0)</f>
        <v>5.4525014052838675E-2</v>
      </c>
      <c r="P2232" s="4">
        <f>IFERROR(I2232/G2232,0)</f>
        <v>1.3478471051152334</v>
      </c>
      <c r="Q2232" s="4">
        <f>IFERROR(I2232/H2232,0)</f>
        <v>24.71979381443299</v>
      </c>
      <c r="R2232" s="12">
        <f>IFERROR(J2232/I2232,0)</f>
        <v>6.178578875812196</v>
      </c>
      <c r="S2232" s="7">
        <f>Tabla_nuevas_columnas[[#This Row],[ROAS]]</f>
        <v>6.178578875812196</v>
      </c>
      <c r="T2232" t="str">
        <f>_xlfn.CONCAT(C2232,"-",D2232)</f>
        <v>Email-México</v>
      </c>
      <c r="U2232">
        <f>YEAR(A2232)</f>
        <v>2025</v>
      </c>
      <c r="V2232">
        <f>MONTH(A2232)</f>
        <v>7</v>
      </c>
      <c r="W2232" t="str">
        <f>PROPER(TEXT(A2232,"mmmm"))</f>
        <v>Julio</v>
      </c>
      <c r="X2232" t="str">
        <f>PROPER(TEXT(A2232,"dddd"))</f>
        <v>Sábado</v>
      </c>
      <c r="Y2232" t="str" cm="1">
        <f t="array" ref="Y2232">_xlfn.IFS(R2232&gt;10,"Excelente",R2232&gt;=5,"Bueno",R2232&gt;=2,"Débil",R2232&lt;2,"Deficiente")</f>
        <v>Bueno</v>
      </c>
      <c r="Z2232" t="str">
        <f>IF(AND(R2232&lt;2,Q2232&gt;=100),"Revisar","OK")</f>
        <v>OK</v>
      </c>
      <c r="AA2232" s="55">
        <f>_xlfn.XLOOKUP(C2232,'Preguntas de negocio'!$C$114:$C$119,'Preguntas de negocio'!$D$114:$D$119,0)</f>
        <v>5.5</v>
      </c>
      <c r="AB2232" s="55">
        <f>VLOOKUP(C2232,'Preguntas de negocio'!$C$121:$D$127,2,FALSE)</f>
        <v>0.65</v>
      </c>
    </row>
    <row r="2233" spans="1:28" x14ac:dyDescent="0.3">
      <c r="A2233" s="1">
        <v>45748</v>
      </c>
      <c r="B2233" s="2" t="s">
        <v>2617</v>
      </c>
      <c r="C2233" s="2" t="s">
        <v>2521</v>
      </c>
      <c r="D2233" s="2" t="s">
        <v>2531</v>
      </c>
      <c r="E2233" s="2" t="s">
        <v>2517</v>
      </c>
      <c r="F2233" s="3">
        <v>150936</v>
      </c>
      <c r="G2233" s="3">
        <v>5880</v>
      </c>
      <c r="H2233" s="3">
        <v>732</v>
      </c>
      <c r="I2233" s="4">
        <v>10803.19</v>
      </c>
      <c r="J2233" s="4">
        <v>83522.41</v>
      </c>
      <c r="K2233" s="3">
        <v>381</v>
      </c>
      <c r="L2233" s="2" t="s">
        <v>2518</v>
      </c>
      <c r="M2233" s="2" t="s">
        <v>2537</v>
      </c>
      <c r="N2233" s="8">
        <f>IFERROR(G2233/F2233,0)</f>
        <v>3.8956908888535535E-2</v>
      </c>
      <c r="O2233" s="8">
        <f>IFERROR(H2233/G2233,0)</f>
        <v>0.12448979591836734</v>
      </c>
      <c r="P2233" s="4">
        <f>IFERROR(I2233/G2233,0)</f>
        <v>1.8372772108843538</v>
      </c>
      <c r="Q2233" s="4">
        <f>IFERROR(I2233/H2233,0)</f>
        <v>14.758456284153006</v>
      </c>
      <c r="R2233" s="12">
        <f>IFERROR(J2233/I2233,0)</f>
        <v>7.7312728925437764</v>
      </c>
      <c r="S2233" s="7">
        <f>Tabla_nuevas_columnas[[#This Row],[ROAS]]</f>
        <v>7.7312728925437764</v>
      </c>
      <c r="T2233" t="str">
        <f>_xlfn.CONCAT(C2233,"-",D2233)</f>
        <v>Paid Search-Portugal</v>
      </c>
      <c r="U2233">
        <f>YEAR(A2233)</f>
        <v>2025</v>
      </c>
      <c r="V2233">
        <f>MONTH(A2233)</f>
        <v>4</v>
      </c>
      <c r="W2233" t="str">
        <f>PROPER(TEXT(A2233,"mmmm"))</f>
        <v>Abril</v>
      </c>
      <c r="X2233" t="str">
        <f>PROPER(TEXT(A2233,"dddd"))</f>
        <v>Martes</v>
      </c>
      <c r="Y2233" t="str" cm="1">
        <f t="array" ref="Y2233">_xlfn.IFS(R2233&gt;10,"Excelente",R2233&gt;=5,"Bueno",R2233&gt;=2,"Débil",R2233&lt;2,"Deficiente")</f>
        <v>Bueno</v>
      </c>
      <c r="Z2233" t="str">
        <f>IF(AND(R2233&lt;2,Q2233&gt;=100),"Revisar","OK")</f>
        <v>OK</v>
      </c>
      <c r="AA2233" s="55">
        <f>_xlfn.XLOOKUP(C2233,'Preguntas de negocio'!$C$114:$C$119,'Preguntas de negocio'!$D$114:$D$119,0)</f>
        <v>5</v>
      </c>
      <c r="AB2233" s="55">
        <f>VLOOKUP(C2233,'Preguntas de negocio'!$C$121:$D$127,2,FALSE)</f>
        <v>1.1000000000000001</v>
      </c>
    </row>
    <row r="2234" spans="1:28" x14ac:dyDescent="0.3">
      <c r="A2234" s="1">
        <v>45984</v>
      </c>
      <c r="B2234" s="2" t="s">
        <v>2627</v>
      </c>
      <c r="C2234" s="2" t="s">
        <v>2541</v>
      </c>
      <c r="D2234" s="2" t="s">
        <v>2528</v>
      </c>
      <c r="E2234" s="2" t="s">
        <v>2517</v>
      </c>
      <c r="F2234" s="3">
        <v>141521</v>
      </c>
      <c r="G2234" s="3">
        <v>11874</v>
      </c>
      <c r="H2234" s="3">
        <v>622</v>
      </c>
      <c r="I2234" s="4">
        <v>1603.67</v>
      </c>
      <c r="J2234" s="4">
        <v>92673.96</v>
      </c>
      <c r="K2234" s="3">
        <v>365</v>
      </c>
      <c r="L2234" s="2" t="s">
        <v>2518</v>
      </c>
      <c r="M2234" s="2" t="s">
        <v>2524</v>
      </c>
      <c r="N2234" s="8">
        <f>IFERROR(G2234/F2234,0)</f>
        <v>8.3902742349191997E-2</v>
      </c>
      <c r="O2234" s="8">
        <f>IFERROR(H2234/G2234,0)</f>
        <v>5.2383358598618833E-2</v>
      </c>
      <c r="P2234" s="4">
        <f>IFERROR(I2234/G2234,0)</f>
        <v>0.13505726798046153</v>
      </c>
      <c r="Q2234" s="4">
        <f>IFERROR(I2234/H2234,0)</f>
        <v>2.5782475884244374</v>
      </c>
      <c r="R2234" s="12">
        <f>IFERROR(J2234/I2234,0)</f>
        <v>57.788672233065405</v>
      </c>
      <c r="S2234" s="7">
        <f>Tabla_nuevas_columnas[[#This Row],[ROAS]]</f>
        <v>57.788672233065405</v>
      </c>
      <c r="T2234" t="str">
        <f>_xlfn.CONCAT(C2234,"-",D2234)</f>
        <v>Display-España</v>
      </c>
      <c r="U2234">
        <f>YEAR(A2234)</f>
        <v>2025</v>
      </c>
      <c r="V2234">
        <f>MONTH(A2234)</f>
        <v>11</v>
      </c>
      <c r="W2234" t="str">
        <f>PROPER(TEXT(A2234,"mmmm"))</f>
        <v>Noviembre</v>
      </c>
      <c r="X2234" t="str">
        <f>PROPER(TEXT(A2234,"dddd"))</f>
        <v>Domingo</v>
      </c>
      <c r="Y2234" t="str" cm="1">
        <f t="array" ref="Y2234">_xlfn.IFS(R2234&gt;10,"Excelente",R2234&gt;=5,"Bueno",R2234&gt;=2,"Débil",R2234&lt;2,"Deficiente")</f>
        <v>Excelente</v>
      </c>
      <c r="Z2234" t="str">
        <f>IF(AND(R2234&lt;2,Q2234&gt;=100),"Revisar","OK")</f>
        <v>OK</v>
      </c>
      <c r="AA2234" s="55">
        <f>_xlfn.XLOOKUP(C2234,'Preguntas de negocio'!$C$114:$C$119,'Preguntas de negocio'!$D$114:$D$119,0)</f>
        <v>5</v>
      </c>
      <c r="AB2234" s="55">
        <f>VLOOKUP(C2234,'Preguntas de negocio'!$C$121:$D$127,2,FALSE)</f>
        <v>0.5</v>
      </c>
    </row>
    <row r="2235" spans="1:28" x14ac:dyDescent="0.3">
      <c r="A2235" s="1">
        <v>45741</v>
      </c>
      <c r="B2235" s="2" t="s">
        <v>2625</v>
      </c>
      <c r="C2235" s="2" t="s">
        <v>2533</v>
      </c>
      <c r="D2235" s="2" t="s">
        <v>2528</v>
      </c>
      <c r="E2235" s="2" t="s">
        <v>2517</v>
      </c>
      <c r="F2235" s="3">
        <v>14517</v>
      </c>
      <c r="G2235" s="3">
        <v>427</v>
      </c>
      <c r="H2235" s="3">
        <v>58</v>
      </c>
      <c r="I2235" s="4">
        <v>619.94000000000005</v>
      </c>
      <c r="J2235" s="4">
        <v>2722.83</v>
      </c>
      <c r="K2235" s="3">
        <v>37</v>
      </c>
      <c r="L2235" s="2" t="s">
        <v>2523</v>
      </c>
      <c r="M2235" s="2" t="s">
        <v>2537</v>
      </c>
      <c r="N2235" s="8">
        <f>IFERROR(G2235/F2235,0)</f>
        <v>2.9413790728111868E-2</v>
      </c>
      <c r="O2235" s="8">
        <f>IFERROR(H2235/G2235,0)</f>
        <v>0.13583138173302109</v>
      </c>
      <c r="P2235" s="4">
        <f>IFERROR(I2235/G2235,0)</f>
        <v>1.451850117096019</v>
      </c>
      <c r="Q2235" s="4">
        <f>IFERROR(I2235/H2235,0)</f>
        <v>10.688620689655174</v>
      </c>
      <c r="R2235" s="12">
        <f>IFERROR(J2235/I2235,0)</f>
        <v>4.3920863309352516</v>
      </c>
      <c r="S2235" s="7">
        <f>Tabla_nuevas_columnas[[#This Row],[ROAS]]</f>
        <v>4.3920863309352516</v>
      </c>
      <c r="T2235" t="str">
        <f>_xlfn.CONCAT(C2235,"-",D2235)</f>
        <v>Paid Social-España</v>
      </c>
      <c r="U2235">
        <f>YEAR(A2235)</f>
        <v>2025</v>
      </c>
      <c r="V2235">
        <f>MONTH(A2235)</f>
        <v>3</v>
      </c>
      <c r="W2235" t="str">
        <f>PROPER(TEXT(A2235,"mmmm"))</f>
        <v>Marzo</v>
      </c>
      <c r="X2235" t="str">
        <f>PROPER(TEXT(A2235,"dddd"))</f>
        <v>Martes</v>
      </c>
      <c r="Y2235" t="str" cm="1">
        <f t="array" ref="Y2235">_xlfn.IFS(R2235&gt;10,"Excelente",R2235&gt;=5,"Bueno",R2235&gt;=2,"Débil",R2235&lt;2,"Deficiente")</f>
        <v>Débil</v>
      </c>
      <c r="Z2235" t="str">
        <f>IF(AND(R2235&lt;2,Q2235&gt;=100),"Revisar","OK")</f>
        <v>OK</v>
      </c>
      <c r="AA2235" s="55">
        <f>_xlfn.XLOOKUP(C2235,'Preguntas de negocio'!$C$114:$C$119,'Preguntas de negocio'!$D$114:$D$119,0)</f>
        <v>6</v>
      </c>
      <c r="AB2235" s="55">
        <f>VLOOKUP(C2235,'Preguntas de negocio'!$C$121:$D$127,2,FALSE)</f>
        <v>0.8</v>
      </c>
    </row>
    <row r="2236" spans="1:28" x14ac:dyDescent="0.3">
      <c r="A2236" s="1">
        <v>45977</v>
      </c>
      <c r="B2236" s="2" t="s">
        <v>2622</v>
      </c>
      <c r="C2236" s="2" t="s">
        <v>2543</v>
      </c>
      <c r="D2236" s="2" t="s">
        <v>2525</v>
      </c>
      <c r="E2236" s="2" t="s">
        <v>2529</v>
      </c>
      <c r="F2236" s="3">
        <v>104634</v>
      </c>
      <c r="G2236" s="3">
        <v>7855</v>
      </c>
      <c r="H2236" s="3">
        <v>458</v>
      </c>
      <c r="I2236" s="4">
        <v>6478.7</v>
      </c>
      <c r="J2236" s="4">
        <v>83699.19</v>
      </c>
      <c r="K2236" s="3">
        <v>360</v>
      </c>
      <c r="L2236" s="2" t="s">
        <v>2518</v>
      </c>
      <c r="M2236" s="2" t="s">
        <v>2526</v>
      </c>
      <c r="N2236" s="8">
        <f>IFERROR(G2236/F2236,0)</f>
        <v>7.5071200565781676E-2</v>
      </c>
      <c r="O2236" s="8">
        <f>IFERROR(H2236/G2236,0)</f>
        <v>5.8306810948440486E-2</v>
      </c>
      <c r="P2236" s="4">
        <f>IFERROR(I2236/G2236,0)</f>
        <v>0.82478676002546147</v>
      </c>
      <c r="Q2236" s="4">
        <f>IFERROR(I2236/H2236,0)</f>
        <v>14.145633187772926</v>
      </c>
      <c r="R2236" s="12">
        <f>IFERROR(J2236/I2236,0)</f>
        <v>12.91913346813404</v>
      </c>
      <c r="S2236" s="7">
        <f>Tabla_nuevas_columnas[[#This Row],[ROAS]]</f>
        <v>12.91913346813404</v>
      </c>
      <c r="T2236" t="str">
        <f>_xlfn.CONCAT(C2236,"-",D2236)</f>
        <v>Organic Social-Francia</v>
      </c>
      <c r="U2236">
        <f>YEAR(A2236)</f>
        <v>2025</v>
      </c>
      <c r="V2236">
        <f>MONTH(A2236)</f>
        <v>11</v>
      </c>
      <c r="W2236" t="str">
        <f>PROPER(TEXT(A2236,"mmmm"))</f>
        <v>Noviembre</v>
      </c>
      <c r="X2236" t="str">
        <f>PROPER(TEXT(A2236,"dddd"))</f>
        <v>Domingo</v>
      </c>
      <c r="Y2236" t="str" cm="1">
        <f t="array" ref="Y2236">_xlfn.IFS(R2236&gt;10,"Excelente",R2236&gt;=5,"Bueno",R2236&gt;=2,"Débil",R2236&lt;2,"Deficiente")</f>
        <v>Excelente</v>
      </c>
      <c r="Z2236" t="str">
        <f>IF(AND(R2236&lt;2,Q2236&gt;=100),"Revisar","OK")</f>
        <v>OK</v>
      </c>
      <c r="AA2236" s="55">
        <f>_xlfn.XLOOKUP(C2236,'Preguntas de negocio'!$C$114:$C$119,'Preguntas de negocio'!$D$114:$D$119,0)</f>
        <v>4</v>
      </c>
      <c r="AB2236" s="55">
        <f>VLOOKUP(C2236,'Preguntas de negocio'!$C$121:$D$127,2,FALSE)</f>
        <v>0.95</v>
      </c>
    </row>
    <row r="2237" spans="1:28" x14ac:dyDescent="0.3">
      <c r="A2237" s="1">
        <v>45689</v>
      </c>
      <c r="B2237" s="2" t="s">
        <v>2626</v>
      </c>
      <c r="C2237" s="2" t="s">
        <v>2541</v>
      </c>
      <c r="D2237" s="2" t="s">
        <v>2528</v>
      </c>
      <c r="E2237" s="2" t="s">
        <v>2517</v>
      </c>
      <c r="F2237" s="3">
        <v>69685</v>
      </c>
      <c r="G2237" s="3">
        <v>6204</v>
      </c>
      <c r="H2237" s="3">
        <v>360</v>
      </c>
      <c r="I2237" s="4">
        <v>5547.72</v>
      </c>
      <c r="J2237" s="4">
        <v>50927.26</v>
      </c>
      <c r="K2237" s="3">
        <v>268</v>
      </c>
      <c r="L2237" s="2" t="s">
        <v>2518</v>
      </c>
      <c r="M2237" s="2" t="s">
        <v>2524</v>
      </c>
      <c r="N2237" s="8">
        <f>IFERROR(G2237/F2237,0)</f>
        <v>8.9029202841357541E-2</v>
      </c>
      <c r="O2237" s="8">
        <f>IFERROR(H2237/G2237,0)</f>
        <v>5.8027079303675046E-2</v>
      </c>
      <c r="P2237" s="4">
        <f>IFERROR(I2237/G2237,0)</f>
        <v>0.89421663442940047</v>
      </c>
      <c r="Q2237" s="4">
        <f>IFERROR(I2237/H2237,0)</f>
        <v>15.410333333333334</v>
      </c>
      <c r="R2237" s="12">
        <f>IFERROR(J2237/I2237,0)</f>
        <v>9.1798540661749328</v>
      </c>
      <c r="S2237" s="7">
        <f>Tabla_nuevas_columnas[[#This Row],[ROAS]]</f>
        <v>9.1798540661749328</v>
      </c>
      <c r="T2237" t="str">
        <f>_xlfn.CONCAT(C2237,"-",D2237)</f>
        <v>Display-España</v>
      </c>
      <c r="U2237">
        <f>YEAR(A2237)</f>
        <v>2025</v>
      </c>
      <c r="V2237">
        <f>MONTH(A2237)</f>
        <v>2</v>
      </c>
      <c r="W2237" t="str">
        <f>PROPER(TEXT(A2237,"mmmm"))</f>
        <v>Febrero</v>
      </c>
      <c r="X2237" t="str">
        <f>PROPER(TEXT(A2237,"dddd"))</f>
        <v>Sábado</v>
      </c>
      <c r="Y2237" t="str" cm="1">
        <f t="array" ref="Y2237">_xlfn.IFS(R2237&gt;10,"Excelente",R2237&gt;=5,"Bueno",R2237&gt;=2,"Débil",R2237&lt;2,"Deficiente")</f>
        <v>Bueno</v>
      </c>
      <c r="Z2237" t="str">
        <f>IF(AND(R2237&lt;2,Q2237&gt;=100),"Revisar","OK")</f>
        <v>OK</v>
      </c>
      <c r="AA2237" s="55">
        <f>_xlfn.XLOOKUP(C2237,'Preguntas de negocio'!$C$114:$C$119,'Preguntas de negocio'!$D$114:$D$119,0)</f>
        <v>5</v>
      </c>
      <c r="AB2237" s="55">
        <f>VLOOKUP(C2237,'Preguntas de negocio'!$C$121:$D$127,2,FALSE)</f>
        <v>0.5</v>
      </c>
    </row>
    <row r="2238" spans="1:28" x14ac:dyDescent="0.3">
      <c r="A2238" s="1">
        <v>45691</v>
      </c>
      <c r="B2238" s="2" t="s">
        <v>2625</v>
      </c>
      <c r="C2238" s="2" t="s">
        <v>2527</v>
      </c>
      <c r="D2238" s="2" t="s">
        <v>2528</v>
      </c>
      <c r="E2238" s="2" t="s">
        <v>2517</v>
      </c>
      <c r="F2238" s="3">
        <v>105828</v>
      </c>
      <c r="G2238" s="3">
        <v>1596</v>
      </c>
      <c r="H2238" s="3">
        <v>198</v>
      </c>
      <c r="I2238" s="4">
        <v>2053.38</v>
      </c>
      <c r="J2238" s="4">
        <v>32741.25</v>
      </c>
      <c r="K2238" s="3">
        <v>102</v>
      </c>
      <c r="L2238" s="2" t="s">
        <v>2536</v>
      </c>
      <c r="M2238" s="2" t="s">
        <v>2537</v>
      </c>
      <c r="N2238" s="8">
        <f>IFERROR(G2238/F2238,0)</f>
        <v>1.5081074951808595E-2</v>
      </c>
      <c r="O2238" s="8">
        <f>IFERROR(H2238/G2238,0)</f>
        <v>0.12406015037593984</v>
      </c>
      <c r="P2238" s="4">
        <f>IFERROR(I2238/G2238,0)</f>
        <v>1.286578947368421</v>
      </c>
      <c r="Q2238" s="4">
        <f>IFERROR(I2238/H2238,0)</f>
        <v>10.370606060606061</v>
      </c>
      <c r="R2238" s="12">
        <f>IFERROR(J2238/I2238,0)</f>
        <v>15.945051573503198</v>
      </c>
      <c r="S2238" s="7">
        <f>Tabla_nuevas_columnas[[#This Row],[ROAS]]</f>
        <v>15.945051573503198</v>
      </c>
      <c r="T2238" t="str">
        <f>_xlfn.CONCAT(C2238,"-",D2238)</f>
        <v>Affiliate-España</v>
      </c>
      <c r="U2238">
        <f>YEAR(A2238)</f>
        <v>2025</v>
      </c>
      <c r="V2238">
        <f>MONTH(A2238)</f>
        <v>2</v>
      </c>
      <c r="W2238" t="str">
        <f>PROPER(TEXT(A2238,"mmmm"))</f>
        <v>Febrero</v>
      </c>
      <c r="X2238" t="str">
        <f>PROPER(TEXT(A2238,"dddd"))</f>
        <v>Lunes</v>
      </c>
      <c r="Y2238" t="str" cm="1">
        <f t="array" ref="Y2238">_xlfn.IFS(R2238&gt;10,"Excelente",R2238&gt;=5,"Bueno",R2238&gt;=2,"Débil",R2238&lt;2,"Deficiente")</f>
        <v>Excelente</v>
      </c>
      <c r="Z2238" t="str">
        <f>IF(AND(R2238&lt;2,Q2238&gt;=100),"Revisar","OK")</f>
        <v>OK</v>
      </c>
      <c r="AA2238" s="55">
        <f>_xlfn.XLOOKUP(C2238,'Preguntas de negocio'!$C$114:$C$119,'Preguntas de negocio'!$D$114:$D$119,0)</f>
        <v>4.5</v>
      </c>
      <c r="AB2238" s="55">
        <f>VLOOKUP(C2238,'Preguntas de negocio'!$C$121:$D$127,2,FALSE)</f>
        <v>0.35</v>
      </c>
    </row>
    <row r="2239" spans="1:28" x14ac:dyDescent="0.3">
      <c r="A2239" s="1">
        <v>45814</v>
      </c>
      <c r="B2239" s="2" t="s">
        <v>2616</v>
      </c>
      <c r="C2239" s="2" t="s">
        <v>2515</v>
      </c>
      <c r="D2239" s="2" t="s">
        <v>2525</v>
      </c>
      <c r="E2239" s="2" t="s">
        <v>2517</v>
      </c>
      <c r="F2239" s="3">
        <v>65462</v>
      </c>
      <c r="G2239" s="3">
        <v>1781</v>
      </c>
      <c r="H2239" s="3">
        <v>79</v>
      </c>
      <c r="I2239" s="4">
        <v>1507.78</v>
      </c>
      <c r="J2239" s="4">
        <v>11500.07</v>
      </c>
      <c r="K2239" s="3">
        <v>46</v>
      </c>
      <c r="L2239" s="2" t="s">
        <v>2539</v>
      </c>
      <c r="M2239" s="2" t="s">
        <v>2546</v>
      </c>
      <c r="N2239" s="8">
        <f>IFERROR(G2239/F2239,0)</f>
        <v>2.7206623690079743E-2</v>
      </c>
      <c r="O2239" s="8">
        <f>IFERROR(H2239/G2239,0)</f>
        <v>4.4357102751263332E-2</v>
      </c>
      <c r="P2239" s="4">
        <f>IFERROR(I2239/G2239,0)</f>
        <v>0.84659180235822573</v>
      </c>
      <c r="Q2239" s="4">
        <f>IFERROR(I2239/H2239,0)</f>
        <v>19.085822784810127</v>
      </c>
      <c r="R2239" s="12">
        <f>IFERROR(J2239/I2239,0)</f>
        <v>7.6271538288079164</v>
      </c>
      <c r="S2239" s="7">
        <f>Tabla_nuevas_columnas[[#This Row],[ROAS]]</f>
        <v>7.6271538288079164</v>
      </c>
      <c r="T2239" t="str">
        <f>_xlfn.CONCAT(C2239,"-",D2239)</f>
        <v>Email-Francia</v>
      </c>
      <c r="U2239">
        <f>YEAR(A2239)</f>
        <v>2025</v>
      </c>
      <c r="V2239">
        <f>MONTH(A2239)</f>
        <v>6</v>
      </c>
      <c r="W2239" t="str">
        <f>PROPER(TEXT(A2239,"mmmm"))</f>
        <v>Junio</v>
      </c>
      <c r="X2239" t="str">
        <f>PROPER(TEXT(A2239,"dddd"))</f>
        <v>Viernes</v>
      </c>
      <c r="Y2239" t="str" cm="1">
        <f t="array" ref="Y2239">_xlfn.IFS(R2239&gt;10,"Excelente",R2239&gt;=5,"Bueno",R2239&gt;=2,"Débil",R2239&lt;2,"Deficiente")</f>
        <v>Bueno</v>
      </c>
      <c r="Z2239" t="str">
        <f>IF(AND(R2239&lt;2,Q2239&gt;=100),"Revisar","OK")</f>
        <v>OK</v>
      </c>
      <c r="AA2239" s="55">
        <f>_xlfn.XLOOKUP(C2239,'Preguntas de negocio'!$C$114:$C$119,'Preguntas de negocio'!$D$114:$D$119,0)</f>
        <v>5.5</v>
      </c>
      <c r="AB2239" s="55">
        <f>VLOOKUP(C2239,'Preguntas de negocio'!$C$121:$D$127,2,FALSE)</f>
        <v>0.65</v>
      </c>
    </row>
    <row r="2240" spans="1:28" x14ac:dyDescent="0.3">
      <c r="A2240" s="1">
        <v>45829</v>
      </c>
      <c r="B2240" s="2" t="s">
        <v>2641</v>
      </c>
      <c r="C2240" s="2" t="s">
        <v>2541</v>
      </c>
      <c r="D2240" s="2" t="s">
        <v>2516</v>
      </c>
      <c r="E2240" s="2" t="s">
        <v>2529</v>
      </c>
      <c r="F2240" s="3">
        <v>31248</v>
      </c>
      <c r="G2240" s="3">
        <v>2618</v>
      </c>
      <c r="H2240" s="3">
        <v>298</v>
      </c>
      <c r="I2240" s="4">
        <v>3166.54</v>
      </c>
      <c r="J2240" s="4">
        <v>27031.68</v>
      </c>
      <c r="K2240" s="3">
        <v>181</v>
      </c>
      <c r="L2240" s="2" t="s">
        <v>2539</v>
      </c>
      <c r="M2240" s="2" t="s">
        <v>2537</v>
      </c>
      <c r="N2240" s="8">
        <f>IFERROR(G2240/F2240,0)</f>
        <v>8.3781362007168458E-2</v>
      </c>
      <c r="O2240" s="8">
        <f>IFERROR(H2240/G2240,0)</f>
        <v>0.11382734912146678</v>
      </c>
      <c r="P2240" s="4">
        <f>IFERROR(I2240/G2240,0)</f>
        <v>1.2095263559969442</v>
      </c>
      <c r="Q2240" s="4">
        <f>IFERROR(I2240/H2240,0)</f>
        <v>10.625973154362416</v>
      </c>
      <c r="R2240" s="12">
        <f>IFERROR(J2240/I2240,0)</f>
        <v>8.5366614664586589</v>
      </c>
      <c r="S2240" s="7">
        <f>Tabla_nuevas_columnas[[#This Row],[ROAS]]</f>
        <v>8.5366614664586589</v>
      </c>
      <c r="T2240" t="str">
        <f>_xlfn.CONCAT(C2240,"-",D2240)</f>
        <v>Display-México</v>
      </c>
      <c r="U2240">
        <f>YEAR(A2240)</f>
        <v>2025</v>
      </c>
      <c r="V2240">
        <f>MONTH(A2240)</f>
        <v>6</v>
      </c>
      <c r="W2240" t="str">
        <f>PROPER(TEXT(A2240,"mmmm"))</f>
        <v>Junio</v>
      </c>
      <c r="X2240" t="str">
        <f>PROPER(TEXT(A2240,"dddd"))</f>
        <v>Sábado</v>
      </c>
      <c r="Y2240" t="str" cm="1">
        <f t="array" ref="Y2240">_xlfn.IFS(R2240&gt;10,"Excelente",R2240&gt;=5,"Bueno",R2240&gt;=2,"Débil",R2240&lt;2,"Deficiente")</f>
        <v>Bueno</v>
      </c>
      <c r="Z2240" t="str">
        <f>IF(AND(R2240&lt;2,Q2240&gt;=100),"Revisar","OK")</f>
        <v>OK</v>
      </c>
      <c r="AA2240" s="55">
        <f>_xlfn.XLOOKUP(C2240,'Preguntas de negocio'!$C$114:$C$119,'Preguntas de negocio'!$D$114:$D$119,0)</f>
        <v>5</v>
      </c>
      <c r="AB2240" s="55">
        <f>VLOOKUP(C2240,'Preguntas de negocio'!$C$121:$D$127,2,FALSE)</f>
        <v>0.5</v>
      </c>
    </row>
    <row r="2241" spans="1:28" x14ac:dyDescent="0.3">
      <c r="A2241" s="1">
        <v>45785</v>
      </c>
      <c r="B2241" s="2" t="s">
        <v>2644</v>
      </c>
      <c r="C2241" s="2" t="s">
        <v>2543</v>
      </c>
      <c r="D2241" s="2" t="s">
        <v>2522</v>
      </c>
      <c r="E2241" s="2" t="s">
        <v>2529</v>
      </c>
      <c r="F2241" s="3">
        <v>1025</v>
      </c>
      <c r="G2241" s="3">
        <v>65</v>
      </c>
      <c r="H2241" s="3">
        <v>8</v>
      </c>
      <c r="I2241" s="4">
        <v>36.64</v>
      </c>
      <c r="J2241" s="4">
        <v>1579.3</v>
      </c>
      <c r="K2241" s="3">
        <v>4</v>
      </c>
      <c r="L2241" s="2" t="s">
        <v>2523</v>
      </c>
      <c r="M2241" s="2" t="s">
        <v>2537</v>
      </c>
      <c r="N2241" s="8">
        <f>IFERROR(G2241/F2241,0)</f>
        <v>6.3414634146341464E-2</v>
      </c>
      <c r="O2241" s="8">
        <f>IFERROR(H2241/G2241,0)</f>
        <v>0.12307692307692308</v>
      </c>
      <c r="P2241" s="4">
        <f>IFERROR(I2241/G2241,0)</f>
        <v>0.56369230769230771</v>
      </c>
      <c r="Q2241" s="4">
        <f>IFERROR(I2241/H2241,0)</f>
        <v>4.58</v>
      </c>
      <c r="R2241" s="12">
        <f>IFERROR(J2241/I2241,0)</f>
        <v>43.103165938864628</v>
      </c>
      <c r="S2241" s="7">
        <f>Tabla_nuevas_columnas[[#This Row],[ROAS]]</f>
        <v>43.103165938864628</v>
      </c>
      <c r="T2241" t="str">
        <f>_xlfn.CONCAT(C2241,"-",D2241)</f>
        <v>Organic Social-Italia</v>
      </c>
      <c r="U2241">
        <f>YEAR(A2241)</f>
        <v>2025</v>
      </c>
      <c r="V2241">
        <f>MONTH(A2241)</f>
        <v>5</v>
      </c>
      <c r="W2241" t="str">
        <f>PROPER(TEXT(A2241,"mmmm"))</f>
        <v>Mayo</v>
      </c>
      <c r="X2241" t="str">
        <f>PROPER(TEXT(A2241,"dddd"))</f>
        <v>Jueves</v>
      </c>
      <c r="Y2241" t="str" cm="1">
        <f t="array" ref="Y2241">_xlfn.IFS(R2241&gt;10,"Excelente",R2241&gt;=5,"Bueno",R2241&gt;=2,"Débil",R2241&lt;2,"Deficiente")</f>
        <v>Excelente</v>
      </c>
      <c r="Z2241" t="str">
        <f>IF(AND(R2241&lt;2,Q2241&gt;=100),"Revisar","OK")</f>
        <v>OK</v>
      </c>
      <c r="AA2241" s="55">
        <f>_xlfn.XLOOKUP(C2241,'Preguntas de negocio'!$C$114:$C$119,'Preguntas de negocio'!$D$114:$D$119,0)</f>
        <v>4</v>
      </c>
      <c r="AB2241" s="55">
        <f>VLOOKUP(C2241,'Preguntas de negocio'!$C$121:$D$127,2,FALSE)</f>
        <v>0.95</v>
      </c>
    </row>
    <row r="2242" spans="1:28" x14ac:dyDescent="0.3">
      <c r="A2242" s="1">
        <v>46005</v>
      </c>
      <c r="B2242" s="2" t="s">
        <v>2625</v>
      </c>
      <c r="C2242" s="2" t="s">
        <v>2527</v>
      </c>
      <c r="D2242" s="2" t="s">
        <v>2528</v>
      </c>
      <c r="E2242" s="2" t="s">
        <v>2529</v>
      </c>
      <c r="F2242" s="3">
        <v>142872</v>
      </c>
      <c r="G2242" s="3">
        <v>5740</v>
      </c>
      <c r="H2242" s="3">
        <v>753</v>
      </c>
      <c r="I2242" s="4">
        <v>4988.3</v>
      </c>
      <c r="J2242" s="4">
        <v>157776.14000000001</v>
      </c>
      <c r="K2242" s="3">
        <v>544</v>
      </c>
      <c r="L2242" s="2" t="s">
        <v>2536</v>
      </c>
      <c r="M2242" s="2" t="s">
        <v>2537</v>
      </c>
      <c r="N2242" s="8">
        <f>IFERROR(G2242/F2242,0)</f>
        <v>4.017582171454169E-2</v>
      </c>
      <c r="O2242" s="8">
        <f>IFERROR(H2242/G2242,0)</f>
        <v>0.13118466898954703</v>
      </c>
      <c r="P2242" s="4">
        <f>IFERROR(I2242/G2242,0)</f>
        <v>0.86904181184668994</v>
      </c>
      <c r="Q2242" s="4">
        <f>IFERROR(I2242/H2242,0)</f>
        <v>6.6245683930942896</v>
      </c>
      <c r="R2242" s="12">
        <f>IFERROR(J2242/I2242,0)</f>
        <v>31.629240422588861</v>
      </c>
      <c r="S2242" s="7">
        <f>Tabla_nuevas_columnas[[#This Row],[ROAS]]</f>
        <v>31.629240422588861</v>
      </c>
      <c r="T2242" t="str">
        <f>_xlfn.CONCAT(C2242,"-",D2242)</f>
        <v>Affiliate-España</v>
      </c>
      <c r="U2242">
        <f>YEAR(A2242)</f>
        <v>2025</v>
      </c>
      <c r="V2242">
        <f>MONTH(A2242)</f>
        <v>12</v>
      </c>
      <c r="W2242" t="str">
        <f>PROPER(TEXT(A2242,"mmmm"))</f>
        <v>Diciembre</v>
      </c>
      <c r="X2242" t="str">
        <f>PROPER(TEXT(A2242,"dddd"))</f>
        <v>Domingo</v>
      </c>
      <c r="Y2242" t="str" cm="1">
        <f t="array" ref="Y2242">_xlfn.IFS(R2242&gt;10,"Excelente",R2242&gt;=5,"Bueno",R2242&gt;=2,"Débil",R2242&lt;2,"Deficiente")</f>
        <v>Excelente</v>
      </c>
      <c r="Z2242" t="str">
        <f>IF(AND(R2242&lt;2,Q2242&gt;=100),"Revisar","OK")</f>
        <v>OK</v>
      </c>
      <c r="AA2242" s="55">
        <f>_xlfn.XLOOKUP(C2242,'Preguntas de negocio'!$C$114:$C$119,'Preguntas de negocio'!$D$114:$D$119,0)</f>
        <v>4.5</v>
      </c>
      <c r="AB2242" s="55">
        <f>VLOOKUP(C2242,'Preguntas de negocio'!$C$121:$D$127,2,FALSE)</f>
        <v>0.35</v>
      </c>
    </row>
    <row r="2243" spans="1:28" x14ac:dyDescent="0.3">
      <c r="A2243" s="1">
        <v>45897</v>
      </c>
      <c r="B2243" s="2" t="s">
        <v>2637</v>
      </c>
      <c r="C2243" s="2" t="s">
        <v>2515</v>
      </c>
      <c r="D2243" s="2" t="s">
        <v>2528</v>
      </c>
      <c r="E2243" s="2" t="s">
        <v>2529</v>
      </c>
      <c r="F2243" s="3">
        <v>117663</v>
      </c>
      <c r="G2243" s="3">
        <v>6184</v>
      </c>
      <c r="H2243" s="3">
        <v>690</v>
      </c>
      <c r="I2243" s="4">
        <v>9917.4500000000007</v>
      </c>
      <c r="J2243" s="4">
        <v>114306.39</v>
      </c>
      <c r="K2243" s="3">
        <v>366</v>
      </c>
      <c r="L2243" s="2" t="s">
        <v>2523</v>
      </c>
      <c r="M2243" s="2" t="s">
        <v>2546</v>
      </c>
      <c r="N2243" s="8">
        <f>IFERROR(G2243/F2243,0)</f>
        <v>5.255687854295743E-2</v>
      </c>
      <c r="O2243" s="8">
        <f>IFERROR(H2243/G2243,0)</f>
        <v>0.11157826649417853</v>
      </c>
      <c r="P2243" s="4">
        <f>IFERROR(I2243/G2243,0)</f>
        <v>1.603727360931436</v>
      </c>
      <c r="Q2243" s="4">
        <f>IFERROR(I2243/H2243,0)</f>
        <v>14.373115942028987</v>
      </c>
      <c r="R2243" s="12">
        <f>IFERROR(J2243/I2243,0)</f>
        <v>11.525784349807662</v>
      </c>
      <c r="S2243" s="7">
        <f>Tabla_nuevas_columnas[[#This Row],[ROAS]]</f>
        <v>11.525784349807662</v>
      </c>
      <c r="T2243" t="str">
        <f>_xlfn.CONCAT(C2243,"-",D2243)</f>
        <v>Email-España</v>
      </c>
      <c r="U2243">
        <f>YEAR(A2243)</f>
        <v>2025</v>
      </c>
      <c r="V2243">
        <f>MONTH(A2243)</f>
        <v>8</v>
      </c>
      <c r="W2243" t="str">
        <f>PROPER(TEXT(A2243,"mmmm"))</f>
        <v>Agosto</v>
      </c>
      <c r="X2243" t="str">
        <f>PROPER(TEXT(A2243,"dddd"))</f>
        <v>Jueves</v>
      </c>
      <c r="Y2243" t="str" cm="1">
        <f t="array" ref="Y2243">_xlfn.IFS(R2243&gt;10,"Excelente",R2243&gt;=5,"Bueno",R2243&gt;=2,"Débil",R2243&lt;2,"Deficiente")</f>
        <v>Excelente</v>
      </c>
      <c r="Z2243" t="str">
        <f>IF(AND(R2243&lt;2,Q2243&gt;=100),"Revisar","OK")</f>
        <v>OK</v>
      </c>
      <c r="AA2243" s="55">
        <f>_xlfn.XLOOKUP(C2243,'Preguntas de negocio'!$C$114:$C$119,'Preguntas de negocio'!$D$114:$D$119,0)</f>
        <v>5.5</v>
      </c>
      <c r="AB2243" s="55">
        <f>VLOOKUP(C2243,'Preguntas de negocio'!$C$121:$D$127,2,FALSE)</f>
        <v>0.65</v>
      </c>
    </row>
    <row r="2244" spans="1:28" x14ac:dyDescent="0.3">
      <c r="A2244" s="1">
        <v>45913</v>
      </c>
      <c r="B2244" s="2" t="s">
        <v>2637</v>
      </c>
      <c r="C2244" s="2" t="s">
        <v>2543</v>
      </c>
      <c r="D2244" s="2" t="s">
        <v>2516</v>
      </c>
      <c r="E2244" s="2" t="s">
        <v>2529</v>
      </c>
      <c r="F2244" s="3">
        <v>45185</v>
      </c>
      <c r="G2244" s="3">
        <v>3674</v>
      </c>
      <c r="H2244" s="3">
        <v>418</v>
      </c>
      <c r="I2244" s="4">
        <v>989.34</v>
      </c>
      <c r="J2244" s="4">
        <v>36013.410000000003</v>
      </c>
      <c r="K2244" s="3">
        <v>234</v>
      </c>
      <c r="L2244" s="2" t="s">
        <v>2536</v>
      </c>
      <c r="M2244" s="2" t="s">
        <v>2524</v>
      </c>
      <c r="N2244" s="8">
        <f>IFERROR(G2244/F2244,0)</f>
        <v>8.1310169303972557E-2</v>
      </c>
      <c r="O2244" s="8">
        <f>IFERROR(H2244/G2244,0)</f>
        <v>0.11377245508982035</v>
      </c>
      <c r="P2244" s="4">
        <f>IFERROR(I2244/G2244,0)</f>
        <v>0.26928143712574854</v>
      </c>
      <c r="Q2244" s="4">
        <f>IFERROR(I2244/H2244,0)</f>
        <v>2.3668421052631579</v>
      </c>
      <c r="R2244" s="12">
        <f>IFERROR(J2244/I2244,0)</f>
        <v>36.401449451149254</v>
      </c>
      <c r="S2244" s="7">
        <f>Tabla_nuevas_columnas[[#This Row],[ROAS]]</f>
        <v>36.401449451149254</v>
      </c>
      <c r="T2244" t="str">
        <f>_xlfn.CONCAT(C2244,"-",D2244)</f>
        <v>Organic Social-México</v>
      </c>
      <c r="U2244">
        <f>YEAR(A2244)</f>
        <v>2025</v>
      </c>
      <c r="V2244">
        <f>MONTH(A2244)</f>
        <v>9</v>
      </c>
      <c r="W2244" t="str">
        <f>PROPER(TEXT(A2244,"mmmm"))</f>
        <v>Septiembre</v>
      </c>
      <c r="X2244" t="str">
        <f>PROPER(TEXT(A2244,"dddd"))</f>
        <v>Sábado</v>
      </c>
      <c r="Y2244" t="str" cm="1">
        <f t="array" ref="Y2244">_xlfn.IFS(R2244&gt;10,"Excelente",R2244&gt;=5,"Bueno",R2244&gt;=2,"Débil",R2244&lt;2,"Deficiente")</f>
        <v>Excelente</v>
      </c>
      <c r="Z2244" t="str">
        <f>IF(AND(R2244&lt;2,Q2244&gt;=100),"Revisar","OK")</f>
        <v>OK</v>
      </c>
      <c r="AA2244" s="55">
        <f>_xlfn.XLOOKUP(C2244,'Preguntas de negocio'!$C$114:$C$119,'Preguntas de negocio'!$D$114:$D$119,0)</f>
        <v>4</v>
      </c>
      <c r="AB2244" s="55">
        <f>VLOOKUP(C2244,'Preguntas de negocio'!$C$121:$D$127,2,FALSE)</f>
        <v>0.95</v>
      </c>
    </row>
    <row r="2245" spans="1:28" x14ac:dyDescent="0.3">
      <c r="A2245" s="1">
        <v>45669</v>
      </c>
      <c r="B2245" s="2" t="s">
        <v>2634</v>
      </c>
      <c r="C2245" s="2" t="s">
        <v>2543</v>
      </c>
      <c r="D2245" s="2" t="s">
        <v>2531</v>
      </c>
      <c r="E2245" s="2" t="s">
        <v>2529</v>
      </c>
      <c r="F2245" s="3">
        <v>13467</v>
      </c>
      <c r="G2245" s="3">
        <v>587</v>
      </c>
      <c r="H2245" s="3">
        <v>18</v>
      </c>
      <c r="I2245" s="4">
        <v>111.03</v>
      </c>
      <c r="J2245" s="4">
        <v>1749.98</v>
      </c>
      <c r="K2245" s="3">
        <v>10</v>
      </c>
      <c r="L2245" s="2" t="s">
        <v>2539</v>
      </c>
      <c r="M2245" s="2" t="s">
        <v>2526</v>
      </c>
      <c r="N2245" s="8">
        <f>IFERROR(G2245/F2245,0)</f>
        <v>4.3588029999257441E-2</v>
      </c>
      <c r="O2245" s="8">
        <f>IFERROR(H2245/G2245,0)</f>
        <v>3.0664395229982964E-2</v>
      </c>
      <c r="P2245" s="4">
        <f>IFERROR(I2245/G2245,0)</f>
        <v>0.18914821124361159</v>
      </c>
      <c r="Q2245" s="4">
        <f>IFERROR(I2245/H2245,0)</f>
        <v>6.168333333333333</v>
      </c>
      <c r="R2245" s="12">
        <f>IFERROR(J2245/I2245,0)</f>
        <v>15.761325767810503</v>
      </c>
      <c r="S2245" s="7">
        <f>Tabla_nuevas_columnas[[#This Row],[ROAS]]</f>
        <v>15.761325767810503</v>
      </c>
      <c r="T2245" t="str">
        <f>_xlfn.CONCAT(C2245,"-",D2245)</f>
        <v>Organic Social-Portugal</v>
      </c>
      <c r="U2245">
        <f>YEAR(A2245)</f>
        <v>2025</v>
      </c>
      <c r="V2245">
        <f>MONTH(A2245)</f>
        <v>1</v>
      </c>
      <c r="W2245" t="str">
        <f>PROPER(TEXT(A2245,"mmmm"))</f>
        <v>Enero</v>
      </c>
      <c r="X2245" t="str">
        <f>PROPER(TEXT(A2245,"dddd"))</f>
        <v>Domingo</v>
      </c>
      <c r="Y2245" t="str" cm="1">
        <f t="array" ref="Y2245">_xlfn.IFS(R2245&gt;10,"Excelente",R2245&gt;=5,"Bueno",R2245&gt;=2,"Débil",R2245&lt;2,"Deficiente")</f>
        <v>Excelente</v>
      </c>
      <c r="Z2245" t="str">
        <f>IF(AND(R2245&lt;2,Q2245&gt;=100),"Revisar","OK")</f>
        <v>OK</v>
      </c>
      <c r="AA2245" s="55">
        <f>_xlfn.XLOOKUP(C2245,'Preguntas de negocio'!$C$114:$C$119,'Preguntas de negocio'!$D$114:$D$119,0)</f>
        <v>4</v>
      </c>
      <c r="AB2245" s="55">
        <f>VLOOKUP(C2245,'Preguntas de negocio'!$C$121:$D$127,2,FALSE)</f>
        <v>0.95</v>
      </c>
    </row>
    <row r="2246" spans="1:28" x14ac:dyDescent="0.3">
      <c r="A2246" s="1">
        <v>45681</v>
      </c>
      <c r="B2246" s="2" t="s">
        <v>2628</v>
      </c>
      <c r="C2246" s="2" t="s">
        <v>2515</v>
      </c>
      <c r="D2246" s="2" t="s">
        <v>2528</v>
      </c>
      <c r="E2246" s="2" t="s">
        <v>2517</v>
      </c>
      <c r="F2246" s="3">
        <v>15231</v>
      </c>
      <c r="G2246" s="3">
        <v>971</v>
      </c>
      <c r="H2246" s="3">
        <v>33</v>
      </c>
      <c r="I2246" s="4">
        <v>1440.26</v>
      </c>
      <c r="J2246" s="4">
        <v>3451.4</v>
      </c>
      <c r="K2246" s="3">
        <v>18</v>
      </c>
      <c r="L2246" s="2" t="s">
        <v>2539</v>
      </c>
      <c r="M2246" s="2" t="s">
        <v>2519</v>
      </c>
      <c r="N2246" s="8">
        <f>IFERROR(G2246/F2246,0)</f>
        <v>6.375155931980829E-2</v>
      </c>
      <c r="O2246" s="8">
        <f>IFERROR(H2246/G2246,0)</f>
        <v>3.3985581874356331E-2</v>
      </c>
      <c r="P2246" s="4">
        <f>IFERROR(I2246/G2246,0)</f>
        <v>1.4832749742533471</v>
      </c>
      <c r="Q2246" s="4">
        <f>IFERROR(I2246/H2246,0)</f>
        <v>43.644242424242421</v>
      </c>
      <c r="R2246" s="12">
        <f>IFERROR(J2246/I2246,0)</f>
        <v>2.3963728771194091</v>
      </c>
      <c r="S2246" s="7">
        <f>Tabla_nuevas_columnas[[#This Row],[ROAS]]</f>
        <v>2.3963728771194091</v>
      </c>
      <c r="T2246" t="str">
        <f>_xlfn.CONCAT(C2246,"-",D2246)</f>
        <v>Email-España</v>
      </c>
      <c r="U2246">
        <f>YEAR(A2246)</f>
        <v>2025</v>
      </c>
      <c r="V2246">
        <f>MONTH(A2246)</f>
        <v>1</v>
      </c>
      <c r="W2246" t="str">
        <f>PROPER(TEXT(A2246,"mmmm"))</f>
        <v>Enero</v>
      </c>
      <c r="X2246" t="str">
        <f>PROPER(TEXT(A2246,"dddd"))</f>
        <v>Viernes</v>
      </c>
      <c r="Y2246" t="str" cm="1">
        <f t="array" ref="Y2246">_xlfn.IFS(R2246&gt;10,"Excelente",R2246&gt;=5,"Bueno",R2246&gt;=2,"Débil",R2246&lt;2,"Deficiente")</f>
        <v>Débil</v>
      </c>
      <c r="Z2246" t="str">
        <f>IF(AND(R2246&lt;2,Q2246&gt;=100),"Revisar","OK")</f>
        <v>OK</v>
      </c>
      <c r="AA2246" s="55">
        <f>_xlfn.XLOOKUP(C2246,'Preguntas de negocio'!$C$114:$C$119,'Preguntas de negocio'!$D$114:$D$119,0)</f>
        <v>5.5</v>
      </c>
      <c r="AB2246" s="55">
        <f>VLOOKUP(C2246,'Preguntas de negocio'!$C$121:$D$127,2,FALSE)</f>
        <v>0.65</v>
      </c>
    </row>
    <row r="2247" spans="1:28" x14ac:dyDescent="0.3">
      <c r="A2247" s="1">
        <v>45795</v>
      </c>
      <c r="B2247" s="2" t="s">
        <v>2641</v>
      </c>
      <c r="C2247" s="2" t="s">
        <v>2527</v>
      </c>
      <c r="D2247" s="2" t="s">
        <v>2528</v>
      </c>
      <c r="E2247" s="2" t="s">
        <v>2529</v>
      </c>
      <c r="F2247" s="3">
        <v>123596</v>
      </c>
      <c r="G2247" s="3">
        <v>2576</v>
      </c>
      <c r="H2247" s="3">
        <v>132</v>
      </c>
      <c r="I2247" s="4">
        <v>2550.98</v>
      </c>
      <c r="J2247" s="4">
        <v>6405.52</v>
      </c>
      <c r="K2247" s="3">
        <v>117</v>
      </c>
      <c r="L2247" s="2" t="s">
        <v>2536</v>
      </c>
      <c r="M2247" s="2" t="s">
        <v>2519</v>
      </c>
      <c r="N2247" s="8">
        <f>IFERROR(G2247/F2247,0)</f>
        <v>2.0842098449788019E-2</v>
      </c>
      <c r="O2247" s="8">
        <f>IFERROR(H2247/G2247,0)</f>
        <v>5.124223602484472E-2</v>
      </c>
      <c r="P2247" s="4">
        <f>IFERROR(I2247/G2247,0)</f>
        <v>0.99028726708074533</v>
      </c>
      <c r="Q2247" s="4">
        <f>IFERROR(I2247/H2247,0)</f>
        <v>19.325606060606059</v>
      </c>
      <c r="R2247" s="12">
        <f>IFERROR(J2247/I2247,0)</f>
        <v>2.5110036142972505</v>
      </c>
      <c r="S2247" s="7">
        <f>Tabla_nuevas_columnas[[#This Row],[ROAS]]</f>
        <v>2.5110036142972505</v>
      </c>
      <c r="T2247" t="str">
        <f>_xlfn.CONCAT(C2247,"-",D2247)</f>
        <v>Affiliate-España</v>
      </c>
      <c r="U2247">
        <f>YEAR(A2247)</f>
        <v>2025</v>
      </c>
      <c r="V2247">
        <f>MONTH(A2247)</f>
        <v>5</v>
      </c>
      <c r="W2247" t="str">
        <f>PROPER(TEXT(A2247,"mmmm"))</f>
        <v>Mayo</v>
      </c>
      <c r="X2247" t="str">
        <f>PROPER(TEXT(A2247,"dddd"))</f>
        <v>Domingo</v>
      </c>
      <c r="Y2247" t="str" cm="1">
        <f t="array" ref="Y2247">_xlfn.IFS(R2247&gt;10,"Excelente",R2247&gt;=5,"Bueno",R2247&gt;=2,"Débil",R2247&lt;2,"Deficiente")</f>
        <v>Débil</v>
      </c>
      <c r="Z2247" t="str">
        <f>IF(AND(R2247&lt;2,Q2247&gt;=100),"Revisar","OK")</f>
        <v>OK</v>
      </c>
      <c r="AA2247" s="55">
        <f>_xlfn.XLOOKUP(C2247,'Preguntas de negocio'!$C$114:$C$119,'Preguntas de negocio'!$D$114:$D$119,0)</f>
        <v>4.5</v>
      </c>
      <c r="AB2247" s="55">
        <f>VLOOKUP(C2247,'Preguntas de negocio'!$C$121:$D$127,2,FALSE)</f>
        <v>0.35</v>
      </c>
    </row>
    <row r="2248" spans="1:28" x14ac:dyDescent="0.3">
      <c r="A2248" s="1">
        <v>46016</v>
      </c>
      <c r="B2248" s="2" t="s">
        <v>2629</v>
      </c>
      <c r="C2248" s="2" t="s">
        <v>2533</v>
      </c>
      <c r="D2248" s="2" t="s">
        <v>2525</v>
      </c>
      <c r="E2248" s="2" t="s">
        <v>2529</v>
      </c>
      <c r="F2248" s="3">
        <v>30971</v>
      </c>
      <c r="G2248" s="3">
        <v>508</v>
      </c>
      <c r="H2248" s="3">
        <v>63</v>
      </c>
      <c r="I2248" s="4">
        <v>863.58</v>
      </c>
      <c r="J2248" s="4">
        <v>954.92</v>
      </c>
      <c r="K2248" s="3">
        <v>45</v>
      </c>
      <c r="L2248" s="2" t="s">
        <v>2536</v>
      </c>
      <c r="M2248" s="2" t="s">
        <v>2526</v>
      </c>
      <c r="N2248" s="8">
        <f>IFERROR(G2248/F2248,0)</f>
        <v>1.6402440993187176E-2</v>
      </c>
      <c r="O2248" s="8">
        <f>IFERROR(H2248/G2248,0)</f>
        <v>0.12401574803149606</v>
      </c>
      <c r="P2248" s="4">
        <f>IFERROR(I2248/G2248,0)</f>
        <v>1.69996062992126</v>
      </c>
      <c r="Q2248" s="4">
        <f>IFERROR(I2248/H2248,0)</f>
        <v>13.707619047619048</v>
      </c>
      <c r="R2248" s="12">
        <f>IFERROR(J2248/I2248,0)</f>
        <v>1.1057690080826326</v>
      </c>
      <c r="S2248" s="7">
        <f>Tabla_nuevas_columnas[[#This Row],[ROAS]]</f>
        <v>1.1057690080826326</v>
      </c>
      <c r="T2248" t="str">
        <f>_xlfn.CONCAT(C2248,"-",D2248)</f>
        <v>Paid Social-Francia</v>
      </c>
      <c r="U2248">
        <f>YEAR(A2248)</f>
        <v>2025</v>
      </c>
      <c r="V2248">
        <f>MONTH(A2248)</f>
        <v>12</v>
      </c>
      <c r="W2248" t="str">
        <f>PROPER(TEXT(A2248,"mmmm"))</f>
        <v>Diciembre</v>
      </c>
      <c r="X2248" t="str">
        <f>PROPER(TEXT(A2248,"dddd"))</f>
        <v>Jueves</v>
      </c>
      <c r="Y2248" t="str" cm="1">
        <f t="array" ref="Y2248">_xlfn.IFS(R2248&gt;10,"Excelente",R2248&gt;=5,"Bueno",R2248&gt;=2,"Débil",R2248&lt;2,"Deficiente")</f>
        <v>Deficiente</v>
      </c>
      <c r="Z2248" t="str">
        <f>IF(AND(R2248&lt;2,Q2248&gt;=100),"Revisar","OK")</f>
        <v>OK</v>
      </c>
      <c r="AA2248" s="55">
        <f>_xlfn.XLOOKUP(C2248,'Preguntas de negocio'!$C$114:$C$119,'Preguntas de negocio'!$D$114:$D$119,0)</f>
        <v>6</v>
      </c>
      <c r="AB2248" s="55">
        <f>VLOOKUP(C2248,'Preguntas de negocio'!$C$121:$D$127,2,FALSE)</f>
        <v>0.8</v>
      </c>
    </row>
    <row r="2249" spans="1:28" x14ac:dyDescent="0.3">
      <c r="A2249" s="1">
        <v>45821</v>
      </c>
      <c r="B2249" s="2" t="s">
        <v>2641</v>
      </c>
      <c r="C2249" s="2" t="s">
        <v>2527</v>
      </c>
      <c r="D2249" s="2" t="s">
        <v>2516</v>
      </c>
      <c r="E2249" s="2" t="s">
        <v>2517</v>
      </c>
      <c r="F2249" s="3">
        <v>6679</v>
      </c>
      <c r="G2249" s="3">
        <v>119</v>
      </c>
      <c r="H2249" s="3">
        <v>2</v>
      </c>
      <c r="I2249" s="4">
        <v>174.38</v>
      </c>
      <c r="J2249" s="4">
        <v>96.04</v>
      </c>
      <c r="K2249" s="3">
        <v>1</v>
      </c>
      <c r="L2249" s="2" t="s">
        <v>2539</v>
      </c>
      <c r="M2249" s="2" t="s">
        <v>2526</v>
      </c>
      <c r="N2249" s="8">
        <f>IFERROR(G2249/F2249,0)</f>
        <v>1.7817038478814193E-2</v>
      </c>
      <c r="O2249" s="8">
        <f>IFERROR(H2249/G2249,0)</f>
        <v>1.680672268907563E-2</v>
      </c>
      <c r="P2249" s="4">
        <f>IFERROR(I2249/G2249,0)</f>
        <v>1.4653781512605042</v>
      </c>
      <c r="Q2249" s="4">
        <f>IFERROR(I2249/H2249,0)</f>
        <v>87.19</v>
      </c>
      <c r="R2249" s="12">
        <f>IFERROR(J2249/I2249,0)</f>
        <v>0.5507512329395573</v>
      </c>
      <c r="S2249" s="7">
        <f>Tabla_nuevas_columnas[[#This Row],[ROAS]]</f>
        <v>0.5507512329395573</v>
      </c>
      <c r="T2249" t="str">
        <f>_xlfn.CONCAT(C2249,"-",D2249)</f>
        <v>Affiliate-México</v>
      </c>
      <c r="U2249">
        <f>YEAR(A2249)</f>
        <v>2025</v>
      </c>
      <c r="V2249">
        <f>MONTH(A2249)</f>
        <v>6</v>
      </c>
      <c r="W2249" t="str">
        <f>PROPER(TEXT(A2249,"mmmm"))</f>
        <v>Junio</v>
      </c>
      <c r="X2249" t="str">
        <f>PROPER(TEXT(A2249,"dddd"))</f>
        <v>Viernes</v>
      </c>
      <c r="Y2249" t="str" cm="1">
        <f t="array" ref="Y2249">_xlfn.IFS(R2249&gt;10,"Excelente",R2249&gt;=5,"Bueno",R2249&gt;=2,"Débil",R2249&lt;2,"Deficiente")</f>
        <v>Deficiente</v>
      </c>
      <c r="Z2249" t="str">
        <f>IF(AND(R2249&lt;2,Q2249&gt;=100),"Revisar","OK")</f>
        <v>OK</v>
      </c>
      <c r="AA2249" s="55">
        <f>_xlfn.XLOOKUP(C2249,'Preguntas de negocio'!$C$114:$C$119,'Preguntas de negocio'!$D$114:$D$119,0)</f>
        <v>4.5</v>
      </c>
      <c r="AB2249" s="55">
        <f>VLOOKUP(C2249,'Preguntas de negocio'!$C$121:$D$127,2,FALSE)</f>
        <v>0.35</v>
      </c>
    </row>
    <row r="2250" spans="1:28" x14ac:dyDescent="0.3">
      <c r="A2250" s="1">
        <v>46011</v>
      </c>
      <c r="B2250" s="2" t="s">
        <v>2629</v>
      </c>
      <c r="C2250" s="2" t="s">
        <v>2521</v>
      </c>
      <c r="D2250" s="2" t="s">
        <v>2528</v>
      </c>
      <c r="E2250" s="2" t="s">
        <v>2529</v>
      </c>
      <c r="F2250" s="3">
        <v>71914</v>
      </c>
      <c r="G2250" s="3">
        <v>4965</v>
      </c>
      <c r="H2250" s="3">
        <v>161</v>
      </c>
      <c r="I2250" s="4">
        <v>4667.07</v>
      </c>
      <c r="J2250" s="4">
        <v>28450.6</v>
      </c>
      <c r="K2250" s="3">
        <v>117</v>
      </c>
      <c r="L2250" s="2" t="s">
        <v>2523</v>
      </c>
      <c r="M2250" s="2" t="s">
        <v>2524</v>
      </c>
      <c r="N2250" s="8">
        <f>IFERROR(G2250/F2250,0)</f>
        <v>6.9040798731818565E-2</v>
      </c>
      <c r="O2250" s="8">
        <f>IFERROR(H2250/G2250,0)</f>
        <v>3.2426988922457198E-2</v>
      </c>
      <c r="P2250" s="4">
        <f>IFERROR(I2250/G2250,0)</f>
        <v>0.93999395770392746</v>
      </c>
      <c r="Q2250" s="4">
        <f>IFERROR(I2250/H2250,0)</f>
        <v>28.988012422360246</v>
      </c>
      <c r="R2250" s="12">
        <f>IFERROR(J2250/I2250,0)</f>
        <v>6.0960302716693775</v>
      </c>
      <c r="S2250" s="7">
        <f>Tabla_nuevas_columnas[[#This Row],[ROAS]]</f>
        <v>6.0960302716693775</v>
      </c>
      <c r="T2250" t="str">
        <f>_xlfn.CONCAT(C2250,"-",D2250)</f>
        <v>Paid Search-España</v>
      </c>
      <c r="U2250">
        <f>YEAR(A2250)</f>
        <v>2025</v>
      </c>
      <c r="V2250">
        <f>MONTH(A2250)</f>
        <v>12</v>
      </c>
      <c r="W2250" t="str">
        <f>PROPER(TEXT(A2250,"mmmm"))</f>
        <v>Diciembre</v>
      </c>
      <c r="X2250" t="str">
        <f>PROPER(TEXT(A2250,"dddd"))</f>
        <v>Sábado</v>
      </c>
      <c r="Y2250" t="str" cm="1">
        <f t="array" ref="Y2250">_xlfn.IFS(R2250&gt;10,"Excelente",R2250&gt;=5,"Bueno",R2250&gt;=2,"Débil",R2250&lt;2,"Deficiente")</f>
        <v>Bueno</v>
      </c>
      <c r="Z2250" t="str">
        <f>IF(AND(R2250&lt;2,Q2250&gt;=100),"Revisar","OK")</f>
        <v>OK</v>
      </c>
      <c r="AA2250" s="55">
        <f>_xlfn.XLOOKUP(C2250,'Preguntas de negocio'!$C$114:$C$119,'Preguntas de negocio'!$D$114:$D$119,0)</f>
        <v>5</v>
      </c>
      <c r="AB2250" s="55">
        <f>VLOOKUP(C2250,'Preguntas de negocio'!$C$121:$D$127,2,FALSE)</f>
        <v>1.1000000000000001</v>
      </c>
    </row>
    <row r="2251" spans="1:28" x14ac:dyDescent="0.3">
      <c r="A2251" s="1">
        <v>45755</v>
      </c>
      <c r="B2251" s="2" t="s">
        <v>2620</v>
      </c>
      <c r="C2251" s="2" t="s">
        <v>2543</v>
      </c>
      <c r="D2251" s="2" t="s">
        <v>2528</v>
      </c>
      <c r="E2251" s="2" t="s">
        <v>2534</v>
      </c>
      <c r="F2251" s="3">
        <v>3495</v>
      </c>
      <c r="G2251" s="3">
        <v>213</v>
      </c>
      <c r="H2251" s="3">
        <v>2</v>
      </c>
      <c r="I2251" s="4">
        <v>145.43</v>
      </c>
      <c r="J2251" s="4">
        <v>323.07</v>
      </c>
      <c r="K2251" s="3">
        <v>1</v>
      </c>
      <c r="L2251" s="2" t="s">
        <v>2539</v>
      </c>
      <c r="M2251" s="2" t="s">
        <v>2524</v>
      </c>
      <c r="N2251" s="8">
        <f>IFERROR(G2251/F2251,0)</f>
        <v>6.094420600858369E-2</v>
      </c>
      <c r="O2251" s="8">
        <f>IFERROR(H2251/G2251,0)</f>
        <v>9.3896713615023476E-3</v>
      </c>
      <c r="P2251" s="4">
        <f>IFERROR(I2251/G2251,0)</f>
        <v>0.68276995305164323</v>
      </c>
      <c r="Q2251" s="4">
        <f>IFERROR(I2251/H2251,0)</f>
        <v>72.715000000000003</v>
      </c>
      <c r="R2251" s="12">
        <f>IFERROR(J2251/I2251,0)</f>
        <v>2.2214811249398334</v>
      </c>
      <c r="S2251" s="7">
        <f>Tabla_nuevas_columnas[[#This Row],[ROAS]]</f>
        <v>2.2214811249398334</v>
      </c>
      <c r="T2251" t="str">
        <f>_xlfn.CONCAT(C2251,"-",D2251)</f>
        <v>Organic Social-España</v>
      </c>
      <c r="U2251">
        <f>YEAR(A2251)</f>
        <v>2025</v>
      </c>
      <c r="V2251">
        <f>MONTH(A2251)</f>
        <v>4</v>
      </c>
      <c r="W2251" t="str">
        <f>PROPER(TEXT(A2251,"mmmm"))</f>
        <v>Abril</v>
      </c>
      <c r="X2251" t="str">
        <f>PROPER(TEXT(A2251,"dddd"))</f>
        <v>Martes</v>
      </c>
      <c r="Y2251" t="str" cm="1">
        <f t="array" ref="Y2251">_xlfn.IFS(R2251&gt;10,"Excelente",R2251&gt;=5,"Bueno",R2251&gt;=2,"Débil",R2251&lt;2,"Deficiente")</f>
        <v>Débil</v>
      </c>
      <c r="Z2251" t="str">
        <f>IF(AND(R2251&lt;2,Q2251&gt;=100),"Revisar","OK")</f>
        <v>OK</v>
      </c>
      <c r="AA2251" s="55">
        <f>_xlfn.XLOOKUP(C2251,'Preguntas de negocio'!$C$114:$C$119,'Preguntas de negocio'!$D$114:$D$119,0)</f>
        <v>4</v>
      </c>
      <c r="AB2251" s="55">
        <f>VLOOKUP(C2251,'Preguntas de negocio'!$C$121:$D$127,2,FALSE)</f>
        <v>0.95</v>
      </c>
    </row>
    <row r="2252" spans="1:28" x14ac:dyDescent="0.3">
      <c r="A2252" s="1">
        <v>46015</v>
      </c>
      <c r="B2252" s="2" t="s">
        <v>2632</v>
      </c>
      <c r="C2252" s="2" t="s">
        <v>2527</v>
      </c>
      <c r="D2252" s="2" t="s">
        <v>2531</v>
      </c>
      <c r="E2252" s="2" t="s">
        <v>2517</v>
      </c>
      <c r="F2252" s="3">
        <v>153561</v>
      </c>
      <c r="G2252" s="3">
        <v>8864</v>
      </c>
      <c r="H2252" s="3">
        <v>737</v>
      </c>
      <c r="I2252" s="4">
        <v>15850.88</v>
      </c>
      <c r="J2252" s="4">
        <v>72650.81</v>
      </c>
      <c r="K2252" s="3">
        <v>608</v>
      </c>
      <c r="L2252" s="2" t="s">
        <v>2539</v>
      </c>
      <c r="M2252" s="2" t="s">
        <v>2546</v>
      </c>
      <c r="N2252" s="8">
        <f>IFERROR(G2252/F2252,0)</f>
        <v>5.7722989561151593E-2</v>
      </c>
      <c r="O2252" s="8">
        <f>IFERROR(H2252/G2252,0)</f>
        <v>8.3145306859205778E-2</v>
      </c>
      <c r="P2252" s="4">
        <f>IFERROR(I2252/G2252,0)</f>
        <v>1.7882310469314078</v>
      </c>
      <c r="Q2252" s="4">
        <f>IFERROR(I2252/H2252,0)</f>
        <v>21.507299864314788</v>
      </c>
      <c r="R2252" s="12">
        <f>IFERROR(J2252/I2252,0)</f>
        <v>4.5833928463277749</v>
      </c>
      <c r="S2252" s="7">
        <f>Tabla_nuevas_columnas[[#This Row],[ROAS]]</f>
        <v>4.5833928463277749</v>
      </c>
      <c r="T2252" t="str">
        <f>_xlfn.CONCAT(C2252,"-",D2252)</f>
        <v>Affiliate-Portugal</v>
      </c>
      <c r="U2252">
        <f>YEAR(A2252)</f>
        <v>2025</v>
      </c>
      <c r="V2252">
        <f>MONTH(A2252)</f>
        <v>12</v>
      </c>
      <c r="W2252" t="str">
        <f>PROPER(TEXT(A2252,"mmmm"))</f>
        <v>Diciembre</v>
      </c>
      <c r="X2252" t="str">
        <f>PROPER(TEXT(A2252,"dddd"))</f>
        <v>Miércoles</v>
      </c>
      <c r="Y2252" t="str" cm="1">
        <f t="array" ref="Y2252">_xlfn.IFS(R2252&gt;10,"Excelente",R2252&gt;=5,"Bueno",R2252&gt;=2,"Débil",R2252&lt;2,"Deficiente")</f>
        <v>Débil</v>
      </c>
      <c r="Z2252" t="str">
        <f>IF(AND(R2252&lt;2,Q2252&gt;=100),"Revisar","OK")</f>
        <v>OK</v>
      </c>
      <c r="AA2252" s="55">
        <f>_xlfn.XLOOKUP(C2252,'Preguntas de negocio'!$C$114:$C$119,'Preguntas de negocio'!$D$114:$D$119,0)</f>
        <v>4.5</v>
      </c>
      <c r="AB2252" s="55">
        <f>VLOOKUP(C2252,'Preguntas de negocio'!$C$121:$D$127,2,FALSE)</f>
        <v>0.35</v>
      </c>
    </row>
    <row r="2253" spans="1:28" x14ac:dyDescent="0.3">
      <c r="A2253" s="1">
        <v>45833</v>
      </c>
      <c r="B2253" s="2" t="s">
        <v>2637</v>
      </c>
      <c r="C2253" s="2" t="s">
        <v>2527</v>
      </c>
      <c r="D2253" s="2" t="s">
        <v>2528</v>
      </c>
      <c r="E2253" s="2" t="s">
        <v>2517</v>
      </c>
      <c r="F2253" s="3">
        <v>60169</v>
      </c>
      <c r="G2253" s="3">
        <v>2765</v>
      </c>
      <c r="H2253" s="3">
        <v>114</v>
      </c>
      <c r="I2253" s="4">
        <v>1161.5</v>
      </c>
      <c r="J2253" s="4">
        <v>7020.84</v>
      </c>
      <c r="K2253" s="3">
        <v>52</v>
      </c>
      <c r="L2253" s="2" t="s">
        <v>2536</v>
      </c>
      <c r="M2253" s="2" t="s">
        <v>2524</v>
      </c>
      <c r="N2253" s="8">
        <f>IFERROR(G2253/F2253,0)</f>
        <v>4.5953896524788512E-2</v>
      </c>
      <c r="O2253" s="8">
        <f>IFERROR(H2253/G2253,0)</f>
        <v>4.1229656419529838E-2</v>
      </c>
      <c r="P2253" s="4">
        <f>IFERROR(I2253/G2253,0)</f>
        <v>0.4200723327305606</v>
      </c>
      <c r="Q2253" s="4">
        <f>IFERROR(I2253/H2253,0)</f>
        <v>10.18859649122807</v>
      </c>
      <c r="R2253" s="12">
        <f>IFERROR(J2253/I2253,0)</f>
        <v>6.0446319414550151</v>
      </c>
      <c r="S2253" s="7">
        <f>Tabla_nuevas_columnas[[#This Row],[ROAS]]</f>
        <v>6.0446319414550151</v>
      </c>
      <c r="T2253" t="str">
        <f>_xlfn.CONCAT(C2253,"-",D2253)</f>
        <v>Affiliate-España</v>
      </c>
      <c r="U2253">
        <f>YEAR(A2253)</f>
        <v>2025</v>
      </c>
      <c r="V2253">
        <f>MONTH(A2253)</f>
        <v>6</v>
      </c>
      <c r="W2253" t="str">
        <f>PROPER(TEXT(A2253,"mmmm"))</f>
        <v>Junio</v>
      </c>
      <c r="X2253" t="str">
        <f>PROPER(TEXT(A2253,"dddd"))</f>
        <v>Miércoles</v>
      </c>
      <c r="Y2253" t="str" cm="1">
        <f t="array" ref="Y2253">_xlfn.IFS(R2253&gt;10,"Excelente",R2253&gt;=5,"Bueno",R2253&gt;=2,"Débil",R2253&lt;2,"Deficiente")</f>
        <v>Bueno</v>
      </c>
      <c r="Z2253" t="str">
        <f>IF(AND(R2253&lt;2,Q2253&gt;=100),"Revisar","OK")</f>
        <v>OK</v>
      </c>
      <c r="AA2253" s="55">
        <f>_xlfn.XLOOKUP(C2253,'Preguntas de negocio'!$C$114:$C$119,'Preguntas de negocio'!$D$114:$D$119,0)</f>
        <v>4.5</v>
      </c>
      <c r="AB2253" s="55">
        <f>VLOOKUP(C2253,'Preguntas de negocio'!$C$121:$D$127,2,FALSE)</f>
        <v>0.35</v>
      </c>
    </row>
    <row r="2254" spans="1:28" x14ac:dyDescent="0.3">
      <c r="A2254" s="1">
        <v>45798</v>
      </c>
      <c r="B2254" s="2" t="s">
        <v>2618</v>
      </c>
      <c r="C2254" s="2" t="s">
        <v>2521</v>
      </c>
      <c r="D2254" s="2" t="s">
        <v>2528</v>
      </c>
      <c r="E2254" s="2" t="s">
        <v>2529</v>
      </c>
      <c r="F2254" s="3">
        <v>75567</v>
      </c>
      <c r="G2254" s="3">
        <v>3022</v>
      </c>
      <c r="H2254" s="3">
        <v>352</v>
      </c>
      <c r="I2254" s="4">
        <v>2106.15</v>
      </c>
      <c r="J2254" s="4">
        <v>22871.69</v>
      </c>
      <c r="K2254" s="3">
        <v>314</v>
      </c>
      <c r="L2254" s="2" t="s">
        <v>2518</v>
      </c>
      <c r="M2254" s="2" t="s">
        <v>2524</v>
      </c>
      <c r="N2254" s="8">
        <f>IFERROR(G2254/F2254,0)</f>
        <v>3.9991001363028834E-2</v>
      </c>
      <c r="O2254" s="8">
        <f>IFERROR(H2254/G2254,0)</f>
        <v>0.11647915287888816</v>
      </c>
      <c r="P2254" s="4">
        <f>IFERROR(I2254/G2254,0)</f>
        <v>0.69693911317008606</v>
      </c>
      <c r="Q2254" s="4">
        <f>IFERROR(I2254/H2254,0)</f>
        <v>5.9833806818181818</v>
      </c>
      <c r="R2254" s="12">
        <f>IFERROR(J2254/I2254,0)</f>
        <v>10.859478194810436</v>
      </c>
      <c r="S2254" s="7">
        <f>Tabla_nuevas_columnas[[#This Row],[ROAS]]</f>
        <v>10.859478194810436</v>
      </c>
      <c r="T2254" t="str">
        <f>_xlfn.CONCAT(C2254,"-",D2254)</f>
        <v>Paid Search-España</v>
      </c>
      <c r="U2254">
        <f>YEAR(A2254)</f>
        <v>2025</v>
      </c>
      <c r="V2254">
        <f>MONTH(A2254)</f>
        <v>5</v>
      </c>
      <c r="W2254" t="str">
        <f>PROPER(TEXT(A2254,"mmmm"))</f>
        <v>Mayo</v>
      </c>
      <c r="X2254" t="str">
        <f>PROPER(TEXT(A2254,"dddd"))</f>
        <v>Miércoles</v>
      </c>
      <c r="Y2254" t="str" cm="1">
        <f t="array" ref="Y2254">_xlfn.IFS(R2254&gt;10,"Excelente",R2254&gt;=5,"Bueno",R2254&gt;=2,"Débil",R2254&lt;2,"Deficiente")</f>
        <v>Excelente</v>
      </c>
      <c r="Z2254" t="str">
        <f>IF(AND(R2254&lt;2,Q2254&gt;=100),"Revisar","OK")</f>
        <v>OK</v>
      </c>
      <c r="AA2254" s="55">
        <f>_xlfn.XLOOKUP(C2254,'Preguntas de negocio'!$C$114:$C$119,'Preguntas de negocio'!$D$114:$D$119,0)</f>
        <v>5</v>
      </c>
      <c r="AB2254" s="55">
        <f>VLOOKUP(C2254,'Preguntas de negocio'!$C$121:$D$127,2,FALSE)</f>
        <v>1.1000000000000001</v>
      </c>
    </row>
    <row r="2255" spans="1:28" x14ac:dyDescent="0.3">
      <c r="A2255" s="1">
        <v>45887</v>
      </c>
      <c r="B2255" s="2" t="s">
        <v>2629</v>
      </c>
      <c r="C2255" s="2" t="s">
        <v>2521</v>
      </c>
      <c r="D2255" s="2" t="s">
        <v>2528</v>
      </c>
      <c r="E2255" s="2" t="s">
        <v>2517</v>
      </c>
      <c r="F2255" s="3">
        <v>40005</v>
      </c>
      <c r="G2255" s="3">
        <v>2187</v>
      </c>
      <c r="H2255" s="3">
        <v>248</v>
      </c>
      <c r="I2255" s="4">
        <v>651.98</v>
      </c>
      <c r="J2255" s="4">
        <v>23120.65</v>
      </c>
      <c r="K2255" s="3">
        <v>199</v>
      </c>
      <c r="L2255" s="2" t="s">
        <v>2539</v>
      </c>
      <c r="M2255" s="2" t="s">
        <v>2537</v>
      </c>
      <c r="N2255" s="8">
        <f>IFERROR(G2255/F2255,0)</f>
        <v>5.4668166479190101E-2</v>
      </c>
      <c r="O2255" s="8">
        <f>IFERROR(H2255/G2255,0)</f>
        <v>0.1133973479652492</v>
      </c>
      <c r="P2255" s="4">
        <f>IFERROR(I2255/G2255,0)</f>
        <v>0.29811614083219024</v>
      </c>
      <c r="Q2255" s="4">
        <f>IFERROR(I2255/H2255,0)</f>
        <v>2.6289516129032258</v>
      </c>
      <c r="R2255" s="12">
        <f>IFERROR(J2255/I2255,0)</f>
        <v>35.462207429675757</v>
      </c>
      <c r="S2255" s="7">
        <f>Tabla_nuevas_columnas[[#This Row],[ROAS]]</f>
        <v>35.462207429675757</v>
      </c>
      <c r="T2255" t="str">
        <f>_xlfn.CONCAT(C2255,"-",D2255)</f>
        <v>Paid Search-España</v>
      </c>
      <c r="U2255">
        <f>YEAR(A2255)</f>
        <v>2025</v>
      </c>
      <c r="V2255">
        <f>MONTH(A2255)</f>
        <v>8</v>
      </c>
      <c r="W2255" t="str">
        <f>PROPER(TEXT(A2255,"mmmm"))</f>
        <v>Agosto</v>
      </c>
      <c r="X2255" t="str">
        <f>PROPER(TEXT(A2255,"dddd"))</f>
        <v>Lunes</v>
      </c>
      <c r="Y2255" t="str" cm="1">
        <f t="array" ref="Y2255">_xlfn.IFS(R2255&gt;10,"Excelente",R2255&gt;=5,"Bueno",R2255&gt;=2,"Débil",R2255&lt;2,"Deficiente")</f>
        <v>Excelente</v>
      </c>
      <c r="Z2255" t="str">
        <f>IF(AND(R2255&lt;2,Q2255&gt;=100),"Revisar","OK")</f>
        <v>OK</v>
      </c>
      <c r="AA2255" s="55">
        <f>_xlfn.XLOOKUP(C2255,'Preguntas de negocio'!$C$114:$C$119,'Preguntas de negocio'!$D$114:$D$119,0)</f>
        <v>5</v>
      </c>
      <c r="AB2255" s="55">
        <f>VLOOKUP(C2255,'Preguntas de negocio'!$C$121:$D$127,2,FALSE)</f>
        <v>1.1000000000000001</v>
      </c>
    </row>
    <row r="2256" spans="1:28" x14ac:dyDescent="0.3">
      <c r="A2256" s="1">
        <v>45686</v>
      </c>
      <c r="B2256" s="2" t="s">
        <v>2632</v>
      </c>
      <c r="C2256" s="2" t="s">
        <v>2521</v>
      </c>
      <c r="D2256" s="2" t="s">
        <v>2528</v>
      </c>
      <c r="E2256" s="2" t="s">
        <v>2517</v>
      </c>
      <c r="F2256" s="3">
        <v>155722</v>
      </c>
      <c r="G2256" s="3">
        <v>7415</v>
      </c>
      <c r="H2256" s="3">
        <v>1015</v>
      </c>
      <c r="I2256" s="4">
        <v>12585.94</v>
      </c>
      <c r="J2256" s="4">
        <v>87081.32</v>
      </c>
      <c r="K2256" s="3">
        <v>821</v>
      </c>
      <c r="L2256" s="2" t="s">
        <v>2539</v>
      </c>
      <c r="M2256" s="2" t="s">
        <v>2526</v>
      </c>
      <c r="N2256" s="8">
        <f>IFERROR(G2256/F2256,0)</f>
        <v>4.7616907052311169E-2</v>
      </c>
      <c r="O2256" s="8">
        <f>IFERROR(H2256/G2256,0)</f>
        <v>0.13688469318948079</v>
      </c>
      <c r="P2256" s="4">
        <f>IFERROR(I2256/G2256,0)</f>
        <v>1.6973621038435605</v>
      </c>
      <c r="Q2256" s="4">
        <f>IFERROR(I2256/H2256,0)</f>
        <v>12.399940886699508</v>
      </c>
      <c r="R2256" s="12">
        <f>IFERROR(J2256/I2256,0)</f>
        <v>6.9189365275855446</v>
      </c>
      <c r="S2256" s="7">
        <f>Tabla_nuevas_columnas[[#This Row],[ROAS]]</f>
        <v>6.9189365275855446</v>
      </c>
      <c r="T2256" t="str">
        <f>_xlfn.CONCAT(C2256,"-",D2256)</f>
        <v>Paid Search-España</v>
      </c>
      <c r="U2256">
        <f>YEAR(A2256)</f>
        <v>2025</v>
      </c>
      <c r="V2256">
        <f>MONTH(A2256)</f>
        <v>1</v>
      </c>
      <c r="W2256" t="str">
        <f>PROPER(TEXT(A2256,"mmmm"))</f>
        <v>Enero</v>
      </c>
      <c r="X2256" t="str">
        <f>PROPER(TEXT(A2256,"dddd"))</f>
        <v>Miércoles</v>
      </c>
      <c r="Y2256" t="str" cm="1">
        <f t="array" ref="Y2256">_xlfn.IFS(R2256&gt;10,"Excelente",R2256&gt;=5,"Bueno",R2256&gt;=2,"Débil",R2256&lt;2,"Deficiente")</f>
        <v>Bueno</v>
      </c>
      <c r="Z2256" t="str">
        <f>IF(AND(R2256&lt;2,Q2256&gt;=100),"Revisar","OK")</f>
        <v>OK</v>
      </c>
      <c r="AA2256" s="55">
        <f>_xlfn.XLOOKUP(C2256,'Preguntas de negocio'!$C$114:$C$119,'Preguntas de negocio'!$D$114:$D$119,0)</f>
        <v>5</v>
      </c>
      <c r="AB2256" s="55">
        <f>VLOOKUP(C2256,'Preguntas de negocio'!$C$121:$D$127,2,FALSE)</f>
        <v>1.1000000000000001</v>
      </c>
    </row>
    <row r="2257" spans="1:28" x14ac:dyDescent="0.3">
      <c r="A2257" s="1">
        <v>45849</v>
      </c>
      <c r="B2257" s="2" t="s">
        <v>2636</v>
      </c>
      <c r="C2257" s="2" t="s">
        <v>2533</v>
      </c>
      <c r="D2257" s="2" t="s">
        <v>2516</v>
      </c>
      <c r="E2257" s="2" t="s">
        <v>2529</v>
      </c>
      <c r="F2257" s="3">
        <v>176788</v>
      </c>
      <c r="G2257" s="3">
        <v>13555</v>
      </c>
      <c r="H2257" s="3">
        <v>1810</v>
      </c>
      <c r="I2257" s="4">
        <v>22642.93</v>
      </c>
      <c r="J2257" s="4">
        <v>313851.81</v>
      </c>
      <c r="K2257" s="3">
        <v>1397</v>
      </c>
      <c r="L2257" s="2" t="s">
        <v>2518</v>
      </c>
      <c r="M2257" s="2" t="s">
        <v>2526</v>
      </c>
      <c r="N2257" s="8">
        <f>IFERROR(G2257/F2257,0)</f>
        <v>7.667375613729438E-2</v>
      </c>
      <c r="O2257" s="8">
        <f>IFERROR(H2257/G2257,0)</f>
        <v>0.13353006270748802</v>
      </c>
      <c r="P2257" s="4">
        <f>IFERROR(I2257/G2257,0)</f>
        <v>1.6704485429730727</v>
      </c>
      <c r="Q2257" s="4">
        <f>IFERROR(I2257/H2257,0)</f>
        <v>12.509906077348067</v>
      </c>
      <c r="R2257" s="12">
        <f>IFERROR(J2257/I2257,0)</f>
        <v>13.860918617864384</v>
      </c>
      <c r="S2257" s="7">
        <f>Tabla_nuevas_columnas[[#This Row],[ROAS]]</f>
        <v>13.860918617864384</v>
      </c>
      <c r="T2257" t="str">
        <f>_xlfn.CONCAT(C2257,"-",D2257)</f>
        <v>Paid Social-México</v>
      </c>
      <c r="U2257">
        <f>YEAR(A2257)</f>
        <v>2025</v>
      </c>
      <c r="V2257">
        <f>MONTH(A2257)</f>
        <v>7</v>
      </c>
      <c r="W2257" t="str">
        <f>PROPER(TEXT(A2257,"mmmm"))</f>
        <v>Julio</v>
      </c>
      <c r="X2257" t="str">
        <f>PROPER(TEXT(A2257,"dddd"))</f>
        <v>Viernes</v>
      </c>
      <c r="Y2257" t="str" cm="1">
        <f t="array" ref="Y2257">_xlfn.IFS(R2257&gt;10,"Excelente",R2257&gt;=5,"Bueno",R2257&gt;=2,"Débil",R2257&lt;2,"Deficiente")</f>
        <v>Excelente</v>
      </c>
      <c r="Z2257" t="str">
        <f>IF(AND(R2257&lt;2,Q2257&gt;=100),"Revisar","OK")</f>
        <v>OK</v>
      </c>
      <c r="AA2257" s="55">
        <f>_xlfn.XLOOKUP(C2257,'Preguntas de negocio'!$C$114:$C$119,'Preguntas de negocio'!$D$114:$D$119,0)</f>
        <v>6</v>
      </c>
      <c r="AB2257" s="55">
        <f>VLOOKUP(C2257,'Preguntas de negocio'!$C$121:$D$127,2,FALSE)</f>
        <v>0.8</v>
      </c>
    </row>
    <row r="2258" spans="1:28" x14ac:dyDescent="0.3">
      <c r="A2258" s="1">
        <v>45714</v>
      </c>
      <c r="B2258" s="2" t="s">
        <v>2631</v>
      </c>
      <c r="C2258" s="2" t="s">
        <v>2541</v>
      </c>
      <c r="D2258" s="2" t="s">
        <v>2516</v>
      </c>
      <c r="E2258" s="2" t="s">
        <v>2517</v>
      </c>
      <c r="F2258" s="3">
        <v>83520</v>
      </c>
      <c r="G2258" s="3">
        <v>7210</v>
      </c>
      <c r="H2258" s="3">
        <v>45</v>
      </c>
      <c r="I2258" s="4">
        <v>3971.98</v>
      </c>
      <c r="J2258" s="4">
        <v>7863.71</v>
      </c>
      <c r="K2258" s="3">
        <v>27</v>
      </c>
      <c r="L2258" s="2" t="s">
        <v>2518</v>
      </c>
      <c r="M2258" s="2" t="s">
        <v>2524</v>
      </c>
      <c r="N2258" s="8">
        <f>IFERROR(G2258/F2258,0)</f>
        <v>8.6326628352490428E-2</v>
      </c>
      <c r="O2258" s="8">
        <f>IFERROR(H2258/G2258,0)</f>
        <v>6.2413314840499305E-3</v>
      </c>
      <c r="P2258" s="4">
        <f>IFERROR(I2258/G2258,0)</f>
        <v>0.55089875173370317</v>
      </c>
      <c r="Q2258" s="4">
        <f>IFERROR(I2258/H2258,0)</f>
        <v>88.266222222222225</v>
      </c>
      <c r="R2258" s="12">
        <f>IFERROR(J2258/I2258,0)</f>
        <v>1.9797959707752808</v>
      </c>
      <c r="S2258" s="7">
        <f>Tabla_nuevas_columnas[[#This Row],[ROAS]]</f>
        <v>1.9797959707752808</v>
      </c>
      <c r="T2258" t="str">
        <f>_xlfn.CONCAT(C2258,"-",D2258)</f>
        <v>Display-México</v>
      </c>
      <c r="U2258">
        <f>YEAR(A2258)</f>
        <v>2025</v>
      </c>
      <c r="V2258">
        <f>MONTH(A2258)</f>
        <v>2</v>
      </c>
      <c r="W2258" t="str">
        <f>PROPER(TEXT(A2258,"mmmm"))</f>
        <v>Febrero</v>
      </c>
      <c r="X2258" t="str">
        <f>PROPER(TEXT(A2258,"dddd"))</f>
        <v>Miércoles</v>
      </c>
      <c r="Y2258" t="str" cm="1">
        <f t="array" ref="Y2258">_xlfn.IFS(R2258&gt;10,"Excelente",R2258&gt;=5,"Bueno",R2258&gt;=2,"Débil",R2258&lt;2,"Deficiente")</f>
        <v>Deficiente</v>
      </c>
      <c r="Z2258" t="str">
        <f>IF(AND(R2258&lt;2,Q2258&gt;=100),"Revisar","OK")</f>
        <v>OK</v>
      </c>
      <c r="AA2258" s="55">
        <f>_xlfn.XLOOKUP(C2258,'Preguntas de negocio'!$C$114:$C$119,'Preguntas de negocio'!$D$114:$D$119,0)</f>
        <v>5</v>
      </c>
      <c r="AB2258" s="55">
        <f>VLOOKUP(C2258,'Preguntas de negocio'!$C$121:$D$127,2,FALSE)</f>
        <v>0.5</v>
      </c>
    </row>
    <row r="2259" spans="1:28" x14ac:dyDescent="0.3">
      <c r="A2259" s="1">
        <v>45685</v>
      </c>
      <c r="B2259" s="2" t="s">
        <v>2639</v>
      </c>
      <c r="C2259" s="2" t="s">
        <v>2521</v>
      </c>
      <c r="D2259" s="2" t="s">
        <v>2525</v>
      </c>
      <c r="E2259" s="2" t="s">
        <v>2517</v>
      </c>
      <c r="F2259" s="3">
        <v>66963</v>
      </c>
      <c r="G2259" s="3">
        <v>5174</v>
      </c>
      <c r="H2259" s="3">
        <v>159</v>
      </c>
      <c r="I2259" s="4">
        <v>3707.43</v>
      </c>
      <c r="J2259" s="4">
        <v>30141.67</v>
      </c>
      <c r="K2259" s="3">
        <v>103</v>
      </c>
      <c r="L2259" s="2" t="s">
        <v>2536</v>
      </c>
      <c r="M2259" s="2" t="s">
        <v>2537</v>
      </c>
      <c r="N2259" s="8">
        <f>IFERROR(G2259/F2259,0)</f>
        <v>7.7266550184430211E-2</v>
      </c>
      <c r="O2259" s="8">
        <f>IFERROR(H2259/G2259,0)</f>
        <v>3.0730575956706609E-2</v>
      </c>
      <c r="P2259" s="4">
        <f>IFERROR(I2259/G2259,0)</f>
        <v>0.71655005798221871</v>
      </c>
      <c r="Q2259" s="4">
        <f>IFERROR(I2259/H2259,0)</f>
        <v>23.317169811320753</v>
      </c>
      <c r="R2259" s="12">
        <f>IFERROR(J2259/I2259,0)</f>
        <v>8.130071235330135</v>
      </c>
      <c r="S2259" s="7">
        <f>Tabla_nuevas_columnas[[#This Row],[ROAS]]</f>
        <v>8.130071235330135</v>
      </c>
      <c r="T2259" t="str">
        <f>_xlfn.CONCAT(C2259,"-",D2259)</f>
        <v>Paid Search-Francia</v>
      </c>
      <c r="U2259">
        <f>YEAR(A2259)</f>
        <v>2025</v>
      </c>
      <c r="V2259">
        <f>MONTH(A2259)</f>
        <v>1</v>
      </c>
      <c r="W2259" t="str">
        <f>PROPER(TEXT(A2259,"mmmm"))</f>
        <v>Enero</v>
      </c>
      <c r="X2259" t="str">
        <f>PROPER(TEXT(A2259,"dddd"))</f>
        <v>Martes</v>
      </c>
      <c r="Y2259" t="str" cm="1">
        <f t="array" ref="Y2259">_xlfn.IFS(R2259&gt;10,"Excelente",R2259&gt;=5,"Bueno",R2259&gt;=2,"Débil",R2259&lt;2,"Deficiente")</f>
        <v>Bueno</v>
      </c>
      <c r="Z2259" t="str">
        <f>IF(AND(R2259&lt;2,Q2259&gt;=100),"Revisar","OK")</f>
        <v>OK</v>
      </c>
      <c r="AA2259" s="55">
        <f>_xlfn.XLOOKUP(C2259,'Preguntas de negocio'!$C$114:$C$119,'Preguntas de negocio'!$D$114:$D$119,0)</f>
        <v>5</v>
      </c>
      <c r="AB2259" s="55">
        <f>VLOOKUP(C2259,'Preguntas de negocio'!$C$121:$D$127,2,FALSE)</f>
        <v>1.1000000000000001</v>
      </c>
    </row>
    <row r="2260" spans="1:28" x14ac:dyDescent="0.3">
      <c r="A2260" s="1">
        <v>45708</v>
      </c>
      <c r="B2260" s="2" t="s">
        <v>2617</v>
      </c>
      <c r="C2260" s="2" t="s">
        <v>2543</v>
      </c>
      <c r="D2260" s="2" t="s">
        <v>2528</v>
      </c>
      <c r="E2260" s="2" t="s">
        <v>2517</v>
      </c>
      <c r="F2260" s="3">
        <v>131552</v>
      </c>
      <c r="G2260" s="3">
        <v>7390</v>
      </c>
      <c r="H2260" s="3">
        <v>394</v>
      </c>
      <c r="I2260" s="4">
        <v>14746.13</v>
      </c>
      <c r="J2260" s="4">
        <v>56382.5</v>
      </c>
      <c r="K2260" s="3">
        <v>232</v>
      </c>
      <c r="L2260" s="2" t="s">
        <v>2518</v>
      </c>
      <c r="M2260" s="2" t="s">
        <v>2524</v>
      </c>
      <c r="N2260" s="8">
        <f>IFERROR(G2260/F2260,0)</f>
        <v>5.6175504743371442E-2</v>
      </c>
      <c r="O2260" s="8">
        <f>IFERROR(H2260/G2260,0)</f>
        <v>5.3315290933694179E-2</v>
      </c>
      <c r="P2260" s="4">
        <f>IFERROR(I2260/G2260,0)</f>
        <v>1.9954167794316644</v>
      </c>
      <c r="Q2260" s="4">
        <f>IFERROR(I2260/H2260,0)</f>
        <v>37.426725888324874</v>
      </c>
      <c r="R2260" s="12">
        <f>IFERROR(J2260/I2260,0)</f>
        <v>3.8235455675489098</v>
      </c>
      <c r="S2260" s="7">
        <f>Tabla_nuevas_columnas[[#This Row],[ROAS]]</f>
        <v>3.8235455675489098</v>
      </c>
      <c r="T2260" t="str">
        <f>_xlfn.CONCAT(C2260,"-",D2260)</f>
        <v>Organic Social-España</v>
      </c>
      <c r="U2260">
        <f>YEAR(A2260)</f>
        <v>2025</v>
      </c>
      <c r="V2260">
        <f>MONTH(A2260)</f>
        <v>2</v>
      </c>
      <c r="W2260" t="str">
        <f>PROPER(TEXT(A2260,"mmmm"))</f>
        <v>Febrero</v>
      </c>
      <c r="X2260" t="str">
        <f>PROPER(TEXT(A2260,"dddd"))</f>
        <v>Jueves</v>
      </c>
      <c r="Y2260" t="str" cm="1">
        <f t="array" ref="Y2260">_xlfn.IFS(R2260&gt;10,"Excelente",R2260&gt;=5,"Bueno",R2260&gt;=2,"Débil",R2260&lt;2,"Deficiente")</f>
        <v>Débil</v>
      </c>
      <c r="Z2260" t="str">
        <f>IF(AND(R2260&lt;2,Q2260&gt;=100),"Revisar","OK")</f>
        <v>OK</v>
      </c>
      <c r="AA2260" s="55">
        <f>_xlfn.XLOOKUP(C2260,'Preguntas de negocio'!$C$114:$C$119,'Preguntas de negocio'!$D$114:$D$119,0)</f>
        <v>4</v>
      </c>
      <c r="AB2260" s="55">
        <f>VLOOKUP(C2260,'Preguntas de negocio'!$C$121:$D$127,2,FALSE)</f>
        <v>0.95</v>
      </c>
    </row>
    <row r="2261" spans="1:28" x14ac:dyDescent="0.3">
      <c r="A2261" s="1">
        <v>45979</v>
      </c>
      <c r="B2261" s="2" t="s">
        <v>2625</v>
      </c>
      <c r="C2261" s="2" t="s">
        <v>2527</v>
      </c>
      <c r="D2261" s="2" t="s">
        <v>2528</v>
      </c>
      <c r="E2261" s="2" t="s">
        <v>2529</v>
      </c>
      <c r="F2261" s="3">
        <v>25044</v>
      </c>
      <c r="G2261" s="3">
        <v>1593</v>
      </c>
      <c r="H2261" s="3">
        <v>28</v>
      </c>
      <c r="I2261" s="4">
        <v>905.16</v>
      </c>
      <c r="J2261" s="4">
        <v>2069.69</v>
      </c>
      <c r="K2261" s="3">
        <v>16</v>
      </c>
      <c r="L2261" s="2" t="s">
        <v>2539</v>
      </c>
      <c r="M2261" s="2" t="s">
        <v>2526</v>
      </c>
      <c r="N2261" s="8">
        <f>IFERROR(G2261/F2261,0)</f>
        <v>6.3608049832295163E-2</v>
      </c>
      <c r="O2261" s="8">
        <f>IFERROR(H2261/G2261,0)</f>
        <v>1.7576898932831136E-2</v>
      </c>
      <c r="P2261" s="4">
        <f>IFERROR(I2261/G2261,0)</f>
        <v>0.56821092278719398</v>
      </c>
      <c r="Q2261" s="4">
        <f>IFERROR(I2261/H2261,0)</f>
        <v>32.327142857142853</v>
      </c>
      <c r="R2261" s="12">
        <f>IFERROR(J2261/I2261,0)</f>
        <v>2.2865460250121528</v>
      </c>
      <c r="S2261" s="7">
        <f>Tabla_nuevas_columnas[[#This Row],[ROAS]]</f>
        <v>2.2865460250121528</v>
      </c>
      <c r="T2261" t="str">
        <f>_xlfn.CONCAT(C2261,"-",D2261)</f>
        <v>Affiliate-España</v>
      </c>
      <c r="U2261">
        <f>YEAR(A2261)</f>
        <v>2025</v>
      </c>
      <c r="V2261">
        <f>MONTH(A2261)</f>
        <v>11</v>
      </c>
      <c r="W2261" t="str">
        <f>PROPER(TEXT(A2261,"mmmm"))</f>
        <v>Noviembre</v>
      </c>
      <c r="X2261" t="str">
        <f>PROPER(TEXT(A2261,"dddd"))</f>
        <v>Martes</v>
      </c>
      <c r="Y2261" t="str" cm="1">
        <f t="array" ref="Y2261">_xlfn.IFS(R2261&gt;10,"Excelente",R2261&gt;=5,"Bueno",R2261&gt;=2,"Débil",R2261&lt;2,"Deficiente")</f>
        <v>Débil</v>
      </c>
      <c r="Z2261" t="str">
        <f>IF(AND(R2261&lt;2,Q2261&gt;=100),"Revisar","OK")</f>
        <v>OK</v>
      </c>
      <c r="AA2261" s="55">
        <f>_xlfn.XLOOKUP(C2261,'Preguntas de negocio'!$C$114:$C$119,'Preguntas de negocio'!$D$114:$D$119,0)</f>
        <v>4.5</v>
      </c>
      <c r="AB2261" s="55">
        <f>VLOOKUP(C2261,'Preguntas de negocio'!$C$121:$D$127,2,FALSE)</f>
        <v>0.35</v>
      </c>
    </row>
    <row r="2262" spans="1:28" x14ac:dyDescent="0.3">
      <c r="A2262" s="1">
        <v>45975</v>
      </c>
      <c r="B2262" s="2" t="s">
        <v>2620</v>
      </c>
      <c r="C2262" s="2" t="s">
        <v>2543</v>
      </c>
      <c r="D2262" s="2" t="s">
        <v>2531</v>
      </c>
      <c r="E2262" s="2" t="s">
        <v>2529</v>
      </c>
      <c r="F2262" s="3">
        <v>93010</v>
      </c>
      <c r="G2262" s="3">
        <v>1208</v>
      </c>
      <c r="H2262" s="3">
        <v>132</v>
      </c>
      <c r="I2262" s="4">
        <v>1757.33</v>
      </c>
      <c r="J2262" s="4">
        <v>25499.38</v>
      </c>
      <c r="K2262" s="3">
        <v>80</v>
      </c>
      <c r="L2262" s="2" t="s">
        <v>2523</v>
      </c>
      <c r="M2262" s="2" t="s">
        <v>2546</v>
      </c>
      <c r="N2262" s="8">
        <f>IFERROR(G2262/F2262,0)</f>
        <v>1.2987850768734545E-2</v>
      </c>
      <c r="O2262" s="8">
        <f>IFERROR(H2262/G2262,0)</f>
        <v>0.10927152317880795</v>
      </c>
      <c r="P2262" s="4">
        <f>IFERROR(I2262/G2262,0)</f>
        <v>1.4547433774834437</v>
      </c>
      <c r="Q2262" s="4">
        <f>IFERROR(I2262/H2262,0)</f>
        <v>13.31310606060606</v>
      </c>
      <c r="R2262" s="12">
        <f>IFERROR(J2262/I2262,0)</f>
        <v>14.510296870821076</v>
      </c>
      <c r="S2262" s="7">
        <f>Tabla_nuevas_columnas[[#This Row],[ROAS]]</f>
        <v>14.510296870821076</v>
      </c>
      <c r="T2262" t="str">
        <f>_xlfn.CONCAT(C2262,"-",D2262)</f>
        <v>Organic Social-Portugal</v>
      </c>
      <c r="U2262">
        <f>YEAR(A2262)</f>
        <v>2025</v>
      </c>
      <c r="V2262">
        <f>MONTH(A2262)</f>
        <v>11</v>
      </c>
      <c r="W2262" t="str">
        <f>PROPER(TEXT(A2262,"mmmm"))</f>
        <v>Noviembre</v>
      </c>
      <c r="X2262" t="str">
        <f>PROPER(TEXT(A2262,"dddd"))</f>
        <v>Viernes</v>
      </c>
      <c r="Y2262" t="str" cm="1">
        <f t="array" ref="Y2262">_xlfn.IFS(R2262&gt;10,"Excelente",R2262&gt;=5,"Bueno",R2262&gt;=2,"Débil",R2262&lt;2,"Deficiente")</f>
        <v>Excelente</v>
      </c>
      <c r="Z2262" t="str">
        <f>IF(AND(R2262&lt;2,Q2262&gt;=100),"Revisar","OK")</f>
        <v>OK</v>
      </c>
      <c r="AA2262" s="55">
        <f>_xlfn.XLOOKUP(C2262,'Preguntas de negocio'!$C$114:$C$119,'Preguntas de negocio'!$D$114:$D$119,0)</f>
        <v>4</v>
      </c>
      <c r="AB2262" s="55">
        <f>VLOOKUP(C2262,'Preguntas de negocio'!$C$121:$D$127,2,FALSE)</f>
        <v>0.95</v>
      </c>
    </row>
    <row r="2263" spans="1:28" x14ac:dyDescent="0.3">
      <c r="A2263" s="1">
        <v>45931</v>
      </c>
      <c r="B2263" s="2" t="s">
        <v>2637</v>
      </c>
      <c r="C2263" s="2" t="s">
        <v>2543</v>
      </c>
      <c r="D2263" s="2" t="s">
        <v>2525</v>
      </c>
      <c r="E2263" s="2" t="s">
        <v>2517</v>
      </c>
      <c r="F2263" s="3">
        <v>62252</v>
      </c>
      <c r="G2263" s="3">
        <v>3841</v>
      </c>
      <c r="H2263" s="3">
        <v>29</v>
      </c>
      <c r="I2263" s="4">
        <v>7114.33</v>
      </c>
      <c r="J2263" s="4">
        <v>5839.92</v>
      </c>
      <c r="K2263" s="3">
        <v>22</v>
      </c>
      <c r="L2263" s="2" t="s">
        <v>2539</v>
      </c>
      <c r="M2263" s="2" t="s">
        <v>2526</v>
      </c>
      <c r="N2263" s="8">
        <f>IFERROR(G2263/F2263,0)</f>
        <v>6.1700828889031681E-2</v>
      </c>
      <c r="O2263" s="8">
        <f>IFERROR(H2263/G2263,0)</f>
        <v>7.5501171569903672E-3</v>
      </c>
      <c r="P2263" s="4">
        <f>IFERROR(I2263/G2263,0)</f>
        <v>1.8522077583962508</v>
      </c>
      <c r="Q2263" s="4">
        <f>IFERROR(I2263/H2263,0)</f>
        <v>245.32172413793103</v>
      </c>
      <c r="R2263" s="12">
        <f>IFERROR(J2263/I2263,0)</f>
        <v>0.82086717934085152</v>
      </c>
      <c r="S2263" s="7">
        <f>Tabla_nuevas_columnas[[#This Row],[ROAS]]</f>
        <v>0.82086717934085152</v>
      </c>
      <c r="T2263" t="str">
        <f>_xlfn.CONCAT(C2263,"-",D2263)</f>
        <v>Organic Social-Francia</v>
      </c>
      <c r="U2263">
        <f>YEAR(A2263)</f>
        <v>2025</v>
      </c>
      <c r="V2263">
        <f>MONTH(A2263)</f>
        <v>10</v>
      </c>
      <c r="W2263" t="str">
        <f>PROPER(TEXT(A2263,"mmmm"))</f>
        <v>Octubre</v>
      </c>
      <c r="X2263" t="str">
        <f>PROPER(TEXT(A2263,"dddd"))</f>
        <v>Miércoles</v>
      </c>
      <c r="Y2263" t="str" cm="1">
        <f t="array" ref="Y2263">_xlfn.IFS(R2263&gt;10,"Excelente",R2263&gt;=5,"Bueno",R2263&gt;=2,"Débil",R2263&lt;2,"Deficiente")</f>
        <v>Deficiente</v>
      </c>
      <c r="Z2263" t="str">
        <f>IF(AND(R2263&lt;2,Q2263&gt;=100),"Revisar","OK")</f>
        <v>Revisar</v>
      </c>
      <c r="AA2263" s="55">
        <f>_xlfn.XLOOKUP(C2263,'Preguntas de negocio'!$C$114:$C$119,'Preguntas de negocio'!$D$114:$D$119,0)</f>
        <v>4</v>
      </c>
      <c r="AB2263" s="55">
        <f>VLOOKUP(C2263,'Preguntas de negocio'!$C$121:$D$127,2,FALSE)</f>
        <v>0.95</v>
      </c>
    </row>
    <row r="2264" spans="1:28" x14ac:dyDescent="0.3">
      <c r="A2264" s="1">
        <v>45883</v>
      </c>
      <c r="B2264" s="2" t="s">
        <v>2628</v>
      </c>
      <c r="C2264" s="2" t="s">
        <v>2543</v>
      </c>
      <c r="D2264" s="2" t="s">
        <v>2528</v>
      </c>
      <c r="E2264" s="2" t="s">
        <v>2529</v>
      </c>
      <c r="F2264" s="3">
        <v>172079</v>
      </c>
      <c r="G2264" s="3">
        <v>12450</v>
      </c>
      <c r="H2264" s="3">
        <v>922</v>
      </c>
      <c r="I2264" s="4">
        <v>6512.12</v>
      </c>
      <c r="J2264" s="4">
        <v>90286.16</v>
      </c>
      <c r="K2264" s="3">
        <v>690</v>
      </c>
      <c r="L2264" s="2" t="s">
        <v>2536</v>
      </c>
      <c r="M2264" s="2" t="s">
        <v>2526</v>
      </c>
      <c r="N2264" s="8">
        <f>IFERROR(G2264/F2264,0)</f>
        <v>7.2350490181835092E-2</v>
      </c>
      <c r="O2264" s="8">
        <f>IFERROR(H2264/G2264,0)</f>
        <v>7.40562248995984E-2</v>
      </c>
      <c r="P2264" s="4">
        <f>IFERROR(I2264/G2264,0)</f>
        <v>0.52306184738955819</v>
      </c>
      <c r="Q2264" s="4">
        <f>IFERROR(I2264/H2264,0)</f>
        <v>7.0630368763557483</v>
      </c>
      <c r="R2264" s="12">
        <f>IFERROR(J2264/I2264,0)</f>
        <v>13.864326824444268</v>
      </c>
      <c r="S2264" s="7">
        <f>Tabla_nuevas_columnas[[#This Row],[ROAS]]</f>
        <v>13.864326824444268</v>
      </c>
      <c r="T2264" t="str">
        <f>_xlfn.CONCAT(C2264,"-",D2264)</f>
        <v>Organic Social-España</v>
      </c>
      <c r="U2264">
        <f>YEAR(A2264)</f>
        <v>2025</v>
      </c>
      <c r="V2264">
        <f>MONTH(A2264)</f>
        <v>8</v>
      </c>
      <c r="W2264" t="str">
        <f>PROPER(TEXT(A2264,"mmmm"))</f>
        <v>Agosto</v>
      </c>
      <c r="X2264" t="str">
        <f>PROPER(TEXT(A2264,"dddd"))</f>
        <v>Jueves</v>
      </c>
      <c r="Y2264" t="str" cm="1">
        <f t="array" ref="Y2264">_xlfn.IFS(R2264&gt;10,"Excelente",R2264&gt;=5,"Bueno",R2264&gt;=2,"Débil",R2264&lt;2,"Deficiente")</f>
        <v>Excelente</v>
      </c>
      <c r="Z2264" t="str">
        <f>IF(AND(R2264&lt;2,Q2264&gt;=100),"Revisar","OK")</f>
        <v>OK</v>
      </c>
      <c r="AA2264" s="55">
        <f>_xlfn.XLOOKUP(C2264,'Preguntas de negocio'!$C$114:$C$119,'Preguntas de negocio'!$D$114:$D$119,0)</f>
        <v>4</v>
      </c>
      <c r="AB2264" s="55">
        <f>VLOOKUP(C2264,'Preguntas de negocio'!$C$121:$D$127,2,FALSE)</f>
        <v>0.95</v>
      </c>
    </row>
    <row r="2265" spans="1:28" x14ac:dyDescent="0.3">
      <c r="A2265" s="1">
        <v>45677</v>
      </c>
      <c r="B2265" s="2" t="s">
        <v>2636</v>
      </c>
      <c r="C2265" s="2" t="s">
        <v>2527</v>
      </c>
      <c r="D2265" s="2" t="s">
        <v>2516</v>
      </c>
      <c r="E2265" s="2" t="s">
        <v>2529</v>
      </c>
      <c r="F2265" s="3">
        <v>86509</v>
      </c>
      <c r="G2265" s="3">
        <v>5627</v>
      </c>
      <c r="H2265" s="3">
        <v>554</v>
      </c>
      <c r="I2265" s="4">
        <v>2602.64</v>
      </c>
      <c r="J2265" s="4">
        <v>109245.61</v>
      </c>
      <c r="K2265" s="3">
        <v>387</v>
      </c>
      <c r="L2265" s="2" t="s">
        <v>2518</v>
      </c>
      <c r="M2265" s="2" t="s">
        <v>2526</v>
      </c>
      <c r="N2265" s="8">
        <f>IFERROR(G2265/F2265,0)</f>
        <v>6.5045255406951871E-2</v>
      </c>
      <c r="O2265" s="8">
        <f>IFERROR(H2265/G2265,0)</f>
        <v>9.8453883063799541E-2</v>
      </c>
      <c r="P2265" s="4">
        <f>IFERROR(I2265/G2265,0)</f>
        <v>0.46252710147503107</v>
      </c>
      <c r="Q2265" s="4">
        <f>IFERROR(I2265/H2265,0)</f>
        <v>4.6979061371841153</v>
      </c>
      <c r="R2265" s="12">
        <f>IFERROR(J2265/I2265,0)</f>
        <v>41.974921618049365</v>
      </c>
      <c r="S2265" s="7">
        <f>Tabla_nuevas_columnas[[#This Row],[ROAS]]</f>
        <v>41.974921618049365</v>
      </c>
      <c r="T2265" t="str">
        <f>_xlfn.CONCAT(C2265,"-",D2265)</f>
        <v>Affiliate-México</v>
      </c>
      <c r="U2265">
        <f>YEAR(A2265)</f>
        <v>2025</v>
      </c>
      <c r="V2265">
        <f>MONTH(A2265)</f>
        <v>1</v>
      </c>
      <c r="W2265" t="str">
        <f>PROPER(TEXT(A2265,"mmmm"))</f>
        <v>Enero</v>
      </c>
      <c r="X2265" t="str">
        <f>PROPER(TEXT(A2265,"dddd"))</f>
        <v>Lunes</v>
      </c>
      <c r="Y2265" t="str" cm="1">
        <f t="array" ref="Y2265">_xlfn.IFS(R2265&gt;10,"Excelente",R2265&gt;=5,"Bueno",R2265&gt;=2,"Débil",R2265&lt;2,"Deficiente")</f>
        <v>Excelente</v>
      </c>
      <c r="Z2265" t="str">
        <f>IF(AND(R2265&lt;2,Q2265&gt;=100),"Revisar","OK")</f>
        <v>OK</v>
      </c>
      <c r="AA2265" s="55">
        <f>_xlfn.XLOOKUP(C2265,'Preguntas de negocio'!$C$114:$C$119,'Preguntas de negocio'!$D$114:$D$119,0)</f>
        <v>4.5</v>
      </c>
      <c r="AB2265" s="55">
        <f>VLOOKUP(C2265,'Preguntas de negocio'!$C$121:$D$127,2,FALSE)</f>
        <v>0.35</v>
      </c>
    </row>
    <row r="2266" spans="1:28" x14ac:dyDescent="0.3">
      <c r="A2266" s="1">
        <v>45694</v>
      </c>
      <c r="B2266" s="2" t="s">
        <v>2617</v>
      </c>
      <c r="C2266" s="2" t="s">
        <v>2515</v>
      </c>
      <c r="D2266" s="2" t="s">
        <v>2528</v>
      </c>
      <c r="E2266" s="2" t="s">
        <v>2517</v>
      </c>
      <c r="F2266" s="3">
        <v>12310</v>
      </c>
      <c r="G2266" s="3">
        <v>596</v>
      </c>
      <c r="H2266" s="3">
        <v>19</v>
      </c>
      <c r="I2266" s="4">
        <v>219.54</v>
      </c>
      <c r="J2266" s="4">
        <v>1383.9</v>
      </c>
      <c r="K2266" s="3">
        <v>12</v>
      </c>
      <c r="L2266" s="2" t="s">
        <v>2523</v>
      </c>
      <c r="M2266" s="2" t="s">
        <v>2524</v>
      </c>
      <c r="N2266" s="8">
        <f>IFERROR(G2266/F2266,0)</f>
        <v>4.8415922014622255E-2</v>
      </c>
      <c r="O2266" s="8">
        <f>IFERROR(H2266/G2266,0)</f>
        <v>3.1879194630872486E-2</v>
      </c>
      <c r="P2266" s="4">
        <f>IFERROR(I2266/G2266,0)</f>
        <v>0.36835570469798656</v>
      </c>
      <c r="Q2266" s="4">
        <f>IFERROR(I2266/H2266,0)</f>
        <v>11.554736842105262</v>
      </c>
      <c r="R2266" s="12">
        <f>IFERROR(J2266/I2266,0)</f>
        <v>6.3036348729160983</v>
      </c>
      <c r="S2266" s="7">
        <f>Tabla_nuevas_columnas[[#This Row],[ROAS]]</f>
        <v>6.3036348729160983</v>
      </c>
      <c r="T2266" t="str">
        <f>_xlfn.CONCAT(C2266,"-",D2266)</f>
        <v>Email-España</v>
      </c>
      <c r="U2266">
        <f>YEAR(A2266)</f>
        <v>2025</v>
      </c>
      <c r="V2266">
        <f>MONTH(A2266)</f>
        <v>2</v>
      </c>
      <c r="W2266" t="str">
        <f>PROPER(TEXT(A2266,"mmmm"))</f>
        <v>Febrero</v>
      </c>
      <c r="X2266" t="str">
        <f>PROPER(TEXT(A2266,"dddd"))</f>
        <v>Jueves</v>
      </c>
      <c r="Y2266" t="str" cm="1">
        <f t="array" ref="Y2266">_xlfn.IFS(R2266&gt;10,"Excelente",R2266&gt;=5,"Bueno",R2266&gt;=2,"Débil",R2266&lt;2,"Deficiente")</f>
        <v>Bueno</v>
      </c>
      <c r="Z2266" t="str">
        <f>IF(AND(R2266&lt;2,Q2266&gt;=100),"Revisar","OK")</f>
        <v>OK</v>
      </c>
      <c r="AA2266" s="55">
        <f>_xlfn.XLOOKUP(C2266,'Preguntas de negocio'!$C$114:$C$119,'Preguntas de negocio'!$D$114:$D$119,0)</f>
        <v>5.5</v>
      </c>
      <c r="AB2266" s="55">
        <f>VLOOKUP(C2266,'Preguntas de negocio'!$C$121:$D$127,2,FALSE)</f>
        <v>0.65</v>
      </c>
    </row>
    <row r="2267" spans="1:28" x14ac:dyDescent="0.3">
      <c r="A2267" s="1">
        <v>45852</v>
      </c>
      <c r="B2267" s="2" t="s">
        <v>2632</v>
      </c>
      <c r="C2267" s="2" t="s">
        <v>2533</v>
      </c>
      <c r="D2267" s="2" t="s">
        <v>2516</v>
      </c>
      <c r="E2267" s="2" t="s">
        <v>2517</v>
      </c>
      <c r="F2267" s="3">
        <v>34056</v>
      </c>
      <c r="G2267" s="3">
        <v>2096</v>
      </c>
      <c r="H2267" s="3">
        <v>148</v>
      </c>
      <c r="I2267" s="4">
        <v>2903.2</v>
      </c>
      <c r="J2267" s="4">
        <v>22649.43</v>
      </c>
      <c r="K2267" s="3">
        <v>131</v>
      </c>
      <c r="L2267" s="2" t="s">
        <v>2523</v>
      </c>
      <c r="M2267" s="2" t="s">
        <v>2526</v>
      </c>
      <c r="N2267" s="8">
        <f>IFERROR(G2267/F2267,0)</f>
        <v>6.1545689452666197E-2</v>
      </c>
      <c r="O2267" s="8">
        <f>IFERROR(H2267/G2267,0)</f>
        <v>7.061068702290077E-2</v>
      </c>
      <c r="P2267" s="4">
        <f>IFERROR(I2267/G2267,0)</f>
        <v>1.3851145038167938</v>
      </c>
      <c r="Q2267" s="4">
        <f>IFERROR(I2267/H2267,0)</f>
        <v>19.616216216216216</v>
      </c>
      <c r="R2267" s="12">
        <f>IFERROR(J2267/I2267,0)</f>
        <v>7.8015396803527146</v>
      </c>
      <c r="S2267" s="7">
        <f>Tabla_nuevas_columnas[[#This Row],[ROAS]]</f>
        <v>7.8015396803527146</v>
      </c>
      <c r="T2267" t="str">
        <f>_xlfn.CONCAT(C2267,"-",D2267)</f>
        <v>Paid Social-México</v>
      </c>
      <c r="U2267">
        <f>YEAR(A2267)</f>
        <v>2025</v>
      </c>
      <c r="V2267">
        <f>MONTH(A2267)</f>
        <v>7</v>
      </c>
      <c r="W2267" t="str">
        <f>PROPER(TEXT(A2267,"mmmm"))</f>
        <v>Julio</v>
      </c>
      <c r="X2267" t="str">
        <f>PROPER(TEXT(A2267,"dddd"))</f>
        <v>Lunes</v>
      </c>
      <c r="Y2267" t="str" cm="1">
        <f t="array" ref="Y2267">_xlfn.IFS(R2267&gt;10,"Excelente",R2267&gt;=5,"Bueno",R2267&gt;=2,"Débil",R2267&lt;2,"Deficiente")</f>
        <v>Bueno</v>
      </c>
      <c r="Z2267" t="str">
        <f>IF(AND(R2267&lt;2,Q2267&gt;=100),"Revisar","OK")</f>
        <v>OK</v>
      </c>
      <c r="AA2267" s="55">
        <f>_xlfn.XLOOKUP(C2267,'Preguntas de negocio'!$C$114:$C$119,'Preguntas de negocio'!$D$114:$D$119,0)</f>
        <v>6</v>
      </c>
      <c r="AB2267" s="55">
        <f>VLOOKUP(C2267,'Preguntas de negocio'!$C$121:$D$127,2,FALSE)</f>
        <v>0.8</v>
      </c>
    </row>
    <row r="2268" spans="1:28" x14ac:dyDescent="0.3">
      <c r="A2268" s="1">
        <v>45995</v>
      </c>
      <c r="B2268" s="2" t="s">
        <v>2623</v>
      </c>
      <c r="C2268" s="2" t="s">
        <v>2543</v>
      </c>
      <c r="D2268" s="2" t="s">
        <v>2525</v>
      </c>
      <c r="E2268" s="2" t="s">
        <v>2517</v>
      </c>
      <c r="F2268" s="3">
        <v>137453</v>
      </c>
      <c r="G2268" s="3">
        <v>5153</v>
      </c>
      <c r="H2268" s="3">
        <v>48</v>
      </c>
      <c r="I2268" s="4">
        <v>9012.7000000000007</v>
      </c>
      <c r="J2268" s="4">
        <v>725.98</v>
      </c>
      <c r="K2268" s="3">
        <v>38</v>
      </c>
      <c r="L2268" s="2" t="s">
        <v>2536</v>
      </c>
      <c r="M2268" s="2" t="s">
        <v>2537</v>
      </c>
      <c r="N2268" s="8">
        <f>IFERROR(G2268/F2268,0)</f>
        <v>3.7489178119066151E-2</v>
      </c>
      <c r="O2268" s="8">
        <f>IFERROR(H2268/G2268,0)</f>
        <v>9.3149621579662334E-3</v>
      </c>
      <c r="P2268" s="4">
        <f>IFERROR(I2268/G2268,0)</f>
        <v>1.7490199883562974</v>
      </c>
      <c r="Q2268" s="4">
        <f>IFERROR(I2268/H2268,0)</f>
        <v>187.76458333333335</v>
      </c>
      <c r="R2268" s="12">
        <f>IFERROR(J2268/I2268,0)</f>
        <v>8.0550778346111587E-2</v>
      </c>
      <c r="S2268" s="7">
        <f>Tabla_nuevas_columnas[[#This Row],[ROAS]]</f>
        <v>8.0550778346111587E-2</v>
      </c>
      <c r="T2268" t="str">
        <f>_xlfn.CONCAT(C2268,"-",D2268)</f>
        <v>Organic Social-Francia</v>
      </c>
      <c r="U2268">
        <f>YEAR(A2268)</f>
        <v>2025</v>
      </c>
      <c r="V2268">
        <f>MONTH(A2268)</f>
        <v>12</v>
      </c>
      <c r="W2268" t="str">
        <f>PROPER(TEXT(A2268,"mmmm"))</f>
        <v>Diciembre</v>
      </c>
      <c r="X2268" t="str">
        <f>PROPER(TEXT(A2268,"dddd"))</f>
        <v>Jueves</v>
      </c>
      <c r="Y2268" t="str" cm="1">
        <f t="array" ref="Y2268">_xlfn.IFS(R2268&gt;10,"Excelente",R2268&gt;=5,"Bueno",R2268&gt;=2,"Débil",R2268&lt;2,"Deficiente")</f>
        <v>Deficiente</v>
      </c>
      <c r="Z2268" t="str">
        <f>IF(AND(R2268&lt;2,Q2268&gt;=100),"Revisar","OK")</f>
        <v>Revisar</v>
      </c>
      <c r="AA2268" s="55">
        <f>_xlfn.XLOOKUP(C2268,'Preguntas de negocio'!$C$114:$C$119,'Preguntas de negocio'!$D$114:$D$119,0)</f>
        <v>4</v>
      </c>
      <c r="AB2268" s="55">
        <f>VLOOKUP(C2268,'Preguntas de negocio'!$C$121:$D$127,2,FALSE)</f>
        <v>0.95</v>
      </c>
    </row>
    <row r="2269" spans="1:28" x14ac:dyDescent="0.3">
      <c r="A2269" s="1">
        <v>45783</v>
      </c>
      <c r="B2269" s="2" t="s">
        <v>2626</v>
      </c>
      <c r="C2269" s="2" t="s">
        <v>2533</v>
      </c>
      <c r="D2269" s="2" t="s">
        <v>2516</v>
      </c>
      <c r="E2269" s="2" t="s">
        <v>2529</v>
      </c>
      <c r="F2269" s="3">
        <v>88028</v>
      </c>
      <c r="G2269" s="3">
        <v>860</v>
      </c>
      <c r="H2269" s="3">
        <v>14</v>
      </c>
      <c r="I2269" s="4">
        <v>813.48</v>
      </c>
      <c r="J2269" s="4">
        <v>407.24</v>
      </c>
      <c r="K2269" s="3">
        <v>8</v>
      </c>
      <c r="L2269" s="2" t="s">
        <v>2518</v>
      </c>
      <c r="M2269" s="2" t="s">
        <v>2546</v>
      </c>
      <c r="N2269" s="8">
        <f>IFERROR(G2269/F2269,0)</f>
        <v>9.7696187576680141E-3</v>
      </c>
      <c r="O2269" s="8">
        <f>IFERROR(H2269/G2269,0)</f>
        <v>1.627906976744186E-2</v>
      </c>
      <c r="P2269" s="4">
        <f>IFERROR(I2269/G2269,0)</f>
        <v>0.94590697674418611</v>
      </c>
      <c r="Q2269" s="4">
        <f>IFERROR(I2269/H2269,0)</f>
        <v>58.105714285714285</v>
      </c>
      <c r="R2269" s="12">
        <f>IFERROR(J2269/I2269,0)</f>
        <v>0.50061464326105132</v>
      </c>
      <c r="S2269" s="7">
        <f>Tabla_nuevas_columnas[[#This Row],[ROAS]]</f>
        <v>0.50061464326105132</v>
      </c>
      <c r="T2269" t="str">
        <f>_xlfn.CONCAT(C2269,"-",D2269)</f>
        <v>Paid Social-México</v>
      </c>
      <c r="U2269">
        <f>YEAR(A2269)</f>
        <v>2025</v>
      </c>
      <c r="V2269">
        <f>MONTH(A2269)</f>
        <v>5</v>
      </c>
      <c r="W2269" t="str">
        <f>PROPER(TEXT(A2269,"mmmm"))</f>
        <v>Mayo</v>
      </c>
      <c r="X2269" t="str">
        <f>PROPER(TEXT(A2269,"dddd"))</f>
        <v>Martes</v>
      </c>
      <c r="Y2269" t="str" cm="1">
        <f t="array" ref="Y2269">_xlfn.IFS(R2269&gt;10,"Excelente",R2269&gt;=5,"Bueno",R2269&gt;=2,"Débil",R2269&lt;2,"Deficiente")</f>
        <v>Deficiente</v>
      </c>
      <c r="Z2269" t="str">
        <f>IF(AND(R2269&lt;2,Q2269&gt;=100),"Revisar","OK")</f>
        <v>OK</v>
      </c>
      <c r="AA2269" s="55">
        <f>_xlfn.XLOOKUP(C2269,'Preguntas de negocio'!$C$114:$C$119,'Preguntas de negocio'!$D$114:$D$119,0)</f>
        <v>6</v>
      </c>
      <c r="AB2269" s="55">
        <f>VLOOKUP(C2269,'Preguntas de negocio'!$C$121:$D$127,2,FALSE)</f>
        <v>0.8</v>
      </c>
    </row>
    <row r="2270" spans="1:28" x14ac:dyDescent="0.3">
      <c r="A2270" s="1">
        <v>45675</v>
      </c>
      <c r="B2270" s="2" t="s">
        <v>2636</v>
      </c>
      <c r="C2270" s="2" t="s">
        <v>2515</v>
      </c>
      <c r="D2270" s="2" t="s">
        <v>2528</v>
      </c>
      <c r="E2270" s="2" t="s">
        <v>2529</v>
      </c>
      <c r="F2270" s="3">
        <v>125817</v>
      </c>
      <c r="G2270" s="3">
        <v>3590</v>
      </c>
      <c r="H2270" s="3">
        <v>492</v>
      </c>
      <c r="I2270" s="4">
        <v>5254.97</v>
      </c>
      <c r="J2270" s="4">
        <v>21494.880000000001</v>
      </c>
      <c r="K2270" s="3">
        <v>308</v>
      </c>
      <c r="L2270" s="2" t="s">
        <v>2523</v>
      </c>
      <c r="M2270" s="2" t="s">
        <v>2519</v>
      </c>
      <c r="N2270" s="8">
        <f>IFERROR(G2270/F2270,0)</f>
        <v>2.8533505011246494E-2</v>
      </c>
      <c r="O2270" s="8">
        <f>IFERROR(H2270/G2270,0)</f>
        <v>0.13704735376044569</v>
      </c>
      <c r="P2270" s="4">
        <f>IFERROR(I2270/G2270,0)</f>
        <v>1.4637799442896937</v>
      </c>
      <c r="Q2270" s="4">
        <f>IFERROR(I2270/H2270,0)</f>
        <v>10.680833333333334</v>
      </c>
      <c r="R2270" s="12">
        <f>IFERROR(J2270/I2270,0)</f>
        <v>4.0903906206886056</v>
      </c>
      <c r="S2270" s="7">
        <f>Tabla_nuevas_columnas[[#This Row],[ROAS]]</f>
        <v>4.0903906206886056</v>
      </c>
      <c r="T2270" t="str">
        <f>_xlfn.CONCAT(C2270,"-",D2270)</f>
        <v>Email-España</v>
      </c>
      <c r="U2270">
        <f>YEAR(A2270)</f>
        <v>2025</v>
      </c>
      <c r="V2270">
        <f>MONTH(A2270)</f>
        <v>1</v>
      </c>
      <c r="W2270" t="str">
        <f>PROPER(TEXT(A2270,"mmmm"))</f>
        <v>Enero</v>
      </c>
      <c r="X2270" t="str">
        <f>PROPER(TEXT(A2270,"dddd"))</f>
        <v>Sábado</v>
      </c>
      <c r="Y2270" t="str" cm="1">
        <f t="array" ref="Y2270">_xlfn.IFS(R2270&gt;10,"Excelente",R2270&gt;=5,"Bueno",R2270&gt;=2,"Débil",R2270&lt;2,"Deficiente")</f>
        <v>Débil</v>
      </c>
      <c r="Z2270" t="str">
        <f>IF(AND(R2270&lt;2,Q2270&gt;=100),"Revisar","OK")</f>
        <v>OK</v>
      </c>
      <c r="AA2270" s="55">
        <f>_xlfn.XLOOKUP(C2270,'Preguntas de negocio'!$C$114:$C$119,'Preguntas de negocio'!$D$114:$D$119,0)</f>
        <v>5.5</v>
      </c>
      <c r="AB2270" s="55">
        <f>VLOOKUP(C2270,'Preguntas de negocio'!$C$121:$D$127,2,FALSE)</f>
        <v>0.65</v>
      </c>
    </row>
    <row r="2271" spans="1:28" x14ac:dyDescent="0.3">
      <c r="A2271" s="1">
        <v>45776</v>
      </c>
      <c r="B2271" s="2" t="s">
        <v>2636</v>
      </c>
      <c r="C2271" s="2" t="s">
        <v>2541</v>
      </c>
      <c r="D2271" s="2" t="s">
        <v>2528</v>
      </c>
      <c r="E2271" s="2" t="s">
        <v>2529</v>
      </c>
      <c r="F2271" s="3">
        <v>74838</v>
      </c>
      <c r="G2271" s="3">
        <v>3310</v>
      </c>
      <c r="H2271" s="3">
        <v>254</v>
      </c>
      <c r="I2271" s="4">
        <v>2216.0500000000002</v>
      </c>
      <c r="J2271" s="4">
        <v>4593.8599999999997</v>
      </c>
      <c r="K2271" s="3">
        <v>124</v>
      </c>
      <c r="L2271" s="2" t="s">
        <v>2536</v>
      </c>
      <c r="M2271" s="2" t="s">
        <v>2546</v>
      </c>
      <c r="N2271" s="8">
        <f>IFERROR(G2271/F2271,0)</f>
        <v>4.4228867687538413E-2</v>
      </c>
      <c r="O2271" s="8">
        <f>IFERROR(H2271/G2271,0)</f>
        <v>7.6737160120845915E-2</v>
      </c>
      <c r="P2271" s="4">
        <f>IFERROR(I2271/G2271,0)</f>
        <v>0.66950151057401819</v>
      </c>
      <c r="Q2271" s="4">
        <f>IFERROR(I2271/H2271,0)</f>
        <v>8.7246062992125992</v>
      </c>
      <c r="R2271" s="12">
        <f>IFERROR(J2271/I2271,0)</f>
        <v>2.0729947428984001</v>
      </c>
      <c r="S2271" s="7">
        <f>Tabla_nuevas_columnas[[#This Row],[ROAS]]</f>
        <v>2.0729947428984001</v>
      </c>
      <c r="T2271" t="str">
        <f>_xlfn.CONCAT(C2271,"-",D2271)</f>
        <v>Display-España</v>
      </c>
      <c r="U2271">
        <f>YEAR(A2271)</f>
        <v>2025</v>
      </c>
      <c r="V2271">
        <f>MONTH(A2271)</f>
        <v>4</v>
      </c>
      <c r="W2271" t="str">
        <f>PROPER(TEXT(A2271,"mmmm"))</f>
        <v>Abril</v>
      </c>
      <c r="X2271" t="str">
        <f>PROPER(TEXT(A2271,"dddd"))</f>
        <v>Martes</v>
      </c>
      <c r="Y2271" t="str" cm="1">
        <f t="array" ref="Y2271">_xlfn.IFS(R2271&gt;10,"Excelente",R2271&gt;=5,"Bueno",R2271&gt;=2,"Débil",R2271&lt;2,"Deficiente")</f>
        <v>Débil</v>
      </c>
      <c r="Z2271" t="str">
        <f>IF(AND(R2271&lt;2,Q2271&gt;=100),"Revisar","OK")</f>
        <v>OK</v>
      </c>
      <c r="AA2271" s="55">
        <f>_xlfn.XLOOKUP(C2271,'Preguntas de negocio'!$C$114:$C$119,'Preguntas de negocio'!$D$114:$D$119,0)</f>
        <v>5</v>
      </c>
      <c r="AB2271" s="55">
        <f>VLOOKUP(C2271,'Preguntas de negocio'!$C$121:$D$127,2,FALSE)</f>
        <v>0.5</v>
      </c>
    </row>
    <row r="2272" spans="1:28" x14ac:dyDescent="0.3">
      <c r="A2272" s="1">
        <v>45684</v>
      </c>
      <c r="B2272" s="2" t="s">
        <v>2625</v>
      </c>
      <c r="C2272" s="2" t="s">
        <v>2527</v>
      </c>
      <c r="D2272" s="2" t="s">
        <v>2528</v>
      </c>
      <c r="E2272" s="2" t="s">
        <v>2517</v>
      </c>
      <c r="F2272" s="3">
        <v>66713</v>
      </c>
      <c r="G2272" s="3">
        <v>5561</v>
      </c>
      <c r="H2272" s="3">
        <v>610</v>
      </c>
      <c r="I2272" s="4">
        <v>10005.93</v>
      </c>
      <c r="J2272" s="4">
        <v>74528.240000000005</v>
      </c>
      <c r="K2272" s="3">
        <v>501</v>
      </c>
      <c r="L2272" s="2" t="s">
        <v>2539</v>
      </c>
      <c r="M2272" s="2" t="s">
        <v>2526</v>
      </c>
      <c r="N2272" s="8">
        <f>IFERROR(G2272/F2272,0)</f>
        <v>8.3357066838547211E-2</v>
      </c>
      <c r="O2272" s="8">
        <f>IFERROR(H2272/G2272,0)</f>
        <v>0.10969250134867829</v>
      </c>
      <c r="P2272" s="4">
        <f>IFERROR(I2272/G2272,0)</f>
        <v>1.7993040819996404</v>
      </c>
      <c r="Q2272" s="4">
        <f>IFERROR(I2272/H2272,0)</f>
        <v>16.403163934426232</v>
      </c>
      <c r="R2272" s="12">
        <f>IFERROR(J2272/I2272,0)</f>
        <v>7.4484070945929064</v>
      </c>
      <c r="S2272" s="7">
        <f>Tabla_nuevas_columnas[[#This Row],[ROAS]]</f>
        <v>7.4484070945929064</v>
      </c>
      <c r="T2272" t="str">
        <f>_xlfn.CONCAT(C2272,"-",D2272)</f>
        <v>Affiliate-España</v>
      </c>
      <c r="U2272">
        <f>YEAR(A2272)</f>
        <v>2025</v>
      </c>
      <c r="V2272">
        <f>MONTH(A2272)</f>
        <v>1</v>
      </c>
      <c r="W2272" t="str">
        <f>PROPER(TEXT(A2272,"mmmm"))</f>
        <v>Enero</v>
      </c>
      <c r="X2272" t="str">
        <f>PROPER(TEXT(A2272,"dddd"))</f>
        <v>Lunes</v>
      </c>
      <c r="Y2272" t="str" cm="1">
        <f t="array" ref="Y2272">_xlfn.IFS(R2272&gt;10,"Excelente",R2272&gt;=5,"Bueno",R2272&gt;=2,"Débil",R2272&lt;2,"Deficiente")</f>
        <v>Bueno</v>
      </c>
      <c r="Z2272" t="str">
        <f>IF(AND(R2272&lt;2,Q2272&gt;=100),"Revisar","OK")</f>
        <v>OK</v>
      </c>
      <c r="AA2272" s="55">
        <f>_xlfn.XLOOKUP(C2272,'Preguntas de negocio'!$C$114:$C$119,'Preguntas de negocio'!$D$114:$D$119,0)</f>
        <v>4.5</v>
      </c>
      <c r="AB2272" s="55">
        <f>VLOOKUP(C2272,'Preguntas de negocio'!$C$121:$D$127,2,FALSE)</f>
        <v>0.35</v>
      </c>
    </row>
    <row r="2273" spans="1:28" x14ac:dyDescent="0.3">
      <c r="A2273" s="1">
        <v>45713</v>
      </c>
      <c r="B2273" s="2" t="s">
        <v>2638</v>
      </c>
      <c r="C2273" s="2" t="s">
        <v>2543</v>
      </c>
      <c r="D2273" s="2" t="s">
        <v>2531</v>
      </c>
      <c r="E2273" s="2" t="s">
        <v>2529</v>
      </c>
      <c r="F2273" s="3">
        <v>85218</v>
      </c>
      <c r="G2273" s="3">
        <v>6975</v>
      </c>
      <c r="H2273" s="3">
        <v>741</v>
      </c>
      <c r="I2273" s="4">
        <v>12876.21</v>
      </c>
      <c r="J2273" s="4">
        <v>44547.56</v>
      </c>
      <c r="K2273" s="3">
        <v>596</v>
      </c>
      <c r="L2273" s="2" t="s">
        <v>2539</v>
      </c>
      <c r="M2273" s="2" t="s">
        <v>2526</v>
      </c>
      <c r="N2273" s="8">
        <f>IFERROR(G2273/F2273,0)</f>
        <v>8.1848905160881502E-2</v>
      </c>
      <c r="O2273" s="8">
        <f>IFERROR(H2273/G2273,0)</f>
        <v>0.10623655913978494</v>
      </c>
      <c r="P2273" s="4">
        <f>IFERROR(I2273/G2273,0)</f>
        <v>1.8460516129032256</v>
      </c>
      <c r="Q2273" s="4">
        <f>IFERROR(I2273/H2273,0)</f>
        <v>17.376801619433198</v>
      </c>
      <c r="R2273" s="12">
        <f>IFERROR(J2273/I2273,0)</f>
        <v>3.459679517497773</v>
      </c>
      <c r="S2273" s="7">
        <f>Tabla_nuevas_columnas[[#This Row],[ROAS]]</f>
        <v>3.459679517497773</v>
      </c>
      <c r="T2273" t="str">
        <f>_xlfn.CONCAT(C2273,"-",D2273)</f>
        <v>Organic Social-Portugal</v>
      </c>
      <c r="U2273">
        <f>YEAR(A2273)</f>
        <v>2025</v>
      </c>
      <c r="V2273">
        <f>MONTH(A2273)</f>
        <v>2</v>
      </c>
      <c r="W2273" t="str">
        <f>PROPER(TEXT(A2273,"mmmm"))</f>
        <v>Febrero</v>
      </c>
      <c r="X2273" t="str">
        <f>PROPER(TEXT(A2273,"dddd"))</f>
        <v>Martes</v>
      </c>
      <c r="Y2273" t="str" cm="1">
        <f t="array" ref="Y2273">_xlfn.IFS(R2273&gt;10,"Excelente",R2273&gt;=5,"Bueno",R2273&gt;=2,"Débil",R2273&lt;2,"Deficiente")</f>
        <v>Débil</v>
      </c>
      <c r="Z2273" t="str">
        <f>IF(AND(R2273&lt;2,Q2273&gt;=100),"Revisar","OK")</f>
        <v>OK</v>
      </c>
      <c r="AA2273" s="55">
        <f>_xlfn.XLOOKUP(C2273,'Preguntas de negocio'!$C$114:$C$119,'Preguntas de negocio'!$D$114:$D$119,0)</f>
        <v>4</v>
      </c>
      <c r="AB2273" s="55">
        <f>VLOOKUP(C2273,'Preguntas de negocio'!$C$121:$D$127,2,FALSE)</f>
        <v>0.95</v>
      </c>
    </row>
    <row r="2274" spans="1:28" x14ac:dyDescent="0.3">
      <c r="A2274" s="1">
        <v>45866</v>
      </c>
      <c r="B2274" s="2" t="s">
        <v>2629</v>
      </c>
      <c r="C2274" s="2" t="s">
        <v>2515</v>
      </c>
      <c r="D2274" s="2" t="s">
        <v>2531</v>
      </c>
      <c r="E2274" s="2" t="s">
        <v>2517</v>
      </c>
      <c r="F2274" s="3">
        <v>88432</v>
      </c>
      <c r="G2274" s="3">
        <v>5971</v>
      </c>
      <c r="H2274" s="3">
        <v>280</v>
      </c>
      <c r="I2274" s="4">
        <v>9512.51</v>
      </c>
      <c r="J2274" s="4">
        <v>56394.42</v>
      </c>
      <c r="K2274" s="3">
        <v>249</v>
      </c>
      <c r="L2274" s="2" t="s">
        <v>2539</v>
      </c>
      <c r="M2274" s="2" t="s">
        <v>2526</v>
      </c>
      <c r="N2274" s="8">
        <f>IFERROR(G2274/F2274,0)</f>
        <v>6.7520806947711232E-2</v>
      </c>
      <c r="O2274" s="8">
        <f>IFERROR(H2274/G2274,0)</f>
        <v>4.6893317702227433E-2</v>
      </c>
      <c r="P2274" s="4">
        <f>IFERROR(I2274/G2274,0)</f>
        <v>1.5931184056271981</v>
      </c>
      <c r="Q2274" s="4">
        <f>IFERROR(I2274/H2274,0)</f>
        <v>33.97325</v>
      </c>
      <c r="R2274" s="12">
        <f>IFERROR(J2274/I2274,0)</f>
        <v>5.928447907019283</v>
      </c>
      <c r="S2274" s="7">
        <f>Tabla_nuevas_columnas[[#This Row],[ROAS]]</f>
        <v>5.928447907019283</v>
      </c>
      <c r="T2274" t="str">
        <f>_xlfn.CONCAT(C2274,"-",D2274)</f>
        <v>Email-Portugal</v>
      </c>
      <c r="U2274">
        <f>YEAR(A2274)</f>
        <v>2025</v>
      </c>
      <c r="V2274">
        <f>MONTH(A2274)</f>
        <v>7</v>
      </c>
      <c r="W2274" t="str">
        <f>PROPER(TEXT(A2274,"mmmm"))</f>
        <v>Julio</v>
      </c>
      <c r="X2274" t="str">
        <f>PROPER(TEXT(A2274,"dddd"))</f>
        <v>Lunes</v>
      </c>
      <c r="Y2274" t="str" cm="1">
        <f t="array" ref="Y2274">_xlfn.IFS(R2274&gt;10,"Excelente",R2274&gt;=5,"Bueno",R2274&gt;=2,"Débil",R2274&lt;2,"Deficiente")</f>
        <v>Bueno</v>
      </c>
      <c r="Z2274" t="str">
        <f>IF(AND(R2274&lt;2,Q2274&gt;=100),"Revisar","OK")</f>
        <v>OK</v>
      </c>
      <c r="AA2274" s="55">
        <f>_xlfn.XLOOKUP(C2274,'Preguntas de negocio'!$C$114:$C$119,'Preguntas de negocio'!$D$114:$D$119,0)</f>
        <v>5.5</v>
      </c>
      <c r="AB2274" s="55">
        <f>VLOOKUP(C2274,'Preguntas de negocio'!$C$121:$D$127,2,FALSE)</f>
        <v>0.65</v>
      </c>
    </row>
    <row r="2275" spans="1:28" x14ac:dyDescent="0.3">
      <c r="A2275" s="1">
        <v>45845</v>
      </c>
      <c r="B2275" s="2" t="s">
        <v>2644</v>
      </c>
      <c r="C2275" s="2" t="s">
        <v>2541</v>
      </c>
      <c r="D2275" s="2" t="s">
        <v>2516</v>
      </c>
      <c r="E2275" s="2" t="s">
        <v>2534</v>
      </c>
      <c r="F2275" s="3">
        <v>144023</v>
      </c>
      <c r="G2275" s="3">
        <v>12595</v>
      </c>
      <c r="H2275" s="3">
        <v>1188</v>
      </c>
      <c r="I2275" s="4">
        <v>22609.94</v>
      </c>
      <c r="J2275" s="4">
        <v>183094.21</v>
      </c>
      <c r="K2275" s="3">
        <v>840</v>
      </c>
      <c r="L2275" s="2" t="s">
        <v>2539</v>
      </c>
      <c r="M2275" s="2" t="s">
        <v>2524</v>
      </c>
      <c r="N2275" s="8">
        <f>IFERROR(G2275/F2275,0)</f>
        <v>8.7451309860230655E-2</v>
      </c>
      <c r="O2275" s="8">
        <f>IFERROR(H2275/G2275,0)</f>
        <v>9.4323144104803497E-2</v>
      </c>
      <c r="P2275" s="4">
        <f>IFERROR(I2275/G2275,0)</f>
        <v>1.7951520444620881</v>
      </c>
      <c r="Q2275" s="4">
        <f>IFERROR(I2275/H2275,0)</f>
        <v>19.031936026936027</v>
      </c>
      <c r="R2275" s="12">
        <f>IFERROR(J2275/I2275,0)</f>
        <v>8.0979520511774918</v>
      </c>
      <c r="S2275" s="7">
        <f>Tabla_nuevas_columnas[[#This Row],[ROAS]]</f>
        <v>8.0979520511774918</v>
      </c>
      <c r="T2275" t="str">
        <f>_xlfn.CONCAT(C2275,"-",D2275)</f>
        <v>Display-México</v>
      </c>
      <c r="U2275">
        <f>YEAR(A2275)</f>
        <v>2025</v>
      </c>
      <c r="V2275">
        <f>MONTH(A2275)</f>
        <v>7</v>
      </c>
      <c r="W2275" t="str">
        <f>PROPER(TEXT(A2275,"mmmm"))</f>
        <v>Julio</v>
      </c>
      <c r="X2275" t="str">
        <f>PROPER(TEXT(A2275,"dddd"))</f>
        <v>Lunes</v>
      </c>
      <c r="Y2275" t="str" cm="1">
        <f t="array" ref="Y2275">_xlfn.IFS(R2275&gt;10,"Excelente",R2275&gt;=5,"Bueno",R2275&gt;=2,"Débil",R2275&lt;2,"Deficiente")</f>
        <v>Bueno</v>
      </c>
      <c r="Z2275" t="str">
        <f>IF(AND(R2275&lt;2,Q2275&gt;=100),"Revisar","OK")</f>
        <v>OK</v>
      </c>
      <c r="AA2275" s="55">
        <f>_xlfn.XLOOKUP(C2275,'Preguntas de negocio'!$C$114:$C$119,'Preguntas de negocio'!$D$114:$D$119,0)</f>
        <v>5</v>
      </c>
      <c r="AB2275" s="55">
        <f>VLOOKUP(C2275,'Preguntas de negocio'!$C$121:$D$127,2,FALSE)</f>
        <v>0.5</v>
      </c>
    </row>
    <row r="2276" spans="1:28" x14ac:dyDescent="0.3">
      <c r="A2276" s="1">
        <v>45999</v>
      </c>
      <c r="B2276" s="2" t="s">
        <v>2634</v>
      </c>
      <c r="C2276" s="2" t="s">
        <v>2515</v>
      </c>
      <c r="D2276" s="2" t="s">
        <v>2516</v>
      </c>
      <c r="E2276" s="2" t="s">
        <v>2529</v>
      </c>
      <c r="F2276" s="3">
        <v>12247</v>
      </c>
      <c r="G2276" s="3">
        <v>721</v>
      </c>
      <c r="H2276" s="3">
        <v>71</v>
      </c>
      <c r="I2276" s="4">
        <v>1219.23</v>
      </c>
      <c r="J2276" s="4">
        <v>5280.11</v>
      </c>
      <c r="K2276" s="3">
        <v>54</v>
      </c>
      <c r="L2276" s="2" t="s">
        <v>2518</v>
      </c>
      <c r="M2276" s="2" t="s">
        <v>2524</v>
      </c>
      <c r="N2276" s="8">
        <f>IFERROR(G2276/F2276,0)</f>
        <v>5.8871560382134397E-2</v>
      </c>
      <c r="O2276" s="8">
        <f>IFERROR(H2276/G2276,0)</f>
        <v>9.8474341192787793E-2</v>
      </c>
      <c r="P2276" s="4">
        <f>IFERROR(I2276/G2276,0)</f>
        <v>1.6910263522884883</v>
      </c>
      <c r="Q2276" s="4">
        <f>IFERROR(I2276/H2276,0)</f>
        <v>17.172253521126759</v>
      </c>
      <c r="R2276" s="12">
        <f>IFERROR(J2276/I2276,0)</f>
        <v>4.3306923222033573</v>
      </c>
      <c r="S2276" s="7">
        <f>Tabla_nuevas_columnas[[#This Row],[ROAS]]</f>
        <v>4.3306923222033573</v>
      </c>
      <c r="T2276" t="str">
        <f>_xlfn.CONCAT(C2276,"-",D2276)</f>
        <v>Email-México</v>
      </c>
      <c r="U2276">
        <f>YEAR(A2276)</f>
        <v>2025</v>
      </c>
      <c r="V2276">
        <f>MONTH(A2276)</f>
        <v>12</v>
      </c>
      <c r="W2276" t="str">
        <f>PROPER(TEXT(A2276,"mmmm"))</f>
        <v>Diciembre</v>
      </c>
      <c r="X2276" t="str">
        <f>PROPER(TEXT(A2276,"dddd"))</f>
        <v>Lunes</v>
      </c>
      <c r="Y2276" t="str" cm="1">
        <f t="array" ref="Y2276">_xlfn.IFS(R2276&gt;10,"Excelente",R2276&gt;=5,"Bueno",R2276&gt;=2,"Débil",R2276&lt;2,"Deficiente")</f>
        <v>Débil</v>
      </c>
      <c r="Z2276" t="str">
        <f>IF(AND(R2276&lt;2,Q2276&gt;=100),"Revisar","OK")</f>
        <v>OK</v>
      </c>
      <c r="AA2276" s="55">
        <f>_xlfn.XLOOKUP(C2276,'Preguntas de negocio'!$C$114:$C$119,'Preguntas de negocio'!$D$114:$D$119,0)</f>
        <v>5.5</v>
      </c>
      <c r="AB2276" s="55">
        <f>VLOOKUP(C2276,'Preguntas de negocio'!$C$121:$D$127,2,FALSE)</f>
        <v>0.65</v>
      </c>
    </row>
    <row r="2277" spans="1:28" x14ac:dyDescent="0.3">
      <c r="A2277" s="1">
        <v>45849</v>
      </c>
      <c r="B2277" s="2" t="s">
        <v>2621</v>
      </c>
      <c r="C2277" s="2" t="s">
        <v>2515</v>
      </c>
      <c r="D2277" s="2" t="s">
        <v>2516</v>
      </c>
      <c r="E2277" s="2" t="s">
        <v>2529</v>
      </c>
      <c r="F2277" s="3">
        <v>5481</v>
      </c>
      <c r="G2277" s="3">
        <v>74</v>
      </c>
      <c r="H2277" s="3">
        <v>3</v>
      </c>
      <c r="I2277" s="4">
        <v>126.8</v>
      </c>
      <c r="J2277" s="4">
        <v>164</v>
      </c>
      <c r="K2277" s="3">
        <v>2</v>
      </c>
      <c r="L2277" s="2" t="s">
        <v>2523</v>
      </c>
      <c r="M2277" s="2" t="s">
        <v>2519</v>
      </c>
      <c r="N2277" s="8">
        <f>IFERROR(G2277/F2277,0)</f>
        <v>1.3501185914979019E-2</v>
      </c>
      <c r="O2277" s="8">
        <f>IFERROR(H2277/G2277,0)</f>
        <v>4.0540540540540543E-2</v>
      </c>
      <c r="P2277" s="4">
        <f>IFERROR(I2277/G2277,0)</f>
        <v>1.7135135135135136</v>
      </c>
      <c r="Q2277" s="4">
        <f>IFERROR(I2277/H2277,0)</f>
        <v>42.266666666666666</v>
      </c>
      <c r="R2277" s="12">
        <f>IFERROR(J2277/I2277,0)</f>
        <v>1.2933753943217665</v>
      </c>
      <c r="S2277" s="7">
        <f>Tabla_nuevas_columnas[[#This Row],[ROAS]]</f>
        <v>1.2933753943217665</v>
      </c>
      <c r="T2277" t="str">
        <f>_xlfn.CONCAT(C2277,"-",D2277)</f>
        <v>Email-México</v>
      </c>
      <c r="U2277">
        <f>YEAR(A2277)</f>
        <v>2025</v>
      </c>
      <c r="V2277">
        <f>MONTH(A2277)</f>
        <v>7</v>
      </c>
      <c r="W2277" t="str">
        <f>PROPER(TEXT(A2277,"mmmm"))</f>
        <v>Julio</v>
      </c>
      <c r="X2277" t="str">
        <f>PROPER(TEXT(A2277,"dddd"))</f>
        <v>Viernes</v>
      </c>
      <c r="Y2277" t="str" cm="1">
        <f t="array" ref="Y2277">_xlfn.IFS(R2277&gt;10,"Excelente",R2277&gt;=5,"Bueno",R2277&gt;=2,"Débil",R2277&lt;2,"Deficiente")</f>
        <v>Deficiente</v>
      </c>
      <c r="Z2277" t="str">
        <f>IF(AND(R2277&lt;2,Q2277&gt;=100),"Revisar","OK")</f>
        <v>OK</v>
      </c>
      <c r="AA2277" s="55">
        <f>_xlfn.XLOOKUP(C2277,'Preguntas de negocio'!$C$114:$C$119,'Preguntas de negocio'!$D$114:$D$119,0)</f>
        <v>5.5</v>
      </c>
      <c r="AB2277" s="55">
        <f>VLOOKUP(C2277,'Preguntas de negocio'!$C$121:$D$127,2,FALSE)</f>
        <v>0.65</v>
      </c>
    </row>
    <row r="2278" spans="1:28" x14ac:dyDescent="0.3">
      <c r="A2278" s="1">
        <v>45966</v>
      </c>
      <c r="B2278" s="2" t="s">
        <v>2620</v>
      </c>
      <c r="C2278" s="2" t="s">
        <v>2515</v>
      </c>
      <c r="D2278" s="2" t="s">
        <v>2516</v>
      </c>
      <c r="E2278" s="2" t="s">
        <v>2517</v>
      </c>
      <c r="F2278" s="3">
        <v>77501</v>
      </c>
      <c r="G2278" s="3">
        <v>1774</v>
      </c>
      <c r="H2278" s="3">
        <v>68</v>
      </c>
      <c r="I2278" s="4">
        <v>947.37</v>
      </c>
      <c r="J2278" s="4">
        <v>6043.49</v>
      </c>
      <c r="K2278" s="3">
        <v>51</v>
      </c>
      <c r="L2278" s="2" t="s">
        <v>2536</v>
      </c>
      <c r="M2278" s="2" t="s">
        <v>2526</v>
      </c>
      <c r="N2278" s="8">
        <f>IFERROR(G2278/F2278,0)</f>
        <v>2.2890027225455155E-2</v>
      </c>
      <c r="O2278" s="8">
        <f>IFERROR(H2278/G2278,0)</f>
        <v>3.8331454340473504E-2</v>
      </c>
      <c r="P2278" s="4">
        <f>IFERROR(I2278/G2278,0)</f>
        <v>0.53403043968432917</v>
      </c>
      <c r="Q2278" s="4">
        <f>IFERROR(I2278/H2278,0)</f>
        <v>13.931911764705882</v>
      </c>
      <c r="R2278" s="12">
        <f>IFERROR(J2278/I2278,0)</f>
        <v>6.3792288123964234</v>
      </c>
      <c r="S2278" s="7">
        <f>Tabla_nuevas_columnas[[#This Row],[ROAS]]</f>
        <v>6.3792288123964234</v>
      </c>
      <c r="T2278" t="str">
        <f>_xlfn.CONCAT(C2278,"-",D2278)</f>
        <v>Email-México</v>
      </c>
      <c r="U2278">
        <f>YEAR(A2278)</f>
        <v>2025</v>
      </c>
      <c r="V2278">
        <f>MONTH(A2278)</f>
        <v>11</v>
      </c>
      <c r="W2278" t="str">
        <f>PROPER(TEXT(A2278,"mmmm"))</f>
        <v>Noviembre</v>
      </c>
      <c r="X2278" t="str">
        <f>PROPER(TEXT(A2278,"dddd"))</f>
        <v>Miércoles</v>
      </c>
      <c r="Y2278" t="str" cm="1">
        <f t="array" ref="Y2278">_xlfn.IFS(R2278&gt;10,"Excelente",R2278&gt;=5,"Bueno",R2278&gt;=2,"Débil",R2278&lt;2,"Deficiente")</f>
        <v>Bueno</v>
      </c>
      <c r="Z2278" t="str">
        <f>IF(AND(R2278&lt;2,Q2278&gt;=100),"Revisar","OK")</f>
        <v>OK</v>
      </c>
      <c r="AA2278" s="55">
        <f>_xlfn.XLOOKUP(C2278,'Preguntas de negocio'!$C$114:$C$119,'Preguntas de negocio'!$D$114:$D$119,0)</f>
        <v>5.5</v>
      </c>
      <c r="AB2278" s="55">
        <f>VLOOKUP(C2278,'Preguntas de negocio'!$C$121:$D$127,2,FALSE)</f>
        <v>0.65</v>
      </c>
    </row>
    <row r="2279" spans="1:28" x14ac:dyDescent="0.3">
      <c r="A2279" s="1">
        <v>46010</v>
      </c>
      <c r="B2279" s="2" t="s">
        <v>2640</v>
      </c>
      <c r="C2279" s="2" t="s">
        <v>2521</v>
      </c>
      <c r="D2279" s="2" t="s">
        <v>2525</v>
      </c>
      <c r="E2279" s="2" t="s">
        <v>2529</v>
      </c>
      <c r="F2279" s="3">
        <v>63275</v>
      </c>
      <c r="G2279" s="3">
        <v>4902</v>
      </c>
      <c r="H2279" s="3">
        <v>62</v>
      </c>
      <c r="I2279" s="4">
        <v>4845.1899999999996</v>
      </c>
      <c r="J2279" s="4">
        <v>8266.0400000000009</v>
      </c>
      <c r="K2279" s="3">
        <v>29</v>
      </c>
      <c r="L2279" s="2" t="s">
        <v>2539</v>
      </c>
      <c r="M2279" s="2" t="s">
        <v>2537</v>
      </c>
      <c r="N2279" s="8">
        <f>IFERROR(G2279/F2279,0)</f>
        <v>7.7471355195574867E-2</v>
      </c>
      <c r="O2279" s="8">
        <f>IFERROR(H2279/G2279,0)</f>
        <v>1.2647898816809465E-2</v>
      </c>
      <c r="P2279" s="4">
        <f>IFERROR(I2279/G2279,0)</f>
        <v>0.98841085271317819</v>
      </c>
      <c r="Q2279" s="4">
        <f>IFERROR(I2279/H2279,0)</f>
        <v>78.148225806451606</v>
      </c>
      <c r="R2279" s="12">
        <f>IFERROR(J2279/I2279,0)</f>
        <v>1.706030104082606</v>
      </c>
      <c r="S2279" s="7">
        <f>Tabla_nuevas_columnas[[#This Row],[ROAS]]</f>
        <v>1.706030104082606</v>
      </c>
      <c r="T2279" t="str">
        <f>_xlfn.CONCAT(C2279,"-",D2279)</f>
        <v>Paid Search-Francia</v>
      </c>
      <c r="U2279">
        <f>YEAR(A2279)</f>
        <v>2025</v>
      </c>
      <c r="V2279">
        <f>MONTH(A2279)</f>
        <v>12</v>
      </c>
      <c r="W2279" t="str">
        <f>PROPER(TEXT(A2279,"mmmm"))</f>
        <v>Diciembre</v>
      </c>
      <c r="X2279" t="str">
        <f>PROPER(TEXT(A2279,"dddd"))</f>
        <v>Viernes</v>
      </c>
      <c r="Y2279" t="str" cm="1">
        <f t="array" ref="Y2279">_xlfn.IFS(R2279&gt;10,"Excelente",R2279&gt;=5,"Bueno",R2279&gt;=2,"Débil",R2279&lt;2,"Deficiente")</f>
        <v>Deficiente</v>
      </c>
      <c r="Z2279" t="str">
        <f>IF(AND(R2279&lt;2,Q2279&gt;=100),"Revisar","OK")</f>
        <v>OK</v>
      </c>
      <c r="AA2279" s="55">
        <f>_xlfn.XLOOKUP(C2279,'Preguntas de negocio'!$C$114:$C$119,'Preguntas de negocio'!$D$114:$D$119,0)</f>
        <v>5</v>
      </c>
      <c r="AB2279" s="55">
        <f>VLOOKUP(C2279,'Preguntas de negocio'!$C$121:$D$127,2,FALSE)</f>
        <v>1.1000000000000001</v>
      </c>
    </row>
    <row r="2280" spans="1:28" x14ac:dyDescent="0.3">
      <c r="A2280" s="1">
        <v>45928</v>
      </c>
      <c r="B2280" s="2" t="s">
        <v>2615</v>
      </c>
      <c r="C2280" s="2" t="s">
        <v>2533</v>
      </c>
      <c r="D2280" s="2" t="s">
        <v>2528</v>
      </c>
      <c r="E2280" s="2" t="s">
        <v>2517</v>
      </c>
      <c r="F2280" s="3">
        <v>169426</v>
      </c>
      <c r="G2280" s="3">
        <v>9431</v>
      </c>
      <c r="H2280" s="3">
        <v>876</v>
      </c>
      <c r="I2280" s="4">
        <v>2895.52</v>
      </c>
      <c r="J2280" s="4">
        <v>186342.29</v>
      </c>
      <c r="K2280" s="3">
        <v>756</v>
      </c>
      <c r="L2280" s="2" t="s">
        <v>2518</v>
      </c>
      <c r="M2280" s="2" t="s">
        <v>2526</v>
      </c>
      <c r="N2280" s="8">
        <f>IFERROR(G2280/F2280,0)</f>
        <v>5.5664419864719698E-2</v>
      </c>
      <c r="O2280" s="8">
        <f>IFERROR(H2280/G2280,0)</f>
        <v>9.2885165942105816E-2</v>
      </c>
      <c r="P2280" s="4">
        <f>IFERROR(I2280/G2280,0)</f>
        <v>0.30702152475877426</v>
      </c>
      <c r="Q2280" s="4">
        <f>IFERROR(I2280/H2280,0)</f>
        <v>3.3053881278538815</v>
      </c>
      <c r="R2280" s="12">
        <f>IFERROR(J2280/I2280,0)</f>
        <v>64.355380035364988</v>
      </c>
      <c r="S2280" s="7">
        <f>Tabla_nuevas_columnas[[#This Row],[ROAS]]</f>
        <v>64.355380035364988</v>
      </c>
      <c r="T2280" t="str">
        <f>_xlfn.CONCAT(C2280,"-",D2280)</f>
        <v>Paid Social-España</v>
      </c>
      <c r="U2280">
        <f>YEAR(A2280)</f>
        <v>2025</v>
      </c>
      <c r="V2280">
        <f>MONTH(A2280)</f>
        <v>9</v>
      </c>
      <c r="W2280" t="str">
        <f>PROPER(TEXT(A2280,"mmmm"))</f>
        <v>Septiembre</v>
      </c>
      <c r="X2280" t="str">
        <f>PROPER(TEXT(A2280,"dddd"))</f>
        <v>Domingo</v>
      </c>
      <c r="Y2280" t="str" cm="1">
        <f t="array" ref="Y2280">_xlfn.IFS(R2280&gt;10,"Excelente",R2280&gt;=5,"Bueno",R2280&gt;=2,"Débil",R2280&lt;2,"Deficiente")</f>
        <v>Excelente</v>
      </c>
      <c r="Z2280" t="str">
        <f>IF(AND(R2280&lt;2,Q2280&gt;=100),"Revisar","OK")</f>
        <v>OK</v>
      </c>
      <c r="AA2280" s="55">
        <f>_xlfn.XLOOKUP(C2280,'Preguntas de negocio'!$C$114:$C$119,'Preguntas de negocio'!$D$114:$D$119,0)</f>
        <v>6</v>
      </c>
      <c r="AB2280" s="55">
        <f>VLOOKUP(C2280,'Preguntas de negocio'!$C$121:$D$127,2,FALSE)</f>
        <v>0.8</v>
      </c>
    </row>
    <row r="2281" spans="1:28" x14ac:dyDescent="0.3">
      <c r="A2281" s="1">
        <v>45711</v>
      </c>
      <c r="B2281" s="2" t="s">
        <v>2639</v>
      </c>
      <c r="C2281" s="2" t="s">
        <v>2527</v>
      </c>
      <c r="D2281" s="2" t="s">
        <v>2528</v>
      </c>
      <c r="E2281" s="2" t="s">
        <v>2517</v>
      </c>
      <c r="F2281" s="3">
        <v>34835</v>
      </c>
      <c r="G2281" s="3">
        <v>2812</v>
      </c>
      <c r="H2281" s="3">
        <v>343</v>
      </c>
      <c r="I2281" s="4">
        <v>3528.38</v>
      </c>
      <c r="J2281" s="4">
        <v>72886.850000000006</v>
      </c>
      <c r="K2281" s="3">
        <v>200</v>
      </c>
      <c r="L2281" s="2" t="s">
        <v>2536</v>
      </c>
      <c r="M2281" s="2" t="s">
        <v>2537</v>
      </c>
      <c r="N2281" s="8">
        <f>IFERROR(G2281/F2281,0)</f>
        <v>8.0723410363140513E-2</v>
      </c>
      <c r="O2281" s="8">
        <f>IFERROR(H2281/G2281,0)</f>
        <v>0.12197724039829302</v>
      </c>
      <c r="P2281" s="4">
        <f>IFERROR(I2281/G2281,0)</f>
        <v>1.2547581792318634</v>
      </c>
      <c r="Q2281" s="4">
        <f>IFERROR(I2281/H2281,0)</f>
        <v>10.286822157434402</v>
      </c>
      <c r="R2281" s="12">
        <f>IFERROR(J2281/I2281,0)</f>
        <v>20.65731298783011</v>
      </c>
      <c r="S2281" s="7">
        <f>Tabla_nuevas_columnas[[#This Row],[ROAS]]</f>
        <v>20.65731298783011</v>
      </c>
      <c r="T2281" t="str">
        <f>_xlfn.CONCAT(C2281,"-",D2281)</f>
        <v>Affiliate-España</v>
      </c>
      <c r="U2281">
        <f>YEAR(A2281)</f>
        <v>2025</v>
      </c>
      <c r="V2281">
        <f>MONTH(A2281)</f>
        <v>2</v>
      </c>
      <c r="W2281" t="str">
        <f>PROPER(TEXT(A2281,"mmmm"))</f>
        <v>Febrero</v>
      </c>
      <c r="X2281" t="str">
        <f>PROPER(TEXT(A2281,"dddd"))</f>
        <v>Domingo</v>
      </c>
      <c r="Y2281" t="str" cm="1">
        <f t="array" ref="Y2281">_xlfn.IFS(R2281&gt;10,"Excelente",R2281&gt;=5,"Bueno",R2281&gt;=2,"Débil",R2281&lt;2,"Deficiente")</f>
        <v>Excelente</v>
      </c>
      <c r="Z2281" t="str">
        <f>IF(AND(R2281&lt;2,Q2281&gt;=100),"Revisar","OK")</f>
        <v>OK</v>
      </c>
      <c r="AA2281" s="55">
        <f>_xlfn.XLOOKUP(C2281,'Preguntas de negocio'!$C$114:$C$119,'Preguntas de negocio'!$D$114:$D$119,0)</f>
        <v>4.5</v>
      </c>
      <c r="AB2281" s="55">
        <f>VLOOKUP(C2281,'Preguntas de negocio'!$C$121:$D$127,2,FALSE)</f>
        <v>0.35</v>
      </c>
    </row>
    <row r="2282" spans="1:28" x14ac:dyDescent="0.3">
      <c r="A2282" s="1">
        <v>45752</v>
      </c>
      <c r="B2282" s="2" t="s">
        <v>2644</v>
      </c>
      <c r="C2282" s="2" t="s">
        <v>2527</v>
      </c>
      <c r="D2282" s="2" t="s">
        <v>2522</v>
      </c>
      <c r="E2282" s="2" t="s">
        <v>2529</v>
      </c>
      <c r="F2282" s="3">
        <v>121890</v>
      </c>
      <c r="G2282" s="3">
        <v>615</v>
      </c>
      <c r="H2282" s="3">
        <v>21</v>
      </c>
      <c r="I2282" s="4">
        <v>893.36</v>
      </c>
      <c r="J2282" s="4">
        <v>972.26</v>
      </c>
      <c r="K2282" s="3">
        <v>10</v>
      </c>
      <c r="L2282" s="2" t="s">
        <v>2523</v>
      </c>
      <c r="M2282" s="2" t="s">
        <v>2524</v>
      </c>
      <c r="N2282" s="8">
        <f>IFERROR(G2282/F2282,0)</f>
        <v>5.0455328574944619E-3</v>
      </c>
      <c r="O2282" s="8">
        <f>IFERROR(H2282/G2282,0)</f>
        <v>3.4146341463414637E-2</v>
      </c>
      <c r="P2282" s="4">
        <f>IFERROR(I2282/G2282,0)</f>
        <v>1.4526178861788619</v>
      </c>
      <c r="Q2282" s="4">
        <f>IFERROR(I2282/H2282,0)</f>
        <v>42.540952380952383</v>
      </c>
      <c r="R2282" s="12">
        <f>IFERROR(J2282/I2282,0)</f>
        <v>1.0883182591564431</v>
      </c>
      <c r="S2282" s="7">
        <f>Tabla_nuevas_columnas[[#This Row],[ROAS]]</f>
        <v>1.0883182591564431</v>
      </c>
      <c r="T2282" t="str">
        <f>_xlfn.CONCAT(C2282,"-",D2282)</f>
        <v>Affiliate-Italia</v>
      </c>
      <c r="U2282">
        <f>YEAR(A2282)</f>
        <v>2025</v>
      </c>
      <c r="V2282">
        <f>MONTH(A2282)</f>
        <v>4</v>
      </c>
      <c r="W2282" t="str">
        <f>PROPER(TEXT(A2282,"mmmm"))</f>
        <v>Abril</v>
      </c>
      <c r="X2282" t="str">
        <f>PROPER(TEXT(A2282,"dddd"))</f>
        <v>Sábado</v>
      </c>
      <c r="Y2282" t="str" cm="1">
        <f t="array" ref="Y2282">_xlfn.IFS(R2282&gt;10,"Excelente",R2282&gt;=5,"Bueno",R2282&gt;=2,"Débil",R2282&lt;2,"Deficiente")</f>
        <v>Deficiente</v>
      </c>
      <c r="Z2282" t="str">
        <f>IF(AND(R2282&lt;2,Q2282&gt;=100),"Revisar","OK")</f>
        <v>OK</v>
      </c>
      <c r="AA2282" s="55">
        <f>_xlfn.XLOOKUP(C2282,'Preguntas de negocio'!$C$114:$C$119,'Preguntas de negocio'!$D$114:$D$119,0)</f>
        <v>4.5</v>
      </c>
      <c r="AB2282" s="55">
        <f>VLOOKUP(C2282,'Preguntas de negocio'!$C$121:$D$127,2,FALSE)</f>
        <v>0.35</v>
      </c>
    </row>
    <row r="2283" spans="1:28" x14ac:dyDescent="0.3">
      <c r="A2283" s="1">
        <v>45990</v>
      </c>
      <c r="B2283" s="2" t="s">
        <v>2630</v>
      </c>
      <c r="C2283" s="2" t="s">
        <v>2543</v>
      </c>
      <c r="D2283" s="2" t="s">
        <v>2531</v>
      </c>
      <c r="E2283" s="2" t="s">
        <v>2529</v>
      </c>
      <c r="F2283" s="3">
        <v>76031</v>
      </c>
      <c r="G2283" s="3">
        <v>4118</v>
      </c>
      <c r="H2283" s="3">
        <v>186</v>
      </c>
      <c r="I2283" s="4">
        <v>7725.1</v>
      </c>
      <c r="J2283" s="4">
        <v>14664.85</v>
      </c>
      <c r="K2283" s="3">
        <v>94</v>
      </c>
      <c r="L2283" s="2" t="s">
        <v>2539</v>
      </c>
      <c r="M2283" s="2" t="s">
        <v>2519</v>
      </c>
      <c r="N2283" s="8">
        <f>IFERROR(G2283/F2283,0)</f>
        <v>5.4162118083413348E-2</v>
      </c>
      <c r="O2283" s="8">
        <f>IFERROR(H2283/G2283,0)</f>
        <v>4.5167557066537155E-2</v>
      </c>
      <c r="P2283" s="4">
        <f>IFERROR(I2283/G2283,0)</f>
        <v>1.8759349198640118</v>
      </c>
      <c r="Q2283" s="4">
        <f>IFERROR(I2283/H2283,0)</f>
        <v>41.53279569892473</v>
      </c>
      <c r="R2283" s="12">
        <f>IFERROR(J2283/I2283,0)</f>
        <v>1.8983378855937139</v>
      </c>
      <c r="S2283" s="7">
        <f>Tabla_nuevas_columnas[[#This Row],[ROAS]]</f>
        <v>1.8983378855937139</v>
      </c>
      <c r="T2283" t="str">
        <f>_xlfn.CONCAT(C2283,"-",D2283)</f>
        <v>Organic Social-Portugal</v>
      </c>
      <c r="U2283">
        <f>YEAR(A2283)</f>
        <v>2025</v>
      </c>
      <c r="V2283">
        <f>MONTH(A2283)</f>
        <v>11</v>
      </c>
      <c r="W2283" t="str">
        <f>PROPER(TEXT(A2283,"mmmm"))</f>
        <v>Noviembre</v>
      </c>
      <c r="X2283" t="str">
        <f>PROPER(TEXT(A2283,"dddd"))</f>
        <v>Sábado</v>
      </c>
      <c r="Y2283" t="str" cm="1">
        <f t="array" ref="Y2283">_xlfn.IFS(R2283&gt;10,"Excelente",R2283&gt;=5,"Bueno",R2283&gt;=2,"Débil",R2283&lt;2,"Deficiente")</f>
        <v>Deficiente</v>
      </c>
      <c r="Z2283" t="str">
        <f>IF(AND(R2283&lt;2,Q2283&gt;=100),"Revisar","OK")</f>
        <v>OK</v>
      </c>
      <c r="AA2283" s="55">
        <f>_xlfn.XLOOKUP(C2283,'Preguntas de negocio'!$C$114:$C$119,'Preguntas de negocio'!$D$114:$D$119,0)</f>
        <v>4</v>
      </c>
      <c r="AB2283" s="55">
        <f>VLOOKUP(C2283,'Preguntas de negocio'!$C$121:$D$127,2,FALSE)</f>
        <v>0.95</v>
      </c>
    </row>
    <row r="2284" spans="1:28" x14ac:dyDescent="0.3">
      <c r="A2284" s="1">
        <v>45966</v>
      </c>
      <c r="B2284" s="2" t="s">
        <v>2618</v>
      </c>
      <c r="C2284" s="2" t="s">
        <v>2541</v>
      </c>
      <c r="D2284" s="2" t="s">
        <v>2528</v>
      </c>
      <c r="E2284" s="2" t="s">
        <v>2517</v>
      </c>
      <c r="F2284" s="3">
        <v>143332</v>
      </c>
      <c r="G2284" s="3">
        <v>9194</v>
      </c>
      <c r="H2284" s="3">
        <v>1107</v>
      </c>
      <c r="I2284" s="4">
        <v>4021.76</v>
      </c>
      <c r="J2284" s="4">
        <v>96415.4</v>
      </c>
      <c r="K2284" s="3">
        <v>966</v>
      </c>
      <c r="L2284" s="2" t="s">
        <v>2539</v>
      </c>
      <c r="M2284" s="2" t="s">
        <v>2526</v>
      </c>
      <c r="N2284" s="8">
        <f>IFERROR(G2284/F2284,0)</f>
        <v>6.4144782742165049E-2</v>
      </c>
      <c r="O2284" s="8">
        <f>IFERROR(H2284/G2284,0)</f>
        <v>0.12040461170328474</v>
      </c>
      <c r="P2284" s="4">
        <f>IFERROR(I2284/G2284,0)</f>
        <v>0.43743310854905376</v>
      </c>
      <c r="Q2284" s="4">
        <f>IFERROR(I2284/H2284,0)</f>
        <v>3.6330261969286362</v>
      </c>
      <c r="R2284" s="12">
        <f>IFERROR(J2284/I2284,0)</f>
        <v>23.973434516231698</v>
      </c>
      <c r="S2284" s="7">
        <f>Tabla_nuevas_columnas[[#This Row],[ROAS]]</f>
        <v>23.973434516231698</v>
      </c>
      <c r="T2284" t="str">
        <f>_xlfn.CONCAT(C2284,"-",D2284)</f>
        <v>Display-España</v>
      </c>
      <c r="U2284">
        <f>YEAR(A2284)</f>
        <v>2025</v>
      </c>
      <c r="V2284">
        <f>MONTH(A2284)</f>
        <v>11</v>
      </c>
      <c r="W2284" t="str">
        <f>PROPER(TEXT(A2284,"mmmm"))</f>
        <v>Noviembre</v>
      </c>
      <c r="X2284" t="str">
        <f>PROPER(TEXT(A2284,"dddd"))</f>
        <v>Miércoles</v>
      </c>
      <c r="Y2284" t="str" cm="1">
        <f t="array" ref="Y2284">_xlfn.IFS(R2284&gt;10,"Excelente",R2284&gt;=5,"Bueno",R2284&gt;=2,"Débil",R2284&lt;2,"Deficiente")</f>
        <v>Excelente</v>
      </c>
      <c r="Z2284" t="str">
        <f>IF(AND(R2284&lt;2,Q2284&gt;=100),"Revisar","OK")</f>
        <v>OK</v>
      </c>
      <c r="AA2284" s="55">
        <f>_xlfn.XLOOKUP(C2284,'Preguntas de negocio'!$C$114:$C$119,'Preguntas de negocio'!$D$114:$D$119,0)</f>
        <v>5</v>
      </c>
      <c r="AB2284" s="55">
        <f>VLOOKUP(C2284,'Preguntas de negocio'!$C$121:$D$127,2,FALSE)</f>
        <v>0.5</v>
      </c>
    </row>
    <row r="2285" spans="1:28" x14ac:dyDescent="0.3">
      <c r="A2285" s="1">
        <v>45696</v>
      </c>
      <c r="B2285" s="2" t="s">
        <v>2638</v>
      </c>
      <c r="C2285" s="2" t="s">
        <v>2515</v>
      </c>
      <c r="D2285" s="2" t="s">
        <v>2525</v>
      </c>
      <c r="E2285" s="2" t="s">
        <v>2529</v>
      </c>
      <c r="F2285" s="3">
        <v>160761</v>
      </c>
      <c r="G2285" s="3">
        <v>11676</v>
      </c>
      <c r="H2285" s="3">
        <v>1065</v>
      </c>
      <c r="I2285" s="4">
        <v>17325.72</v>
      </c>
      <c r="J2285" s="4">
        <v>202070.43</v>
      </c>
      <c r="K2285" s="3">
        <v>865</v>
      </c>
      <c r="L2285" s="2" t="s">
        <v>2536</v>
      </c>
      <c r="M2285" s="2" t="s">
        <v>2537</v>
      </c>
      <c r="N2285" s="8">
        <f>IFERROR(G2285/F2285,0)</f>
        <v>7.2629555675816901E-2</v>
      </c>
      <c r="O2285" s="8">
        <f>IFERROR(H2285/G2285,0)</f>
        <v>9.121274409044193E-2</v>
      </c>
      <c r="P2285" s="4">
        <f>IFERROR(I2285/G2285,0)</f>
        <v>1.4838746145940391</v>
      </c>
      <c r="Q2285" s="4">
        <f>IFERROR(I2285/H2285,0)</f>
        <v>16.268281690140846</v>
      </c>
      <c r="R2285" s="12">
        <f>IFERROR(J2285/I2285,0)</f>
        <v>11.6630321856754</v>
      </c>
      <c r="S2285" s="7">
        <f>Tabla_nuevas_columnas[[#This Row],[ROAS]]</f>
        <v>11.6630321856754</v>
      </c>
      <c r="T2285" t="str">
        <f>_xlfn.CONCAT(C2285,"-",D2285)</f>
        <v>Email-Francia</v>
      </c>
      <c r="U2285">
        <f>YEAR(A2285)</f>
        <v>2025</v>
      </c>
      <c r="V2285">
        <f>MONTH(A2285)</f>
        <v>2</v>
      </c>
      <c r="W2285" t="str">
        <f>PROPER(TEXT(A2285,"mmmm"))</f>
        <v>Febrero</v>
      </c>
      <c r="X2285" t="str">
        <f>PROPER(TEXT(A2285,"dddd"))</f>
        <v>Sábado</v>
      </c>
      <c r="Y2285" t="str" cm="1">
        <f t="array" ref="Y2285">_xlfn.IFS(R2285&gt;10,"Excelente",R2285&gt;=5,"Bueno",R2285&gt;=2,"Débil",R2285&lt;2,"Deficiente")</f>
        <v>Excelente</v>
      </c>
      <c r="Z2285" t="str">
        <f>IF(AND(R2285&lt;2,Q2285&gt;=100),"Revisar","OK")</f>
        <v>OK</v>
      </c>
      <c r="AA2285" s="55">
        <f>_xlfn.XLOOKUP(C2285,'Preguntas de negocio'!$C$114:$C$119,'Preguntas de negocio'!$D$114:$D$119,0)</f>
        <v>5.5</v>
      </c>
      <c r="AB2285" s="55">
        <f>VLOOKUP(C2285,'Preguntas de negocio'!$C$121:$D$127,2,FALSE)</f>
        <v>0.65</v>
      </c>
    </row>
    <row r="2286" spans="1:28" x14ac:dyDescent="0.3">
      <c r="A2286" s="1">
        <v>45955</v>
      </c>
      <c r="B2286" s="2" t="s">
        <v>2627</v>
      </c>
      <c r="C2286" s="2" t="s">
        <v>2527</v>
      </c>
      <c r="D2286" s="2" t="s">
        <v>2528</v>
      </c>
      <c r="E2286" s="2" t="s">
        <v>2529</v>
      </c>
      <c r="F2286" s="3">
        <v>118375</v>
      </c>
      <c r="G2286" s="3">
        <v>1377</v>
      </c>
      <c r="H2286" s="3">
        <v>183</v>
      </c>
      <c r="I2286" s="4">
        <v>1351.8</v>
      </c>
      <c r="J2286" s="4">
        <v>23839.24</v>
      </c>
      <c r="K2286" s="3">
        <v>92</v>
      </c>
      <c r="L2286" s="2" t="s">
        <v>2536</v>
      </c>
      <c r="M2286" s="2" t="s">
        <v>2537</v>
      </c>
      <c r="N2286" s="8">
        <f>IFERROR(G2286/F2286,0)</f>
        <v>1.1632523759239705E-2</v>
      </c>
      <c r="O2286" s="8">
        <f>IFERROR(H2286/G2286,0)</f>
        <v>0.13289760348583879</v>
      </c>
      <c r="P2286" s="4">
        <f>IFERROR(I2286/G2286,0)</f>
        <v>0.98169934640522871</v>
      </c>
      <c r="Q2286" s="4">
        <f>IFERROR(I2286/H2286,0)</f>
        <v>7.386885245901639</v>
      </c>
      <c r="R2286" s="12">
        <f>IFERROR(J2286/I2286,0)</f>
        <v>17.63518271933718</v>
      </c>
      <c r="S2286" s="7">
        <f>Tabla_nuevas_columnas[[#This Row],[ROAS]]</f>
        <v>17.63518271933718</v>
      </c>
      <c r="T2286" t="str">
        <f>_xlfn.CONCAT(C2286,"-",D2286)</f>
        <v>Affiliate-España</v>
      </c>
      <c r="U2286">
        <f>YEAR(A2286)</f>
        <v>2025</v>
      </c>
      <c r="V2286">
        <f>MONTH(A2286)</f>
        <v>10</v>
      </c>
      <c r="W2286" t="str">
        <f>PROPER(TEXT(A2286,"mmmm"))</f>
        <v>Octubre</v>
      </c>
      <c r="X2286" t="str">
        <f>PROPER(TEXT(A2286,"dddd"))</f>
        <v>Sábado</v>
      </c>
      <c r="Y2286" t="str" cm="1">
        <f t="array" ref="Y2286">_xlfn.IFS(R2286&gt;10,"Excelente",R2286&gt;=5,"Bueno",R2286&gt;=2,"Débil",R2286&lt;2,"Deficiente")</f>
        <v>Excelente</v>
      </c>
      <c r="Z2286" t="str">
        <f>IF(AND(R2286&lt;2,Q2286&gt;=100),"Revisar","OK")</f>
        <v>OK</v>
      </c>
      <c r="AA2286" s="55">
        <f>_xlfn.XLOOKUP(C2286,'Preguntas de negocio'!$C$114:$C$119,'Preguntas de negocio'!$D$114:$D$119,0)</f>
        <v>4.5</v>
      </c>
      <c r="AB2286" s="55">
        <f>VLOOKUP(C2286,'Preguntas de negocio'!$C$121:$D$127,2,FALSE)</f>
        <v>0.35</v>
      </c>
    </row>
    <row r="2287" spans="1:28" x14ac:dyDescent="0.3">
      <c r="A2287" s="1">
        <v>45752</v>
      </c>
      <c r="B2287" s="2" t="s">
        <v>2642</v>
      </c>
      <c r="C2287" s="2" t="s">
        <v>2527</v>
      </c>
      <c r="D2287" s="2" t="s">
        <v>2528</v>
      </c>
      <c r="E2287" s="2" t="s">
        <v>2529</v>
      </c>
      <c r="F2287" s="3">
        <v>173950</v>
      </c>
      <c r="G2287" s="3">
        <v>11915</v>
      </c>
      <c r="H2287" s="3">
        <v>345</v>
      </c>
      <c r="I2287" s="4">
        <v>14390.19</v>
      </c>
      <c r="J2287" s="4">
        <v>61993.35</v>
      </c>
      <c r="K2287" s="3">
        <v>231</v>
      </c>
      <c r="L2287" s="2" t="s">
        <v>2536</v>
      </c>
      <c r="M2287" s="2" t="s">
        <v>2537</v>
      </c>
      <c r="N2287" s="8">
        <f>IFERROR(G2287/F2287,0)</f>
        <v>6.8496694452428855E-2</v>
      </c>
      <c r="O2287" s="8">
        <f>IFERROR(H2287/G2287,0)</f>
        <v>2.8955098615190935E-2</v>
      </c>
      <c r="P2287" s="4">
        <f>IFERROR(I2287/G2287,0)</f>
        <v>1.2077373059169114</v>
      </c>
      <c r="Q2287" s="4">
        <f>IFERROR(I2287/H2287,0)</f>
        <v>41.710695652173918</v>
      </c>
      <c r="R2287" s="12">
        <f>IFERROR(J2287/I2287,0)</f>
        <v>4.308028594479989</v>
      </c>
      <c r="S2287" s="7">
        <f>Tabla_nuevas_columnas[[#This Row],[ROAS]]</f>
        <v>4.308028594479989</v>
      </c>
      <c r="T2287" t="str">
        <f>_xlfn.CONCAT(C2287,"-",D2287)</f>
        <v>Affiliate-España</v>
      </c>
      <c r="U2287">
        <f>YEAR(A2287)</f>
        <v>2025</v>
      </c>
      <c r="V2287">
        <f>MONTH(A2287)</f>
        <v>4</v>
      </c>
      <c r="W2287" t="str">
        <f>PROPER(TEXT(A2287,"mmmm"))</f>
        <v>Abril</v>
      </c>
      <c r="X2287" t="str">
        <f>PROPER(TEXT(A2287,"dddd"))</f>
        <v>Sábado</v>
      </c>
      <c r="Y2287" t="str" cm="1">
        <f t="array" ref="Y2287">_xlfn.IFS(R2287&gt;10,"Excelente",R2287&gt;=5,"Bueno",R2287&gt;=2,"Débil",R2287&lt;2,"Deficiente")</f>
        <v>Débil</v>
      </c>
      <c r="Z2287" t="str">
        <f>IF(AND(R2287&lt;2,Q2287&gt;=100),"Revisar","OK")</f>
        <v>OK</v>
      </c>
      <c r="AA2287" s="55">
        <f>_xlfn.XLOOKUP(C2287,'Preguntas de negocio'!$C$114:$C$119,'Preguntas de negocio'!$D$114:$D$119,0)</f>
        <v>4.5</v>
      </c>
      <c r="AB2287" s="55">
        <f>VLOOKUP(C2287,'Preguntas de negocio'!$C$121:$D$127,2,FALSE)</f>
        <v>0.35</v>
      </c>
    </row>
    <row r="2288" spans="1:28" x14ac:dyDescent="0.3">
      <c r="A2288" s="1">
        <v>45917</v>
      </c>
      <c r="B2288" s="2" t="s">
        <v>2621</v>
      </c>
      <c r="C2288" s="2" t="s">
        <v>2543</v>
      </c>
      <c r="D2288" s="2" t="s">
        <v>2516</v>
      </c>
      <c r="E2288" s="2" t="s">
        <v>2529</v>
      </c>
      <c r="F2288" s="3">
        <v>37786</v>
      </c>
      <c r="G2288" s="3">
        <v>1813</v>
      </c>
      <c r="H2288" s="3">
        <v>120</v>
      </c>
      <c r="I2288" s="4">
        <v>3478.59</v>
      </c>
      <c r="J2288" s="4">
        <v>22271.24</v>
      </c>
      <c r="K2288" s="3">
        <v>65</v>
      </c>
      <c r="L2288" s="2" t="s">
        <v>2518</v>
      </c>
      <c r="M2288" s="2" t="s">
        <v>2524</v>
      </c>
      <c r="N2288" s="8">
        <f>IFERROR(G2288/F2288,0)</f>
        <v>4.7980733605038905E-2</v>
      </c>
      <c r="O2288" s="8">
        <f>IFERROR(H2288/G2288,0)</f>
        <v>6.6188637617209042E-2</v>
      </c>
      <c r="P2288" s="4">
        <f>IFERROR(I2288/G2288,0)</f>
        <v>1.9186927744070601</v>
      </c>
      <c r="Q2288" s="4">
        <f>IFERROR(I2288/H2288,0)</f>
        <v>28.988250000000001</v>
      </c>
      <c r="R2288" s="12">
        <f>IFERROR(J2288/I2288,0)</f>
        <v>6.4023756752017338</v>
      </c>
      <c r="S2288" s="7">
        <f>Tabla_nuevas_columnas[[#This Row],[ROAS]]</f>
        <v>6.4023756752017338</v>
      </c>
      <c r="T2288" t="str">
        <f>_xlfn.CONCAT(C2288,"-",D2288)</f>
        <v>Organic Social-México</v>
      </c>
      <c r="U2288">
        <f>YEAR(A2288)</f>
        <v>2025</v>
      </c>
      <c r="V2288">
        <f>MONTH(A2288)</f>
        <v>9</v>
      </c>
      <c r="W2288" t="str">
        <f>PROPER(TEXT(A2288,"mmmm"))</f>
        <v>Septiembre</v>
      </c>
      <c r="X2288" t="str">
        <f>PROPER(TEXT(A2288,"dddd"))</f>
        <v>Miércoles</v>
      </c>
      <c r="Y2288" t="str" cm="1">
        <f t="array" ref="Y2288">_xlfn.IFS(R2288&gt;10,"Excelente",R2288&gt;=5,"Bueno",R2288&gt;=2,"Débil",R2288&lt;2,"Deficiente")</f>
        <v>Bueno</v>
      </c>
      <c r="Z2288" t="str">
        <f>IF(AND(R2288&lt;2,Q2288&gt;=100),"Revisar","OK")</f>
        <v>OK</v>
      </c>
      <c r="AA2288" s="55">
        <f>_xlfn.XLOOKUP(C2288,'Preguntas de negocio'!$C$114:$C$119,'Preguntas de negocio'!$D$114:$D$119,0)</f>
        <v>4</v>
      </c>
      <c r="AB2288" s="55">
        <f>VLOOKUP(C2288,'Preguntas de negocio'!$C$121:$D$127,2,FALSE)</f>
        <v>0.95</v>
      </c>
    </row>
    <row r="2289" spans="1:28" x14ac:dyDescent="0.3">
      <c r="A2289" s="1">
        <v>45898</v>
      </c>
      <c r="B2289" s="2" t="s">
        <v>2635</v>
      </c>
      <c r="C2289" s="2" t="s">
        <v>2533</v>
      </c>
      <c r="D2289" s="2" t="s">
        <v>2528</v>
      </c>
      <c r="E2289" s="2" t="s">
        <v>2534</v>
      </c>
      <c r="F2289" s="3">
        <v>44816</v>
      </c>
      <c r="G2289" s="3">
        <v>2894</v>
      </c>
      <c r="H2289" s="3">
        <v>188</v>
      </c>
      <c r="I2289" s="4">
        <v>4372.95</v>
      </c>
      <c r="J2289" s="4">
        <v>25182.36</v>
      </c>
      <c r="K2289" s="3">
        <v>140</v>
      </c>
      <c r="L2289" s="2" t="s">
        <v>2539</v>
      </c>
      <c r="M2289" s="2" t="s">
        <v>2524</v>
      </c>
      <c r="N2289" s="8">
        <f>IFERROR(G2289/F2289,0)</f>
        <v>6.4575151731524449E-2</v>
      </c>
      <c r="O2289" s="8">
        <f>IFERROR(H2289/G2289,0)</f>
        <v>6.4961990324809954E-2</v>
      </c>
      <c r="P2289" s="4">
        <f>IFERROR(I2289/G2289,0)</f>
        <v>1.5110400829302004</v>
      </c>
      <c r="Q2289" s="4">
        <f>IFERROR(I2289/H2289,0)</f>
        <v>23.26037234042553</v>
      </c>
      <c r="R2289" s="12">
        <f>IFERROR(J2289/I2289,0)</f>
        <v>5.7586663465166543</v>
      </c>
      <c r="S2289" s="7">
        <f>Tabla_nuevas_columnas[[#This Row],[ROAS]]</f>
        <v>5.7586663465166543</v>
      </c>
      <c r="T2289" t="str">
        <f>_xlfn.CONCAT(C2289,"-",D2289)</f>
        <v>Paid Social-España</v>
      </c>
      <c r="U2289">
        <f>YEAR(A2289)</f>
        <v>2025</v>
      </c>
      <c r="V2289">
        <f>MONTH(A2289)</f>
        <v>8</v>
      </c>
      <c r="W2289" t="str">
        <f>PROPER(TEXT(A2289,"mmmm"))</f>
        <v>Agosto</v>
      </c>
      <c r="X2289" t="str">
        <f>PROPER(TEXT(A2289,"dddd"))</f>
        <v>Viernes</v>
      </c>
      <c r="Y2289" t="str" cm="1">
        <f t="array" ref="Y2289">_xlfn.IFS(R2289&gt;10,"Excelente",R2289&gt;=5,"Bueno",R2289&gt;=2,"Débil",R2289&lt;2,"Deficiente")</f>
        <v>Bueno</v>
      </c>
      <c r="Z2289" t="str">
        <f>IF(AND(R2289&lt;2,Q2289&gt;=100),"Revisar","OK")</f>
        <v>OK</v>
      </c>
      <c r="AA2289" s="55">
        <f>_xlfn.XLOOKUP(C2289,'Preguntas de negocio'!$C$114:$C$119,'Preguntas de negocio'!$D$114:$D$119,0)</f>
        <v>6</v>
      </c>
      <c r="AB2289" s="55">
        <f>VLOOKUP(C2289,'Preguntas de negocio'!$C$121:$D$127,2,FALSE)</f>
        <v>0.8</v>
      </c>
    </row>
    <row r="2290" spans="1:28" x14ac:dyDescent="0.3">
      <c r="A2290" s="1">
        <v>45962</v>
      </c>
      <c r="B2290" s="2" t="s">
        <v>2628</v>
      </c>
      <c r="C2290" s="2" t="s">
        <v>2521</v>
      </c>
      <c r="D2290" s="2" t="s">
        <v>2528</v>
      </c>
      <c r="E2290" s="2" t="s">
        <v>2529</v>
      </c>
      <c r="F2290" s="3">
        <v>116290</v>
      </c>
      <c r="G2290" s="3">
        <v>8652</v>
      </c>
      <c r="H2290" s="3">
        <v>137</v>
      </c>
      <c r="I2290" s="4">
        <v>15386.67</v>
      </c>
      <c r="J2290" s="4">
        <v>12683.33</v>
      </c>
      <c r="K2290" s="3">
        <v>68</v>
      </c>
      <c r="L2290" s="2" t="s">
        <v>2518</v>
      </c>
      <c r="M2290" s="2" t="s">
        <v>2526</v>
      </c>
      <c r="N2290" s="8">
        <f>IFERROR(G2290/F2290,0)</f>
        <v>7.4400206380600228E-2</v>
      </c>
      <c r="O2290" s="8">
        <f>IFERROR(H2290/G2290,0)</f>
        <v>1.5834489135460008E-2</v>
      </c>
      <c r="P2290" s="4">
        <f>IFERROR(I2290/G2290,0)</f>
        <v>1.7783945908460472</v>
      </c>
      <c r="Q2290" s="4">
        <f>IFERROR(I2290/H2290,0)</f>
        <v>112.3114598540146</v>
      </c>
      <c r="R2290" s="12">
        <f>IFERROR(J2290/I2290,0)</f>
        <v>0.82430636388510314</v>
      </c>
      <c r="S2290" s="7">
        <f>Tabla_nuevas_columnas[[#This Row],[ROAS]]</f>
        <v>0.82430636388510314</v>
      </c>
      <c r="T2290" t="str">
        <f>_xlfn.CONCAT(C2290,"-",D2290)</f>
        <v>Paid Search-España</v>
      </c>
      <c r="U2290">
        <f>YEAR(A2290)</f>
        <v>2025</v>
      </c>
      <c r="V2290">
        <f>MONTH(A2290)</f>
        <v>11</v>
      </c>
      <c r="W2290" t="str">
        <f>PROPER(TEXT(A2290,"mmmm"))</f>
        <v>Noviembre</v>
      </c>
      <c r="X2290" t="str">
        <f>PROPER(TEXT(A2290,"dddd"))</f>
        <v>Sábado</v>
      </c>
      <c r="Y2290" t="str" cm="1">
        <f t="array" ref="Y2290">_xlfn.IFS(R2290&gt;10,"Excelente",R2290&gt;=5,"Bueno",R2290&gt;=2,"Débil",R2290&lt;2,"Deficiente")</f>
        <v>Deficiente</v>
      </c>
      <c r="Z2290" t="str">
        <f>IF(AND(R2290&lt;2,Q2290&gt;=100),"Revisar","OK")</f>
        <v>Revisar</v>
      </c>
      <c r="AA2290" s="55">
        <f>_xlfn.XLOOKUP(C2290,'Preguntas de negocio'!$C$114:$C$119,'Preguntas de negocio'!$D$114:$D$119,0)</f>
        <v>5</v>
      </c>
      <c r="AB2290" s="55">
        <f>VLOOKUP(C2290,'Preguntas de negocio'!$C$121:$D$127,2,FALSE)</f>
        <v>1.1000000000000001</v>
      </c>
    </row>
    <row r="2291" spans="1:28" x14ac:dyDescent="0.3">
      <c r="A2291" s="1">
        <v>45708</v>
      </c>
      <c r="B2291" s="2" t="s">
        <v>2627</v>
      </c>
      <c r="C2291" s="2" t="s">
        <v>2533</v>
      </c>
      <c r="D2291" s="2" t="s">
        <v>2525</v>
      </c>
      <c r="E2291" s="2" t="s">
        <v>2517</v>
      </c>
      <c r="F2291" s="3">
        <v>112186</v>
      </c>
      <c r="G2291" s="3">
        <v>5157</v>
      </c>
      <c r="H2291" s="3">
        <v>544</v>
      </c>
      <c r="I2291" s="4">
        <v>4368.72</v>
      </c>
      <c r="J2291" s="4">
        <v>27031.39</v>
      </c>
      <c r="K2291" s="3">
        <v>399</v>
      </c>
      <c r="L2291" s="2" t="s">
        <v>2518</v>
      </c>
      <c r="M2291" s="2" t="s">
        <v>2537</v>
      </c>
      <c r="N2291" s="8">
        <f>IFERROR(G2291/F2291,0)</f>
        <v>4.5968302640258141E-2</v>
      </c>
      <c r="O2291" s="8">
        <f>IFERROR(H2291/G2291,0)</f>
        <v>0.1054876866395191</v>
      </c>
      <c r="P2291" s="4">
        <f>IFERROR(I2291/G2291,0)</f>
        <v>0.84714368819080865</v>
      </c>
      <c r="Q2291" s="4">
        <f>IFERROR(I2291/H2291,0)</f>
        <v>8.0307352941176475</v>
      </c>
      <c r="R2291" s="12">
        <f>IFERROR(J2291/I2291,0)</f>
        <v>6.1874851215001181</v>
      </c>
      <c r="S2291" s="7">
        <f>Tabla_nuevas_columnas[[#This Row],[ROAS]]</f>
        <v>6.1874851215001181</v>
      </c>
      <c r="T2291" t="str">
        <f>_xlfn.CONCAT(C2291,"-",D2291)</f>
        <v>Paid Social-Francia</v>
      </c>
      <c r="U2291">
        <f>YEAR(A2291)</f>
        <v>2025</v>
      </c>
      <c r="V2291">
        <f>MONTH(A2291)</f>
        <v>2</v>
      </c>
      <c r="W2291" t="str">
        <f>PROPER(TEXT(A2291,"mmmm"))</f>
        <v>Febrero</v>
      </c>
      <c r="X2291" t="str">
        <f>PROPER(TEXT(A2291,"dddd"))</f>
        <v>Jueves</v>
      </c>
      <c r="Y2291" t="str" cm="1">
        <f t="array" ref="Y2291">_xlfn.IFS(R2291&gt;10,"Excelente",R2291&gt;=5,"Bueno",R2291&gt;=2,"Débil",R2291&lt;2,"Deficiente")</f>
        <v>Bueno</v>
      </c>
      <c r="Z2291" t="str">
        <f>IF(AND(R2291&lt;2,Q2291&gt;=100),"Revisar","OK")</f>
        <v>OK</v>
      </c>
      <c r="AA2291" s="55">
        <f>_xlfn.XLOOKUP(C2291,'Preguntas de negocio'!$C$114:$C$119,'Preguntas de negocio'!$D$114:$D$119,0)</f>
        <v>6</v>
      </c>
      <c r="AB2291" s="55">
        <f>VLOOKUP(C2291,'Preguntas de negocio'!$C$121:$D$127,2,FALSE)</f>
        <v>0.8</v>
      </c>
    </row>
    <row r="2292" spans="1:28" x14ac:dyDescent="0.3">
      <c r="A2292" s="1">
        <v>46021</v>
      </c>
      <c r="B2292" s="2" t="s">
        <v>2641</v>
      </c>
      <c r="C2292" s="2" t="s">
        <v>2541</v>
      </c>
      <c r="D2292" s="2" t="s">
        <v>2528</v>
      </c>
      <c r="E2292" s="2" t="s">
        <v>2534</v>
      </c>
      <c r="F2292" s="3">
        <v>85943</v>
      </c>
      <c r="G2292" s="3">
        <v>4939</v>
      </c>
      <c r="H2292" s="3">
        <v>335</v>
      </c>
      <c r="I2292" s="4">
        <v>5912.02</v>
      </c>
      <c r="J2292" s="4">
        <v>58301.16</v>
      </c>
      <c r="K2292" s="3">
        <v>245</v>
      </c>
      <c r="L2292" s="2" t="s">
        <v>2536</v>
      </c>
      <c r="M2292" s="2" t="s">
        <v>2524</v>
      </c>
      <c r="N2292" s="8">
        <f>IFERROR(G2292/F2292,0)</f>
        <v>5.7468322027390245E-2</v>
      </c>
      <c r="O2292" s="8">
        <f>IFERROR(H2292/G2292,0)</f>
        <v>6.7827495444421945E-2</v>
      </c>
      <c r="P2292" s="4">
        <f>IFERROR(I2292/G2292,0)</f>
        <v>1.1970074913950193</v>
      </c>
      <c r="Q2292" s="4">
        <f>IFERROR(I2292/H2292,0)</f>
        <v>17.64782089552239</v>
      </c>
      <c r="R2292" s="12">
        <f>IFERROR(J2292/I2292,0)</f>
        <v>9.8614619030382169</v>
      </c>
      <c r="S2292" s="7">
        <f>Tabla_nuevas_columnas[[#This Row],[ROAS]]</f>
        <v>9.8614619030382169</v>
      </c>
      <c r="T2292" t="str">
        <f>_xlfn.CONCAT(C2292,"-",D2292)</f>
        <v>Display-España</v>
      </c>
      <c r="U2292">
        <f>YEAR(A2292)</f>
        <v>2025</v>
      </c>
      <c r="V2292">
        <f>MONTH(A2292)</f>
        <v>12</v>
      </c>
      <c r="W2292" t="str">
        <f>PROPER(TEXT(A2292,"mmmm"))</f>
        <v>Diciembre</v>
      </c>
      <c r="X2292" t="str">
        <f>PROPER(TEXT(A2292,"dddd"))</f>
        <v>Martes</v>
      </c>
      <c r="Y2292" t="str" cm="1">
        <f t="array" ref="Y2292">_xlfn.IFS(R2292&gt;10,"Excelente",R2292&gt;=5,"Bueno",R2292&gt;=2,"Débil",R2292&lt;2,"Deficiente")</f>
        <v>Bueno</v>
      </c>
      <c r="Z2292" t="str">
        <f>IF(AND(R2292&lt;2,Q2292&gt;=100),"Revisar","OK")</f>
        <v>OK</v>
      </c>
      <c r="AA2292" s="55">
        <f>_xlfn.XLOOKUP(C2292,'Preguntas de negocio'!$C$114:$C$119,'Preguntas de negocio'!$D$114:$D$119,0)</f>
        <v>5</v>
      </c>
      <c r="AB2292" s="55">
        <f>VLOOKUP(C2292,'Preguntas de negocio'!$C$121:$D$127,2,FALSE)</f>
        <v>0.5</v>
      </c>
    </row>
    <row r="2293" spans="1:28" x14ac:dyDescent="0.3">
      <c r="A2293" s="1">
        <v>45874</v>
      </c>
      <c r="B2293" s="2" t="s">
        <v>2637</v>
      </c>
      <c r="C2293" s="2" t="s">
        <v>2527</v>
      </c>
      <c r="D2293" s="2" t="s">
        <v>2522</v>
      </c>
      <c r="E2293" s="2" t="s">
        <v>2534</v>
      </c>
      <c r="F2293" s="3">
        <v>149652</v>
      </c>
      <c r="G2293" s="3">
        <v>12473</v>
      </c>
      <c r="H2293" s="3">
        <v>1228</v>
      </c>
      <c r="I2293" s="4">
        <v>6169.49</v>
      </c>
      <c r="J2293" s="4">
        <v>137857.82999999999</v>
      </c>
      <c r="K2293" s="3">
        <v>915</v>
      </c>
      <c r="L2293" s="2" t="s">
        <v>2539</v>
      </c>
      <c r="M2293" s="2" t="s">
        <v>2537</v>
      </c>
      <c r="N2293" s="8">
        <f>IFERROR(G2293/F2293,0)</f>
        <v>8.3346697671932216E-2</v>
      </c>
      <c r="O2293" s="8">
        <f>IFERROR(H2293/G2293,0)</f>
        <v>9.8452657740719957E-2</v>
      </c>
      <c r="P2293" s="4">
        <f>IFERROR(I2293/G2293,0)</f>
        <v>0.49462759560651004</v>
      </c>
      <c r="Q2293" s="4">
        <f>IFERROR(I2293/H2293,0)</f>
        <v>5.0240146579804561</v>
      </c>
      <c r="R2293" s="12">
        <f>IFERROR(J2293/I2293,0)</f>
        <v>22.345093354556049</v>
      </c>
      <c r="S2293" s="7">
        <f>Tabla_nuevas_columnas[[#This Row],[ROAS]]</f>
        <v>22.345093354556049</v>
      </c>
      <c r="T2293" t="str">
        <f>_xlfn.CONCAT(C2293,"-",D2293)</f>
        <v>Affiliate-Italia</v>
      </c>
      <c r="U2293">
        <f>YEAR(A2293)</f>
        <v>2025</v>
      </c>
      <c r="V2293">
        <f>MONTH(A2293)</f>
        <v>8</v>
      </c>
      <c r="W2293" t="str">
        <f>PROPER(TEXT(A2293,"mmmm"))</f>
        <v>Agosto</v>
      </c>
      <c r="X2293" t="str">
        <f>PROPER(TEXT(A2293,"dddd"))</f>
        <v>Martes</v>
      </c>
      <c r="Y2293" t="str" cm="1">
        <f t="array" ref="Y2293">_xlfn.IFS(R2293&gt;10,"Excelente",R2293&gt;=5,"Bueno",R2293&gt;=2,"Débil",R2293&lt;2,"Deficiente")</f>
        <v>Excelente</v>
      </c>
      <c r="Z2293" t="str">
        <f>IF(AND(R2293&lt;2,Q2293&gt;=100),"Revisar","OK")</f>
        <v>OK</v>
      </c>
      <c r="AA2293" s="55">
        <f>_xlfn.XLOOKUP(C2293,'Preguntas de negocio'!$C$114:$C$119,'Preguntas de negocio'!$D$114:$D$119,0)</f>
        <v>4.5</v>
      </c>
      <c r="AB2293" s="55">
        <f>VLOOKUP(C2293,'Preguntas de negocio'!$C$121:$D$127,2,FALSE)</f>
        <v>0.35</v>
      </c>
    </row>
    <row r="2294" spans="1:28" x14ac:dyDescent="0.3">
      <c r="A2294" s="1">
        <v>45881</v>
      </c>
      <c r="B2294" s="2" t="s">
        <v>2630</v>
      </c>
      <c r="C2294" s="2" t="s">
        <v>2521</v>
      </c>
      <c r="D2294" s="2" t="s">
        <v>2528</v>
      </c>
      <c r="E2294" s="2" t="s">
        <v>2534</v>
      </c>
      <c r="F2294" s="3">
        <v>101942</v>
      </c>
      <c r="G2294" s="3">
        <v>8319</v>
      </c>
      <c r="H2294" s="3">
        <v>940</v>
      </c>
      <c r="I2294" s="4">
        <v>2990.03</v>
      </c>
      <c r="J2294" s="4">
        <v>139687.18</v>
      </c>
      <c r="K2294" s="3">
        <v>491</v>
      </c>
      <c r="L2294" s="2" t="s">
        <v>2523</v>
      </c>
      <c r="M2294" s="2" t="s">
        <v>2524</v>
      </c>
      <c r="N2294" s="8">
        <f>IFERROR(G2294/F2294,0)</f>
        <v>8.16052265013439E-2</v>
      </c>
      <c r="O2294" s="8">
        <f>IFERROR(H2294/G2294,0)</f>
        <v>0.11299435028248588</v>
      </c>
      <c r="P2294" s="4">
        <f>IFERROR(I2294/G2294,0)</f>
        <v>0.35942180550546943</v>
      </c>
      <c r="Q2294" s="4">
        <f>IFERROR(I2294/H2294,0)</f>
        <v>3.1808829787234045</v>
      </c>
      <c r="R2294" s="12">
        <f>IFERROR(J2294/I2294,0)</f>
        <v>46.717651662357895</v>
      </c>
      <c r="S2294" s="7">
        <f>Tabla_nuevas_columnas[[#This Row],[ROAS]]</f>
        <v>46.717651662357895</v>
      </c>
      <c r="T2294" t="str">
        <f>_xlfn.CONCAT(C2294,"-",D2294)</f>
        <v>Paid Search-España</v>
      </c>
      <c r="U2294">
        <f>YEAR(A2294)</f>
        <v>2025</v>
      </c>
      <c r="V2294">
        <f>MONTH(A2294)</f>
        <v>8</v>
      </c>
      <c r="W2294" t="str">
        <f>PROPER(TEXT(A2294,"mmmm"))</f>
        <v>Agosto</v>
      </c>
      <c r="X2294" t="str">
        <f>PROPER(TEXT(A2294,"dddd"))</f>
        <v>Martes</v>
      </c>
      <c r="Y2294" t="str" cm="1">
        <f t="array" ref="Y2294">_xlfn.IFS(R2294&gt;10,"Excelente",R2294&gt;=5,"Bueno",R2294&gt;=2,"Débil",R2294&lt;2,"Deficiente")</f>
        <v>Excelente</v>
      </c>
      <c r="Z2294" t="str">
        <f>IF(AND(R2294&lt;2,Q2294&gt;=100),"Revisar","OK")</f>
        <v>OK</v>
      </c>
      <c r="AA2294" s="55">
        <f>_xlfn.XLOOKUP(C2294,'Preguntas de negocio'!$C$114:$C$119,'Preguntas de negocio'!$D$114:$D$119,0)</f>
        <v>5</v>
      </c>
      <c r="AB2294" s="55">
        <f>VLOOKUP(C2294,'Preguntas de negocio'!$C$121:$D$127,2,FALSE)</f>
        <v>1.1000000000000001</v>
      </c>
    </row>
    <row r="2295" spans="1:28" x14ac:dyDescent="0.3">
      <c r="A2295" s="1">
        <v>45851</v>
      </c>
      <c r="B2295" s="2" t="s">
        <v>2632</v>
      </c>
      <c r="C2295" s="2" t="s">
        <v>2543</v>
      </c>
      <c r="D2295" s="2" t="s">
        <v>2516</v>
      </c>
      <c r="E2295" s="2" t="s">
        <v>2517</v>
      </c>
      <c r="F2295" s="3">
        <v>17624</v>
      </c>
      <c r="G2295" s="3">
        <v>1286</v>
      </c>
      <c r="H2295" s="3">
        <v>97</v>
      </c>
      <c r="I2295" s="4">
        <v>2481.63</v>
      </c>
      <c r="J2295" s="4">
        <v>8537.9699999999993</v>
      </c>
      <c r="K2295" s="3">
        <v>83</v>
      </c>
      <c r="L2295" s="2" t="s">
        <v>2523</v>
      </c>
      <c r="M2295" s="2" t="s">
        <v>2546</v>
      </c>
      <c r="N2295" s="8">
        <f>IFERROR(G2295/F2295,0)</f>
        <v>7.2968679073990017E-2</v>
      </c>
      <c r="O2295" s="8">
        <f>IFERROR(H2295/G2295,0)</f>
        <v>7.5427682737169516E-2</v>
      </c>
      <c r="P2295" s="4">
        <f>IFERROR(I2295/G2295,0)</f>
        <v>1.9297278382581649</v>
      </c>
      <c r="Q2295" s="4">
        <f>IFERROR(I2295/H2295,0)</f>
        <v>25.583814432989691</v>
      </c>
      <c r="R2295" s="12">
        <f>IFERROR(J2295/I2295,0)</f>
        <v>3.4404685630009304</v>
      </c>
      <c r="S2295" s="7">
        <f>Tabla_nuevas_columnas[[#This Row],[ROAS]]</f>
        <v>3.4404685630009304</v>
      </c>
      <c r="T2295" t="str">
        <f>_xlfn.CONCAT(C2295,"-",D2295)</f>
        <v>Organic Social-México</v>
      </c>
      <c r="U2295">
        <f>YEAR(A2295)</f>
        <v>2025</v>
      </c>
      <c r="V2295">
        <f>MONTH(A2295)</f>
        <v>7</v>
      </c>
      <c r="W2295" t="str">
        <f>PROPER(TEXT(A2295,"mmmm"))</f>
        <v>Julio</v>
      </c>
      <c r="X2295" t="str">
        <f>PROPER(TEXT(A2295,"dddd"))</f>
        <v>Domingo</v>
      </c>
      <c r="Y2295" t="str" cm="1">
        <f t="array" ref="Y2295">_xlfn.IFS(R2295&gt;10,"Excelente",R2295&gt;=5,"Bueno",R2295&gt;=2,"Débil",R2295&lt;2,"Deficiente")</f>
        <v>Débil</v>
      </c>
      <c r="Z2295" t="str">
        <f>IF(AND(R2295&lt;2,Q2295&gt;=100),"Revisar","OK")</f>
        <v>OK</v>
      </c>
      <c r="AA2295" s="55">
        <f>_xlfn.XLOOKUP(C2295,'Preguntas de negocio'!$C$114:$C$119,'Preguntas de negocio'!$D$114:$D$119,0)</f>
        <v>4</v>
      </c>
      <c r="AB2295" s="55">
        <f>VLOOKUP(C2295,'Preguntas de negocio'!$C$121:$D$127,2,FALSE)</f>
        <v>0.95</v>
      </c>
    </row>
    <row r="2296" spans="1:28" x14ac:dyDescent="0.3">
      <c r="A2296" s="1">
        <v>45855</v>
      </c>
      <c r="B2296" s="2" t="s">
        <v>2633</v>
      </c>
      <c r="C2296" s="2" t="s">
        <v>2533</v>
      </c>
      <c r="D2296" s="2" t="s">
        <v>2528</v>
      </c>
      <c r="E2296" s="2" t="s">
        <v>2517</v>
      </c>
      <c r="F2296" s="3">
        <v>77666</v>
      </c>
      <c r="G2296" s="3">
        <v>4239</v>
      </c>
      <c r="H2296" s="3">
        <v>363</v>
      </c>
      <c r="I2296" s="4">
        <v>2028.05</v>
      </c>
      <c r="J2296" s="4">
        <v>16558.099999999999</v>
      </c>
      <c r="K2296" s="3">
        <v>289</v>
      </c>
      <c r="L2296" s="2" t="s">
        <v>2539</v>
      </c>
      <c r="M2296" s="2" t="s">
        <v>2519</v>
      </c>
      <c r="N2296" s="8">
        <f>IFERROR(G2296/F2296,0)</f>
        <v>5.4579867638348829E-2</v>
      </c>
      <c r="O2296" s="8">
        <f>IFERROR(H2296/G2296,0)</f>
        <v>8.5633404104741684E-2</v>
      </c>
      <c r="P2296" s="4">
        <f>IFERROR(I2296/G2296,0)</f>
        <v>0.47842651568766215</v>
      </c>
      <c r="Q2296" s="4">
        <f>IFERROR(I2296/H2296,0)</f>
        <v>5.5869146005509638</v>
      </c>
      <c r="R2296" s="12">
        <f>IFERROR(J2296/I2296,0)</f>
        <v>8.164542294322132</v>
      </c>
      <c r="S2296" s="7">
        <f>Tabla_nuevas_columnas[[#This Row],[ROAS]]</f>
        <v>8.164542294322132</v>
      </c>
      <c r="T2296" t="str">
        <f>_xlfn.CONCAT(C2296,"-",D2296)</f>
        <v>Paid Social-España</v>
      </c>
      <c r="U2296">
        <f>YEAR(A2296)</f>
        <v>2025</v>
      </c>
      <c r="V2296">
        <f>MONTH(A2296)</f>
        <v>7</v>
      </c>
      <c r="W2296" t="str">
        <f>PROPER(TEXT(A2296,"mmmm"))</f>
        <v>Julio</v>
      </c>
      <c r="X2296" t="str">
        <f>PROPER(TEXT(A2296,"dddd"))</f>
        <v>Jueves</v>
      </c>
      <c r="Y2296" t="str" cm="1">
        <f t="array" ref="Y2296">_xlfn.IFS(R2296&gt;10,"Excelente",R2296&gt;=5,"Bueno",R2296&gt;=2,"Débil",R2296&lt;2,"Deficiente")</f>
        <v>Bueno</v>
      </c>
      <c r="Z2296" t="str">
        <f>IF(AND(R2296&lt;2,Q2296&gt;=100),"Revisar","OK")</f>
        <v>OK</v>
      </c>
      <c r="AA2296" s="55">
        <f>_xlfn.XLOOKUP(C2296,'Preguntas de negocio'!$C$114:$C$119,'Preguntas de negocio'!$D$114:$D$119,0)</f>
        <v>6</v>
      </c>
      <c r="AB2296" s="55">
        <f>VLOOKUP(C2296,'Preguntas de negocio'!$C$121:$D$127,2,FALSE)</f>
        <v>0.8</v>
      </c>
    </row>
    <row r="2297" spans="1:28" x14ac:dyDescent="0.3">
      <c r="A2297" s="1">
        <v>45754</v>
      </c>
      <c r="B2297" s="2" t="s">
        <v>2618</v>
      </c>
      <c r="C2297" s="2" t="s">
        <v>2527</v>
      </c>
      <c r="D2297" s="2" t="s">
        <v>2525</v>
      </c>
      <c r="E2297" s="2" t="s">
        <v>2529</v>
      </c>
      <c r="F2297" s="3">
        <v>102561</v>
      </c>
      <c r="G2297" s="3">
        <v>952</v>
      </c>
      <c r="H2297" s="3">
        <v>90</v>
      </c>
      <c r="I2297" s="4">
        <v>336.81</v>
      </c>
      <c r="J2297" s="4">
        <v>11859.8</v>
      </c>
      <c r="K2297" s="3">
        <v>67</v>
      </c>
      <c r="L2297" s="2" t="s">
        <v>2523</v>
      </c>
      <c r="M2297" s="2" t="s">
        <v>2546</v>
      </c>
      <c r="N2297" s="8">
        <f>IFERROR(G2297/F2297,0)</f>
        <v>9.2822807889938672E-3</v>
      </c>
      <c r="O2297" s="8">
        <f>IFERROR(H2297/G2297,0)</f>
        <v>9.4537815126050417E-2</v>
      </c>
      <c r="P2297" s="4">
        <f>IFERROR(I2297/G2297,0)</f>
        <v>0.35379201680672268</v>
      </c>
      <c r="Q2297" s="4">
        <f>IFERROR(I2297/H2297,0)</f>
        <v>3.7423333333333333</v>
      </c>
      <c r="R2297" s="12">
        <f>IFERROR(J2297/I2297,0)</f>
        <v>35.212137406846587</v>
      </c>
      <c r="S2297" s="7">
        <f>Tabla_nuevas_columnas[[#This Row],[ROAS]]</f>
        <v>35.212137406846587</v>
      </c>
      <c r="T2297" t="str">
        <f>_xlfn.CONCAT(C2297,"-",D2297)</f>
        <v>Affiliate-Francia</v>
      </c>
      <c r="U2297">
        <f>YEAR(A2297)</f>
        <v>2025</v>
      </c>
      <c r="V2297">
        <f>MONTH(A2297)</f>
        <v>4</v>
      </c>
      <c r="W2297" t="str">
        <f>PROPER(TEXT(A2297,"mmmm"))</f>
        <v>Abril</v>
      </c>
      <c r="X2297" t="str">
        <f>PROPER(TEXT(A2297,"dddd"))</f>
        <v>Lunes</v>
      </c>
      <c r="Y2297" t="str" cm="1">
        <f t="array" ref="Y2297">_xlfn.IFS(R2297&gt;10,"Excelente",R2297&gt;=5,"Bueno",R2297&gt;=2,"Débil",R2297&lt;2,"Deficiente")</f>
        <v>Excelente</v>
      </c>
      <c r="Z2297" t="str">
        <f>IF(AND(R2297&lt;2,Q2297&gt;=100),"Revisar","OK")</f>
        <v>OK</v>
      </c>
      <c r="AA2297" s="55">
        <f>_xlfn.XLOOKUP(C2297,'Preguntas de negocio'!$C$114:$C$119,'Preguntas de negocio'!$D$114:$D$119,0)</f>
        <v>4.5</v>
      </c>
      <c r="AB2297" s="55">
        <f>VLOOKUP(C2297,'Preguntas de negocio'!$C$121:$D$127,2,FALSE)</f>
        <v>0.35</v>
      </c>
    </row>
    <row r="2298" spans="1:28" x14ac:dyDescent="0.3">
      <c r="A2298" s="1">
        <v>45986</v>
      </c>
      <c r="B2298" s="2" t="s">
        <v>2637</v>
      </c>
      <c r="C2298" s="2" t="s">
        <v>2515</v>
      </c>
      <c r="D2298" s="2" t="s">
        <v>2522</v>
      </c>
      <c r="E2298" s="2" t="s">
        <v>2517</v>
      </c>
      <c r="F2298" s="3">
        <v>73219</v>
      </c>
      <c r="G2298" s="3">
        <v>2926</v>
      </c>
      <c r="H2298" s="3">
        <v>106</v>
      </c>
      <c r="I2298" s="4">
        <v>941.36</v>
      </c>
      <c r="J2298" s="4">
        <v>3532.59</v>
      </c>
      <c r="K2298" s="3">
        <v>71</v>
      </c>
      <c r="L2298" s="2" t="s">
        <v>2518</v>
      </c>
      <c r="M2298" s="2" t="s">
        <v>2524</v>
      </c>
      <c r="N2298" s="8">
        <f>IFERROR(G2298/F2298,0)</f>
        <v>3.996230486622325E-2</v>
      </c>
      <c r="O2298" s="8">
        <f>IFERROR(H2298/G2298,0)</f>
        <v>3.6226930963773066E-2</v>
      </c>
      <c r="P2298" s="4">
        <f>IFERROR(I2298/G2298,0)</f>
        <v>0.32172248803827752</v>
      </c>
      <c r="Q2298" s="4">
        <f>IFERROR(I2298/H2298,0)</f>
        <v>8.8807547169811318</v>
      </c>
      <c r="R2298" s="12">
        <f>IFERROR(J2298/I2298,0)</f>
        <v>3.7526451092037054</v>
      </c>
      <c r="S2298" s="7">
        <f>Tabla_nuevas_columnas[[#This Row],[ROAS]]</f>
        <v>3.7526451092037054</v>
      </c>
      <c r="T2298" t="str">
        <f>_xlfn.CONCAT(C2298,"-",D2298)</f>
        <v>Email-Italia</v>
      </c>
      <c r="U2298">
        <f>YEAR(A2298)</f>
        <v>2025</v>
      </c>
      <c r="V2298">
        <f>MONTH(A2298)</f>
        <v>11</v>
      </c>
      <c r="W2298" t="str">
        <f>PROPER(TEXT(A2298,"mmmm"))</f>
        <v>Noviembre</v>
      </c>
      <c r="X2298" t="str">
        <f>PROPER(TEXT(A2298,"dddd"))</f>
        <v>Martes</v>
      </c>
      <c r="Y2298" t="str" cm="1">
        <f t="array" ref="Y2298">_xlfn.IFS(R2298&gt;10,"Excelente",R2298&gt;=5,"Bueno",R2298&gt;=2,"Débil",R2298&lt;2,"Deficiente")</f>
        <v>Débil</v>
      </c>
      <c r="Z2298" t="str">
        <f>IF(AND(R2298&lt;2,Q2298&gt;=100),"Revisar","OK")</f>
        <v>OK</v>
      </c>
      <c r="AA2298" s="55">
        <f>_xlfn.XLOOKUP(C2298,'Preguntas de negocio'!$C$114:$C$119,'Preguntas de negocio'!$D$114:$D$119,0)</f>
        <v>5.5</v>
      </c>
      <c r="AB2298" s="55">
        <f>VLOOKUP(C2298,'Preguntas de negocio'!$C$121:$D$127,2,FALSE)</f>
        <v>0.65</v>
      </c>
    </row>
    <row r="2299" spans="1:28" x14ac:dyDescent="0.3">
      <c r="A2299" s="1">
        <v>45719</v>
      </c>
      <c r="B2299" s="2" t="s">
        <v>2621</v>
      </c>
      <c r="C2299" s="2" t="s">
        <v>2543</v>
      </c>
      <c r="D2299" s="2" t="s">
        <v>2525</v>
      </c>
      <c r="E2299" s="2" t="s">
        <v>2517</v>
      </c>
      <c r="F2299" s="3">
        <v>45406</v>
      </c>
      <c r="G2299" s="3">
        <v>2623</v>
      </c>
      <c r="H2299" s="3">
        <v>343</v>
      </c>
      <c r="I2299" s="4">
        <v>1895.35</v>
      </c>
      <c r="J2299" s="4">
        <v>5269.42</v>
      </c>
      <c r="K2299" s="3">
        <v>223</v>
      </c>
      <c r="L2299" s="2" t="s">
        <v>2536</v>
      </c>
      <c r="M2299" s="2" t="s">
        <v>2537</v>
      </c>
      <c r="N2299" s="8">
        <f>IFERROR(G2299/F2299,0)</f>
        <v>5.7767695899220366E-2</v>
      </c>
      <c r="O2299" s="8">
        <f>IFERROR(H2299/G2299,0)</f>
        <v>0.13076629813191001</v>
      </c>
      <c r="P2299" s="4">
        <f>IFERROR(I2299/G2299,0)</f>
        <v>0.72258863896301939</v>
      </c>
      <c r="Q2299" s="4">
        <f>IFERROR(I2299/H2299,0)</f>
        <v>5.5258017492711371</v>
      </c>
      <c r="R2299" s="12">
        <f>IFERROR(J2299/I2299,0)</f>
        <v>2.7801830796422826</v>
      </c>
      <c r="S2299" s="7">
        <f>Tabla_nuevas_columnas[[#This Row],[ROAS]]</f>
        <v>2.7801830796422826</v>
      </c>
      <c r="T2299" t="str">
        <f>_xlfn.CONCAT(C2299,"-",D2299)</f>
        <v>Organic Social-Francia</v>
      </c>
      <c r="U2299">
        <f>YEAR(A2299)</f>
        <v>2025</v>
      </c>
      <c r="V2299">
        <f>MONTH(A2299)</f>
        <v>3</v>
      </c>
      <c r="W2299" t="str">
        <f>PROPER(TEXT(A2299,"mmmm"))</f>
        <v>Marzo</v>
      </c>
      <c r="X2299" t="str">
        <f>PROPER(TEXT(A2299,"dddd"))</f>
        <v>Lunes</v>
      </c>
      <c r="Y2299" t="str" cm="1">
        <f t="array" ref="Y2299">_xlfn.IFS(R2299&gt;10,"Excelente",R2299&gt;=5,"Bueno",R2299&gt;=2,"Débil",R2299&lt;2,"Deficiente")</f>
        <v>Débil</v>
      </c>
      <c r="Z2299" t="str">
        <f>IF(AND(R2299&lt;2,Q2299&gt;=100),"Revisar","OK")</f>
        <v>OK</v>
      </c>
      <c r="AA2299" s="55">
        <f>_xlfn.XLOOKUP(C2299,'Preguntas de negocio'!$C$114:$C$119,'Preguntas de negocio'!$D$114:$D$119,0)</f>
        <v>4</v>
      </c>
      <c r="AB2299" s="55">
        <f>VLOOKUP(C2299,'Preguntas de negocio'!$C$121:$D$127,2,FALSE)</f>
        <v>0.95</v>
      </c>
    </row>
    <row r="2300" spans="1:28" x14ac:dyDescent="0.3">
      <c r="A2300" s="1">
        <v>45899</v>
      </c>
      <c r="B2300" s="2" t="s">
        <v>2638</v>
      </c>
      <c r="C2300" s="2" t="s">
        <v>2521</v>
      </c>
      <c r="D2300" s="2" t="s">
        <v>2522</v>
      </c>
      <c r="E2300" s="2" t="s">
        <v>2517</v>
      </c>
      <c r="F2300" s="3">
        <v>124056</v>
      </c>
      <c r="G2300" s="3">
        <v>6876</v>
      </c>
      <c r="H2300" s="3">
        <v>646</v>
      </c>
      <c r="I2300" s="4">
        <v>3197.51</v>
      </c>
      <c r="J2300" s="4">
        <v>83871.8</v>
      </c>
      <c r="K2300" s="3">
        <v>430</v>
      </c>
      <c r="L2300" s="2" t="s">
        <v>2539</v>
      </c>
      <c r="M2300" s="2" t="s">
        <v>2537</v>
      </c>
      <c r="N2300" s="8">
        <f>IFERROR(G2300/F2300,0)</f>
        <v>5.5426581543818923E-2</v>
      </c>
      <c r="O2300" s="8">
        <f>IFERROR(H2300/G2300,0)</f>
        <v>9.3949970913321704E-2</v>
      </c>
      <c r="P2300" s="4">
        <f>IFERROR(I2300/G2300,0)</f>
        <v>0.46502472367655617</v>
      </c>
      <c r="Q2300" s="4">
        <f>IFERROR(I2300/H2300,0)</f>
        <v>4.9497058823529416</v>
      </c>
      <c r="R2300" s="12">
        <f>IFERROR(J2300/I2300,0)</f>
        <v>26.230347989529353</v>
      </c>
      <c r="S2300" s="7">
        <f>Tabla_nuevas_columnas[[#This Row],[ROAS]]</f>
        <v>26.230347989529353</v>
      </c>
      <c r="T2300" t="str">
        <f>_xlfn.CONCAT(C2300,"-",D2300)</f>
        <v>Paid Search-Italia</v>
      </c>
      <c r="U2300">
        <f>YEAR(A2300)</f>
        <v>2025</v>
      </c>
      <c r="V2300">
        <f>MONTH(A2300)</f>
        <v>8</v>
      </c>
      <c r="W2300" t="str">
        <f>PROPER(TEXT(A2300,"mmmm"))</f>
        <v>Agosto</v>
      </c>
      <c r="X2300" t="str">
        <f>PROPER(TEXT(A2300,"dddd"))</f>
        <v>Sábado</v>
      </c>
      <c r="Y2300" t="str" cm="1">
        <f t="array" ref="Y2300">_xlfn.IFS(R2300&gt;10,"Excelente",R2300&gt;=5,"Bueno",R2300&gt;=2,"Débil",R2300&lt;2,"Deficiente")</f>
        <v>Excelente</v>
      </c>
      <c r="Z2300" t="str">
        <f>IF(AND(R2300&lt;2,Q2300&gt;=100),"Revisar","OK")</f>
        <v>OK</v>
      </c>
      <c r="AA2300" s="55">
        <f>_xlfn.XLOOKUP(C2300,'Preguntas de negocio'!$C$114:$C$119,'Preguntas de negocio'!$D$114:$D$119,0)</f>
        <v>5</v>
      </c>
      <c r="AB2300" s="55">
        <f>VLOOKUP(C2300,'Preguntas de negocio'!$C$121:$D$127,2,FALSE)</f>
        <v>1.1000000000000001</v>
      </c>
    </row>
    <row r="2301" spans="1:28" x14ac:dyDescent="0.3">
      <c r="A2301" s="1">
        <v>45885</v>
      </c>
      <c r="B2301" s="2" t="s">
        <v>2623</v>
      </c>
      <c r="C2301" s="2" t="s">
        <v>2515</v>
      </c>
      <c r="D2301" s="2" t="s">
        <v>2531</v>
      </c>
      <c r="E2301" s="2" t="s">
        <v>2517</v>
      </c>
      <c r="F2301" s="3">
        <v>78935</v>
      </c>
      <c r="G2301" s="3">
        <v>4984</v>
      </c>
      <c r="H2301" s="3">
        <v>575</v>
      </c>
      <c r="I2301" s="4">
        <v>1779.6</v>
      </c>
      <c r="J2301" s="4">
        <v>112395.06</v>
      </c>
      <c r="K2301" s="3">
        <v>409</v>
      </c>
      <c r="L2301" s="2" t="s">
        <v>2536</v>
      </c>
      <c r="M2301" s="2" t="s">
        <v>2537</v>
      </c>
      <c r="N2301" s="8">
        <f>IFERROR(G2301/F2301,0)</f>
        <v>6.3140558687527715E-2</v>
      </c>
      <c r="O2301" s="8">
        <f>IFERROR(H2301/G2301,0)</f>
        <v>0.11536918138041734</v>
      </c>
      <c r="P2301" s="4">
        <f>IFERROR(I2301/G2301,0)</f>
        <v>0.35706260032102727</v>
      </c>
      <c r="Q2301" s="4">
        <f>IFERROR(I2301/H2301,0)</f>
        <v>3.0949565217391304</v>
      </c>
      <c r="R2301" s="12">
        <f>IFERROR(J2301/I2301,0)</f>
        <v>63.157484828051253</v>
      </c>
      <c r="S2301" s="7">
        <f>Tabla_nuevas_columnas[[#This Row],[ROAS]]</f>
        <v>63.157484828051253</v>
      </c>
      <c r="T2301" t="str">
        <f>_xlfn.CONCAT(C2301,"-",D2301)</f>
        <v>Email-Portugal</v>
      </c>
      <c r="U2301">
        <f>YEAR(A2301)</f>
        <v>2025</v>
      </c>
      <c r="V2301">
        <f>MONTH(A2301)</f>
        <v>8</v>
      </c>
      <c r="W2301" t="str">
        <f>PROPER(TEXT(A2301,"mmmm"))</f>
        <v>Agosto</v>
      </c>
      <c r="X2301" t="str">
        <f>PROPER(TEXT(A2301,"dddd"))</f>
        <v>Sábado</v>
      </c>
      <c r="Y2301" t="str" cm="1">
        <f t="array" ref="Y2301">_xlfn.IFS(R2301&gt;10,"Excelente",R2301&gt;=5,"Bueno",R2301&gt;=2,"Débil",R2301&lt;2,"Deficiente")</f>
        <v>Excelente</v>
      </c>
      <c r="Z2301" t="str">
        <f>IF(AND(R2301&lt;2,Q2301&gt;=100),"Revisar","OK")</f>
        <v>OK</v>
      </c>
      <c r="AA2301" s="55">
        <f>_xlfn.XLOOKUP(C2301,'Preguntas de negocio'!$C$114:$C$119,'Preguntas de negocio'!$D$114:$D$119,0)</f>
        <v>5.5</v>
      </c>
      <c r="AB2301" s="55">
        <f>VLOOKUP(C2301,'Preguntas de negocio'!$C$121:$D$127,2,FALSE)</f>
        <v>0.65</v>
      </c>
    </row>
    <row r="2302" spans="1:28" x14ac:dyDescent="0.3">
      <c r="A2302" s="1">
        <v>45715</v>
      </c>
      <c r="B2302" s="2" t="s">
        <v>2618</v>
      </c>
      <c r="C2302" s="2" t="s">
        <v>2527</v>
      </c>
      <c r="D2302" s="2" t="s">
        <v>2528</v>
      </c>
      <c r="E2302" s="2" t="s">
        <v>2517</v>
      </c>
      <c r="F2302" s="3">
        <v>54036</v>
      </c>
      <c r="G2302" s="3">
        <v>1452</v>
      </c>
      <c r="H2302" s="3">
        <v>8</v>
      </c>
      <c r="I2302" s="4">
        <v>650.87</v>
      </c>
      <c r="J2302" s="4">
        <v>1438.7</v>
      </c>
      <c r="K2302" s="3">
        <v>3</v>
      </c>
      <c r="L2302" s="2" t="s">
        <v>2518</v>
      </c>
      <c r="M2302" s="2" t="s">
        <v>2519</v>
      </c>
      <c r="N2302" s="8">
        <f>IFERROR(G2302/F2302,0)</f>
        <v>2.6870974905618475E-2</v>
      </c>
      <c r="O2302" s="8">
        <f>IFERROR(H2302/G2302,0)</f>
        <v>5.5096418732782371E-3</v>
      </c>
      <c r="P2302" s="4">
        <f>IFERROR(I2302/G2302,0)</f>
        <v>0.44825757575757574</v>
      </c>
      <c r="Q2302" s="4">
        <f>IFERROR(I2302/H2302,0)</f>
        <v>81.358750000000001</v>
      </c>
      <c r="R2302" s="12">
        <f>IFERROR(J2302/I2302,0)</f>
        <v>2.2104260451395823</v>
      </c>
      <c r="S2302" s="7">
        <f>Tabla_nuevas_columnas[[#This Row],[ROAS]]</f>
        <v>2.2104260451395823</v>
      </c>
      <c r="T2302" t="str">
        <f>_xlfn.CONCAT(C2302,"-",D2302)</f>
        <v>Affiliate-España</v>
      </c>
      <c r="U2302">
        <f>YEAR(A2302)</f>
        <v>2025</v>
      </c>
      <c r="V2302">
        <f>MONTH(A2302)</f>
        <v>2</v>
      </c>
      <c r="W2302" t="str">
        <f>PROPER(TEXT(A2302,"mmmm"))</f>
        <v>Febrero</v>
      </c>
      <c r="X2302" t="str">
        <f>PROPER(TEXT(A2302,"dddd"))</f>
        <v>Jueves</v>
      </c>
      <c r="Y2302" t="str" cm="1">
        <f t="array" ref="Y2302">_xlfn.IFS(R2302&gt;10,"Excelente",R2302&gt;=5,"Bueno",R2302&gt;=2,"Débil",R2302&lt;2,"Deficiente")</f>
        <v>Débil</v>
      </c>
      <c r="Z2302" t="str">
        <f>IF(AND(R2302&lt;2,Q2302&gt;=100),"Revisar","OK")</f>
        <v>OK</v>
      </c>
      <c r="AA2302" s="55">
        <f>_xlfn.XLOOKUP(C2302,'Preguntas de negocio'!$C$114:$C$119,'Preguntas de negocio'!$D$114:$D$119,0)</f>
        <v>4.5</v>
      </c>
      <c r="AB2302" s="55">
        <f>VLOOKUP(C2302,'Preguntas de negocio'!$C$121:$D$127,2,FALSE)</f>
        <v>0.35</v>
      </c>
    </row>
    <row r="2303" spans="1:28" x14ac:dyDescent="0.3">
      <c r="A2303" s="1">
        <v>45924</v>
      </c>
      <c r="B2303" s="2" t="s">
        <v>2633</v>
      </c>
      <c r="C2303" s="2" t="s">
        <v>2521</v>
      </c>
      <c r="D2303" s="2" t="s">
        <v>2522</v>
      </c>
      <c r="E2303" s="2" t="s">
        <v>2529</v>
      </c>
      <c r="F2303" s="3">
        <v>60275</v>
      </c>
      <c r="G2303" s="3">
        <v>2800</v>
      </c>
      <c r="H2303" s="3">
        <v>163</v>
      </c>
      <c r="I2303" s="4">
        <v>2623.63</v>
      </c>
      <c r="J2303" s="4">
        <v>11742.64</v>
      </c>
      <c r="K2303" s="3">
        <v>83</v>
      </c>
      <c r="L2303" s="2" t="s">
        <v>2518</v>
      </c>
      <c r="M2303" s="2" t="s">
        <v>2519</v>
      </c>
      <c r="N2303" s="8">
        <f>IFERROR(G2303/F2303,0)</f>
        <v>4.6453753629199505E-2</v>
      </c>
      <c r="O2303" s="8">
        <f>IFERROR(H2303/G2303,0)</f>
        <v>5.8214285714285711E-2</v>
      </c>
      <c r="P2303" s="4">
        <f>IFERROR(I2303/G2303,0)</f>
        <v>0.93701071428571436</v>
      </c>
      <c r="Q2303" s="4">
        <f>IFERROR(I2303/H2303,0)</f>
        <v>16.095889570552149</v>
      </c>
      <c r="R2303" s="12">
        <f>IFERROR(J2303/I2303,0)</f>
        <v>4.4757225675876553</v>
      </c>
      <c r="S2303" s="7">
        <f>Tabla_nuevas_columnas[[#This Row],[ROAS]]</f>
        <v>4.4757225675876553</v>
      </c>
      <c r="T2303" t="str">
        <f>_xlfn.CONCAT(C2303,"-",D2303)</f>
        <v>Paid Search-Italia</v>
      </c>
      <c r="U2303">
        <f>YEAR(A2303)</f>
        <v>2025</v>
      </c>
      <c r="V2303">
        <f>MONTH(A2303)</f>
        <v>9</v>
      </c>
      <c r="W2303" t="str">
        <f>PROPER(TEXT(A2303,"mmmm"))</f>
        <v>Septiembre</v>
      </c>
      <c r="X2303" t="str">
        <f>PROPER(TEXT(A2303,"dddd"))</f>
        <v>Miércoles</v>
      </c>
      <c r="Y2303" t="str" cm="1">
        <f t="array" ref="Y2303">_xlfn.IFS(R2303&gt;10,"Excelente",R2303&gt;=5,"Bueno",R2303&gt;=2,"Débil",R2303&lt;2,"Deficiente")</f>
        <v>Débil</v>
      </c>
      <c r="Z2303" t="str">
        <f>IF(AND(R2303&lt;2,Q2303&gt;=100),"Revisar","OK")</f>
        <v>OK</v>
      </c>
      <c r="AA2303" s="55">
        <f>_xlfn.XLOOKUP(C2303,'Preguntas de negocio'!$C$114:$C$119,'Preguntas de negocio'!$D$114:$D$119,0)</f>
        <v>5</v>
      </c>
      <c r="AB2303" s="55">
        <f>VLOOKUP(C2303,'Preguntas de negocio'!$C$121:$D$127,2,FALSE)</f>
        <v>1.1000000000000001</v>
      </c>
    </row>
    <row r="2304" spans="1:28" x14ac:dyDescent="0.3">
      <c r="A2304" s="1">
        <v>45963</v>
      </c>
      <c r="B2304" s="2" t="s">
        <v>2623</v>
      </c>
      <c r="C2304" s="2" t="s">
        <v>2541</v>
      </c>
      <c r="D2304" s="2" t="s">
        <v>2528</v>
      </c>
      <c r="E2304" s="2" t="s">
        <v>2529</v>
      </c>
      <c r="F2304" s="3">
        <v>101539</v>
      </c>
      <c r="G2304" s="3">
        <v>7681</v>
      </c>
      <c r="H2304" s="3">
        <v>898</v>
      </c>
      <c r="I2304" s="4">
        <v>2116.38</v>
      </c>
      <c r="J2304" s="4">
        <v>153917.21</v>
      </c>
      <c r="K2304" s="3">
        <v>597</v>
      </c>
      <c r="L2304" s="2" t="s">
        <v>2536</v>
      </c>
      <c r="M2304" s="2" t="s">
        <v>2519</v>
      </c>
      <c r="N2304" s="8">
        <f>IFERROR(G2304/F2304,0)</f>
        <v>7.5645810969184255E-2</v>
      </c>
      <c r="O2304" s="8">
        <f>IFERROR(H2304/G2304,0)</f>
        <v>0.11691186043483921</v>
      </c>
      <c r="P2304" s="4">
        <f>IFERROR(I2304/G2304,0)</f>
        <v>0.27553443562036195</v>
      </c>
      <c r="Q2304" s="4">
        <f>IFERROR(I2304/H2304,0)</f>
        <v>2.356770601336303</v>
      </c>
      <c r="R2304" s="12">
        <f>IFERROR(J2304/I2304,0)</f>
        <v>72.726641718405943</v>
      </c>
      <c r="S2304" s="7">
        <f>Tabla_nuevas_columnas[[#This Row],[ROAS]]</f>
        <v>72.726641718405943</v>
      </c>
      <c r="T2304" t="str">
        <f>_xlfn.CONCAT(C2304,"-",D2304)</f>
        <v>Display-España</v>
      </c>
      <c r="U2304">
        <f>YEAR(A2304)</f>
        <v>2025</v>
      </c>
      <c r="V2304">
        <f>MONTH(A2304)</f>
        <v>11</v>
      </c>
      <c r="W2304" t="str">
        <f>PROPER(TEXT(A2304,"mmmm"))</f>
        <v>Noviembre</v>
      </c>
      <c r="X2304" t="str">
        <f>PROPER(TEXT(A2304,"dddd"))</f>
        <v>Domingo</v>
      </c>
      <c r="Y2304" t="str" cm="1">
        <f t="array" ref="Y2304">_xlfn.IFS(R2304&gt;10,"Excelente",R2304&gt;=5,"Bueno",R2304&gt;=2,"Débil",R2304&lt;2,"Deficiente")</f>
        <v>Excelente</v>
      </c>
      <c r="Z2304" t="str">
        <f>IF(AND(R2304&lt;2,Q2304&gt;=100),"Revisar","OK")</f>
        <v>OK</v>
      </c>
      <c r="AA2304" s="55">
        <f>_xlfn.XLOOKUP(C2304,'Preguntas de negocio'!$C$114:$C$119,'Preguntas de negocio'!$D$114:$D$119,0)</f>
        <v>5</v>
      </c>
      <c r="AB2304" s="55">
        <f>VLOOKUP(C2304,'Preguntas de negocio'!$C$121:$D$127,2,FALSE)</f>
        <v>0.5</v>
      </c>
    </row>
    <row r="2305" spans="1:28" x14ac:dyDescent="0.3">
      <c r="A2305" s="1">
        <v>45712</v>
      </c>
      <c r="B2305" s="2" t="s">
        <v>2619</v>
      </c>
      <c r="C2305" s="2" t="s">
        <v>2543</v>
      </c>
      <c r="D2305" s="2" t="s">
        <v>2528</v>
      </c>
      <c r="E2305" s="2" t="s">
        <v>2529</v>
      </c>
      <c r="F2305" s="3">
        <v>132739</v>
      </c>
      <c r="G2305" s="3">
        <v>6408</v>
      </c>
      <c r="H2305" s="3">
        <v>129</v>
      </c>
      <c r="I2305" s="4">
        <v>8347.43</v>
      </c>
      <c r="J2305" s="4">
        <v>9646.6299999999992</v>
      </c>
      <c r="K2305" s="3">
        <v>79</v>
      </c>
      <c r="L2305" s="2" t="s">
        <v>2536</v>
      </c>
      <c r="M2305" s="2" t="s">
        <v>2537</v>
      </c>
      <c r="N2305" s="8">
        <f>IFERROR(G2305/F2305,0)</f>
        <v>4.8275186644467713E-2</v>
      </c>
      <c r="O2305" s="8">
        <f>IFERROR(H2305/G2305,0)</f>
        <v>2.0131086142322098E-2</v>
      </c>
      <c r="P2305" s="4">
        <f>IFERROR(I2305/G2305,0)</f>
        <v>1.3026576154806493</v>
      </c>
      <c r="Q2305" s="4">
        <f>IFERROR(I2305/H2305,0)</f>
        <v>64.708759689922488</v>
      </c>
      <c r="R2305" s="12">
        <f>IFERROR(J2305/I2305,0)</f>
        <v>1.1556407181611585</v>
      </c>
      <c r="S2305" s="7">
        <f>Tabla_nuevas_columnas[[#This Row],[ROAS]]</f>
        <v>1.1556407181611585</v>
      </c>
      <c r="T2305" t="str">
        <f>_xlfn.CONCAT(C2305,"-",D2305)</f>
        <v>Organic Social-España</v>
      </c>
      <c r="U2305">
        <f>YEAR(A2305)</f>
        <v>2025</v>
      </c>
      <c r="V2305">
        <f>MONTH(A2305)</f>
        <v>2</v>
      </c>
      <c r="W2305" t="str">
        <f>PROPER(TEXT(A2305,"mmmm"))</f>
        <v>Febrero</v>
      </c>
      <c r="X2305" t="str">
        <f>PROPER(TEXT(A2305,"dddd"))</f>
        <v>Lunes</v>
      </c>
      <c r="Y2305" t="str" cm="1">
        <f t="array" ref="Y2305">_xlfn.IFS(R2305&gt;10,"Excelente",R2305&gt;=5,"Bueno",R2305&gt;=2,"Débil",R2305&lt;2,"Deficiente")</f>
        <v>Deficiente</v>
      </c>
      <c r="Z2305" t="str">
        <f>IF(AND(R2305&lt;2,Q2305&gt;=100),"Revisar","OK")</f>
        <v>OK</v>
      </c>
      <c r="AA2305" s="55">
        <f>_xlfn.XLOOKUP(C2305,'Preguntas de negocio'!$C$114:$C$119,'Preguntas de negocio'!$D$114:$D$119,0)</f>
        <v>4</v>
      </c>
      <c r="AB2305" s="55">
        <f>VLOOKUP(C2305,'Preguntas de negocio'!$C$121:$D$127,2,FALSE)</f>
        <v>0.95</v>
      </c>
    </row>
    <row r="2306" spans="1:28" x14ac:dyDescent="0.3">
      <c r="A2306" s="1">
        <v>45992</v>
      </c>
      <c r="B2306" s="2" t="s">
        <v>2615</v>
      </c>
      <c r="C2306" s="2" t="s">
        <v>2541</v>
      </c>
      <c r="D2306" s="2" t="s">
        <v>2525</v>
      </c>
      <c r="E2306" s="2" t="s">
        <v>2517</v>
      </c>
      <c r="F2306" s="3">
        <v>114547</v>
      </c>
      <c r="G2306" s="3">
        <v>8913</v>
      </c>
      <c r="H2306" s="3">
        <v>1155</v>
      </c>
      <c r="I2306" s="4">
        <v>8462.9500000000007</v>
      </c>
      <c r="J2306" s="4">
        <v>24272.21</v>
      </c>
      <c r="K2306" s="3">
        <v>874</v>
      </c>
      <c r="L2306" s="2" t="s">
        <v>2539</v>
      </c>
      <c r="M2306" s="2" t="s">
        <v>2537</v>
      </c>
      <c r="N2306" s="8">
        <f>IFERROR(G2306/F2306,0)</f>
        <v>7.7810854932909637E-2</v>
      </c>
      <c r="O2306" s="8">
        <f>IFERROR(H2306/G2306,0)</f>
        <v>0.12958599798047796</v>
      </c>
      <c r="P2306" s="4">
        <f>IFERROR(I2306/G2306,0)</f>
        <v>0.94950633905531256</v>
      </c>
      <c r="Q2306" s="4">
        <f>IFERROR(I2306/H2306,0)</f>
        <v>7.3272294372294375</v>
      </c>
      <c r="R2306" s="12">
        <f>IFERROR(J2306/I2306,0)</f>
        <v>2.8680554652928349</v>
      </c>
      <c r="S2306" s="7">
        <f>Tabla_nuevas_columnas[[#This Row],[ROAS]]</f>
        <v>2.8680554652928349</v>
      </c>
      <c r="T2306" t="str">
        <f>_xlfn.CONCAT(C2306,"-",D2306)</f>
        <v>Display-Francia</v>
      </c>
      <c r="U2306">
        <f>YEAR(A2306)</f>
        <v>2025</v>
      </c>
      <c r="V2306">
        <f>MONTH(A2306)</f>
        <v>12</v>
      </c>
      <c r="W2306" t="str">
        <f>PROPER(TEXT(A2306,"mmmm"))</f>
        <v>Diciembre</v>
      </c>
      <c r="X2306" t="str">
        <f>PROPER(TEXT(A2306,"dddd"))</f>
        <v>Lunes</v>
      </c>
      <c r="Y2306" t="str" cm="1">
        <f t="array" ref="Y2306">_xlfn.IFS(R2306&gt;10,"Excelente",R2306&gt;=5,"Bueno",R2306&gt;=2,"Débil",R2306&lt;2,"Deficiente")</f>
        <v>Débil</v>
      </c>
      <c r="Z2306" t="str">
        <f>IF(AND(R2306&lt;2,Q2306&gt;=100),"Revisar","OK")</f>
        <v>OK</v>
      </c>
      <c r="AA2306" s="55">
        <f>_xlfn.XLOOKUP(C2306,'Preguntas de negocio'!$C$114:$C$119,'Preguntas de negocio'!$D$114:$D$119,0)</f>
        <v>5</v>
      </c>
      <c r="AB2306" s="55">
        <f>VLOOKUP(C2306,'Preguntas de negocio'!$C$121:$D$127,2,FALSE)</f>
        <v>0.5</v>
      </c>
    </row>
    <row r="2307" spans="1:28" x14ac:dyDescent="0.3">
      <c r="A2307" s="1">
        <v>45743</v>
      </c>
      <c r="B2307" s="2" t="s">
        <v>2616</v>
      </c>
      <c r="C2307" s="2" t="s">
        <v>2541</v>
      </c>
      <c r="D2307" s="2" t="s">
        <v>2528</v>
      </c>
      <c r="E2307" s="2" t="s">
        <v>2517</v>
      </c>
      <c r="F2307" s="3">
        <v>79309</v>
      </c>
      <c r="G2307" s="3">
        <v>4040</v>
      </c>
      <c r="H2307" s="3">
        <v>447</v>
      </c>
      <c r="I2307" s="4">
        <v>6717.69</v>
      </c>
      <c r="J2307" s="4">
        <v>24424.26</v>
      </c>
      <c r="K2307" s="3">
        <v>365</v>
      </c>
      <c r="L2307" s="2" t="s">
        <v>2539</v>
      </c>
      <c r="M2307" s="2" t="s">
        <v>2526</v>
      </c>
      <c r="N2307" s="8">
        <f>IFERROR(G2307/F2307,0)</f>
        <v>5.0939994199901653E-2</v>
      </c>
      <c r="O2307" s="8">
        <f>IFERROR(H2307/G2307,0)</f>
        <v>0.11064356435643564</v>
      </c>
      <c r="P2307" s="4">
        <f>IFERROR(I2307/G2307,0)</f>
        <v>1.6627945544554454</v>
      </c>
      <c r="Q2307" s="4">
        <f>IFERROR(I2307/H2307,0)</f>
        <v>15.028389261744966</v>
      </c>
      <c r="R2307" s="12">
        <f>IFERROR(J2307/I2307,0)</f>
        <v>3.6358123104817279</v>
      </c>
      <c r="S2307" s="7">
        <f>Tabla_nuevas_columnas[[#This Row],[ROAS]]</f>
        <v>3.6358123104817279</v>
      </c>
      <c r="T2307" t="str">
        <f>_xlfn.CONCAT(C2307,"-",D2307)</f>
        <v>Display-España</v>
      </c>
      <c r="U2307">
        <f>YEAR(A2307)</f>
        <v>2025</v>
      </c>
      <c r="V2307">
        <f>MONTH(A2307)</f>
        <v>3</v>
      </c>
      <c r="W2307" t="str">
        <f>PROPER(TEXT(A2307,"mmmm"))</f>
        <v>Marzo</v>
      </c>
      <c r="X2307" t="str">
        <f>PROPER(TEXT(A2307,"dddd"))</f>
        <v>Jueves</v>
      </c>
      <c r="Y2307" t="str" cm="1">
        <f t="array" ref="Y2307">_xlfn.IFS(R2307&gt;10,"Excelente",R2307&gt;=5,"Bueno",R2307&gt;=2,"Débil",R2307&lt;2,"Deficiente")</f>
        <v>Débil</v>
      </c>
      <c r="Z2307" t="str">
        <f>IF(AND(R2307&lt;2,Q2307&gt;=100),"Revisar","OK")</f>
        <v>OK</v>
      </c>
      <c r="AA2307" s="55">
        <f>_xlfn.XLOOKUP(C2307,'Preguntas de negocio'!$C$114:$C$119,'Preguntas de negocio'!$D$114:$D$119,0)</f>
        <v>5</v>
      </c>
      <c r="AB2307" s="55">
        <f>VLOOKUP(C2307,'Preguntas de negocio'!$C$121:$D$127,2,FALSE)</f>
        <v>0.5</v>
      </c>
    </row>
    <row r="2308" spans="1:28" x14ac:dyDescent="0.3">
      <c r="A2308" s="1">
        <v>45836</v>
      </c>
      <c r="B2308" s="2" t="s">
        <v>2626</v>
      </c>
      <c r="C2308" s="2" t="s">
        <v>2521</v>
      </c>
      <c r="D2308" s="2" t="s">
        <v>2528</v>
      </c>
      <c r="E2308" s="2" t="s">
        <v>2529</v>
      </c>
      <c r="F2308" s="3">
        <v>76040</v>
      </c>
      <c r="G2308" s="3">
        <v>1951</v>
      </c>
      <c r="H2308" s="3">
        <v>33</v>
      </c>
      <c r="I2308" s="4">
        <v>1905.27</v>
      </c>
      <c r="J2308" s="4">
        <v>3411.47</v>
      </c>
      <c r="K2308" s="3">
        <v>28</v>
      </c>
      <c r="L2308" s="2" t="s">
        <v>2518</v>
      </c>
      <c r="M2308" s="2" t="s">
        <v>2546</v>
      </c>
      <c r="N2308" s="8">
        <f>IFERROR(G2308/F2308,0)</f>
        <v>2.5657548658600735E-2</v>
      </c>
      <c r="O2308" s="8">
        <f>IFERROR(H2308/G2308,0)</f>
        <v>1.6914402870322913E-2</v>
      </c>
      <c r="P2308" s="4">
        <f>IFERROR(I2308/G2308,0)</f>
        <v>0.97656073808303434</v>
      </c>
      <c r="Q2308" s="4">
        <f>IFERROR(I2308/H2308,0)</f>
        <v>57.735454545454544</v>
      </c>
      <c r="R2308" s="12">
        <f>IFERROR(J2308/I2308,0)</f>
        <v>1.7905441223553615</v>
      </c>
      <c r="S2308" s="7">
        <f>Tabla_nuevas_columnas[[#This Row],[ROAS]]</f>
        <v>1.7905441223553615</v>
      </c>
      <c r="T2308" t="str">
        <f>_xlfn.CONCAT(C2308,"-",D2308)</f>
        <v>Paid Search-España</v>
      </c>
      <c r="U2308">
        <f>YEAR(A2308)</f>
        <v>2025</v>
      </c>
      <c r="V2308">
        <f>MONTH(A2308)</f>
        <v>6</v>
      </c>
      <c r="W2308" t="str">
        <f>PROPER(TEXT(A2308,"mmmm"))</f>
        <v>Junio</v>
      </c>
      <c r="X2308" t="str">
        <f>PROPER(TEXT(A2308,"dddd"))</f>
        <v>Sábado</v>
      </c>
      <c r="Y2308" t="str" cm="1">
        <f t="array" ref="Y2308">_xlfn.IFS(R2308&gt;10,"Excelente",R2308&gt;=5,"Bueno",R2308&gt;=2,"Débil",R2308&lt;2,"Deficiente")</f>
        <v>Deficiente</v>
      </c>
      <c r="Z2308" t="str">
        <f>IF(AND(R2308&lt;2,Q2308&gt;=100),"Revisar","OK")</f>
        <v>OK</v>
      </c>
      <c r="AA2308" s="55">
        <f>_xlfn.XLOOKUP(C2308,'Preguntas de negocio'!$C$114:$C$119,'Preguntas de negocio'!$D$114:$D$119,0)</f>
        <v>5</v>
      </c>
      <c r="AB2308" s="55">
        <f>VLOOKUP(C2308,'Preguntas de negocio'!$C$121:$D$127,2,FALSE)</f>
        <v>1.1000000000000001</v>
      </c>
    </row>
    <row r="2309" spans="1:28" x14ac:dyDescent="0.3">
      <c r="A2309" s="1">
        <v>45717</v>
      </c>
      <c r="B2309" s="2" t="s">
        <v>2616</v>
      </c>
      <c r="C2309" s="2" t="s">
        <v>2543</v>
      </c>
      <c r="D2309" s="2" t="s">
        <v>2522</v>
      </c>
      <c r="E2309" s="2" t="s">
        <v>2517</v>
      </c>
      <c r="F2309" s="3">
        <v>76764</v>
      </c>
      <c r="G2309" s="3">
        <v>1631</v>
      </c>
      <c r="H2309" s="3">
        <v>185</v>
      </c>
      <c r="I2309" s="4">
        <v>2432.11</v>
      </c>
      <c r="J2309" s="4">
        <v>13943.68</v>
      </c>
      <c r="K2309" s="3">
        <v>102</v>
      </c>
      <c r="L2309" s="2" t="s">
        <v>2539</v>
      </c>
      <c r="M2309" s="2" t="s">
        <v>2546</v>
      </c>
      <c r="N2309" s="8">
        <f>IFERROR(G2309/F2309,0)</f>
        <v>2.1246938669167839E-2</v>
      </c>
      <c r="O2309" s="8">
        <f>IFERROR(H2309/G2309,0)</f>
        <v>0.11342734518700184</v>
      </c>
      <c r="P2309" s="4">
        <f>IFERROR(I2309/G2309,0)</f>
        <v>1.4911771919068058</v>
      </c>
      <c r="Q2309" s="4">
        <f>IFERROR(I2309/H2309,0)</f>
        <v>13.146540540540542</v>
      </c>
      <c r="R2309" s="12">
        <f>IFERROR(J2309/I2309,0)</f>
        <v>5.7331617402173416</v>
      </c>
      <c r="S2309" s="7">
        <f>Tabla_nuevas_columnas[[#This Row],[ROAS]]</f>
        <v>5.7331617402173416</v>
      </c>
      <c r="T2309" t="str">
        <f>_xlfn.CONCAT(C2309,"-",D2309)</f>
        <v>Organic Social-Italia</v>
      </c>
      <c r="U2309">
        <f>YEAR(A2309)</f>
        <v>2025</v>
      </c>
      <c r="V2309">
        <f>MONTH(A2309)</f>
        <v>3</v>
      </c>
      <c r="W2309" t="str">
        <f>PROPER(TEXT(A2309,"mmmm"))</f>
        <v>Marzo</v>
      </c>
      <c r="X2309" t="str">
        <f>PROPER(TEXT(A2309,"dddd"))</f>
        <v>Sábado</v>
      </c>
      <c r="Y2309" t="str" cm="1">
        <f t="array" ref="Y2309">_xlfn.IFS(R2309&gt;10,"Excelente",R2309&gt;=5,"Bueno",R2309&gt;=2,"Débil",R2309&lt;2,"Deficiente")</f>
        <v>Bueno</v>
      </c>
      <c r="Z2309" t="str">
        <f>IF(AND(R2309&lt;2,Q2309&gt;=100),"Revisar","OK")</f>
        <v>OK</v>
      </c>
      <c r="AA2309" s="55">
        <f>_xlfn.XLOOKUP(C2309,'Preguntas de negocio'!$C$114:$C$119,'Preguntas de negocio'!$D$114:$D$119,0)</f>
        <v>4</v>
      </c>
      <c r="AB2309" s="55">
        <f>VLOOKUP(C2309,'Preguntas de negocio'!$C$121:$D$127,2,FALSE)</f>
        <v>0.95</v>
      </c>
    </row>
    <row r="2310" spans="1:28" x14ac:dyDescent="0.3">
      <c r="A2310" s="1">
        <v>45912</v>
      </c>
      <c r="B2310" s="2" t="s">
        <v>2633</v>
      </c>
      <c r="C2310" s="2" t="s">
        <v>2515</v>
      </c>
      <c r="D2310" s="2" t="s">
        <v>2531</v>
      </c>
      <c r="E2310" s="2" t="s">
        <v>2529</v>
      </c>
      <c r="F2310" s="3">
        <v>37824</v>
      </c>
      <c r="G2310" s="3">
        <v>2783</v>
      </c>
      <c r="H2310" s="3">
        <v>321</v>
      </c>
      <c r="I2310" s="4">
        <v>1451.13</v>
      </c>
      <c r="J2310" s="4">
        <v>53271.02</v>
      </c>
      <c r="K2310" s="3">
        <v>224</v>
      </c>
      <c r="L2310" s="2" t="s">
        <v>2539</v>
      </c>
      <c r="M2310" s="2" t="s">
        <v>2526</v>
      </c>
      <c r="N2310" s="8">
        <f>IFERROR(G2310/F2310,0)</f>
        <v>7.3577622673434859E-2</v>
      </c>
      <c r="O2310" s="8">
        <f>IFERROR(H2310/G2310,0)</f>
        <v>0.11534315486884657</v>
      </c>
      <c r="P2310" s="4">
        <f>IFERROR(I2310/G2310,0)</f>
        <v>0.52142651814588581</v>
      </c>
      <c r="Q2310" s="4">
        <f>IFERROR(I2310/H2310,0)</f>
        <v>4.5206542056074772</v>
      </c>
      <c r="R2310" s="12">
        <f>IFERROR(J2310/I2310,0)</f>
        <v>36.710025979753702</v>
      </c>
      <c r="S2310" s="7">
        <f>Tabla_nuevas_columnas[[#This Row],[ROAS]]</f>
        <v>36.710025979753702</v>
      </c>
      <c r="T2310" t="str">
        <f>_xlfn.CONCAT(C2310,"-",D2310)</f>
        <v>Email-Portugal</v>
      </c>
      <c r="U2310">
        <f>YEAR(A2310)</f>
        <v>2025</v>
      </c>
      <c r="V2310">
        <f>MONTH(A2310)</f>
        <v>9</v>
      </c>
      <c r="W2310" t="str">
        <f>PROPER(TEXT(A2310,"mmmm"))</f>
        <v>Septiembre</v>
      </c>
      <c r="X2310" t="str">
        <f>PROPER(TEXT(A2310,"dddd"))</f>
        <v>Viernes</v>
      </c>
      <c r="Y2310" t="str" cm="1">
        <f t="array" ref="Y2310">_xlfn.IFS(R2310&gt;10,"Excelente",R2310&gt;=5,"Bueno",R2310&gt;=2,"Débil",R2310&lt;2,"Deficiente")</f>
        <v>Excelente</v>
      </c>
      <c r="Z2310" t="str">
        <f>IF(AND(R2310&lt;2,Q2310&gt;=100),"Revisar","OK")</f>
        <v>OK</v>
      </c>
      <c r="AA2310" s="55">
        <f>_xlfn.XLOOKUP(C2310,'Preguntas de negocio'!$C$114:$C$119,'Preguntas de negocio'!$D$114:$D$119,0)</f>
        <v>5.5</v>
      </c>
      <c r="AB2310" s="55">
        <f>VLOOKUP(C2310,'Preguntas de negocio'!$C$121:$D$127,2,FALSE)</f>
        <v>0.65</v>
      </c>
    </row>
    <row r="2311" spans="1:28" x14ac:dyDescent="0.3">
      <c r="A2311" s="1">
        <v>45705</v>
      </c>
      <c r="B2311" s="2" t="s">
        <v>2632</v>
      </c>
      <c r="C2311" s="2" t="s">
        <v>2543</v>
      </c>
      <c r="D2311" s="2" t="s">
        <v>2528</v>
      </c>
      <c r="E2311" s="2" t="s">
        <v>2529</v>
      </c>
      <c r="F2311" s="3">
        <v>96470</v>
      </c>
      <c r="G2311" s="3">
        <v>2590</v>
      </c>
      <c r="H2311" s="3">
        <v>74</v>
      </c>
      <c r="I2311" s="4">
        <v>1268.92</v>
      </c>
      <c r="J2311" s="4">
        <v>14382.1</v>
      </c>
      <c r="K2311" s="3">
        <v>60</v>
      </c>
      <c r="L2311" s="2" t="s">
        <v>2536</v>
      </c>
      <c r="M2311" s="2" t="s">
        <v>2519</v>
      </c>
      <c r="N2311" s="8">
        <f>IFERROR(G2311/F2311,0)</f>
        <v>2.6847724681248058E-2</v>
      </c>
      <c r="O2311" s="8">
        <f>IFERROR(H2311/G2311,0)</f>
        <v>2.8571428571428571E-2</v>
      </c>
      <c r="P2311" s="4">
        <f>IFERROR(I2311/G2311,0)</f>
        <v>0.48993050193050197</v>
      </c>
      <c r="Q2311" s="4">
        <f>IFERROR(I2311/H2311,0)</f>
        <v>17.14756756756757</v>
      </c>
      <c r="R2311" s="12">
        <f>IFERROR(J2311/I2311,0)</f>
        <v>11.334126658891025</v>
      </c>
      <c r="S2311" s="7">
        <f>Tabla_nuevas_columnas[[#This Row],[ROAS]]</f>
        <v>11.334126658891025</v>
      </c>
      <c r="T2311" t="str">
        <f>_xlfn.CONCAT(C2311,"-",D2311)</f>
        <v>Organic Social-España</v>
      </c>
      <c r="U2311">
        <f>YEAR(A2311)</f>
        <v>2025</v>
      </c>
      <c r="V2311">
        <f>MONTH(A2311)</f>
        <v>2</v>
      </c>
      <c r="W2311" t="str">
        <f>PROPER(TEXT(A2311,"mmmm"))</f>
        <v>Febrero</v>
      </c>
      <c r="X2311" t="str">
        <f>PROPER(TEXT(A2311,"dddd"))</f>
        <v>Lunes</v>
      </c>
      <c r="Y2311" t="str" cm="1">
        <f t="array" ref="Y2311">_xlfn.IFS(R2311&gt;10,"Excelente",R2311&gt;=5,"Bueno",R2311&gt;=2,"Débil",R2311&lt;2,"Deficiente")</f>
        <v>Excelente</v>
      </c>
      <c r="Z2311" t="str">
        <f>IF(AND(R2311&lt;2,Q2311&gt;=100),"Revisar","OK")</f>
        <v>OK</v>
      </c>
      <c r="AA2311" s="55">
        <f>_xlfn.XLOOKUP(C2311,'Preguntas de negocio'!$C$114:$C$119,'Preguntas de negocio'!$D$114:$D$119,0)</f>
        <v>4</v>
      </c>
      <c r="AB2311" s="55">
        <f>VLOOKUP(C2311,'Preguntas de negocio'!$C$121:$D$127,2,FALSE)</f>
        <v>0.95</v>
      </c>
    </row>
    <row r="2312" spans="1:28" x14ac:dyDescent="0.3">
      <c r="A2312" s="1">
        <v>45992</v>
      </c>
      <c r="B2312" s="2" t="s">
        <v>2624</v>
      </c>
      <c r="C2312" s="2" t="s">
        <v>2543</v>
      </c>
      <c r="D2312" s="2" t="s">
        <v>2525</v>
      </c>
      <c r="E2312" s="2" t="s">
        <v>2517</v>
      </c>
      <c r="F2312" s="3">
        <v>169663</v>
      </c>
      <c r="G2312" s="3">
        <v>14121</v>
      </c>
      <c r="H2312" s="3">
        <v>1887</v>
      </c>
      <c r="I2312" s="4">
        <v>21781.64</v>
      </c>
      <c r="J2312" s="4">
        <v>171390.14</v>
      </c>
      <c r="K2312" s="3">
        <v>1020</v>
      </c>
      <c r="L2312" s="2" t="s">
        <v>2523</v>
      </c>
      <c r="M2312" s="2" t="s">
        <v>2526</v>
      </c>
      <c r="N2312" s="8">
        <f>IFERROR(G2312/F2312,0)</f>
        <v>8.3229696516034721E-2</v>
      </c>
      <c r="O2312" s="8">
        <f>IFERROR(H2312/G2312,0)</f>
        <v>0.13363076269386021</v>
      </c>
      <c r="P2312" s="4">
        <f>IFERROR(I2312/G2312,0)</f>
        <v>1.5424998229587139</v>
      </c>
      <c r="Q2312" s="4">
        <f>IFERROR(I2312/H2312,0)</f>
        <v>11.542999470058293</v>
      </c>
      <c r="R2312" s="12">
        <f>IFERROR(J2312/I2312,0)</f>
        <v>7.8685599431447777</v>
      </c>
      <c r="S2312" s="7">
        <f>Tabla_nuevas_columnas[[#This Row],[ROAS]]</f>
        <v>7.8685599431447777</v>
      </c>
      <c r="T2312" t="str">
        <f>_xlfn.CONCAT(C2312,"-",D2312)</f>
        <v>Organic Social-Francia</v>
      </c>
      <c r="U2312">
        <f>YEAR(A2312)</f>
        <v>2025</v>
      </c>
      <c r="V2312">
        <f>MONTH(A2312)</f>
        <v>12</v>
      </c>
      <c r="W2312" t="str">
        <f>PROPER(TEXT(A2312,"mmmm"))</f>
        <v>Diciembre</v>
      </c>
      <c r="X2312" t="str">
        <f>PROPER(TEXT(A2312,"dddd"))</f>
        <v>Lunes</v>
      </c>
      <c r="Y2312" t="str" cm="1">
        <f t="array" ref="Y2312">_xlfn.IFS(R2312&gt;10,"Excelente",R2312&gt;=5,"Bueno",R2312&gt;=2,"Débil",R2312&lt;2,"Deficiente")</f>
        <v>Bueno</v>
      </c>
      <c r="Z2312" t="str">
        <f>IF(AND(R2312&lt;2,Q2312&gt;=100),"Revisar","OK")</f>
        <v>OK</v>
      </c>
      <c r="AA2312" s="55">
        <f>_xlfn.XLOOKUP(C2312,'Preguntas de negocio'!$C$114:$C$119,'Preguntas de negocio'!$D$114:$D$119,0)</f>
        <v>4</v>
      </c>
      <c r="AB2312" s="55">
        <f>VLOOKUP(C2312,'Preguntas de negocio'!$C$121:$D$127,2,FALSE)</f>
        <v>0.95</v>
      </c>
    </row>
    <row r="2313" spans="1:28" x14ac:dyDescent="0.3">
      <c r="A2313" s="1">
        <v>46013</v>
      </c>
      <c r="B2313" s="2" t="s">
        <v>2630</v>
      </c>
      <c r="C2313" s="2" t="s">
        <v>2515</v>
      </c>
      <c r="D2313" s="2" t="s">
        <v>2531</v>
      </c>
      <c r="E2313" s="2" t="s">
        <v>2517</v>
      </c>
      <c r="F2313" s="3">
        <v>146855</v>
      </c>
      <c r="G2313" s="3">
        <v>7391</v>
      </c>
      <c r="H2313" s="3">
        <v>949</v>
      </c>
      <c r="I2313" s="4">
        <v>8458.75</v>
      </c>
      <c r="J2313" s="4">
        <v>23779.84</v>
      </c>
      <c r="K2313" s="3">
        <v>826</v>
      </c>
      <c r="L2313" s="2" t="s">
        <v>2518</v>
      </c>
      <c r="M2313" s="2" t="s">
        <v>2519</v>
      </c>
      <c r="N2313" s="8">
        <f>IFERROR(G2313/F2313,0)</f>
        <v>5.0328555377753569E-2</v>
      </c>
      <c r="O2313" s="8">
        <f>IFERROR(H2313/G2313,0)</f>
        <v>0.12839940468136923</v>
      </c>
      <c r="P2313" s="4">
        <f>IFERROR(I2313/G2313,0)</f>
        <v>1.1444662427276417</v>
      </c>
      <c r="Q2313" s="4">
        <f>IFERROR(I2313/H2313,0)</f>
        <v>8.9133298208640674</v>
      </c>
      <c r="R2313" s="12">
        <f>IFERROR(J2313/I2313,0)</f>
        <v>2.8112711689079357</v>
      </c>
      <c r="S2313" s="7">
        <f>Tabla_nuevas_columnas[[#This Row],[ROAS]]</f>
        <v>2.8112711689079357</v>
      </c>
      <c r="T2313" t="str">
        <f>_xlfn.CONCAT(C2313,"-",D2313)</f>
        <v>Email-Portugal</v>
      </c>
      <c r="U2313">
        <f>YEAR(A2313)</f>
        <v>2025</v>
      </c>
      <c r="V2313">
        <f>MONTH(A2313)</f>
        <v>12</v>
      </c>
      <c r="W2313" t="str">
        <f>PROPER(TEXT(A2313,"mmmm"))</f>
        <v>Diciembre</v>
      </c>
      <c r="X2313" t="str">
        <f>PROPER(TEXT(A2313,"dddd"))</f>
        <v>Lunes</v>
      </c>
      <c r="Y2313" t="str" cm="1">
        <f t="array" ref="Y2313">_xlfn.IFS(R2313&gt;10,"Excelente",R2313&gt;=5,"Bueno",R2313&gt;=2,"Débil",R2313&lt;2,"Deficiente")</f>
        <v>Débil</v>
      </c>
      <c r="Z2313" t="str">
        <f>IF(AND(R2313&lt;2,Q2313&gt;=100),"Revisar","OK")</f>
        <v>OK</v>
      </c>
      <c r="AA2313" s="55">
        <f>_xlfn.XLOOKUP(C2313,'Preguntas de negocio'!$C$114:$C$119,'Preguntas de negocio'!$D$114:$D$119,0)</f>
        <v>5.5</v>
      </c>
      <c r="AB2313" s="55">
        <f>VLOOKUP(C2313,'Preguntas de negocio'!$C$121:$D$127,2,FALSE)</f>
        <v>0.65</v>
      </c>
    </row>
    <row r="2314" spans="1:28" x14ac:dyDescent="0.3">
      <c r="A2314" s="1">
        <v>45672</v>
      </c>
      <c r="B2314" s="2" t="s">
        <v>2633</v>
      </c>
      <c r="C2314" s="2" t="s">
        <v>2541</v>
      </c>
      <c r="D2314" s="2" t="s">
        <v>2528</v>
      </c>
      <c r="E2314" s="2" t="s">
        <v>2517</v>
      </c>
      <c r="F2314" s="3">
        <v>62847</v>
      </c>
      <c r="G2314" s="3">
        <v>5129</v>
      </c>
      <c r="H2314" s="3">
        <v>323</v>
      </c>
      <c r="I2314" s="4">
        <v>4762.03</v>
      </c>
      <c r="J2314" s="4">
        <v>50634.82</v>
      </c>
      <c r="K2314" s="3">
        <v>226</v>
      </c>
      <c r="L2314" s="2" t="s">
        <v>2523</v>
      </c>
      <c r="M2314" s="2" t="s">
        <v>2537</v>
      </c>
      <c r="N2314" s="8">
        <f>IFERROR(G2314/F2314,0)</f>
        <v>8.1610896303721731E-2</v>
      </c>
      <c r="O2314" s="8">
        <f>IFERROR(H2314/G2314,0)</f>
        <v>6.2975238837980119E-2</v>
      </c>
      <c r="P2314" s="4">
        <f>IFERROR(I2314/G2314,0)</f>
        <v>0.92845193994930786</v>
      </c>
      <c r="Q2314" s="4">
        <f>IFERROR(I2314/H2314,0)</f>
        <v>14.74312693498452</v>
      </c>
      <c r="R2314" s="12">
        <f>IFERROR(J2314/I2314,0)</f>
        <v>10.633032551243902</v>
      </c>
      <c r="S2314" s="7">
        <f>Tabla_nuevas_columnas[[#This Row],[ROAS]]</f>
        <v>10.633032551243902</v>
      </c>
      <c r="T2314" t="str">
        <f>_xlfn.CONCAT(C2314,"-",D2314)</f>
        <v>Display-España</v>
      </c>
      <c r="U2314">
        <f>YEAR(A2314)</f>
        <v>2025</v>
      </c>
      <c r="V2314">
        <f>MONTH(A2314)</f>
        <v>1</v>
      </c>
      <c r="W2314" t="str">
        <f>PROPER(TEXT(A2314,"mmmm"))</f>
        <v>Enero</v>
      </c>
      <c r="X2314" t="str">
        <f>PROPER(TEXT(A2314,"dddd"))</f>
        <v>Miércoles</v>
      </c>
      <c r="Y2314" t="str" cm="1">
        <f t="array" ref="Y2314">_xlfn.IFS(R2314&gt;10,"Excelente",R2314&gt;=5,"Bueno",R2314&gt;=2,"Débil",R2314&lt;2,"Deficiente")</f>
        <v>Excelente</v>
      </c>
      <c r="Z2314" t="str">
        <f>IF(AND(R2314&lt;2,Q2314&gt;=100),"Revisar","OK")</f>
        <v>OK</v>
      </c>
      <c r="AA2314" s="55">
        <f>_xlfn.XLOOKUP(C2314,'Preguntas de negocio'!$C$114:$C$119,'Preguntas de negocio'!$D$114:$D$119,0)</f>
        <v>5</v>
      </c>
      <c r="AB2314" s="55">
        <f>VLOOKUP(C2314,'Preguntas de negocio'!$C$121:$D$127,2,FALSE)</f>
        <v>0.5</v>
      </c>
    </row>
    <row r="2315" spans="1:28" x14ac:dyDescent="0.3">
      <c r="A2315" s="1">
        <v>45886</v>
      </c>
      <c r="B2315" s="2" t="s">
        <v>2643</v>
      </c>
      <c r="C2315" s="2" t="s">
        <v>2521</v>
      </c>
      <c r="D2315" s="2" t="s">
        <v>2528</v>
      </c>
      <c r="E2315" s="2" t="s">
        <v>2517</v>
      </c>
      <c r="F2315" s="3">
        <v>161748</v>
      </c>
      <c r="G2315" s="3">
        <v>5871</v>
      </c>
      <c r="H2315" s="3">
        <v>92</v>
      </c>
      <c r="I2315" s="4">
        <v>4496.58</v>
      </c>
      <c r="J2315" s="4">
        <v>3235.92</v>
      </c>
      <c r="K2315" s="3">
        <v>50</v>
      </c>
      <c r="L2315" s="2" t="s">
        <v>2539</v>
      </c>
      <c r="M2315" s="2" t="s">
        <v>2524</v>
      </c>
      <c r="N2315" s="8">
        <f>IFERROR(G2315/F2315,0)</f>
        <v>3.6297203056606574E-2</v>
      </c>
      <c r="O2315" s="8">
        <f>IFERROR(H2315/G2315,0)</f>
        <v>1.5670243570090274E-2</v>
      </c>
      <c r="P2315" s="4">
        <f>IFERROR(I2315/G2315,0)</f>
        <v>0.7658967807869187</v>
      </c>
      <c r="Q2315" s="4">
        <f>IFERROR(I2315/H2315,0)</f>
        <v>48.875869565217393</v>
      </c>
      <c r="R2315" s="12">
        <f>IFERROR(J2315/I2315,0)</f>
        <v>0.71964025993088088</v>
      </c>
      <c r="S2315" s="7">
        <f>Tabla_nuevas_columnas[[#This Row],[ROAS]]</f>
        <v>0.71964025993088088</v>
      </c>
      <c r="T2315" t="str">
        <f>_xlfn.CONCAT(C2315,"-",D2315)</f>
        <v>Paid Search-España</v>
      </c>
      <c r="U2315">
        <f>YEAR(A2315)</f>
        <v>2025</v>
      </c>
      <c r="V2315">
        <f>MONTH(A2315)</f>
        <v>8</v>
      </c>
      <c r="W2315" t="str">
        <f>PROPER(TEXT(A2315,"mmmm"))</f>
        <v>Agosto</v>
      </c>
      <c r="X2315" t="str">
        <f>PROPER(TEXT(A2315,"dddd"))</f>
        <v>Domingo</v>
      </c>
      <c r="Y2315" t="str" cm="1">
        <f t="array" ref="Y2315">_xlfn.IFS(R2315&gt;10,"Excelente",R2315&gt;=5,"Bueno",R2315&gt;=2,"Débil",R2315&lt;2,"Deficiente")</f>
        <v>Deficiente</v>
      </c>
      <c r="Z2315" t="str">
        <f>IF(AND(R2315&lt;2,Q2315&gt;=100),"Revisar","OK")</f>
        <v>OK</v>
      </c>
      <c r="AA2315" s="55">
        <f>_xlfn.XLOOKUP(C2315,'Preguntas de negocio'!$C$114:$C$119,'Preguntas de negocio'!$D$114:$D$119,0)</f>
        <v>5</v>
      </c>
      <c r="AB2315" s="55">
        <f>VLOOKUP(C2315,'Preguntas de negocio'!$C$121:$D$127,2,FALSE)</f>
        <v>1.1000000000000001</v>
      </c>
    </row>
    <row r="2316" spans="1:28" x14ac:dyDescent="0.3">
      <c r="A2316" s="1">
        <v>45663</v>
      </c>
      <c r="B2316" s="2" t="s">
        <v>2643</v>
      </c>
      <c r="C2316" s="2" t="s">
        <v>2527</v>
      </c>
      <c r="D2316" s="2" t="s">
        <v>2525</v>
      </c>
      <c r="E2316" s="2" t="s">
        <v>2517</v>
      </c>
      <c r="F2316" s="3">
        <v>71430</v>
      </c>
      <c r="G2316" s="3">
        <v>4937</v>
      </c>
      <c r="H2316" s="3">
        <v>230</v>
      </c>
      <c r="I2316" s="4">
        <v>1272.3699999999999</v>
      </c>
      <c r="J2316" s="4">
        <v>40774.699999999997</v>
      </c>
      <c r="K2316" s="3">
        <v>155</v>
      </c>
      <c r="L2316" s="2" t="s">
        <v>2518</v>
      </c>
      <c r="M2316" s="2" t="s">
        <v>2537</v>
      </c>
      <c r="N2316" s="8">
        <f>IFERROR(G2316/F2316,0)</f>
        <v>6.9116617667646651E-2</v>
      </c>
      <c r="O2316" s="8">
        <f>IFERROR(H2316/G2316,0)</f>
        <v>4.6586996151509012E-2</v>
      </c>
      <c r="P2316" s="4">
        <f>IFERROR(I2316/G2316,0)</f>
        <v>0.25772128823171964</v>
      </c>
      <c r="Q2316" s="4">
        <f>IFERROR(I2316/H2316,0)</f>
        <v>5.532043478260869</v>
      </c>
      <c r="R2316" s="12">
        <f>IFERROR(J2316/I2316,0)</f>
        <v>32.046260128736137</v>
      </c>
      <c r="S2316" s="7">
        <f>Tabla_nuevas_columnas[[#This Row],[ROAS]]</f>
        <v>32.046260128736137</v>
      </c>
      <c r="T2316" t="str">
        <f>_xlfn.CONCAT(C2316,"-",D2316)</f>
        <v>Affiliate-Francia</v>
      </c>
      <c r="U2316">
        <f>YEAR(A2316)</f>
        <v>2025</v>
      </c>
      <c r="V2316">
        <f>MONTH(A2316)</f>
        <v>1</v>
      </c>
      <c r="W2316" t="str">
        <f>PROPER(TEXT(A2316,"mmmm"))</f>
        <v>Enero</v>
      </c>
      <c r="X2316" t="str">
        <f>PROPER(TEXT(A2316,"dddd"))</f>
        <v>Lunes</v>
      </c>
      <c r="Y2316" t="str" cm="1">
        <f t="array" ref="Y2316">_xlfn.IFS(R2316&gt;10,"Excelente",R2316&gt;=5,"Bueno",R2316&gt;=2,"Débil",R2316&lt;2,"Deficiente")</f>
        <v>Excelente</v>
      </c>
      <c r="Z2316" t="str">
        <f>IF(AND(R2316&lt;2,Q2316&gt;=100),"Revisar","OK")</f>
        <v>OK</v>
      </c>
      <c r="AA2316" s="55">
        <f>_xlfn.XLOOKUP(C2316,'Preguntas de negocio'!$C$114:$C$119,'Preguntas de negocio'!$D$114:$D$119,0)</f>
        <v>4.5</v>
      </c>
      <c r="AB2316" s="55">
        <f>VLOOKUP(C2316,'Preguntas de negocio'!$C$121:$D$127,2,FALSE)</f>
        <v>0.35</v>
      </c>
    </row>
    <row r="2317" spans="1:28" x14ac:dyDescent="0.3">
      <c r="A2317" s="1">
        <v>45971</v>
      </c>
      <c r="B2317" s="2" t="s">
        <v>2616</v>
      </c>
      <c r="C2317" s="2" t="s">
        <v>2521</v>
      </c>
      <c r="D2317" s="2" t="s">
        <v>2516</v>
      </c>
      <c r="E2317" s="2" t="s">
        <v>2529</v>
      </c>
      <c r="F2317" s="3">
        <v>141891</v>
      </c>
      <c r="G2317" s="3">
        <v>2062</v>
      </c>
      <c r="H2317" s="3">
        <v>90</v>
      </c>
      <c r="I2317" s="4">
        <v>3209.95</v>
      </c>
      <c r="J2317" s="4">
        <v>9905.64</v>
      </c>
      <c r="K2317" s="3">
        <v>46</v>
      </c>
      <c r="L2317" s="2" t="s">
        <v>2539</v>
      </c>
      <c r="M2317" s="2" t="s">
        <v>2537</v>
      </c>
      <c r="N2317" s="8">
        <f>IFERROR(G2317/F2317,0)</f>
        <v>1.4532281821961928E-2</v>
      </c>
      <c r="O2317" s="8">
        <f>IFERROR(H2317/G2317,0)</f>
        <v>4.3646944713870033E-2</v>
      </c>
      <c r="P2317" s="4">
        <f>IFERROR(I2317/G2317,0)</f>
        <v>1.5567167798254122</v>
      </c>
      <c r="Q2317" s="4">
        <f>IFERROR(I2317/H2317,0)</f>
        <v>35.666111111111107</v>
      </c>
      <c r="R2317" s="12">
        <f>IFERROR(J2317/I2317,0)</f>
        <v>3.0859172261250176</v>
      </c>
      <c r="S2317" s="7">
        <f>Tabla_nuevas_columnas[[#This Row],[ROAS]]</f>
        <v>3.0859172261250176</v>
      </c>
      <c r="T2317" t="str">
        <f>_xlfn.CONCAT(C2317,"-",D2317)</f>
        <v>Paid Search-México</v>
      </c>
      <c r="U2317">
        <f>YEAR(A2317)</f>
        <v>2025</v>
      </c>
      <c r="V2317">
        <f>MONTH(A2317)</f>
        <v>11</v>
      </c>
      <c r="W2317" t="str">
        <f>PROPER(TEXT(A2317,"mmmm"))</f>
        <v>Noviembre</v>
      </c>
      <c r="X2317" t="str">
        <f>PROPER(TEXT(A2317,"dddd"))</f>
        <v>Lunes</v>
      </c>
      <c r="Y2317" t="str" cm="1">
        <f t="array" ref="Y2317">_xlfn.IFS(R2317&gt;10,"Excelente",R2317&gt;=5,"Bueno",R2317&gt;=2,"Débil",R2317&lt;2,"Deficiente")</f>
        <v>Débil</v>
      </c>
      <c r="Z2317" t="str">
        <f>IF(AND(R2317&lt;2,Q2317&gt;=100),"Revisar","OK")</f>
        <v>OK</v>
      </c>
      <c r="AA2317" s="55">
        <f>_xlfn.XLOOKUP(C2317,'Preguntas de negocio'!$C$114:$C$119,'Preguntas de negocio'!$D$114:$D$119,0)</f>
        <v>5</v>
      </c>
      <c r="AB2317" s="55">
        <f>VLOOKUP(C2317,'Preguntas de negocio'!$C$121:$D$127,2,FALSE)</f>
        <v>1.1000000000000001</v>
      </c>
    </row>
    <row r="2318" spans="1:28" x14ac:dyDescent="0.3">
      <c r="A2318" s="1">
        <v>45691</v>
      </c>
      <c r="B2318" s="2" t="s">
        <v>2616</v>
      </c>
      <c r="C2318" s="2" t="s">
        <v>2533</v>
      </c>
      <c r="D2318" s="2" t="s">
        <v>2528</v>
      </c>
      <c r="E2318" s="2" t="s">
        <v>2517</v>
      </c>
      <c r="F2318" s="3">
        <v>169819</v>
      </c>
      <c r="G2318" s="3">
        <v>1558</v>
      </c>
      <c r="H2318" s="3">
        <v>212</v>
      </c>
      <c r="I2318" s="4">
        <v>172.06</v>
      </c>
      <c r="J2318" s="4">
        <v>45672.78</v>
      </c>
      <c r="K2318" s="3">
        <v>162</v>
      </c>
      <c r="L2318" s="2" t="s">
        <v>2539</v>
      </c>
      <c r="M2318" s="2" t="s">
        <v>2526</v>
      </c>
      <c r="N2318" s="8">
        <f>IFERROR(G2318/F2318,0)</f>
        <v>9.1744739987869445E-3</v>
      </c>
      <c r="O2318" s="8">
        <f>IFERROR(H2318/G2318,0)</f>
        <v>0.13607188703465983</v>
      </c>
      <c r="P2318" s="4">
        <f>IFERROR(I2318/G2318,0)</f>
        <v>0.11043645699614892</v>
      </c>
      <c r="Q2318" s="4">
        <f>IFERROR(I2318/H2318,0)</f>
        <v>0.81160377358490565</v>
      </c>
      <c r="R2318" s="12">
        <f>IFERROR(J2318/I2318,0)</f>
        <v>265.44682087643844</v>
      </c>
      <c r="S2318" s="7">
        <f>Tabla_nuevas_columnas[[#This Row],[ROAS]]</f>
        <v>265.44682087643844</v>
      </c>
      <c r="T2318" t="str">
        <f>_xlfn.CONCAT(C2318,"-",D2318)</f>
        <v>Paid Social-España</v>
      </c>
      <c r="U2318">
        <f>YEAR(A2318)</f>
        <v>2025</v>
      </c>
      <c r="V2318">
        <f>MONTH(A2318)</f>
        <v>2</v>
      </c>
      <c r="W2318" t="str">
        <f>PROPER(TEXT(A2318,"mmmm"))</f>
        <v>Febrero</v>
      </c>
      <c r="X2318" t="str">
        <f>PROPER(TEXT(A2318,"dddd"))</f>
        <v>Lunes</v>
      </c>
      <c r="Y2318" t="str" cm="1">
        <f t="array" ref="Y2318">_xlfn.IFS(R2318&gt;10,"Excelente",R2318&gt;=5,"Bueno",R2318&gt;=2,"Débil",R2318&lt;2,"Deficiente")</f>
        <v>Excelente</v>
      </c>
      <c r="Z2318" t="str">
        <f>IF(AND(R2318&lt;2,Q2318&gt;=100),"Revisar","OK")</f>
        <v>OK</v>
      </c>
      <c r="AA2318" s="55">
        <f>_xlfn.XLOOKUP(C2318,'Preguntas de negocio'!$C$114:$C$119,'Preguntas de negocio'!$D$114:$D$119,0)</f>
        <v>6</v>
      </c>
      <c r="AB2318" s="55">
        <f>VLOOKUP(C2318,'Preguntas de negocio'!$C$121:$D$127,2,FALSE)</f>
        <v>0.8</v>
      </c>
    </row>
    <row r="2319" spans="1:28" x14ac:dyDescent="0.3">
      <c r="A2319" s="1">
        <v>45780</v>
      </c>
      <c r="B2319" s="2" t="s">
        <v>2639</v>
      </c>
      <c r="C2319" s="2" t="s">
        <v>2541</v>
      </c>
      <c r="D2319" s="2" t="s">
        <v>2528</v>
      </c>
      <c r="E2319" s="2" t="s">
        <v>2529</v>
      </c>
      <c r="F2319" s="3">
        <v>9900</v>
      </c>
      <c r="G2319" s="3">
        <v>554</v>
      </c>
      <c r="H2319" s="3">
        <v>43</v>
      </c>
      <c r="I2319" s="4">
        <v>1053.56</v>
      </c>
      <c r="J2319" s="4">
        <v>2902.88</v>
      </c>
      <c r="K2319" s="3">
        <v>31</v>
      </c>
      <c r="L2319" s="2" t="s">
        <v>2518</v>
      </c>
      <c r="M2319" s="2" t="s">
        <v>2537</v>
      </c>
      <c r="N2319" s="8">
        <f>IFERROR(G2319/F2319,0)</f>
        <v>5.5959595959595959E-2</v>
      </c>
      <c r="O2319" s="8">
        <f>IFERROR(H2319/G2319,0)</f>
        <v>7.7617328519855602E-2</v>
      </c>
      <c r="P2319" s="4">
        <f>IFERROR(I2319/G2319,0)</f>
        <v>1.9017328519855594</v>
      </c>
      <c r="Q2319" s="4">
        <f>IFERROR(I2319/H2319,0)</f>
        <v>24.501395348837207</v>
      </c>
      <c r="R2319" s="12">
        <f>IFERROR(J2319/I2319,0)</f>
        <v>2.7553058202665253</v>
      </c>
      <c r="S2319" s="7">
        <f>Tabla_nuevas_columnas[[#This Row],[ROAS]]</f>
        <v>2.7553058202665253</v>
      </c>
      <c r="T2319" t="str">
        <f>_xlfn.CONCAT(C2319,"-",D2319)</f>
        <v>Display-España</v>
      </c>
      <c r="U2319">
        <f>YEAR(A2319)</f>
        <v>2025</v>
      </c>
      <c r="V2319">
        <f>MONTH(A2319)</f>
        <v>5</v>
      </c>
      <c r="W2319" t="str">
        <f>PROPER(TEXT(A2319,"mmmm"))</f>
        <v>Mayo</v>
      </c>
      <c r="X2319" t="str">
        <f>PROPER(TEXT(A2319,"dddd"))</f>
        <v>Sábado</v>
      </c>
      <c r="Y2319" t="str" cm="1">
        <f t="array" ref="Y2319">_xlfn.IFS(R2319&gt;10,"Excelente",R2319&gt;=5,"Bueno",R2319&gt;=2,"Débil",R2319&lt;2,"Deficiente")</f>
        <v>Débil</v>
      </c>
      <c r="Z2319" t="str">
        <f>IF(AND(R2319&lt;2,Q2319&gt;=100),"Revisar","OK")</f>
        <v>OK</v>
      </c>
      <c r="AA2319" s="55">
        <f>_xlfn.XLOOKUP(C2319,'Preguntas de negocio'!$C$114:$C$119,'Preguntas de negocio'!$D$114:$D$119,0)</f>
        <v>5</v>
      </c>
      <c r="AB2319" s="55">
        <f>VLOOKUP(C2319,'Preguntas de negocio'!$C$121:$D$127,2,FALSE)</f>
        <v>0.5</v>
      </c>
    </row>
    <row r="2320" spans="1:28" x14ac:dyDescent="0.3">
      <c r="A2320" s="1">
        <v>45786</v>
      </c>
      <c r="B2320" s="2" t="s">
        <v>2630</v>
      </c>
      <c r="C2320" s="2" t="s">
        <v>2527</v>
      </c>
      <c r="D2320" s="2" t="s">
        <v>2525</v>
      </c>
      <c r="E2320" s="2" t="s">
        <v>2517</v>
      </c>
      <c r="F2320" s="3">
        <v>99791</v>
      </c>
      <c r="G2320" s="3">
        <v>7473</v>
      </c>
      <c r="H2320" s="3">
        <v>668</v>
      </c>
      <c r="I2320" s="4">
        <v>12860.38</v>
      </c>
      <c r="J2320" s="4">
        <v>102392.56</v>
      </c>
      <c r="K2320" s="3">
        <v>461</v>
      </c>
      <c r="L2320" s="2" t="s">
        <v>2518</v>
      </c>
      <c r="M2320" s="2" t="s">
        <v>2524</v>
      </c>
      <c r="N2320" s="8">
        <f>IFERROR(G2320/F2320,0)</f>
        <v>7.4886512811776607E-2</v>
      </c>
      <c r="O2320" s="8">
        <f>IFERROR(H2320/G2320,0)</f>
        <v>8.9388465141174892E-2</v>
      </c>
      <c r="P2320" s="4">
        <f>IFERROR(I2320/G2320,0)</f>
        <v>1.7209126187608723</v>
      </c>
      <c r="Q2320" s="4">
        <f>IFERROR(I2320/H2320,0)</f>
        <v>19.252065868263472</v>
      </c>
      <c r="R2320" s="12">
        <f>IFERROR(J2320/I2320,0)</f>
        <v>7.961861158068424</v>
      </c>
      <c r="S2320" s="7">
        <f>Tabla_nuevas_columnas[[#This Row],[ROAS]]</f>
        <v>7.961861158068424</v>
      </c>
      <c r="T2320" t="str">
        <f>_xlfn.CONCAT(C2320,"-",D2320)</f>
        <v>Affiliate-Francia</v>
      </c>
      <c r="U2320">
        <f>YEAR(A2320)</f>
        <v>2025</v>
      </c>
      <c r="V2320">
        <f>MONTH(A2320)</f>
        <v>5</v>
      </c>
      <c r="W2320" t="str">
        <f>PROPER(TEXT(A2320,"mmmm"))</f>
        <v>Mayo</v>
      </c>
      <c r="X2320" t="str">
        <f>PROPER(TEXT(A2320,"dddd"))</f>
        <v>Viernes</v>
      </c>
      <c r="Y2320" t="str" cm="1">
        <f t="array" ref="Y2320">_xlfn.IFS(R2320&gt;10,"Excelente",R2320&gt;=5,"Bueno",R2320&gt;=2,"Débil",R2320&lt;2,"Deficiente")</f>
        <v>Bueno</v>
      </c>
      <c r="Z2320" t="str">
        <f>IF(AND(R2320&lt;2,Q2320&gt;=100),"Revisar","OK")</f>
        <v>OK</v>
      </c>
      <c r="AA2320" s="55">
        <f>_xlfn.XLOOKUP(C2320,'Preguntas de negocio'!$C$114:$C$119,'Preguntas de negocio'!$D$114:$D$119,0)</f>
        <v>4.5</v>
      </c>
      <c r="AB2320" s="55">
        <f>VLOOKUP(C2320,'Preguntas de negocio'!$C$121:$D$127,2,FALSE)</f>
        <v>0.35</v>
      </c>
    </row>
    <row r="2321" spans="1:28" x14ac:dyDescent="0.3">
      <c r="A2321" s="1">
        <v>45838</v>
      </c>
      <c r="B2321" s="2" t="s">
        <v>2617</v>
      </c>
      <c r="C2321" s="2" t="s">
        <v>2541</v>
      </c>
      <c r="D2321" s="2" t="s">
        <v>2522</v>
      </c>
      <c r="E2321" s="2" t="s">
        <v>2517</v>
      </c>
      <c r="F2321" s="3">
        <v>89411</v>
      </c>
      <c r="G2321" s="3">
        <v>2201</v>
      </c>
      <c r="H2321" s="3">
        <v>132</v>
      </c>
      <c r="I2321" s="4">
        <v>2741.66</v>
      </c>
      <c r="J2321" s="4">
        <v>22767.919999999998</v>
      </c>
      <c r="K2321" s="3">
        <v>78</v>
      </c>
      <c r="L2321" s="2" t="s">
        <v>2539</v>
      </c>
      <c r="M2321" s="2" t="s">
        <v>2519</v>
      </c>
      <c r="N2321" s="8">
        <f>IFERROR(G2321/F2321,0)</f>
        <v>2.4616657905626824E-2</v>
      </c>
      <c r="O2321" s="8">
        <f>IFERROR(H2321/G2321,0)</f>
        <v>5.9972739663789187E-2</v>
      </c>
      <c r="P2321" s="4">
        <f>IFERROR(I2321/G2321,0)</f>
        <v>1.2456428895956382</v>
      </c>
      <c r="Q2321" s="4">
        <f>IFERROR(I2321/H2321,0)</f>
        <v>20.770151515151515</v>
      </c>
      <c r="R2321" s="12">
        <f>IFERROR(J2321/I2321,0)</f>
        <v>8.3044287037780027</v>
      </c>
      <c r="S2321" s="7">
        <f>Tabla_nuevas_columnas[[#This Row],[ROAS]]</f>
        <v>8.3044287037780027</v>
      </c>
      <c r="T2321" t="str">
        <f>_xlfn.CONCAT(C2321,"-",D2321)</f>
        <v>Display-Italia</v>
      </c>
      <c r="U2321">
        <f>YEAR(A2321)</f>
        <v>2025</v>
      </c>
      <c r="V2321">
        <f>MONTH(A2321)</f>
        <v>6</v>
      </c>
      <c r="W2321" t="str">
        <f>PROPER(TEXT(A2321,"mmmm"))</f>
        <v>Junio</v>
      </c>
      <c r="X2321" t="str">
        <f>PROPER(TEXT(A2321,"dddd"))</f>
        <v>Lunes</v>
      </c>
      <c r="Y2321" t="str" cm="1">
        <f t="array" ref="Y2321">_xlfn.IFS(R2321&gt;10,"Excelente",R2321&gt;=5,"Bueno",R2321&gt;=2,"Débil",R2321&lt;2,"Deficiente")</f>
        <v>Bueno</v>
      </c>
      <c r="Z2321" t="str">
        <f>IF(AND(R2321&lt;2,Q2321&gt;=100),"Revisar","OK")</f>
        <v>OK</v>
      </c>
      <c r="AA2321" s="55">
        <f>_xlfn.XLOOKUP(C2321,'Preguntas de negocio'!$C$114:$C$119,'Preguntas de negocio'!$D$114:$D$119,0)</f>
        <v>5</v>
      </c>
      <c r="AB2321" s="55">
        <f>VLOOKUP(C2321,'Preguntas de negocio'!$C$121:$D$127,2,FALSE)</f>
        <v>0.5</v>
      </c>
    </row>
    <row r="2322" spans="1:28" x14ac:dyDescent="0.3">
      <c r="A2322" s="1">
        <v>45911</v>
      </c>
      <c r="B2322" s="2" t="s">
        <v>2638</v>
      </c>
      <c r="C2322" s="2" t="s">
        <v>2543</v>
      </c>
      <c r="D2322" s="2" t="s">
        <v>2525</v>
      </c>
      <c r="E2322" s="2" t="s">
        <v>2517</v>
      </c>
      <c r="F2322" s="3">
        <v>18264</v>
      </c>
      <c r="G2322" s="3">
        <v>1483</v>
      </c>
      <c r="H2322" s="3">
        <v>141</v>
      </c>
      <c r="I2322" s="4">
        <v>898.74</v>
      </c>
      <c r="J2322" s="4">
        <v>21639.16</v>
      </c>
      <c r="K2322" s="3">
        <v>76</v>
      </c>
      <c r="L2322" s="2" t="s">
        <v>2536</v>
      </c>
      <c r="M2322" s="2" t="s">
        <v>2537</v>
      </c>
      <c r="N2322" s="8">
        <f>IFERROR(G2322/F2322,0)</f>
        <v>8.1197985107314935E-2</v>
      </c>
      <c r="O2322" s="8">
        <f>IFERROR(H2322/G2322,0)</f>
        <v>9.5077545515846254E-2</v>
      </c>
      <c r="P2322" s="4">
        <f>IFERROR(I2322/G2322,0)</f>
        <v>0.60602832097100467</v>
      </c>
      <c r="Q2322" s="4">
        <f>IFERROR(I2322/H2322,0)</f>
        <v>6.3740425531914893</v>
      </c>
      <c r="R2322" s="12">
        <f>IFERROR(J2322/I2322,0)</f>
        <v>24.077219218016335</v>
      </c>
      <c r="S2322" s="7">
        <f>Tabla_nuevas_columnas[[#This Row],[ROAS]]</f>
        <v>24.077219218016335</v>
      </c>
      <c r="T2322" t="str">
        <f>_xlfn.CONCAT(C2322,"-",D2322)</f>
        <v>Organic Social-Francia</v>
      </c>
      <c r="U2322">
        <f>YEAR(A2322)</f>
        <v>2025</v>
      </c>
      <c r="V2322">
        <f>MONTH(A2322)</f>
        <v>9</v>
      </c>
      <c r="W2322" t="str">
        <f>PROPER(TEXT(A2322,"mmmm"))</f>
        <v>Septiembre</v>
      </c>
      <c r="X2322" t="str">
        <f>PROPER(TEXT(A2322,"dddd"))</f>
        <v>Jueves</v>
      </c>
      <c r="Y2322" t="str" cm="1">
        <f t="array" ref="Y2322">_xlfn.IFS(R2322&gt;10,"Excelente",R2322&gt;=5,"Bueno",R2322&gt;=2,"Débil",R2322&lt;2,"Deficiente")</f>
        <v>Excelente</v>
      </c>
      <c r="Z2322" t="str">
        <f>IF(AND(R2322&lt;2,Q2322&gt;=100),"Revisar","OK")</f>
        <v>OK</v>
      </c>
      <c r="AA2322" s="55">
        <f>_xlfn.XLOOKUP(C2322,'Preguntas de negocio'!$C$114:$C$119,'Preguntas de negocio'!$D$114:$D$119,0)</f>
        <v>4</v>
      </c>
      <c r="AB2322" s="55">
        <f>VLOOKUP(C2322,'Preguntas de negocio'!$C$121:$D$127,2,FALSE)</f>
        <v>0.95</v>
      </c>
    </row>
    <row r="2323" spans="1:28" x14ac:dyDescent="0.3">
      <c r="A2323" s="1">
        <v>45810</v>
      </c>
      <c r="B2323" s="2" t="s">
        <v>2615</v>
      </c>
      <c r="C2323" s="2" t="s">
        <v>2533</v>
      </c>
      <c r="D2323" s="2" t="s">
        <v>2528</v>
      </c>
      <c r="E2323" s="2" t="s">
        <v>2529</v>
      </c>
      <c r="F2323" s="3">
        <v>32729</v>
      </c>
      <c r="G2323" s="3">
        <v>1350</v>
      </c>
      <c r="H2323" s="3">
        <v>108</v>
      </c>
      <c r="I2323" s="4">
        <v>832.98</v>
      </c>
      <c r="J2323" s="4">
        <v>5264.86</v>
      </c>
      <c r="K2323" s="3">
        <v>77</v>
      </c>
      <c r="L2323" s="2" t="s">
        <v>2518</v>
      </c>
      <c r="M2323" s="2" t="s">
        <v>2537</v>
      </c>
      <c r="N2323" s="8">
        <f>IFERROR(G2323/F2323,0)</f>
        <v>4.1247823031562221E-2</v>
      </c>
      <c r="O2323" s="8">
        <f>IFERROR(H2323/G2323,0)</f>
        <v>0.08</v>
      </c>
      <c r="P2323" s="4">
        <f>IFERROR(I2323/G2323,0)</f>
        <v>0.61702222222222225</v>
      </c>
      <c r="Q2323" s="4">
        <f>IFERROR(I2323/H2323,0)</f>
        <v>7.7127777777777782</v>
      </c>
      <c r="R2323" s="12">
        <f>IFERROR(J2323/I2323,0)</f>
        <v>6.3205118970443461</v>
      </c>
      <c r="S2323" s="7">
        <f>Tabla_nuevas_columnas[[#This Row],[ROAS]]</f>
        <v>6.3205118970443461</v>
      </c>
      <c r="T2323" t="str">
        <f>_xlfn.CONCAT(C2323,"-",D2323)</f>
        <v>Paid Social-España</v>
      </c>
      <c r="U2323">
        <f>YEAR(A2323)</f>
        <v>2025</v>
      </c>
      <c r="V2323">
        <f>MONTH(A2323)</f>
        <v>6</v>
      </c>
      <c r="W2323" t="str">
        <f>PROPER(TEXT(A2323,"mmmm"))</f>
        <v>Junio</v>
      </c>
      <c r="X2323" t="str">
        <f>PROPER(TEXT(A2323,"dddd"))</f>
        <v>Lunes</v>
      </c>
      <c r="Y2323" t="str" cm="1">
        <f t="array" ref="Y2323">_xlfn.IFS(R2323&gt;10,"Excelente",R2323&gt;=5,"Bueno",R2323&gt;=2,"Débil",R2323&lt;2,"Deficiente")</f>
        <v>Bueno</v>
      </c>
      <c r="Z2323" t="str">
        <f>IF(AND(R2323&lt;2,Q2323&gt;=100),"Revisar","OK")</f>
        <v>OK</v>
      </c>
      <c r="AA2323" s="55">
        <f>_xlfn.XLOOKUP(C2323,'Preguntas de negocio'!$C$114:$C$119,'Preguntas de negocio'!$D$114:$D$119,0)</f>
        <v>6</v>
      </c>
      <c r="AB2323" s="55">
        <f>VLOOKUP(C2323,'Preguntas de negocio'!$C$121:$D$127,2,FALSE)</f>
        <v>0.8</v>
      </c>
    </row>
    <row r="2324" spans="1:28" x14ac:dyDescent="0.3">
      <c r="A2324" s="1">
        <v>45793</v>
      </c>
      <c r="B2324" s="2" t="s">
        <v>2636</v>
      </c>
      <c r="C2324" s="2" t="s">
        <v>2515</v>
      </c>
      <c r="D2324" s="2" t="s">
        <v>2525</v>
      </c>
      <c r="E2324" s="2" t="s">
        <v>2529</v>
      </c>
      <c r="F2324" s="3">
        <v>121895</v>
      </c>
      <c r="G2324" s="3">
        <v>2708</v>
      </c>
      <c r="H2324" s="3">
        <v>171</v>
      </c>
      <c r="I2324" s="4">
        <v>1730.93</v>
      </c>
      <c r="J2324" s="4">
        <v>3287.82</v>
      </c>
      <c r="K2324" s="3">
        <v>146</v>
      </c>
      <c r="L2324" s="2" t="s">
        <v>2518</v>
      </c>
      <c r="M2324" s="2" t="s">
        <v>2519</v>
      </c>
      <c r="N2324" s="8">
        <f>IFERROR(G2324/F2324,0)</f>
        <v>2.2215841502932852E-2</v>
      </c>
      <c r="O2324" s="8">
        <f>IFERROR(H2324/G2324,0)</f>
        <v>6.3146233382570166E-2</v>
      </c>
      <c r="P2324" s="4">
        <f>IFERROR(I2324/G2324,0)</f>
        <v>0.63919128508124079</v>
      </c>
      <c r="Q2324" s="4">
        <f>IFERROR(I2324/H2324,0)</f>
        <v>10.122397660818713</v>
      </c>
      <c r="R2324" s="12">
        <f>IFERROR(J2324/I2324,0)</f>
        <v>1.8994528952643954</v>
      </c>
      <c r="S2324" s="7">
        <f>Tabla_nuevas_columnas[[#This Row],[ROAS]]</f>
        <v>1.8994528952643954</v>
      </c>
      <c r="T2324" t="str">
        <f>_xlfn.CONCAT(C2324,"-",D2324)</f>
        <v>Email-Francia</v>
      </c>
      <c r="U2324">
        <f>YEAR(A2324)</f>
        <v>2025</v>
      </c>
      <c r="V2324">
        <f>MONTH(A2324)</f>
        <v>5</v>
      </c>
      <c r="W2324" t="str">
        <f>PROPER(TEXT(A2324,"mmmm"))</f>
        <v>Mayo</v>
      </c>
      <c r="X2324" t="str">
        <f>PROPER(TEXT(A2324,"dddd"))</f>
        <v>Viernes</v>
      </c>
      <c r="Y2324" t="str" cm="1">
        <f t="array" ref="Y2324">_xlfn.IFS(R2324&gt;10,"Excelente",R2324&gt;=5,"Bueno",R2324&gt;=2,"Débil",R2324&lt;2,"Deficiente")</f>
        <v>Deficiente</v>
      </c>
      <c r="Z2324" t="str">
        <f>IF(AND(R2324&lt;2,Q2324&gt;=100),"Revisar","OK")</f>
        <v>OK</v>
      </c>
      <c r="AA2324" s="55">
        <f>_xlfn.XLOOKUP(C2324,'Preguntas de negocio'!$C$114:$C$119,'Preguntas de negocio'!$D$114:$D$119,0)</f>
        <v>5.5</v>
      </c>
      <c r="AB2324" s="55">
        <f>VLOOKUP(C2324,'Preguntas de negocio'!$C$121:$D$127,2,FALSE)</f>
        <v>0.65</v>
      </c>
    </row>
    <row r="2325" spans="1:28" x14ac:dyDescent="0.3">
      <c r="A2325" s="1">
        <v>45701</v>
      </c>
      <c r="B2325" s="2" t="s">
        <v>2628</v>
      </c>
      <c r="C2325" s="2" t="s">
        <v>2515</v>
      </c>
      <c r="D2325" s="2" t="s">
        <v>2525</v>
      </c>
      <c r="E2325" s="2" t="s">
        <v>2517</v>
      </c>
      <c r="F2325" s="3">
        <v>143428</v>
      </c>
      <c r="G2325" s="3">
        <v>6278</v>
      </c>
      <c r="H2325" s="3">
        <v>755</v>
      </c>
      <c r="I2325" s="4">
        <v>7351.32</v>
      </c>
      <c r="J2325" s="4">
        <v>55166.55</v>
      </c>
      <c r="K2325" s="3">
        <v>547</v>
      </c>
      <c r="L2325" s="2" t="s">
        <v>2539</v>
      </c>
      <c r="M2325" s="2" t="s">
        <v>2526</v>
      </c>
      <c r="N2325" s="8">
        <f>IFERROR(G2325/F2325,0)</f>
        <v>4.3771090721476981E-2</v>
      </c>
      <c r="O2325" s="8">
        <f>IFERROR(H2325/G2325,0)</f>
        <v>0.12026122969098439</v>
      </c>
      <c r="P2325" s="4">
        <f>IFERROR(I2325/G2325,0)</f>
        <v>1.1709652755654667</v>
      </c>
      <c r="Q2325" s="4">
        <f>IFERROR(I2325/H2325,0)</f>
        <v>9.7368476821192047</v>
      </c>
      <c r="R2325" s="12">
        <f>IFERROR(J2325/I2325,0)</f>
        <v>7.5043053492434018</v>
      </c>
      <c r="S2325" s="7">
        <f>Tabla_nuevas_columnas[[#This Row],[ROAS]]</f>
        <v>7.5043053492434018</v>
      </c>
      <c r="T2325" t="str">
        <f>_xlfn.CONCAT(C2325,"-",D2325)</f>
        <v>Email-Francia</v>
      </c>
      <c r="U2325">
        <f>YEAR(A2325)</f>
        <v>2025</v>
      </c>
      <c r="V2325">
        <f>MONTH(A2325)</f>
        <v>2</v>
      </c>
      <c r="W2325" t="str">
        <f>PROPER(TEXT(A2325,"mmmm"))</f>
        <v>Febrero</v>
      </c>
      <c r="X2325" t="str">
        <f>PROPER(TEXT(A2325,"dddd"))</f>
        <v>Jueves</v>
      </c>
      <c r="Y2325" t="str" cm="1">
        <f t="array" ref="Y2325">_xlfn.IFS(R2325&gt;10,"Excelente",R2325&gt;=5,"Bueno",R2325&gt;=2,"Débil",R2325&lt;2,"Deficiente")</f>
        <v>Bueno</v>
      </c>
      <c r="Z2325" t="str">
        <f>IF(AND(R2325&lt;2,Q2325&gt;=100),"Revisar","OK")</f>
        <v>OK</v>
      </c>
      <c r="AA2325" s="55">
        <f>_xlfn.XLOOKUP(C2325,'Preguntas de negocio'!$C$114:$C$119,'Preguntas de negocio'!$D$114:$D$119,0)</f>
        <v>5.5</v>
      </c>
      <c r="AB2325" s="55">
        <f>VLOOKUP(C2325,'Preguntas de negocio'!$C$121:$D$127,2,FALSE)</f>
        <v>0.65</v>
      </c>
    </row>
    <row r="2326" spans="1:28" x14ac:dyDescent="0.3">
      <c r="A2326" s="1">
        <v>45747</v>
      </c>
      <c r="B2326" s="2" t="s">
        <v>2628</v>
      </c>
      <c r="C2326" s="2" t="s">
        <v>2527</v>
      </c>
      <c r="D2326" s="2" t="s">
        <v>2528</v>
      </c>
      <c r="E2326" s="2" t="s">
        <v>2529</v>
      </c>
      <c r="F2326" s="3">
        <v>136562</v>
      </c>
      <c r="G2326" s="3">
        <v>9297</v>
      </c>
      <c r="H2326" s="3">
        <v>1193</v>
      </c>
      <c r="I2326" s="4">
        <v>19216.13</v>
      </c>
      <c r="J2326" s="4">
        <v>137187.45000000001</v>
      </c>
      <c r="K2326" s="3">
        <v>873</v>
      </c>
      <c r="L2326" s="2" t="s">
        <v>2518</v>
      </c>
      <c r="M2326" s="2" t="s">
        <v>2537</v>
      </c>
      <c r="N2326" s="8">
        <f>IFERROR(G2326/F2326,0)</f>
        <v>6.8078967794847761E-2</v>
      </c>
      <c r="O2326" s="8">
        <f>IFERROR(H2326/G2326,0)</f>
        <v>0.12832096375174787</v>
      </c>
      <c r="P2326" s="4">
        <f>IFERROR(I2326/G2326,0)</f>
        <v>2.0669172851457462</v>
      </c>
      <c r="Q2326" s="4">
        <f>IFERROR(I2326/H2326,0)</f>
        <v>16.107401508801342</v>
      </c>
      <c r="R2326" s="12">
        <f>IFERROR(J2326/I2326,0)</f>
        <v>7.1391820309292244</v>
      </c>
      <c r="S2326" s="7">
        <f>Tabla_nuevas_columnas[[#This Row],[ROAS]]</f>
        <v>7.1391820309292244</v>
      </c>
      <c r="T2326" t="str">
        <f>_xlfn.CONCAT(C2326,"-",D2326)</f>
        <v>Affiliate-España</v>
      </c>
      <c r="U2326">
        <f>YEAR(A2326)</f>
        <v>2025</v>
      </c>
      <c r="V2326">
        <f>MONTH(A2326)</f>
        <v>3</v>
      </c>
      <c r="W2326" t="str">
        <f>PROPER(TEXT(A2326,"mmmm"))</f>
        <v>Marzo</v>
      </c>
      <c r="X2326" t="str">
        <f>PROPER(TEXT(A2326,"dddd"))</f>
        <v>Lunes</v>
      </c>
      <c r="Y2326" t="str" cm="1">
        <f t="array" ref="Y2326">_xlfn.IFS(R2326&gt;10,"Excelente",R2326&gt;=5,"Bueno",R2326&gt;=2,"Débil",R2326&lt;2,"Deficiente")</f>
        <v>Bueno</v>
      </c>
      <c r="Z2326" t="str">
        <f>IF(AND(R2326&lt;2,Q2326&gt;=100),"Revisar","OK")</f>
        <v>OK</v>
      </c>
      <c r="AA2326" s="55">
        <f>_xlfn.XLOOKUP(C2326,'Preguntas de negocio'!$C$114:$C$119,'Preguntas de negocio'!$D$114:$D$119,0)</f>
        <v>4.5</v>
      </c>
      <c r="AB2326" s="55">
        <f>VLOOKUP(C2326,'Preguntas de negocio'!$C$121:$D$127,2,FALSE)</f>
        <v>0.35</v>
      </c>
    </row>
    <row r="2327" spans="1:28" x14ac:dyDescent="0.3">
      <c r="A2327" s="1">
        <v>45792</v>
      </c>
      <c r="B2327" s="2" t="s">
        <v>2635</v>
      </c>
      <c r="C2327" s="2" t="s">
        <v>2521</v>
      </c>
      <c r="D2327" s="2" t="s">
        <v>2528</v>
      </c>
      <c r="E2327" s="2" t="s">
        <v>2517</v>
      </c>
      <c r="F2327" s="3">
        <v>89257</v>
      </c>
      <c r="G2327" s="3">
        <v>7908</v>
      </c>
      <c r="H2327" s="3">
        <v>476</v>
      </c>
      <c r="I2327" s="4">
        <v>15709.46</v>
      </c>
      <c r="J2327" s="4">
        <v>42247.03</v>
      </c>
      <c r="K2327" s="3">
        <v>244</v>
      </c>
      <c r="L2327" s="2" t="s">
        <v>2536</v>
      </c>
      <c r="M2327" s="2" t="s">
        <v>2537</v>
      </c>
      <c r="N2327" s="8">
        <f>IFERROR(G2327/F2327,0)</f>
        <v>8.8598093146755999E-2</v>
      </c>
      <c r="O2327" s="8">
        <f>IFERROR(H2327/G2327,0)</f>
        <v>6.0192210419828023E-2</v>
      </c>
      <c r="P2327" s="4">
        <f>IFERROR(I2327/G2327,0)</f>
        <v>1.9865275670207383</v>
      </c>
      <c r="Q2327" s="4">
        <f>IFERROR(I2327/H2327,0)</f>
        <v>33.003067226890757</v>
      </c>
      <c r="R2327" s="12">
        <f>IFERROR(J2327/I2327,0)</f>
        <v>2.6892732149927498</v>
      </c>
      <c r="S2327" s="7">
        <f>Tabla_nuevas_columnas[[#This Row],[ROAS]]</f>
        <v>2.6892732149927498</v>
      </c>
      <c r="T2327" t="str">
        <f>_xlfn.CONCAT(C2327,"-",D2327)</f>
        <v>Paid Search-España</v>
      </c>
      <c r="U2327">
        <f>YEAR(A2327)</f>
        <v>2025</v>
      </c>
      <c r="V2327">
        <f>MONTH(A2327)</f>
        <v>5</v>
      </c>
      <c r="W2327" t="str">
        <f>PROPER(TEXT(A2327,"mmmm"))</f>
        <v>Mayo</v>
      </c>
      <c r="X2327" t="str">
        <f>PROPER(TEXT(A2327,"dddd"))</f>
        <v>Jueves</v>
      </c>
      <c r="Y2327" t="str" cm="1">
        <f t="array" ref="Y2327">_xlfn.IFS(R2327&gt;10,"Excelente",R2327&gt;=5,"Bueno",R2327&gt;=2,"Débil",R2327&lt;2,"Deficiente")</f>
        <v>Débil</v>
      </c>
      <c r="Z2327" t="str">
        <f>IF(AND(R2327&lt;2,Q2327&gt;=100),"Revisar","OK")</f>
        <v>OK</v>
      </c>
      <c r="AA2327" s="55">
        <f>_xlfn.XLOOKUP(C2327,'Preguntas de negocio'!$C$114:$C$119,'Preguntas de negocio'!$D$114:$D$119,0)</f>
        <v>5</v>
      </c>
      <c r="AB2327" s="55">
        <f>VLOOKUP(C2327,'Preguntas de negocio'!$C$121:$D$127,2,FALSE)</f>
        <v>1.1000000000000001</v>
      </c>
    </row>
    <row r="2328" spans="1:28" x14ac:dyDescent="0.3">
      <c r="A2328" s="1">
        <v>45935</v>
      </c>
      <c r="B2328" s="2" t="s">
        <v>2628</v>
      </c>
      <c r="C2328" s="2" t="s">
        <v>2533</v>
      </c>
      <c r="D2328" s="2" t="s">
        <v>2522</v>
      </c>
      <c r="E2328" s="2" t="s">
        <v>2529</v>
      </c>
      <c r="F2328" s="3">
        <v>69456</v>
      </c>
      <c r="G2328" s="3">
        <v>4917</v>
      </c>
      <c r="H2328" s="3">
        <v>115</v>
      </c>
      <c r="I2328" s="4">
        <v>8541.98</v>
      </c>
      <c r="J2328" s="4">
        <v>3257.25</v>
      </c>
      <c r="K2328" s="3">
        <v>95</v>
      </c>
      <c r="L2328" s="2" t="s">
        <v>2539</v>
      </c>
      <c r="M2328" s="2" t="s">
        <v>2526</v>
      </c>
      <c r="N2328" s="8">
        <f>IFERROR(G2328/F2328,0)</f>
        <v>7.0793020041465093E-2</v>
      </c>
      <c r="O2328" s="8">
        <f>IFERROR(H2328/G2328,0)</f>
        <v>2.3388244864754933E-2</v>
      </c>
      <c r="P2328" s="4">
        <f>IFERROR(I2328/G2328,0)</f>
        <v>1.7372340858246897</v>
      </c>
      <c r="Q2328" s="4">
        <f>IFERROR(I2328/H2328,0)</f>
        <v>74.278086956521733</v>
      </c>
      <c r="R2328" s="12">
        <f>IFERROR(J2328/I2328,0)</f>
        <v>0.3813225973369172</v>
      </c>
      <c r="S2328" s="7">
        <f>Tabla_nuevas_columnas[[#This Row],[ROAS]]</f>
        <v>0.3813225973369172</v>
      </c>
      <c r="T2328" t="str">
        <f>_xlfn.CONCAT(C2328,"-",D2328)</f>
        <v>Paid Social-Italia</v>
      </c>
      <c r="U2328">
        <f>YEAR(A2328)</f>
        <v>2025</v>
      </c>
      <c r="V2328">
        <f>MONTH(A2328)</f>
        <v>10</v>
      </c>
      <c r="W2328" t="str">
        <f>PROPER(TEXT(A2328,"mmmm"))</f>
        <v>Octubre</v>
      </c>
      <c r="X2328" t="str">
        <f>PROPER(TEXT(A2328,"dddd"))</f>
        <v>Domingo</v>
      </c>
      <c r="Y2328" t="str" cm="1">
        <f t="array" ref="Y2328">_xlfn.IFS(R2328&gt;10,"Excelente",R2328&gt;=5,"Bueno",R2328&gt;=2,"Débil",R2328&lt;2,"Deficiente")</f>
        <v>Deficiente</v>
      </c>
      <c r="Z2328" t="str">
        <f>IF(AND(R2328&lt;2,Q2328&gt;=100),"Revisar","OK")</f>
        <v>OK</v>
      </c>
      <c r="AA2328" s="55">
        <f>_xlfn.XLOOKUP(C2328,'Preguntas de negocio'!$C$114:$C$119,'Preguntas de negocio'!$D$114:$D$119,0)</f>
        <v>6</v>
      </c>
      <c r="AB2328" s="55">
        <f>VLOOKUP(C2328,'Preguntas de negocio'!$C$121:$D$127,2,FALSE)</f>
        <v>0.8</v>
      </c>
    </row>
    <row r="2329" spans="1:28" x14ac:dyDescent="0.3">
      <c r="A2329" s="1">
        <v>45989</v>
      </c>
      <c r="B2329" s="2" t="s">
        <v>2634</v>
      </c>
      <c r="C2329" s="2" t="s">
        <v>2527</v>
      </c>
      <c r="D2329" s="2" t="s">
        <v>2516</v>
      </c>
      <c r="E2329" s="2" t="s">
        <v>2529</v>
      </c>
      <c r="F2329" s="3">
        <v>68278</v>
      </c>
      <c r="G2329" s="3">
        <v>5648</v>
      </c>
      <c r="H2329" s="3">
        <v>403</v>
      </c>
      <c r="I2329" s="4">
        <v>3169.34</v>
      </c>
      <c r="J2329" s="4">
        <v>19094.150000000001</v>
      </c>
      <c r="K2329" s="3">
        <v>189</v>
      </c>
      <c r="L2329" s="2" t="s">
        <v>2523</v>
      </c>
      <c r="M2329" s="2" t="s">
        <v>2526</v>
      </c>
      <c r="N2329" s="8">
        <f>IFERROR(G2329/F2329,0)</f>
        <v>8.2720642080904544E-2</v>
      </c>
      <c r="O2329" s="8">
        <f>IFERROR(H2329/G2329,0)</f>
        <v>7.1352691218130315E-2</v>
      </c>
      <c r="P2329" s="4">
        <f>IFERROR(I2329/G2329,0)</f>
        <v>0.56114376770538243</v>
      </c>
      <c r="Q2329" s="4">
        <f>IFERROR(I2329/H2329,0)</f>
        <v>7.8643672456575686</v>
      </c>
      <c r="R2329" s="12">
        <f>IFERROR(J2329/I2329,0)</f>
        <v>6.0246455097906821</v>
      </c>
      <c r="S2329" s="7">
        <f>Tabla_nuevas_columnas[[#This Row],[ROAS]]</f>
        <v>6.0246455097906821</v>
      </c>
      <c r="T2329" t="str">
        <f>_xlfn.CONCAT(C2329,"-",D2329)</f>
        <v>Affiliate-México</v>
      </c>
      <c r="U2329">
        <f>YEAR(A2329)</f>
        <v>2025</v>
      </c>
      <c r="V2329">
        <f>MONTH(A2329)</f>
        <v>11</v>
      </c>
      <c r="W2329" t="str">
        <f>PROPER(TEXT(A2329,"mmmm"))</f>
        <v>Noviembre</v>
      </c>
      <c r="X2329" t="str">
        <f>PROPER(TEXT(A2329,"dddd"))</f>
        <v>Viernes</v>
      </c>
      <c r="Y2329" t="str" cm="1">
        <f t="array" ref="Y2329">_xlfn.IFS(R2329&gt;10,"Excelente",R2329&gt;=5,"Bueno",R2329&gt;=2,"Débil",R2329&lt;2,"Deficiente")</f>
        <v>Bueno</v>
      </c>
      <c r="Z2329" t="str">
        <f>IF(AND(R2329&lt;2,Q2329&gt;=100),"Revisar","OK")</f>
        <v>OK</v>
      </c>
      <c r="AA2329" s="55">
        <f>_xlfn.XLOOKUP(C2329,'Preguntas de negocio'!$C$114:$C$119,'Preguntas de negocio'!$D$114:$D$119,0)</f>
        <v>4.5</v>
      </c>
      <c r="AB2329" s="55">
        <f>VLOOKUP(C2329,'Preguntas de negocio'!$C$121:$D$127,2,FALSE)</f>
        <v>0.35</v>
      </c>
    </row>
    <row r="2330" spans="1:28" x14ac:dyDescent="0.3">
      <c r="A2330" s="1">
        <v>45921</v>
      </c>
      <c r="B2330" s="2" t="s">
        <v>2624</v>
      </c>
      <c r="C2330" s="2" t="s">
        <v>2541</v>
      </c>
      <c r="D2330" s="2" t="s">
        <v>2516</v>
      </c>
      <c r="E2330" s="2" t="s">
        <v>2534</v>
      </c>
      <c r="F2330" s="3">
        <v>45098</v>
      </c>
      <c r="G2330" s="3">
        <v>3058</v>
      </c>
      <c r="H2330" s="3">
        <v>327</v>
      </c>
      <c r="I2330" s="4">
        <v>2130.19</v>
      </c>
      <c r="J2330" s="4">
        <v>24926.12</v>
      </c>
      <c r="K2330" s="3">
        <v>203</v>
      </c>
      <c r="L2330" s="2" t="s">
        <v>2523</v>
      </c>
      <c r="M2330" s="2" t="s">
        <v>2519</v>
      </c>
      <c r="N2330" s="8">
        <f>IFERROR(G2330/F2330,0)</f>
        <v>6.7807885050334832E-2</v>
      </c>
      <c r="O2330" s="8">
        <f>IFERROR(H2330/G2330,0)</f>
        <v>0.10693263570961413</v>
      </c>
      <c r="P2330" s="4">
        <f>IFERROR(I2330/G2330,0)</f>
        <v>0.6965958142576848</v>
      </c>
      <c r="Q2330" s="4">
        <f>IFERROR(I2330/H2330,0)</f>
        <v>6.5143425076452601</v>
      </c>
      <c r="R2330" s="12">
        <f>IFERROR(J2330/I2330,0)</f>
        <v>11.701359972584605</v>
      </c>
      <c r="S2330" s="7">
        <f>Tabla_nuevas_columnas[[#This Row],[ROAS]]</f>
        <v>11.701359972584605</v>
      </c>
      <c r="T2330" t="str">
        <f>_xlfn.CONCAT(C2330,"-",D2330)</f>
        <v>Display-México</v>
      </c>
      <c r="U2330">
        <f>YEAR(A2330)</f>
        <v>2025</v>
      </c>
      <c r="V2330">
        <f>MONTH(A2330)</f>
        <v>9</v>
      </c>
      <c r="W2330" t="str">
        <f>PROPER(TEXT(A2330,"mmmm"))</f>
        <v>Septiembre</v>
      </c>
      <c r="X2330" t="str">
        <f>PROPER(TEXT(A2330,"dddd"))</f>
        <v>Domingo</v>
      </c>
      <c r="Y2330" t="str" cm="1">
        <f t="array" ref="Y2330">_xlfn.IFS(R2330&gt;10,"Excelente",R2330&gt;=5,"Bueno",R2330&gt;=2,"Débil",R2330&lt;2,"Deficiente")</f>
        <v>Excelente</v>
      </c>
      <c r="Z2330" t="str">
        <f>IF(AND(R2330&lt;2,Q2330&gt;=100),"Revisar","OK")</f>
        <v>OK</v>
      </c>
      <c r="AA2330" s="55">
        <f>_xlfn.XLOOKUP(C2330,'Preguntas de negocio'!$C$114:$C$119,'Preguntas de negocio'!$D$114:$D$119,0)</f>
        <v>5</v>
      </c>
      <c r="AB2330" s="55">
        <f>VLOOKUP(C2330,'Preguntas de negocio'!$C$121:$D$127,2,FALSE)</f>
        <v>0.5</v>
      </c>
    </row>
    <row r="2331" spans="1:28" x14ac:dyDescent="0.3">
      <c r="A2331" s="1">
        <v>45956</v>
      </c>
      <c r="B2331" s="2" t="s">
        <v>2618</v>
      </c>
      <c r="C2331" s="2" t="s">
        <v>2515</v>
      </c>
      <c r="D2331" s="2" t="s">
        <v>2528</v>
      </c>
      <c r="E2331" s="2" t="s">
        <v>2529</v>
      </c>
      <c r="F2331" s="3">
        <v>176353</v>
      </c>
      <c r="G2331" s="3">
        <v>9955</v>
      </c>
      <c r="H2331" s="3">
        <v>287</v>
      </c>
      <c r="I2331" s="4">
        <v>2015.95</v>
      </c>
      <c r="J2331" s="4">
        <v>30458.57</v>
      </c>
      <c r="K2331" s="3">
        <v>223</v>
      </c>
      <c r="L2331" s="2" t="s">
        <v>2518</v>
      </c>
      <c r="M2331" s="2" t="s">
        <v>2519</v>
      </c>
      <c r="N2331" s="8">
        <f>IFERROR(G2331/F2331,0)</f>
        <v>5.6449280704042461E-2</v>
      </c>
      <c r="O2331" s="8">
        <f>IFERROR(H2331/G2331,0)</f>
        <v>2.8829733802109493E-2</v>
      </c>
      <c r="P2331" s="4">
        <f>IFERROR(I2331/G2331,0)</f>
        <v>0.2025062782521346</v>
      </c>
      <c r="Q2331" s="4">
        <f>IFERROR(I2331/H2331,0)</f>
        <v>7.0242160278745649</v>
      </c>
      <c r="R2331" s="12">
        <f>IFERROR(J2331/I2331,0)</f>
        <v>15.108792380763411</v>
      </c>
      <c r="S2331" s="7">
        <f>Tabla_nuevas_columnas[[#This Row],[ROAS]]</f>
        <v>15.108792380763411</v>
      </c>
      <c r="T2331" t="str">
        <f>_xlfn.CONCAT(C2331,"-",D2331)</f>
        <v>Email-España</v>
      </c>
      <c r="U2331">
        <f>YEAR(A2331)</f>
        <v>2025</v>
      </c>
      <c r="V2331">
        <f>MONTH(A2331)</f>
        <v>10</v>
      </c>
      <c r="W2331" t="str">
        <f>PROPER(TEXT(A2331,"mmmm"))</f>
        <v>Octubre</v>
      </c>
      <c r="X2331" t="str">
        <f>PROPER(TEXT(A2331,"dddd"))</f>
        <v>Domingo</v>
      </c>
      <c r="Y2331" t="str" cm="1">
        <f t="array" ref="Y2331">_xlfn.IFS(R2331&gt;10,"Excelente",R2331&gt;=5,"Bueno",R2331&gt;=2,"Débil",R2331&lt;2,"Deficiente")</f>
        <v>Excelente</v>
      </c>
      <c r="Z2331" t="str">
        <f>IF(AND(R2331&lt;2,Q2331&gt;=100),"Revisar","OK")</f>
        <v>OK</v>
      </c>
      <c r="AA2331" s="55">
        <f>_xlfn.XLOOKUP(C2331,'Preguntas de negocio'!$C$114:$C$119,'Preguntas de negocio'!$D$114:$D$119,0)</f>
        <v>5.5</v>
      </c>
      <c r="AB2331" s="55">
        <f>VLOOKUP(C2331,'Preguntas de negocio'!$C$121:$D$127,2,FALSE)</f>
        <v>0.65</v>
      </c>
    </row>
    <row r="2332" spans="1:28" x14ac:dyDescent="0.3">
      <c r="A2332" s="1">
        <v>45764</v>
      </c>
      <c r="B2332" s="2" t="s">
        <v>2643</v>
      </c>
      <c r="C2332" s="2" t="s">
        <v>2527</v>
      </c>
      <c r="D2332" s="2" t="s">
        <v>2525</v>
      </c>
      <c r="E2332" s="2" t="s">
        <v>2517</v>
      </c>
      <c r="F2332" s="3">
        <v>85755</v>
      </c>
      <c r="G2332" s="3">
        <v>5618</v>
      </c>
      <c r="H2332" s="3">
        <v>288</v>
      </c>
      <c r="I2332" s="4">
        <v>1038</v>
      </c>
      <c r="J2332" s="4">
        <v>23494.37</v>
      </c>
      <c r="K2332" s="3">
        <v>236</v>
      </c>
      <c r="L2332" s="2" t="s">
        <v>2523</v>
      </c>
      <c r="M2332" s="2" t="s">
        <v>2524</v>
      </c>
      <c r="N2332" s="8">
        <f>IFERROR(G2332/F2332,0)</f>
        <v>6.5512215031193519E-2</v>
      </c>
      <c r="O2332" s="8">
        <f>IFERROR(H2332/G2332,0)</f>
        <v>5.1263794944820223E-2</v>
      </c>
      <c r="P2332" s="4">
        <f>IFERROR(I2332/G2332,0)</f>
        <v>0.18476326094695622</v>
      </c>
      <c r="Q2332" s="4">
        <f>IFERROR(I2332/H2332,0)</f>
        <v>3.6041666666666665</v>
      </c>
      <c r="R2332" s="12">
        <f>IFERROR(J2332/I2332,0)</f>
        <v>22.634267822736028</v>
      </c>
      <c r="S2332" s="7">
        <f>Tabla_nuevas_columnas[[#This Row],[ROAS]]</f>
        <v>22.634267822736028</v>
      </c>
      <c r="T2332" t="str">
        <f>_xlfn.CONCAT(C2332,"-",D2332)</f>
        <v>Affiliate-Francia</v>
      </c>
      <c r="U2332">
        <f>YEAR(A2332)</f>
        <v>2025</v>
      </c>
      <c r="V2332">
        <f>MONTH(A2332)</f>
        <v>4</v>
      </c>
      <c r="W2332" t="str">
        <f>PROPER(TEXT(A2332,"mmmm"))</f>
        <v>Abril</v>
      </c>
      <c r="X2332" t="str">
        <f>PROPER(TEXT(A2332,"dddd"))</f>
        <v>Jueves</v>
      </c>
      <c r="Y2332" t="str" cm="1">
        <f t="array" ref="Y2332">_xlfn.IFS(R2332&gt;10,"Excelente",R2332&gt;=5,"Bueno",R2332&gt;=2,"Débil",R2332&lt;2,"Deficiente")</f>
        <v>Excelente</v>
      </c>
      <c r="Z2332" t="str">
        <f>IF(AND(R2332&lt;2,Q2332&gt;=100),"Revisar","OK")</f>
        <v>OK</v>
      </c>
      <c r="AA2332" s="55">
        <f>_xlfn.XLOOKUP(C2332,'Preguntas de negocio'!$C$114:$C$119,'Preguntas de negocio'!$D$114:$D$119,0)</f>
        <v>4.5</v>
      </c>
      <c r="AB2332" s="55">
        <f>VLOOKUP(C2332,'Preguntas de negocio'!$C$121:$D$127,2,FALSE)</f>
        <v>0.35</v>
      </c>
    </row>
    <row r="2333" spans="1:28" x14ac:dyDescent="0.3">
      <c r="A2333" s="1">
        <v>45960</v>
      </c>
      <c r="B2333" s="2" t="s">
        <v>2629</v>
      </c>
      <c r="C2333" s="2" t="s">
        <v>2515</v>
      </c>
      <c r="D2333" s="2" t="s">
        <v>2528</v>
      </c>
      <c r="E2333" s="2" t="s">
        <v>2529</v>
      </c>
      <c r="F2333" s="3">
        <v>141037</v>
      </c>
      <c r="G2333" s="3">
        <v>853</v>
      </c>
      <c r="H2333" s="3">
        <v>62</v>
      </c>
      <c r="I2333" s="4">
        <v>806.95</v>
      </c>
      <c r="J2333" s="4">
        <v>11074.93</v>
      </c>
      <c r="K2333" s="3">
        <v>47</v>
      </c>
      <c r="L2333" s="2" t="s">
        <v>2518</v>
      </c>
      <c r="M2333" s="2" t="s">
        <v>2537</v>
      </c>
      <c r="N2333" s="8">
        <f>IFERROR(G2333/F2333,0)</f>
        <v>6.0480583109396822E-3</v>
      </c>
      <c r="O2333" s="8">
        <f>IFERROR(H2333/G2333,0)</f>
        <v>7.2684642438452518E-2</v>
      </c>
      <c r="P2333" s="4">
        <f>IFERROR(I2333/G2333,0)</f>
        <v>0.94601406799531074</v>
      </c>
      <c r="Q2333" s="4">
        <f>IFERROR(I2333/H2333,0)</f>
        <v>13.015322580645162</v>
      </c>
      <c r="R2333" s="12">
        <f>IFERROR(J2333/I2333,0)</f>
        <v>13.724431501332177</v>
      </c>
      <c r="S2333" s="7">
        <f>Tabla_nuevas_columnas[[#This Row],[ROAS]]</f>
        <v>13.724431501332177</v>
      </c>
      <c r="T2333" t="str">
        <f>_xlfn.CONCAT(C2333,"-",D2333)</f>
        <v>Email-España</v>
      </c>
      <c r="U2333">
        <f>YEAR(A2333)</f>
        <v>2025</v>
      </c>
      <c r="V2333">
        <f>MONTH(A2333)</f>
        <v>10</v>
      </c>
      <c r="W2333" t="str">
        <f>PROPER(TEXT(A2333,"mmmm"))</f>
        <v>Octubre</v>
      </c>
      <c r="X2333" t="str">
        <f>PROPER(TEXT(A2333,"dddd"))</f>
        <v>Jueves</v>
      </c>
      <c r="Y2333" t="str" cm="1">
        <f t="array" ref="Y2333">_xlfn.IFS(R2333&gt;10,"Excelente",R2333&gt;=5,"Bueno",R2333&gt;=2,"Débil",R2333&lt;2,"Deficiente")</f>
        <v>Excelente</v>
      </c>
      <c r="Z2333" t="str">
        <f>IF(AND(R2333&lt;2,Q2333&gt;=100),"Revisar","OK")</f>
        <v>OK</v>
      </c>
      <c r="AA2333" s="55">
        <f>_xlfn.XLOOKUP(C2333,'Preguntas de negocio'!$C$114:$C$119,'Preguntas de negocio'!$D$114:$D$119,0)</f>
        <v>5.5</v>
      </c>
      <c r="AB2333" s="55">
        <f>VLOOKUP(C2333,'Preguntas de negocio'!$C$121:$D$127,2,FALSE)</f>
        <v>0.65</v>
      </c>
    </row>
    <row r="2334" spans="1:28" x14ac:dyDescent="0.3">
      <c r="A2334" s="1">
        <v>45799</v>
      </c>
      <c r="B2334" s="2" t="s">
        <v>2618</v>
      </c>
      <c r="C2334" s="2" t="s">
        <v>2527</v>
      </c>
      <c r="D2334" s="2" t="s">
        <v>2516</v>
      </c>
      <c r="E2334" s="2" t="s">
        <v>2517</v>
      </c>
      <c r="F2334" s="3">
        <v>2032</v>
      </c>
      <c r="G2334" s="3">
        <v>43</v>
      </c>
      <c r="H2334" s="3">
        <v>2</v>
      </c>
      <c r="I2334" s="4">
        <v>7.74</v>
      </c>
      <c r="J2334" s="4">
        <v>330.35</v>
      </c>
      <c r="K2334" s="3">
        <v>1</v>
      </c>
      <c r="L2334" s="2" t="s">
        <v>2536</v>
      </c>
      <c r="M2334" s="2" t="s">
        <v>2519</v>
      </c>
      <c r="N2334" s="8">
        <f>IFERROR(G2334/F2334,0)</f>
        <v>2.1161417322834646E-2</v>
      </c>
      <c r="O2334" s="8">
        <f>IFERROR(H2334/G2334,0)</f>
        <v>4.6511627906976744E-2</v>
      </c>
      <c r="P2334" s="4">
        <f>IFERROR(I2334/G2334,0)</f>
        <v>0.18</v>
      </c>
      <c r="Q2334" s="4">
        <f>IFERROR(I2334/H2334,0)</f>
        <v>3.87</v>
      </c>
      <c r="R2334" s="12">
        <f>IFERROR(J2334/I2334,0)</f>
        <v>42.680878552971578</v>
      </c>
      <c r="S2334" s="7">
        <f>Tabla_nuevas_columnas[[#This Row],[ROAS]]</f>
        <v>42.680878552971578</v>
      </c>
      <c r="T2334" t="str">
        <f>_xlfn.CONCAT(C2334,"-",D2334)</f>
        <v>Affiliate-México</v>
      </c>
      <c r="U2334">
        <f>YEAR(A2334)</f>
        <v>2025</v>
      </c>
      <c r="V2334">
        <f>MONTH(A2334)</f>
        <v>5</v>
      </c>
      <c r="W2334" t="str">
        <f>PROPER(TEXT(A2334,"mmmm"))</f>
        <v>Mayo</v>
      </c>
      <c r="X2334" t="str">
        <f>PROPER(TEXT(A2334,"dddd"))</f>
        <v>Jueves</v>
      </c>
      <c r="Y2334" t="str" cm="1">
        <f t="array" ref="Y2334">_xlfn.IFS(R2334&gt;10,"Excelente",R2334&gt;=5,"Bueno",R2334&gt;=2,"Débil",R2334&lt;2,"Deficiente")</f>
        <v>Excelente</v>
      </c>
      <c r="Z2334" t="str">
        <f>IF(AND(R2334&lt;2,Q2334&gt;=100),"Revisar","OK")</f>
        <v>OK</v>
      </c>
      <c r="AA2334" s="55">
        <f>_xlfn.XLOOKUP(C2334,'Preguntas de negocio'!$C$114:$C$119,'Preguntas de negocio'!$D$114:$D$119,0)</f>
        <v>4.5</v>
      </c>
      <c r="AB2334" s="55">
        <f>VLOOKUP(C2334,'Preguntas de negocio'!$C$121:$D$127,2,FALSE)</f>
        <v>0.35</v>
      </c>
    </row>
    <row r="2335" spans="1:28" x14ac:dyDescent="0.3">
      <c r="A2335" s="1">
        <v>45724</v>
      </c>
      <c r="B2335" s="2" t="s">
        <v>2631</v>
      </c>
      <c r="C2335" s="2" t="s">
        <v>2543</v>
      </c>
      <c r="D2335" s="2" t="s">
        <v>2528</v>
      </c>
      <c r="E2335" s="2" t="s">
        <v>2517</v>
      </c>
      <c r="F2335" s="3">
        <v>53012</v>
      </c>
      <c r="G2335" s="3">
        <v>4490</v>
      </c>
      <c r="H2335" s="3">
        <v>344</v>
      </c>
      <c r="I2335" s="4">
        <v>6684.79</v>
      </c>
      <c r="J2335" s="4">
        <v>20668.189999999999</v>
      </c>
      <c r="K2335" s="3">
        <v>184</v>
      </c>
      <c r="L2335" s="2" t="s">
        <v>2523</v>
      </c>
      <c r="M2335" s="2" t="s">
        <v>2526</v>
      </c>
      <c r="N2335" s="8">
        <f>IFERROR(G2335/F2335,0)</f>
        <v>8.4697804270731161E-2</v>
      </c>
      <c r="O2335" s="8">
        <f>IFERROR(H2335/G2335,0)</f>
        <v>7.6614699331848557E-2</v>
      </c>
      <c r="P2335" s="4">
        <f>IFERROR(I2335/G2335,0)</f>
        <v>1.4888173719376392</v>
      </c>
      <c r="Q2335" s="4">
        <f>IFERROR(I2335/H2335,0)</f>
        <v>19.43252906976744</v>
      </c>
      <c r="R2335" s="12">
        <f>IFERROR(J2335/I2335,0)</f>
        <v>3.0918233781465085</v>
      </c>
      <c r="S2335" s="7">
        <f>Tabla_nuevas_columnas[[#This Row],[ROAS]]</f>
        <v>3.0918233781465085</v>
      </c>
      <c r="T2335" t="str">
        <f>_xlfn.CONCAT(C2335,"-",D2335)</f>
        <v>Organic Social-España</v>
      </c>
      <c r="U2335">
        <f>YEAR(A2335)</f>
        <v>2025</v>
      </c>
      <c r="V2335">
        <f>MONTH(A2335)</f>
        <v>3</v>
      </c>
      <c r="W2335" t="str">
        <f>PROPER(TEXT(A2335,"mmmm"))</f>
        <v>Marzo</v>
      </c>
      <c r="X2335" t="str">
        <f>PROPER(TEXT(A2335,"dddd"))</f>
        <v>Sábado</v>
      </c>
      <c r="Y2335" t="str" cm="1">
        <f t="array" ref="Y2335">_xlfn.IFS(R2335&gt;10,"Excelente",R2335&gt;=5,"Bueno",R2335&gt;=2,"Débil",R2335&lt;2,"Deficiente")</f>
        <v>Débil</v>
      </c>
      <c r="Z2335" t="str">
        <f>IF(AND(R2335&lt;2,Q2335&gt;=100),"Revisar","OK")</f>
        <v>OK</v>
      </c>
      <c r="AA2335" s="55">
        <f>_xlfn.XLOOKUP(C2335,'Preguntas de negocio'!$C$114:$C$119,'Preguntas de negocio'!$D$114:$D$119,0)</f>
        <v>4</v>
      </c>
      <c r="AB2335" s="55">
        <f>VLOOKUP(C2335,'Preguntas de negocio'!$C$121:$D$127,2,FALSE)</f>
        <v>0.95</v>
      </c>
    </row>
    <row r="2336" spans="1:28" x14ac:dyDescent="0.3">
      <c r="A2336" s="1">
        <v>45775</v>
      </c>
      <c r="B2336" s="2" t="s">
        <v>2636</v>
      </c>
      <c r="C2336" s="2" t="s">
        <v>2533</v>
      </c>
      <c r="D2336" s="2" t="s">
        <v>2528</v>
      </c>
      <c r="E2336" s="2" t="s">
        <v>2517</v>
      </c>
      <c r="F2336" s="3">
        <v>60620</v>
      </c>
      <c r="G2336" s="3">
        <v>4722</v>
      </c>
      <c r="H2336" s="3">
        <v>572</v>
      </c>
      <c r="I2336" s="4">
        <v>4575.6099999999997</v>
      </c>
      <c r="J2336" s="4">
        <v>57645.24</v>
      </c>
      <c r="K2336" s="3">
        <v>422</v>
      </c>
      <c r="L2336" s="2" t="s">
        <v>2523</v>
      </c>
      <c r="M2336" s="2" t="s">
        <v>2519</v>
      </c>
      <c r="N2336" s="8">
        <f>IFERROR(G2336/F2336,0)</f>
        <v>7.7895084130649953E-2</v>
      </c>
      <c r="O2336" s="8">
        <f>IFERROR(H2336/G2336,0)</f>
        <v>0.12113511224057602</v>
      </c>
      <c r="P2336" s="4">
        <f>IFERROR(I2336/G2336,0)</f>
        <v>0.96899830580262591</v>
      </c>
      <c r="Q2336" s="4">
        <f>IFERROR(I2336/H2336,0)</f>
        <v>7.9993181818181816</v>
      </c>
      <c r="R2336" s="12">
        <f>IFERROR(J2336/I2336,0)</f>
        <v>12.598372675992929</v>
      </c>
      <c r="S2336" s="7">
        <f>Tabla_nuevas_columnas[[#This Row],[ROAS]]</f>
        <v>12.598372675992929</v>
      </c>
      <c r="T2336" t="str">
        <f>_xlfn.CONCAT(C2336,"-",D2336)</f>
        <v>Paid Social-España</v>
      </c>
      <c r="U2336">
        <f>YEAR(A2336)</f>
        <v>2025</v>
      </c>
      <c r="V2336">
        <f>MONTH(A2336)</f>
        <v>4</v>
      </c>
      <c r="W2336" t="str">
        <f>PROPER(TEXT(A2336,"mmmm"))</f>
        <v>Abril</v>
      </c>
      <c r="X2336" t="str">
        <f>PROPER(TEXT(A2336,"dddd"))</f>
        <v>Lunes</v>
      </c>
      <c r="Y2336" t="str" cm="1">
        <f t="array" ref="Y2336">_xlfn.IFS(R2336&gt;10,"Excelente",R2336&gt;=5,"Bueno",R2336&gt;=2,"Débil",R2336&lt;2,"Deficiente")</f>
        <v>Excelente</v>
      </c>
      <c r="Z2336" t="str">
        <f>IF(AND(R2336&lt;2,Q2336&gt;=100),"Revisar","OK")</f>
        <v>OK</v>
      </c>
      <c r="AA2336" s="55">
        <f>_xlfn.XLOOKUP(C2336,'Preguntas de negocio'!$C$114:$C$119,'Preguntas de negocio'!$D$114:$D$119,0)</f>
        <v>6</v>
      </c>
      <c r="AB2336" s="55">
        <f>VLOOKUP(C2336,'Preguntas de negocio'!$C$121:$D$127,2,FALSE)</f>
        <v>0.8</v>
      </c>
    </row>
    <row r="2337" spans="1:28" x14ac:dyDescent="0.3">
      <c r="A2337" s="1">
        <v>45669</v>
      </c>
      <c r="B2337" s="2" t="s">
        <v>2628</v>
      </c>
      <c r="C2337" s="2" t="s">
        <v>2527</v>
      </c>
      <c r="D2337" s="2" t="s">
        <v>2528</v>
      </c>
      <c r="E2337" s="2" t="s">
        <v>2517</v>
      </c>
      <c r="F2337" s="3">
        <v>2728</v>
      </c>
      <c r="G2337" s="3">
        <v>242</v>
      </c>
      <c r="H2337" s="3">
        <v>12</v>
      </c>
      <c r="I2337" s="4">
        <v>301.33999999999997</v>
      </c>
      <c r="J2337" s="4">
        <v>2055.61</v>
      </c>
      <c r="K2337" s="3">
        <v>5</v>
      </c>
      <c r="L2337" s="2" t="s">
        <v>2536</v>
      </c>
      <c r="M2337" s="2" t="s">
        <v>2537</v>
      </c>
      <c r="N2337" s="8">
        <f>IFERROR(G2337/F2337,0)</f>
        <v>8.8709677419354843E-2</v>
      </c>
      <c r="O2337" s="8">
        <f>IFERROR(H2337/G2337,0)</f>
        <v>4.9586776859504134E-2</v>
      </c>
      <c r="P2337" s="4">
        <f>IFERROR(I2337/G2337,0)</f>
        <v>1.2452066115702478</v>
      </c>
      <c r="Q2337" s="4">
        <f>IFERROR(I2337/H2337,0)</f>
        <v>25.111666666666665</v>
      </c>
      <c r="R2337" s="12">
        <f>IFERROR(J2337/I2337,0)</f>
        <v>6.8215636822194208</v>
      </c>
      <c r="S2337" s="7">
        <f>Tabla_nuevas_columnas[[#This Row],[ROAS]]</f>
        <v>6.8215636822194208</v>
      </c>
      <c r="T2337" t="str">
        <f>_xlfn.CONCAT(C2337,"-",D2337)</f>
        <v>Affiliate-España</v>
      </c>
      <c r="U2337">
        <f>YEAR(A2337)</f>
        <v>2025</v>
      </c>
      <c r="V2337">
        <f>MONTH(A2337)</f>
        <v>1</v>
      </c>
      <c r="W2337" t="str">
        <f>PROPER(TEXT(A2337,"mmmm"))</f>
        <v>Enero</v>
      </c>
      <c r="X2337" t="str">
        <f>PROPER(TEXT(A2337,"dddd"))</f>
        <v>Domingo</v>
      </c>
      <c r="Y2337" t="str" cm="1">
        <f t="array" ref="Y2337">_xlfn.IFS(R2337&gt;10,"Excelente",R2337&gt;=5,"Bueno",R2337&gt;=2,"Débil",R2337&lt;2,"Deficiente")</f>
        <v>Bueno</v>
      </c>
      <c r="Z2337" t="str">
        <f>IF(AND(R2337&lt;2,Q2337&gt;=100),"Revisar","OK")</f>
        <v>OK</v>
      </c>
      <c r="AA2337" s="55">
        <f>_xlfn.XLOOKUP(C2337,'Preguntas de negocio'!$C$114:$C$119,'Preguntas de negocio'!$D$114:$D$119,0)</f>
        <v>4.5</v>
      </c>
      <c r="AB2337" s="55">
        <f>VLOOKUP(C2337,'Preguntas de negocio'!$C$121:$D$127,2,FALSE)</f>
        <v>0.35</v>
      </c>
    </row>
    <row r="2338" spans="1:28" x14ac:dyDescent="0.3">
      <c r="A2338" s="1">
        <v>45785</v>
      </c>
      <c r="B2338" s="2" t="s">
        <v>2643</v>
      </c>
      <c r="C2338" s="2" t="s">
        <v>2543</v>
      </c>
      <c r="D2338" s="2" t="s">
        <v>2516</v>
      </c>
      <c r="E2338" s="2" t="s">
        <v>2529</v>
      </c>
      <c r="F2338" s="3">
        <v>31767</v>
      </c>
      <c r="G2338" s="3">
        <v>2205</v>
      </c>
      <c r="H2338" s="3">
        <v>214</v>
      </c>
      <c r="I2338" s="4">
        <v>1253.1199999999999</v>
      </c>
      <c r="J2338" s="4">
        <v>13436.87</v>
      </c>
      <c r="K2338" s="3">
        <v>136</v>
      </c>
      <c r="L2338" s="2" t="s">
        <v>2539</v>
      </c>
      <c r="M2338" s="2" t="s">
        <v>2519</v>
      </c>
      <c r="N2338" s="8">
        <f>IFERROR(G2338/F2338,0)</f>
        <v>6.9411653602795359E-2</v>
      </c>
      <c r="O2338" s="8">
        <f>IFERROR(H2338/G2338,0)</f>
        <v>9.7052154195011342E-2</v>
      </c>
      <c r="P2338" s="4">
        <f>IFERROR(I2338/G2338,0)</f>
        <v>0.56830839002267564</v>
      </c>
      <c r="Q2338" s="4">
        <f>IFERROR(I2338/H2338,0)</f>
        <v>5.8557009345794384</v>
      </c>
      <c r="R2338" s="12">
        <f>IFERROR(J2338/I2338,0)</f>
        <v>10.722732060776304</v>
      </c>
      <c r="S2338" s="7">
        <f>Tabla_nuevas_columnas[[#This Row],[ROAS]]</f>
        <v>10.722732060776304</v>
      </c>
      <c r="T2338" t="str">
        <f>_xlfn.CONCAT(C2338,"-",D2338)</f>
        <v>Organic Social-México</v>
      </c>
      <c r="U2338">
        <f>YEAR(A2338)</f>
        <v>2025</v>
      </c>
      <c r="V2338">
        <f>MONTH(A2338)</f>
        <v>5</v>
      </c>
      <c r="W2338" t="str">
        <f>PROPER(TEXT(A2338,"mmmm"))</f>
        <v>Mayo</v>
      </c>
      <c r="X2338" t="str">
        <f>PROPER(TEXT(A2338,"dddd"))</f>
        <v>Jueves</v>
      </c>
      <c r="Y2338" t="str" cm="1">
        <f t="array" ref="Y2338">_xlfn.IFS(R2338&gt;10,"Excelente",R2338&gt;=5,"Bueno",R2338&gt;=2,"Débil",R2338&lt;2,"Deficiente")</f>
        <v>Excelente</v>
      </c>
      <c r="Z2338" t="str">
        <f>IF(AND(R2338&lt;2,Q2338&gt;=100),"Revisar","OK")</f>
        <v>OK</v>
      </c>
      <c r="AA2338" s="55">
        <f>_xlfn.XLOOKUP(C2338,'Preguntas de negocio'!$C$114:$C$119,'Preguntas de negocio'!$D$114:$D$119,0)</f>
        <v>4</v>
      </c>
      <c r="AB2338" s="55">
        <f>VLOOKUP(C2338,'Preguntas de negocio'!$C$121:$D$127,2,FALSE)</f>
        <v>0.95</v>
      </c>
    </row>
    <row r="2339" spans="1:28" x14ac:dyDescent="0.3">
      <c r="A2339" s="1">
        <v>45867</v>
      </c>
      <c r="B2339" s="2" t="s">
        <v>2639</v>
      </c>
      <c r="C2339" s="2" t="s">
        <v>2521</v>
      </c>
      <c r="D2339" s="2" t="s">
        <v>2522</v>
      </c>
      <c r="E2339" s="2" t="s">
        <v>2517</v>
      </c>
      <c r="F2339" s="3">
        <v>6567</v>
      </c>
      <c r="G2339" s="3">
        <v>382</v>
      </c>
      <c r="H2339" s="3">
        <v>19</v>
      </c>
      <c r="I2339" s="4">
        <v>463.66</v>
      </c>
      <c r="J2339" s="4">
        <v>2236.96</v>
      </c>
      <c r="K2339" s="3">
        <v>14</v>
      </c>
      <c r="L2339" s="2" t="s">
        <v>2539</v>
      </c>
      <c r="M2339" s="2" t="s">
        <v>2524</v>
      </c>
      <c r="N2339" s="8">
        <f>IFERROR(G2339/F2339,0)</f>
        <v>5.8169636059083298E-2</v>
      </c>
      <c r="O2339" s="8">
        <f>IFERROR(H2339/G2339,0)</f>
        <v>4.9738219895287955E-2</v>
      </c>
      <c r="P2339" s="4">
        <f>IFERROR(I2339/G2339,0)</f>
        <v>1.2137696335078534</v>
      </c>
      <c r="Q2339" s="4">
        <f>IFERROR(I2339/H2339,0)</f>
        <v>24.403157894736843</v>
      </c>
      <c r="R2339" s="12">
        <f>IFERROR(J2339/I2339,0)</f>
        <v>4.8245697278177975</v>
      </c>
      <c r="S2339" s="7">
        <f>Tabla_nuevas_columnas[[#This Row],[ROAS]]</f>
        <v>4.8245697278177975</v>
      </c>
      <c r="T2339" t="str">
        <f>_xlfn.CONCAT(C2339,"-",D2339)</f>
        <v>Paid Search-Italia</v>
      </c>
      <c r="U2339">
        <f>YEAR(A2339)</f>
        <v>2025</v>
      </c>
      <c r="V2339">
        <f>MONTH(A2339)</f>
        <v>7</v>
      </c>
      <c r="W2339" t="str">
        <f>PROPER(TEXT(A2339,"mmmm"))</f>
        <v>Julio</v>
      </c>
      <c r="X2339" t="str">
        <f>PROPER(TEXT(A2339,"dddd"))</f>
        <v>Martes</v>
      </c>
      <c r="Y2339" t="str" cm="1">
        <f t="array" ref="Y2339">_xlfn.IFS(R2339&gt;10,"Excelente",R2339&gt;=5,"Bueno",R2339&gt;=2,"Débil",R2339&lt;2,"Deficiente")</f>
        <v>Débil</v>
      </c>
      <c r="Z2339" t="str">
        <f>IF(AND(R2339&lt;2,Q2339&gt;=100),"Revisar","OK")</f>
        <v>OK</v>
      </c>
      <c r="AA2339" s="55">
        <f>_xlfn.XLOOKUP(C2339,'Preguntas de negocio'!$C$114:$C$119,'Preguntas de negocio'!$D$114:$D$119,0)</f>
        <v>5</v>
      </c>
      <c r="AB2339" s="55">
        <f>VLOOKUP(C2339,'Preguntas de negocio'!$C$121:$D$127,2,FALSE)</f>
        <v>1.1000000000000001</v>
      </c>
    </row>
    <row r="2340" spans="1:28" x14ac:dyDescent="0.3">
      <c r="A2340" s="1">
        <v>45909</v>
      </c>
      <c r="B2340" s="2" t="s">
        <v>2644</v>
      </c>
      <c r="C2340" s="2" t="s">
        <v>2543</v>
      </c>
      <c r="D2340" s="2" t="s">
        <v>2516</v>
      </c>
      <c r="E2340" s="2" t="s">
        <v>2529</v>
      </c>
      <c r="F2340" s="3">
        <v>98741</v>
      </c>
      <c r="G2340" s="3">
        <v>1688</v>
      </c>
      <c r="H2340" s="3">
        <v>97</v>
      </c>
      <c r="I2340" s="4">
        <v>2762.13</v>
      </c>
      <c r="J2340" s="4">
        <v>9096.52</v>
      </c>
      <c r="K2340" s="3">
        <v>61</v>
      </c>
      <c r="L2340" s="2" t="s">
        <v>2539</v>
      </c>
      <c r="M2340" s="2" t="s">
        <v>2526</v>
      </c>
      <c r="N2340" s="8">
        <f>IFERROR(G2340/F2340,0)</f>
        <v>1.7095228932257116E-2</v>
      </c>
      <c r="O2340" s="8">
        <f>IFERROR(H2340/G2340,0)</f>
        <v>5.7464454976303314E-2</v>
      </c>
      <c r="P2340" s="4">
        <f>IFERROR(I2340/G2340,0)</f>
        <v>1.6363329383886256</v>
      </c>
      <c r="Q2340" s="4">
        <f>IFERROR(I2340/H2340,0)</f>
        <v>28.47556701030928</v>
      </c>
      <c r="R2340" s="12">
        <f>IFERROR(J2340/I2340,0)</f>
        <v>3.2932990119943666</v>
      </c>
      <c r="S2340" s="7">
        <f>Tabla_nuevas_columnas[[#This Row],[ROAS]]</f>
        <v>3.2932990119943666</v>
      </c>
      <c r="T2340" t="str">
        <f>_xlfn.CONCAT(C2340,"-",D2340)</f>
        <v>Organic Social-México</v>
      </c>
      <c r="U2340">
        <f>YEAR(A2340)</f>
        <v>2025</v>
      </c>
      <c r="V2340">
        <f>MONTH(A2340)</f>
        <v>9</v>
      </c>
      <c r="W2340" t="str">
        <f>PROPER(TEXT(A2340,"mmmm"))</f>
        <v>Septiembre</v>
      </c>
      <c r="X2340" t="str">
        <f>PROPER(TEXT(A2340,"dddd"))</f>
        <v>Martes</v>
      </c>
      <c r="Y2340" t="str" cm="1">
        <f t="array" ref="Y2340">_xlfn.IFS(R2340&gt;10,"Excelente",R2340&gt;=5,"Bueno",R2340&gt;=2,"Débil",R2340&lt;2,"Deficiente")</f>
        <v>Débil</v>
      </c>
      <c r="Z2340" t="str">
        <f>IF(AND(R2340&lt;2,Q2340&gt;=100),"Revisar","OK")</f>
        <v>OK</v>
      </c>
      <c r="AA2340" s="55">
        <f>_xlfn.XLOOKUP(C2340,'Preguntas de negocio'!$C$114:$C$119,'Preguntas de negocio'!$D$114:$D$119,0)</f>
        <v>4</v>
      </c>
      <c r="AB2340" s="55">
        <f>VLOOKUP(C2340,'Preguntas de negocio'!$C$121:$D$127,2,FALSE)</f>
        <v>0.95</v>
      </c>
    </row>
    <row r="2341" spans="1:28" x14ac:dyDescent="0.3">
      <c r="A2341" s="1">
        <v>45810</v>
      </c>
      <c r="B2341" s="2" t="s">
        <v>2642</v>
      </c>
      <c r="C2341" s="2" t="s">
        <v>2543</v>
      </c>
      <c r="D2341" s="2" t="s">
        <v>2525</v>
      </c>
      <c r="E2341" s="2" t="s">
        <v>2529</v>
      </c>
      <c r="F2341" s="3">
        <v>15713</v>
      </c>
      <c r="G2341" s="3">
        <v>649</v>
      </c>
      <c r="H2341" s="3">
        <v>53</v>
      </c>
      <c r="I2341" s="4">
        <v>876.41</v>
      </c>
      <c r="J2341" s="4">
        <v>11505.02</v>
      </c>
      <c r="K2341" s="3">
        <v>38</v>
      </c>
      <c r="L2341" s="2" t="s">
        <v>2523</v>
      </c>
      <c r="M2341" s="2" t="s">
        <v>2519</v>
      </c>
      <c r="N2341" s="8">
        <f>IFERROR(G2341/F2341,0)</f>
        <v>4.130337936740279E-2</v>
      </c>
      <c r="O2341" s="8">
        <f>IFERROR(H2341/G2341,0)</f>
        <v>8.1664098613251149E-2</v>
      </c>
      <c r="P2341" s="4">
        <f>IFERROR(I2341/G2341,0)</f>
        <v>1.3504006163328197</v>
      </c>
      <c r="Q2341" s="4">
        <f>IFERROR(I2341/H2341,0)</f>
        <v>16.536037735849057</v>
      </c>
      <c r="R2341" s="12">
        <f>IFERROR(J2341/I2341,0)</f>
        <v>13.12744035325932</v>
      </c>
      <c r="S2341" s="7">
        <f>Tabla_nuevas_columnas[[#This Row],[ROAS]]</f>
        <v>13.12744035325932</v>
      </c>
      <c r="T2341" t="str">
        <f>_xlfn.CONCAT(C2341,"-",D2341)</f>
        <v>Organic Social-Francia</v>
      </c>
      <c r="U2341">
        <f>YEAR(A2341)</f>
        <v>2025</v>
      </c>
      <c r="V2341">
        <f>MONTH(A2341)</f>
        <v>6</v>
      </c>
      <c r="W2341" t="str">
        <f>PROPER(TEXT(A2341,"mmmm"))</f>
        <v>Junio</v>
      </c>
      <c r="X2341" t="str">
        <f>PROPER(TEXT(A2341,"dddd"))</f>
        <v>Lunes</v>
      </c>
      <c r="Y2341" t="str" cm="1">
        <f t="array" ref="Y2341">_xlfn.IFS(R2341&gt;10,"Excelente",R2341&gt;=5,"Bueno",R2341&gt;=2,"Débil",R2341&lt;2,"Deficiente")</f>
        <v>Excelente</v>
      </c>
      <c r="Z2341" t="str">
        <f>IF(AND(R2341&lt;2,Q2341&gt;=100),"Revisar","OK")</f>
        <v>OK</v>
      </c>
      <c r="AA2341" s="55">
        <f>_xlfn.XLOOKUP(C2341,'Preguntas de negocio'!$C$114:$C$119,'Preguntas de negocio'!$D$114:$D$119,0)</f>
        <v>4</v>
      </c>
      <c r="AB2341" s="55">
        <f>VLOOKUP(C2341,'Preguntas de negocio'!$C$121:$D$127,2,FALSE)</f>
        <v>0.95</v>
      </c>
    </row>
    <row r="2342" spans="1:28" x14ac:dyDescent="0.3">
      <c r="A2342" s="1">
        <v>45982</v>
      </c>
      <c r="B2342" s="2" t="s">
        <v>2638</v>
      </c>
      <c r="C2342" s="2" t="s">
        <v>2515</v>
      </c>
      <c r="D2342" s="2" t="s">
        <v>2516</v>
      </c>
      <c r="E2342" s="2" t="s">
        <v>2517</v>
      </c>
      <c r="F2342" s="3">
        <v>70313</v>
      </c>
      <c r="G2342" s="3">
        <v>5007</v>
      </c>
      <c r="H2342" s="3">
        <v>429</v>
      </c>
      <c r="I2342" s="4">
        <v>1444.66</v>
      </c>
      <c r="J2342" s="4">
        <v>88353.03</v>
      </c>
      <c r="K2342" s="3">
        <v>357</v>
      </c>
      <c r="L2342" s="2" t="s">
        <v>2536</v>
      </c>
      <c r="M2342" s="2" t="s">
        <v>2526</v>
      </c>
      <c r="N2342" s="8">
        <f>IFERROR(G2342/F2342,0)</f>
        <v>7.1210160283304652E-2</v>
      </c>
      <c r="O2342" s="8">
        <f>IFERROR(H2342/G2342,0)</f>
        <v>8.5680047932893952E-2</v>
      </c>
      <c r="P2342" s="4">
        <f>IFERROR(I2342/G2342,0)</f>
        <v>0.28852806071499904</v>
      </c>
      <c r="Q2342" s="4">
        <f>IFERROR(I2342/H2342,0)</f>
        <v>3.3675058275058278</v>
      </c>
      <c r="R2342" s="12">
        <f>IFERROR(J2342/I2342,0)</f>
        <v>61.158355599241339</v>
      </c>
      <c r="S2342" s="7">
        <f>Tabla_nuevas_columnas[[#This Row],[ROAS]]</f>
        <v>61.158355599241339</v>
      </c>
      <c r="T2342" t="str">
        <f>_xlfn.CONCAT(C2342,"-",D2342)</f>
        <v>Email-México</v>
      </c>
      <c r="U2342">
        <f>YEAR(A2342)</f>
        <v>2025</v>
      </c>
      <c r="V2342">
        <f>MONTH(A2342)</f>
        <v>11</v>
      </c>
      <c r="W2342" t="str">
        <f>PROPER(TEXT(A2342,"mmmm"))</f>
        <v>Noviembre</v>
      </c>
      <c r="X2342" t="str">
        <f>PROPER(TEXT(A2342,"dddd"))</f>
        <v>Viernes</v>
      </c>
      <c r="Y2342" t="str" cm="1">
        <f t="array" ref="Y2342">_xlfn.IFS(R2342&gt;10,"Excelente",R2342&gt;=5,"Bueno",R2342&gt;=2,"Débil",R2342&lt;2,"Deficiente")</f>
        <v>Excelente</v>
      </c>
      <c r="Z2342" t="str">
        <f>IF(AND(R2342&lt;2,Q2342&gt;=100),"Revisar","OK")</f>
        <v>OK</v>
      </c>
      <c r="AA2342" s="55">
        <f>_xlfn.XLOOKUP(C2342,'Preguntas de negocio'!$C$114:$C$119,'Preguntas de negocio'!$D$114:$D$119,0)</f>
        <v>5.5</v>
      </c>
      <c r="AB2342" s="55">
        <f>VLOOKUP(C2342,'Preguntas de negocio'!$C$121:$D$127,2,FALSE)</f>
        <v>0.65</v>
      </c>
    </row>
    <row r="2343" spans="1:28" x14ac:dyDescent="0.3">
      <c r="A2343" s="1">
        <v>45752</v>
      </c>
      <c r="B2343" s="2" t="s">
        <v>2627</v>
      </c>
      <c r="C2343" s="2" t="s">
        <v>2533</v>
      </c>
      <c r="D2343" s="2" t="s">
        <v>2525</v>
      </c>
      <c r="E2343" s="2" t="s">
        <v>2529</v>
      </c>
      <c r="F2343" s="3">
        <v>151482</v>
      </c>
      <c r="G2343" s="3">
        <v>5235</v>
      </c>
      <c r="H2343" s="3">
        <v>352</v>
      </c>
      <c r="I2343" s="4">
        <v>3035.14</v>
      </c>
      <c r="J2343" s="4">
        <v>77210.3</v>
      </c>
      <c r="K2343" s="3">
        <v>219</v>
      </c>
      <c r="L2343" s="2" t="s">
        <v>2539</v>
      </c>
      <c r="M2343" s="2" t="s">
        <v>2526</v>
      </c>
      <c r="N2343" s="8">
        <f>IFERROR(G2343/F2343,0)</f>
        <v>3.4558561413237217E-2</v>
      </c>
      <c r="O2343" s="8">
        <f>IFERROR(H2343/G2343,0)</f>
        <v>6.7239732569245467E-2</v>
      </c>
      <c r="P2343" s="4">
        <f>IFERROR(I2343/G2343,0)</f>
        <v>0.57977841451766954</v>
      </c>
      <c r="Q2343" s="4">
        <f>IFERROR(I2343/H2343,0)</f>
        <v>8.6225568181818186</v>
      </c>
      <c r="R2343" s="12">
        <f>IFERROR(J2343/I2343,0)</f>
        <v>25.438793597659419</v>
      </c>
      <c r="S2343" s="7">
        <f>Tabla_nuevas_columnas[[#This Row],[ROAS]]</f>
        <v>25.438793597659419</v>
      </c>
      <c r="T2343" t="str">
        <f>_xlfn.CONCAT(C2343,"-",D2343)</f>
        <v>Paid Social-Francia</v>
      </c>
      <c r="U2343">
        <f>YEAR(A2343)</f>
        <v>2025</v>
      </c>
      <c r="V2343">
        <f>MONTH(A2343)</f>
        <v>4</v>
      </c>
      <c r="W2343" t="str">
        <f>PROPER(TEXT(A2343,"mmmm"))</f>
        <v>Abril</v>
      </c>
      <c r="X2343" t="str">
        <f>PROPER(TEXT(A2343,"dddd"))</f>
        <v>Sábado</v>
      </c>
      <c r="Y2343" t="str" cm="1">
        <f t="array" ref="Y2343">_xlfn.IFS(R2343&gt;10,"Excelente",R2343&gt;=5,"Bueno",R2343&gt;=2,"Débil",R2343&lt;2,"Deficiente")</f>
        <v>Excelente</v>
      </c>
      <c r="Z2343" t="str">
        <f>IF(AND(R2343&lt;2,Q2343&gt;=100),"Revisar","OK")</f>
        <v>OK</v>
      </c>
      <c r="AA2343" s="55">
        <f>_xlfn.XLOOKUP(C2343,'Preguntas de negocio'!$C$114:$C$119,'Preguntas de negocio'!$D$114:$D$119,0)</f>
        <v>6</v>
      </c>
      <c r="AB2343" s="55">
        <f>VLOOKUP(C2343,'Preguntas de negocio'!$C$121:$D$127,2,FALSE)</f>
        <v>0.8</v>
      </c>
    </row>
    <row r="2344" spans="1:28" x14ac:dyDescent="0.3">
      <c r="A2344" s="1">
        <v>45695</v>
      </c>
      <c r="B2344" s="2" t="s">
        <v>2640</v>
      </c>
      <c r="C2344" s="2" t="s">
        <v>2527</v>
      </c>
      <c r="D2344" s="2" t="s">
        <v>2645</v>
      </c>
      <c r="E2344" s="2" t="s">
        <v>2529</v>
      </c>
      <c r="F2344" s="3">
        <v>95666</v>
      </c>
      <c r="G2344" s="3">
        <v>4656</v>
      </c>
      <c r="H2344" s="3">
        <v>273</v>
      </c>
      <c r="I2344" s="4">
        <v>9347.14</v>
      </c>
      <c r="J2344" s="4">
        <v>37745.980000000003</v>
      </c>
      <c r="K2344" s="3">
        <v>229</v>
      </c>
      <c r="L2344" s="2" t="s">
        <v>2518</v>
      </c>
      <c r="M2344" s="2" t="s">
        <v>2519</v>
      </c>
      <c r="N2344" s="8">
        <f>IFERROR(G2344/F2344,0)</f>
        <v>4.8669328706123387E-2</v>
      </c>
      <c r="O2344" s="8">
        <f>IFERROR(H2344/G2344,0)</f>
        <v>5.8634020618556701E-2</v>
      </c>
      <c r="P2344" s="4">
        <f>IFERROR(I2344/G2344,0)</f>
        <v>2.0075472508591066</v>
      </c>
      <c r="Q2344" s="4">
        <f>IFERROR(I2344/H2344,0)</f>
        <v>34.238608058608058</v>
      </c>
      <c r="R2344" s="12">
        <f>IFERROR(J2344/I2344,0)</f>
        <v>4.0382384344302116</v>
      </c>
      <c r="S2344" s="7">
        <f>Tabla_nuevas_columnas[[#This Row],[ROAS]]</f>
        <v>4.0382384344302116</v>
      </c>
      <c r="T2344" t="str">
        <f>_xlfn.CONCAT(C2344,"-",D2344)</f>
        <v>Affiliate-Por identificar</v>
      </c>
      <c r="U2344">
        <f>YEAR(A2344)</f>
        <v>2025</v>
      </c>
      <c r="V2344">
        <f>MONTH(A2344)</f>
        <v>2</v>
      </c>
      <c r="W2344" t="str">
        <f>PROPER(TEXT(A2344,"mmmm"))</f>
        <v>Febrero</v>
      </c>
      <c r="X2344" t="str">
        <f>PROPER(TEXT(A2344,"dddd"))</f>
        <v>Viernes</v>
      </c>
      <c r="Y2344" t="str" cm="1">
        <f t="array" ref="Y2344">_xlfn.IFS(R2344&gt;10,"Excelente",R2344&gt;=5,"Bueno",R2344&gt;=2,"Débil",R2344&lt;2,"Deficiente")</f>
        <v>Débil</v>
      </c>
      <c r="Z2344" t="str">
        <f>IF(AND(R2344&lt;2,Q2344&gt;=100),"Revisar","OK")</f>
        <v>OK</v>
      </c>
      <c r="AA2344" s="55">
        <f>_xlfn.XLOOKUP(C2344,'Preguntas de negocio'!$C$114:$C$119,'Preguntas de negocio'!$D$114:$D$119,0)</f>
        <v>4.5</v>
      </c>
      <c r="AB2344" s="55">
        <f>VLOOKUP(C2344,'Preguntas de negocio'!$C$121:$D$127,2,FALSE)</f>
        <v>0.35</v>
      </c>
    </row>
    <row r="2345" spans="1:28" x14ac:dyDescent="0.3">
      <c r="A2345" s="1">
        <v>45940</v>
      </c>
      <c r="B2345" s="2" t="s">
        <v>2627</v>
      </c>
      <c r="C2345" s="2" t="s">
        <v>2521</v>
      </c>
      <c r="D2345" s="2" t="s">
        <v>2516</v>
      </c>
      <c r="E2345" s="2" t="s">
        <v>2529</v>
      </c>
      <c r="F2345" s="3">
        <v>5444</v>
      </c>
      <c r="G2345" s="3">
        <v>131</v>
      </c>
      <c r="H2345" s="3">
        <v>142</v>
      </c>
      <c r="I2345" s="4">
        <v>23.76</v>
      </c>
      <c r="J2345" s="4">
        <v>370.94</v>
      </c>
      <c r="K2345" s="3">
        <v>6</v>
      </c>
      <c r="L2345" s="2" t="s">
        <v>2518</v>
      </c>
      <c r="M2345" s="2" t="s">
        <v>2546</v>
      </c>
      <c r="N2345" s="8">
        <f>IFERROR(G2345/F2345,0)</f>
        <v>2.4063188831741366E-2</v>
      </c>
      <c r="O2345" s="8">
        <f>IFERROR(H2345/G2345,0)</f>
        <v>1.083969465648855</v>
      </c>
      <c r="P2345" s="4">
        <f>IFERROR(I2345/G2345,0)</f>
        <v>0.18137404580152672</v>
      </c>
      <c r="Q2345" s="4">
        <f>IFERROR(I2345/H2345,0)</f>
        <v>0.16732394366197184</v>
      </c>
      <c r="R2345" s="12">
        <f>IFERROR(J2345/I2345,0)</f>
        <v>15.611952861952862</v>
      </c>
      <c r="S2345" s="7">
        <f>Tabla_nuevas_columnas[[#This Row],[ROAS]]</f>
        <v>15.611952861952862</v>
      </c>
      <c r="T2345" t="str">
        <f>_xlfn.CONCAT(C2345,"-",D2345)</f>
        <v>Paid Search-México</v>
      </c>
      <c r="U2345">
        <f>YEAR(A2345)</f>
        <v>2025</v>
      </c>
      <c r="V2345">
        <f>MONTH(A2345)</f>
        <v>10</v>
      </c>
      <c r="W2345" t="str">
        <f>PROPER(TEXT(A2345,"mmmm"))</f>
        <v>Octubre</v>
      </c>
      <c r="X2345" t="str">
        <f>PROPER(TEXT(A2345,"dddd"))</f>
        <v>Viernes</v>
      </c>
      <c r="Y2345" t="str" cm="1">
        <f t="array" ref="Y2345">_xlfn.IFS(R2345&gt;10,"Excelente",R2345&gt;=5,"Bueno",R2345&gt;=2,"Débil",R2345&lt;2,"Deficiente")</f>
        <v>Excelente</v>
      </c>
      <c r="Z2345" t="str">
        <f>IF(AND(R2345&lt;2,Q2345&gt;=100),"Revisar","OK")</f>
        <v>OK</v>
      </c>
      <c r="AA2345" s="55">
        <f>_xlfn.XLOOKUP(C2345,'Preguntas de negocio'!$C$114:$C$119,'Preguntas de negocio'!$D$114:$D$119,0)</f>
        <v>5</v>
      </c>
      <c r="AB2345" s="55">
        <f>VLOOKUP(C2345,'Preguntas de negocio'!$C$121:$D$127,2,FALSE)</f>
        <v>1.1000000000000001</v>
      </c>
    </row>
    <row r="2346" spans="1:28" x14ac:dyDescent="0.3">
      <c r="A2346" s="1">
        <v>45835</v>
      </c>
      <c r="B2346" s="2" t="s">
        <v>2624</v>
      </c>
      <c r="C2346" s="2" t="s">
        <v>2515</v>
      </c>
      <c r="D2346" s="2" t="s">
        <v>2522</v>
      </c>
      <c r="E2346" s="2" t="s">
        <v>2517</v>
      </c>
      <c r="F2346" s="3">
        <v>117311</v>
      </c>
      <c r="G2346" s="3">
        <v>9895</v>
      </c>
      <c r="H2346" s="3">
        <v>752</v>
      </c>
      <c r="I2346" s="4">
        <v>8161.27</v>
      </c>
      <c r="J2346" s="4">
        <v>34034.39</v>
      </c>
      <c r="K2346" s="3">
        <v>588</v>
      </c>
      <c r="L2346" s="2" t="s">
        <v>2536</v>
      </c>
      <c r="M2346" s="2" t="s">
        <v>2524</v>
      </c>
      <c r="N2346" s="8">
        <f>IFERROR(G2346/F2346,0)</f>
        <v>8.4348441322638121E-2</v>
      </c>
      <c r="O2346" s="8">
        <f>IFERROR(H2346/G2346,0)</f>
        <v>7.5997978777160177E-2</v>
      </c>
      <c r="P2346" s="4">
        <f>IFERROR(I2346/G2346,0)</f>
        <v>0.82478726629610921</v>
      </c>
      <c r="Q2346" s="4">
        <f>IFERROR(I2346/H2346,0)</f>
        <v>10.852752659574469</v>
      </c>
      <c r="R2346" s="12">
        <f>IFERROR(J2346/I2346,0)</f>
        <v>4.1702320839771261</v>
      </c>
      <c r="S2346" s="7">
        <f>Tabla_nuevas_columnas[[#This Row],[ROAS]]</f>
        <v>4.1702320839771261</v>
      </c>
      <c r="T2346" t="str">
        <f>_xlfn.CONCAT(C2346,"-",D2346)</f>
        <v>Email-Italia</v>
      </c>
      <c r="U2346">
        <f>YEAR(A2346)</f>
        <v>2025</v>
      </c>
      <c r="V2346">
        <f>MONTH(A2346)</f>
        <v>6</v>
      </c>
      <c r="W2346" t="str">
        <f>PROPER(TEXT(A2346,"mmmm"))</f>
        <v>Junio</v>
      </c>
      <c r="X2346" t="str">
        <f>PROPER(TEXT(A2346,"dddd"))</f>
        <v>Viernes</v>
      </c>
      <c r="Y2346" t="str" cm="1">
        <f t="array" ref="Y2346">_xlfn.IFS(R2346&gt;10,"Excelente",R2346&gt;=5,"Bueno",R2346&gt;=2,"Débil",R2346&lt;2,"Deficiente")</f>
        <v>Débil</v>
      </c>
      <c r="Z2346" t="str">
        <f>IF(AND(R2346&lt;2,Q2346&gt;=100),"Revisar","OK")</f>
        <v>OK</v>
      </c>
      <c r="AA2346" s="55">
        <f>_xlfn.XLOOKUP(C2346,'Preguntas de negocio'!$C$114:$C$119,'Preguntas de negocio'!$D$114:$D$119,0)</f>
        <v>5.5</v>
      </c>
      <c r="AB2346" s="55">
        <f>VLOOKUP(C2346,'Preguntas de negocio'!$C$121:$D$127,2,FALSE)</f>
        <v>0.65</v>
      </c>
    </row>
    <row r="2347" spans="1:28" x14ac:dyDescent="0.3">
      <c r="A2347" s="1">
        <v>45825</v>
      </c>
      <c r="B2347" s="2" t="s">
        <v>2644</v>
      </c>
      <c r="C2347" s="2" t="s">
        <v>2521</v>
      </c>
      <c r="D2347" s="2" t="s">
        <v>2531</v>
      </c>
      <c r="E2347" s="2" t="s">
        <v>2529</v>
      </c>
      <c r="F2347" s="3">
        <v>119287</v>
      </c>
      <c r="G2347" s="3">
        <v>8541</v>
      </c>
      <c r="H2347" s="3">
        <v>727</v>
      </c>
      <c r="I2347" s="4">
        <v>9208.41</v>
      </c>
      <c r="J2347" s="4">
        <v>74011.42</v>
      </c>
      <c r="K2347" s="3">
        <v>512</v>
      </c>
      <c r="L2347" s="2" t="s">
        <v>2518</v>
      </c>
      <c r="M2347" s="2" t="s">
        <v>2537</v>
      </c>
      <c r="N2347" s="8">
        <f>IFERROR(G2347/F2347,0)</f>
        <v>7.1600425863673323E-2</v>
      </c>
      <c r="O2347" s="8">
        <f>IFERROR(H2347/G2347,0)</f>
        <v>8.5118838543496084E-2</v>
      </c>
      <c r="P2347" s="4">
        <f>IFERROR(I2347/G2347,0)</f>
        <v>1.0781419037583422</v>
      </c>
      <c r="Q2347" s="4">
        <f>IFERROR(I2347/H2347,0)</f>
        <v>12.666313617606603</v>
      </c>
      <c r="R2347" s="12">
        <f>IFERROR(J2347/I2347,0)</f>
        <v>8.0373723585287795</v>
      </c>
      <c r="S2347" s="7">
        <f>Tabla_nuevas_columnas[[#This Row],[ROAS]]</f>
        <v>8.0373723585287795</v>
      </c>
      <c r="T2347" t="str">
        <f>_xlfn.CONCAT(C2347,"-",D2347)</f>
        <v>Paid Search-Portugal</v>
      </c>
      <c r="U2347">
        <f>YEAR(A2347)</f>
        <v>2025</v>
      </c>
      <c r="V2347">
        <f>MONTH(A2347)</f>
        <v>6</v>
      </c>
      <c r="W2347" t="str">
        <f>PROPER(TEXT(A2347,"mmmm"))</f>
        <v>Junio</v>
      </c>
      <c r="X2347" t="str">
        <f>PROPER(TEXT(A2347,"dddd"))</f>
        <v>Martes</v>
      </c>
      <c r="Y2347" t="str" cm="1">
        <f t="array" ref="Y2347">_xlfn.IFS(R2347&gt;10,"Excelente",R2347&gt;=5,"Bueno",R2347&gt;=2,"Débil",R2347&lt;2,"Deficiente")</f>
        <v>Bueno</v>
      </c>
      <c r="Z2347" t="str">
        <f>IF(AND(R2347&lt;2,Q2347&gt;=100),"Revisar","OK")</f>
        <v>OK</v>
      </c>
      <c r="AA2347" s="55">
        <f>_xlfn.XLOOKUP(C2347,'Preguntas de negocio'!$C$114:$C$119,'Preguntas de negocio'!$D$114:$D$119,0)</f>
        <v>5</v>
      </c>
      <c r="AB2347" s="55">
        <f>VLOOKUP(C2347,'Preguntas de negocio'!$C$121:$D$127,2,FALSE)</f>
        <v>1.1000000000000001</v>
      </c>
    </row>
    <row r="2348" spans="1:28" x14ac:dyDescent="0.3">
      <c r="A2348" s="1">
        <v>45877</v>
      </c>
      <c r="B2348" s="2" t="s">
        <v>2627</v>
      </c>
      <c r="C2348" s="2" t="s">
        <v>2521</v>
      </c>
      <c r="D2348" s="2" t="s">
        <v>2531</v>
      </c>
      <c r="E2348" s="2" t="s">
        <v>2517</v>
      </c>
      <c r="F2348" s="3">
        <v>174479</v>
      </c>
      <c r="G2348" s="3">
        <v>14775</v>
      </c>
      <c r="H2348" s="3">
        <v>835</v>
      </c>
      <c r="I2348" s="4">
        <v>28644.77</v>
      </c>
      <c r="J2348" s="4">
        <v>152997.82</v>
      </c>
      <c r="K2348" s="3">
        <v>743</v>
      </c>
      <c r="L2348" s="2" t="s">
        <v>2539</v>
      </c>
      <c r="M2348" s="2" t="s">
        <v>2526</v>
      </c>
      <c r="N2348" s="8">
        <f>IFERROR(G2348/F2348,0)</f>
        <v>8.4680677903931134E-2</v>
      </c>
      <c r="O2348" s="8">
        <f>IFERROR(H2348/G2348,0)</f>
        <v>5.6514382402707279E-2</v>
      </c>
      <c r="P2348" s="4">
        <f>IFERROR(I2348/G2348,0)</f>
        <v>1.938732318104907</v>
      </c>
      <c r="Q2348" s="4">
        <f>IFERROR(I2348/H2348,0)</f>
        <v>34.305113772455087</v>
      </c>
      <c r="R2348" s="12">
        <f>IFERROR(J2348/I2348,0)</f>
        <v>5.3412130731020007</v>
      </c>
      <c r="S2348" s="7">
        <f>Tabla_nuevas_columnas[[#This Row],[ROAS]]</f>
        <v>5.3412130731020007</v>
      </c>
      <c r="T2348" t="str">
        <f>_xlfn.CONCAT(C2348,"-",D2348)</f>
        <v>Paid Search-Portugal</v>
      </c>
      <c r="U2348">
        <f>YEAR(A2348)</f>
        <v>2025</v>
      </c>
      <c r="V2348">
        <f>MONTH(A2348)</f>
        <v>8</v>
      </c>
      <c r="W2348" t="str">
        <f>PROPER(TEXT(A2348,"mmmm"))</f>
        <v>Agosto</v>
      </c>
      <c r="X2348" t="str">
        <f>PROPER(TEXT(A2348,"dddd"))</f>
        <v>Viernes</v>
      </c>
      <c r="Y2348" t="str" cm="1">
        <f t="array" ref="Y2348">_xlfn.IFS(R2348&gt;10,"Excelente",R2348&gt;=5,"Bueno",R2348&gt;=2,"Débil",R2348&lt;2,"Deficiente")</f>
        <v>Bueno</v>
      </c>
      <c r="Z2348" t="str">
        <f>IF(AND(R2348&lt;2,Q2348&gt;=100),"Revisar","OK")</f>
        <v>OK</v>
      </c>
      <c r="AA2348" s="55">
        <f>_xlfn.XLOOKUP(C2348,'Preguntas de negocio'!$C$114:$C$119,'Preguntas de negocio'!$D$114:$D$119,0)</f>
        <v>5</v>
      </c>
      <c r="AB2348" s="55">
        <f>VLOOKUP(C2348,'Preguntas de negocio'!$C$121:$D$127,2,FALSE)</f>
        <v>1.1000000000000001</v>
      </c>
    </row>
    <row r="2349" spans="1:28" x14ac:dyDescent="0.3">
      <c r="A2349" s="1">
        <v>45927</v>
      </c>
      <c r="B2349" s="2" t="s">
        <v>2625</v>
      </c>
      <c r="C2349" s="2" t="s">
        <v>2541</v>
      </c>
      <c r="D2349" s="2" t="s">
        <v>2528</v>
      </c>
      <c r="E2349" s="2" t="s">
        <v>2517</v>
      </c>
      <c r="F2349" s="3">
        <v>20115</v>
      </c>
      <c r="G2349" s="3">
        <v>476</v>
      </c>
      <c r="H2349" s="3">
        <v>49</v>
      </c>
      <c r="I2349" s="4">
        <v>942.08</v>
      </c>
      <c r="J2349" s="4">
        <v>4894.6099999999997</v>
      </c>
      <c r="K2349" s="3">
        <v>42</v>
      </c>
      <c r="L2349" s="2" t="s">
        <v>2539</v>
      </c>
      <c r="M2349" s="2" t="s">
        <v>2537</v>
      </c>
      <c r="N2349" s="8">
        <f>IFERROR(G2349/F2349,0)</f>
        <v>2.3663932388764602E-2</v>
      </c>
      <c r="O2349" s="8">
        <f>IFERROR(H2349/G2349,0)</f>
        <v>0.10294117647058823</v>
      </c>
      <c r="P2349" s="4">
        <f>IFERROR(I2349/G2349,0)</f>
        <v>1.9791596638655462</v>
      </c>
      <c r="Q2349" s="4">
        <f>IFERROR(I2349/H2349,0)</f>
        <v>19.226122448979591</v>
      </c>
      <c r="R2349" s="12">
        <f>IFERROR(J2349/I2349,0)</f>
        <v>5.1955354110054346</v>
      </c>
      <c r="S2349" s="7">
        <f>Tabla_nuevas_columnas[[#This Row],[ROAS]]</f>
        <v>5.1955354110054346</v>
      </c>
      <c r="T2349" t="str">
        <f>_xlfn.CONCAT(C2349,"-",D2349)</f>
        <v>Display-España</v>
      </c>
      <c r="U2349">
        <f>YEAR(A2349)</f>
        <v>2025</v>
      </c>
      <c r="V2349">
        <f>MONTH(A2349)</f>
        <v>9</v>
      </c>
      <c r="W2349" t="str">
        <f>PROPER(TEXT(A2349,"mmmm"))</f>
        <v>Septiembre</v>
      </c>
      <c r="X2349" t="str">
        <f>PROPER(TEXT(A2349,"dddd"))</f>
        <v>Sábado</v>
      </c>
      <c r="Y2349" t="str" cm="1">
        <f t="array" ref="Y2349">_xlfn.IFS(R2349&gt;10,"Excelente",R2349&gt;=5,"Bueno",R2349&gt;=2,"Débil",R2349&lt;2,"Deficiente")</f>
        <v>Bueno</v>
      </c>
      <c r="Z2349" t="str">
        <f>IF(AND(R2349&lt;2,Q2349&gt;=100),"Revisar","OK")</f>
        <v>OK</v>
      </c>
      <c r="AA2349" s="55">
        <f>_xlfn.XLOOKUP(C2349,'Preguntas de negocio'!$C$114:$C$119,'Preguntas de negocio'!$D$114:$D$119,0)</f>
        <v>5</v>
      </c>
      <c r="AB2349" s="55">
        <f>VLOOKUP(C2349,'Preguntas de negocio'!$C$121:$D$127,2,FALSE)</f>
        <v>0.5</v>
      </c>
    </row>
    <row r="2350" spans="1:28" x14ac:dyDescent="0.3">
      <c r="A2350" s="1">
        <v>45746</v>
      </c>
      <c r="B2350" s="2" t="s">
        <v>2618</v>
      </c>
      <c r="C2350" s="2" t="s">
        <v>2521</v>
      </c>
      <c r="D2350" s="2" t="s">
        <v>2528</v>
      </c>
      <c r="E2350" s="2" t="s">
        <v>2529</v>
      </c>
      <c r="F2350" s="3">
        <v>68235</v>
      </c>
      <c r="G2350" s="3">
        <v>2010</v>
      </c>
      <c r="H2350" s="3">
        <v>12</v>
      </c>
      <c r="I2350" s="4">
        <v>1548.89</v>
      </c>
      <c r="J2350" s="4">
        <v>362.66</v>
      </c>
      <c r="K2350" s="3">
        <v>9</v>
      </c>
      <c r="L2350" s="2" t="s">
        <v>2536</v>
      </c>
      <c r="M2350" s="2" t="s">
        <v>2524</v>
      </c>
      <c r="N2350" s="8">
        <f>IFERROR(G2350/F2350,0)</f>
        <v>2.9457023521653112E-2</v>
      </c>
      <c r="O2350" s="8">
        <f>IFERROR(H2350/G2350,0)</f>
        <v>5.9701492537313433E-3</v>
      </c>
      <c r="P2350" s="4">
        <f>IFERROR(I2350/G2350,0)</f>
        <v>0.77059203980099511</v>
      </c>
      <c r="Q2350" s="4">
        <f>IFERROR(I2350/H2350,0)</f>
        <v>129.07416666666668</v>
      </c>
      <c r="R2350" s="12">
        <f>IFERROR(J2350/I2350,0)</f>
        <v>0.23414186933868772</v>
      </c>
      <c r="S2350" s="7">
        <f>Tabla_nuevas_columnas[[#This Row],[ROAS]]</f>
        <v>0.23414186933868772</v>
      </c>
      <c r="T2350" t="str">
        <f>_xlfn.CONCAT(C2350,"-",D2350)</f>
        <v>Paid Search-España</v>
      </c>
      <c r="U2350">
        <f>YEAR(A2350)</f>
        <v>2025</v>
      </c>
      <c r="V2350">
        <f>MONTH(A2350)</f>
        <v>3</v>
      </c>
      <c r="W2350" t="str">
        <f>PROPER(TEXT(A2350,"mmmm"))</f>
        <v>Marzo</v>
      </c>
      <c r="X2350" t="str">
        <f>PROPER(TEXT(A2350,"dddd"))</f>
        <v>Domingo</v>
      </c>
      <c r="Y2350" t="str" cm="1">
        <f t="array" ref="Y2350">_xlfn.IFS(R2350&gt;10,"Excelente",R2350&gt;=5,"Bueno",R2350&gt;=2,"Débil",R2350&lt;2,"Deficiente")</f>
        <v>Deficiente</v>
      </c>
      <c r="Z2350" t="str">
        <f>IF(AND(R2350&lt;2,Q2350&gt;=100),"Revisar","OK")</f>
        <v>Revisar</v>
      </c>
      <c r="AA2350" s="55">
        <f>_xlfn.XLOOKUP(C2350,'Preguntas de negocio'!$C$114:$C$119,'Preguntas de negocio'!$D$114:$D$119,0)</f>
        <v>5</v>
      </c>
      <c r="AB2350" s="55">
        <f>VLOOKUP(C2350,'Preguntas de negocio'!$C$121:$D$127,2,FALSE)</f>
        <v>1.1000000000000001</v>
      </c>
    </row>
    <row r="2351" spans="1:28" x14ac:dyDescent="0.3">
      <c r="A2351" s="1">
        <v>45987</v>
      </c>
      <c r="B2351" s="2" t="s">
        <v>2619</v>
      </c>
      <c r="C2351" s="2" t="s">
        <v>2527</v>
      </c>
      <c r="D2351" s="2" t="s">
        <v>2528</v>
      </c>
      <c r="E2351" s="2" t="s">
        <v>2517</v>
      </c>
      <c r="F2351" s="3">
        <v>77581</v>
      </c>
      <c r="G2351" s="3">
        <v>918</v>
      </c>
      <c r="H2351" s="3">
        <v>121</v>
      </c>
      <c r="I2351" s="4">
        <v>1503.96</v>
      </c>
      <c r="J2351" s="4">
        <v>5356.63</v>
      </c>
      <c r="K2351" s="3">
        <v>102</v>
      </c>
      <c r="L2351" s="2" t="s">
        <v>2518</v>
      </c>
      <c r="M2351" s="2" t="s">
        <v>2524</v>
      </c>
      <c r="N2351" s="8">
        <f>IFERROR(G2351/F2351,0)</f>
        <v>1.1832794111960403E-2</v>
      </c>
      <c r="O2351" s="8">
        <f>IFERROR(H2351/G2351,0)</f>
        <v>0.13180827886710239</v>
      </c>
      <c r="P2351" s="4">
        <f>IFERROR(I2351/G2351,0)</f>
        <v>1.6383006535947713</v>
      </c>
      <c r="Q2351" s="4">
        <f>IFERROR(I2351/H2351,0)</f>
        <v>12.429421487603307</v>
      </c>
      <c r="R2351" s="12">
        <f>IFERROR(J2351/I2351,0)</f>
        <v>3.561683821378228</v>
      </c>
      <c r="S2351" s="7">
        <f>Tabla_nuevas_columnas[[#This Row],[ROAS]]</f>
        <v>3.561683821378228</v>
      </c>
      <c r="T2351" t="str">
        <f>_xlfn.CONCAT(C2351,"-",D2351)</f>
        <v>Affiliate-España</v>
      </c>
      <c r="U2351">
        <f>YEAR(A2351)</f>
        <v>2025</v>
      </c>
      <c r="V2351">
        <f>MONTH(A2351)</f>
        <v>11</v>
      </c>
      <c r="W2351" t="str">
        <f>PROPER(TEXT(A2351,"mmmm"))</f>
        <v>Noviembre</v>
      </c>
      <c r="X2351" t="str">
        <f>PROPER(TEXT(A2351,"dddd"))</f>
        <v>Miércoles</v>
      </c>
      <c r="Y2351" t="str" cm="1">
        <f t="array" ref="Y2351">_xlfn.IFS(R2351&gt;10,"Excelente",R2351&gt;=5,"Bueno",R2351&gt;=2,"Débil",R2351&lt;2,"Deficiente")</f>
        <v>Débil</v>
      </c>
      <c r="Z2351" t="str">
        <f>IF(AND(R2351&lt;2,Q2351&gt;=100),"Revisar","OK")</f>
        <v>OK</v>
      </c>
      <c r="AA2351" s="55">
        <f>_xlfn.XLOOKUP(C2351,'Preguntas de negocio'!$C$114:$C$119,'Preguntas de negocio'!$D$114:$D$119,0)</f>
        <v>4.5</v>
      </c>
      <c r="AB2351" s="55">
        <f>VLOOKUP(C2351,'Preguntas de negocio'!$C$121:$D$127,2,FALSE)</f>
        <v>0.35</v>
      </c>
    </row>
    <row r="2352" spans="1:28" x14ac:dyDescent="0.3">
      <c r="A2352" s="1">
        <v>45940</v>
      </c>
      <c r="B2352" s="2" t="s">
        <v>2619</v>
      </c>
      <c r="C2352" s="2" t="s">
        <v>2533</v>
      </c>
      <c r="D2352" s="2" t="s">
        <v>2525</v>
      </c>
      <c r="E2352" s="2" t="s">
        <v>2529</v>
      </c>
      <c r="F2352" s="3">
        <v>127220</v>
      </c>
      <c r="G2352" s="3">
        <v>9240</v>
      </c>
      <c r="H2352" s="3">
        <v>400</v>
      </c>
      <c r="I2352" s="4">
        <v>1092.8499999999999</v>
      </c>
      <c r="J2352" s="4">
        <v>64907.24</v>
      </c>
      <c r="K2352" s="3">
        <v>276</v>
      </c>
      <c r="L2352" s="2" t="s">
        <v>2523</v>
      </c>
      <c r="M2352" s="2" t="s">
        <v>2526</v>
      </c>
      <c r="N2352" s="8">
        <f>IFERROR(G2352/F2352,0)</f>
        <v>7.263008960855212E-2</v>
      </c>
      <c r="O2352" s="8">
        <f>IFERROR(H2352/G2352,0)</f>
        <v>4.3290043290043288E-2</v>
      </c>
      <c r="P2352" s="4">
        <f>IFERROR(I2352/G2352,0)</f>
        <v>0.11827380952380952</v>
      </c>
      <c r="Q2352" s="4">
        <f>IFERROR(I2352/H2352,0)</f>
        <v>2.7321249999999999</v>
      </c>
      <c r="R2352" s="12">
        <f>IFERROR(J2352/I2352,0)</f>
        <v>59.392633938783916</v>
      </c>
      <c r="S2352" s="7">
        <f>Tabla_nuevas_columnas[[#This Row],[ROAS]]</f>
        <v>59.392633938783916</v>
      </c>
      <c r="T2352" t="str">
        <f>_xlfn.CONCAT(C2352,"-",D2352)</f>
        <v>Paid Social-Francia</v>
      </c>
      <c r="U2352">
        <f>YEAR(A2352)</f>
        <v>2025</v>
      </c>
      <c r="V2352">
        <f>MONTH(A2352)</f>
        <v>10</v>
      </c>
      <c r="W2352" t="str">
        <f>PROPER(TEXT(A2352,"mmmm"))</f>
        <v>Octubre</v>
      </c>
      <c r="X2352" t="str">
        <f>PROPER(TEXT(A2352,"dddd"))</f>
        <v>Viernes</v>
      </c>
      <c r="Y2352" t="str" cm="1">
        <f t="array" ref="Y2352">_xlfn.IFS(R2352&gt;10,"Excelente",R2352&gt;=5,"Bueno",R2352&gt;=2,"Débil",R2352&lt;2,"Deficiente")</f>
        <v>Excelente</v>
      </c>
      <c r="Z2352" t="str">
        <f>IF(AND(R2352&lt;2,Q2352&gt;=100),"Revisar","OK")</f>
        <v>OK</v>
      </c>
      <c r="AA2352" s="55">
        <f>_xlfn.XLOOKUP(C2352,'Preguntas de negocio'!$C$114:$C$119,'Preguntas de negocio'!$D$114:$D$119,0)</f>
        <v>6</v>
      </c>
      <c r="AB2352" s="55">
        <f>VLOOKUP(C2352,'Preguntas de negocio'!$C$121:$D$127,2,FALSE)</f>
        <v>0.8</v>
      </c>
    </row>
    <row r="2353" spans="1:28" x14ac:dyDescent="0.3">
      <c r="A2353" s="1">
        <v>45911</v>
      </c>
      <c r="B2353" s="2" t="s">
        <v>2633</v>
      </c>
      <c r="C2353" s="2" t="s">
        <v>2521</v>
      </c>
      <c r="D2353" s="2" t="s">
        <v>2528</v>
      </c>
      <c r="E2353" s="2" t="s">
        <v>2517</v>
      </c>
      <c r="F2353" s="3">
        <v>71189</v>
      </c>
      <c r="G2353" s="3">
        <v>2654</v>
      </c>
      <c r="H2353" s="3">
        <v>342</v>
      </c>
      <c r="I2353" s="4">
        <v>5071.8100000000004</v>
      </c>
      <c r="J2353" s="4">
        <v>70473.789999999994</v>
      </c>
      <c r="K2353" s="3">
        <v>175</v>
      </c>
      <c r="L2353" s="2" t="s">
        <v>2536</v>
      </c>
      <c r="M2353" s="2" t="s">
        <v>2524</v>
      </c>
      <c r="N2353" s="8">
        <f>IFERROR(G2353/F2353,0)</f>
        <v>3.728104061020663E-2</v>
      </c>
      <c r="O2353" s="8">
        <f>IFERROR(H2353/G2353,0)</f>
        <v>0.12886209495101733</v>
      </c>
      <c r="P2353" s="4">
        <f>IFERROR(I2353/G2353,0)</f>
        <v>1.9110060286360213</v>
      </c>
      <c r="Q2353" s="4">
        <f>IFERROR(I2353/H2353,0)</f>
        <v>14.829853801169591</v>
      </c>
      <c r="R2353" s="12">
        <f>IFERROR(J2353/I2353,0)</f>
        <v>13.895195206445035</v>
      </c>
      <c r="S2353" s="7">
        <f>Tabla_nuevas_columnas[[#This Row],[ROAS]]</f>
        <v>13.895195206445035</v>
      </c>
      <c r="T2353" t="str">
        <f>_xlfn.CONCAT(C2353,"-",D2353)</f>
        <v>Paid Search-España</v>
      </c>
      <c r="U2353">
        <f>YEAR(A2353)</f>
        <v>2025</v>
      </c>
      <c r="V2353">
        <f>MONTH(A2353)</f>
        <v>9</v>
      </c>
      <c r="W2353" t="str">
        <f>PROPER(TEXT(A2353,"mmmm"))</f>
        <v>Septiembre</v>
      </c>
      <c r="X2353" t="str">
        <f>PROPER(TEXT(A2353,"dddd"))</f>
        <v>Jueves</v>
      </c>
      <c r="Y2353" t="str" cm="1">
        <f t="array" ref="Y2353">_xlfn.IFS(R2353&gt;10,"Excelente",R2353&gt;=5,"Bueno",R2353&gt;=2,"Débil",R2353&lt;2,"Deficiente")</f>
        <v>Excelente</v>
      </c>
      <c r="Z2353" t="str">
        <f>IF(AND(R2353&lt;2,Q2353&gt;=100),"Revisar","OK")</f>
        <v>OK</v>
      </c>
      <c r="AA2353" s="55">
        <f>_xlfn.XLOOKUP(C2353,'Preguntas de negocio'!$C$114:$C$119,'Preguntas de negocio'!$D$114:$D$119,0)</f>
        <v>5</v>
      </c>
      <c r="AB2353" s="55">
        <f>VLOOKUP(C2353,'Preguntas de negocio'!$C$121:$D$127,2,FALSE)</f>
        <v>1.1000000000000001</v>
      </c>
    </row>
    <row r="2354" spans="1:28" x14ac:dyDescent="0.3">
      <c r="A2354" s="1">
        <v>45934</v>
      </c>
      <c r="B2354" s="2" t="s">
        <v>2615</v>
      </c>
      <c r="C2354" s="2" t="s">
        <v>2515</v>
      </c>
      <c r="D2354" s="2" t="s">
        <v>2516</v>
      </c>
      <c r="E2354" s="2" t="s">
        <v>2517</v>
      </c>
      <c r="F2354" s="3">
        <v>118195</v>
      </c>
      <c r="G2354" s="3">
        <v>1928</v>
      </c>
      <c r="H2354" s="3">
        <v>27</v>
      </c>
      <c r="I2354" s="4">
        <v>3626.58</v>
      </c>
      <c r="J2354" s="4">
        <v>5357.18</v>
      </c>
      <c r="K2354" s="3">
        <v>21</v>
      </c>
      <c r="L2354" s="2" t="s">
        <v>2536</v>
      </c>
      <c r="M2354" s="2" t="s">
        <v>2537</v>
      </c>
      <c r="N2354" s="8">
        <f>IFERROR(G2354/F2354,0)</f>
        <v>1.6312026735479504E-2</v>
      </c>
      <c r="O2354" s="8">
        <f>IFERROR(H2354/G2354,0)</f>
        <v>1.4004149377593362E-2</v>
      </c>
      <c r="P2354" s="4">
        <f>IFERROR(I2354/G2354,0)</f>
        <v>1.8810062240663901</v>
      </c>
      <c r="Q2354" s="4">
        <f>IFERROR(I2354/H2354,0)</f>
        <v>134.31777777777776</v>
      </c>
      <c r="R2354" s="12">
        <f>IFERROR(J2354/I2354,0)</f>
        <v>1.4771989036502711</v>
      </c>
      <c r="S2354" s="7">
        <f>Tabla_nuevas_columnas[[#This Row],[ROAS]]</f>
        <v>1.4771989036502711</v>
      </c>
      <c r="T2354" t="str">
        <f>_xlfn.CONCAT(C2354,"-",D2354)</f>
        <v>Email-México</v>
      </c>
      <c r="U2354">
        <f>YEAR(A2354)</f>
        <v>2025</v>
      </c>
      <c r="V2354">
        <f>MONTH(A2354)</f>
        <v>10</v>
      </c>
      <c r="W2354" t="str">
        <f>PROPER(TEXT(A2354,"mmmm"))</f>
        <v>Octubre</v>
      </c>
      <c r="X2354" t="str">
        <f>PROPER(TEXT(A2354,"dddd"))</f>
        <v>Sábado</v>
      </c>
      <c r="Y2354" t="str" cm="1">
        <f t="array" ref="Y2354">_xlfn.IFS(R2354&gt;10,"Excelente",R2354&gt;=5,"Bueno",R2354&gt;=2,"Débil",R2354&lt;2,"Deficiente")</f>
        <v>Deficiente</v>
      </c>
      <c r="Z2354" t="str">
        <f>IF(AND(R2354&lt;2,Q2354&gt;=100),"Revisar","OK")</f>
        <v>Revisar</v>
      </c>
      <c r="AA2354" s="55">
        <f>_xlfn.XLOOKUP(C2354,'Preguntas de negocio'!$C$114:$C$119,'Preguntas de negocio'!$D$114:$D$119,0)</f>
        <v>5.5</v>
      </c>
      <c r="AB2354" s="55">
        <f>VLOOKUP(C2354,'Preguntas de negocio'!$C$121:$D$127,2,FALSE)</f>
        <v>0.65</v>
      </c>
    </row>
    <row r="2355" spans="1:28" x14ac:dyDescent="0.3">
      <c r="A2355" s="1">
        <v>45718</v>
      </c>
      <c r="B2355" s="2" t="s">
        <v>2642</v>
      </c>
      <c r="C2355" s="2" t="s">
        <v>2515</v>
      </c>
      <c r="D2355" s="2" t="s">
        <v>2516</v>
      </c>
      <c r="E2355" s="2" t="s">
        <v>2517</v>
      </c>
      <c r="F2355" s="3">
        <v>79984</v>
      </c>
      <c r="G2355" s="3">
        <v>989</v>
      </c>
      <c r="H2355" s="3">
        <v>61</v>
      </c>
      <c r="I2355" s="4">
        <v>716.74</v>
      </c>
      <c r="J2355" s="4">
        <v>9932.16</v>
      </c>
      <c r="K2355" s="3">
        <v>37</v>
      </c>
      <c r="L2355" s="2" t="s">
        <v>2523</v>
      </c>
      <c r="M2355" s="2" t="s">
        <v>2519</v>
      </c>
      <c r="N2355" s="8">
        <f>IFERROR(G2355/F2355,0)</f>
        <v>1.2364972994598919E-2</v>
      </c>
      <c r="O2355" s="8">
        <f>IFERROR(H2355/G2355,0)</f>
        <v>6.167846309403438E-2</v>
      </c>
      <c r="P2355" s="4">
        <f>IFERROR(I2355/G2355,0)</f>
        <v>0.72471183013144591</v>
      </c>
      <c r="Q2355" s="4">
        <f>IFERROR(I2355/H2355,0)</f>
        <v>11.749836065573771</v>
      </c>
      <c r="R2355" s="12">
        <f>IFERROR(J2355/I2355,0)</f>
        <v>13.857409939448056</v>
      </c>
      <c r="S2355" s="7">
        <f>Tabla_nuevas_columnas[[#This Row],[ROAS]]</f>
        <v>13.857409939448056</v>
      </c>
      <c r="T2355" t="str">
        <f>_xlfn.CONCAT(C2355,"-",D2355)</f>
        <v>Email-México</v>
      </c>
      <c r="U2355">
        <f>YEAR(A2355)</f>
        <v>2025</v>
      </c>
      <c r="V2355">
        <f>MONTH(A2355)</f>
        <v>3</v>
      </c>
      <c r="W2355" t="str">
        <f>PROPER(TEXT(A2355,"mmmm"))</f>
        <v>Marzo</v>
      </c>
      <c r="X2355" t="str">
        <f>PROPER(TEXT(A2355,"dddd"))</f>
        <v>Domingo</v>
      </c>
      <c r="Y2355" t="str" cm="1">
        <f t="array" ref="Y2355">_xlfn.IFS(R2355&gt;10,"Excelente",R2355&gt;=5,"Bueno",R2355&gt;=2,"Débil",R2355&lt;2,"Deficiente")</f>
        <v>Excelente</v>
      </c>
      <c r="Z2355" t="str">
        <f>IF(AND(R2355&lt;2,Q2355&gt;=100),"Revisar","OK")</f>
        <v>OK</v>
      </c>
      <c r="AA2355" s="55">
        <f>_xlfn.XLOOKUP(C2355,'Preguntas de negocio'!$C$114:$C$119,'Preguntas de negocio'!$D$114:$D$119,0)</f>
        <v>5.5</v>
      </c>
      <c r="AB2355" s="55">
        <f>VLOOKUP(C2355,'Preguntas de negocio'!$C$121:$D$127,2,FALSE)</f>
        <v>0.65</v>
      </c>
    </row>
    <row r="2356" spans="1:28" x14ac:dyDescent="0.3">
      <c r="A2356" s="1">
        <v>45963</v>
      </c>
      <c r="B2356" s="2" t="s">
        <v>2623</v>
      </c>
      <c r="C2356" s="2" t="s">
        <v>2521</v>
      </c>
      <c r="D2356" s="2" t="s">
        <v>2525</v>
      </c>
      <c r="E2356" s="2" t="s">
        <v>2517</v>
      </c>
      <c r="F2356" s="3">
        <v>52118</v>
      </c>
      <c r="G2356" s="3">
        <v>3992</v>
      </c>
      <c r="H2356" s="3">
        <v>501</v>
      </c>
      <c r="I2356" s="4">
        <v>4372.91</v>
      </c>
      <c r="J2356" s="4">
        <v>68998.720000000001</v>
      </c>
      <c r="K2356" s="3">
        <v>400</v>
      </c>
      <c r="L2356" s="2" t="s">
        <v>2536</v>
      </c>
      <c r="M2356" s="2" t="s">
        <v>2526</v>
      </c>
      <c r="N2356" s="8">
        <f>IFERROR(G2356/F2356,0)</f>
        <v>7.659541808971948E-2</v>
      </c>
      <c r="O2356" s="8">
        <f>IFERROR(H2356/G2356,0)</f>
        <v>0.12550100200400802</v>
      </c>
      <c r="P2356" s="4">
        <f>IFERROR(I2356/G2356,0)</f>
        <v>1.0954183366733468</v>
      </c>
      <c r="Q2356" s="4">
        <f>IFERROR(I2356/H2356,0)</f>
        <v>8.7283632734530929</v>
      </c>
      <c r="R2356" s="12">
        <f>IFERROR(J2356/I2356,0)</f>
        <v>15.778673697835082</v>
      </c>
      <c r="S2356" s="7">
        <f>Tabla_nuevas_columnas[[#This Row],[ROAS]]</f>
        <v>15.778673697835082</v>
      </c>
      <c r="T2356" t="str">
        <f>_xlfn.CONCAT(C2356,"-",D2356)</f>
        <v>Paid Search-Francia</v>
      </c>
      <c r="U2356">
        <f>YEAR(A2356)</f>
        <v>2025</v>
      </c>
      <c r="V2356">
        <f>MONTH(A2356)</f>
        <v>11</v>
      </c>
      <c r="W2356" t="str">
        <f>PROPER(TEXT(A2356,"mmmm"))</f>
        <v>Noviembre</v>
      </c>
      <c r="X2356" t="str">
        <f>PROPER(TEXT(A2356,"dddd"))</f>
        <v>Domingo</v>
      </c>
      <c r="Y2356" t="str" cm="1">
        <f t="array" ref="Y2356">_xlfn.IFS(R2356&gt;10,"Excelente",R2356&gt;=5,"Bueno",R2356&gt;=2,"Débil",R2356&lt;2,"Deficiente")</f>
        <v>Excelente</v>
      </c>
      <c r="Z2356" t="str">
        <f>IF(AND(R2356&lt;2,Q2356&gt;=100),"Revisar","OK")</f>
        <v>OK</v>
      </c>
      <c r="AA2356" s="55">
        <f>_xlfn.XLOOKUP(C2356,'Preguntas de negocio'!$C$114:$C$119,'Preguntas de negocio'!$D$114:$D$119,0)</f>
        <v>5</v>
      </c>
      <c r="AB2356" s="55">
        <f>VLOOKUP(C2356,'Preguntas de negocio'!$C$121:$D$127,2,FALSE)</f>
        <v>1.1000000000000001</v>
      </c>
    </row>
    <row r="2357" spans="1:28" x14ac:dyDescent="0.3">
      <c r="A2357" s="1">
        <v>45927</v>
      </c>
      <c r="B2357" s="2" t="s">
        <v>2639</v>
      </c>
      <c r="C2357" s="2" t="s">
        <v>2533</v>
      </c>
      <c r="D2357" s="2" t="s">
        <v>2516</v>
      </c>
      <c r="E2357" s="2" t="s">
        <v>2529</v>
      </c>
      <c r="F2357" s="3">
        <v>153671</v>
      </c>
      <c r="G2357" s="3">
        <v>7395</v>
      </c>
      <c r="H2357" s="3">
        <v>1020</v>
      </c>
      <c r="I2357" s="4">
        <v>13017.39</v>
      </c>
      <c r="J2357" s="4">
        <v>41588.89</v>
      </c>
      <c r="K2357" s="3">
        <v>783</v>
      </c>
      <c r="L2357" s="2" t="s">
        <v>2539</v>
      </c>
      <c r="M2357" s="2" t="s">
        <v>2526</v>
      </c>
      <c r="N2357" s="8">
        <f>IFERROR(G2357/F2357,0)</f>
        <v>4.812228722400453E-2</v>
      </c>
      <c r="O2357" s="8">
        <f>IFERROR(H2357/G2357,0)</f>
        <v>0.13793103448275862</v>
      </c>
      <c r="P2357" s="4">
        <f>IFERROR(I2357/G2357,0)</f>
        <v>1.7602961460446247</v>
      </c>
      <c r="Q2357" s="4">
        <f>IFERROR(I2357/H2357,0)</f>
        <v>12.762147058823528</v>
      </c>
      <c r="R2357" s="12">
        <f>IFERROR(J2357/I2357,0)</f>
        <v>3.1948716294126549</v>
      </c>
      <c r="S2357" s="7">
        <f>Tabla_nuevas_columnas[[#This Row],[ROAS]]</f>
        <v>3.1948716294126549</v>
      </c>
      <c r="T2357" t="str">
        <f>_xlfn.CONCAT(C2357,"-",D2357)</f>
        <v>Paid Social-México</v>
      </c>
      <c r="U2357">
        <f>YEAR(A2357)</f>
        <v>2025</v>
      </c>
      <c r="V2357">
        <f>MONTH(A2357)</f>
        <v>9</v>
      </c>
      <c r="W2357" t="str">
        <f>PROPER(TEXT(A2357,"mmmm"))</f>
        <v>Septiembre</v>
      </c>
      <c r="X2357" t="str">
        <f>PROPER(TEXT(A2357,"dddd"))</f>
        <v>Sábado</v>
      </c>
      <c r="Y2357" t="str" cm="1">
        <f t="array" ref="Y2357">_xlfn.IFS(R2357&gt;10,"Excelente",R2357&gt;=5,"Bueno",R2357&gt;=2,"Débil",R2357&lt;2,"Deficiente")</f>
        <v>Débil</v>
      </c>
      <c r="Z2357" t="str">
        <f>IF(AND(R2357&lt;2,Q2357&gt;=100),"Revisar","OK")</f>
        <v>OK</v>
      </c>
      <c r="AA2357" s="55">
        <f>_xlfn.XLOOKUP(C2357,'Preguntas de negocio'!$C$114:$C$119,'Preguntas de negocio'!$D$114:$D$119,0)</f>
        <v>6</v>
      </c>
      <c r="AB2357" s="55">
        <f>VLOOKUP(C2357,'Preguntas de negocio'!$C$121:$D$127,2,FALSE)</f>
        <v>0.8</v>
      </c>
    </row>
    <row r="2358" spans="1:28" x14ac:dyDescent="0.3">
      <c r="A2358" s="1">
        <v>45883</v>
      </c>
      <c r="B2358" s="2" t="s">
        <v>2642</v>
      </c>
      <c r="C2358" s="2" t="s">
        <v>2515</v>
      </c>
      <c r="D2358" s="2" t="s">
        <v>2528</v>
      </c>
      <c r="E2358" s="2" t="s">
        <v>2517</v>
      </c>
      <c r="F2358" s="3">
        <v>29530</v>
      </c>
      <c r="G2358" s="3">
        <v>278</v>
      </c>
      <c r="H2358" s="3">
        <v>6</v>
      </c>
      <c r="I2358" s="4">
        <v>33.97</v>
      </c>
      <c r="J2358" s="4">
        <v>1283.56</v>
      </c>
      <c r="K2358" s="3">
        <v>5</v>
      </c>
      <c r="L2358" s="2" t="s">
        <v>2518</v>
      </c>
      <c r="M2358" s="2" t="s">
        <v>2526</v>
      </c>
      <c r="N2358" s="8">
        <f>IFERROR(G2358/F2358,0)</f>
        <v>9.414155096512021E-3</v>
      </c>
      <c r="O2358" s="8">
        <f>IFERROR(H2358/G2358,0)</f>
        <v>2.1582733812949641E-2</v>
      </c>
      <c r="P2358" s="4">
        <f>IFERROR(I2358/G2358,0)</f>
        <v>0.12219424460431655</v>
      </c>
      <c r="Q2358" s="4">
        <f>IFERROR(I2358/H2358,0)</f>
        <v>5.6616666666666662</v>
      </c>
      <c r="R2358" s="12">
        <f>IFERROR(J2358/I2358,0)</f>
        <v>37.785104503974097</v>
      </c>
      <c r="S2358" s="7">
        <f>Tabla_nuevas_columnas[[#This Row],[ROAS]]</f>
        <v>37.785104503974097</v>
      </c>
      <c r="T2358" t="str">
        <f>_xlfn.CONCAT(C2358,"-",D2358)</f>
        <v>Email-España</v>
      </c>
      <c r="U2358">
        <f>YEAR(A2358)</f>
        <v>2025</v>
      </c>
      <c r="V2358">
        <f>MONTH(A2358)</f>
        <v>8</v>
      </c>
      <c r="W2358" t="str">
        <f>PROPER(TEXT(A2358,"mmmm"))</f>
        <v>Agosto</v>
      </c>
      <c r="X2358" t="str">
        <f>PROPER(TEXT(A2358,"dddd"))</f>
        <v>Jueves</v>
      </c>
      <c r="Y2358" t="str" cm="1">
        <f t="array" ref="Y2358">_xlfn.IFS(R2358&gt;10,"Excelente",R2358&gt;=5,"Bueno",R2358&gt;=2,"Débil",R2358&lt;2,"Deficiente")</f>
        <v>Excelente</v>
      </c>
      <c r="Z2358" t="str">
        <f>IF(AND(R2358&lt;2,Q2358&gt;=100),"Revisar","OK")</f>
        <v>OK</v>
      </c>
      <c r="AA2358" s="55">
        <f>_xlfn.XLOOKUP(C2358,'Preguntas de negocio'!$C$114:$C$119,'Preguntas de negocio'!$D$114:$D$119,0)</f>
        <v>5.5</v>
      </c>
      <c r="AB2358" s="55">
        <f>VLOOKUP(C2358,'Preguntas de negocio'!$C$121:$D$127,2,FALSE)</f>
        <v>0.65</v>
      </c>
    </row>
    <row r="2359" spans="1:28" x14ac:dyDescent="0.3">
      <c r="A2359" s="1">
        <v>45891</v>
      </c>
      <c r="B2359" s="2" t="s">
        <v>2643</v>
      </c>
      <c r="C2359" s="2" t="s">
        <v>2533</v>
      </c>
      <c r="D2359" s="2" t="s">
        <v>2528</v>
      </c>
      <c r="E2359" s="2" t="s">
        <v>2529</v>
      </c>
      <c r="F2359" s="3">
        <v>72677</v>
      </c>
      <c r="G2359" s="3">
        <v>5047</v>
      </c>
      <c r="H2359" s="3">
        <v>118</v>
      </c>
      <c r="I2359" s="4">
        <v>5325.2</v>
      </c>
      <c r="J2359" s="4">
        <v>14030.83</v>
      </c>
      <c r="K2359" s="3">
        <v>72</v>
      </c>
      <c r="L2359" s="2" t="s">
        <v>2518</v>
      </c>
      <c r="M2359" s="2" t="s">
        <v>2524</v>
      </c>
      <c r="N2359" s="8">
        <f>IFERROR(G2359/F2359,0)</f>
        <v>6.9444253340121359E-2</v>
      </c>
      <c r="O2359" s="8">
        <f>IFERROR(H2359/G2359,0)</f>
        <v>2.3380225876758469E-2</v>
      </c>
      <c r="P2359" s="4">
        <f>IFERROR(I2359/G2359,0)</f>
        <v>1.0551218545670695</v>
      </c>
      <c r="Q2359" s="4">
        <f>IFERROR(I2359/H2359,0)</f>
        <v>45.128813559322033</v>
      </c>
      <c r="R2359" s="12">
        <f>IFERROR(J2359/I2359,0)</f>
        <v>2.6347986930068354</v>
      </c>
      <c r="S2359" s="7">
        <f>Tabla_nuevas_columnas[[#This Row],[ROAS]]</f>
        <v>2.6347986930068354</v>
      </c>
      <c r="T2359" t="str">
        <f>_xlfn.CONCAT(C2359,"-",D2359)</f>
        <v>Paid Social-España</v>
      </c>
      <c r="U2359">
        <f>YEAR(A2359)</f>
        <v>2025</v>
      </c>
      <c r="V2359">
        <f>MONTH(A2359)</f>
        <v>8</v>
      </c>
      <c r="W2359" t="str">
        <f>PROPER(TEXT(A2359,"mmmm"))</f>
        <v>Agosto</v>
      </c>
      <c r="X2359" t="str">
        <f>PROPER(TEXT(A2359,"dddd"))</f>
        <v>Viernes</v>
      </c>
      <c r="Y2359" t="str" cm="1">
        <f t="array" ref="Y2359">_xlfn.IFS(R2359&gt;10,"Excelente",R2359&gt;=5,"Bueno",R2359&gt;=2,"Débil",R2359&lt;2,"Deficiente")</f>
        <v>Débil</v>
      </c>
      <c r="Z2359" t="str">
        <f>IF(AND(R2359&lt;2,Q2359&gt;=100),"Revisar","OK")</f>
        <v>OK</v>
      </c>
      <c r="AA2359" s="55">
        <f>_xlfn.XLOOKUP(C2359,'Preguntas de negocio'!$C$114:$C$119,'Preguntas de negocio'!$D$114:$D$119,0)</f>
        <v>6</v>
      </c>
      <c r="AB2359" s="55">
        <f>VLOOKUP(C2359,'Preguntas de negocio'!$C$121:$D$127,2,FALSE)</f>
        <v>0.8</v>
      </c>
    </row>
    <row r="2360" spans="1:28" x14ac:dyDescent="0.3">
      <c r="A2360" s="1">
        <v>45885</v>
      </c>
      <c r="B2360" s="2" t="s">
        <v>2644</v>
      </c>
      <c r="C2360" s="2" t="s">
        <v>2533</v>
      </c>
      <c r="D2360" s="2" t="s">
        <v>2531</v>
      </c>
      <c r="E2360" s="2" t="s">
        <v>2529</v>
      </c>
      <c r="F2360" s="3">
        <v>19451</v>
      </c>
      <c r="G2360" s="3">
        <v>1076</v>
      </c>
      <c r="H2360" s="3">
        <v>55</v>
      </c>
      <c r="I2360" s="4">
        <v>1782.7</v>
      </c>
      <c r="J2360" s="4">
        <v>10580.99</v>
      </c>
      <c r="K2360" s="3">
        <v>31</v>
      </c>
      <c r="L2360" s="2" t="s">
        <v>2518</v>
      </c>
      <c r="M2360" s="2" t="s">
        <v>2546</v>
      </c>
      <c r="N2360" s="8">
        <f>IFERROR(G2360/F2360,0)</f>
        <v>5.5318492622487274E-2</v>
      </c>
      <c r="O2360" s="8">
        <f>IFERROR(H2360/G2360,0)</f>
        <v>5.111524163568773E-2</v>
      </c>
      <c r="P2360" s="4">
        <f>IFERROR(I2360/G2360,0)</f>
        <v>1.6567843866171004</v>
      </c>
      <c r="Q2360" s="4">
        <f>IFERROR(I2360/H2360,0)</f>
        <v>32.412727272727274</v>
      </c>
      <c r="R2360" s="12">
        <f>IFERROR(J2360/I2360,0)</f>
        <v>5.9353733101475283</v>
      </c>
      <c r="S2360" s="7">
        <f>Tabla_nuevas_columnas[[#This Row],[ROAS]]</f>
        <v>5.9353733101475283</v>
      </c>
      <c r="T2360" t="str">
        <f>_xlfn.CONCAT(C2360,"-",D2360)</f>
        <v>Paid Social-Portugal</v>
      </c>
      <c r="U2360">
        <f>YEAR(A2360)</f>
        <v>2025</v>
      </c>
      <c r="V2360">
        <f>MONTH(A2360)</f>
        <v>8</v>
      </c>
      <c r="W2360" t="str">
        <f>PROPER(TEXT(A2360,"mmmm"))</f>
        <v>Agosto</v>
      </c>
      <c r="X2360" t="str">
        <f>PROPER(TEXT(A2360,"dddd"))</f>
        <v>Sábado</v>
      </c>
      <c r="Y2360" t="str" cm="1">
        <f t="array" ref="Y2360">_xlfn.IFS(R2360&gt;10,"Excelente",R2360&gt;=5,"Bueno",R2360&gt;=2,"Débil",R2360&lt;2,"Deficiente")</f>
        <v>Bueno</v>
      </c>
      <c r="Z2360" t="str">
        <f>IF(AND(R2360&lt;2,Q2360&gt;=100),"Revisar","OK")</f>
        <v>OK</v>
      </c>
      <c r="AA2360" s="55">
        <f>_xlfn.XLOOKUP(C2360,'Preguntas de negocio'!$C$114:$C$119,'Preguntas de negocio'!$D$114:$D$119,0)</f>
        <v>6</v>
      </c>
      <c r="AB2360" s="55">
        <f>VLOOKUP(C2360,'Preguntas de negocio'!$C$121:$D$127,2,FALSE)</f>
        <v>0.8</v>
      </c>
    </row>
    <row r="2361" spans="1:28" x14ac:dyDescent="0.3">
      <c r="A2361" s="1">
        <v>45815</v>
      </c>
      <c r="B2361" s="2" t="s">
        <v>2627</v>
      </c>
      <c r="C2361" s="2" t="s">
        <v>2521</v>
      </c>
      <c r="D2361" s="2" t="s">
        <v>2516</v>
      </c>
      <c r="E2361" s="2" t="s">
        <v>2517</v>
      </c>
      <c r="F2361" s="3">
        <v>24633</v>
      </c>
      <c r="G2361" s="3">
        <v>786</v>
      </c>
      <c r="H2361" s="3">
        <v>32</v>
      </c>
      <c r="I2361" s="4">
        <v>300.83</v>
      </c>
      <c r="J2361" s="4">
        <v>5931.67</v>
      </c>
      <c r="K2361" s="3">
        <v>22</v>
      </c>
      <c r="L2361" s="2" t="s">
        <v>2518</v>
      </c>
      <c r="M2361" s="2" t="s">
        <v>2524</v>
      </c>
      <c r="N2361" s="8">
        <f>IFERROR(G2361/F2361,0)</f>
        <v>3.1908415540129097E-2</v>
      </c>
      <c r="O2361" s="8">
        <f>IFERROR(H2361/G2361,0)</f>
        <v>4.0712468193384227E-2</v>
      </c>
      <c r="P2361" s="4">
        <f>IFERROR(I2361/G2361,0)</f>
        <v>0.38273536895674298</v>
      </c>
      <c r="Q2361" s="4">
        <f>IFERROR(I2361/H2361,0)</f>
        <v>9.4009374999999995</v>
      </c>
      <c r="R2361" s="12">
        <f>IFERROR(J2361/I2361,0)</f>
        <v>19.717681082338864</v>
      </c>
      <c r="S2361" s="7">
        <f>Tabla_nuevas_columnas[[#This Row],[ROAS]]</f>
        <v>19.717681082338864</v>
      </c>
      <c r="T2361" t="str">
        <f>_xlfn.CONCAT(C2361,"-",D2361)</f>
        <v>Paid Search-México</v>
      </c>
      <c r="U2361">
        <f>YEAR(A2361)</f>
        <v>2025</v>
      </c>
      <c r="V2361">
        <f>MONTH(A2361)</f>
        <v>6</v>
      </c>
      <c r="W2361" t="str">
        <f>PROPER(TEXT(A2361,"mmmm"))</f>
        <v>Junio</v>
      </c>
      <c r="X2361" t="str">
        <f>PROPER(TEXT(A2361,"dddd"))</f>
        <v>Sábado</v>
      </c>
      <c r="Y2361" t="str" cm="1">
        <f t="array" ref="Y2361">_xlfn.IFS(R2361&gt;10,"Excelente",R2361&gt;=5,"Bueno",R2361&gt;=2,"Débil",R2361&lt;2,"Deficiente")</f>
        <v>Excelente</v>
      </c>
      <c r="Z2361" t="str">
        <f>IF(AND(R2361&lt;2,Q2361&gt;=100),"Revisar","OK")</f>
        <v>OK</v>
      </c>
      <c r="AA2361" s="55">
        <f>_xlfn.XLOOKUP(C2361,'Preguntas de negocio'!$C$114:$C$119,'Preguntas de negocio'!$D$114:$D$119,0)</f>
        <v>5</v>
      </c>
      <c r="AB2361" s="55">
        <f>VLOOKUP(C2361,'Preguntas de negocio'!$C$121:$D$127,2,FALSE)</f>
        <v>1.1000000000000001</v>
      </c>
    </row>
    <row r="2362" spans="1:28" x14ac:dyDescent="0.3">
      <c r="A2362" s="1">
        <v>45989</v>
      </c>
      <c r="B2362" s="2" t="s">
        <v>2639</v>
      </c>
      <c r="C2362" s="2" t="s">
        <v>2515</v>
      </c>
      <c r="D2362" s="2" t="s">
        <v>2525</v>
      </c>
      <c r="E2362" s="2" t="s">
        <v>2529</v>
      </c>
      <c r="F2362" s="3">
        <v>92803</v>
      </c>
      <c r="G2362" s="3">
        <v>7973</v>
      </c>
      <c r="H2362" s="3">
        <v>131</v>
      </c>
      <c r="I2362" s="4">
        <v>12099.2</v>
      </c>
      <c r="J2362" s="4">
        <v>4560.53</v>
      </c>
      <c r="K2362" s="3">
        <v>105</v>
      </c>
      <c r="L2362" s="2" t="s">
        <v>2518</v>
      </c>
      <c r="M2362" s="2" t="s">
        <v>2546</v>
      </c>
      <c r="N2362" s="8">
        <f>IFERROR(G2362/F2362,0)</f>
        <v>8.5913170910423151E-2</v>
      </c>
      <c r="O2362" s="8">
        <f>IFERROR(H2362/G2362,0)</f>
        <v>1.6430452778126176E-2</v>
      </c>
      <c r="P2362" s="4">
        <f>IFERROR(I2362/G2362,0)</f>
        <v>1.5175216355198797</v>
      </c>
      <c r="Q2362" s="4">
        <f>IFERROR(I2362/H2362,0)</f>
        <v>92.360305343511456</v>
      </c>
      <c r="R2362" s="12">
        <f>IFERROR(J2362/I2362,0)</f>
        <v>0.37692822665961384</v>
      </c>
      <c r="S2362" s="7">
        <f>Tabla_nuevas_columnas[[#This Row],[ROAS]]</f>
        <v>0.37692822665961384</v>
      </c>
      <c r="T2362" t="str">
        <f>_xlfn.CONCAT(C2362,"-",D2362)</f>
        <v>Email-Francia</v>
      </c>
      <c r="U2362">
        <f>YEAR(A2362)</f>
        <v>2025</v>
      </c>
      <c r="V2362">
        <f>MONTH(A2362)</f>
        <v>11</v>
      </c>
      <c r="W2362" t="str">
        <f>PROPER(TEXT(A2362,"mmmm"))</f>
        <v>Noviembre</v>
      </c>
      <c r="X2362" t="str">
        <f>PROPER(TEXT(A2362,"dddd"))</f>
        <v>Viernes</v>
      </c>
      <c r="Y2362" t="str" cm="1">
        <f t="array" ref="Y2362">_xlfn.IFS(R2362&gt;10,"Excelente",R2362&gt;=5,"Bueno",R2362&gt;=2,"Débil",R2362&lt;2,"Deficiente")</f>
        <v>Deficiente</v>
      </c>
      <c r="Z2362" t="str">
        <f>IF(AND(R2362&lt;2,Q2362&gt;=100),"Revisar","OK")</f>
        <v>OK</v>
      </c>
      <c r="AA2362" s="55">
        <f>_xlfn.XLOOKUP(C2362,'Preguntas de negocio'!$C$114:$C$119,'Preguntas de negocio'!$D$114:$D$119,0)</f>
        <v>5.5</v>
      </c>
      <c r="AB2362" s="55">
        <f>VLOOKUP(C2362,'Preguntas de negocio'!$C$121:$D$127,2,FALSE)</f>
        <v>0.65</v>
      </c>
    </row>
    <row r="2363" spans="1:28" x14ac:dyDescent="0.3">
      <c r="A2363" s="1">
        <v>45869</v>
      </c>
      <c r="B2363" s="2" t="s">
        <v>2641</v>
      </c>
      <c r="C2363" s="2" t="s">
        <v>2515</v>
      </c>
      <c r="D2363" s="2" t="s">
        <v>2528</v>
      </c>
      <c r="E2363" s="2" t="s">
        <v>2534</v>
      </c>
      <c r="F2363" s="3">
        <v>19513</v>
      </c>
      <c r="G2363" s="3">
        <v>1215</v>
      </c>
      <c r="H2363" s="3">
        <v>62</v>
      </c>
      <c r="I2363" s="4">
        <v>1388.53</v>
      </c>
      <c r="J2363" s="4">
        <v>13062.47</v>
      </c>
      <c r="K2363" s="3">
        <v>29</v>
      </c>
      <c r="L2363" s="2" t="s">
        <v>2536</v>
      </c>
      <c r="M2363" s="2" t="s">
        <v>2519</v>
      </c>
      <c r="N2363" s="8">
        <f>IFERROR(G2363/F2363,0)</f>
        <v>6.2266181520012301E-2</v>
      </c>
      <c r="O2363" s="8">
        <f>IFERROR(H2363/G2363,0)</f>
        <v>5.1028806584362138E-2</v>
      </c>
      <c r="P2363" s="4">
        <f>IFERROR(I2363/G2363,0)</f>
        <v>1.1428230452674897</v>
      </c>
      <c r="Q2363" s="4">
        <f>IFERROR(I2363/H2363,0)</f>
        <v>22.395645161290322</v>
      </c>
      <c r="R2363" s="12">
        <f>IFERROR(J2363/I2363,0)</f>
        <v>9.4074092745565459</v>
      </c>
      <c r="S2363" s="7">
        <f>Tabla_nuevas_columnas[[#This Row],[ROAS]]</f>
        <v>9.4074092745565459</v>
      </c>
      <c r="T2363" t="str">
        <f>_xlfn.CONCAT(C2363,"-",D2363)</f>
        <v>Email-España</v>
      </c>
      <c r="U2363">
        <f>YEAR(A2363)</f>
        <v>2025</v>
      </c>
      <c r="V2363">
        <f>MONTH(A2363)</f>
        <v>7</v>
      </c>
      <c r="W2363" t="str">
        <f>PROPER(TEXT(A2363,"mmmm"))</f>
        <v>Julio</v>
      </c>
      <c r="X2363" t="str">
        <f>PROPER(TEXT(A2363,"dddd"))</f>
        <v>Jueves</v>
      </c>
      <c r="Y2363" t="str" cm="1">
        <f t="array" ref="Y2363">_xlfn.IFS(R2363&gt;10,"Excelente",R2363&gt;=5,"Bueno",R2363&gt;=2,"Débil",R2363&lt;2,"Deficiente")</f>
        <v>Bueno</v>
      </c>
      <c r="Z2363" t="str">
        <f>IF(AND(R2363&lt;2,Q2363&gt;=100),"Revisar","OK")</f>
        <v>OK</v>
      </c>
      <c r="AA2363" s="55">
        <f>_xlfn.XLOOKUP(C2363,'Preguntas de negocio'!$C$114:$C$119,'Preguntas de negocio'!$D$114:$D$119,0)</f>
        <v>5.5</v>
      </c>
      <c r="AB2363" s="55">
        <f>VLOOKUP(C2363,'Preguntas de negocio'!$C$121:$D$127,2,FALSE)</f>
        <v>0.65</v>
      </c>
    </row>
    <row r="2364" spans="1:28" x14ac:dyDescent="0.3">
      <c r="A2364" s="1">
        <v>45973</v>
      </c>
      <c r="B2364" s="2" t="s">
        <v>2633</v>
      </c>
      <c r="C2364" s="2" t="s">
        <v>2543</v>
      </c>
      <c r="D2364" s="2" t="s">
        <v>2528</v>
      </c>
      <c r="E2364" s="2" t="s">
        <v>2517</v>
      </c>
      <c r="F2364" s="3">
        <v>139870</v>
      </c>
      <c r="G2364" s="3">
        <v>6061</v>
      </c>
      <c r="H2364" s="3">
        <v>811</v>
      </c>
      <c r="I2364" s="4">
        <v>2823.88</v>
      </c>
      <c r="J2364" s="4">
        <v>134104.56</v>
      </c>
      <c r="K2364" s="3">
        <v>570</v>
      </c>
      <c r="L2364" s="2" t="s">
        <v>2536</v>
      </c>
      <c r="M2364" s="2" t="s">
        <v>2537</v>
      </c>
      <c r="N2364" s="8">
        <f>IFERROR(G2364/F2364,0)</f>
        <v>4.3333095016801312E-2</v>
      </c>
      <c r="O2364" s="8">
        <f>IFERROR(H2364/G2364,0)</f>
        <v>0.13380630259033163</v>
      </c>
      <c r="P2364" s="4">
        <f>IFERROR(I2364/G2364,0)</f>
        <v>0.46590991585546943</v>
      </c>
      <c r="Q2364" s="4">
        <f>IFERROR(I2364/H2364,0)</f>
        <v>3.4819728729963009</v>
      </c>
      <c r="R2364" s="12">
        <f>IFERROR(J2364/I2364,0)</f>
        <v>47.489468391008117</v>
      </c>
      <c r="S2364" s="7">
        <f>Tabla_nuevas_columnas[[#This Row],[ROAS]]</f>
        <v>47.489468391008117</v>
      </c>
      <c r="T2364" t="str">
        <f>_xlfn.CONCAT(C2364,"-",D2364)</f>
        <v>Organic Social-España</v>
      </c>
      <c r="U2364">
        <f>YEAR(A2364)</f>
        <v>2025</v>
      </c>
      <c r="V2364">
        <f>MONTH(A2364)</f>
        <v>11</v>
      </c>
      <c r="W2364" t="str">
        <f>PROPER(TEXT(A2364,"mmmm"))</f>
        <v>Noviembre</v>
      </c>
      <c r="X2364" t="str">
        <f>PROPER(TEXT(A2364,"dddd"))</f>
        <v>Miércoles</v>
      </c>
      <c r="Y2364" t="str" cm="1">
        <f t="array" ref="Y2364">_xlfn.IFS(R2364&gt;10,"Excelente",R2364&gt;=5,"Bueno",R2364&gt;=2,"Débil",R2364&lt;2,"Deficiente")</f>
        <v>Excelente</v>
      </c>
      <c r="Z2364" t="str">
        <f>IF(AND(R2364&lt;2,Q2364&gt;=100),"Revisar","OK")</f>
        <v>OK</v>
      </c>
      <c r="AA2364" s="55">
        <f>_xlfn.XLOOKUP(C2364,'Preguntas de negocio'!$C$114:$C$119,'Preguntas de negocio'!$D$114:$D$119,0)</f>
        <v>4</v>
      </c>
      <c r="AB2364" s="55">
        <f>VLOOKUP(C2364,'Preguntas de negocio'!$C$121:$D$127,2,FALSE)</f>
        <v>0.95</v>
      </c>
    </row>
    <row r="2365" spans="1:28" x14ac:dyDescent="0.3">
      <c r="A2365" s="1">
        <v>45682</v>
      </c>
      <c r="B2365" s="2" t="s">
        <v>2642</v>
      </c>
      <c r="C2365" s="2" t="s">
        <v>2527</v>
      </c>
      <c r="D2365" s="2" t="s">
        <v>2525</v>
      </c>
      <c r="E2365" s="2" t="s">
        <v>2517</v>
      </c>
      <c r="F2365" s="3">
        <v>104530</v>
      </c>
      <c r="G2365" s="3">
        <v>6590</v>
      </c>
      <c r="H2365" s="3">
        <v>474</v>
      </c>
      <c r="I2365" s="4">
        <v>7214.8</v>
      </c>
      <c r="J2365" s="4">
        <v>76628.23</v>
      </c>
      <c r="K2365" s="3">
        <v>384</v>
      </c>
      <c r="L2365" s="2" t="s">
        <v>2523</v>
      </c>
      <c r="M2365" s="2" t="s">
        <v>2526</v>
      </c>
      <c r="N2365" s="8">
        <f>IFERROR(G2365/F2365,0)</f>
        <v>6.3044102171625371E-2</v>
      </c>
      <c r="O2365" s="8">
        <f>IFERROR(H2365/G2365,0)</f>
        <v>7.192716236722306E-2</v>
      </c>
      <c r="P2365" s="4">
        <f>IFERROR(I2365/G2365,0)</f>
        <v>1.0948103186646434</v>
      </c>
      <c r="Q2365" s="4">
        <f>IFERROR(I2365/H2365,0)</f>
        <v>15.221097046413503</v>
      </c>
      <c r="R2365" s="12">
        <f>IFERROR(J2365/I2365,0)</f>
        <v>10.620977712479901</v>
      </c>
      <c r="S2365" s="7">
        <f>Tabla_nuevas_columnas[[#This Row],[ROAS]]</f>
        <v>10.620977712479901</v>
      </c>
      <c r="T2365" t="str">
        <f>_xlfn.CONCAT(C2365,"-",D2365)</f>
        <v>Affiliate-Francia</v>
      </c>
      <c r="U2365">
        <f>YEAR(A2365)</f>
        <v>2025</v>
      </c>
      <c r="V2365">
        <f>MONTH(A2365)</f>
        <v>1</v>
      </c>
      <c r="W2365" t="str">
        <f>PROPER(TEXT(A2365,"mmmm"))</f>
        <v>Enero</v>
      </c>
      <c r="X2365" t="str">
        <f>PROPER(TEXT(A2365,"dddd"))</f>
        <v>Sábado</v>
      </c>
      <c r="Y2365" t="str" cm="1">
        <f t="array" ref="Y2365">_xlfn.IFS(R2365&gt;10,"Excelente",R2365&gt;=5,"Bueno",R2365&gt;=2,"Débil",R2365&lt;2,"Deficiente")</f>
        <v>Excelente</v>
      </c>
      <c r="Z2365" t="str">
        <f>IF(AND(R2365&lt;2,Q2365&gt;=100),"Revisar","OK")</f>
        <v>OK</v>
      </c>
      <c r="AA2365" s="55">
        <f>_xlfn.XLOOKUP(C2365,'Preguntas de negocio'!$C$114:$C$119,'Preguntas de negocio'!$D$114:$D$119,0)</f>
        <v>4.5</v>
      </c>
      <c r="AB2365" s="55">
        <f>VLOOKUP(C2365,'Preguntas de negocio'!$C$121:$D$127,2,FALSE)</f>
        <v>0.35</v>
      </c>
    </row>
    <row r="2366" spans="1:28" x14ac:dyDescent="0.3">
      <c r="A2366" s="1">
        <v>45964</v>
      </c>
      <c r="B2366" s="2" t="s">
        <v>2618</v>
      </c>
      <c r="C2366" s="2" t="s">
        <v>2533</v>
      </c>
      <c r="D2366" s="2" t="s">
        <v>2528</v>
      </c>
      <c r="E2366" s="2" t="s">
        <v>2529</v>
      </c>
      <c r="F2366" s="3">
        <v>163979</v>
      </c>
      <c r="G2366" s="3">
        <v>10871</v>
      </c>
      <c r="H2366" s="3">
        <v>1045</v>
      </c>
      <c r="I2366" s="4">
        <v>14415.42</v>
      </c>
      <c r="J2366" s="4">
        <v>112137.65</v>
      </c>
      <c r="K2366" s="3">
        <v>841</v>
      </c>
      <c r="L2366" s="2" t="s">
        <v>2523</v>
      </c>
      <c r="M2366" s="2" t="s">
        <v>2526</v>
      </c>
      <c r="N2366" s="8">
        <f>IFERROR(G2366/F2366,0)</f>
        <v>6.6295074369278992E-2</v>
      </c>
      <c r="O2366" s="8">
        <f>IFERROR(H2366/G2366,0)</f>
        <v>9.6127311194922266E-2</v>
      </c>
      <c r="P2366" s="4">
        <f>IFERROR(I2366/G2366,0)</f>
        <v>1.3260436022445037</v>
      </c>
      <c r="Q2366" s="4">
        <f>IFERROR(I2366/H2366,0)</f>
        <v>13.79466028708134</v>
      </c>
      <c r="R2366" s="12">
        <f>IFERROR(J2366/I2366,0)</f>
        <v>7.7790067857891056</v>
      </c>
      <c r="S2366" s="7">
        <f>Tabla_nuevas_columnas[[#This Row],[ROAS]]</f>
        <v>7.7790067857891056</v>
      </c>
      <c r="T2366" t="str">
        <f>_xlfn.CONCAT(C2366,"-",D2366)</f>
        <v>Paid Social-España</v>
      </c>
      <c r="U2366">
        <f>YEAR(A2366)</f>
        <v>2025</v>
      </c>
      <c r="V2366">
        <f>MONTH(A2366)</f>
        <v>11</v>
      </c>
      <c r="W2366" t="str">
        <f>PROPER(TEXT(A2366,"mmmm"))</f>
        <v>Noviembre</v>
      </c>
      <c r="X2366" t="str">
        <f>PROPER(TEXT(A2366,"dddd"))</f>
        <v>Lunes</v>
      </c>
      <c r="Y2366" t="str" cm="1">
        <f t="array" ref="Y2366">_xlfn.IFS(R2366&gt;10,"Excelente",R2366&gt;=5,"Bueno",R2366&gt;=2,"Débil",R2366&lt;2,"Deficiente")</f>
        <v>Bueno</v>
      </c>
      <c r="Z2366" t="str">
        <f>IF(AND(R2366&lt;2,Q2366&gt;=100),"Revisar","OK")</f>
        <v>OK</v>
      </c>
      <c r="AA2366" s="55">
        <f>_xlfn.XLOOKUP(C2366,'Preguntas de negocio'!$C$114:$C$119,'Preguntas de negocio'!$D$114:$D$119,0)</f>
        <v>6</v>
      </c>
      <c r="AB2366" s="55">
        <f>VLOOKUP(C2366,'Preguntas de negocio'!$C$121:$D$127,2,FALSE)</f>
        <v>0.8</v>
      </c>
    </row>
    <row r="2367" spans="1:28" x14ac:dyDescent="0.3">
      <c r="A2367" s="1">
        <v>45705</v>
      </c>
      <c r="B2367" s="2" t="s">
        <v>2641</v>
      </c>
      <c r="C2367" s="2" t="s">
        <v>2527</v>
      </c>
      <c r="D2367" s="2" t="s">
        <v>2525</v>
      </c>
      <c r="E2367" s="2" t="s">
        <v>2517</v>
      </c>
      <c r="F2367" s="3">
        <v>152420</v>
      </c>
      <c r="G2367" s="3">
        <v>2297</v>
      </c>
      <c r="H2367" s="3">
        <v>296</v>
      </c>
      <c r="I2367" s="4">
        <v>709.33</v>
      </c>
      <c r="J2367" s="4">
        <v>32651.22</v>
      </c>
      <c r="K2367" s="3">
        <v>266</v>
      </c>
      <c r="L2367" s="2" t="s">
        <v>2539</v>
      </c>
      <c r="M2367" s="2" t="s">
        <v>2524</v>
      </c>
      <c r="N2367" s="8">
        <f>IFERROR(G2367/F2367,0)</f>
        <v>1.507020076105498E-2</v>
      </c>
      <c r="O2367" s="8">
        <f>IFERROR(H2367/G2367,0)</f>
        <v>0.12886373530692208</v>
      </c>
      <c r="P2367" s="4">
        <f>IFERROR(I2367/G2367,0)</f>
        <v>0.30880713974749674</v>
      </c>
      <c r="Q2367" s="4">
        <f>IFERROR(I2367/H2367,0)</f>
        <v>2.3963851351351351</v>
      </c>
      <c r="R2367" s="12">
        <f>IFERROR(J2367/I2367,0)</f>
        <v>46.031071574584466</v>
      </c>
      <c r="S2367" s="7">
        <f>Tabla_nuevas_columnas[[#This Row],[ROAS]]</f>
        <v>46.031071574584466</v>
      </c>
      <c r="T2367" t="str">
        <f>_xlfn.CONCAT(C2367,"-",D2367)</f>
        <v>Affiliate-Francia</v>
      </c>
      <c r="U2367">
        <f>YEAR(A2367)</f>
        <v>2025</v>
      </c>
      <c r="V2367">
        <f>MONTH(A2367)</f>
        <v>2</v>
      </c>
      <c r="W2367" t="str">
        <f>PROPER(TEXT(A2367,"mmmm"))</f>
        <v>Febrero</v>
      </c>
      <c r="X2367" t="str">
        <f>PROPER(TEXT(A2367,"dddd"))</f>
        <v>Lunes</v>
      </c>
      <c r="Y2367" t="str" cm="1">
        <f t="array" ref="Y2367">_xlfn.IFS(R2367&gt;10,"Excelente",R2367&gt;=5,"Bueno",R2367&gt;=2,"Débil",R2367&lt;2,"Deficiente")</f>
        <v>Excelente</v>
      </c>
      <c r="Z2367" t="str">
        <f>IF(AND(R2367&lt;2,Q2367&gt;=100),"Revisar","OK")</f>
        <v>OK</v>
      </c>
      <c r="AA2367" s="55">
        <f>_xlfn.XLOOKUP(C2367,'Preguntas de negocio'!$C$114:$C$119,'Preguntas de negocio'!$D$114:$D$119,0)</f>
        <v>4.5</v>
      </c>
      <c r="AB2367" s="55">
        <f>VLOOKUP(C2367,'Preguntas de negocio'!$C$121:$D$127,2,FALSE)</f>
        <v>0.35</v>
      </c>
    </row>
    <row r="2368" spans="1:28" x14ac:dyDescent="0.3">
      <c r="A2368" s="1">
        <v>45936</v>
      </c>
      <c r="B2368" s="2" t="s">
        <v>2630</v>
      </c>
      <c r="C2368" s="2" t="s">
        <v>2543</v>
      </c>
      <c r="D2368" s="2" t="s">
        <v>2528</v>
      </c>
      <c r="E2368" s="2" t="s">
        <v>2529</v>
      </c>
      <c r="F2368" s="3">
        <v>96797</v>
      </c>
      <c r="G2368" s="3">
        <v>2065</v>
      </c>
      <c r="H2368" s="3">
        <v>85</v>
      </c>
      <c r="I2368" s="4">
        <v>1378.3</v>
      </c>
      <c r="J2368" s="4">
        <v>2011.12</v>
      </c>
      <c r="K2368" s="3">
        <v>59</v>
      </c>
      <c r="L2368" s="2" t="s">
        <v>2536</v>
      </c>
      <c r="M2368" s="2" t="s">
        <v>2526</v>
      </c>
      <c r="N2368" s="8">
        <f>IFERROR(G2368/F2368,0)</f>
        <v>2.1333305784270173E-2</v>
      </c>
      <c r="O2368" s="8">
        <f>IFERROR(H2368/G2368,0)</f>
        <v>4.1162227602905568E-2</v>
      </c>
      <c r="P2368" s="4">
        <f>IFERROR(I2368/G2368,0)</f>
        <v>0.66745762711864409</v>
      </c>
      <c r="Q2368" s="4">
        <f>IFERROR(I2368/H2368,0)</f>
        <v>16.215294117647058</v>
      </c>
      <c r="R2368" s="12">
        <f>IFERROR(J2368/I2368,0)</f>
        <v>1.4591308133207574</v>
      </c>
      <c r="S2368" s="7">
        <f>Tabla_nuevas_columnas[[#This Row],[ROAS]]</f>
        <v>1.4591308133207574</v>
      </c>
      <c r="T2368" t="str">
        <f>_xlfn.CONCAT(C2368,"-",D2368)</f>
        <v>Organic Social-España</v>
      </c>
      <c r="U2368">
        <f>YEAR(A2368)</f>
        <v>2025</v>
      </c>
      <c r="V2368">
        <f>MONTH(A2368)</f>
        <v>10</v>
      </c>
      <c r="W2368" t="str">
        <f>PROPER(TEXT(A2368,"mmmm"))</f>
        <v>Octubre</v>
      </c>
      <c r="X2368" t="str">
        <f>PROPER(TEXT(A2368,"dddd"))</f>
        <v>Lunes</v>
      </c>
      <c r="Y2368" t="str" cm="1">
        <f t="array" ref="Y2368">_xlfn.IFS(R2368&gt;10,"Excelente",R2368&gt;=5,"Bueno",R2368&gt;=2,"Débil",R2368&lt;2,"Deficiente")</f>
        <v>Deficiente</v>
      </c>
      <c r="Z2368" t="str">
        <f>IF(AND(R2368&lt;2,Q2368&gt;=100),"Revisar","OK")</f>
        <v>OK</v>
      </c>
      <c r="AA2368" s="55">
        <f>_xlfn.XLOOKUP(C2368,'Preguntas de negocio'!$C$114:$C$119,'Preguntas de negocio'!$D$114:$D$119,0)</f>
        <v>4</v>
      </c>
      <c r="AB2368" s="55">
        <f>VLOOKUP(C2368,'Preguntas de negocio'!$C$121:$D$127,2,FALSE)</f>
        <v>0.95</v>
      </c>
    </row>
    <row r="2369" spans="1:28" x14ac:dyDescent="0.3">
      <c r="A2369" s="1">
        <v>45875</v>
      </c>
      <c r="B2369" s="2" t="s">
        <v>2624</v>
      </c>
      <c r="C2369" s="2" t="s">
        <v>2527</v>
      </c>
      <c r="D2369" s="2" t="s">
        <v>2522</v>
      </c>
      <c r="E2369" s="2" t="s">
        <v>2529</v>
      </c>
      <c r="F2369" s="3">
        <v>150173</v>
      </c>
      <c r="G2369" s="3">
        <v>13170</v>
      </c>
      <c r="H2369" s="3">
        <v>88</v>
      </c>
      <c r="I2369" s="4">
        <v>23279.98</v>
      </c>
      <c r="J2369" s="4">
        <v>4308.62</v>
      </c>
      <c r="K2369" s="3">
        <v>61</v>
      </c>
      <c r="L2369" s="2" t="s">
        <v>2518</v>
      </c>
      <c r="M2369" s="2" t="s">
        <v>2519</v>
      </c>
      <c r="N2369" s="8">
        <f>IFERROR(G2369/F2369,0)</f>
        <v>8.769885398840005E-2</v>
      </c>
      <c r="O2369" s="8">
        <f>IFERROR(H2369/G2369,0)</f>
        <v>6.6818526955201218E-3</v>
      </c>
      <c r="P2369" s="4">
        <f>IFERROR(I2369/G2369,0)</f>
        <v>1.7676522399392558</v>
      </c>
      <c r="Q2369" s="4">
        <f>IFERROR(I2369/H2369,0)</f>
        <v>264.54522727272729</v>
      </c>
      <c r="R2369" s="12">
        <f>IFERROR(J2369/I2369,0)</f>
        <v>0.18507833769616641</v>
      </c>
      <c r="S2369" s="7">
        <f>Tabla_nuevas_columnas[[#This Row],[ROAS]]</f>
        <v>0.18507833769616641</v>
      </c>
      <c r="T2369" t="str">
        <f>_xlfn.CONCAT(C2369,"-",D2369)</f>
        <v>Affiliate-Italia</v>
      </c>
      <c r="U2369">
        <f>YEAR(A2369)</f>
        <v>2025</v>
      </c>
      <c r="V2369">
        <f>MONTH(A2369)</f>
        <v>8</v>
      </c>
      <c r="W2369" t="str">
        <f>PROPER(TEXT(A2369,"mmmm"))</f>
        <v>Agosto</v>
      </c>
      <c r="X2369" t="str">
        <f>PROPER(TEXT(A2369,"dddd"))</f>
        <v>Miércoles</v>
      </c>
      <c r="Y2369" t="str" cm="1">
        <f t="array" ref="Y2369">_xlfn.IFS(R2369&gt;10,"Excelente",R2369&gt;=5,"Bueno",R2369&gt;=2,"Débil",R2369&lt;2,"Deficiente")</f>
        <v>Deficiente</v>
      </c>
      <c r="Z2369" t="str">
        <f>IF(AND(R2369&lt;2,Q2369&gt;=100),"Revisar","OK")</f>
        <v>Revisar</v>
      </c>
      <c r="AA2369" s="55">
        <f>_xlfn.XLOOKUP(C2369,'Preguntas de negocio'!$C$114:$C$119,'Preguntas de negocio'!$D$114:$D$119,0)</f>
        <v>4.5</v>
      </c>
      <c r="AB2369" s="55">
        <f>VLOOKUP(C2369,'Preguntas de negocio'!$C$121:$D$127,2,FALSE)</f>
        <v>0.35</v>
      </c>
    </row>
    <row r="2370" spans="1:28" x14ac:dyDescent="0.3">
      <c r="A2370" s="1">
        <v>45740</v>
      </c>
      <c r="B2370" s="2" t="s">
        <v>2633</v>
      </c>
      <c r="C2370" s="2" t="s">
        <v>2521</v>
      </c>
      <c r="D2370" s="2" t="s">
        <v>2522</v>
      </c>
      <c r="E2370" s="2" t="s">
        <v>2517</v>
      </c>
      <c r="F2370" s="3">
        <v>63088</v>
      </c>
      <c r="G2370" s="3">
        <v>4672</v>
      </c>
      <c r="H2370" s="3">
        <v>514</v>
      </c>
      <c r="I2370" s="4">
        <v>3053.46</v>
      </c>
      <c r="J2370" s="4">
        <v>81746.13</v>
      </c>
      <c r="K2370" s="3">
        <v>278</v>
      </c>
      <c r="L2370" s="2" t="s">
        <v>2523</v>
      </c>
      <c r="M2370" s="2" t="s">
        <v>2546</v>
      </c>
      <c r="N2370" s="8">
        <f>IFERROR(G2370/F2370,0)</f>
        <v>7.4055287851889418E-2</v>
      </c>
      <c r="O2370" s="8">
        <f>IFERROR(H2370/G2370,0)</f>
        <v>0.11001712328767123</v>
      </c>
      <c r="P2370" s="4">
        <f>IFERROR(I2370/G2370,0)</f>
        <v>0.65356592465753427</v>
      </c>
      <c r="Q2370" s="4">
        <f>IFERROR(I2370/H2370,0)</f>
        <v>5.940583657587549</v>
      </c>
      <c r="R2370" s="12">
        <f>IFERROR(J2370/I2370,0)</f>
        <v>26.771639386139004</v>
      </c>
      <c r="S2370" s="7">
        <f>Tabla_nuevas_columnas[[#This Row],[ROAS]]</f>
        <v>26.771639386139004</v>
      </c>
      <c r="T2370" t="str">
        <f>_xlfn.CONCAT(C2370,"-",D2370)</f>
        <v>Paid Search-Italia</v>
      </c>
      <c r="U2370">
        <f>YEAR(A2370)</f>
        <v>2025</v>
      </c>
      <c r="V2370">
        <f>MONTH(A2370)</f>
        <v>3</v>
      </c>
      <c r="W2370" t="str">
        <f>PROPER(TEXT(A2370,"mmmm"))</f>
        <v>Marzo</v>
      </c>
      <c r="X2370" t="str">
        <f>PROPER(TEXT(A2370,"dddd"))</f>
        <v>Lunes</v>
      </c>
      <c r="Y2370" t="str" cm="1">
        <f t="array" ref="Y2370">_xlfn.IFS(R2370&gt;10,"Excelente",R2370&gt;=5,"Bueno",R2370&gt;=2,"Débil",R2370&lt;2,"Deficiente")</f>
        <v>Excelente</v>
      </c>
      <c r="Z2370" t="str">
        <f>IF(AND(R2370&lt;2,Q2370&gt;=100),"Revisar","OK")</f>
        <v>OK</v>
      </c>
      <c r="AA2370" s="55">
        <f>_xlfn.XLOOKUP(C2370,'Preguntas de negocio'!$C$114:$C$119,'Preguntas de negocio'!$D$114:$D$119,0)</f>
        <v>5</v>
      </c>
      <c r="AB2370" s="55">
        <f>VLOOKUP(C2370,'Preguntas de negocio'!$C$121:$D$127,2,FALSE)</f>
        <v>1.1000000000000001</v>
      </c>
    </row>
    <row r="2371" spans="1:28" x14ac:dyDescent="0.3">
      <c r="A2371" s="1">
        <v>45808</v>
      </c>
      <c r="B2371" s="2" t="s">
        <v>2623</v>
      </c>
      <c r="C2371" s="2" t="s">
        <v>2541</v>
      </c>
      <c r="D2371" s="2" t="s">
        <v>2525</v>
      </c>
      <c r="E2371" s="2" t="s">
        <v>2517</v>
      </c>
      <c r="F2371" s="3">
        <v>50503</v>
      </c>
      <c r="G2371" s="3">
        <v>2701</v>
      </c>
      <c r="H2371" s="3">
        <v>210</v>
      </c>
      <c r="I2371" s="4">
        <v>319.08</v>
      </c>
      <c r="J2371" s="4">
        <v>21004.91</v>
      </c>
      <c r="K2371" s="3">
        <v>135</v>
      </c>
      <c r="L2371" s="2" t="s">
        <v>2539</v>
      </c>
      <c r="M2371" s="2" t="s">
        <v>2524</v>
      </c>
      <c r="N2371" s="8">
        <f>IFERROR(G2371/F2371,0)</f>
        <v>5.3481971368037541E-2</v>
      </c>
      <c r="O2371" s="8">
        <f>IFERROR(H2371/G2371,0)</f>
        <v>7.7748981858570904E-2</v>
      </c>
      <c r="P2371" s="4">
        <f>IFERROR(I2371/G2371,0)</f>
        <v>0.11813402443539429</v>
      </c>
      <c r="Q2371" s="4">
        <f>IFERROR(I2371/H2371,0)</f>
        <v>1.5194285714285714</v>
      </c>
      <c r="R2371" s="12">
        <f>IFERROR(J2371/I2371,0)</f>
        <v>65.829603861100665</v>
      </c>
      <c r="S2371" s="7">
        <f>Tabla_nuevas_columnas[[#This Row],[ROAS]]</f>
        <v>65.829603861100665</v>
      </c>
      <c r="T2371" t="str">
        <f>_xlfn.CONCAT(C2371,"-",D2371)</f>
        <v>Display-Francia</v>
      </c>
      <c r="U2371">
        <f>YEAR(A2371)</f>
        <v>2025</v>
      </c>
      <c r="V2371">
        <f>MONTH(A2371)</f>
        <v>5</v>
      </c>
      <c r="W2371" t="str">
        <f>PROPER(TEXT(A2371,"mmmm"))</f>
        <v>Mayo</v>
      </c>
      <c r="X2371" t="str">
        <f>PROPER(TEXT(A2371,"dddd"))</f>
        <v>Sábado</v>
      </c>
      <c r="Y2371" t="str" cm="1">
        <f t="array" ref="Y2371">_xlfn.IFS(R2371&gt;10,"Excelente",R2371&gt;=5,"Bueno",R2371&gt;=2,"Débil",R2371&lt;2,"Deficiente")</f>
        <v>Excelente</v>
      </c>
      <c r="Z2371" t="str">
        <f>IF(AND(R2371&lt;2,Q2371&gt;=100),"Revisar","OK")</f>
        <v>OK</v>
      </c>
      <c r="AA2371" s="55">
        <f>_xlfn.XLOOKUP(C2371,'Preguntas de negocio'!$C$114:$C$119,'Preguntas de negocio'!$D$114:$D$119,0)</f>
        <v>5</v>
      </c>
      <c r="AB2371" s="55">
        <f>VLOOKUP(C2371,'Preguntas de negocio'!$C$121:$D$127,2,FALSE)</f>
        <v>0.5</v>
      </c>
    </row>
    <row r="2372" spans="1:28" x14ac:dyDescent="0.3">
      <c r="A2372" s="1">
        <v>45939</v>
      </c>
      <c r="B2372" s="2" t="s">
        <v>2627</v>
      </c>
      <c r="C2372" s="2" t="s">
        <v>2543</v>
      </c>
      <c r="D2372" s="2" t="s">
        <v>2522</v>
      </c>
      <c r="E2372" s="2" t="s">
        <v>2529</v>
      </c>
      <c r="F2372" s="3">
        <v>171687</v>
      </c>
      <c r="G2372" s="3">
        <v>8541</v>
      </c>
      <c r="H2372" s="3">
        <v>344</v>
      </c>
      <c r="I2372" s="4">
        <v>10748.37</v>
      </c>
      <c r="J2372" s="4">
        <v>11884.79</v>
      </c>
      <c r="K2372" s="3">
        <v>233</v>
      </c>
      <c r="L2372" s="2" t="s">
        <v>2523</v>
      </c>
      <c r="M2372" s="2" t="s">
        <v>2537</v>
      </c>
      <c r="N2372" s="8">
        <f>IFERROR(G2372/F2372,0)</f>
        <v>4.9747505635254853E-2</v>
      </c>
      <c r="O2372" s="8">
        <f>IFERROR(H2372/G2372,0)</f>
        <v>4.0276314248916992E-2</v>
      </c>
      <c r="P2372" s="4">
        <f>IFERROR(I2372/G2372,0)</f>
        <v>1.2584439761152091</v>
      </c>
      <c r="Q2372" s="4">
        <f>IFERROR(I2372/H2372,0)</f>
        <v>31.245261627906981</v>
      </c>
      <c r="R2372" s="12">
        <f>IFERROR(J2372/I2372,0)</f>
        <v>1.1057295199179038</v>
      </c>
      <c r="S2372" s="7">
        <f>Tabla_nuevas_columnas[[#This Row],[ROAS]]</f>
        <v>1.1057295199179038</v>
      </c>
      <c r="T2372" t="str">
        <f>_xlfn.CONCAT(C2372,"-",D2372)</f>
        <v>Organic Social-Italia</v>
      </c>
      <c r="U2372">
        <f>YEAR(A2372)</f>
        <v>2025</v>
      </c>
      <c r="V2372">
        <f>MONTH(A2372)</f>
        <v>10</v>
      </c>
      <c r="W2372" t="str">
        <f>PROPER(TEXT(A2372,"mmmm"))</f>
        <v>Octubre</v>
      </c>
      <c r="X2372" t="str">
        <f>PROPER(TEXT(A2372,"dddd"))</f>
        <v>Jueves</v>
      </c>
      <c r="Y2372" t="str" cm="1">
        <f t="array" ref="Y2372">_xlfn.IFS(R2372&gt;10,"Excelente",R2372&gt;=5,"Bueno",R2372&gt;=2,"Débil",R2372&lt;2,"Deficiente")</f>
        <v>Deficiente</v>
      </c>
      <c r="Z2372" t="str">
        <f>IF(AND(R2372&lt;2,Q2372&gt;=100),"Revisar","OK")</f>
        <v>OK</v>
      </c>
      <c r="AA2372" s="55">
        <f>_xlfn.XLOOKUP(C2372,'Preguntas de negocio'!$C$114:$C$119,'Preguntas de negocio'!$D$114:$D$119,0)</f>
        <v>4</v>
      </c>
      <c r="AB2372" s="55">
        <f>VLOOKUP(C2372,'Preguntas de negocio'!$C$121:$D$127,2,FALSE)</f>
        <v>0.95</v>
      </c>
    </row>
    <row r="2373" spans="1:28" x14ac:dyDescent="0.3">
      <c r="A2373" s="1">
        <v>45945</v>
      </c>
      <c r="B2373" s="2" t="s">
        <v>2616</v>
      </c>
      <c r="C2373" s="2" t="s">
        <v>2543</v>
      </c>
      <c r="D2373" s="2" t="s">
        <v>2531</v>
      </c>
      <c r="E2373" s="2" t="s">
        <v>2529</v>
      </c>
      <c r="F2373" s="3">
        <v>85382</v>
      </c>
      <c r="G2373" s="3">
        <v>4664</v>
      </c>
      <c r="H2373" s="3">
        <v>556</v>
      </c>
      <c r="I2373" s="4">
        <v>5962.18</v>
      </c>
      <c r="J2373" s="4">
        <v>83397.56</v>
      </c>
      <c r="K2373" s="3">
        <v>280</v>
      </c>
      <c r="L2373" s="2" t="s">
        <v>2523</v>
      </c>
      <c r="M2373" s="2" t="s">
        <v>2546</v>
      </c>
      <c r="N2373" s="8">
        <f>IFERROR(G2373/F2373,0)</f>
        <v>5.4625096624581294E-2</v>
      </c>
      <c r="O2373" s="8">
        <f>IFERROR(H2373/G2373,0)</f>
        <v>0.11921097770154374</v>
      </c>
      <c r="P2373" s="4">
        <f>IFERROR(I2373/G2373,0)</f>
        <v>1.2783404802744427</v>
      </c>
      <c r="Q2373" s="4">
        <f>IFERROR(I2373/H2373,0)</f>
        <v>10.723345323741007</v>
      </c>
      <c r="R2373" s="12">
        <f>IFERROR(J2373/I2373,0)</f>
        <v>13.987762865260692</v>
      </c>
      <c r="S2373" s="7">
        <f>Tabla_nuevas_columnas[[#This Row],[ROAS]]</f>
        <v>13.987762865260692</v>
      </c>
      <c r="T2373" t="str">
        <f>_xlfn.CONCAT(C2373,"-",D2373)</f>
        <v>Organic Social-Portugal</v>
      </c>
      <c r="U2373">
        <f>YEAR(A2373)</f>
        <v>2025</v>
      </c>
      <c r="V2373">
        <f>MONTH(A2373)</f>
        <v>10</v>
      </c>
      <c r="W2373" t="str">
        <f>PROPER(TEXT(A2373,"mmmm"))</f>
        <v>Octubre</v>
      </c>
      <c r="X2373" t="str">
        <f>PROPER(TEXT(A2373,"dddd"))</f>
        <v>Miércoles</v>
      </c>
      <c r="Y2373" t="str" cm="1">
        <f t="array" ref="Y2373">_xlfn.IFS(R2373&gt;10,"Excelente",R2373&gt;=5,"Bueno",R2373&gt;=2,"Débil",R2373&lt;2,"Deficiente")</f>
        <v>Excelente</v>
      </c>
      <c r="Z2373" t="str">
        <f>IF(AND(R2373&lt;2,Q2373&gt;=100),"Revisar","OK")</f>
        <v>OK</v>
      </c>
      <c r="AA2373" s="55">
        <f>_xlfn.XLOOKUP(C2373,'Preguntas de negocio'!$C$114:$C$119,'Preguntas de negocio'!$D$114:$D$119,0)</f>
        <v>4</v>
      </c>
      <c r="AB2373" s="55">
        <f>VLOOKUP(C2373,'Preguntas de negocio'!$C$121:$D$127,2,FALSE)</f>
        <v>0.95</v>
      </c>
    </row>
    <row r="2374" spans="1:28" x14ac:dyDescent="0.3">
      <c r="A2374" s="1">
        <v>45998</v>
      </c>
      <c r="B2374" s="2" t="s">
        <v>2624</v>
      </c>
      <c r="C2374" s="2" t="s">
        <v>2541</v>
      </c>
      <c r="D2374" s="2" t="s">
        <v>2528</v>
      </c>
      <c r="E2374" s="2" t="s">
        <v>2534</v>
      </c>
      <c r="F2374" s="3">
        <v>99552</v>
      </c>
      <c r="G2374" s="3">
        <v>4854</v>
      </c>
      <c r="H2374" s="3">
        <v>88</v>
      </c>
      <c r="I2374" s="4">
        <v>3678.59</v>
      </c>
      <c r="J2374" s="4">
        <v>2313.58</v>
      </c>
      <c r="K2374" s="3">
        <v>56</v>
      </c>
      <c r="L2374" s="2" t="s">
        <v>2536</v>
      </c>
      <c r="M2374" s="2" t="s">
        <v>2546</v>
      </c>
      <c r="N2374" s="8">
        <f>IFERROR(G2374/F2374,0)</f>
        <v>4.8758437801350051E-2</v>
      </c>
      <c r="O2374" s="8">
        <f>IFERROR(H2374/G2374,0)</f>
        <v>1.8129377832715288E-2</v>
      </c>
      <c r="P2374" s="4">
        <f>IFERROR(I2374/G2374,0)</f>
        <v>0.75784713638236512</v>
      </c>
      <c r="Q2374" s="4">
        <f>IFERROR(I2374/H2374,0)</f>
        <v>41.802159090909093</v>
      </c>
      <c r="R2374" s="12">
        <f>IFERROR(J2374/I2374,0)</f>
        <v>0.62893119374542961</v>
      </c>
      <c r="S2374" s="7">
        <f>Tabla_nuevas_columnas[[#This Row],[ROAS]]</f>
        <v>0.62893119374542961</v>
      </c>
      <c r="T2374" t="str">
        <f>_xlfn.CONCAT(C2374,"-",D2374)</f>
        <v>Display-España</v>
      </c>
      <c r="U2374">
        <f>YEAR(A2374)</f>
        <v>2025</v>
      </c>
      <c r="V2374">
        <f>MONTH(A2374)</f>
        <v>12</v>
      </c>
      <c r="W2374" t="str">
        <f>PROPER(TEXT(A2374,"mmmm"))</f>
        <v>Diciembre</v>
      </c>
      <c r="X2374" t="str">
        <f>PROPER(TEXT(A2374,"dddd"))</f>
        <v>Domingo</v>
      </c>
      <c r="Y2374" t="str" cm="1">
        <f t="array" ref="Y2374">_xlfn.IFS(R2374&gt;10,"Excelente",R2374&gt;=5,"Bueno",R2374&gt;=2,"Débil",R2374&lt;2,"Deficiente")</f>
        <v>Deficiente</v>
      </c>
      <c r="Z2374" t="str">
        <f>IF(AND(R2374&lt;2,Q2374&gt;=100),"Revisar","OK")</f>
        <v>OK</v>
      </c>
      <c r="AA2374" s="55">
        <f>_xlfn.XLOOKUP(C2374,'Preguntas de negocio'!$C$114:$C$119,'Preguntas de negocio'!$D$114:$D$119,0)</f>
        <v>5</v>
      </c>
      <c r="AB2374" s="55">
        <f>VLOOKUP(C2374,'Preguntas de negocio'!$C$121:$D$127,2,FALSE)</f>
        <v>0.5</v>
      </c>
    </row>
    <row r="2375" spans="1:28" x14ac:dyDescent="0.3">
      <c r="A2375" s="1">
        <v>45925</v>
      </c>
      <c r="B2375" s="2" t="s">
        <v>2615</v>
      </c>
      <c r="C2375" s="2" t="s">
        <v>2541</v>
      </c>
      <c r="D2375" s="2" t="s">
        <v>2528</v>
      </c>
      <c r="E2375" s="2" t="s">
        <v>2529</v>
      </c>
      <c r="F2375" s="3">
        <v>106069</v>
      </c>
      <c r="G2375" s="3">
        <v>3404</v>
      </c>
      <c r="H2375" s="3">
        <v>92</v>
      </c>
      <c r="I2375" s="4">
        <v>5410.79</v>
      </c>
      <c r="J2375" s="4">
        <v>17172.98</v>
      </c>
      <c r="K2375" s="3">
        <v>59</v>
      </c>
      <c r="L2375" s="2" t="s">
        <v>2536</v>
      </c>
      <c r="M2375" s="2" t="s">
        <v>2519</v>
      </c>
      <c r="N2375" s="8">
        <f>IFERROR(G2375/F2375,0)</f>
        <v>3.2092317265176439E-2</v>
      </c>
      <c r="O2375" s="8">
        <f>IFERROR(H2375/G2375,0)</f>
        <v>2.7027027027027029E-2</v>
      </c>
      <c r="P2375" s="4">
        <f>IFERROR(I2375/G2375,0)</f>
        <v>1.5895387779083432</v>
      </c>
      <c r="Q2375" s="4">
        <f>IFERROR(I2375/H2375,0)</f>
        <v>58.812934782608693</v>
      </c>
      <c r="R2375" s="12">
        <f>IFERROR(J2375/I2375,0)</f>
        <v>3.1738396796031632</v>
      </c>
      <c r="S2375" s="7">
        <f>Tabla_nuevas_columnas[[#This Row],[ROAS]]</f>
        <v>3.1738396796031632</v>
      </c>
      <c r="T2375" t="str">
        <f>_xlfn.CONCAT(C2375,"-",D2375)</f>
        <v>Display-España</v>
      </c>
      <c r="U2375">
        <f>YEAR(A2375)</f>
        <v>2025</v>
      </c>
      <c r="V2375">
        <f>MONTH(A2375)</f>
        <v>9</v>
      </c>
      <c r="W2375" t="str">
        <f>PROPER(TEXT(A2375,"mmmm"))</f>
        <v>Septiembre</v>
      </c>
      <c r="X2375" t="str">
        <f>PROPER(TEXT(A2375,"dddd"))</f>
        <v>Jueves</v>
      </c>
      <c r="Y2375" t="str" cm="1">
        <f t="array" ref="Y2375">_xlfn.IFS(R2375&gt;10,"Excelente",R2375&gt;=5,"Bueno",R2375&gt;=2,"Débil",R2375&lt;2,"Deficiente")</f>
        <v>Débil</v>
      </c>
      <c r="Z2375" t="str">
        <f>IF(AND(R2375&lt;2,Q2375&gt;=100),"Revisar","OK")</f>
        <v>OK</v>
      </c>
      <c r="AA2375" s="55">
        <f>_xlfn.XLOOKUP(C2375,'Preguntas de negocio'!$C$114:$C$119,'Preguntas de negocio'!$D$114:$D$119,0)</f>
        <v>5</v>
      </c>
      <c r="AB2375" s="55">
        <f>VLOOKUP(C2375,'Preguntas de negocio'!$C$121:$D$127,2,FALSE)</f>
        <v>0.5</v>
      </c>
    </row>
    <row r="2376" spans="1:28" x14ac:dyDescent="0.3">
      <c r="A2376" s="1">
        <v>45697</v>
      </c>
      <c r="B2376" s="2" t="s">
        <v>2615</v>
      </c>
      <c r="C2376" s="2" t="s">
        <v>2543</v>
      </c>
      <c r="D2376" s="2" t="s">
        <v>2525</v>
      </c>
      <c r="E2376" s="2" t="s">
        <v>2517</v>
      </c>
      <c r="F2376" s="3">
        <v>28374</v>
      </c>
      <c r="G2376" s="3">
        <v>1867</v>
      </c>
      <c r="H2376" s="3">
        <v>52</v>
      </c>
      <c r="I2376" s="4">
        <v>3092.31</v>
      </c>
      <c r="J2376" s="4">
        <v>1647.67</v>
      </c>
      <c r="K2376" s="3">
        <v>28</v>
      </c>
      <c r="L2376" s="2" t="s">
        <v>2536</v>
      </c>
      <c r="M2376" s="2" t="s">
        <v>2526</v>
      </c>
      <c r="N2376" s="8">
        <f>IFERROR(G2376/F2376,0)</f>
        <v>6.5799675759498133E-2</v>
      </c>
      <c r="O2376" s="8">
        <f>IFERROR(H2376/G2376,0)</f>
        <v>2.785216925549009E-2</v>
      </c>
      <c r="P2376" s="4">
        <f>IFERROR(I2376/G2376,0)</f>
        <v>1.6562988752008569</v>
      </c>
      <c r="Q2376" s="4">
        <f>IFERROR(I2376/H2376,0)</f>
        <v>59.467500000000001</v>
      </c>
      <c r="R2376" s="12">
        <f>IFERROR(J2376/I2376,0)</f>
        <v>0.53282820933218211</v>
      </c>
      <c r="S2376" s="7">
        <f>Tabla_nuevas_columnas[[#This Row],[ROAS]]</f>
        <v>0.53282820933218211</v>
      </c>
      <c r="T2376" t="str">
        <f>_xlfn.CONCAT(C2376,"-",D2376)</f>
        <v>Organic Social-Francia</v>
      </c>
      <c r="U2376">
        <f>YEAR(A2376)</f>
        <v>2025</v>
      </c>
      <c r="V2376">
        <f>MONTH(A2376)</f>
        <v>2</v>
      </c>
      <c r="W2376" t="str">
        <f>PROPER(TEXT(A2376,"mmmm"))</f>
        <v>Febrero</v>
      </c>
      <c r="X2376" t="str">
        <f>PROPER(TEXT(A2376,"dddd"))</f>
        <v>Domingo</v>
      </c>
      <c r="Y2376" t="str" cm="1">
        <f t="array" ref="Y2376">_xlfn.IFS(R2376&gt;10,"Excelente",R2376&gt;=5,"Bueno",R2376&gt;=2,"Débil",R2376&lt;2,"Deficiente")</f>
        <v>Deficiente</v>
      </c>
      <c r="Z2376" t="str">
        <f>IF(AND(R2376&lt;2,Q2376&gt;=100),"Revisar","OK")</f>
        <v>OK</v>
      </c>
      <c r="AA2376" s="55">
        <f>_xlfn.XLOOKUP(C2376,'Preguntas de negocio'!$C$114:$C$119,'Preguntas de negocio'!$D$114:$D$119,0)</f>
        <v>4</v>
      </c>
      <c r="AB2376" s="55">
        <f>VLOOKUP(C2376,'Preguntas de negocio'!$C$121:$D$127,2,FALSE)</f>
        <v>0.95</v>
      </c>
    </row>
    <row r="2377" spans="1:28" x14ac:dyDescent="0.3">
      <c r="A2377" s="1">
        <v>45953</v>
      </c>
      <c r="B2377" s="2" t="s">
        <v>2619</v>
      </c>
      <c r="C2377" s="2" t="s">
        <v>2533</v>
      </c>
      <c r="D2377" s="2" t="s">
        <v>2525</v>
      </c>
      <c r="E2377" s="2" t="s">
        <v>2529</v>
      </c>
      <c r="F2377" s="3">
        <v>1214</v>
      </c>
      <c r="G2377" s="3">
        <v>49</v>
      </c>
      <c r="H2377" s="3">
        <v>2</v>
      </c>
      <c r="I2377" s="4">
        <v>50.07</v>
      </c>
      <c r="J2377" s="4">
        <v>252.03</v>
      </c>
      <c r="K2377" s="3">
        <v>1</v>
      </c>
      <c r="L2377" s="2" t="s">
        <v>2539</v>
      </c>
      <c r="M2377" s="2" t="s">
        <v>2526</v>
      </c>
      <c r="N2377" s="8">
        <f>IFERROR(G2377/F2377,0)</f>
        <v>4.0362438220757822E-2</v>
      </c>
      <c r="O2377" s="8">
        <f>IFERROR(H2377/G2377,0)</f>
        <v>4.0816326530612242E-2</v>
      </c>
      <c r="P2377" s="4">
        <f>IFERROR(I2377/G2377,0)</f>
        <v>1.0218367346938775</v>
      </c>
      <c r="Q2377" s="4">
        <f>IFERROR(I2377/H2377,0)</f>
        <v>25.035</v>
      </c>
      <c r="R2377" s="12">
        <f>IFERROR(J2377/I2377,0)</f>
        <v>5.0335530257639309</v>
      </c>
      <c r="S2377" s="7">
        <f>Tabla_nuevas_columnas[[#This Row],[ROAS]]</f>
        <v>5.0335530257639309</v>
      </c>
      <c r="T2377" t="str">
        <f>_xlfn.CONCAT(C2377,"-",D2377)</f>
        <v>Paid Social-Francia</v>
      </c>
      <c r="U2377">
        <f>YEAR(A2377)</f>
        <v>2025</v>
      </c>
      <c r="V2377">
        <f>MONTH(A2377)</f>
        <v>10</v>
      </c>
      <c r="W2377" t="str">
        <f>PROPER(TEXT(A2377,"mmmm"))</f>
        <v>Octubre</v>
      </c>
      <c r="X2377" t="str">
        <f>PROPER(TEXT(A2377,"dddd"))</f>
        <v>Jueves</v>
      </c>
      <c r="Y2377" t="str" cm="1">
        <f t="array" ref="Y2377">_xlfn.IFS(R2377&gt;10,"Excelente",R2377&gt;=5,"Bueno",R2377&gt;=2,"Débil",R2377&lt;2,"Deficiente")</f>
        <v>Bueno</v>
      </c>
      <c r="Z2377" t="str">
        <f>IF(AND(R2377&lt;2,Q2377&gt;=100),"Revisar","OK")</f>
        <v>OK</v>
      </c>
      <c r="AA2377" s="55">
        <f>_xlfn.XLOOKUP(C2377,'Preguntas de negocio'!$C$114:$C$119,'Preguntas de negocio'!$D$114:$D$119,0)</f>
        <v>6</v>
      </c>
      <c r="AB2377" s="55">
        <f>VLOOKUP(C2377,'Preguntas de negocio'!$C$121:$D$127,2,FALSE)</f>
        <v>0.8</v>
      </c>
    </row>
    <row r="2378" spans="1:28" x14ac:dyDescent="0.3">
      <c r="A2378" s="1">
        <v>45669</v>
      </c>
      <c r="B2378" s="2" t="s">
        <v>2615</v>
      </c>
      <c r="C2378" s="2" t="s">
        <v>2515</v>
      </c>
      <c r="D2378" s="2" t="s">
        <v>2528</v>
      </c>
      <c r="E2378" s="2" t="s">
        <v>2529</v>
      </c>
      <c r="F2378" s="3">
        <v>102229</v>
      </c>
      <c r="G2378" s="3">
        <v>8025</v>
      </c>
      <c r="H2378" s="3">
        <v>1062</v>
      </c>
      <c r="I2378" s="4">
        <v>14604.59</v>
      </c>
      <c r="J2378" s="4">
        <v>178659.09</v>
      </c>
      <c r="K2378" s="3">
        <v>827</v>
      </c>
      <c r="L2378" s="2" t="s">
        <v>2523</v>
      </c>
      <c r="M2378" s="2" t="s">
        <v>2546</v>
      </c>
      <c r="N2378" s="8">
        <f>IFERROR(G2378/F2378,0)</f>
        <v>7.8500229876062561E-2</v>
      </c>
      <c r="O2378" s="8">
        <f>IFERROR(H2378/G2378,0)</f>
        <v>0.13233644859813085</v>
      </c>
      <c r="P2378" s="4">
        <f>IFERROR(I2378/G2378,0)</f>
        <v>1.8198866043613708</v>
      </c>
      <c r="Q2378" s="4">
        <f>IFERROR(I2378/H2378,0)</f>
        <v>13.751967984934087</v>
      </c>
      <c r="R2378" s="12">
        <f>IFERROR(J2378/I2378,0)</f>
        <v>12.2330780939417</v>
      </c>
      <c r="S2378" s="7">
        <f>Tabla_nuevas_columnas[[#This Row],[ROAS]]</f>
        <v>12.2330780939417</v>
      </c>
      <c r="T2378" t="str">
        <f>_xlfn.CONCAT(C2378,"-",D2378)</f>
        <v>Email-España</v>
      </c>
      <c r="U2378">
        <f>YEAR(A2378)</f>
        <v>2025</v>
      </c>
      <c r="V2378">
        <f>MONTH(A2378)</f>
        <v>1</v>
      </c>
      <c r="W2378" t="str">
        <f>PROPER(TEXT(A2378,"mmmm"))</f>
        <v>Enero</v>
      </c>
      <c r="X2378" t="str">
        <f>PROPER(TEXT(A2378,"dddd"))</f>
        <v>Domingo</v>
      </c>
      <c r="Y2378" t="str" cm="1">
        <f t="array" ref="Y2378">_xlfn.IFS(R2378&gt;10,"Excelente",R2378&gt;=5,"Bueno",R2378&gt;=2,"Débil",R2378&lt;2,"Deficiente")</f>
        <v>Excelente</v>
      </c>
      <c r="Z2378" t="str">
        <f>IF(AND(R2378&lt;2,Q2378&gt;=100),"Revisar","OK")</f>
        <v>OK</v>
      </c>
      <c r="AA2378" s="55">
        <f>_xlfn.XLOOKUP(C2378,'Preguntas de negocio'!$C$114:$C$119,'Preguntas de negocio'!$D$114:$D$119,0)</f>
        <v>5.5</v>
      </c>
      <c r="AB2378" s="55">
        <f>VLOOKUP(C2378,'Preguntas de negocio'!$C$121:$D$127,2,FALSE)</f>
        <v>0.65</v>
      </c>
    </row>
    <row r="2379" spans="1:28" x14ac:dyDescent="0.3">
      <c r="A2379" s="1">
        <v>45722</v>
      </c>
      <c r="B2379" s="2" t="s">
        <v>2617</v>
      </c>
      <c r="C2379" s="2" t="s">
        <v>2543</v>
      </c>
      <c r="D2379" s="2" t="s">
        <v>2528</v>
      </c>
      <c r="E2379" s="2" t="s">
        <v>2517</v>
      </c>
      <c r="F2379" s="3">
        <v>126631</v>
      </c>
      <c r="G2379" s="3">
        <v>8670</v>
      </c>
      <c r="H2379" s="3">
        <v>820</v>
      </c>
      <c r="I2379" s="4">
        <v>17713.2</v>
      </c>
      <c r="J2379" s="4">
        <v>92482.89</v>
      </c>
      <c r="K2379" s="3">
        <v>587</v>
      </c>
      <c r="L2379" s="2" t="s">
        <v>2539</v>
      </c>
      <c r="M2379" s="2" t="s">
        <v>2537</v>
      </c>
      <c r="N2379" s="8">
        <f>IFERROR(G2379/F2379,0)</f>
        <v>6.8466647187497537E-2</v>
      </c>
      <c r="O2379" s="8">
        <f>IFERROR(H2379/G2379,0)</f>
        <v>9.4579008073817764E-2</v>
      </c>
      <c r="P2379" s="4">
        <f>IFERROR(I2379/G2379,0)</f>
        <v>2.0430449826989618</v>
      </c>
      <c r="Q2379" s="4">
        <f>IFERROR(I2379/H2379,0)</f>
        <v>21.601463414634146</v>
      </c>
      <c r="R2379" s="12">
        <f>IFERROR(J2379/I2379,0)</f>
        <v>5.2211283110900339</v>
      </c>
      <c r="S2379" s="7">
        <f>Tabla_nuevas_columnas[[#This Row],[ROAS]]</f>
        <v>5.2211283110900339</v>
      </c>
      <c r="T2379" t="str">
        <f>_xlfn.CONCAT(C2379,"-",D2379)</f>
        <v>Organic Social-España</v>
      </c>
      <c r="U2379">
        <f>YEAR(A2379)</f>
        <v>2025</v>
      </c>
      <c r="V2379">
        <f>MONTH(A2379)</f>
        <v>3</v>
      </c>
      <c r="W2379" t="str">
        <f>PROPER(TEXT(A2379,"mmmm"))</f>
        <v>Marzo</v>
      </c>
      <c r="X2379" t="str">
        <f>PROPER(TEXT(A2379,"dddd"))</f>
        <v>Jueves</v>
      </c>
      <c r="Y2379" t="str" cm="1">
        <f t="array" ref="Y2379">_xlfn.IFS(R2379&gt;10,"Excelente",R2379&gt;=5,"Bueno",R2379&gt;=2,"Débil",R2379&lt;2,"Deficiente")</f>
        <v>Bueno</v>
      </c>
      <c r="Z2379" t="str">
        <f>IF(AND(R2379&lt;2,Q2379&gt;=100),"Revisar","OK")</f>
        <v>OK</v>
      </c>
      <c r="AA2379" s="55">
        <f>_xlfn.XLOOKUP(C2379,'Preguntas de negocio'!$C$114:$C$119,'Preguntas de negocio'!$D$114:$D$119,0)</f>
        <v>4</v>
      </c>
      <c r="AB2379" s="55">
        <f>VLOOKUP(C2379,'Preguntas de negocio'!$C$121:$D$127,2,FALSE)</f>
        <v>0.95</v>
      </c>
    </row>
    <row r="2380" spans="1:28" x14ac:dyDescent="0.3">
      <c r="A2380" s="1">
        <v>46022</v>
      </c>
      <c r="B2380" s="2" t="s">
        <v>2631</v>
      </c>
      <c r="C2380" s="2" t="s">
        <v>2521</v>
      </c>
      <c r="D2380" s="2" t="s">
        <v>2525</v>
      </c>
      <c r="E2380" s="2" t="s">
        <v>2517</v>
      </c>
      <c r="F2380" s="3">
        <v>114197</v>
      </c>
      <c r="G2380" s="3">
        <v>3885</v>
      </c>
      <c r="H2380" s="3">
        <v>431</v>
      </c>
      <c r="I2380" s="4">
        <v>7387.11</v>
      </c>
      <c r="J2380" s="4">
        <v>69183.62</v>
      </c>
      <c r="K2380" s="3">
        <v>198</v>
      </c>
      <c r="L2380" s="2" t="s">
        <v>2536</v>
      </c>
      <c r="M2380" s="2" t="s">
        <v>2526</v>
      </c>
      <c r="N2380" s="8">
        <f>IFERROR(G2380/F2380,0)</f>
        <v>3.40201581477622E-2</v>
      </c>
      <c r="O2380" s="8">
        <f>IFERROR(H2380/G2380,0)</f>
        <v>0.11093951093951095</v>
      </c>
      <c r="P2380" s="4">
        <f>IFERROR(I2380/G2380,0)</f>
        <v>1.9014440154440153</v>
      </c>
      <c r="Q2380" s="4">
        <f>IFERROR(I2380/H2380,0)</f>
        <v>17.139466357308585</v>
      </c>
      <c r="R2380" s="12">
        <f>IFERROR(J2380/I2380,0)</f>
        <v>9.36545144176816</v>
      </c>
      <c r="S2380" s="7">
        <f>Tabla_nuevas_columnas[[#This Row],[ROAS]]</f>
        <v>9.36545144176816</v>
      </c>
      <c r="T2380" t="str">
        <f>_xlfn.CONCAT(C2380,"-",D2380)</f>
        <v>Paid Search-Francia</v>
      </c>
      <c r="U2380">
        <f>YEAR(A2380)</f>
        <v>2025</v>
      </c>
      <c r="V2380">
        <f>MONTH(A2380)</f>
        <v>12</v>
      </c>
      <c r="W2380" t="str">
        <f>PROPER(TEXT(A2380,"mmmm"))</f>
        <v>Diciembre</v>
      </c>
      <c r="X2380" t="str">
        <f>PROPER(TEXT(A2380,"dddd"))</f>
        <v>Miércoles</v>
      </c>
      <c r="Y2380" t="str" cm="1">
        <f t="array" ref="Y2380">_xlfn.IFS(R2380&gt;10,"Excelente",R2380&gt;=5,"Bueno",R2380&gt;=2,"Débil",R2380&lt;2,"Deficiente")</f>
        <v>Bueno</v>
      </c>
      <c r="Z2380" t="str">
        <f>IF(AND(R2380&lt;2,Q2380&gt;=100),"Revisar","OK")</f>
        <v>OK</v>
      </c>
      <c r="AA2380" s="55">
        <f>_xlfn.XLOOKUP(C2380,'Preguntas de negocio'!$C$114:$C$119,'Preguntas de negocio'!$D$114:$D$119,0)</f>
        <v>5</v>
      </c>
      <c r="AB2380" s="55">
        <f>VLOOKUP(C2380,'Preguntas de negocio'!$C$121:$D$127,2,FALSE)</f>
        <v>1.1000000000000001</v>
      </c>
    </row>
    <row r="2381" spans="1:28" x14ac:dyDescent="0.3">
      <c r="A2381" s="1">
        <v>46021</v>
      </c>
      <c r="B2381" s="2" t="s">
        <v>2622</v>
      </c>
      <c r="C2381" s="2" t="s">
        <v>2527</v>
      </c>
      <c r="D2381" s="2" t="s">
        <v>2528</v>
      </c>
      <c r="E2381" s="2" t="s">
        <v>2529</v>
      </c>
      <c r="F2381" s="3">
        <v>15873</v>
      </c>
      <c r="G2381" s="3">
        <v>680</v>
      </c>
      <c r="H2381" s="3">
        <v>32</v>
      </c>
      <c r="I2381" s="4">
        <v>252.96</v>
      </c>
      <c r="J2381" s="4">
        <v>4901.2299999999996</v>
      </c>
      <c r="K2381" s="3">
        <v>17</v>
      </c>
      <c r="L2381" s="2" t="s">
        <v>2518</v>
      </c>
      <c r="M2381" s="2" t="s">
        <v>2519</v>
      </c>
      <c r="N2381" s="8">
        <f>IFERROR(G2381/F2381,0)</f>
        <v>4.2840042840042843E-2</v>
      </c>
      <c r="O2381" s="8">
        <f>IFERROR(H2381/G2381,0)</f>
        <v>4.7058823529411764E-2</v>
      </c>
      <c r="P2381" s="4">
        <f>IFERROR(I2381/G2381,0)</f>
        <v>0.372</v>
      </c>
      <c r="Q2381" s="4">
        <f>IFERROR(I2381/H2381,0)</f>
        <v>7.9050000000000002</v>
      </c>
      <c r="R2381" s="12">
        <f>IFERROR(J2381/I2381,0)</f>
        <v>19.375513915243513</v>
      </c>
      <c r="S2381" s="7">
        <f>Tabla_nuevas_columnas[[#This Row],[ROAS]]</f>
        <v>19.375513915243513</v>
      </c>
      <c r="T2381" t="str">
        <f>_xlfn.CONCAT(C2381,"-",D2381)</f>
        <v>Affiliate-España</v>
      </c>
      <c r="U2381">
        <f>YEAR(A2381)</f>
        <v>2025</v>
      </c>
      <c r="V2381">
        <f>MONTH(A2381)</f>
        <v>12</v>
      </c>
      <c r="W2381" t="str">
        <f>PROPER(TEXT(A2381,"mmmm"))</f>
        <v>Diciembre</v>
      </c>
      <c r="X2381" t="str">
        <f>PROPER(TEXT(A2381,"dddd"))</f>
        <v>Martes</v>
      </c>
      <c r="Y2381" t="str" cm="1">
        <f t="array" ref="Y2381">_xlfn.IFS(R2381&gt;10,"Excelente",R2381&gt;=5,"Bueno",R2381&gt;=2,"Débil",R2381&lt;2,"Deficiente")</f>
        <v>Excelente</v>
      </c>
      <c r="Z2381" t="str">
        <f>IF(AND(R2381&lt;2,Q2381&gt;=100),"Revisar","OK")</f>
        <v>OK</v>
      </c>
      <c r="AA2381" s="55">
        <f>_xlfn.XLOOKUP(C2381,'Preguntas de negocio'!$C$114:$C$119,'Preguntas de negocio'!$D$114:$D$119,0)</f>
        <v>4.5</v>
      </c>
      <c r="AB2381" s="55">
        <f>VLOOKUP(C2381,'Preguntas de negocio'!$C$121:$D$127,2,FALSE)</f>
        <v>0.35</v>
      </c>
    </row>
    <row r="2382" spans="1:28" x14ac:dyDescent="0.3">
      <c r="A2382" s="1">
        <v>45847</v>
      </c>
      <c r="B2382" s="2" t="s">
        <v>2633</v>
      </c>
      <c r="C2382" s="2" t="s">
        <v>2541</v>
      </c>
      <c r="D2382" s="2" t="s">
        <v>2528</v>
      </c>
      <c r="E2382" s="2" t="s">
        <v>2534</v>
      </c>
      <c r="F2382" s="3">
        <v>158168</v>
      </c>
      <c r="G2382" s="3">
        <v>13117</v>
      </c>
      <c r="H2382" s="3">
        <v>204</v>
      </c>
      <c r="I2382" s="4">
        <v>18104.75</v>
      </c>
      <c r="J2382" s="4">
        <v>28768.66</v>
      </c>
      <c r="K2382" s="3">
        <v>135</v>
      </c>
      <c r="L2382" s="2" t="s">
        <v>2518</v>
      </c>
      <c r="M2382" s="2" t="s">
        <v>2519</v>
      </c>
      <c r="N2382" s="8">
        <f>IFERROR(G2382/F2382,0)</f>
        <v>8.2930807748722871E-2</v>
      </c>
      <c r="O2382" s="8">
        <f>IFERROR(H2382/G2382,0)</f>
        <v>1.5552336662346573E-2</v>
      </c>
      <c r="P2382" s="4">
        <f>IFERROR(I2382/G2382,0)</f>
        <v>1.3802508195471526</v>
      </c>
      <c r="Q2382" s="4">
        <f>IFERROR(I2382/H2382,0)</f>
        <v>88.748774509803923</v>
      </c>
      <c r="R2382" s="12">
        <f>IFERROR(J2382/I2382,0)</f>
        <v>1.589011723442743</v>
      </c>
      <c r="S2382" s="7">
        <f>Tabla_nuevas_columnas[[#This Row],[ROAS]]</f>
        <v>1.589011723442743</v>
      </c>
      <c r="T2382" t="str">
        <f>_xlfn.CONCAT(C2382,"-",D2382)</f>
        <v>Display-España</v>
      </c>
      <c r="U2382">
        <f>YEAR(A2382)</f>
        <v>2025</v>
      </c>
      <c r="V2382">
        <f>MONTH(A2382)</f>
        <v>7</v>
      </c>
      <c r="W2382" t="str">
        <f>PROPER(TEXT(A2382,"mmmm"))</f>
        <v>Julio</v>
      </c>
      <c r="X2382" t="str">
        <f>PROPER(TEXT(A2382,"dddd"))</f>
        <v>Miércoles</v>
      </c>
      <c r="Y2382" t="str" cm="1">
        <f t="array" ref="Y2382">_xlfn.IFS(R2382&gt;10,"Excelente",R2382&gt;=5,"Bueno",R2382&gt;=2,"Débil",R2382&lt;2,"Deficiente")</f>
        <v>Deficiente</v>
      </c>
      <c r="Z2382" t="str">
        <f>IF(AND(R2382&lt;2,Q2382&gt;=100),"Revisar","OK")</f>
        <v>OK</v>
      </c>
      <c r="AA2382" s="55">
        <f>_xlfn.XLOOKUP(C2382,'Preguntas de negocio'!$C$114:$C$119,'Preguntas de negocio'!$D$114:$D$119,0)</f>
        <v>5</v>
      </c>
      <c r="AB2382" s="55">
        <f>VLOOKUP(C2382,'Preguntas de negocio'!$C$121:$D$127,2,FALSE)</f>
        <v>0.5</v>
      </c>
    </row>
    <row r="2383" spans="1:28" x14ac:dyDescent="0.3">
      <c r="A2383" s="1">
        <v>45679</v>
      </c>
      <c r="B2383" s="2" t="s">
        <v>2637</v>
      </c>
      <c r="C2383" s="2" t="s">
        <v>2527</v>
      </c>
      <c r="D2383" s="2" t="s">
        <v>2531</v>
      </c>
      <c r="E2383" s="2" t="s">
        <v>2529</v>
      </c>
      <c r="F2383" s="3">
        <v>42981</v>
      </c>
      <c r="G2383" s="3">
        <v>2902</v>
      </c>
      <c r="H2383" s="3">
        <v>285</v>
      </c>
      <c r="I2383" s="4">
        <v>5485.4</v>
      </c>
      <c r="J2383" s="4">
        <v>57117.3</v>
      </c>
      <c r="K2383" s="3">
        <v>212</v>
      </c>
      <c r="L2383" s="2" t="s">
        <v>2523</v>
      </c>
      <c r="M2383" s="2" t="s">
        <v>2537</v>
      </c>
      <c r="N2383" s="8">
        <f>IFERROR(G2383/F2383,0)</f>
        <v>6.7518205718805985E-2</v>
      </c>
      <c r="O2383" s="8">
        <f>IFERROR(H2383/G2383,0)</f>
        <v>9.8208132322536182E-2</v>
      </c>
      <c r="P2383" s="4">
        <f>IFERROR(I2383/G2383,0)</f>
        <v>1.8902136457615437</v>
      </c>
      <c r="Q2383" s="4">
        <f>IFERROR(I2383/H2383,0)</f>
        <v>19.247017543859648</v>
      </c>
      <c r="R2383" s="12">
        <f>IFERROR(J2383/I2383,0)</f>
        <v>10.412604367958583</v>
      </c>
      <c r="S2383" s="7">
        <f>Tabla_nuevas_columnas[[#This Row],[ROAS]]</f>
        <v>10.412604367958583</v>
      </c>
      <c r="T2383" t="str">
        <f>_xlfn.CONCAT(C2383,"-",D2383)</f>
        <v>Affiliate-Portugal</v>
      </c>
      <c r="U2383">
        <f>YEAR(A2383)</f>
        <v>2025</v>
      </c>
      <c r="V2383">
        <f>MONTH(A2383)</f>
        <v>1</v>
      </c>
      <c r="W2383" t="str">
        <f>PROPER(TEXT(A2383,"mmmm"))</f>
        <v>Enero</v>
      </c>
      <c r="X2383" t="str">
        <f>PROPER(TEXT(A2383,"dddd"))</f>
        <v>Miércoles</v>
      </c>
      <c r="Y2383" t="str" cm="1">
        <f t="array" ref="Y2383">_xlfn.IFS(R2383&gt;10,"Excelente",R2383&gt;=5,"Bueno",R2383&gt;=2,"Débil",R2383&lt;2,"Deficiente")</f>
        <v>Excelente</v>
      </c>
      <c r="Z2383" t="str">
        <f>IF(AND(R2383&lt;2,Q2383&gt;=100),"Revisar","OK")</f>
        <v>OK</v>
      </c>
      <c r="AA2383" s="55">
        <f>_xlfn.XLOOKUP(C2383,'Preguntas de negocio'!$C$114:$C$119,'Preguntas de negocio'!$D$114:$D$119,0)</f>
        <v>4.5</v>
      </c>
      <c r="AB2383" s="55">
        <f>VLOOKUP(C2383,'Preguntas de negocio'!$C$121:$D$127,2,FALSE)</f>
        <v>0.35</v>
      </c>
    </row>
    <row r="2384" spans="1:28" x14ac:dyDescent="0.3">
      <c r="A2384" s="1">
        <v>45811</v>
      </c>
      <c r="B2384" s="2" t="s">
        <v>2624</v>
      </c>
      <c r="C2384" s="2" t="s">
        <v>2515</v>
      </c>
      <c r="D2384" s="2" t="s">
        <v>2528</v>
      </c>
      <c r="E2384" s="2" t="s">
        <v>2517</v>
      </c>
      <c r="F2384" s="3">
        <v>31010</v>
      </c>
      <c r="G2384" s="3">
        <v>1913</v>
      </c>
      <c r="H2384" s="3">
        <v>91</v>
      </c>
      <c r="I2384" s="4">
        <v>1889.37</v>
      </c>
      <c r="J2384" s="4">
        <v>4677.63</v>
      </c>
      <c r="K2384" s="3">
        <v>44</v>
      </c>
      <c r="L2384" s="2" t="s">
        <v>2536</v>
      </c>
      <c r="M2384" s="2" t="s">
        <v>2524</v>
      </c>
      <c r="N2384" s="8">
        <f>IFERROR(G2384/F2384,0)</f>
        <v>6.1689777491131893E-2</v>
      </c>
      <c r="O2384" s="8">
        <f>IFERROR(H2384/G2384,0)</f>
        <v>4.7569262937794038E-2</v>
      </c>
      <c r="P2384" s="4">
        <f>IFERROR(I2384/G2384,0)</f>
        <v>0.98764767381076835</v>
      </c>
      <c r="Q2384" s="4">
        <f>IFERROR(I2384/H2384,0)</f>
        <v>20.76230769230769</v>
      </c>
      <c r="R2384" s="12">
        <f>IFERROR(J2384/I2384,0)</f>
        <v>2.475761761857127</v>
      </c>
      <c r="S2384" s="7">
        <f>Tabla_nuevas_columnas[[#This Row],[ROAS]]</f>
        <v>2.475761761857127</v>
      </c>
      <c r="T2384" t="str">
        <f>_xlfn.CONCAT(C2384,"-",D2384)</f>
        <v>Email-España</v>
      </c>
      <c r="U2384">
        <f>YEAR(A2384)</f>
        <v>2025</v>
      </c>
      <c r="V2384">
        <f>MONTH(A2384)</f>
        <v>6</v>
      </c>
      <c r="W2384" t="str">
        <f>PROPER(TEXT(A2384,"mmmm"))</f>
        <v>Junio</v>
      </c>
      <c r="X2384" t="str">
        <f>PROPER(TEXT(A2384,"dddd"))</f>
        <v>Martes</v>
      </c>
      <c r="Y2384" t="str" cm="1">
        <f t="array" ref="Y2384">_xlfn.IFS(R2384&gt;10,"Excelente",R2384&gt;=5,"Bueno",R2384&gt;=2,"Débil",R2384&lt;2,"Deficiente")</f>
        <v>Débil</v>
      </c>
      <c r="Z2384" t="str">
        <f>IF(AND(R2384&lt;2,Q2384&gt;=100),"Revisar","OK")</f>
        <v>OK</v>
      </c>
      <c r="AA2384" s="55">
        <f>_xlfn.XLOOKUP(C2384,'Preguntas de negocio'!$C$114:$C$119,'Preguntas de negocio'!$D$114:$D$119,0)</f>
        <v>5.5</v>
      </c>
      <c r="AB2384" s="55">
        <f>VLOOKUP(C2384,'Preguntas de negocio'!$C$121:$D$127,2,FALSE)</f>
        <v>0.65</v>
      </c>
    </row>
    <row r="2385" spans="1:28" x14ac:dyDescent="0.3">
      <c r="A2385" s="1">
        <v>45838</v>
      </c>
      <c r="B2385" s="2" t="s">
        <v>2618</v>
      </c>
      <c r="C2385" s="2" t="s">
        <v>2533</v>
      </c>
      <c r="D2385" s="2" t="s">
        <v>2528</v>
      </c>
      <c r="E2385" s="2" t="s">
        <v>2517</v>
      </c>
      <c r="F2385" s="3">
        <v>112192</v>
      </c>
      <c r="G2385" s="3">
        <v>5964</v>
      </c>
      <c r="H2385" s="3">
        <v>826</v>
      </c>
      <c r="I2385" s="4">
        <v>5272.56</v>
      </c>
      <c r="J2385" s="4">
        <v>103278.97</v>
      </c>
      <c r="K2385" s="3">
        <v>615</v>
      </c>
      <c r="L2385" s="2" t="s">
        <v>2536</v>
      </c>
      <c r="M2385" s="2" t="s">
        <v>2526</v>
      </c>
      <c r="N2385" s="8">
        <f>IFERROR(G2385/F2385,0)</f>
        <v>5.3158870507701086E-2</v>
      </c>
      <c r="O2385" s="8">
        <f>IFERROR(H2385/G2385,0)</f>
        <v>0.13849765258215962</v>
      </c>
      <c r="P2385" s="4">
        <f>IFERROR(I2385/G2385,0)</f>
        <v>0.88406438631790751</v>
      </c>
      <c r="Q2385" s="4">
        <f>IFERROR(I2385/H2385,0)</f>
        <v>6.3832445520581116</v>
      </c>
      <c r="R2385" s="12">
        <f>IFERROR(J2385/I2385,0)</f>
        <v>19.588012274872167</v>
      </c>
      <c r="S2385" s="7">
        <f>Tabla_nuevas_columnas[[#This Row],[ROAS]]</f>
        <v>19.588012274872167</v>
      </c>
      <c r="T2385" t="str">
        <f>_xlfn.CONCAT(C2385,"-",D2385)</f>
        <v>Paid Social-España</v>
      </c>
      <c r="U2385">
        <f>YEAR(A2385)</f>
        <v>2025</v>
      </c>
      <c r="V2385">
        <f>MONTH(A2385)</f>
        <v>6</v>
      </c>
      <c r="W2385" t="str">
        <f>PROPER(TEXT(A2385,"mmmm"))</f>
        <v>Junio</v>
      </c>
      <c r="X2385" t="str">
        <f>PROPER(TEXT(A2385,"dddd"))</f>
        <v>Lunes</v>
      </c>
      <c r="Y2385" t="str" cm="1">
        <f t="array" ref="Y2385">_xlfn.IFS(R2385&gt;10,"Excelente",R2385&gt;=5,"Bueno",R2385&gt;=2,"Débil",R2385&lt;2,"Deficiente")</f>
        <v>Excelente</v>
      </c>
      <c r="Z2385" t="str">
        <f>IF(AND(R2385&lt;2,Q2385&gt;=100),"Revisar","OK")</f>
        <v>OK</v>
      </c>
      <c r="AA2385" s="55">
        <f>_xlfn.XLOOKUP(C2385,'Preguntas de negocio'!$C$114:$C$119,'Preguntas de negocio'!$D$114:$D$119,0)</f>
        <v>6</v>
      </c>
      <c r="AB2385" s="55">
        <f>VLOOKUP(C2385,'Preguntas de negocio'!$C$121:$D$127,2,FALSE)</f>
        <v>0.8</v>
      </c>
    </row>
    <row r="2386" spans="1:28" x14ac:dyDescent="0.3">
      <c r="A2386" s="1">
        <v>45842</v>
      </c>
      <c r="B2386" s="2" t="s">
        <v>2640</v>
      </c>
      <c r="C2386" s="2" t="s">
        <v>2527</v>
      </c>
      <c r="D2386" s="2" t="s">
        <v>2528</v>
      </c>
      <c r="E2386" s="2" t="s">
        <v>2529</v>
      </c>
      <c r="F2386" s="3">
        <v>116672</v>
      </c>
      <c r="G2386" s="3">
        <v>2178</v>
      </c>
      <c r="H2386" s="3">
        <v>296</v>
      </c>
      <c r="I2386" s="4">
        <v>3104.95</v>
      </c>
      <c r="J2386" s="4">
        <v>35826.36</v>
      </c>
      <c r="K2386" s="3">
        <v>175</v>
      </c>
      <c r="L2386" s="2" t="s">
        <v>2523</v>
      </c>
      <c r="M2386" s="2" t="s">
        <v>2526</v>
      </c>
      <c r="N2386" s="8">
        <f>IFERROR(G2386/F2386,0)</f>
        <v>1.8667718047174986E-2</v>
      </c>
      <c r="O2386" s="8">
        <f>IFERROR(H2386/G2386,0)</f>
        <v>0.13590449954086317</v>
      </c>
      <c r="P2386" s="4">
        <f>IFERROR(I2386/G2386,0)</f>
        <v>1.4255968778696051</v>
      </c>
      <c r="Q2386" s="4">
        <f>IFERROR(I2386/H2386,0)</f>
        <v>10.489695945945945</v>
      </c>
      <c r="R2386" s="12">
        <f>IFERROR(J2386/I2386,0)</f>
        <v>11.538465997842156</v>
      </c>
      <c r="S2386" s="7">
        <f>Tabla_nuevas_columnas[[#This Row],[ROAS]]</f>
        <v>11.538465997842156</v>
      </c>
      <c r="T2386" t="str">
        <f>_xlfn.CONCAT(C2386,"-",D2386)</f>
        <v>Affiliate-España</v>
      </c>
      <c r="U2386">
        <f>YEAR(A2386)</f>
        <v>2025</v>
      </c>
      <c r="V2386">
        <f>MONTH(A2386)</f>
        <v>7</v>
      </c>
      <c r="W2386" t="str">
        <f>PROPER(TEXT(A2386,"mmmm"))</f>
        <v>Julio</v>
      </c>
      <c r="X2386" t="str">
        <f>PROPER(TEXT(A2386,"dddd"))</f>
        <v>Viernes</v>
      </c>
      <c r="Y2386" t="str" cm="1">
        <f t="array" ref="Y2386">_xlfn.IFS(R2386&gt;10,"Excelente",R2386&gt;=5,"Bueno",R2386&gt;=2,"Débil",R2386&lt;2,"Deficiente")</f>
        <v>Excelente</v>
      </c>
      <c r="Z2386" t="str">
        <f>IF(AND(R2386&lt;2,Q2386&gt;=100),"Revisar","OK")</f>
        <v>OK</v>
      </c>
      <c r="AA2386" s="55">
        <f>_xlfn.XLOOKUP(C2386,'Preguntas de negocio'!$C$114:$C$119,'Preguntas de negocio'!$D$114:$D$119,0)</f>
        <v>4.5</v>
      </c>
      <c r="AB2386" s="55">
        <f>VLOOKUP(C2386,'Preguntas de negocio'!$C$121:$D$127,2,FALSE)</f>
        <v>0.35</v>
      </c>
    </row>
    <row r="2387" spans="1:28" x14ac:dyDescent="0.3">
      <c r="A2387" s="1">
        <v>45771</v>
      </c>
      <c r="B2387" s="2" t="s">
        <v>2637</v>
      </c>
      <c r="C2387" s="2" t="s">
        <v>2543</v>
      </c>
      <c r="D2387" s="2" t="s">
        <v>2516</v>
      </c>
      <c r="E2387" s="2" t="s">
        <v>2534</v>
      </c>
      <c r="F2387" s="3">
        <v>165271</v>
      </c>
      <c r="G2387" s="3">
        <v>10161</v>
      </c>
      <c r="H2387" s="3">
        <v>750</v>
      </c>
      <c r="I2387" s="4">
        <v>2116.5500000000002</v>
      </c>
      <c r="J2387" s="4">
        <v>139746.29</v>
      </c>
      <c r="K2387" s="3">
        <v>382</v>
      </c>
      <c r="L2387" s="2" t="s">
        <v>2518</v>
      </c>
      <c r="M2387" s="2" t="s">
        <v>2524</v>
      </c>
      <c r="N2387" s="8">
        <f>IFERROR(G2387/F2387,0)</f>
        <v>6.1480840558839726E-2</v>
      </c>
      <c r="O2387" s="8">
        <f>IFERROR(H2387/G2387,0)</f>
        <v>7.3811632713315617E-2</v>
      </c>
      <c r="P2387" s="4">
        <f>IFERROR(I2387/G2387,0)</f>
        <v>0.20830134829249092</v>
      </c>
      <c r="Q2387" s="4">
        <f>IFERROR(I2387/H2387,0)</f>
        <v>2.8220666666666667</v>
      </c>
      <c r="R2387" s="12">
        <f>IFERROR(J2387/I2387,0)</f>
        <v>66.025508492594085</v>
      </c>
      <c r="S2387" s="7">
        <f>Tabla_nuevas_columnas[[#This Row],[ROAS]]</f>
        <v>66.025508492594085</v>
      </c>
      <c r="T2387" t="str">
        <f>_xlfn.CONCAT(C2387,"-",D2387)</f>
        <v>Organic Social-México</v>
      </c>
      <c r="U2387">
        <f>YEAR(A2387)</f>
        <v>2025</v>
      </c>
      <c r="V2387">
        <f>MONTH(A2387)</f>
        <v>4</v>
      </c>
      <c r="W2387" t="str">
        <f>PROPER(TEXT(A2387,"mmmm"))</f>
        <v>Abril</v>
      </c>
      <c r="X2387" t="str">
        <f>PROPER(TEXT(A2387,"dddd"))</f>
        <v>Jueves</v>
      </c>
      <c r="Y2387" t="str" cm="1">
        <f t="array" ref="Y2387">_xlfn.IFS(R2387&gt;10,"Excelente",R2387&gt;=5,"Bueno",R2387&gt;=2,"Débil",R2387&lt;2,"Deficiente")</f>
        <v>Excelente</v>
      </c>
      <c r="Z2387" t="str">
        <f>IF(AND(R2387&lt;2,Q2387&gt;=100),"Revisar","OK")</f>
        <v>OK</v>
      </c>
      <c r="AA2387" s="55">
        <f>_xlfn.XLOOKUP(C2387,'Preguntas de negocio'!$C$114:$C$119,'Preguntas de negocio'!$D$114:$D$119,0)</f>
        <v>4</v>
      </c>
      <c r="AB2387" s="55">
        <f>VLOOKUP(C2387,'Preguntas de negocio'!$C$121:$D$127,2,FALSE)</f>
        <v>0.95</v>
      </c>
    </row>
    <row r="2388" spans="1:28" x14ac:dyDescent="0.3">
      <c r="A2388" s="1">
        <v>45876</v>
      </c>
      <c r="B2388" s="2" t="s">
        <v>2635</v>
      </c>
      <c r="C2388" s="2" t="s">
        <v>2515</v>
      </c>
      <c r="D2388" s="2" t="s">
        <v>2522</v>
      </c>
      <c r="E2388" s="2" t="s">
        <v>2517</v>
      </c>
      <c r="F2388" s="3">
        <v>115744</v>
      </c>
      <c r="G2388" s="3">
        <v>8313</v>
      </c>
      <c r="H2388" s="3">
        <v>181</v>
      </c>
      <c r="I2388" s="4">
        <v>14193.28</v>
      </c>
      <c r="J2388" s="4">
        <v>19562.96</v>
      </c>
      <c r="K2388" s="3">
        <v>130</v>
      </c>
      <c r="L2388" s="2" t="s">
        <v>2518</v>
      </c>
      <c r="M2388" s="2" t="s">
        <v>2546</v>
      </c>
      <c r="N2388" s="8">
        <f>IFERROR(G2388/F2388,0)</f>
        <v>7.1822297484102848E-2</v>
      </c>
      <c r="O2388" s="8">
        <f>IFERROR(H2388/G2388,0)</f>
        <v>2.1773126428485504E-2</v>
      </c>
      <c r="P2388" s="4">
        <f>IFERROR(I2388/G2388,0)</f>
        <v>1.7073595573198606</v>
      </c>
      <c r="Q2388" s="4">
        <f>IFERROR(I2388/H2388,0)</f>
        <v>78.415911602209945</v>
      </c>
      <c r="R2388" s="12">
        <f>IFERROR(J2388/I2388,0)</f>
        <v>1.3783255174279658</v>
      </c>
      <c r="S2388" s="7">
        <f>Tabla_nuevas_columnas[[#This Row],[ROAS]]</f>
        <v>1.3783255174279658</v>
      </c>
      <c r="T2388" t="str">
        <f>_xlfn.CONCAT(C2388,"-",D2388)</f>
        <v>Email-Italia</v>
      </c>
      <c r="U2388">
        <f>YEAR(A2388)</f>
        <v>2025</v>
      </c>
      <c r="V2388">
        <f>MONTH(A2388)</f>
        <v>8</v>
      </c>
      <c r="W2388" t="str">
        <f>PROPER(TEXT(A2388,"mmmm"))</f>
        <v>Agosto</v>
      </c>
      <c r="X2388" t="str">
        <f>PROPER(TEXT(A2388,"dddd"))</f>
        <v>Jueves</v>
      </c>
      <c r="Y2388" t="str" cm="1">
        <f t="array" ref="Y2388">_xlfn.IFS(R2388&gt;10,"Excelente",R2388&gt;=5,"Bueno",R2388&gt;=2,"Débil",R2388&lt;2,"Deficiente")</f>
        <v>Deficiente</v>
      </c>
      <c r="Z2388" t="str">
        <f>IF(AND(R2388&lt;2,Q2388&gt;=100),"Revisar","OK")</f>
        <v>OK</v>
      </c>
      <c r="AA2388" s="55">
        <f>_xlfn.XLOOKUP(C2388,'Preguntas de negocio'!$C$114:$C$119,'Preguntas de negocio'!$D$114:$D$119,0)</f>
        <v>5.5</v>
      </c>
      <c r="AB2388" s="55">
        <f>VLOOKUP(C2388,'Preguntas de negocio'!$C$121:$D$127,2,FALSE)</f>
        <v>0.65</v>
      </c>
    </row>
    <row r="2389" spans="1:28" x14ac:dyDescent="0.3">
      <c r="A2389" s="1">
        <v>45966</v>
      </c>
      <c r="B2389" s="2" t="s">
        <v>2639</v>
      </c>
      <c r="C2389" s="2" t="s">
        <v>2533</v>
      </c>
      <c r="D2389" s="2" t="s">
        <v>2528</v>
      </c>
      <c r="E2389" s="2" t="s">
        <v>2529</v>
      </c>
      <c r="F2389" s="3">
        <v>10681</v>
      </c>
      <c r="G2389" s="3">
        <v>675</v>
      </c>
      <c r="H2389" s="3">
        <v>4</v>
      </c>
      <c r="I2389" s="4">
        <v>886.65</v>
      </c>
      <c r="J2389" s="4">
        <v>87.15</v>
      </c>
      <c r="K2389" s="3">
        <v>2</v>
      </c>
      <c r="L2389" s="2" t="s">
        <v>2539</v>
      </c>
      <c r="M2389" s="2" t="s">
        <v>2519</v>
      </c>
      <c r="N2389" s="8">
        <f>IFERROR(G2389/F2389,0)</f>
        <v>6.3196329931654333E-2</v>
      </c>
      <c r="O2389" s="8">
        <f>IFERROR(H2389/G2389,0)</f>
        <v>5.9259259259259256E-3</v>
      </c>
      <c r="P2389" s="4">
        <f>IFERROR(I2389/G2389,0)</f>
        <v>1.3135555555555556</v>
      </c>
      <c r="Q2389" s="4">
        <f>IFERROR(I2389/H2389,0)</f>
        <v>221.66249999999999</v>
      </c>
      <c r="R2389" s="12">
        <f>IFERROR(J2389/I2389,0)</f>
        <v>9.8291321265437326E-2</v>
      </c>
      <c r="S2389" s="7">
        <f>Tabla_nuevas_columnas[[#This Row],[ROAS]]</f>
        <v>9.8291321265437326E-2</v>
      </c>
      <c r="T2389" t="str">
        <f>_xlfn.CONCAT(C2389,"-",D2389)</f>
        <v>Paid Social-España</v>
      </c>
      <c r="U2389">
        <f>YEAR(A2389)</f>
        <v>2025</v>
      </c>
      <c r="V2389">
        <f>MONTH(A2389)</f>
        <v>11</v>
      </c>
      <c r="W2389" t="str">
        <f>PROPER(TEXT(A2389,"mmmm"))</f>
        <v>Noviembre</v>
      </c>
      <c r="X2389" t="str">
        <f>PROPER(TEXT(A2389,"dddd"))</f>
        <v>Miércoles</v>
      </c>
      <c r="Y2389" t="str" cm="1">
        <f t="array" ref="Y2389">_xlfn.IFS(R2389&gt;10,"Excelente",R2389&gt;=5,"Bueno",R2389&gt;=2,"Débil",R2389&lt;2,"Deficiente")</f>
        <v>Deficiente</v>
      </c>
      <c r="Z2389" t="str">
        <f>IF(AND(R2389&lt;2,Q2389&gt;=100),"Revisar","OK")</f>
        <v>Revisar</v>
      </c>
      <c r="AA2389" s="55">
        <f>_xlfn.XLOOKUP(C2389,'Preguntas de negocio'!$C$114:$C$119,'Preguntas de negocio'!$D$114:$D$119,0)</f>
        <v>6</v>
      </c>
      <c r="AB2389" s="55">
        <f>VLOOKUP(C2389,'Preguntas de negocio'!$C$121:$D$127,2,FALSE)</f>
        <v>0.8</v>
      </c>
    </row>
    <row r="2390" spans="1:28" x14ac:dyDescent="0.3">
      <c r="A2390" s="1">
        <v>45982</v>
      </c>
      <c r="B2390" s="2" t="s">
        <v>2620</v>
      </c>
      <c r="C2390" s="2" t="s">
        <v>2541</v>
      </c>
      <c r="D2390" s="2" t="s">
        <v>2531</v>
      </c>
      <c r="E2390" s="2" t="s">
        <v>2529</v>
      </c>
      <c r="F2390" s="3">
        <v>96331</v>
      </c>
      <c r="G2390" s="3">
        <v>6941</v>
      </c>
      <c r="H2390" s="3">
        <v>654</v>
      </c>
      <c r="I2390" s="4">
        <v>13110.14</v>
      </c>
      <c r="J2390" s="4">
        <v>97813.35</v>
      </c>
      <c r="K2390" s="3">
        <v>493</v>
      </c>
      <c r="L2390" s="2" t="s">
        <v>2536</v>
      </c>
      <c r="M2390" s="2" t="s">
        <v>2524</v>
      </c>
      <c r="N2390" s="8">
        <f>IFERROR(G2390/F2390,0)</f>
        <v>7.2053648358264735E-2</v>
      </c>
      <c r="O2390" s="8">
        <f>IFERROR(H2390/G2390,0)</f>
        <v>9.4222734476300252E-2</v>
      </c>
      <c r="P2390" s="4">
        <f>IFERROR(I2390/G2390,0)</f>
        <v>1.8887970033136434</v>
      </c>
      <c r="Q2390" s="4">
        <f>IFERROR(I2390/H2390,0)</f>
        <v>20.046085626911314</v>
      </c>
      <c r="R2390" s="12">
        <f>IFERROR(J2390/I2390,0)</f>
        <v>7.4608928661326281</v>
      </c>
      <c r="S2390" s="7">
        <f>Tabla_nuevas_columnas[[#This Row],[ROAS]]</f>
        <v>7.4608928661326281</v>
      </c>
      <c r="T2390" t="str">
        <f>_xlfn.CONCAT(C2390,"-",D2390)</f>
        <v>Display-Portugal</v>
      </c>
      <c r="U2390">
        <f>YEAR(A2390)</f>
        <v>2025</v>
      </c>
      <c r="V2390">
        <f>MONTH(A2390)</f>
        <v>11</v>
      </c>
      <c r="W2390" t="str">
        <f>PROPER(TEXT(A2390,"mmmm"))</f>
        <v>Noviembre</v>
      </c>
      <c r="X2390" t="str">
        <f>PROPER(TEXT(A2390,"dddd"))</f>
        <v>Viernes</v>
      </c>
      <c r="Y2390" t="str" cm="1">
        <f t="array" ref="Y2390">_xlfn.IFS(R2390&gt;10,"Excelente",R2390&gt;=5,"Bueno",R2390&gt;=2,"Débil",R2390&lt;2,"Deficiente")</f>
        <v>Bueno</v>
      </c>
      <c r="Z2390" t="str">
        <f>IF(AND(R2390&lt;2,Q2390&gt;=100),"Revisar","OK")</f>
        <v>OK</v>
      </c>
      <c r="AA2390" s="55">
        <f>_xlfn.XLOOKUP(C2390,'Preguntas de negocio'!$C$114:$C$119,'Preguntas de negocio'!$D$114:$D$119,0)</f>
        <v>5</v>
      </c>
      <c r="AB2390" s="55">
        <f>VLOOKUP(C2390,'Preguntas de negocio'!$C$121:$D$127,2,FALSE)</f>
        <v>0.5</v>
      </c>
    </row>
    <row r="2391" spans="1:28" x14ac:dyDescent="0.3">
      <c r="A2391" s="1">
        <v>45959</v>
      </c>
      <c r="B2391" s="2" t="s">
        <v>2628</v>
      </c>
      <c r="C2391" s="2" t="s">
        <v>2527</v>
      </c>
      <c r="D2391" s="2" t="s">
        <v>2528</v>
      </c>
      <c r="E2391" s="2" t="s">
        <v>2529</v>
      </c>
      <c r="F2391" s="3">
        <v>66727</v>
      </c>
      <c r="G2391" s="3">
        <v>4522</v>
      </c>
      <c r="H2391" s="3">
        <v>528</v>
      </c>
      <c r="I2391" s="4">
        <v>5185.99</v>
      </c>
      <c r="J2391" s="4">
        <v>86182.75</v>
      </c>
      <c r="K2391" s="3">
        <v>472</v>
      </c>
      <c r="L2391" s="2" t="s">
        <v>2523</v>
      </c>
      <c r="M2391" s="2" t="s">
        <v>2537</v>
      </c>
      <c r="N2391" s="8">
        <f>IFERROR(G2391/F2391,0)</f>
        <v>6.7768669354234423E-2</v>
      </c>
      <c r="O2391" s="8">
        <f>IFERROR(H2391/G2391,0)</f>
        <v>0.1167624944714728</v>
      </c>
      <c r="P2391" s="4">
        <f>IFERROR(I2391/G2391,0)</f>
        <v>1.1468354710305175</v>
      </c>
      <c r="Q2391" s="4">
        <f>IFERROR(I2391/H2391,0)</f>
        <v>9.8219507575757579</v>
      </c>
      <c r="R2391" s="12">
        <f>IFERROR(J2391/I2391,0)</f>
        <v>16.61837951866471</v>
      </c>
      <c r="S2391" s="7">
        <f>Tabla_nuevas_columnas[[#This Row],[ROAS]]</f>
        <v>16.61837951866471</v>
      </c>
      <c r="T2391" t="str">
        <f>_xlfn.CONCAT(C2391,"-",D2391)</f>
        <v>Affiliate-España</v>
      </c>
      <c r="U2391">
        <f>YEAR(A2391)</f>
        <v>2025</v>
      </c>
      <c r="V2391">
        <f>MONTH(A2391)</f>
        <v>10</v>
      </c>
      <c r="W2391" t="str">
        <f>PROPER(TEXT(A2391,"mmmm"))</f>
        <v>Octubre</v>
      </c>
      <c r="X2391" t="str">
        <f>PROPER(TEXT(A2391,"dddd"))</f>
        <v>Miércoles</v>
      </c>
      <c r="Y2391" t="str" cm="1">
        <f t="array" ref="Y2391">_xlfn.IFS(R2391&gt;10,"Excelente",R2391&gt;=5,"Bueno",R2391&gt;=2,"Débil",R2391&lt;2,"Deficiente")</f>
        <v>Excelente</v>
      </c>
      <c r="Z2391" t="str">
        <f>IF(AND(R2391&lt;2,Q2391&gt;=100),"Revisar","OK")</f>
        <v>OK</v>
      </c>
      <c r="AA2391" s="55">
        <f>_xlfn.XLOOKUP(C2391,'Preguntas de negocio'!$C$114:$C$119,'Preguntas de negocio'!$D$114:$D$119,0)</f>
        <v>4.5</v>
      </c>
      <c r="AB2391" s="55">
        <f>VLOOKUP(C2391,'Preguntas de negocio'!$C$121:$D$127,2,FALSE)</f>
        <v>0.35</v>
      </c>
    </row>
    <row r="2392" spans="1:28" x14ac:dyDescent="0.3">
      <c r="A2392" s="1">
        <v>45926</v>
      </c>
      <c r="B2392" s="2" t="s">
        <v>2630</v>
      </c>
      <c r="C2392" s="2" t="s">
        <v>2515</v>
      </c>
      <c r="D2392" s="2" t="s">
        <v>2528</v>
      </c>
      <c r="E2392" s="2" t="s">
        <v>2529</v>
      </c>
      <c r="F2392" s="3">
        <v>158490</v>
      </c>
      <c r="G2392" s="3">
        <v>6871</v>
      </c>
      <c r="H2392" s="3">
        <v>489</v>
      </c>
      <c r="I2392" s="4">
        <v>13818.64</v>
      </c>
      <c r="J2392" s="4">
        <v>85169.09</v>
      </c>
      <c r="K2392" s="3">
        <v>301</v>
      </c>
      <c r="L2392" s="2" t="s">
        <v>2518</v>
      </c>
      <c r="M2392" s="2" t="s">
        <v>2546</v>
      </c>
      <c r="N2392" s="8">
        <f>IFERROR(G2392/F2392,0)</f>
        <v>4.3352892926998551E-2</v>
      </c>
      <c r="O2392" s="8">
        <f>IFERROR(H2392/G2392,0)</f>
        <v>7.1168679959249012E-2</v>
      </c>
      <c r="P2392" s="4">
        <f>IFERROR(I2392/G2392,0)</f>
        <v>2.011154126036967</v>
      </c>
      <c r="Q2392" s="4">
        <f>IFERROR(I2392/H2392,0)</f>
        <v>28.258977505112473</v>
      </c>
      <c r="R2392" s="12">
        <f>IFERROR(J2392/I2392,0)</f>
        <v>6.163348202138561</v>
      </c>
      <c r="S2392" s="7">
        <f>Tabla_nuevas_columnas[[#This Row],[ROAS]]</f>
        <v>6.163348202138561</v>
      </c>
      <c r="T2392" t="str">
        <f>_xlfn.CONCAT(C2392,"-",D2392)</f>
        <v>Email-España</v>
      </c>
      <c r="U2392">
        <f>YEAR(A2392)</f>
        <v>2025</v>
      </c>
      <c r="V2392">
        <f>MONTH(A2392)</f>
        <v>9</v>
      </c>
      <c r="W2392" t="str">
        <f>PROPER(TEXT(A2392,"mmmm"))</f>
        <v>Septiembre</v>
      </c>
      <c r="X2392" t="str">
        <f>PROPER(TEXT(A2392,"dddd"))</f>
        <v>Viernes</v>
      </c>
      <c r="Y2392" t="str" cm="1">
        <f t="array" ref="Y2392">_xlfn.IFS(R2392&gt;10,"Excelente",R2392&gt;=5,"Bueno",R2392&gt;=2,"Débil",R2392&lt;2,"Deficiente")</f>
        <v>Bueno</v>
      </c>
      <c r="Z2392" t="str">
        <f>IF(AND(R2392&lt;2,Q2392&gt;=100),"Revisar","OK")</f>
        <v>OK</v>
      </c>
      <c r="AA2392" s="55">
        <f>_xlfn.XLOOKUP(C2392,'Preguntas de negocio'!$C$114:$C$119,'Preguntas de negocio'!$D$114:$D$119,0)</f>
        <v>5.5</v>
      </c>
      <c r="AB2392" s="55">
        <f>VLOOKUP(C2392,'Preguntas de negocio'!$C$121:$D$127,2,FALSE)</f>
        <v>0.65</v>
      </c>
    </row>
    <row r="2393" spans="1:28" x14ac:dyDescent="0.3">
      <c r="A2393" s="1">
        <v>45784</v>
      </c>
      <c r="B2393" s="2" t="s">
        <v>2641</v>
      </c>
      <c r="C2393" s="2" t="s">
        <v>2521</v>
      </c>
      <c r="D2393" s="2" t="s">
        <v>2516</v>
      </c>
      <c r="E2393" s="2" t="s">
        <v>2529</v>
      </c>
      <c r="F2393" s="3">
        <v>150094</v>
      </c>
      <c r="G2393" s="3">
        <v>5387</v>
      </c>
      <c r="H2393" s="3">
        <v>545</v>
      </c>
      <c r="I2393" s="4">
        <v>5335.04</v>
      </c>
      <c r="J2393" s="4">
        <v>8683.6200000000008</v>
      </c>
      <c r="K2393" s="3">
        <v>430</v>
      </c>
      <c r="L2393" s="2" t="s">
        <v>2539</v>
      </c>
      <c r="M2393" s="2" t="s">
        <v>2537</v>
      </c>
      <c r="N2393" s="8">
        <f>IFERROR(G2393/F2393,0)</f>
        <v>3.5890841739176782E-2</v>
      </c>
      <c r="O2393" s="8">
        <f>IFERROR(H2393/G2393,0)</f>
        <v>0.10116948208650454</v>
      </c>
      <c r="P2393" s="4">
        <f>IFERROR(I2393/G2393,0)</f>
        <v>0.99035455726749577</v>
      </c>
      <c r="Q2393" s="4">
        <f>IFERROR(I2393/H2393,0)</f>
        <v>9.7890642201834854</v>
      </c>
      <c r="R2393" s="12">
        <f>IFERROR(J2393/I2393,0)</f>
        <v>1.6276578994721691</v>
      </c>
      <c r="S2393" s="7">
        <f>Tabla_nuevas_columnas[[#This Row],[ROAS]]</f>
        <v>1.6276578994721691</v>
      </c>
      <c r="T2393" t="str">
        <f>_xlfn.CONCAT(C2393,"-",D2393)</f>
        <v>Paid Search-México</v>
      </c>
      <c r="U2393">
        <f>YEAR(A2393)</f>
        <v>2025</v>
      </c>
      <c r="V2393">
        <f>MONTH(A2393)</f>
        <v>5</v>
      </c>
      <c r="W2393" t="str">
        <f>PROPER(TEXT(A2393,"mmmm"))</f>
        <v>Mayo</v>
      </c>
      <c r="X2393" t="str">
        <f>PROPER(TEXT(A2393,"dddd"))</f>
        <v>Miércoles</v>
      </c>
      <c r="Y2393" t="str" cm="1">
        <f t="array" ref="Y2393">_xlfn.IFS(R2393&gt;10,"Excelente",R2393&gt;=5,"Bueno",R2393&gt;=2,"Débil",R2393&lt;2,"Deficiente")</f>
        <v>Deficiente</v>
      </c>
      <c r="Z2393" t="str">
        <f>IF(AND(R2393&lt;2,Q2393&gt;=100),"Revisar","OK")</f>
        <v>OK</v>
      </c>
      <c r="AA2393" s="55">
        <f>_xlfn.XLOOKUP(C2393,'Preguntas de negocio'!$C$114:$C$119,'Preguntas de negocio'!$D$114:$D$119,0)</f>
        <v>5</v>
      </c>
      <c r="AB2393" s="55">
        <f>VLOOKUP(C2393,'Preguntas de negocio'!$C$121:$D$127,2,FALSE)</f>
        <v>1.1000000000000001</v>
      </c>
    </row>
    <row r="2394" spans="1:28" x14ac:dyDescent="0.3">
      <c r="A2394" s="1">
        <v>45856</v>
      </c>
      <c r="B2394" s="2" t="s">
        <v>2624</v>
      </c>
      <c r="C2394" s="2" t="s">
        <v>2521</v>
      </c>
      <c r="D2394" s="2" t="s">
        <v>2525</v>
      </c>
      <c r="E2394" s="2" t="s">
        <v>2517</v>
      </c>
      <c r="F2394" s="3">
        <v>153211</v>
      </c>
      <c r="G2394" s="3">
        <v>11578</v>
      </c>
      <c r="H2394" s="3">
        <v>965</v>
      </c>
      <c r="I2394" s="4">
        <v>9650.1299999999992</v>
      </c>
      <c r="J2394" s="4">
        <v>184088.59</v>
      </c>
      <c r="K2394" s="3">
        <v>570</v>
      </c>
      <c r="L2394" s="2" t="s">
        <v>2518</v>
      </c>
      <c r="M2394" s="2" t="s">
        <v>2546</v>
      </c>
      <c r="N2394" s="8">
        <f>IFERROR(G2394/F2394,0)</f>
        <v>7.5568986561017154E-2</v>
      </c>
      <c r="O2394" s="8">
        <f>IFERROR(H2394/G2394,0)</f>
        <v>8.3347728450509584E-2</v>
      </c>
      <c r="P2394" s="4">
        <f>IFERROR(I2394/G2394,0)</f>
        <v>0.83348851269649327</v>
      </c>
      <c r="Q2394" s="4">
        <f>IFERROR(I2394/H2394,0)</f>
        <v>10.000134715025906</v>
      </c>
      <c r="R2394" s="12">
        <f>IFERROR(J2394/I2394,0)</f>
        <v>19.076280837667472</v>
      </c>
      <c r="S2394" s="7">
        <f>Tabla_nuevas_columnas[[#This Row],[ROAS]]</f>
        <v>19.076280837667472</v>
      </c>
      <c r="T2394" t="str">
        <f>_xlfn.CONCAT(C2394,"-",D2394)</f>
        <v>Paid Search-Francia</v>
      </c>
      <c r="U2394">
        <f>YEAR(A2394)</f>
        <v>2025</v>
      </c>
      <c r="V2394">
        <f>MONTH(A2394)</f>
        <v>7</v>
      </c>
      <c r="W2394" t="str">
        <f>PROPER(TEXT(A2394,"mmmm"))</f>
        <v>Julio</v>
      </c>
      <c r="X2394" t="str">
        <f>PROPER(TEXT(A2394,"dddd"))</f>
        <v>Viernes</v>
      </c>
      <c r="Y2394" t="str" cm="1">
        <f t="array" ref="Y2394">_xlfn.IFS(R2394&gt;10,"Excelente",R2394&gt;=5,"Bueno",R2394&gt;=2,"Débil",R2394&lt;2,"Deficiente")</f>
        <v>Excelente</v>
      </c>
      <c r="Z2394" t="str">
        <f>IF(AND(R2394&lt;2,Q2394&gt;=100),"Revisar","OK")</f>
        <v>OK</v>
      </c>
      <c r="AA2394" s="55">
        <f>_xlfn.XLOOKUP(C2394,'Preguntas de negocio'!$C$114:$C$119,'Preguntas de negocio'!$D$114:$D$119,0)</f>
        <v>5</v>
      </c>
      <c r="AB2394" s="55">
        <f>VLOOKUP(C2394,'Preguntas de negocio'!$C$121:$D$127,2,FALSE)</f>
        <v>1.1000000000000001</v>
      </c>
    </row>
    <row r="2395" spans="1:28" x14ac:dyDescent="0.3">
      <c r="A2395" s="1">
        <v>45943</v>
      </c>
      <c r="B2395" s="2" t="s">
        <v>2627</v>
      </c>
      <c r="C2395" s="2" t="s">
        <v>2541</v>
      </c>
      <c r="D2395" s="2" t="s">
        <v>2525</v>
      </c>
      <c r="E2395" s="2" t="s">
        <v>2517</v>
      </c>
      <c r="F2395" s="3">
        <v>135463</v>
      </c>
      <c r="G2395" s="3">
        <v>3593</v>
      </c>
      <c r="H2395" s="3">
        <v>480</v>
      </c>
      <c r="I2395" s="4">
        <v>1114.5999999999999</v>
      </c>
      <c r="J2395" s="4">
        <v>11042.63</v>
      </c>
      <c r="K2395" s="3">
        <v>283</v>
      </c>
      <c r="L2395" s="2" t="s">
        <v>2523</v>
      </c>
      <c r="M2395" s="2" t="s">
        <v>2524</v>
      </c>
      <c r="N2395" s="8">
        <f>IFERROR(G2395/F2395,0)</f>
        <v>2.6523847840369694E-2</v>
      </c>
      <c r="O2395" s="8">
        <f>IFERROR(H2395/G2395,0)</f>
        <v>0.13359309768995267</v>
      </c>
      <c r="P2395" s="4">
        <f>IFERROR(I2395/G2395,0)</f>
        <v>0.31021430559421093</v>
      </c>
      <c r="Q2395" s="4">
        <f>IFERROR(I2395/H2395,0)</f>
        <v>2.3220833333333331</v>
      </c>
      <c r="R2395" s="12">
        <f>IFERROR(J2395/I2395,0)</f>
        <v>9.9072582092230395</v>
      </c>
      <c r="S2395" s="7">
        <f>Tabla_nuevas_columnas[[#This Row],[ROAS]]</f>
        <v>9.9072582092230395</v>
      </c>
      <c r="T2395" t="str">
        <f>_xlfn.CONCAT(C2395,"-",D2395)</f>
        <v>Display-Francia</v>
      </c>
      <c r="U2395">
        <f>YEAR(A2395)</f>
        <v>2025</v>
      </c>
      <c r="V2395">
        <f>MONTH(A2395)</f>
        <v>10</v>
      </c>
      <c r="W2395" t="str">
        <f>PROPER(TEXT(A2395,"mmmm"))</f>
        <v>Octubre</v>
      </c>
      <c r="X2395" t="str">
        <f>PROPER(TEXT(A2395,"dddd"))</f>
        <v>Lunes</v>
      </c>
      <c r="Y2395" t="str" cm="1">
        <f t="array" ref="Y2395">_xlfn.IFS(R2395&gt;10,"Excelente",R2395&gt;=5,"Bueno",R2395&gt;=2,"Débil",R2395&lt;2,"Deficiente")</f>
        <v>Bueno</v>
      </c>
      <c r="Z2395" t="str">
        <f>IF(AND(R2395&lt;2,Q2395&gt;=100),"Revisar","OK")</f>
        <v>OK</v>
      </c>
      <c r="AA2395" s="55">
        <f>_xlfn.XLOOKUP(C2395,'Preguntas de negocio'!$C$114:$C$119,'Preguntas de negocio'!$D$114:$D$119,0)</f>
        <v>5</v>
      </c>
      <c r="AB2395" s="55">
        <f>VLOOKUP(C2395,'Preguntas de negocio'!$C$121:$D$127,2,FALSE)</f>
        <v>0.5</v>
      </c>
    </row>
    <row r="2396" spans="1:28" x14ac:dyDescent="0.3">
      <c r="A2396" s="1">
        <v>45906</v>
      </c>
      <c r="B2396" s="2" t="s">
        <v>2629</v>
      </c>
      <c r="C2396" s="2" t="s">
        <v>2533</v>
      </c>
      <c r="D2396" s="2" t="s">
        <v>2531</v>
      </c>
      <c r="E2396" s="2" t="s">
        <v>2517</v>
      </c>
      <c r="F2396" s="3">
        <v>140126</v>
      </c>
      <c r="G2396" s="3">
        <v>11011</v>
      </c>
      <c r="H2396" s="3">
        <v>1056</v>
      </c>
      <c r="I2396" s="4">
        <v>5021.1000000000004</v>
      </c>
      <c r="J2396" s="4">
        <v>153046.67000000001</v>
      </c>
      <c r="K2396" s="3">
        <v>515</v>
      </c>
      <c r="L2396" s="2" t="s">
        <v>2518</v>
      </c>
      <c r="M2396" s="2" t="s">
        <v>2537</v>
      </c>
      <c r="N2396" s="8">
        <f>IFERROR(G2396/F2396,0)</f>
        <v>7.8579278649215711E-2</v>
      </c>
      <c r="O2396" s="8">
        <f>IFERROR(H2396/G2396,0)</f>
        <v>9.5904095904095904E-2</v>
      </c>
      <c r="P2396" s="4">
        <f>IFERROR(I2396/G2396,0)</f>
        <v>0.45600762873490147</v>
      </c>
      <c r="Q2396" s="4">
        <f>IFERROR(I2396/H2396,0)</f>
        <v>4.7548295454545455</v>
      </c>
      <c r="R2396" s="12">
        <f>IFERROR(J2396/I2396,0)</f>
        <v>30.480705423114458</v>
      </c>
      <c r="S2396" s="7">
        <f>Tabla_nuevas_columnas[[#This Row],[ROAS]]</f>
        <v>30.480705423114458</v>
      </c>
      <c r="T2396" t="str">
        <f>_xlfn.CONCAT(C2396,"-",D2396)</f>
        <v>Paid Social-Portugal</v>
      </c>
      <c r="U2396">
        <f>YEAR(A2396)</f>
        <v>2025</v>
      </c>
      <c r="V2396">
        <f>MONTH(A2396)</f>
        <v>9</v>
      </c>
      <c r="W2396" t="str">
        <f>PROPER(TEXT(A2396,"mmmm"))</f>
        <v>Septiembre</v>
      </c>
      <c r="X2396" t="str">
        <f>PROPER(TEXT(A2396,"dddd"))</f>
        <v>Sábado</v>
      </c>
      <c r="Y2396" t="str" cm="1">
        <f t="array" ref="Y2396">_xlfn.IFS(R2396&gt;10,"Excelente",R2396&gt;=5,"Bueno",R2396&gt;=2,"Débil",R2396&lt;2,"Deficiente")</f>
        <v>Excelente</v>
      </c>
      <c r="Z2396" t="str">
        <f>IF(AND(R2396&lt;2,Q2396&gt;=100),"Revisar","OK")</f>
        <v>OK</v>
      </c>
      <c r="AA2396" s="55">
        <f>_xlfn.XLOOKUP(C2396,'Preguntas de negocio'!$C$114:$C$119,'Preguntas de negocio'!$D$114:$D$119,0)</f>
        <v>6</v>
      </c>
      <c r="AB2396" s="55">
        <f>VLOOKUP(C2396,'Preguntas de negocio'!$C$121:$D$127,2,FALSE)</f>
        <v>0.8</v>
      </c>
    </row>
    <row r="2397" spans="1:28" x14ac:dyDescent="0.3">
      <c r="A2397" s="1">
        <v>45724</v>
      </c>
      <c r="B2397" s="2" t="s">
        <v>2641</v>
      </c>
      <c r="C2397" s="2" t="s">
        <v>2515</v>
      </c>
      <c r="D2397" s="2" t="s">
        <v>2528</v>
      </c>
      <c r="E2397" s="2" t="s">
        <v>2529</v>
      </c>
      <c r="F2397" s="3">
        <v>67832</v>
      </c>
      <c r="G2397" s="3">
        <v>1516</v>
      </c>
      <c r="H2397" s="3">
        <v>87</v>
      </c>
      <c r="I2397" s="4">
        <v>448.12</v>
      </c>
      <c r="J2397" s="4">
        <v>5421.27</v>
      </c>
      <c r="K2397" s="3">
        <v>44</v>
      </c>
      <c r="L2397" s="2" t="s">
        <v>2539</v>
      </c>
      <c r="M2397" s="2" t="s">
        <v>2519</v>
      </c>
      <c r="N2397" s="8">
        <f>IFERROR(G2397/F2397,0)</f>
        <v>2.2349333647835829E-2</v>
      </c>
      <c r="O2397" s="8">
        <f>IFERROR(H2397/G2397,0)</f>
        <v>5.738786279683377E-2</v>
      </c>
      <c r="P2397" s="4">
        <f>IFERROR(I2397/G2397,0)</f>
        <v>0.29559366754617417</v>
      </c>
      <c r="Q2397" s="4">
        <f>IFERROR(I2397/H2397,0)</f>
        <v>5.1508045977011498</v>
      </c>
      <c r="R2397" s="12">
        <f>IFERROR(J2397/I2397,0)</f>
        <v>12.097808622690351</v>
      </c>
      <c r="S2397" s="7">
        <f>Tabla_nuevas_columnas[[#This Row],[ROAS]]</f>
        <v>12.097808622690351</v>
      </c>
      <c r="T2397" t="str">
        <f>_xlfn.CONCAT(C2397,"-",D2397)</f>
        <v>Email-España</v>
      </c>
      <c r="U2397">
        <f>YEAR(A2397)</f>
        <v>2025</v>
      </c>
      <c r="V2397">
        <f>MONTH(A2397)</f>
        <v>3</v>
      </c>
      <c r="W2397" t="str">
        <f>PROPER(TEXT(A2397,"mmmm"))</f>
        <v>Marzo</v>
      </c>
      <c r="X2397" t="str">
        <f>PROPER(TEXT(A2397,"dddd"))</f>
        <v>Sábado</v>
      </c>
      <c r="Y2397" t="str" cm="1">
        <f t="array" ref="Y2397">_xlfn.IFS(R2397&gt;10,"Excelente",R2397&gt;=5,"Bueno",R2397&gt;=2,"Débil",R2397&lt;2,"Deficiente")</f>
        <v>Excelente</v>
      </c>
      <c r="Z2397" t="str">
        <f>IF(AND(R2397&lt;2,Q2397&gt;=100),"Revisar","OK")</f>
        <v>OK</v>
      </c>
      <c r="AA2397" s="55">
        <f>_xlfn.XLOOKUP(C2397,'Preguntas de negocio'!$C$114:$C$119,'Preguntas de negocio'!$D$114:$D$119,0)</f>
        <v>5.5</v>
      </c>
      <c r="AB2397" s="55">
        <f>VLOOKUP(C2397,'Preguntas de negocio'!$C$121:$D$127,2,FALSE)</f>
        <v>0.65</v>
      </c>
    </row>
    <row r="2398" spans="1:28" x14ac:dyDescent="0.3">
      <c r="A2398" s="1">
        <v>45910</v>
      </c>
      <c r="B2398" s="2" t="s">
        <v>2617</v>
      </c>
      <c r="C2398" s="2" t="s">
        <v>2521</v>
      </c>
      <c r="D2398" s="2" t="s">
        <v>2525</v>
      </c>
      <c r="E2398" s="2" t="s">
        <v>2517</v>
      </c>
      <c r="F2398" s="3">
        <v>54132</v>
      </c>
      <c r="G2398" s="3">
        <v>4759</v>
      </c>
      <c r="H2398" s="3">
        <v>236</v>
      </c>
      <c r="I2398" s="4">
        <v>2053.7600000000002</v>
      </c>
      <c r="J2398" s="4">
        <v>42766.28</v>
      </c>
      <c r="K2398" s="3">
        <v>149</v>
      </c>
      <c r="L2398" s="2" t="s">
        <v>2523</v>
      </c>
      <c r="M2398" s="2" t="s">
        <v>2524</v>
      </c>
      <c r="N2398" s="8">
        <f>IFERROR(G2398/F2398,0)</f>
        <v>8.7914726963718312E-2</v>
      </c>
      <c r="O2398" s="8">
        <f>IFERROR(H2398/G2398,0)</f>
        <v>4.9590250052532044E-2</v>
      </c>
      <c r="P2398" s="4">
        <f>IFERROR(I2398/G2398,0)</f>
        <v>0.43155284723681453</v>
      </c>
      <c r="Q2398" s="4">
        <f>IFERROR(I2398/H2398,0)</f>
        <v>8.7023728813559327</v>
      </c>
      <c r="R2398" s="12">
        <f>IFERROR(J2398/I2398,0)</f>
        <v>20.823406824555935</v>
      </c>
      <c r="S2398" s="7">
        <f>Tabla_nuevas_columnas[[#This Row],[ROAS]]</f>
        <v>20.823406824555935</v>
      </c>
      <c r="T2398" t="str">
        <f>_xlfn.CONCAT(C2398,"-",D2398)</f>
        <v>Paid Search-Francia</v>
      </c>
      <c r="U2398">
        <f>YEAR(A2398)</f>
        <v>2025</v>
      </c>
      <c r="V2398">
        <f>MONTH(A2398)</f>
        <v>9</v>
      </c>
      <c r="W2398" t="str">
        <f>PROPER(TEXT(A2398,"mmmm"))</f>
        <v>Septiembre</v>
      </c>
      <c r="X2398" t="str">
        <f>PROPER(TEXT(A2398,"dddd"))</f>
        <v>Miércoles</v>
      </c>
      <c r="Y2398" t="str" cm="1">
        <f t="array" ref="Y2398">_xlfn.IFS(R2398&gt;10,"Excelente",R2398&gt;=5,"Bueno",R2398&gt;=2,"Débil",R2398&lt;2,"Deficiente")</f>
        <v>Excelente</v>
      </c>
      <c r="Z2398" t="str">
        <f>IF(AND(R2398&lt;2,Q2398&gt;=100),"Revisar","OK")</f>
        <v>OK</v>
      </c>
      <c r="AA2398" s="55">
        <f>_xlfn.XLOOKUP(C2398,'Preguntas de negocio'!$C$114:$C$119,'Preguntas de negocio'!$D$114:$D$119,0)</f>
        <v>5</v>
      </c>
      <c r="AB2398" s="55">
        <f>VLOOKUP(C2398,'Preguntas de negocio'!$C$121:$D$127,2,FALSE)</f>
        <v>1.1000000000000001</v>
      </c>
    </row>
    <row r="2399" spans="1:28" x14ac:dyDescent="0.3">
      <c r="A2399" s="1">
        <v>45716</v>
      </c>
      <c r="B2399" s="2" t="s">
        <v>2631</v>
      </c>
      <c r="C2399" s="2" t="s">
        <v>2541</v>
      </c>
      <c r="D2399" s="2" t="s">
        <v>2528</v>
      </c>
      <c r="E2399" s="2" t="s">
        <v>2517</v>
      </c>
      <c r="F2399" s="3">
        <v>159021</v>
      </c>
      <c r="G2399" s="3">
        <v>6363</v>
      </c>
      <c r="H2399" s="3">
        <v>797</v>
      </c>
      <c r="I2399" s="4">
        <v>10746.17</v>
      </c>
      <c r="J2399" s="4">
        <v>59554.29</v>
      </c>
      <c r="K2399" s="3">
        <v>650</v>
      </c>
      <c r="L2399" s="2" t="s">
        <v>2518</v>
      </c>
      <c r="M2399" s="2" t="s">
        <v>2537</v>
      </c>
      <c r="N2399" s="8">
        <f>IFERROR(G2399/F2399,0)</f>
        <v>4.0013583111664495E-2</v>
      </c>
      <c r="O2399" s="8">
        <f>IFERROR(H2399/G2399,0)</f>
        <v>0.12525538268112527</v>
      </c>
      <c r="P2399" s="4">
        <f>IFERROR(I2399/G2399,0)</f>
        <v>1.6888527424170989</v>
      </c>
      <c r="Q2399" s="4">
        <f>IFERROR(I2399/H2399,0)</f>
        <v>13.4832747804266</v>
      </c>
      <c r="R2399" s="12">
        <f>IFERROR(J2399/I2399,0)</f>
        <v>5.5419084194647956</v>
      </c>
      <c r="S2399" s="7">
        <f>Tabla_nuevas_columnas[[#This Row],[ROAS]]</f>
        <v>5.5419084194647956</v>
      </c>
      <c r="T2399" t="str">
        <f>_xlfn.CONCAT(C2399,"-",D2399)</f>
        <v>Display-España</v>
      </c>
      <c r="U2399">
        <f>YEAR(A2399)</f>
        <v>2025</v>
      </c>
      <c r="V2399">
        <f>MONTH(A2399)</f>
        <v>2</v>
      </c>
      <c r="W2399" t="str">
        <f>PROPER(TEXT(A2399,"mmmm"))</f>
        <v>Febrero</v>
      </c>
      <c r="X2399" t="str">
        <f>PROPER(TEXT(A2399,"dddd"))</f>
        <v>Viernes</v>
      </c>
      <c r="Y2399" t="str" cm="1">
        <f t="array" ref="Y2399">_xlfn.IFS(R2399&gt;10,"Excelente",R2399&gt;=5,"Bueno",R2399&gt;=2,"Débil",R2399&lt;2,"Deficiente")</f>
        <v>Bueno</v>
      </c>
      <c r="Z2399" t="str">
        <f>IF(AND(R2399&lt;2,Q2399&gt;=100),"Revisar","OK")</f>
        <v>OK</v>
      </c>
      <c r="AA2399" s="55">
        <f>_xlfn.XLOOKUP(C2399,'Preguntas de negocio'!$C$114:$C$119,'Preguntas de negocio'!$D$114:$D$119,0)</f>
        <v>5</v>
      </c>
      <c r="AB2399" s="55">
        <f>VLOOKUP(C2399,'Preguntas de negocio'!$C$121:$D$127,2,FALSE)</f>
        <v>0.5</v>
      </c>
    </row>
    <row r="2400" spans="1:28" x14ac:dyDescent="0.3">
      <c r="A2400" s="1">
        <v>45723</v>
      </c>
      <c r="B2400" s="2" t="s">
        <v>2625</v>
      </c>
      <c r="C2400" s="2" t="s">
        <v>2521</v>
      </c>
      <c r="D2400" s="2" t="s">
        <v>2525</v>
      </c>
      <c r="E2400" s="2" t="s">
        <v>2517</v>
      </c>
      <c r="F2400" s="3">
        <v>172334</v>
      </c>
      <c r="G2400" s="3">
        <v>11933</v>
      </c>
      <c r="H2400" s="3">
        <v>865</v>
      </c>
      <c r="I2400" s="4">
        <v>16565.84</v>
      </c>
      <c r="J2400" s="4">
        <v>22770.37</v>
      </c>
      <c r="K2400" s="3">
        <v>532</v>
      </c>
      <c r="L2400" s="2" t="s">
        <v>2518</v>
      </c>
      <c r="M2400" s="2" t="s">
        <v>2526</v>
      </c>
      <c r="N2400" s="8">
        <f>IFERROR(G2400/F2400,0)</f>
        <v>6.9243445866747133E-2</v>
      </c>
      <c r="O2400" s="8">
        <f>IFERROR(H2400/G2400,0)</f>
        <v>7.2488058325651555E-2</v>
      </c>
      <c r="P2400" s="4">
        <f>IFERROR(I2400/G2400,0)</f>
        <v>1.3882376602698399</v>
      </c>
      <c r="Q2400" s="4">
        <f>IFERROR(I2400/H2400,0)</f>
        <v>19.151260115606938</v>
      </c>
      <c r="R2400" s="12">
        <f>IFERROR(J2400/I2400,0)</f>
        <v>1.37453760268118</v>
      </c>
      <c r="S2400" s="7">
        <f>Tabla_nuevas_columnas[[#This Row],[ROAS]]</f>
        <v>1.37453760268118</v>
      </c>
      <c r="T2400" t="str">
        <f>_xlfn.CONCAT(C2400,"-",D2400)</f>
        <v>Paid Search-Francia</v>
      </c>
      <c r="U2400">
        <f>YEAR(A2400)</f>
        <v>2025</v>
      </c>
      <c r="V2400">
        <f>MONTH(A2400)</f>
        <v>3</v>
      </c>
      <c r="W2400" t="str">
        <f>PROPER(TEXT(A2400,"mmmm"))</f>
        <v>Marzo</v>
      </c>
      <c r="X2400" t="str">
        <f>PROPER(TEXT(A2400,"dddd"))</f>
        <v>Viernes</v>
      </c>
      <c r="Y2400" t="str" cm="1">
        <f t="array" ref="Y2400">_xlfn.IFS(R2400&gt;10,"Excelente",R2400&gt;=5,"Bueno",R2400&gt;=2,"Débil",R2400&lt;2,"Deficiente")</f>
        <v>Deficiente</v>
      </c>
      <c r="Z2400" t="str">
        <f>IF(AND(R2400&lt;2,Q2400&gt;=100),"Revisar","OK")</f>
        <v>OK</v>
      </c>
      <c r="AA2400" s="55">
        <f>_xlfn.XLOOKUP(C2400,'Preguntas de negocio'!$C$114:$C$119,'Preguntas de negocio'!$D$114:$D$119,0)</f>
        <v>5</v>
      </c>
      <c r="AB2400" s="55">
        <f>VLOOKUP(C2400,'Preguntas de negocio'!$C$121:$D$127,2,FALSE)</f>
        <v>1.1000000000000001</v>
      </c>
    </row>
    <row r="2401" spans="1:28" x14ac:dyDescent="0.3">
      <c r="A2401" s="1">
        <v>45837</v>
      </c>
      <c r="B2401" s="2" t="s">
        <v>2642</v>
      </c>
      <c r="C2401" s="2" t="s">
        <v>2515</v>
      </c>
      <c r="D2401" s="2" t="s">
        <v>2522</v>
      </c>
      <c r="E2401" s="2" t="s">
        <v>2529</v>
      </c>
      <c r="F2401" s="3">
        <v>159170</v>
      </c>
      <c r="G2401" s="3">
        <v>13780</v>
      </c>
      <c r="H2401" s="3">
        <v>89</v>
      </c>
      <c r="I2401" s="4">
        <v>12935.9</v>
      </c>
      <c r="J2401" s="4">
        <v>9498.49</v>
      </c>
      <c r="K2401" s="3">
        <v>51</v>
      </c>
      <c r="L2401" s="2" t="s">
        <v>2523</v>
      </c>
      <c r="M2401" s="2" t="s">
        <v>2526</v>
      </c>
      <c r="N2401" s="8">
        <f>IFERROR(G2401/F2401,0)</f>
        <v>8.6574103160143245E-2</v>
      </c>
      <c r="O2401" s="8">
        <f>IFERROR(H2401/G2401,0)</f>
        <v>6.4586357039187227E-3</v>
      </c>
      <c r="P2401" s="4">
        <f>IFERROR(I2401/G2401,0)</f>
        <v>0.93874455732946294</v>
      </c>
      <c r="Q2401" s="4">
        <f>IFERROR(I2401/H2401,0)</f>
        <v>145.34719101123596</v>
      </c>
      <c r="R2401" s="12">
        <f>IFERROR(J2401/I2401,0)</f>
        <v>0.73427361064943297</v>
      </c>
      <c r="S2401" s="7">
        <f>Tabla_nuevas_columnas[[#This Row],[ROAS]]</f>
        <v>0.73427361064943297</v>
      </c>
      <c r="T2401" t="str">
        <f>_xlfn.CONCAT(C2401,"-",D2401)</f>
        <v>Email-Italia</v>
      </c>
      <c r="U2401">
        <f>YEAR(A2401)</f>
        <v>2025</v>
      </c>
      <c r="V2401">
        <f>MONTH(A2401)</f>
        <v>6</v>
      </c>
      <c r="W2401" t="str">
        <f>PROPER(TEXT(A2401,"mmmm"))</f>
        <v>Junio</v>
      </c>
      <c r="X2401" t="str">
        <f>PROPER(TEXT(A2401,"dddd"))</f>
        <v>Domingo</v>
      </c>
      <c r="Y2401" t="str" cm="1">
        <f t="array" ref="Y2401">_xlfn.IFS(R2401&gt;10,"Excelente",R2401&gt;=5,"Bueno",R2401&gt;=2,"Débil",R2401&lt;2,"Deficiente")</f>
        <v>Deficiente</v>
      </c>
      <c r="Z2401" t="str">
        <f>IF(AND(R2401&lt;2,Q2401&gt;=100),"Revisar","OK")</f>
        <v>Revisar</v>
      </c>
      <c r="AA2401" s="55">
        <f>_xlfn.XLOOKUP(C2401,'Preguntas de negocio'!$C$114:$C$119,'Preguntas de negocio'!$D$114:$D$119,0)</f>
        <v>5.5</v>
      </c>
      <c r="AB2401" s="55">
        <f>VLOOKUP(C2401,'Preguntas de negocio'!$C$121:$D$127,2,FALSE)</f>
        <v>0.65</v>
      </c>
    </row>
    <row r="2402" spans="1:28" x14ac:dyDescent="0.3">
      <c r="A2402" s="1">
        <v>45847</v>
      </c>
      <c r="B2402" s="2" t="s">
        <v>2641</v>
      </c>
      <c r="C2402" s="2" t="s">
        <v>2541</v>
      </c>
      <c r="D2402" s="2" t="s">
        <v>2531</v>
      </c>
      <c r="E2402" s="2" t="s">
        <v>2529</v>
      </c>
      <c r="F2402" s="3">
        <v>36139</v>
      </c>
      <c r="G2402" s="3">
        <v>1076</v>
      </c>
      <c r="H2402" s="3">
        <v>102</v>
      </c>
      <c r="I2402" s="4">
        <v>1871.09</v>
      </c>
      <c r="J2402" s="4">
        <v>22056</v>
      </c>
      <c r="K2402" s="3">
        <v>70</v>
      </c>
      <c r="L2402" s="2" t="s">
        <v>2518</v>
      </c>
      <c r="M2402" s="2" t="s">
        <v>2526</v>
      </c>
      <c r="N2402" s="8">
        <f>IFERROR(G2402/F2402,0)</f>
        <v>2.9773928442956364E-2</v>
      </c>
      <c r="O2402" s="8">
        <f>IFERROR(H2402/G2402,0)</f>
        <v>9.4795539033457249E-2</v>
      </c>
      <c r="P2402" s="4">
        <f>IFERROR(I2402/G2402,0)</f>
        <v>1.7389312267657993</v>
      </c>
      <c r="Q2402" s="4">
        <f>IFERROR(I2402/H2402,0)</f>
        <v>18.344019607843137</v>
      </c>
      <c r="R2402" s="12">
        <f>IFERROR(J2402/I2402,0)</f>
        <v>11.787781453591222</v>
      </c>
      <c r="S2402" s="7">
        <f>Tabla_nuevas_columnas[[#This Row],[ROAS]]</f>
        <v>11.787781453591222</v>
      </c>
      <c r="T2402" t="str">
        <f>_xlfn.CONCAT(C2402,"-",D2402)</f>
        <v>Display-Portugal</v>
      </c>
      <c r="U2402">
        <f>YEAR(A2402)</f>
        <v>2025</v>
      </c>
      <c r="V2402">
        <f>MONTH(A2402)</f>
        <v>7</v>
      </c>
      <c r="W2402" t="str">
        <f>PROPER(TEXT(A2402,"mmmm"))</f>
        <v>Julio</v>
      </c>
      <c r="X2402" t="str">
        <f>PROPER(TEXT(A2402,"dddd"))</f>
        <v>Miércoles</v>
      </c>
      <c r="Y2402" t="str" cm="1">
        <f t="array" ref="Y2402">_xlfn.IFS(R2402&gt;10,"Excelente",R2402&gt;=5,"Bueno",R2402&gt;=2,"Débil",R2402&lt;2,"Deficiente")</f>
        <v>Excelente</v>
      </c>
      <c r="Z2402" t="str">
        <f>IF(AND(R2402&lt;2,Q2402&gt;=100),"Revisar","OK")</f>
        <v>OK</v>
      </c>
      <c r="AA2402" s="55">
        <f>_xlfn.XLOOKUP(C2402,'Preguntas de negocio'!$C$114:$C$119,'Preguntas de negocio'!$D$114:$D$119,0)</f>
        <v>5</v>
      </c>
      <c r="AB2402" s="55">
        <f>VLOOKUP(C2402,'Preguntas de negocio'!$C$121:$D$127,2,FALSE)</f>
        <v>0.5</v>
      </c>
    </row>
    <row r="2403" spans="1:28" x14ac:dyDescent="0.3">
      <c r="A2403" s="1">
        <v>45835</v>
      </c>
      <c r="B2403" s="2" t="s">
        <v>2629</v>
      </c>
      <c r="C2403" s="2" t="s">
        <v>2515</v>
      </c>
      <c r="D2403" s="2" t="s">
        <v>2528</v>
      </c>
      <c r="E2403" s="2" t="s">
        <v>2529</v>
      </c>
      <c r="F2403" s="3">
        <v>141083</v>
      </c>
      <c r="G2403" s="3">
        <v>3457</v>
      </c>
      <c r="H2403" s="3">
        <v>80</v>
      </c>
      <c r="I2403" s="4">
        <v>1030.1300000000001</v>
      </c>
      <c r="J2403" s="4">
        <v>1990.29</v>
      </c>
      <c r="K2403" s="3">
        <v>50</v>
      </c>
      <c r="L2403" s="2" t="s">
        <v>2523</v>
      </c>
      <c r="M2403" s="2" t="s">
        <v>2524</v>
      </c>
      <c r="N2403" s="8">
        <f>IFERROR(G2403/F2403,0)</f>
        <v>2.4503306564221061E-2</v>
      </c>
      <c r="O2403" s="8">
        <f>IFERROR(H2403/G2403,0)</f>
        <v>2.3141452126120916E-2</v>
      </c>
      <c r="P2403" s="4">
        <f>IFERROR(I2403/G2403,0)</f>
        <v>0.29798380098351174</v>
      </c>
      <c r="Q2403" s="4">
        <f>IFERROR(I2403/H2403,0)</f>
        <v>12.876625000000001</v>
      </c>
      <c r="R2403" s="12">
        <f>IFERROR(J2403/I2403,0)</f>
        <v>1.9320765340296853</v>
      </c>
      <c r="S2403" s="7">
        <f>Tabla_nuevas_columnas[[#This Row],[ROAS]]</f>
        <v>1.9320765340296853</v>
      </c>
      <c r="T2403" t="str">
        <f>_xlfn.CONCAT(C2403,"-",D2403)</f>
        <v>Email-España</v>
      </c>
      <c r="U2403">
        <f>YEAR(A2403)</f>
        <v>2025</v>
      </c>
      <c r="V2403">
        <f>MONTH(A2403)</f>
        <v>6</v>
      </c>
      <c r="W2403" t="str">
        <f>PROPER(TEXT(A2403,"mmmm"))</f>
        <v>Junio</v>
      </c>
      <c r="X2403" t="str">
        <f>PROPER(TEXT(A2403,"dddd"))</f>
        <v>Viernes</v>
      </c>
      <c r="Y2403" t="str" cm="1">
        <f t="array" ref="Y2403">_xlfn.IFS(R2403&gt;10,"Excelente",R2403&gt;=5,"Bueno",R2403&gt;=2,"Débil",R2403&lt;2,"Deficiente")</f>
        <v>Deficiente</v>
      </c>
      <c r="Z2403" t="str">
        <f>IF(AND(R2403&lt;2,Q2403&gt;=100),"Revisar","OK")</f>
        <v>OK</v>
      </c>
      <c r="AA2403" s="55">
        <f>_xlfn.XLOOKUP(C2403,'Preguntas de negocio'!$C$114:$C$119,'Preguntas de negocio'!$D$114:$D$119,0)</f>
        <v>5.5</v>
      </c>
      <c r="AB2403" s="55">
        <f>VLOOKUP(C2403,'Preguntas de negocio'!$C$121:$D$127,2,FALSE)</f>
        <v>0.65</v>
      </c>
    </row>
    <row r="2404" spans="1:28" x14ac:dyDescent="0.3">
      <c r="A2404" s="1">
        <v>45865</v>
      </c>
      <c r="B2404" s="2" t="s">
        <v>2630</v>
      </c>
      <c r="C2404" s="2" t="s">
        <v>2515</v>
      </c>
      <c r="D2404" s="2" t="s">
        <v>2516</v>
      </c>
      <c r="E2404" s="2" t="s">
        <v>2529</v>
      </c>
      <c r="F2404" s="3">
        <v>22975</v>
      </c>
      <c r="G2404" s="3">
        <v>1068</v>
      </c>
      <c r="H2404" s="3">
        <v>79</v>
      </c>
      <c r="I2404" s="4">
        <v>595.24</v>
      </c>
      <c r="J2404" s="4">
        <v>16489.900000000001</v>
      </c>
      <c r="K2404" s="3">
        <v>49</v>
      </c>
      <c r="L2404" s="2" t="s">
        <v>2518</v>
      </c>
      <c r="M2404" s="2" t="s">
        <v>2537</v>
      </c>
      <c r="N2404" s="8">
        <f>IFERROR(G2404/F2404,0)</f>
        <v>4.6485310119695318E-2</v>
      </c>
      <c r="O2404" s="8">
        <f>IFERROR(H2404/G2404,0)</f>
        <v>7.3970037453183521E-2</v>
      </c>
      <c r="P2404" s="4">
        <f>IFERROR(I2404/G2404,0)</f>
        <v>0.55734082397003748</v>
      </c>
      <c r="Q2404" s="4">
        <f>IFERROR(I2404/H2404,0)</f>
        <v>7.5346835443037978</v>
      </c>
      <c r="R2404" s="12">
        <f>IFERROR(J2404/I2404,0)</f>
        <v>27.702943350581279</v>
      </c>
      <c r="S2404" s="7">
        <f>Tabla_nuevas_columnas[[#This Row],[ROAS]]</f>
        <v>27.702943350581279</v>
      </c>
      <c r="T2404" t="str">
        <f>_xlfn.CONCAT(C2404,"-",D2404)</f>
        <v>Email-México</v>
      </c>
      <c r="U2404">
        <f>YEAR(A2404)</f>
        <v>2025</v>
      </c>
      <c r="V2404">
        <f>MONTH(A2404)</f>
        <v>7</v>
      </c>
      <c r="W2404" t="str">
        <f>PROPER(TEXT(A2404,"mmmm"))</f>
        <v>Julio</v>
      </c>
      <c r="X2404" t="str">
        <f>PROPER(TEXT(A2404,"dddd"))</f>
        <v>Domingo</v>
      </c>
      <c r="Y2404" t="str" cm="1">
        <f t="array" ref="Y2404">_xlfn.IFS(R2404&gt;10,"Excelente",R2404&gt;=5,"Bueno",R2404&gt;=2,"Débil",R2404&lt;2,"Deficiente")</f>
        <v>Excelente</v>
      </c>
      <c r="Z2404" t="str">
        <f>IF(AND(R2404&lt;2,Q2404&gt;=100),"Revisar","OK")</f>
        <v>OK</v>
      </c>
      <c r="AA2404" s="55">
        <f>_xlfn.XLOOKUP(C2404,'Preguntas de negocio'!$C$114:$C$119,'Preguntas de negocio'!$D$114:$D$119,0)</f>
        <v>5.5</v>
      </c>
      <c r="AB2404" s="55">
        <f>VLOOKUP(C2404,'Preguntas de negocio'!$C$121:$D$127,2,FALSE)</f>
        <v>0.65</v>
      </c>
    </row>
    <row r="2405" spans="1:28" x14ac:dyDescent="0.3">
      <c r="A2405" s="1">
        <v>45738</v>
      </c>
      <c r="B2405" s="2" t="s">
        <v>2630</v>
      </c>
      <c r="C2405" s="2" t="s">
        <v>2533</v>
      </c>
      <c r="D2405" s="2" t="s">
        <v>2528</v>
      </c>
      <c r="E2405" s="2" t="s">
        <v>2529</v>
      </c>
      <c r="F2405" s="3">
        <v>100611</v>
      </c>
      <c r="G2405" s="3">
        <v>1676</v>
      </c>
      <c r="H2405" s="3">
        <v>34</v>
      </c>
      <c r="I2405" s="4">
        <v>614.26</v>
      </c>
      <c r="J2405" s="4">
        <v>1240.72</v>
      </c>
      <c r="K2405" s="3">
        <v>29</v>
      </c>
      <c r="L2405" s="2" t="s">
        <v>2539</v>
      </c>
      <c r="M2405" s="2" t="s">
        <v>2537</v>
      </c>
      <c r="N2405" s="8">
        <f>IFERROR(G2405/F2405,0)</f>
        <v>1.6658218286270884E-2</v>
      </c>
      <c r="O2405" s="8">
        <f>IFERROR(H2405/G2405,0)</f>
        <v>2.028639618138425E-2</v>
      </c>
      <c r="P2405" s="4">
        <f>IFERROR(I2405/G2405,0)</f>
        <v>0.36650357995226729</v>
      </c>
      <c r="Q2405" s="4">
        <f>IFERROR(I2405/H2405,0)</f>
        <v>18.066470588235294</v>
      </c>
      <c r="R2405" s="12">
        <f>IFERROR(J2405/I2405,0)</f>
        <v>2.0198612965193892</v>
      </c>
      <c r="S2405" s="7">
        <f>Tabla_nuevas_columnas[[#This Row],[ROAS]]</f>
        <v>2.0198612965193892</v>
      </c>
      <c r="T2405" t="str">
        <f>_xlfn.CONCAT(C2405,"-",D2405)</f>
        <v>Paid Social-España</v>
      </c>
      <c r="U2405">
        <f>YEAR(A2405)</f>
        <v>2025</v>
      </c>
      <c r="V2405">
        <f>MONTH(A2405)</f>
        <v>3</v>
      </c>
      <c r="W2405" t="str">
        <f>PROPER(TEXT(A2405,"mmmm"))</f>
        <v>Marzo</v>
      </c>
      <c r="X2405" t="str">
        <f>PROPER(TEXT(A2405,"dddd"))</f>
        <v>Sábado</v>
      </c>
      <c r="Y2405" t="str" cm="1">
        <f t="array" ref="Y2405">_xlfn.IFS(R2405&gt;10,"Excelente",R2405&gt;=5,"Bueno",R2405&gt;=2,"Débil",R2405&lt;2,"Deficiente")</f>
        <v>Débil</v>
      </c>
      <c r="Z2405" t="str">
        <f>IF(AND(R2405&lt;2,Q2405&gt;=100),"Revisar","OK")</f>
        <v>OK</v>
      </c>
      <c r="AA2405" s="55">
        <f>_xlfn.XLOOKUP(C2405,'Preguntas de negocio'!$C$114:$C$119,'Preguntas de negocio'!$D$114:$D$119,0)</f>
        <v>6</v>
      </c>
      <c r="AB2405" s="55">
        <f>VLOOKUP(C2405,'Preguntas de negocio'!$C$121:$D$127,2,FALSE)</f>
        <v>0.8</v>
      </c>
    </row>
    <row r="2406" spans="1:28" x14ac:dyDescent="0.3">
      <c r="A2406" s="1">
        <v>45870</v>
      </c>
      <c r="B2406" s="2" t="s">
        <v>2624</v>
      </c>
      <c r="C2406" s="2" t="s">
        <v>2533</v>
      </c>
      <c r="D2406" s="2" t="s">
        <v>2528</v>
      </c>
      <c r="E2406" s="2" t="s">
        <v>2529</v>
      </c>
      <c r="F2406" s="3">
        <v>152141</v>
      </c>
      <c r="G2406" s="3">
        <v>11790</v>
      </c>
      <c r="H2406" s="3">
        <v>1271</v>
      </c>
      <c r="I2406" s="4">
        <v>1659.98</v>
      </c>
      <c r="J2406" s="4">
        <v>120772.99</v>
      </c>
      <c r="K2406" s="3">
        <v>944</v>
      </c>
      <c r="L2406" s="2" t="s">
        <v>2523</v>
      </c>
      <c r="M2406" s="2" t="s">
        <v>2546</v>
      </c>
      <c r="N2406" s="8">
        <f>IFERROR(G2406/F2406,0)</f>
        <v>7.7493903681453383E-2</v>
      </c>
      <c r="O2406" s="8">
        <f>IFERROR(H2406/G2406,0)</f>
        <v>0.10780322307039865</v>
      </c>
      <c r="P2406" s="4">
        <f>IFERROR(I2406/G2406,0)</f>
        <v>0.14079558948261239</v>
      </c>
      <c r="Q2406" s="4">
        <f>IFERROR(I2406/H2406,0)</f>
        <v>1.306042486231314</v>
      </c>
      <c r="R2406" s="12">
        <f>IFERROR(J2406/I2406,0)</f>
        <v>72.755689827588284</v>
      </c>
      <c r="S2406" s="7">
        <f>Tabla_nuevas_columnas[[#This Row],[ROAS]]</f>
        <v>72.755689827588284</v>
      </c>
      <c r="T2406" t="str">
        <f>_xlfn.CONCAT(C2406,"-",D2406)</f>
        <v>Paid Social-España</v>
      </c>
      <c r="U2406">
        <f>YEAR(A2406)</f>
        <v>2025</v>
      </c>
      <c r="V2406">
        <f>MONTH(A2406)</f>
        <v>8</v>
      </c>
      <c r="W2406" t="str">
        <f>PROPER(TEXT(A2406,"mmmm"))</f>
        <v>Agosto</v>
      </c>
      <c r="X2406" t="str">
        <f>PROPER(TEXT(A2406,"dddd"))</f>
        <v>Viernes</v>
      </c>
      <c r="Y2406" t="str" cm="1">
        <f t="array" ref="Y2406">_xlfn.IFS(R2406&gt;10,"Excelente",R2406&gt;=5,"Bueno",R2406&gt;=2,"Débil",R2406&lt;2,"Deficiente")</f>
        <v>Excelente</v>
      </c>
      <c r="Z2406" t="str">
        <f>IF(AND(R2406&lt;2,Q2406&gt;=100),"Revisar","OK")</f>
        <v>OK</v>
      </c>
      <c r="AA2406" s="55">
        <f>_xlfn.XLOOKUP(C2406,'Preguntas de negocio'!$C$114:$C$119,'Preguntas de negocio'!$D$114:$D$119,0)</f>
        <v>6</v>
      </c>
      <c r="AB2406" s="55">
        <f>VLOOKUP(C2406,'Preguntas de negocio'!$C$121:$D$127,2,FALSE)</f>
        <v>0.8</v>
      </c>
    </row>
    <row r="2407" spans="1:28" x14ac:dyDescent="0.3">
      <c r="A2407" s="1">
        <v>45815</v>
      </c>
      <c r="B2407" s="2" t="s">
        <v>2635</v>
      </c>
      <c r="C2407" s="2" t="s">
        <v>2515</v>
      </c>
      <c r="D2407" s="2" t="s">
        <v>2528</v>
      </c>
      <c r="E2407" s="2" t="s">
        <v>2517</v>
      </c>
      <c r="F2407" s="3">
        <v>54026</v>
      </c>
      <c r="G2407" s="3">
        <v>4736</v>
      </c>
      <c r="H2407" s="3">
        <v>184</v>
      </c>
      <c r="I2407" s="4">
        <v>9548.18</v>
      </c>
      <c r="J2407" s="4">
        <v>30139.31</v>
      </c>
      <c r="K2407" s="3">
        <v>85</v>
      </c>
      <c r="L2407" s="2" t="s">
        <v>2523</v>
      </c>
      <c r="M2407" s="2" t="s">
        <v>2519</v>
      </c>
      <c r="N2407" s="8">
        <f>IFERROR(G2407/F2407,0)</f>
        <v>8.7661496316588303E-2</v>
      </c>
      <c r="O2407" s="8">
        <f>IFERROR(H2407/G2407,0)</f>
        <v>3.885135135135135E-2</v>
      </c>
      <c r="P2407" s="4">
        <f>IFERROR(I2407/G2407,0)</f>
        <v>2.0160853040540543</v>
      </c>
      <c r="Q2407" s="4">
        <f>IFERROR(I2407/H2407,0)</f>
        <v>51.892282608695652</v>
      </c>
      <c r="R2407" s="12">
        <f>IFERROR(J2407/I2407,0)</f>
        <v>3.1565502535561754</v>
      </c>
      <c r="S2407" s="7">
        <f>Tabla_nuevas_columnas[[#This Row],[ROAS]]</f>
        <v>3.1565502535561754</v>
      </c>
      <c r="T2407" t="str">
        <f>_xlfn.CONCAT(C2407,"-",D2407)</f>
        <v>Email-España</v>
      </c>
      <c r="U2407">
        <f>YEAR(A2407)</f>
        <v>2025</v>
      </c>
      <c r="V2407">
        <f>MONTH(A2407)</f>
        <v>6</v>
      </c>
      <c r="W2407" t="str">
        <f>PROPER(TEXT(A2407,"mmmm"))</f>
        <v>Junio</v>
      </c>
      <c r="X2407" t="str">
        <f>PROPER(TEXT(A2407,"dddd"))</f>
        <v>Sábado</v>
      </c>
      <c r="Y2407" t="str" cm="1">
        <f t="array" ref="Y2407">_xlfn.IFS(R2407&gt;10,"Excelente",R2407&gt;=5,"Bueno",R2407&gt;=2,"Débil",R2407&lt;2,"Deficiente")</f>
        <v>Débil</v>
      </c>
      <c r="Z2407" t="str">
        <f>IF(AND(R2407&lt;2,Q2407&gt;=100),"Revisar","OK")</f>
        <v>OK</v>
      </c>
      <c r="AA2407" s="55">
        <f>_xlfn.XLOOKUP(C2407,'Preguntas de negocio'!$C$114:$C$119,'Preguntas de negocio'!$D$114:$D$119,0)</f>
        <v>5.5</v>
      </c>
      <c r="AB2407" s="55">
        <f>VLOOKUP(C2407,'Preguntas de negocio'!$C$121:$D$127,2,FALSE)</f>
        <v>0.65</v>
      </c>
    </row>
    <row r="2408" spans="1:28" x14ac:dyDescent="0.3">
      <c r="A2408" s="1">
        <v>45678</v>
      </c>
      <c r="B2408" s="2" t="s">
        <v>2633</v>
      </c>
      <c r="C2408" s="2" t="s">
        <v>2543</v>
      </c>
      <c r="D2408" s="2" t="s">
        <v>2531</v>
      </c>
      <c r="E2408" s="2" t="s">
        <v>2529</v>
      </c>
      <c r="F2408" s="3">
        <v>49736</v>
      </c>
      <c r="G2408" s="3">
        <v>787</v>
      </c>
      <c r="H2408" s="3">
        <v>16</v>
      </c>
      <c r="I2408" s="4">
        <v>1254.3</v>
      </c>
      <c r="J2408" s="4">
        <v>2345.4299999999998</v>
      </c>
      <c r="K2408" s="3">
        <v>7</v>
      </c>
      <c r="L2408" s="2" t="s">
        <v>2518</v>
      </c>
      <c r="M2408" s="2" t="s">
        <v>2524</v>
      </c>
      <c r="N2408" s="8">
        <f>IFERROR(G2408/F2408,0)</f>
        <v>1.5823548335209908E-2</v>
      </c>
      <c r="O2408" s="8">
        <f>IFERROR(H2408/G2408,0)</f>
        <v>2.0330368487928845E-2</v>
      </c>
      <c r="P2408" s="4">
        <f>IFERROR(I2408/G2408,0)</f>
        <v>1.5937738246505717</v>
      </c>
      <c r="Q2408" s="4">
        <f>IFERROR(I2408/H2408,0)</f>
        <v>78.393749999999997</v>
      </c>
      <c r="R2408" s="12">
        <f>IFERROR(J2408/I2408,0)</f>
        <v>1.8699115044247787</v>
      </c>
      <c r="S2408" s="7">
        <f>Tabla_nuevas_columnas[[#This Row],[ROAS]]</f>
        <v>1.8699115044247787</v>
      </c>
      <c r="T2408" t="str">
        <f>_xlfn.CONCAT(C2408,"-",D2408)</f>
        <v>Organic Social-Portugal</v>
      </c>
      <c r="U2408">
        <f>YEAR(A2408)</f>
        <v>2025</v>
      </c>
      <c r="V2408">
        <f>MONTH(A2408)</f>
        <v>1</v>
      </c>
      <c r="W2408" t="str">
        <f>PROPER(TEXT(A2408,"mmmm"))</f>
        <v>Enero</v>
      </c>
      <c r="X2408" t="str">
        <f>PROPER(TEXT(A2408,"dddd"))</f>
        <v>Martes</v>
      </c>
      <c r="Y2408" t="str" cm="1">
        <f t="array" ref="Y2408">_xlfn.IFS(R2408&gt;10,"Excelente",R2408&gt;=5,"Bueno",R2408&gt;=2,"Débil",R2408&lt;2,"Deficiente")</f>
        <v>Deficiente</v>
      </c>
      <c r="Z2408" t="str">
        <f>IF(AND(R2408&lt;2,Q2408&gt;=100),"Revisar","OK")</f>
        <v>OK</v>
      </c>
      <c r="AA2408" s="55">
        <f>_xlfn.XLOOKUP(C2408,'Preguntas de negocio'!$C$114:$C$119,'Preguntas de negocio'!$D$114:$D$119,0)</f>
        <v>4</v>
      </c>
      <c r="AB2408" s="55">
        <f>VLOOKUP(C2408,'Preguntas de negocio'!$C$121:$D$127,2,FALSE)</f>
        <v>0.95</v>
      </c>
    </row>
    <row r="2409" spans="1:28" x14ac:dyDescent="0.3">
      <c r="A2409" s="1">
        <v>45760</v>
      </c>
      <c r="B2409" s="2" t="s">
        <v>2644</v>
      </c>
      <c r="C2409" s="2" t="s">
        <v>2521</v>
      </c>
      <c r="D2409" s="2" t="s">
        <v>2525</v>
      </c>
      <c r="E2409" s="2" t="s">
        <v>2529</v>
      </c>
      <c r="F2409" s="3">
        <v>80964</v>
      </c>
      <c r="G2409" s="3">
        <v>6340</v>
      </c>
      <c r="H2409" s="3">
        <v>40</v>
      </c>
      <c r="I2409" s="4">
        <v>12407.19</v>
      </c>
      <c r="J2409" s="4">
        <v>2860.03</v>
      </c>
      <c r="K2409" s="3">
        <v>31</v>
      </c>
      <c r="L2409" s="2" t="s">
        <v>2523</v>
      </c>
      <c r="M2409" s="2" t="s">
        <v>2519</v>
      </c>
      <c r="N2409" s="8">
        <f>IFERROR(G2409/F2409,0)</f>
        <v>7.8306407786176577E-2</v>
      </c>
      <c r="O2409" s="8">
        <f>IFERROR(H2409/G2409,0)</f>
        <v>6.3091482649842269E-3</v>
      </c>
      <c r="P2409" s="4">
        <f>IFERROR(I2409/G2409,0)</f>
        <v>1.9569700315457415</v>
      </c>
      <c r="Q2409" s="4">
        <f>IFERROR(I2409/H2409,0)</f>
        <v>310.17975000000001</v>
      </c>
      <c r="R2409" s="12">
        <f>IFERROR(J2409/I2409,0)</f>
        <v>0.23051391975136998</v>
      </c>
      <c r="S2409" s="7">
        <f>Tabla_nuevas_columnas[[#This Row],[ROAS]]</f>
        <v>0.23051391975136998</v>
      </c>
      <c r="T2409" t="str">
        <f>_xlfn.CONCAT(C2409,"-",D2409)</f>
        <v>Paid Search-Francia</v>
      </c>
      <c r="U2409">
        <f>YEAR(A2409)</f>
        <v>2025</v>
      </c>
      <c r="V2409">
        <f>MONTH(A2409)</f>
        <v>4</v>
      </c>
      <c r="W2409" t="str">
        <f>PROPER(TEXT(A2409,"mmmm"))</f>
        <v>Abril</v>
      </c>
      <c r="X2409" t="str">
        <f>PROPER(TEXT(A2409,"dddd"))</f>
        <v>Domingo</v>
      </c>
      <c r="Y2409" t="str" cm="1">
        <f t="array" ref="Y2409">_xlfn.IFS(R2409&gt;10,"Excelente",R2409&gt;=5,"Bueno",R2409&gt;=2,"Débil",R2409&lt;2,"Deficiente")</f>
        <v>Deficiente</v>
      </c>
      <c r="Z2409" t="str">
        <f>IF(AND(R2409&lt;2,Q2409&gt;=100),"Revisar","OK")</f>
        <v>Revisar</v>
      </c>
      <c r="AA2409" s="55">
        <f>_xlfn.XLOOKUP(C2409,'Preguntas de negocio'!$C$114:$C$119,'Preguntas de negocio'!$D$114:$D$119,0)</f>
        <v>5</v>
      </c>
      <c r="AB2409" s="55">
        <f>VLOOKUP(C2409,'Preguntas de negocio'!$C$121:$D$127,2,FALSE)</f>
        <v>1.1000000000000001</v>
      </c>
    </row>
    <row r="2410" spans="1:28" x14ac:dyDescent="0.3">
      <c r="A2410" s="1">
        <v>45678</v>
      </c>
      <c r="B2410" s="2" t="s">
        <v>2638</v>
      </c>
      <c r="C2410" s="2" t="s">
        <v>2541</v>
      </c>
      <c r="D2410" s="2" t="s">
        <v>2528</v>
      </c>
      <c r="E2410" s="2" t="s">
        <v>2529</v>
      </c>
      <c r="F2410" s="3">
        <v>101307</v>
      </c>
      <c r="G2410" s="3">
        <v>4951</v>
      </c>
      <c r="H2410" s="3">
        <v>33</v>
      </c>
      <c r="I2410" s="4">
        <v>2857.18</v>
      </c>
      <c r="J2410" s="4">
        <v>1326.66</v>
      </c>
      <c r="K2410" s="3">
        <v>19</v>
      </c>
      <c r="L2410" s="2" t="s">
        <v>2523</v>
      </c>
      <c r="M2410" s="2" t="s">
        <v>2546</v>
      </c>
      <c r="N2410" s="8">
        <f>IFERROR(G2410/F2410,0)</f>
        <v>4.8871252726859937E-2</v>
      </c>
      <c r="O2410" s="8">
        <f>IFERROR(H2410/G2410,0)</f>
        <v>6.6653201373459911E-3</v>
      </c>
      <c r="P2410" s="4">
        <f>IFERROR(I2410/G2410,0)</f>
        <v>0.57709149666733994</v>
      </c>
      <c r="Q2410" s="4">
        <f>IFERROR(I2410/H2410,0)</f>
        <v>86.581212121212118</v>
      </c>
      <c r="R2410" s="12">
        <f>IFERROR(J2410/I2410,0)</f>
        <v>0.464324963775471</v>
      </c>
      <c r="S2410" s="7">
        <f>Tabla_nuevas_columnas[[#This Row],[ROAS]]</f>
        <v>0.464324963775471</v>
      </c>
      <c r="T2410" t="str">
        <f>_xlfn.CONCAT(C2410,"-",D2410)</f>
        <v>Display-España</v>
      </c>
      <c r="U2410">
        <f>YEAR(A2410)</f>
        <v>2025</v>
      </c>
      <c r="V2410">
        <f>MONTH(A2410)</f>
        <v>1</v>
      </c>
      <c r="W2410" t="str">
        <f>PROPER(TEXT(A2410,"mmmm"))</f>
        <v>Enero</v>
      </c>
      <c r="X2410" t="str">
        <f>PROPER(TEXT(A2410,"dddd"))</f>
        <v>Martes</v>
      </c>
      <c r="Y2410" t="str" cm="1">
        <f t="array" ref="Y2410">_xlfn.IFS(R2410&gt;10,"Excelente",R2410&gt;=5,"Bueno",R2410&gt;=2,"Débil",R2410&lt;2,"Deficiente")</f>
        <v>Deficiente</v>
      </c>
      <c r="Z2410" t="str">
        <f>IF(AND(R2410&lt;2,Q2410&gt;=100),"Revisar","OK")</f>
        <v>OK</v>
      </c>
      <c r="AA2410" s="55">
        <f>_xlfn.XLOOKUP(C2410,'Preguntas de negocio'!$C$114:$C$119,'Preguntas de negocio'!$D$114:$D$119,0)</f>
        <v>5</v>
      </c>
      <c r="AB2410" s="55">
        <f>VLOOKUP(C2410,'Preguntas de negocio'!$C$121:$D$127,2,FALSE)</f>
        <v>0.5</v>
      </c>
    </row>
    <row r="2411" spans="1:28" x14ac:dyDescent="0.3">
      <c r="A2411" s="1">
        <v>45676</v>
      </c>
      <c r="B2411" s="2" t="s">
        <v>2625</v>
      </c>
      <c r="C2411" s="2" t="s">
        <v>2527</v>
      </c>
      <c r="D2411" s="2" t="s">
        <v>2516</v>
      </c>
      <c r="E2411" s="2" t="s">
        <v>2517</v>
      </c>
      <c r="F2411" s="3">
        <v>72780</v>
      </c>
      <c r="G2411" s="3">
        <v>4278</v>
      </c>
      <c r="H2411" s="3">
        <v>512</v>
      </c>
      <c r="I2411" s="4">
        <v>951.71</v>
      </c>
      <c r="J2411" s="4">
        <v>24263.63</v>
      </c>
      <c r="K2411" s="3">
        <v>367</v>
      </c>
      <c r="L2411" s="2" t="s">
        <v>2518</v>
      </c>
      <c r="M2411" s="2" t="s">
        <v>2546</v>
      </c>
      <c r="N2411" s="8">
        <f>IFERROR(G2411/F2411,0)</f>
        <v>5.8779884583676834E-2</v>
      </c>
      <c r="O2411" s="8">
        <f>IFERROR(H2411/G2411,0)</f>
        <v>0.11968209443665265</v>
      </c>
      <c r="P2411" s="4">
        <f>IFERROR(I2411/G2411,0)</f>
        <v>0.22246610565684902</v>
      </c>
      <c r="Q2411" s="4">
        <f>IFERROR(I2411/H2411,0)</f>
        <v>1.8588085937500001</v>
      </c>
      <c r="R2411" s="12">
        <f>IFERROR(J2411/I2411,0)</f>
        <v>25.494772567273646</v>
      </c>
      <c r="S2411" s="7">
        <f>Tabla_nuevas_columnas[[#This Row],[ROAS]]</f>
        <v>25.494772567273646</v>
      </c>
      <c r="T2411" t="str">
        <f>_xlfn.CONCAT(C2411,"-",D2411)</f>
        <v>Affiliate-México</v>
      </c>
      <c r="U2411">
        <f>YEAR(A2411)</f>
        <v>2025</v>
      </c>
      <c r="V2411">
        <f>MONTH(A2411)</f>
        <v>1</v>
      </c>
      <c r="W2411" t="str">
        <f>PROPER(TEXT(A2411,"mmmm"))</f>
        <v>Enero</v>
      </c>
      <c r="X2411" t="str">
        <f>PROPER(TEXT(A2411,"dddd"))</f>
        <v>Domingo</v>
      </c>
      <c r="Y2411" t="str" cm="1">
        <f t="array" ref="Y2411">_xlfn.IFS(R2411&gt;10,"Excelente",R2411&gt;=5,"Bueno",R2411&gt;=2,"Débil",R2411&lt;2,"Deficiente")</f>
        <v>Excelente</v>
      </c>
      <c r="Z2411" t="str">
        <f>IF(AND(R2411&lt;2,Q2411&gt;=100),"Revisar","OK")</f>
        <v>OK</v>
      </c>
      <c r="AA2411" s="55">
        <f>_xlfn.XLOOKUP(C2411,'Preguntas de negocio'!$C$114:$C$119,'Preguntas de negocio'!$D$114:$D$119,0)</f>
        <v>4.5</v>
      </c>
      <c r="AB2411" s="55">
        <f>VLOOKUP(C2411,'Preguntas de negocio'!$C$121:$D$127,2,FALSE)</f>
        <v>0.35</v>
      </c>
    </row>
    <row r="2412" spans="1:28" x14ac:dyDescent="0.3">
      <c r="A2412" s="1">
        <v>46011</v>
      </c>
      <c r="B2412" s="2" t="s">
        <v>2624</v>
      </c>
      <c r="C2412" s="2" t="s">
        <v>2533</v>
      </c>
      <c r="D2412" s="2" t="s">
        <v>2528</v>
      </c>
      <c r="E2412" s="2" t="s">
        <v>2517</v>
      </c>
      <c r="F2412" s="3">
        <v>18565</v>
      </c>
      <c r="G2412" s="3">
        <v>1247</v>
      </c>
      <c r="H2412" s="3">
        <v>74</v>
      </c>
      <c r="I2412" s="4">
        <v>1565.04</v>
      </c>
      <c r="J2412" s="4">
        <v>6293.62</v>
      </c>
      <c r="K2412" s="3">
        <v>40</v>
      </c>
      <c r="L2412" s="2" t="s">
        <v>2539</v>
      </c>
      <c r="M2412" s="2" t="s">
        <v>2524</v>
      </c>
      <c r="N2412" s="8">
        <f>IFERROR(G2412/F2412,0)</f>
        <v>6.7169404793967144E-2</v>
      </c>
      <c r="O2412" s="8">
        <f>IFERROR(H2412/G2412,0)</f>
        <v>5.9342421812349638E-2</v>
      </c>
      <c r="P2412" s="4">
        <f>IFERROR(I2412/G2412,0)</f>
        <v>1.2550441058540498</v>
      </c>
      <c r="Q2412" s="4">
        <f>IFERROR(I2412/H2412,0)</f>
        <v>21.14918918918919</v>
      </c>
      <c r="R2412" s="12">
        <f>IFERROR(J2412/I2412,0)</f>
        <v>4.0213796452486834</v>
      </c>
      <c r="S2412" s="7">
        <f>Tabla_nuevas_columnas[[#This Row],[ROAS]]</f>
        <v>4.0213796452486834</v>
      </c>
      <c r="T2412" t="str">
        <f>_xlfn.CONCAT(C2412,"-",D2412)</f>
        <v>Paid Social-España</v>
      </c>
      <c r="U2412">
        <f>YEAR(A2412)</f>
        <v>2025</v>
      </c>
      <c r="V2412">
        <f>MONTH(A2412)</f>
        <v>12</v>
      </c>
      <c r="W2412" t="str">
        <f>PROPER(TEXT(A2412,"mmmm"))</f>
        <v>Diciembre</v>
      </c>
      <c r="X2412" t="str">
        <f>PROPER(TEXT(A2412,"dddd"))</f>
        <v>Sábado</v>
      </c>
      <c r="Y2412" t="str" cm="1">
        <f t="array" ref="Y2412">_xlfn.IFS(R2412&gt;10,"Excelente",R2412&gt;=5,"Bueno",R2412&gt;=2,"Débil",R2412&lt;2,"Deficiente")</f>
        <v>Débil</v>
      </c>
      <c r="Z2412" t="str">
        <f>IF(AND(R2412&lt;2,Q2412&gt;=100),"Revisar","OK")</f>
        <v>OK</v>
      </c>
      <c r="AA2412" s="55">
        <f>_xlfn.XLOOKUP(C2412,'Preguntas de negocio'!$C$114:$C$119,'Preguntas de negocio'!$D$114:$D$119,0)</f>
        <v>6</v>
      </c>
      <c r="AB2412" s="55">
        <f>VLOOKUP(C2412,'Preguntas de negocio'!$C$121:$D$127,2,FALSE)</f>
        <v>0.8</v>
      </c>
    </row>
    <row r="2413" spans="1:28" x14ac:dyDescent="0.3">
      <c r="A2413" s="1">
        <v>45712</v>
      </c>
      <c r="B2413" s="2" t="s">
        <v>2630</v>
      </c>
      <c r="C2413" s="2" t="s">
        <v>2527</v>
      </c>
      <c r="D2413" s="2" t="s">
        <v>2516</v>
      </c>
      <c r="E2413" s="2" t="s">
        <v>2517</v>
      </c>
      <c r="F2413" s="3">
        <v>26290</v>
      </c>
      <c r="G2413" s="3">
        <v>349</v>
      </c>
      <c r="H2413" s="3">
        <v>39</v>
      </c>
      <c r="I2413" s="4">
        <v>702.38</v>
      </c>
      <c r="J2413" s="4">
        <v>4895.63</v>
      </c>
      <c r="K2413" s="3">
        <v>19</v>
      </c>
      <c r="L2413" s="2" t="s">
        <v>2536</v>
      </c>
      <c r="M2413" s="2" t="s">
        <v>2524</v>
      </c>
      <c r="N2413" s="8">
        <f>IFERROR(G2413/F2413,0)</f>
        <v>1.3275009509319133E-2</v>
      </c>
      <c r="O2413" s="8">
        <f>IFERROR(H2413/G2413,0)</f>
        <v>0.11174785100286533</v>
      </c>
      <c r="P2413" s="4">
        <f>IFERROR(I2413/G2413,0)</f>
        <v>2.0125501432664756</v>
      </c>
      <c r="Q2413" s="4">
        <f>IFERROR(I2413/H2413,0)</f>
        <v>18.009743589743589</v>
      </c>
      <c r="R2413" s="12">
        <f>IFERROR(J2413/I2413,0)</f>
        <v>6.9700589424528037</v>
      </c>
      <c r="S2413" s="7">
        <f>Tabla_nuevas_columnas[[#This Row],[ROAS]]</f>
        <v>6.9700589424528037</v>
      </c>
      <c r="T2413" t="str">
        <f>_xlfn.CONCAT(C2413,"-",D2413)</f>
        <v>Affiliate-México</v>
      </c>
      <c r="U2413">
        <f>YEAR(A2413)</f>
        <v>2025</v>
      </c>
      <c r="V2413">
        <f>MONTH(A2413)</f>
        <v>2</v>
      </c>
      <c r="W2413" t="str">
        <f>PROPER(TEXT(A2413,"mmmm"))</f>
        <v>Febrero</v>
      </c>
      <c r="X2413" t="str">
        <f>PROPER(TEXT(A2413,"dddd"))</f>
        <v>Lunes</v>
      </c>
      <c r="Y2413" t="str" cm="1">
        <f t="array" ref="Y2413">_xlfn.IFS(R2413&gt;10,"Excelente",R2413&gt;=5,"Bueno",R2413&gt;=2,"Débil",R2413&lt;2,"Deficiente")</f>
        <v>Bueno</v>
      </c>
      <c r="Z2413" t="str">
        <f>IF(AND(R2413&lt;2,Q2413&gt;=100),"Revisar","OK")</f>
        <v>OK</v>
      </c>
      <c r="AA2413" s="55">
        <f>_xlfn.XLOOKUP(C2413,'Preguntas de negocio'!$C$114:$C$119,'Preguntas de negocio'!$D$114:$D$119,0)</f>
        <v>4.5</v>
      </c>
      <c r="AB2413" s="55">
        <f>VLOOKUP(C2413,'Preguntas de negocio'!$C$121:$D$127,2,FALSE)</f>
        <v>0.35</v>
      </c>
    </row>
    <row r="2414" spans="1:28" x14ac:dyDescent="0.3">
      <c r="A2414" s="1">
        <v>45740</v>
      </c>
      <c r="B2414" s="2" t="s">
        <v>2637</v>
      </c>
      <c r="C2414" s="2" t="s">
        <v>2541</v>
      </c>
      <c r="D2414" s="2" t="s">
        <v>2528</v>
      </c>
      <c r="E2414" s="2" t="s">
        <v>2529</v>
      </c>
      <c r="F2414" s="3">
        <v>96040</v>
      </c>
      <c r="G2414" s="3">
        <v>3500</v>
      </c>
      <c r="H2414" s="3">
        <v>398</v>
      </c>
      <c r="I2414" s="4">
        <v>5383.58</v>
      </c>
      <c r="J2414" s="4">
        <v>52931.57</v>
      </c>
      <c r="K2414" s="3">
        <v>180</v>
      </c>
      <c r="L2414" s="2" t="s">
        <v>2523</v>
      </c>
      <c r="M2414" s="2" t="s">
        <v>2526</v>
      </c>
      <c r="N2414" s="8">
        <f>IFERROR(G2414/F2414,0)</f>
        <v>3.6443148688046649E-2</v>
      </c>
      <c r="O2414" s="8">
        <f>IFERROR(H2414/G2414,0)</f>
        <v>0.11371428571428571</v>
      </c>
      <c r="P2414" s="4">
        <f>IFERROR(I2414/G2414,0)</f>
        <v>1.5381657142857144</v>
      </c>
      <c r="Q2414" s="4">
        <f>IFERROR(I2414/H2414,0)</f>
        <v>13.526582914572865</v>
      </c>
      <c r="R2414" s="12">
        <f>IFERROR(J2414/I2414,0)</f>
        <v>9.8320392749805894</v>
      </c>
      <c r="S2414" s="7">
        <f>Tabla_nuevas_columnas[[#This Row],[ROAS]]</f>
        <v>9.8320392749805894</v>
      </c>
      <c r="T2414" t="str">
        <f>_xlfn.CONCAT(C2414,"-",D2414)</f>
        <v>Display-España</v>
      </c>
      <c r="U2414">
        <f>YEAR(A2414)</f>
        <v>2025</v>
      </c>
      <c r="V2414">
        <f>MONTH(A2414)</f>
        <v>3</v>
      </c>
      <c r="W2414" t="str">
        <f>PROPER(TEXT(A2414,"mmmm"))</f>
        <v>Marzo</v>
      </c>
      <c r="X2414" t="str">
        <f>PROPER(TEXT(A2414,"dddd"))</f>
        <v>Lunes</v>
      </c>
      <c r="Y2414" t="str" cm="1">
        <f t="array" ref="Y2414">_xlfn.IFS(R2414&gt;10,"Excelente",R2414&gt;=5,"Bueno",R2414&gt;=2,"Débil",R2414&lt;2,"Deficiente")</f>
        <v>Bueno</v>
      </c>
      <c r="Z2414" t="str">
        <f>IF(AND(R2414&lt;2,Q2414&gt;=100),"Revisar","OK")</f>
        <v>OK</v>
      </c>
      <c r="AA2414" s="55">
        <f>_xlfn.XLOOKUP(C2414,'Preguntas de negocio'!$C$114:$C$119,'Preguntas de negocio'!$D$114:$D$119,0)</f>
        <v>5</v>
      </c>
      <c r="AB2414" s="55">
        <f>VLOOKUP(C2414,'Preguntas de negocio'!$C$121:$D$127,2,FALSE)</f>
        <v>0.5</v>
      </c>
    </row>
    <row r="2415" spans="1:28" x14ac:dyDescent="0.3">
      <c r="A2415" s="1">
        <v>45705</v>
      </c>
      <c r="B2415" s="2" t="s">
        <v>2640</v>
      </c>
      <c r="C2415" s="2" t="s">
        <v>2541</v>
      </c>
      <c r="D2415" s="2" t="s">
        <v>2516</v>
      </c>
      <c r="E2415" s="2" t="s">
        <v>2517</v>
      </c>
      <c r="F2415" s="3">
        <v>41194</v>
      </c>
      <c r="G2415" s="3">
        <v>3055</v>
      </c>
      <c r="H2415" s="3">
        <v>282</v>
      </c>
      <c r="I2415" s="4">
        <v>1682.94</v>
      </c>
      <c r="J2415" s="4">
        <v>19862.990000000002</v>
      </c>
      <c r="K2415" s="3">
        <v>209</v>
      </c>
      <c r="L2415" s="2" t="s">
        <v>2518</v>
      </c>
      <c r="M2415" s="2" t="s">
        <v>2526</v>
      </c>
      <c r="N2415" s="8">
        <f>IFERROR(G2415/F2415,0)</f>
        <v>7.4161285624120013E-2</v>
      </c>
      <c r="O2415" s="8">
        <f>IFERROR(H2415/G2415,0)</f>
        <v>9.2307692307692313E-2</v>
      </c>
      <c r="P2415" s="4">
        <f>IFERROR(I2415/G2415,0)</f>
        <v>0.55088052373158758</v>
      </c>
      <c r="Q2415" s="4">
        <f>IFERROR(I2415/H2415,0)</f>
        <v>5.9678723404255321</v>
      </c>
      <c r="R2415" s="12">
        <f>IFERROR(J2415/I2415,0)</f>
        <v>11.802553864071209</v>
      </c>
      <c r="S2415" s="7">
        <f>Tabla_nuevas_columnas[[#This Row],[ROAS]]</f>
        <v>11.802553864071209</v>
      </c>
      <c r="T2415" t="str">
        <f>_xlfn.CONCAT(C2415,"-",D2415)</f>
        <v>Display-México</v>
      </c>
      <c r="U2415">
        <f>YEAR(A2415)</f>
        <v>2025</v>
      </c>
      <c r="V2415">
        <f>MONTH(A2415)</f>
        <v>2</v>
      </c>
      <c r="W2415" t="str">
        <f>PROPER(TEXT(A2415,"mmmm"))</f>
        <v>Febrero</v>
      </c>
      <c r="X2415" t="str">
        <f>PROPER(TEXT(A2415,"dddd"))</f>
        <v>Lunes</v>
      </c>
      <c r="Y2415" t="str" cm="1">
        <f t="array" ref="Y2415">_xlfn.IFS(R2415&gt;10,"Excelente",R2415&gt;=5,"Bueno",R2415&gt;=2,"Débil",R2415&lt;2,"Deficiente")</f>
        <v>Excelente</v>
      </c>
      <c r="Z2415" t="str">
        <f>IF(AND(R2415&lt;2,Q2415&gt;=100),"Revisar","OK")</f>
        <v>OK</v>
      </c>
      <c r="AA2415" s="55">
        <f>_xlfn.XLOOKUP(C2415,'Preguntas de negocio'!$C$114:$C$119,'Preguntas de negocio'!$D$114:$D$119,0)</f>
        <v>5</v>
      </c>
      <c r="AB2415" s="55">
        <f>VLOOKUP(C2415,'Preguntas de negocio'!$C$121:$D$127,2,FALSE)</f>
        <v>0.5</v>
      </c>
    </row>
    <row r="2416" spans="1:28" x14ac:dyDescent="0.3">
      <c r="A2416" s="1">
        <v>45716</v>
      </c>
      <c r="B2416" s="2" t="s">
        <v>2617</v>
      </c>
      <c r="C2416" s="2" t="s">
        <v>2527</v>
      </c>
      <c r="D2416" s="2" t="s">
        <v>2522</v>
      </c>
      <c r="E2416" s="2" t="s">
        <v>2534</v>
      </c>
      <c r="F2416" s="3">
        <v>71272</v>
      </c>
      <c r="G2416" s="3">
        <v>461</v>
      </c>
      <c r="H2416" s="3">
        <v>28</v>
      </c>
      <c r="I2416" s="4">
        <v>559.41999999999996</v>
      </c>
      <c r="J2416" s="4">
        <v>5087.5200000000004</v>
      </c>
      <c r="K2416" s="3">
        <v>14</v>
      </c>
      <c r="L2416" s="2" t="s">
        <v>2518</v>
      </c>
      <c r="M2416" s="2" t="s">
        <v>2524</v>
      </c>
      <c r="N2416" s="8">
        <f>IFERROR(G2416/F2416,0)</f>
        <v>6.468178246716803E-3</v>
      </c>
      <c r="O2416" s="8">
        <f>IFERROR(H2416/G2416,0)</f>
        <v>6.0737527114967459E-2</v>
      </c>
      <c r="P2416" s="4">
        <f>IFERROR(I2416/G2416,0)</f>
        <v>1.2134924078091105</v>
      </c>
      <c r="Q2416" s="4">
        <f>IFERROR(I2416/H2416,0)</f>
        <v>19.979285714285712</v>
      </c>
      <c r="R2416" s="12">
        <f>IFERROR(J2416/I2416,0)</f>
        <v>9.0942762146508898</v>
      </c>
      <c r="S2416" s="7">
        <f>Tabla_nuevas_columnas[[#This Row],[ROAS]]</f>
        <v>9.0942762146508898</v>
      </c>
      <c r="T2416" t="str">
        <f>_xlfn.CONCAT(C2416,"-",D2416)</f>
        <v>Affiliate-Italia</v>
      </c>
      <c r="U2416">
        <f>YEAR(A2416)</f>
        <v>2025</v>
      </c>
      <c r="V2416">
        <f>MONTH(A2416)</f>
        <v>2</v>
      </c>
      <c r="W2416" t="str">
        <f>PROPER(TEXT(A2416,"mmmm"))</f>
        <v>Febrero</v>
      </c>
      <c r="X2416" t="str">
        <f>PROPER(TEXT(A2416,"dddd"))</f>
        <v>Viernes</v>
      </c>
      <c r="Y2416" t="str" cm="1">
        <f t="array" ref="Y2416">_xlfn.IFS(R2416&gt;10,"Excelente",R2416&gt;=5,"Bueno",R2416&gt;=2,"Débil",R2416&lt;2,"Deficiente")</f>
        <v>Bueno</v>
      </c>
      <c r="Z2416" t="str">
        <f>IF(AND(R2416&lt;2,Q2416&gt;=100),"Revisar","OK")</f>
        <v>OK</v>
      </c>
      <c r="AA2416" s="55">
        <f>_xlfn.XLOOKUP(C2416,'Preguntas de negocio'!$C$114:$C$119,'Preguntas de negocio'!$D$114:$D$119,0)</f>
        <v>4.5</v>
      </c>
      <c r="AB2416" s="55">
        <f>VLOOKUP(C2416,'Preguntas de negocio'!$C$121:$D$127,2,FALSE)</f>
        <v>0.35</v>
      </c>
    </row>
    <row r="2417" spans="1:28" x14ac:dyDescent="0.3">
      <c r="A2417" s="1">
        <v>45774</v>
      </c>
      <c r="B2417" s="2" t="s">
        <v>2635</v>
      </c>
      <c r="C2417" s="2" t="s">
        <v>2543</v>
      </c>
      <c r="D2417" s="2" t="s">
        <v>2528</v>
      </c>
      <c r="E2417" s="2" t="s">
        <v>2529</v>
      </c>
      <c r="F2417" s="3">
        <v>124841</v>
      </c>
      <c r="G2417" s="3">
        <v>1968</v>
      </c>
      <c r="H2417" s="3">
        <v>153</v>
      </c>
      <c r="I2417" s="4">
        <v>1671.86</v>
      </c>
      <c r="J2417" s="4">
        <v>11659.99</v>
      </c>
      <c r="K2417" s="3">
        <v>136</v>
      </c>
      <c r="L2417" s="2" t="s">
        <v>2539</v>
      </c>
      <c r="M2417" s="2" t="s">
        <v>2526</v>
      </c>
      <c r="N2417" s="8">
        <f>IFERROR(G2417/F2417,0)</f>
        <v>1.5764051873983706E-2</v>
      </c>
      <c r="O2417" s="8">
        <f>IFERROR(H2417/G2417,0)</f>
        <v>7.774390243902439E-2</v>
      </c>
      <c r="P2417" s="4">
        <f>IFERROR(I2417/G2417,0)</f>
        <v>0.8495223577235772</v>
      </c>
      <c r="Q2417" s="4">
        <f>IFERROR(I2417/H2417,0)</f>
        <v>10.92718954248366</v>
      </c>
      <c r="R2417" s="12">
        <f>IFERROR(J2417/I2417,0)</f>
        <v>6.9742621989879536</v>
      </c>
      <c r="S2417" s="7">
        <f>Tabla_nuevas_columnas[[#This Row],[ROAS]]</f>
        <v>6.9742621989879536</v>
      </c>
      <c r="T2417" t="str">
        <f>_xlfn.CONCAT(C2417,"-",D2417)</f>
        <v>Organic Social-España</v>
      </c>
      <c r="U2417">
        <f>YEAR(A2417)</f>
        <v>2025</v>
      </c>
      <c r="V2417">
        <f>MONTH(A2417)</f>
        <v>4</v>
      </c>
      <c r="W2417" t="str">
        <f>PROPER(TEXT(A2417,"mmmm"))</f>
        <v>Abril</v>
      </c>
      <c r="X2417" t="str">
        <f>PROPER(TEXT(A2417,"dddd"))</f>
        <v>Domingo</v>
      </c>
      <c r="Y2417" t="str" cm="1">
        <f t="array" ref="Y2417">_xlfn.IFS(R2417&gt;10,"Excelente",R2417&gt;=5,"Bueno",R2417&gt;=2,"Débil",R2417&lt;2,"Deficiente")</f>
        <v>Bueno</v>
      </c>
      <c r="Z2417" t="str">
        <f>IF(AND(R2417&lt;2,Q2417&gt;=100),"Revisar","OK")</f>
        <v>OK</v>
      </c>
      <c r="AA2417" s="55">
        <f>_xlfn.XLOOKUP(C2417,'Preguntas de negocio'!$C$114:$C$119,'Preguntas de negocio'!$D$114:$D$119,0)</f>
        <v>4</v>
      </c>
      <c r="AB2417" s="55">
        <f>VLOOKUP(C2417,'Preguntas de negocio'!$C$121:$D$127,2,FALSE)</f>
        <v>0.95</v>
      </c>
    </row>
    <row r="2418" spans="1:28" x14ac:dyDescent="0.3">
      <c r="A2418" s="1">
        <v>45706</v>
      </c>
      <c r="B2418" s="2" t="s">
        <v>2623</v>
      </c>
      <c r="C2418" s="2" t="s">
        <v>2543</v>
      </c>
      <c r="D2418" s="2" t="s">
        <v>2528</v>
      </c>
      <c r="E2418" s="2" t="s">
        <v>2529</v>
      </c>
      <c r="F2418" s="3">
        <v>122209</v>
      </c>
      <c r="G2418" s="3">
        <v>7448</v>
      </c>
      <c r="H2418" s="3">
        <v>878</v>
      </c>
      <c r="I2418" s="4">
        <v>3623.81</v>
      </c>
      <c r="J2418" s="4">
        <v>147409.71</v>
      </c>
      <c r="K2418" s="3">
        <v>545</v>
      </c>
      <c r="L2418" s="2" t="s">
        <v>2518</v>
      </c>
      <c r="M2418" s="2" t="s">
        <v>2524</v>
      </c>
      <c r="N2418" s="8">
        <f>IFERROR(G2418/F2418,0)</f>
        <v>6.0944774934742943E-2</v>
      </c>
      <c r="O2418" s="8">
        <f>IFERROR(H2418/G2418,0)</f>
        <v>0.11788399570354458</v>
      </c>
      <c r="P2418" s="4">
        <f>IFERROR(I2418/G2418,0)</f>
        <v>0.48654806659505906</v>
      </c>
      <c r="Q2418" s="4">
        <f>IFERROR(I2418/H2418,0)</f>
        <v>4.1273462414578583</v>
      </c>
      <c r="R2418" s="12">
        <f>IFERROR(J2418/I2418,0)</f>
        <v>40.678101224953842</v>
      </c>
      <c r="S2418" s="7">
        <f>Tabla_nuevas_columnas[[#This Row],[ROAS]]</f>
        <v>40.678101224953842</v>
      </c>
      <c r="T2418" t="str">
        <f>_xlfn.CONCAT(C2418,"-",D2418)</f>
        <v>Organic Social-España</v>
      </c>
      <c r="U2418">
        <f>YEAR(A2418)</f>
        <v>2025</v>
      </c>
      <c r="V2418">
        <f>MONTH(A2418)</f>
        <v>2</v>
      </c>
      <c r="W2418" t="str">
        <f>PROPER(TEXT(A2418,"mmmm"))</f>
        <v>Febrero</v>
      </c>
      <c r="X2418" t="str">
        <f>PROPER(TEXT(A2418,"dddd"))</f>
        <v>Martes</v>
      </c>
      <c r="Y2418" t="str" cm="1">
        <f t="array" ref="Y2418">_xlfn.IFS(R2418&gt;10,"Excelente",R2418&gt;=5,"Bueno",R2418&gt;=2,"Débil",R2418&lt;2,"Deficiente")</f>
        <v>Excelente</v>
      </c>
      <c r="Z2418" t="str">
        <f>IF(AND(R2418&lt;2,Q2418&gt;=100),"Revisar","OK")</f>
        <v>OK</v>
      </c>
      <c r="AA2418" s="55">
        <f>_xlfn.XLOOKUP(C2418,'Preguntas de negocio'!$C$114:$C$119,'Preguntas de negocio'!$D$114:$D$119,0)</f>
        <v>4</v>
      </c>
      <c r="AB2418" s="55">
        <f>VLOOKUP(C2418,'Preguntas de negocio'!$C$121:$D$127,2,FALSE)</f>
        <v>0.95</v>
      </c>
    </row>
    <row r="2419" spans="1:28" x14ac:dyDescent="0.3">
      <c r="A2419" s="1">
        <v>45859</v>
      </c>
      <c r="B2419" s="2" t="s">
        <v>2644</v>
      </c>
      <c r="C2419" s="2" t="s">
        <v>2541</v>
      </c>
      <c r="D2419" s="2" t="s">
        <v>2528</v>
      </c>
      <c r="E2419" s="2" t="s">
        <v>2529</v>
      </c>
      <c r="F2419" s="3">
        <v>7795</v>
      </c>
      <c r="G2419" s="3">
        <v>170</v>
      </c>
      <c r="H2419" s="3">
        <v>19</v>
      </c>
      <c r="I2419" s="4">
        <v>106.63</v>
      </c>
      <c r="J2419" s="4">
        <v>920.32</v>
      </c>
      <c r="K2419" s="3">
        <v>14</v>
      </c>
      <c r="L2419" s="2" t="s">
        <v>2523</v>
      </c>
      <c r="M2419" s="2" t="s">
        <v>2524</v>
      </c>
      <c r="N2419" s="8">
        <f>IFERROR(G2419/F2419,0)</f>
        <v>2.1808851828094934E-2</v>
      </c>
      <c r="O2419" s="8">
        <f>IFERROR(H2419/G2419,0)</f>
        <v>0.11176470588235295</v>
      </c>
      <c r="P2419" s="4">
        <f>IFERROR(I2419/G2419,0)</f>
        <v>0.627235294117647</v>
      </c>
      <c r="Q2419" s="4">
        <f>IFERROR(I2419/H2419,0)</f>
        <v>5.6121052631578943</v>
      </c>
      <c r="R2419" s="12">
        <f>IFERROR(J2419/I2419,0)</f>
        <v>8.630966894870113</v>
      </c>
      <c r="S2419" s="7">
        <f>Tabla_nuevas_columnas[[#This Row],[ROAS]]</f>
        <v>8.630966894870113</v>
      </c>
      <c r="T2419" t="str">
        <f>_xlfn.CONCAT(C2419,"-",D2419)</f>
        <v>Display-España</v>
      </c>
      <c r="U2419">
        <f>YEAR(A2419)</f>
        <v>2025</v>
      </c>
      <c r="V2419">
        <f>MONTH(A2419)</f>
        <v>7</v>
      </c>
      <c r="W2419" t="str">
        <f>PROPER(TEXT(A2419,"mmmm"))</f>
        <v>Julio</v>
      </c>
      <c r="X2419" t="str">
        <f>PROPER(TEXT(A2419,"dddd"))</f>
        <v>Lunes</v>
      </c>
      <c r="Y2419" t="str" cm="1">
        <f t="array" ref="Y2419">_xlfn.IFS(R2419&gt;10,"Excelente",R2419&gt;=5,"Bueno",R2419&gt;=2,"Débil",R2419&lt;2,"Deficiente")</f>
        <v>Bueno</v>
      </c>
      <c r="Z2419" t="str">
        <f>IF(AND(R2419&lt;2,Q2419&gt;=100),"Revisar","OK")</f>
        <v>OK</v>
      </c>
      <c r="AA2419" s="55">
        <f>_xlfn.XLOOKUP(C2419,'Preguntas de negocio'!$C$114:$C$119,'Preguntas de negocio'!$D$114:$D$119,0)</f>
        <v>5</v>
      </c>
      <c r="AB2419" s="55">
        <f>VLOOKUP(C2419,'Preguntas de negocio'!$C$121:$D$127,2,FALSE)</f>
        <v>0.5</v>
      </c>
    </row>
    <row r="2420" spans="1:28" x14ac:dyDescent="0.3">
      <c r="A2420" s="1">
        <v>45780</v>
      </c>
      <c r="B2420" s="2" t="s">
        <v>2620</v>
      </c>
      <c r="C2420" s="2" t="s">
        <v>2541</v>
      </c>
      <c r="D2420" s="2" t="s">
        <v>2516</v>
      </c>
      <c r="E2420" s="2" t="s">
        <v>2529</v>
      </c>
      <c r="F2420" s="3">
        <v>58941</v>
      </c>
      <c r="G2420" s="3">
        <v>1271</v>
      </c>
      <c r="H2420" s="3">
        <v>63</v>
      </c>
      <c r="I2420" s="4">
        <v>1703.72</v>
      </c>
      <c r="J2420" s="4">
        <v>10931.68</v>
      </c>
      <c r="K2420" s="3">
        <v>43</v>
      </c>
      <c r="L2420" s="2" t="s">
        <v>2523</v>
      </c>
      <c r="M2420" s="2" t="s">
        <v>2519</v>
      </c>
      <c r="N2420" s="8">
        <f>IFERROR(G2420/F2420,0)</f>
        <v>2.1563936818174107E-2</v>
      </c>
      <c r="O2420" s="8">
        <f>IFERROR(H2420/G2420,0)</f>
        <v>4.956726986624705E-2</v>
      </c>
      <c r="P2420" s="4">
        <f>IFERROR(I2420/G2420,0)</f>
        <v>1.3404563335955941</v>
      </c>
      <c r="Q2420" s="4">
        <f>IFERROR(I2420/H2420,0)</f>
        <v>27.043174603174602</v>
      </c>
      <c r="R2420" s="12">
        <f>IFERROR(J2420/I2420,0)</f>
        <v>6.41635949569178</v>
      </c>
      <c r="S2420" s="7">
        <f>Tabla_nuevas_columnas[[#This Row],[ROAS]]</f>
        <v>6.41635949569178</v>
      </c>
      <c r="T2420" t="str">
        <f>_xlfn.CONCAT(C2420,"-",D2420)</f>
        <v>Display-México</v>
      </c>
      <c r="U2420">
        <f>YEAR(A2420)</f>
        <v>2025</v>
      </c>
      <c r="V2420">
        <f>MONTH(A2420)</f>
        <v>5</v>
      </c>
      <c r="W2420" t="str">
        <f>PROPER(TEXT(A2420,"mmmm"))</f>
        <v>Mayo</v>
      </c>
      <c r="X2420" t="str">
        <f>PROPER(TEXT(A2420,"dddd"))</f>
        <v>Sábado</v>
      </c>
      <c r="Y2420" t="str" cm="1">
        <f t="array" ref="Y2420">_xlfn.IFS(R2420&gt;10,"Excelente",R2420&gt;=5,"Bueno",R2420&gt;=2,"Débil",R2420&lt;2,"Deficiente")</f>
        <v>Bueno</v>
      </c>
      <c r="Z2420" t="str">
        <f>IF(AND(R2420&lt;2,Q2420&gt;=100),"Revisar","OK")</f>
        <v>OK</v>
      </c>
      <c r="AA2420" s="55">
        <f>_xlfn.XLOOKUP(C2420,'Preguntas de negocio'!$C$114:$C$119,'Preguntas de negocio'!$D$114:$D$119,0)</f>
        <v>5</v>
      </c>
      <c r="AB2420" s="55">
        <f>VLOOKUP(C2420,'Preguntas de negocio'!$C$121:$D$127,2,FALSE)</f>
        <v>0.5</v>
      </c>
    </row>
    <row r="2421" spans="1:28" x14ac:dyDescent="0.3">
      <c r="A2421" s="1">
        <v>45925</v>
      </c>
      <c r="B2421" s="2" t="s">
        <v>2644</v>
      </c>
      <c r="C2421" s="2" t="s">
        <v>2541</v>
      </c>
      <c r="D2421" s="2" t="s">
        <v>2528</v>
      </c>
      <c r="E2421" s="2" t="s">
        <v>2517</v>
      </c>
      <c r="F2421" s="3">
        <v>83493</v>
      </c>
      <c r="G2421" s="3">
        <v>4386</v>
      </c>
      <c r="H2421" s="3">
        <v>161</v>
      </c>
      <c r="I2421" s="4">
        <v>978.91</v>
      </c>
      <c r="J2421" s="4">
        <v>27505.75</v>
      </c>
      <c r="K2421" s="3">
        <v>101</v>
      </c>
      <c r="L2421" s="2" t="s">
        <v>2523</v>
      </c>
      <c r="M2421" s="2" t="s">
        <v>2519</v>
      </c>
      <c r="N2421" s="8">
        <f>IFERROR(G2421/F2421,0)</f>
        <v>5.2531349933527365E-2</v>
      </c>
      <c r="O2421" s="8">
        <f>IFERROR(H2421/G2421,0)</f>
        <v>3.6707706338349293E-2</v>
      </c>
      <c r="P2421" s="4">
        <f>IFERROR(I2421/G2421,0)</f>
        <v>0.22318969448244413</v>
      </c>
      <c r="Q2421" s="4">
        <f>IFERROR(I2421/H2421,0)</f>
        <v>6.0801863354037264</v>
      </c>
      <c r="R2421" s="12">
        <f>IFERROR(J2421/I2421,0)</f>
        <v>28.098344076574968</v>
      </c>
      <c r="S2421" s="7">
        <f>Tabla_nuevas_columnas[[#This Row],[ROAS]]</f>
        <v>28.098344076574968</v>
      </c>
      <c r="T2421" t="str">
        <f>_xlfn.CONCAT(C2421,"-",D2421)</f>
        <v>Display-España</v>
      </c>
      <c r="U2421">
        <f>YEAR(A2421)</f>
        <v>2025</v>
      </c>
      <c r="V2421">
        <f>MONTH(A2421)</f>
        <v>9</v>
      </c>
      <c r="W2421" t="str">
        <f>PROPER(TEXT(A2421,"mmmm"))</f>
        <v>Septiembre</v>
      </c>
      <c r="X2421" t="str">
        <f>PROPER(TEXT(A2421,"dddd"))</f>
        <v>Jueves</v>
      </c>
      <c r="Y2421" t="str" cm="1">
        <f t="array" ref="Y2421">_xlfn.IFS(R2421&gt;10,"Excelente",R2421&gt;=5,"Bueno",R2421&gt;=2,"Débil",R2421&lt;2,"Deficiente")</f>
        <v>Excelente</v>
      </c>
      <c r="Z2421" t="str">
        <f>IF(AND(R2421&lt;2,Q2421&gt;=100),"Revisar","OK")</f>
        <v>OK</v>
      </c>
      <c r="AA2421" s="55">
        <f>_xlfn.XLOOKUP(C2421,'Preguntas de negocio'!$C$114:$C$119,'Preguntas de negocio'!$D$114:$D$119,0)</f>
        <v>5</v>
      </c>
      <c r="AB2421" s="55">
        <f>VLOOKUP(C2421,'Preguntas de negocio'!$C$121:$D$127,2,FALSE)</f>
        <v>0.5</v>
      </c>
    </row>
    <row r="2422" spans="1:28" x14ac:dyDescent="0.3">
      <c r="A2422" s="1">
        <v>45880</v>
      </c>
      <c r="B2422" s="2" t="s">
        <v>2643</v>
      </c>
      <c r="C2422" s="2" t="s">
        <v>2541</v>
      </c>
      <c r="D2422" s="2" t="s">
        <v>2528</v>
      </c>
      <c r="E2422" s="2" t="s">
        <v>2517</v>
      </c>
      <c r="F2422" s="3">
        <v>68958</v>
      </c>
      <c r="G2422" s="3">
        <v>2991</v>
      </c>
      <c r="H2422" s="3">
        <v>232</v>
      </c>
      <c r="I2422" s="4">
        <v>813.89</v>
      </c>
      <c r="J2422" s="4">
        <v>32807.15</v>
      </c>
      <c r="K2422" s="3">
        <v>185</v>
      </c>
      <c r="L2422" s="2" t="s">
        <v>2536</v>
      </c>
      <c r="M2422" s="2" t="s">
        <v>2546</v>
      </c>
      <c r="N2422" s="8">
        <f>IFERROR(G2422/F2422,0)</f>
        <v>4.3374227790829202E-2</v>
      </c>
      <c r="O2422" s="8">
        <f>IFERROR(H2422/G2422,0)</f>
        <v>7.7566031427616186E-2</v>
      </c>
      <c r="P2422" s="4">
        <f>IFERROR(I2422/G2422,0)</f>
        <v>0.27211300568371782</v>
      </c>
      <c r="Q2422" s="4">
        <f>IFERROR(I2422/H2422,0)</f>
        <v>3.5081465517241379</v>
      </c>
      <c r="R2422" s="12">
        <f>IFERROR(J2422/I2422,0)</f>
        <v>40.309071250414675</v>
      </c>
      <c r="S2422" s="7">
        <f>Tabla_nuevas_columnas[[#This Row],[ROAS]]</f>
        <v>40.309071250414675</v>
      </c>
      <c r="T2422" t="str">
        <f>_xlfn.CONCAT(C2422,"-",D2422)</f>
        <v>Display-España</v>
      </c>
      <c r="U2422">
        <f>YEAR(A2422)</f>
        <v>2025</v>
      </c>
      <c r="V2422">
        <f>MONTH(A2422)</f>
        <v>8</v>
      </c>
      <c r="W2422" t="str">
        <f>PROPER(TEXT(A2422,"mmmm"))</f>
        <v>Agosto</v>
      </c>
      <c r="X2422" t="str">
        <f>PROPER(TEXT(A2422,"dddd"))</f>
        <v>Lunes</v>
      </c>
      <c r="Y2422" t="str" cm="1">
        <f t="array" ref="Y2422">_xlfn.IFS(R2422&gt;10,"Excelente",R2422&gt;=5,"Bueno",R2422&gt;=2,"Débil",R2422&lt;2,"Deficiente")</f>
        <v>Excelente</v>
      </c>
      <c r="Z2422" t="str">
        <f>IF(AND(R2422&lt;2,Q2422&gt;=100),"Revisar","OK")</f>
        <v>OK</v>
      </c>
      <c r="AA2422" s="55">
        <f>_xlfn.XLOOKUP(C2422,'Preguntas de negocio'!$C$114:$C$119,'Preguntas de negocio'!$D$114:$D$119,0)</f>
        <v>5</v>
      </c>
      <c r="AB2422" s="55">
        <f>VLOOKUP(C2422,'Preguntas de negocio'!$C$121:$D$127,2,FALSE)</f>
        <v>0.5</v>
      </c>
    </row>
    <row r="2423" spans="1:28" x14ac:dyDescent="0.3">
      <c r="A2423" s="1">
        <v>45984</v>
      </c>
      <c r="B2423" s="2" t="s">
        <v>2638</v>
      </c>
      <c r="C2423" s="2" t="s">
        <v>2527</v>
      </c>
      <c r="D2423" s="2" t="s">
        <v>2525</v>
      </c>
      <c r="E2423" s="2" t="s">
        <v>2529</v>
      </c>
      <c r="F2423" s="3">
        <v>4392</v>
      </c>
      <c r="G2423" s="3">
        <v>213</v>
      </c>
      <c r="H2423" s="3">
        <v>29</v>
      </c>
      <c r="I2423" s="4">
        <v>209.14</v>
      </c>
      <c r="J2423" s="4">
        <v>3945.3</v>
      </c>
      <c r="K2423" s="3">
        <v>16</v>
      </c>
      <c r="L2423" s="2" t="s">
        <v>2518</v>
      </c>
      <c r="M2423" s="2" t="s">
        <v>2519</v>
      </c>
      <c r="N2423" s="8">
        <f>IFERROR(G2423/F2423,0)</f>
        <v>4.849726775956284E-2</v>
      </c>
      <c r="O2423" s="8">
        <f>IFERROR(H2423/G2423,0)</f>
        <v>0.13615023474178403</v>
      </c>
      <c r="P2423" s="4">
        <f>IFERROR(I2423/G2423,0)</f>
        <v>0.98187793427230041</v>
      </c>
      <c r="Q2423" s="4">
        <f>IFERROR(I2423/H2423,0)</f>
        <v>7.211724137931034</v>
      </c>
      <c r="R2423" s="12">
        <f>IFERROR(J2423/I2423,0)</f>
        <v>18.864397054604574</v>
      </c>
      <c r="S2423" s="7">
        <f>Tabla_nuevas_columnas[[#This Row],[ROAS]]</f>
        <v>18.864397054604574</v>
      </c>
      <c r="T2423" t="str">
        <f>_xlfn.CONCAT(C2423,"-",D2423)</f>
        <v>Affiliate-Francia</v>
      </c>
      <c r="U2423">
        <f>YEAR(A2423)</f>
        <v>2025</v>
      </c>
      <c r="V2423">
        <f>MONTH(A2423)</f>
        <v>11</v>
      </c>
      <c r="W2423" t="str">
        <f>PROPER(TEXT(A2423,"mmmm"))</f>
        <v>Noviembre</v>
      </c>
      <c r="X2423" t="str">
        <f>PROPER(TEXT(A2423,"dddd"))</f>
        <v>Domingo</v>
      </c>
      <c r="Y2423" t="str" cm="1">
        <f t="array" ref="Y2423">_xlfn.IFS(R2423&gt;10,"Excelente",R2423&gt;=5,"Bueno",R2423&gt;=2,"Débil",R2423&lt;2,"Deficiente")</f>
        <v>Excelente</v>
      </c>
      <c r="Z2423" t="str">
        <f>IF(AND(R2423&lt;2,Q2423&gt;=100),"Revisar","OK")</f>
        <v>OK</v>
      </c>
      <c r="AA2423" s="55">
        <f>_xlfn.XLOOKUP(C2423,'Preguntas de negocio'!$C$114:$C$119,'Preguntas de negocio'!$D$114:$D$119,0)</f>
        <v>4.5</v>
      </c>
      <c r="AB2423" s="55">
        <f>VLOOKUP(C2423,'Preguntas de negocio'!$C$121:$D$127,2,FALSE)</f>
        <v>0.35</v>
      </c>
    </row>
    <row r="2424" spans="1:28" x14ac:dyDescent="0.3">
      <c r="A2424" s="1">
        <v>45673</v>
      </c>
      <c r="B2424" s="2" t="s">
        <v>2619</v>
      </c>
      <c r="C2424" s="2" t="s">
        <v>2541</v>
      </c>
      <c r="D2424" s="2" t="s">
        <v>2522</v>
      </c>
      <c r="E2424" s="2" t="s">
        <v>2517</v>
      </c>
      <c r="F2424" s="3">
        <v>49769</v>
      </c>
      <c r="G2424" s="3">
        <v>2369</v>
      </c>
      <c r="H2424" s="3">
        <v>162</v>
      </c>
      <c r="I2424" s="4">
        <v>2922.4</v>
      </c>
      <c r="J2424" s="4">
        <v>8937.06</v>
      </c>
      <c r="K2424" s="3">
        <v>127</v>
      </c>
      <c r="L2424" s="2" t="s">
        <v>2539</v>
      </c>
      <c r="M2424" s="2" t="s">
        <v>2524</v>
      </c>
      <c r="N2424" s="8">
        <f>IFERROR(G2424/F2424,0)</f>
        <v>4.7599911591552975E-2</v>
      </c>
      <c r="O2424" s="8">
        <f>IFERROR(H2424/G2424,0)</f>
        <v>6.8383284086112286E-2</v>
      </c>
      <c r="P2424" s="4">
        <f>IFERROR(I2424/G2424,0)</f>
        <v>1.2336006753904603</v>
      </c>
      <c r="Q2424" s="4">
        <f>IFERROR(I2424/H2424,0)</f>
        <v>18.039506172839506</v>
      </c>
      <c r="R2424" s="12">
        <f>IFERROR(J2424/I2424,0)</f>
        <v>3.0581234601697234</v>
      </c>
      <c r="S2424" s="7">
        <f>Tabla_nuevas_columnas[[#This Row],[ROAS]]</f>
        <v>3.0581234601697234</v>
      </c>
      <c r="T2424" t="str">
        <f>_xlfn.CONCAT(C2424,"-",D2424)</f>
        <v>Display-Italia</v>
      </c>
      <c r="U2424">
        <f>YEAR(A2424)</f>
        <v>2025</v>
      </c>
      <c r="V2424">
        <f>MONTH(A2424)</f>
        <v>1</v>
      </c>
      <c r="W2424" t="str">
        <f>PROPER(TEXT(A2424,"mmmm"))</f>
        <v>Enero</v>
      </c>
      <c r="X2424" t="str">
        <f>PROPER(TEXT(A2424,"dddd"))</f>
        <v>Jueves</v>
      </c>
      <c r="Y2424" t="str" cm="1">
        <f t="array" ref="Y2424">_xlfn.IFS(R2424&gt;10,"Excelente",R2424&gt;=5,"Bueno",R2424&gt;=2,"Débil",R2424&lt;2,"Deficiente")</f>
        <v>Débil</v>
      </c>
      <c r="Z2424" t="str">
        <f>IF(AND(R2424&lt;2,Q2424&gt;=100),"Revisar","OK")</f>
        <v>OK</v>
      </c>
      <c r="AA2424" s="55">
        <f>_xlfn.XLOOKUP(C2424,'Preguntas de negocio'!$C$114:$C$119,'Preguntas de negocio'!$D$114:$D$119,0)</f>
        <v>5</v>
      </c>
      <c r="AB2424" s="55">
        <f>VLOOKUP(C2424,'Preguntas de negocio'!$C$121:$D$127,2,FALSE)</f>
        <v>0.5</v>
      </c>
    </row>
    <row r="2425" spans="1:28" x14ac:dyDescent="0.3">
      <c r="A2425" s="1">
        <v>45866</v>
      </c>
      <c r="B2425" s="2" t="s">
        <v>2626</v>
      </c>
      <c r="C2425" s="2" t="s">
        <v>2515</v>
      </c>
      <c r="D2425" s="2" t="s">
        <v>2528</v>
      </c>
      <c r="E2425" s="2" t="s">
        <v>2529</v>
      </c>
      <c r="F2425" s="3">
        <v>100329</v>
      </c>
      <c r="G2425" s="3">
        <v>7091</v>
      </c>
      <c r="H2425" s="3">
        <v>508</v>
      </c>
      <c r="I2425" s="4">
        <v>7836.66</v>
      </c>
      <c r="J2425" s="4">
        <v>35450.83</v>
      </c>
      <c r="K2425" s="3">
        <v>232</v>
      </c>
      <c r="L2425" s="2" t="s">
        <v>2523</v>
      </c>
      <c r="M2425" s="2" t="s">
        <v>2519</v>
      </c>
      <c r="N2425" s="8">
        <f>IFERROR(G2425/F2425,0)</f>
        <v>7.0677471120015156E-2</v>
      </c>
      <c r="O2425" s="8">
        <f>IFERROR(H2425/G2425,0)</f>
        <v>7.1640107178113102E-2</v>
      </c>
      <c r="P2425" s="4">
        <f>IFERROR(I2425/G2425,0)</f>
        <v>1.1051558313354957</v>
      </c>
      <c r="Q2425" s="4">
        <f>IFERROR(I2425/H2425,0)</f>
        <v>15.426496062992126</v>
      </c>
      <c r="R2425" s="12">
        <f>IFERROR(J2425/I2425,0)</f>
        <v>4.5237167364668114</v>
      </c>
      <c r="S2425" s="7">
        <f>Tabla_nuevas_columnas[[#This Row],[ROAS]]</f>
        <v>4.5237167364668114</v>
      </c>
      <c r="T2425" t="str">
        <f>_xlfn.CONCAT(C2425,"-",D2425)</f>
        <v>Email-España</v>
      </c>
      <c r="U2425">
        <f>YEAR(A2425)</f>
        <v>2025</v>
      </c>
      <c r="V2425">
        <f>MONTH(A2425)</f>
        <v>7</v>
      </c>
      <c r="W2425" t="str">
        <f>PROPER(TEXT(A2425,"mmmm"))</f>
        <v>Julio</v>
      </c>
      <c r="X2425" t="str">
        <f>PROPER(TEXT(A2425,"dddd"))</f>
        <v>Lunes</v>
      </c>
      <c r="Y2425" t="str" cm="1">
        <f t="array" ref="Y2425">_xlfn.IFS(R2425&gt;10,"Excelente",R2425&gt;=5,"Bueno",R2425&gt;=2,"Débil",R2425&lt;2,"Deficiente")</f>
        <v>Débil</v>
      </c>
      <c r="Z2425" t="str">
        <f>IF(AND(R2425&lt;2,Q2425&gt;=100),"Revisar","OK")</f>
        <v>OK</v>
      </c>
      <c r="AA2425" s="55">
        <f>_xlfn.XLOOKUP(C2425,'Preguntas de negocio'!$C$114:$C$119,'Preguntas de negocio'!$D$114:$D$119,0)</f>
        <v>5.5</v>
      </c>
      <c r="AB2425" s="55">
        <f>VLOOKUP(C2425,'Preguntas de negocio'!$C$121:$D$127,2,FALSE)</f>
        <v>0.65</v>
      </c>
    </row>
    <row r="2426" spans="1:28" x14ac:dyDescent="0.3">
      <c r="A2426" s="1">
        <v>45992</v>
      </c>
      <c r="B2426" s="2" t="s">
        <v>2638</v>
      </c>
      <c r="C2426" s="2" t="s">
        <v>2515</v>
      </c>
      <c r="D2426" s="2" t="s">
        <v>2528</v>
      </c>
      <c r="E2426" s="2" t="s">
        <v>2517</v>
      </c>
      <c r="F2426" s="3">
        <v>44506</v>
      </c>
      <c r="G2426" s="3">
        <v>3547</v>
      </c>
      <c r="H2426" s="3">
        <v>221</v>
      </c>
      <c r="I2426" s="4">
        <v>1582.81</v>
      </c>
      <c r="J2426" s="4">
        <v>28638.77</v>
      </c>
      <c r="K2426" s="3">
        <v>190</v>
      </c>
      <c r="L2426" s="2" t="s">
        <v>2536</v>
      </c>
      <c r="M2426" s="2" t="s">
        <v>2524</v>
      </c>
      <c r="N2426" s="8">
        <f>IFERROR(G2426/F2426,0)</f>
        <v>7.9697119489507029E-2</v>
      </c>
      <c r="O2426" s="8">
        <f>IFERROR(H2426/G2426,0)</f>
        <v>6.2306174231745136E-2</v>
      </c>
      <c r="P2426" s="4">
        <f>IFERROR(I2426/G2426,0)</f>
        <v>0.44623907527488016</v>
      </c>
      <c r="Q2426" s="4">
        <f>IFERROR(I2426/H2426,0)</f>
        <v>7.1620361990950228</v>
      </c>
      <c r="R2426" s="12">
        <f>IFERROR(J2426/I2426,0)</f>
        <v>18.093624629614421</v>
      </c>
      <c r="S2426" s="7">
        <f>Tabla_nuevas_columnas[[#This Row],[ROAS]]</f>
        <v>18.093624629614421</v>
      </c>
      <c r="T2426" t="str">
        <f>_xlfn.CONCAT(C2426,"-",D2426)</f>
        <v>Email-España</v>
      </c>
      <c r="U2426">
        <f>YEAR(A2426)</f>
        <v>2025</v>
      </c>
      <c r="V2426">
        <f>MONTH(A2426)</f>
        <v>12</v>
      </c>
      <c r="W2426" t="str">
        <f>PROPER(TEXT(A2426,"mmmm"))</f>
        <v>Diciembre</v>
      </c>
      <c r="X2426" t="str">
        <f>PROPER(TEXT(A2426,"dddd"))</f>
        <v>Lunes</v>
      </c>
      <c r="Y2426" t="str" cm="1">
        <f t="array" ref="Y2426">_xlfn.IFS(R2426&gt;10,"Excelente",R2426&gt;=5,"Bueno",R2426&gt;=2,"Débil",R2426&lt;2,"Deficiente")</f>
        <v>Excelente</v>
      </c>
      <c r="Z2426" t="str">
        <f>IF(AND(R2426&lt;2,Q2426&gt;=100),"Revisar","OK")</f>
        <v>OK</v>
      </c>
      <c r="AA2426" s="55">
        <f>_xlfn.XLOOKUP(C2426,'Preguntas de negocio'!$C$114:$C$119,'Preguntas de negocio'!$D$114:$D$119,0)</f>
        <v>5.5</v>
      </c>
      <c r="AB2426" s="55">
        <f>VLOOKUP(C2426,'Preguntas de negocio'!$C$121:$D$127,2,FALSE)</f>
        <v>0.65</v>
      </c>
    </row>
    <row r="2427" spans="1:28" x14ac:dyDescent="0.3">
      <c r="A2427" s="1">
        <v>46014</v>
      </c>
      <c r="B2427" s="2" t="s">
        <v>2639</v>
      </c>
      <c r="C2427" s="2" t="s">
        <v>2533</v>
      </c>
      <c r="D2427" s="2" t="s">
        <v>2522</v>
      </c>
      <c r="E2427" s="2" t="s">
        <v>2529</v>
      </c>
      <c r="F2427" s="3">
        <v>10276</v>
      </c>
      <c r="G2427" s="3">
        <v>792</v>
      </c>
      <c r="H2427" s="3">
        <v>65</v>
      </c>
      <c r="I2427" s="4">
        <v>133.61000000000001</v>
      </c>
      <c r="J2427" s="4">
        <v>8534.5</v>
      </c>
      <c r="K2427" s="3">
        <v>33</v>
      </c>
      <c r="L2427" s="2" t="s">
        <v>2518</v>
      </c>
      <c r="M2427" s="2" t="s">
        <v>2524</v>
      </c>
      <c r="N2427" s="8">
        <f>IFERROR(G2427/F2427,0)</f>
        <v>7.7072790969248739E-2</v>
      </c>
      <c r="O2427" s="8">
        <f>IFERROR(H2427/G2427,0)</f>
        <v>8.2070707070707072E-2</v>
      </c>
      <c r="P2427" s="4">
        <f>IFERROR(I2427/G2427,0)</f>
        <v>0.16869949494949496</v>
      </c>
      <c r="Q2427" s="4">
        <f>IFERROR(I2427/H2427,0)</f>
        <v>2.0555384615384615</v>
      </c>
      <c r="R2427" s="12">
        <f>IFERROR(J2427/I2427,0)</f>
        <v>63.876206870743204</v>
      </c>
      <c r="S2427" s="7">
        <f>Tabla_nuevas_columnas[[#This Row],[ROAS]]</f>
        <v>63.876206870743204</v>
      </c>
      <c r="T2427" t="str">
        <f>_xlfn.CONCAT(C2427,"-",D2427)</f>
        <v>Paid Social-Italia</v>
      </c>
      <c r="U2427">
        <f>YEAR(A2427)</f>
        <v>2025</v>
      </c>
      <c r="V2427">
        <f>MONTH(A2427)</f>
        <v>12</v>
      </c>
      <c r="W2427" t="str">
        <f>PROPER(TEXT(A2427,"mmmm"))</f>
        <v>Diciembre</v>
      </c>
      <c r="X2427" t="str">
        <f>PROPER(TEXT(A2427,"dddd"))</f>
        <v>Martes</v>
      </c>
      <c r="Y2427" t="str" cm="1">
        <f t="array" ref="Y2427">_xlfn.IFS(R2427&gt;10,"Excelente",R2427&gt;=5,"Bueno",R2427&gt;=2,"Débil",R2427&lt;2,"Deficiente")</f>
        <v>Excelente</v>
      </c>
      <c r="Z2427" t="str">
        <f>IF(AND(R2427&lt;2,Q2427&gt;=100),"Revisar","OK")</f>
        <v>OK</v>
      </c>
      <c r="AA2427" s="55">
        <f>_xlfn.XLOOKUP(C2427,'Preguntas de negocio'!$C$114:$C$119,'Preguntas de negocio'!$D$114:$D$119,0)</f>
        <v>6</v>
      </c>
      <c r="AB2427" s="55">
        <f>VLOOKUP(C2427,'Preguntas de negocio'!$C$121:$D$127,2,FALSE)</f>
        <v>0.8</v>
      </c>
    </row>
    <row r="2428" spans="1:28" x14ac:dyDescent="0.3">
      <c r="A2428" s="1">
        <v>45856</v>
      </c>
      <c r="B2428" s="2" t="s">
        <v>2617</v>
      </c>
      <c r="C2428" s="2" t="s">
        <v>2521</v>
      </c>
      <c r="D2428" s="2" t="s">
        <v>2528</v>
      </c>
      <c r="E2428" s="2" t="s">
        <v>2529</v>
      </c>
      <c r="F2428" s="3">
        <v>129491</v>
      </c>
      <c r="G2428" s="3">
        <v>3490</v>
      </c>
      <c r="H2428" s="3">
        <v>424</v>
      </c>
      <c r="I2428" s="4">
        <v>6430.09</v>
      </c>
      <c r="J2428" s="4">
        <v>38355.269999999997</v>
      </c>
      <c r="K2428" s="3">
        <v>352</v>
      </c>
      <c r="L2428" s="2" t="s">
        <v>2518</v>
      </c>
      <c r="M2428" s="2" t="s">
        <v>2537</v>
      </c>
      <c r="N2428" s="8">
        <f>IFERROR(G2428/F2428,0)</f>
        <v>2.6951680039539426E-2</v>
      </c>
      <c r="O2428" s="8">
        <f>IFERROR(H2428/G2428,0)</f>
        <v>0.12148997134670488</v>
      </c>
      <c r="P2428" s="4">
        <f>IFERROR(I2428/G2428,0)</f>
        <v>1.8424326647564471</v>
      </c>
      <c r="Q2428" s="4">
        <f>IFERROR(I2428/H2428,0)</f>
        <v>15.165306603773585</v>
      </c>
      <c r="R2428" s="12">
        <f>IFERROR(J2428/I2428,0)</f>
        <v>5.9649662757441959</v>
      </c>
      <c r="S2428" s="7">
        <f>Tabla_nuevas_columnas[[#This Row],[ROAS]]</f>
        <v>5.9649662757441959</v>
      </c>
      <c r="T2428" t="str">
        <f>_xlfn.CONCAT(C2428,"-",D2428)</f>
        <v>Paid Search-España</v>
      </c>
      <c r="U2428">
        <f>YEAR(A2428)</f>
        <v>2025</v>
      </c>
      <c r="V2428">
        <f>MONTH(A2428)</f>
        <v>7</v>
      </c>
      <c r="W2428" t="str">
        <f>PROPER(TEXT(A2428,"mmmm"))</f>
        <v>Julio</v>
      </c>
      <c r="X2428" t="str">
        <f>PROPER(TEXT(A2428,"dddd"))</f>
        <v>Viernes</v>
      </c>
      <c r="Y2428" t="str" cm="1">
        <f t="array" ref="Y2428">_xlfn.IFS(R2428&gt;10,"Excelente",R2428&gt;=5,"Bueno",R2428&gt;=2,"Débil",R2428&lt;2,"Deficiente")</f>
        <v>Bueno</v>
      </c>
      <c r="Z2428" t="str">
        <f>IF(AND(R2428&lt;2,Q2428&gt;=100),"Revisar","OK")</f>
        <v>OK</v>
      </c>
      <c r="AA2428" s="55">
        <f>_xlfn.XLOOKUP(C2428,'Preguntas de negocio'!$C$114:$C$119,'Preguntas de negocio'!$D$114:$D$119,0)</f>
        <v>5</v>
      </c>
      <c r="AB2428" s="55">
        <f>VLOOKUP(C2428,'Preguntas de negocio'!$C$121:$D$127,2,FALSE)</f>
        <v>1.1000000000000001</v>
      </c>
    </row>
    <row r="2429" spans="1:28" x14ac:dyDescent="0.3">
      <c r="A2429" s="1">
        <v>45833</v>
      </c>
      <c r="B2429" s="2" t="s">
        <v>2630</v>
      </c>
      <c r="C2429" s="2" t="s">
        <v>2527</v>
      </c>
      <c r="D2429" s="2" t="s">
        <v>2531</v>
      </c>
      <c r="E2429" s="2" t="s">
        <v>2529</v>
      </c>
      <c r="F2429" s="3">
        <v>23352</v>
      </c>
      <c r="G2429" s="3">
        <v>256</v>
      </c>
      <c r="H2429" s="3">
        <v>26</v>
      </c>
      <c r="I2429" s="4">
        <v>65.61</v>
      </c>
      <c r="J2429" s="4">
        <v>2951.16</v>
      </c>
      <c r="K2429" s="3">
        <v>17</v>
      </c>
      <c r="L2429" s="2" t="s">
        <v>2536</v>
      </c>
      <c r="M2429" s="2" t="s">
        <v>2519</v>
      </c>
      <c r="N2429" s="8">
        <f>IFERROR(G2429/F2429,0)</f>
        <v>1.0962658444672833E-2</v>
      </c>
      <c r="O2429" s="8">
        <f>IFERROR(H2429/G2429,0)</f>
        <v>0.1015625</v>
      </c>
      <c r="P2429" s="4">
        <f>IFERROR(I2429/G2429,0)</f>
        <v>0.2562890625</v>
      </c>
      <c r="Q2429" s="4">
        <f>IFERROR(I2429/H2429,0)</f>
        <v>2.5234615384615386</v>
      </c>
      <c r="R2429" s="12">
        <f>IFERROR(J2429/I2429,0)</f>
        <v>44.980338363054408</v>
      </c>
      <c r="S2429" s="7">
        <f>Tabla_nuevas_columnas[[#This Row],[ROAS]]</f>
        <v>44.980338363054408</v>
      </c>
      <c r="T2429" t="str">
        <f>_xlfn.CONCAT(C2429,"-",D2429)</f>
        <v>Affiliate-Portugal</v>
      </c>
      <c r="U2429">
        <f>YEAR(A2429)</f>
        <v>2025</v>
      </c>
      <c r="V2429">
        <f>MONTH(A2429)</f>
        <v>6</v>
      </c>
      <c r="W2429" t="str">
        <f>PROPER(TEXT(A2429,"mmmm"))</f>
        <v>Junio</v>
      </c>
      <c r="X2429" t="str">
        <f>PROPER(TEXT(A2429,"dddd"))</f>
        <v>Miércoles</v>
      </c>
      <c r="Y2429" t="str" cm="1">
        <f t="array" ref="Y2429">_xlfn.IFS(R2429&gt;10,"Excelente",R2429&gt;=5,"Bueno",R2429&gt;=2,"Débil",R2429&lt;2,"Deficiente")</f>
        <v>Excelente</v>
      </c>
      <c r="Z2429" t="str">
        <f>IF(AND(R2429&lt;2,Q2429&gt;=100),"Revisar","OK")</f>
        <v>OK</v>
      </c>
      <c r="AA2429" s="55">
        <f>_xlfn.XLOOKUP(C2429,'Preguntas de negocio'!$C$114:$C$119,'Preguntas de negocio'!$D$114:$D$119,0)</f>
        <v>4.5</v>
      </c>
      <c r="AB2429" s="55">
        <f>VLOOKUP(C2429,'Preguntas de negocio'!$C$121:$D$127,2,FALSE)</f>
        <v>0.35</v>
      </c>
    </row>
    <row r="2430" spans="1:28" x14ac:dyDescent="0.3">
      <c r="A2430" s="1">
        <v>45989</v>
      </c>
      <c r="B2430" s="2" t="s">
        <v>2632</v>
      </c>
      <c r="C2430" s="2" t="s">
        <v>2543</v>
      </c>
      <c r="D2430" s="2" t="s">
        <v>2528</v>
      </c>
      <c r="E2430" s="2" t="s">
        <v>2517</v>
      </c>
      <c r="F2430" s="3">
        <v>167159</v>
      </c>
      <c r="G2430" s="3">
        <v>3738</v>
      </c>
      <c r="H2430" s="3">
        <v>352</v>
      </c>
      <c r="I2430" s="4">
        <v>2308.5</v>
      </c>
      <c r="J2430" s="4">
        <v>21911.59</v>
      </c>
      <c r="K2430" s="3">
        <v>248</v>
      </c>
      <c r="L2430" s="2" t="s">
        <v>2536</v>
      </c>
      <c r="M2430" s="2" t="s">
        <v>2526</v>
      </c>
      <c r="N2430" s="8">
        <f>IFERROR(G2430/F2430,0)</f>
        <v>2.2361942820907039E-2</v>
      </c>
      <c r="O2430" s="8">
        <f>IFERROR(H2430/G2430,0)</f>
        <v>9.4168004280363829E-2</v>
      </c>
      <c r="P2430" s="4">
        <f>IFERROR(I2430/G2430,0)</f>
        <v>0.6175762439807384</v>
      </c>
      <c r="Q2430" s="4">
        <f>IFERROR(I2430/H2430,0)</f>
        <v>6.5582386363636367</v>
      </c>
      <c r="R2430" s="12">
        <f>IFERROR(J2430/I2430,0)</f>
        <v>9.4917002382499458</v>
      </c>
      <c r="S2430" s="7">
        <f>Tabla_nuevas_columnas[[#This Row],[ROAS]]</f>
        <v>9.4917002382499458</v>
      </c>
      <c r="T2430" t="str">
        <f>_xlfn.CONCAT(C2430,"-",D2430)</f>
        <v>Organic Social-España</v>
      </c>
      <c r="U2430">
        <f>YEAR(A2430)</f>
        <v>2025</v>
      </c>
      <c r="V2430">
        <f>MONTH(A2430)</f>
        <v>11</v>
      </c>
      <c r="W2430" t="str">
        <f>PROPER(TEXT(A2430,"mmmm"))</f>
        <v>Noviembre</v>
      </c>
      <c r="X2430" t="str">
        <f>PROPER(TEXT(A2430,"dddd"))</f>
        <v>Viernes</v>
      </c>
      <c r="Y2430" t="str" cm="1">
        <f t="array" ref="Y2430">_xlfn.IFS(R2430&gt;10,"Excelente",R2430&gt;=5,"Bueno",R2430&gt;=2,"Débil",R2430&lt;2,"Deficiente")</f>
        <v>Bueno</v>
      </c>
      <c r="Z2430" t="str">
        <f>IF(AND(R2430&lt;2,Q2430&gt;=100),"Revisar","OK")</f>
        <v>OK</v>
      </c>
      <c r="AA2430" s="55">
        <f>_xlfn.XLOOKUP(C2430,'Preguntas de negocio'!$C$114:$C$119,'Preguntas de negocio'!$D$114:$D$119,0)</f>
        <v>4</v>
      </c>
      <c r="AB2430" s="55">
        <f>VLOOKUP(C2430,'Preguntas de negocio'!$C$121:$D$127,2,FALSE)</f>
        <v>0.95</v>
      </c>
    </row>
    <row r="2431" spans="1:28" x14ac:dyDescent="0.3">
      <c r="A2431" s="1">
        <v>45861</v>
      </c>
      <c r="B2431" s="2" t="s">
        <v>2634</v>
      </c>
      <c r="C2431" s="2" t="s">
        <v>2533</v>
      </c>
      <c r="D2431" s="2" t="s">
        <v>2522</v>
      </c>
      <c r="E2431" s="2" t="s">
        <v>2534</v>
      </c>
      <c r="F2431" s="3">
        <v>32706</v>
      </c>
      <c r="G2431" s="3">
        <v>1193</v>
      </c>
      <c r="H2431" s="3">
        <v>144</v>
      </c>
      <c r="I2431" s="4">
        <v>388.52</v>
      </c>
      <c r="J2431" s="4">
        <v>30124.36</v>
      </c>
      <c r="K2431" s="3">
        <v>91</v>
      </c>
      <c r="L2431" s="2" t="s">
        <v>2523</v>
      </c>
      <c r="M2431" s="2" t="s">
        <v>2526</v>
      </c>
      <c r="N2431" s="8">
        <f>IFERROR(G2431/F2431,0)</f>
        <v>3.6476487494649303E-2</v>
      </c>
      <c r="O2431" s="8">
        <f>IFERROR(H2431/G2431,0)</f>
        <v>0.12070410729253982</v>
      </c>
      <c r="P2431" s="4">
        <f>IFERROR(I2431/G2431,0)</f>
        <v>0.32566638725901087</v>
      </c>
      <c r="Q2431" s="4">
        <f>IFERROR(I2431/H2431,0)</f>
        <v>2.6980555555555554</v>
      </c>
      <c r="R2431" s="12">
        <f>IFERROR(J2431/I2431,0)</f>
        <v>77.536188613198817</v>
      </c>
      <c r="S2431" s="7">
        <f>Tabla_nuevas_columnas[[#This Row],[ROAS]]</f>
        <v>77.536188613198817</v>
      </c>
      <c r="T2431" t="str">
        <f>_xlfn.CONCAT(C2431,"-",D2431)</f>
        <v>Paid Social-Italia</v>
      </c>
      <c r="U2431">
        <f>YEAR(A2431)</f>
        <v>2025</v>
      </c>
      <c r="V2431">
        <f>MONTH(A2431)</f>
        <v>7</v>
      </c>
      <c r="W2431" t="str">
        <f>PROPER(TEXT(A2431,"mmmm"))</f>
        <v>Julio</v>
      </c>
      <c r="X2431" t="str">
        <f>PROPER(TEXT(A2431,"dddd"))</f>
        <v>Miércoles</v>
      </c>
      <c r="Y2431" t="str" cm="1">
        <f t="array" ref="Y2431">_xlfn.IFS(R2431&gt;10,"Excelente",R2431&gt;=5,"Bueno",R2431&gt;=2,"Débil",R2431&lt;2,"Deficiente")</f>
        <v>Excelente</v>
      </c>
      <c r="Z2431" t="str">
        <f>IF(AND(R2431&lt;2,Q2431&gt;=100),"Revisar","OK")</f>
        <v>OK</v>
      </c>
      <c r="AA2431" s="55">
        <f>_xlfn.XLOOKUP(C2431,'Preguntas de negocio'!$C$114:$C$119,'Preguntas de negocio'!$D$114:$D$119,0)</f>
        <v>6</v>
      </c>
      <c r="AB2431" s="55">
        <f>VLOOKUP(C2431,'Preguntas de negocio'!$C$121:$D$127,2,FALSE)</f>
        <v>0.8</v>
      </c>
    </row>
    <row r="2432" spans="1:28" x14ac:dyDescent="0.3">
      <c r="A2432" s="1">
        <v>45685</v>
      </c>
      <c r="B2432" s="2" t="s">
        <v>2621</v>
      </c>
      <c r="C2432" s="2" t="s">
        <v>2533</v>
      </c>
      <c r="D2432" s="2" t="s">
        <v>2525</v>
      </c>
      <c r="E2432" s="2" t="s">
        <v>2529</v>
      </c>
      <c r="F2432" s="3">
        <v>66449</v>
      </c>
      <c r="G2432" s="3">
        <v>3950</v>
      </c>
      <c r="H2432" s="3">
        <v>157</v>
      </c>
      <c r="I2432" s="4">
        <v>6535.58</v>
      </c>
      <c r="J2432" s="4">
        <v>6902.17</v>
      </c>
      <c r="K2432" s="3">
        <v>104</v>
      </c>
      <c r="L2432" s="2" t="s">
        <v>2539</v>
      </c>
      <c r="M2432" s="2" t="s">
        <v>2524</v>
      </c>
      <c r="N2432" s="8">
        <f>IFERROR(G2432/F2432,0)</f>
        <v>5.9444084937320348E-2</v>
      </c>
      <c r="O2432" s="8">
        <f>IFERROR(H2432/G2432,0)</f>
        <v>3.9746835443037976E-2</v>
      </c>
      <c r="P2432" s="4">
        <f>IFERROR(I2432/G2432,0)</f>
        <v>1.6545772151898734</v>
      </c>
      <c r="Q2432" s="4">
        <f>IFERROR(I2432/H2432,0)</f>
        <v>41.627898089171971</v>
      </c>
      <c r="R2432" s="12">
        <f>IFERROR(J2432/I2432,0)</f>
        <v>1.05609142570361</v>
      </c>
      <c r="S2432" s="7">
        <f>Tabla_nuevas_columnas[[#This Row],[ROAS]]</f>
        <v>1.05609142570361</v>
      </c>
      <c r="T2432" t="str">
        <f>_xlfn.CONCAT(C2432,"-",D2432)</f>
        <v>Paid Social-Francia</v>
      </c>
      <c r="U2432">
        <f>YEAR(A2432)</f>
        <v>2025</v>
      </c>
      <c r="V2432">
        <f>MONTH(A2432)</f>
        <v>1</v>
      </c>
      <c r="W2432" t="str">
        <f>PROPER(TEXT(A2432,"mmmm"))</f>
        <v>Enero</v>
      </c>
      <c r="X2432" t="str">
        <f>PROPER(TEXT(A2432,"dddd"))</f>
        <v>Martes</v>
      </c>
      <c r="Y2432" t="str" cm="1">
        <f t="array" ref="Y2432">_xlfn.IFS(R2432&gt;10,"Excelente",R2432&gt;=5,"Bueno",R2432&gt;=2,"Débil",R2432&lt;2,"Deficiente")</f>
        <v>Deficiente</v>
      </c>
      <c r="Z2432" t="str">
        <f>IF(AND(R2432&lt;2,Q2432&gt;=100),"Revisar","OK")</f>
        <v>OK</v>
      </c>
      <c r="AA2432" s="55">
        <f>_xlfn.XLOOKUP(C2432,'Preguntas de negocio'!$C$114:$C$119,'Preguntas de negocio'!$D$114:$D$119,0)</f>
        <v>6</v>
      </c>
      <c r="AB2432" s="55">
        <f>VLOOKUP(C2432,'Preguntas de negocio'!$C$121:$D$127,2,FALSE)</f>
        <v>0.8</v>
      </c>
    </row>
    <row r="2433" spans="1:28" x14ac:dyDescent="0.3">
      <c r="A2433" s="1">
        <v>45870</v>
      </c>
      <c r="B2433" s="2" t="s">
        <v>2625</v>
      </c>
      <c r="C2433" s="2" t="s">
        <v>2541</v>
      </c>
      <c r="D2433" s="2" t="s">
        <v>2522</v>
      </c>
      <c r="E2433" s="2" t="s">
        <v>2517</v>
      </c>
      <c r="F2433" s="3">
        <v>125182</v>
      </c>
      <c r="G2433" s="3">
        <v>8444</v>
      </c>
      <c r="H2433" s="3">
        <v>846</v>
      </c>
      <c r="I2433" s="4">
        <v>9852.7199999999993</v>
      </c>
      <c r="J2433" s="4">
        <v>88178.6</v>
      </c>
      <c r="K2433" s="3">
        <v>733</v>
      </c>
      <c r="L2433" s="2" t="s">
        <v>2536</v>
      </c>
      <c r="M2433" s="2" t="s">
        <v>2546</v>
      </c>
      <c r="N2433" s="8">
        <f>IFERROR(G2433/F2433,0)</f>
        <v>6.7453787285711997E-2</v>
      </c>
      <c r="O2433" s="8">
        <f>IFERROR(H2433/G2433,0)</f>
        <v>0.10018948365703458</v>
      </c>
      <c r="P2433" s="4">
        <f>IFERROR(I2433/G2433,0)</f>
        <v>1.1668308858360965</v>
      </c>
      <c r="Q2433" s="4">
        <f>IFERROR(I2433/H2433,0)</f>
        <v>11.646241134751772</v>
      </c>
      <c r="R2433" s="12">
        <f>IFERROR(J2433/I2433,0)</f>
        <v>8.9496707508180489</v>
      </c>
      <c r="S2433" s="7">
        <f>Tabla_nuevas_columnas[[#This Row],[ROAS]]</f>
        <v>8.9496707508180489</v>
      </c>
      <c r="T2433" t="str">
        <f>_xlfn.CONCAT(C2433,"-",D2433)</f>
        <v>Display-Italia</v>
      </c>
      <c r="U2433">
        <f>YEAR(A2433)</f>
        <v>2025</v>
      </c>
      <c r="V2433">
        <f>MONTH(A2433)</f>
        <v>8</v>
      </c>
      <c r="W2433" t="str">
        <f>PROPER(TEXT(A2433,"mmmm"))</f>
        <v>Agosto</v>
      </c>
      <c r="X2433" t="str">
        <f>PROPER(TEXT(A2433,"dddd"))</f>
        <v>Viernes</v>
      </c>
      <c r="Y2433" t="str" cm="1">
        <f t="array" ref="Y2433">_xlfn.IFS(R2433&gt;10,"Excelente",R2433&gt;=5,"Bueno",R2433&gt;=2,"Débil",R2433&lt;2,"Deficiente")</f>
        <v>Bueno</v>
      </c>
      <c r="Z2433" t="str">
        <f>IF(AND(R2433&lt;2,Q2433&gt;=100),"Revisar","OK")</f>
        <v>OK</v>
      </c>
      <c r="AA2433" s="55">
        <f>_xlfn.XLOOKUP(C2433,'Preguntas de negocio'!$C$114:$C$119,'Preguntas de negocio'!$D$114:$D$119,0)</f>
        <v>5</v>
      </c>
      <c r="AB2433" s="55">
        <f>VLOOKUP(C2433,'Preguntas de negocio'!$C$121:$D$127,2,FALSE)</f>
        <v>0.5</v>
      </c>
    </row>
    <row r="2434" spans="1:28" x14ac:dyDescent="0.3">
      <c r="A2434" s="1">
        <v>45916</v>
      </c>
      <c r="B2434" s="2" t="s">
        <v>2628</v>
      </c>
      <c r="C2434" s="2" t="s">
        <v>2515</v>
      </c>
      <c r="D2434" s="2" t="s">
        <v>2528</v>
      </c>
      <c r="E2434" s="2" t="s">
        <v>2517</v>
      </c>
      <c r="F2434" s="3">
        <v>163603</v>
      </c>
      <c r="G2434" s="3">
        <v>5107</v>
      </c>
      <c r="H2434" s="3">
        <v>597</v>
      </c>
      <c r="I2434" s="4">
        <v>9379.19</v>
      </c>
      <c r="J2434" s="4">
        <v>92404.53</v>
      </c>
      <c r="K2434" s="3">
        <v>279</v>
      </c>
      <c r="L2434" s="2" t="s">
        <v>2536</v>
      </c>
      <c r="M2434" s="2" t="s">
        <v>2524</v>
      </c>
      <c r="N2434" s="8">
        <f>IFERROR(G2434/F2434,0)</f>
        <v>3.1215809001057439E-2</v>
      </c>
      <c r="O2434" s="8">
        <f>IFERROR(H2434/G2434,0)</f>
        <v>0.11689837477971411</v>
      </c>
      <c r="P2434" s="4">
        <f>IFERROR(I2434/G2434,0)</f>
        <v>1.8365361268846683</v>
      </c>
      <c r="Q2434" s="4">
        <f>IFERROR(I2434/H2434,0)</f>
        <v>15.710536013400336</v>
      </c>
      <c r="R2434" s="12">
        <f>IFERROR(J2434/I2434,0)</f>
        <v>9.8520799770555865</v>
      </c>
      <c r="S2434" s="7">
        <f>Tabla_nuevas_columnas[[#This Row],[ROAS]]</f>
        <v>9.8520799770555865</v>
      </c>
      <c r="T2434" t="str">
        <f>_xlfn.CONCAT(C2434,"-",D2434)</f>
        <v>Email-España</v>
      </c>
      <c r="U2434">
        <f>YEAR(A2434)</f>
        <v>2025</v>
      </c>
      <c r="V2434">
        <f>MONTH(A2434)</f>
        <v>9</v>
      </c>
      <c r="W2434" t="str">
        <f>PROPER(TEXT(A2434,"mmmm"))</f>
        <v>Septiembre</v>
      </c>
      <c r="X2434" t="str">
        <f>PROPER(TEXT(A2434,"dddd"))</f>
        <v>Martes</v>
      </c>
      <c r="Y2434" t="str" cm="1">
        <f t="array" ref="Y2434">_xlfn.IFS(R2434&gt;10,"Excelente",R2434&gt;=5,"Bueno",R2434&gt;=2,"Débil",R2434&lt;2,"Deficiente")</f>
        <v>Bueno</v>
      </c>
      <c r="Z2434" t="str">
        <f>IF(AND(R2434&lt;2,Q2434&gt;=100),"Revisar","OK")</f>
        <v>OK</v>
      </c>
      <c r="AA2434" s="55">
        <f>_xlfn.XLOOKUP(C2434,'Preguntas de negocio'!$C$114:$C$119,'Preguntas de negocio'!$D$114:$D$119,0)</f>
        <v>5.5</v>
      </c>
      <c r="AB2434" s="55">
        <f>VLOOKUP(C2434,'Preguntas de negocio'!$C$121:$D$127,2,FALSE)</f>
        <v>0.65</v>
      </c>
    </row>
    <row r="2435" spans="1:28" x14ac:dyDescent="0.3">
      <c r="A2435" s="1">
        <v>45844</v>
      </c>
      <c r="B2435" s="2" t="s">
        <v>2619</v>
      </c>
      <c r="C2435" s="2" t="s">
        <v>2543</v>
      </c>
      <c r="D2435" s="2" t="s">
        <v>2525</v>
      </c>
      <c r="E2435" s="2" t="s">
        <v>2529</v>
      </c>
      <c r="F2435" s="3">
        <v>161676</v>
      </c>
      <c r="G2435" s="3">
        <v>4319</v>
      </c>
      <c r="H2435" s="3">
        <v>522</v>
      </c>
      <c r="I2435" s="4">
        <v>3456.57</v>
      </c>
      <c r="J2435" s="4">
        <v>69730.7</v>
      </c>
      <c r="K2435" s="3">
        <v>338</v>
      </c>
      <c r="L2435" s="2" t="s">
        <v>2536</v>
      </c>
      <c r="M2435" s="2" t="s">
        <v>2519</v>
      </c>
      <c r="N2435" s="8">
        <f>IFERROR(G2435/F2435,0)</f>
        <v>2.6713921670501496E-2</v>
      </c>
      <c r="O2435" s="8">
        <f>IFERROR(H2435/G2435,0)</f>
        <v>0.12086131048853901</v>
      </c>
      <c r="P2435" s="4">
        <f>IFERROR(I2435/G2435,0)</f>
        <v>0.80031720305626308</v>
      </c>
      <c r="Q2435" s="4">
        <f>IFERROR(I2435/H2435,0)</f>
        <v>6.6217816091954029</v>
      </c>
      <c r="R2435" s="12">
        <f>IFERROR(J2435/I2435,0)</f>
        <v>20.173379969160177</v>
      </c>
      <c r="S2435" s="7">
        <f>Tabla_nuevas_columnas[[#This Row],[ROAS]]</f>
        <v>20.173379969160177</v>
      </c>
      <c r="T2435" t="str">
        <f>_xlfn.CONCAT(C2435,"-",D2435)</f>
        <v>Organic Social-Francia</v>
      </c>
      <c r="U2435">
        <f>YEAR(A2435)</f>
        <v>2025</v>
      </c>
      <c r="V2435">
        <f>MONTH(A2435)</f>
        <v>7</v>
      </c>
      <c r="W2435" t="str">
        <f>PROPER(TEXT(A2435,"mmmm"))</f>
        <v>Julio</v>
      </c>
      <c r="X2435" t="str">
        <f>PROPER(TEXT(A2435,"dddd"))</f>
        <v>Domingo</v>
      </c>
      <c r="Y2435" t="str" cm="1">
        <f t="array" ref="Y2435">_xlfn.IFS(R2435&gt;10,"Excelente",R2435&gt;=5,"Bueno",R2435&gt;=2,"Débil",R2435&lt;2,"Deficiente")</f>
        <v>Excelente</v>
      </c>
      <c r="Z2435" t="str">
        <f>IF(AND(R2435&lt;2,Q2435&gt;=100),"Revisar","OK")</f>
        <v>OK</v>
      </c>
      <c r="AA2435" s="55">
        <f>_xlfn.XLOOKUP(C2435,'Preguntas de negocio'!$C$114:$C$119,'Preguntas de negocio'!$D$114:$D$119,0)</f>
        <v>4</v>
      </c>
      <c r="AB2435" s="55">
        <f>VLOOKUP(C2435,'Preguntas de negocio'!$C$121:$D$127,2,FALSE)</f>
        <v>0.95</v>
      </c>
    </row>
    <row r="2436" spans="1:28" x14ac:dyDescent="0.3">
      <c r="A2436" s="1">
        <v>45763</v>
      </c>
      <c r="B2436" s="2" t="s">
        <v>2625</v>
      </c>
      <c r="C2436" s="2" t="s">
        <v>2533</v>
      </c>
      <c r="D2436" s="2" t="s">
        <v>2528</v>
      </c>
      <c r="E2436" s="2" t="s">
        <v>2517</v>
      </c>
      <c r="F2436" s="3">
        <v>69620</v>
      </c>
      <c r="G2436" s="3">
        <v>1607</v>
      </c>
      <c r="H2436" s="3">
        <v>47</v>
      </c>
      <c r="I2436" s="4">
        <v>1492.06</v>
      </c>
      <c r="J2436" s="4">
        <v>4179.17</v>
      </c>
      <c r="K2436" s="3">
        <v>33</v>
      </c>
      <c r="L2436" s="2" t="s">
        <v>2536</v>
      </c>
      <c r="M2436" s="2" t="s">
        <v>2524</v>
      </c>
      <c r="N2436" s="8">
        <f>IFERROR(G2436/F2436,0)</f>
        <v>2.3082447572536628E-2</v>
      </c>
      <c r="O2436" s="8">
        <f>IFERROR(H2436/G2436,0)</f>
        <v>2.924704418170504E-2</v>
      </c>
      <c r="P2436" s="4">
        <f>IFERROR(I2436/G2436,0)</f>
        <v>0.92847542003733663</v>
      </c>
      <c r="Q2436" s="4">
        <f>IFERROR(I2436/H2436,0)</f>
        <v>31.745957446808511</v>
      </c>
      <c r="R2436" s="12">
        <f>IFERROR(J2436/I2436,0)</f>
        <v>2.800939640497031</v>
      </c>
      <c r="S2436" s="7">
        <f>Tabla_nuevas_columnas[[#This Row],[ROAS]]</f>
        <v>2.800939640497031</v>
      </c>
      <c r="T2436" t="str">
        <f>_xlfn.CONCAT(C2436,"-",D2436)</f>
        <v>Paid Social-España</v>
      </c>
      <c r="U2436">
        <f>YEAR(A2436)</f>
        <v>2025</v>
      </c>
      <c r="V2436">
        <f>MONTH(A2436)</f>
        <v>4</v>
      </c>
      <c r="W2436" t="str">
        <f>PROPER(TEXT(A2436,"mmmm"))</f>
        <v>Abril</v>
      </c>
      <c r="X2436" t="str">
        <f>PROPER(TEXT(A2436,"dddd"))</f>
        <v>Miércoles</v>
      </c>
      <c r="Y2436" t="str" cm="1">
        <f t="array" ref="Y2436">_xlfn.IFS(R2436&gt;10,"Excelente",R2436&gt;=5,"Bueno",R2436&gt;=2,"Débil",R2436&lt;2,"Deficiente")</f>
        <v>Débil</v>
      </c>
      <c r="Z2436" t="str">
        <f>IF(AND(R2436&lt;2,Q2436&gt;=100),"Revisar","OK")</f>
        <v>OK</v>
      </c>
      <c r="AA2436" s="55">
        <f>_xlfn.XLOOKUP(C2436,'Preguntas de negocio'!$C$114:$C$119,'Preguntas de negocio'!$D$114:$D$119,0)</f>
        <v>6</v>
      </c>
      <c r="AB2436" s="55">
        <f>VLOOKUP(C2436,'Preguntas de negocio'!$C$121:$D$127,2,FALSE)</f>
        <v>0.8</v>
      </c>
    </row>
    <row r="2437" spans="1:28" x14ac:dyDescent="0.3">
      <c r="A2437" s="1">
        <v>45676</v>
      </c>
      <c r="B2437" s="2" t="s">
        <v>2640</v>
      </c>
      <c r="C2437" s="2" t="s">
        <v>2527</v>
      </c>
      <c r="D2437" s="2" t="s">
        <v>2522</v>
      </c>
      <c r="E2437" s="2" t="s">
        <v>2529</v>
      </c>
      <c r="F2437" s="3">
        <v>81597</v>
      </c>
      <c r="G2437" s="3">
        <v>3942</v>
      </c>
      <c r="H2437" s="3">
        <v>411</v>
      </c>
      <c r="I2437" s="4">
        <v>2691.83</v>
      </c>
      <c r="J2437" s="4">
        <v>71212.160000000003</v>
      </c>
      <c r="K2437" s="3">
        <v>234</v>
      </c>
      <c r="L2437" s="2" t="s">
        <v>2536</v>
      </c>
      <c r="M2437" s="2" t="s">
        <v>2524</v>
      </c>
      <c r="N2437" s="8">
        <f>IFERROR(G2437/F2437,0)</f>
        <v>4.8310599654399058E-2</v>
      </c>
      <c r="O2437" s="8">
        <f>IFERROR(H2437/G2437,0)</f>
        <v>0.10426179604261795</v>
      </c>
      <c r="P2437" s="4">
        <f>IFERROR(I2437/G2437,0)</f>
        <v>0.68285895484525616</v>
      </c>
      <c r="Q2437" s="4">
        <f>IFERROR(I2437/H2437,0)</f>
        <v>6.5494647201946474</v>
      </c>
      <c r="R2437" s="12">
        <f>IFERROR(J2437/I2437,0)</f>
        <v>26.454924716642584</v>
      </c>
      <c r="S2437" s="7">
        <f>Tabla_nuevas_columnas[[#This Row],[ROAS]]</f>
        <v>26.454924716642584</v>
      </c>
      <c r="T2437" t="str">
        <f>_xlfn.CONCAT(C2437,"-",D2437)</f>
        <v>Affiliate-Italia</v>
      </c>
      <c r="U2437">
        <f>YEAR(A2437)</f>
        <v>2025</v>
      </c>
      <c r="V2437">
        <f>MONTH(A2437)</f>
        <v>1</v>
      </c>
      <c r="W2437" t="str">
        <f>PROPER(TEXT(A2437,"mmmm"))</f>
        <v>Enero</v>
      </c>
      <c r="X2437" t="str">
        <f>PROPER(TEXT(A2437,"dddd"))</f>
        <v>Domingo</v>
      </c>
      <c r="Y2437" t="str" cm="1">
        <f t="array" ref="Y2437">_xlfn.IFS(R2437&gt;10,"Excelente",R2437&gt;=5,"Bueno",R2437&gt;=2,"Débil",R2437&lt;2,"Deficiente")</f>
        <v>Excelente</v>
      </c>
      <c r="Z2437" t="str">
        <f>IF(AND(R2437&lt;2,Q2437&gt;=100),"Revisar","OK")</f>
        <v>OK</v>
      </c>
      <c r="AA2437" s="55">
        <f>_xlfn.XLOOKUP(C2437,'Preguntas de negocio'!$C$114:$C$119,'Preguntas de negocio'!$D$114:$D$119,0)</f>
        <v>4.5</v>
      </c>
      <c r="AB2437" s="55">
        <f>VLOOKUP(C2437,'Preguntas de negocio'!$C$121:$D$127,2,FALSE)</f>
        <v>0.35</v>
      </c>
    </row>
    <row r="2438" spans="1:28" x14ac:dyDescent="0.3">
      <c r="A2438" s="1">
        <v>45900</v>
      </c>
      <c r="B2438" s="2" t="s">
        <v>2629</v>
      </c>
      <c r="C2438" s="2" t="s">
        <v>2527</v>
      </c>
      <c r="D2438" s="2" t="s">
        <v>2528</v>
      </c>
      <c r="E2438" s="2" t="s">
        <v>2517</v>
      </c>
      <c r="F2438" s="3">
        <v>136673</v>
      </c>
      <c r="G2438" s="3">
        <v>4341</v>
      </c>
      <c r="H2438" s="3">
        <v>256</v>
      </c>
      <c r="I2438" s="4">
        <v>1117.29</v>
      </c>
      <c r="J2438" s="4">
        <v>9812.85</v>
      </c>
      <c r="K2438" s="3">
        <v>163</v>
      </c>
      <c r="L2438" s="2" t="s">
        <v>2536</v>
      </c>
      <c r="M2438" s="2" t="s">
        <v>2546</v>
      </c>
      <c r="N2438" s="8">
        <f>IFERROR(G2438/F2438,0)</f>
        <v>3.1761942739238914E-2</v>
      </c>
      <c r="O2438" s="8">
        <f>IFERROR(H2438/G2438,0)</f>
        <v>5.8972586961529599E-2</v>
      </c>
      <c r="P2438" s="4">
        <f>IFERROR(I2438/G2438,0)</f>
        <v>0.25738078783690393</v>
      </c>
      <c r="Q2438" s="4">
        <f>IFERROR(I2438/H2438,0)</f>
        <v>4.3644140624999999</v>
      </c>
      <c r="R2438" s="12">
        <f>IFERROR(J2438/I2438,0)</f>
        <v>8.7827242703326807</v>
      </c>
      <c r="S2438" s="7">
        <f>Tabla_nuevas_columnas[[#This Row],[ROAS]]</f>
        <v>8.7827242703326807</v>
      </c>
      <c r="T2438" t="str">
        <f>_xlfn.CONCAT(C2438,"-",D2438)</f>
        <v>Affiliate-España</v>
      </c>
      <c r="U2438">
        <f>YEAR(A2438)</f>
        <v>2025</v>
      </c>
      <c r="V2438">
        <f>MONTH(A2438)</f>
        <v>8</v>
      </c>
      <c r="W2438" t="str">
        <f>PROPER(TEXT(A2438,"mmmm"))</f>
        <v>Agosto</v>
      </c>
      <c r="X2438" t="str">
        <f>PROPER(TEXT(A2438,"dddd"))</f>
        <v>Domingo</v>
      </c>
      <c r="Y2438" t="str" cm="1">
        <f t="array" ref="Y2438">_xlfn.IFS(R2438&gt;10,"Excelente",R2438&gt;=5,"Bueno",R2438&gt;=2,"Débil",R2438&lt;2,"Deficiente")</f>
        <v>Bueno</v>
      </c>
      <c r="Z2438" t="str">
        <f>IF(AND(R2438&lt;2,Q2438&gt;=100),"Revisar","OK")</f>
        <v>OK</v>
      </c>
      <c r="AA2438" s="55">
        <f>_xlfn.XLOOKUP(C2438,'Preguntas de negocio'!$C$114:$C$119,'Preguntas de negocio'!$D$114:$D$119,0)</f>
        <v>4.5</v>
      </c>
      <c r="AB2438" s="55">
        <f>VLOOKUP(C2438,'Preguntas de negocio'!$C$121:$D$127,2,FALSE)</f>
        <v>0.35</v>
      </c>
    </row>
    <row r="2439" spans="1:28" x14ac:dyDescent="0.3">
      <c r="A2439" s="1">
        <v>45864</v>
      </c>
      <c r="B2439" s="2" t="s">
        <v>2617</v>
      </c>
      <c r="C2439" s="2" t="s">
        <v>2541</v>
      </c>
      <c r="D2439" s="2" t="s">
        <v>2522</v>
      </c>
      <c r="E2439" s="2" t="s">
        <v>2517</v>
      </c>
      <c r="F2439" s="3">
        <v>87836</v>
      </c>
      <c r="G2439" s="3">
        <v>1663</v>
      </c>
      <c r="H2439" s="3">
        <v>170</v>
      </c>
      <c r="I2439" s="4">
        <v>1956.54</v>
      </c>
      <c r="J2439" s="4">
        <v>14853.58</v>
      </c>
      <c r="K2439" s="3">
        <v>91</v>
      </c>
      <c r="L2439" s="2" t="s">
        <v>2536</v>
      </c>
      <c r="M2439" s="2" t="s">
        <v>2524</v>
      </c>
      <c r="N2439" s="8">
        <f>IFERROR(G2439/F2439,0)</f>
        <v>1.8933011521471834E-2</v>
      </c>
      <c r="O2439" s="8">
        <f>IFERROR(H2439/G2439,0)</f>
        <v>0.10222489476849068</v>
      </c>
      <c r="P2439" s="4">
        <f>IFERROR(I2439/G2439,0)</f>
        <v>1.1765123271196631</v>
      </c>
      <c r="Q2439" s="4">
        <f>IFERROR(I2439/H2439,0)</f>
        <v>11.509058823529411</v>
      </c>
      <c r="R2439" s="12">
        <f>IFERROR(J2439/I2439,0)</f>
        <v>7.5917589213611789</v>
      </c>
      <c r="S2439" s="7">
        <f>Tabla_nuevas_columnas[[#This Row],[ROAS]]</f>
        <v>7.5917589213611789</v>
      </c>
      <c r="T2439" t="str">
        <f>_xlfn.CONCAT(C2439,"-",D2439)</f>
        <v>Display-Italia</v>
      </c>
      <c r="U2439">
        <f>YEAR(A2439)</f>
        <v>2025</v>
      </c>
      <c r="V2439">
        <f>MONTH(A2439)</f>
        <v>7</v>
      </c>
      <c r="W2439" t="str">
        <f>PROPER(TEXT(A2439,"mmmm"))</f>
        <v>Julio</v>
      </c>
      <c r="X2439" t="str">
        <f>PROPER(TEXT(A2439,"dddd"))</f>
        <v>Sábado</v>
      </c>
      <c r="Y2439" t="str" cm="1">
        <f t="array" ref="Y2439">_xlfn.IFS(R2439&gt;10,"Excelente",R2439&gt;=5,"Bueno",R2439&gt;=2,"Débil",R2439&lt;2,"Deficiente")</f>
        <v>Bueno</v>
      </c>
      <c r="Z2439" t="str">
        <f>IF(AND(R2439&lt;2,Q2439&gt;=100),"Revisar","OK")</f>
        <v>OK</v>
      </c>
      <c r="AA2439" s="55">
        <f>_xlfn.XLOOKUP(C2439,'Preguntas de negocio'!$C$114:$C$119,'Preguntas de negocio'!$D$114:$D$119,0)</f>
        <v>5</v>
      </c>
      <c r="AB2439" s="55">
        <f>VLOOKUP(C2439,'Preguntas de negocio'!$C$121:$D$127,2,FALSE)</f>
        <v>0.5</v>
      </c>
    </row>
    <row r="2440" spans="1:28" x14ac:dyDescent="0.3">
      <c r="A2440" s="1">
        <v>45916</v>
      </c>
      <c r="B2440" s="2" t="s">
        <v>2615</v>
      </c>
      <c r="C2440" s="2" t="s">
        <v>2521</v>
      </c>
      <c r="D2440" s="2" t="s">
        <v>2528</v>
      </c>
      <c r="E2440" s="2" t="s">
        <v>2529</v>
      </c>
      <c r="F2440" s="3">
        <v>163694</v>
      </c>
      <c r="G2440" s="3">
        <v>6089</v>
      </c>
      <c r="H2440" s="3">
        <v>661</v>
      </c>
      <c r="I2440" s="4">
        <v>8045.69</v>
      </c>
      <c r="J2440" s="4">
        <v>124199.31</v>
      </c>
      <c r="K2440" s="3">
        <v>405</v>
      </c>
      <c r="L2440" s="2" t="s">
        <v>2523</v>
      </c>
      <c r="M2440" s="2" t="s">
        <v>2526</v>
      </c>
      <c r="N2440" s="8">
        <f>IFERROR(G2440/F2440,0)</f>
        <v>3.7197453785722139E-2</v>
      </c>
      <c r="O2440" s="8">
        <f>IFERROR(H2440/G2440,0)</f>
        <v>0.10855641320413861</v>
      </c>
      <c r="P2440" s="4">
        <f>IFERROR(I2440/G2440,0)</f>
        <v>1.3213483330596156</v>
      </c>
      <c r="Q2440" s="4">
        <f>IFERROR(I2440/H2440,0)</f>
        <v>12.171996974281392</v>
      </c>
      <c r="R2440" s="12">
        <f>IFERROR(J2440/I2440,0)</f>
        <v>15.436750608089548</v>
      </c>
      <c r="S2440" s="7">
        <f>Tabla_nuevas_columnas[[#This Row],[ROAS]]</f>
        <v>15.436750608089548</v>
      </c>
      <c r="T2440" t="str">
        <f>_xlfn.CONCAT(C2440,"-",D2440)</f>
        <v>Paid Search-España</v>
      </c>
      <c r="U2440">
        <f>YEAR(A2440)</f>
        <v>2025</v>
      </c>
      <c r="V2440">
        <f>MONTH(A2440)</f>
        <v>9</v>
      </c>
      <c r="W2440" t="str">
        <f>PROPER(TEXT(A2440,"mmmm"))</f>
        <v>Septiembre</v>
      </c>
      <c r="X2440" t="str">
        <f>PROPER(TEXT(A2440,"dddd"))</f>
        <v>Martes</v>
      </c>
      <c r="Y2440" t="str" cm="1">
        <f t="array" ref="Y2440">_xlfn.IFS(R2440&gt;10,"Excelente",R2440&gt;=5,"Bueno",R2440&gt;=2,"Débil",R2440&lt;2,"Deficiente")</f>
        <v>Excelente</v>
      </c>
      <c r="Z2440" t="str">
        <f>IF(AND(R2440&lt;2,Q2440&gt;=100),"Revisar","OK")</f>
        <v>OK</v>
      </c>
      <c r="AA2440" s="55">
        <f>_xlfn.XLOOKUP(C2440,'Preguntas de negocio'!$C$114:$C$119,'Preguntas de negocio'!$D$114:$D$119,0)</f>
        <v>5</v>
      </c>
      <c r="AB2440" s="55">
        <f>VLOOKUP(C2440,'Preguntas de negocio'!$C$121:$D$127,2,FALSE)</f>
        <v>1.1000000000000001</v>
      </c>
    </row>
    <row r="2441" spans="1:28" x14ac:dyDescent="0.3">
      <c r="A2441" s="1">
        <v>46018</v>
      </c>
      <c r="B2441" s="2" t="s">
        <v>2622</v>
      </c>
      <c r="C2441" s="2" t="s">
        <v>2533</v>
      </c>
      <c r="D2441" s="2" t="s">
        <v>2522</v>
      </c>
      <c r="E2441" s="2" t="s">
        <v>2517</v>
      </c>
      <c r="F2441" s="3">
        <v>27326</v>
      </c>
      <c r="G2441" s="3">
        <v>1841</v>
      </c>
      <c r="H2441" s="3">
        <v>174</v>
      </c>
      <c r="I2441" s="4">
        <v>3309.03</v>
      </c>
      <c r="J2441" s="4">
        <v>14847.17</v>
      </c>
      <c r="K2441" s="3">
        <v>89</v>
      </c>
      <c r="L2441" s="2" t="s">
        <v>2539</v>
      </c>
      <c r="M2441" s="2" t="s">
        <v>2519</v>
      </c>
      <c r="N2441" s="8">
        <f>IFERROR(G2441/F2441,0)</f>
        <v>6.7371733879821413E-2</v>
      </c>
      <c r="O2441" s="8">
        <f>IFERROR(H2441/G2441,0)</f>
        <v>9.4513851167843568E-2</v>
      </c>
      <c r="P2441" s="4">
        <f>IFERROR(I2441/G2441,0)</f>
        <v>1.7974090168386747</v>
      </c>
      <c r="Q2441" s="4">
        <f>IFERROR(I2441/H2441,0)</f>
        <v>19.017413793103451</v>
      </c>
      <c r="R2441" s="12">
        <f>IFERROR(J2441/I2441,0)</f>
        <v>4.4868647307519121</v>
      </c>
      <c r="S2441" s="7">
        <f>Tabla_nuevas_columnas[[#This Row],[ROAS]]</f>
        <v>4.4868647307519121</v>
      </c>
      <c r="T2441" t="str">
        <f>_xlfn.CONCAT(C2441,"-",D2441)</f>
        <v>Paid Social-Italia</v>
      </c>
      <c r="U2441">
        <f>YEAR(A2441)</f>
        <v>2025</v>
      </c>
      <c r="V2441">
        <f>MONTH(A2441)</f>
        <v>12</v>
      </c>
      <c r="W2441" t="str">
        <f>PROPER(TEXT(A2441,"mmmm"))</f>
        <v>Diciembre</v>
      </c>
      <c r="X2441" t="str">
        <f>PROPER(TEXT(A2441,"dddd"))</f>
        <v>Sábado</v>
      </c>
      <c r="Y2441" t="str" cm="1">
        <f t="array" ref="Y2441">_xlfn.IFS(R2441&gt;10,"Excelente",R2441&gt;=5,"Bueno",R2441&gt;=2,"Débil",R2441&lt;2,"Deficiente")</f>
        <v>Débil</v>
      </c>
      <c r="Z2441" t="str">
        <f>IF(AND(R2441&lt;2,Q2441&gt;=100),"Revisar","OK")</f>
        <v>OK</v>
      </c>
      <c r="AA2441" s="55">
        <f>_xlfn.XLOOKUP(C2441,'Preguntas de negocio'!$C$114:$C$119,'Preguntas de negocio'!$D$114:$D$119,0)</f>
        <v>6</v>
      </c>
      <c r="AB2441" s="55">
        <f>VLOOKUP(C2441,'Preguntas de negocio'!$C$121:$D$127,2,FALSE)</f>
        <v>0.8</v>
      </c>
    </row>
    <row r="2442" spans="1:28" x14ac:dyDescent="0.3">
      <c r="A2442" s="1">
        <v>46012</v>
      </c>
      <c r="B2442" s="2" t="s">
        <v>2625</v>
      </c>
      <c r="C2442" s="2" t="s">
        <v>2515</v>
      </c>
      <c r="D2442" s="2" t="s">
        <v>2522</v>
      </c>
      <c r="E2442" s="2" t="s">
        <v>2534</v>
      </c>
      <c r="F2442" s="3">
        <v>150246</v>
      </c>
      <c r="G2442" s="3">
        <v>2834</v>
      </c>
      <c r="H2442" s="3">
        <v>391</v>
      </c>
      <c r="I2442" s="4">
        <v>622.6</v>
      </c>
      <c r="J2442" s="4">
        <v>83373.570000000007</v>
      </c>
      <c r="K2442" s="3">
        <v>231</v>
      </c>
      <c r="L2442" s="2" t="s">
        <v>2523</v>
      </c>
      <c r="M2442" s="2" t="s">
        <v>2519</v>
      </c>
      <c r="N2442" s="8">
        <f>IFERROR(G2442/F2442,0)</f>
        <v>1.8862398998975013E-2</v>
      </c>
      <c r="O2442" s="8">
        <f>IFERROR(H2442/G2442,0)</f>
        <v>0.13796753705010587</v>
      </c>
      <c r="P2442" s="4">
        <f>IFERROR(I2442/G2442,0)</f>
        <v>0.21968948482709952</v>
      </c>
      <c r="Q2442" s="4">
        <f>IFERROR(I2442/H2442,0)</f>
        <v>1.5923273657289003</v>
      </c>
      <c r="R2442" s="12">
        <f>IFERROR(J2442/I2442,0)</f>
        <v>133.91193382589142</v>
      </c>
      <c r="S2442" s="7">
        <f>Tabla_nuevas_columnas[[#This Row],[ROAS]]</f>
        <v>133.91193382589142</v>
      </c>
      <c r="T2442" t="str">
        <f>_xlfn.CONCAT(C2442,"-",D2442)</f>
        <v>Email-Italia</v>
      </c>
      <c r="U2442">
        <f>YEAR(A2442)</f>
        <v>2025</v>
      </c>
      <c r="V2442">
        <f>MONTH(A2442)</f>
        <v>12</v>
      </c>
      <c r="W2442" t="str">
        <f>PROPER(TEXT(A2442,"mmmm"))</f>
        <v>Diciembre</v>
      </c>
      <c r="X2442" t="str">
        <f>PROPER(TEXT(A2442,"dddd"))</f>
        <v>Domingo</v>
      </c>
      <c r="Y2442" t="str" cm="1">
        <f t="array" ref="Y2442">_xlfn.IFS(R2442&gt;10,"Excelente",R2442&gt;=5,"Bueno",R2442&gt;=2,"Débil",R2442&lt;2,"Deficiente")</f>
        <v>Excelente</v>
      </c>
      <c r="Z2442" t="str">
        <f>IF(AND(R2442&lt;2,Q2442&gt;=100),"Revisar","OK")</f>
        <v>OK</v>
      </c>
      <c r="AA2442" s="55">
        <f>_xlfn.XLOOKUP(C2442,'Preguntas de negocio'!$C$114:$C$119,'Preguntas de negocio'!$D$114:$D$119,0)</f>
        <v>5.5</v>
      </c>
      <c r="AB2442" s="55">
        <f>VLOOKUP(C2442,'Preguntas de negocio'!$C$121:$D$127,2,FALSE)</f>
        <v>0.65</v>
      </c>
    </row>
    <row r="2443" spans="1:28" x14ac:dyDescent="0.3">
      <c r="A2443" s="1">
        <v>45661</v>
      </c>
      <c r="B2443" s="2" t="s">
        <v>2625</v>
      </c>
      <c r="C2443" s="2" t="s">
        <v>2543</v>
      </c>
      <c r="D2443" s="2" t="s">
        <v>2531</v>
      </c>
      <c r="E2443" s="2" t="s">
        <v>2529</v>
      </c>
      <c r="F2443" s="3">
        <v>139698</v>
      </c>
      <c r="G2443" s="3">
        <v>11790</v>
      </c>
      <c r="H2443" s="3">
        <v>739</v>
      </c>
      <c r="I2443" s="4">
        <v>3155.14</v>
      </c>
      <c r="J2443" s="4">
        <v>98880.18</v>
      </c>
      <c r="K2443" s="3">
        <v>476</v>
      </c>
      <c r="L2443" s="2" t="s">
        <v>2539</v>
      </c>
      <c r="M2443" s="2" t="s">
        <v>2537</v>
      </c>
      <c r="N2443" s="8">
        <f>IFERROR(G2443/F2443,0)</f>
        <v>8.4396340677747719E-2</v>
      </c>
      <c r="O2443" s="8">
        <f>IFERROR(H2443/G2443,0)</f>
        <v>6.26802374893978E-2</v>
      </c>
      <c r="P2443" s="4">
        <f>IFERROR(I2443/G2443,0)</f>
        <v>0.26761153519932146</v>
      </c>
      <c r="Q2443" s="4">
        <f>IFERROR(I2443/H2443,0)</f>
        <v>4.2694722598105548</v>
      </c>
      <c r="R2443" s="12">
        <f>IFERROR(J2443/I2443,0)</f>
        <v>31.339395399253281</v>
      </c>
      <c r="S2443" s="7">
        <f>Tabla_nuevas_columnas[[#This Row],[ROAS]]</f>
        <v>31.339395399253281</v>
      </c>
      <c r="T2443" t="str">
        <f>_xlfn.CONCAT(C2443,"-",D2443)</f>
        <v>Organic Social-Portugal</v>
      </c>
      <c r="U2443">
        <f>YEAR(A2443)</f>
        <v>2025</v>
      </c>
      <c r="V2443">
        <f>MONTH(A2443)</f>
        <v>1</v>
      </c>
      <c r="W2443" t="str">
        <f>PROPER(TEXT(A2443,"mmmm"))</f>
        <v>Enero</v>
      </c>
      <c r="X2443" t="str">
        <f>PROPER(TEXT(A2443,"dddd"))</f>
        <v>Sábado</v>
      </c>
      <c r="Y2443" t="str" cm="1">
        <f t="array" ref="Y2443">_xlfn.IFS(R2443&gt;10,"Excelente",R2443&gt;=5,"Bueno",R2443&gt;=2,"Débil",R2443&lt;2,"Deficiente")</f>
        <v>Excelente</v>
      </c>
      <c r="Z2443" t="str">
        <f>IF(AND(R2443&lt;2,Q2443&gt;=100),"Revisar","OK")</f>
        <v>OK</v>
      </c>
      <c r="AA2443" s="55">
        <f>_xlfn.XLOOKUP(C2443,'Preguntas de negocio'!$C$114:$C$119,'Preguntas de negocio'!$D$114:$D$119,0)</f>
        <v>4</v>
      </c>
      <c r="AB2443" s="55">
        <f>VLOOKUP(C2443,'Preguntas de negocio'!$C$121:$D$127,2,FALSE)</f>
        <v>0.95</v>
      </c>
    </row>
    <row r="2444" spans="1:28" x14ac:dyDescent="0.3">
      <c r="A2444" s="1">
        <v>45758</v>
      </c>
      <c r="B2444" s="2" t="s">
        <v>2641</v>
      </c>
      <c r="C2444" s="2" t="s">
        <v>2521</v>
      </c>
      <c r="D2444" s="2" t="s">
        <v>2525</v>
      </c>
      <c r="E2444" s="2" t="s">
        <v>2529</v>
      </c>
      <c r="F2444" s="3">
        <v>69394</v>
      </c>
      <c r="G2444" s="3">
        <v>2360</v>
      </c>
      <c r="H2444" s="3">
        <v>2388</v>
      </c>
      <c r="I2444" s="4">
        <v>321.44</v>
      </c>
      <c r="J2444" s="4">
        <v>7749.8</v>
      </c>
      <c r="K2444" s="3">
        <v>50</v>
      </c>
      <c r="L2444" s="2" t="s">
        <v>2518</v>
      </c>
      <c r="M2444" s="2" t="s">
        <v>2537</v>
      </c>
      <c r="N2444" s="8">
        <f>IFERROR(G2444/F2444,0)</f>
        <v>3.4008703922529325E-2</v>
      </c>
      <c r="O2444" s="8">
        <f>IFERROR(H2444/G2444,0)</f>
        <v>1.0118644067796609</v>
      </c>
      <c r="P2444" s="4">
        <f>IFERROR(I2444/G2444,0)</f>
        <v>0.13620338983050848</v>
      </c>
      <c r="Q2444" s="4">
        <f>IFERROR(I2444/H2444,0)</f>
        <v>0.13460636515912897</v>
      </c>
      <c r="R2444" s="12">
        <f>IFERROR(J2444/I2444,0)</f>
        <v>24.109631657541065</v>
      </c>
      <c r="S2444" s="7">
        <f>Tabla_nuevas_columnas[[#This Row],[ROAS]]</f>
        <v>24.109631657541065</v>
      </c>
      <c r="T2444" t="str">
        <f>_xlfn.CONCAT(C2444,"-",D2444)</f>
        <v>Paid Search-Francia</v>
      </c>
      <c r="U2444">
        <f>YEAR(A2444)</f>
        <v>2025</v>
      </c>
      <c r="V2444">
        <f>MONTH(A2444)</f>
        <v>4</v>
      </c>
      <c r="W2444" t="str">
        <f>PROPER(TEXT(A2444,"mmmm"))</f>
        <v>Abril</v>
      </c>
      <c r="X2444" t="str">
        <f>PROPER(TEXT(A2444,"dddd"))</f>
        <v>Viernes</v>
      </c>
      <c r="Y2444" t="str" cm="1">
        <f t="array" ref="Y2444">_xlfn.IFS(R2444&gt;10,"Excelente",R2444&gt;=5,"Bueno",R2444&gt;=2,"Débil",R2444&lt;2,"Deficiente")</f>
        <v>Excelente</v>
      </c>
      <c r="Z2444" t="str">
        <f>IF(AND(R2444&lt;2,Q2444&gt;=100),"Revisar","OK")</f>
        <v>OK</v>
      </c>
      <c r="AA2444" s="55">
        <f>_xlfn.XLOOKUP(C2444,'Preguntas de negocio'!$C$114:$C$119,'Preguntas de negocio'!$D$114:$D$119,0)</f>
        <v>5</v>
      </c>
      <c r="AB2444" s="55">
        <f>VLOOKUP(C2444,'Preguntas de negocio'!$C$121:$D$127,2,FALSE)</f>
        <v>1.1000000000000001</v>
      </c>
    </row>
    <row r="2445" spans="1:28" x14ac:dyDescent="0.3">
      <c r="A2445" s="1">
        <v>45786</v>
      </c>
      <c r="B2445" s="2" t="s">
        <v>2630</v>
      </c>
      <c r="C2445" s="2" t="s">
        <v>2541</v>
      </c>
      <c r="D2445" s="2" t="s">
        <v>2522</v>
      </c>
      <c r="E2445" s="2" t="s">
        <v>2529</v>
      </c>
      <c r="F2445" s="3">
        <v>137747</v>
      </c>
      <c r="G2445" s="3">
        <v>8419</v>
      </c>
      <c r="H2445" s="3">
        <v>627</v>
      </c>
      <c r="I2445" s="4">
        <v>12724.72</v>
      </c>
      <c r="J2445" s="4">
        <v>99492.88</v>
      </c>
      <c r="K2445" s="3">
        <v>392</v>
      </c>
      <c r="L2445" s="2" t="s">
        <v>2536</v>
      </c>
      <c r="M2445" s="2" t="s">
        <v>2526</v>
      </c>
      <c r="N2445" s="8">
        <f>IFERROR(G2445/F2445,0)</f>
        <v>6.1119298423922115E-2</v>
      </c>
      <c r="O2445" s="8">
        <f>IFERROR(H2445/G2445,0)</f>
        <v>7.4474403135764339E-2</v>
      </c>
      <c r="P2445" s="4">
        <f>IFERROR(I2445/G2445,0)</f>
        <v>1.5114289107970067</v>
      </c>
      <c r="Q2445" s="4">
        <f>IFERROR(I2445/H2445,0)</f>
        <v>20.294609250398722</v>
      </c>
      <c r="R2445" s="12">
        <f>IFERROR(J2445/I2445,0)</f>
        <v>7.8188659554001978</v>
      </c>
      <c r="S2445" s="7">
        <f>Tabla_nuevas_columnas[[#This Row],[ROAS]]</f>
        <v>7.8188659554001978</v>
      </c>
      <c r="T2445" t="str">
        <f>_xlfn.CONCAT(C2445,"-",D2445)</f>
        <v>Display-Italia</v>
      </c>
      <c r="U2445">
        <f>YEAR(A2445)</f>
        <v>2025</v>
      </c>
      <c r="V2445">
        <f>MONTH(A2445)</f>
        <v>5</v>
      </c>
      <c r="W2445" t="str">
        <f>PROPER(TEXT(A2445,"mmmm"))</f>
        <v>Mayo</v>
      </c>
      <c r="X2445" t="str">
        <f>PROPER(TEXT(A2445,"dddd"))</f>
        <v>Viernes</v>
      </c>
      <c r="Y2445" t="str" cm="1">
        <f t="array" ref="Y2445">_xlfn.IFS(R2445&gt;10,"Excelente",R2445&gt;=5,"Bueno",R2445&gt;=2,"Débil",R2445&lt;2,"Deficiente")</f>
        <v>Bueno</v>
      </c>
      <c r="Z2445" t="str">
        <f>IF(AND(R2445&lt;2,Q2445&gt;=100),"Revisar","OK")</f>
        <v>OK</v>
      </c>
      <c r="AA2445" s="55">
        <f>_xlfn.XLOOKUP(C2445,'Preguntas de negocio'!$C$114:$C$119,'Preguntas de negocio'!$D$114:$D$119,0)</f>
        <v>5</v>
      </c>
      <c r="AB2445" s="55">
        <f>VLOOKUP(C2445,'Preguntas de negocio'!$C$121:$D$127,2,FALSE)</f>
        <v>0.5</v>
      </c>
    </row>
    <row r="2446" spans="1:28" x14ac:dyDescent="0.3">
      <c r="A2446" s="1">
        <v>45923</v>
      </c>
      <c r="B2446" s="2" t="s">
        <v>2622</v>
      </c>
      <c r="C2446" s="2" t="s">
        <v>2527</v>
      </c>
      <c r="D2446" s="2" t="s">
        <v>2528</v>
      </c>
      <c r="E2446" s="2" t="s">
        <v>2534</v>
      </c>
      <c r="F2446" s="3">
        <v>148063</v>
      </c>
      <c r="G2446" s="3">
        <v>5360</v>
      </c>
      <c r="H2446" s="3">
        <v>451</v>
      </c>
      <c r="I2446" s="4">
        <v>2029.66</v>
      </c>
      <c r="J2446" s="4">
        <v>86717.51</v>
      </c>
      <c r="K2446" s="3">
        <v>373</v>
      </c>
      <c r="L2446" s="2" t="s">
        <v>2536</v>
      </c>
      <c r="M2446" s="2" t="s">
        <v>2519</v>
      </c>
      <c r="N2446" s="8">
        <f>IFERROR(G2446/F2446,0)</f>
        <v>3.620080641348615E-2</v>
      </c>
      <c r="O2446" s="8">
        <f>IFERROR(H2446/G2446,0)</f>
        <v>8.4141791044776121E-2</v>
      </c>
      <c r="P2446" s="4">
        <f>IFERROR(I2446/G2446,0)</f>
        <v>0.37866791044776121</v>
      </c>
      <c r="Q2446" s="4">
        <f>IFERROR(I2446/H2446,0)</f>
        <v>4.500354767184036</v>
      </c>
      <c r="R2446" s="12">
        <f>IFERROR(J2446/I2446,0)</f>
        <v>42.72514115664692</v>
      </c>
      <c r="S2446" s="7">
        <f>Tabla_nuevas_columnas[[#This Row],[ROAS]]</f>
        <v>42.72514115664692</v>
      </c>
      <c r="T2446" t="str">
        <f>_xlfn.CONCAT(C2446,"-",D2446)</f>
        <v>Affiliate-España</v>
      </c>
      <c r="U2446">
        <f>YEAR(A2446)</f>
        <v>2025</v>
      </c>
      <c r="V2446">
        <f>MONTH(A2446)</f>
        <v>9</v>
      </c>
      <c r="W2446" t="str">
        <f>PROPER(TEXT(A2446,"mmmm"))</f>
        <v>Septiembre</v>
      </c>
      <c r="X2446" t="str">
        <f>PROPER(TEXT(A2446,"dddd"))</f>
        <v>Martes</v>
      </c>
      <c r="Y2446" t="str" cm="1">
        <f t="array" ref="Y2446">_xlfn.IFS(R2446&gt;10,"Excelente",R2446&gt;=5,"Bueno",R2446&gt;=2,"Débil",R2446&lt;2,"Deficiente")</f>
        <v>Excelente</v>
      </c>
      <c r="Z2446" t="str">
        <f>IF(AND(R2446&lt;2,Q2446&gt;=100),"Revisar","OK")</f>
        <v>OK</v>
      </c>
      <c r="AA2446" s="55">
        <f>_xlfn.XLOOKUP(C2446,'Preguntas de negocio'!$C$114:$C$119,'Preguntas de negocio'!$D$114:$D$119,0)</f>
        <v>4.5</v>
      </c>
      <c r="AB2446" s="55">
        <f>VLOOKUP(C2446,'Preguntas de negocio'!$C$121:$D$127,2,FALSE)</f>
        <v>0.35</v>
      </c>
    </row>
    <row r="2447" spans="1:28" x14ac:dyDescent="0.3">
      <c r="A2447" s="1">
        <v>45821</v>
      </c>
      <c r="B2447" s="2" t="s">
        <v>2636</v>
      </c>
      <c r="C2447" s="2" t="s">
        <v>2533</v>
      </c>
      <c r="D2447" s="2" t="s">
        <v>2528</v>
      </c>
      <c r="E2447" s="2" t="s">
        <v>2529</v>
      </c>
      <c r="F2447" s="3">
        <v>30710</v>
      </c>
      <c r="G2447" s="3">
        <v>1122</v>
      </c>
      <c r="H2447" s="3">
        <v>54</v>
      </c>
      <c r="I2447" s="4">
        <v>1536.49</v>
      </c>
      <c r="J2447" s="4">
        <v>6413.24</v>
      </c>
      <c r="K2447" s="3">
        <v>42</v>
      </c>
      <c r="L2447" s="2" t="s">
        <v>2523</v>
      </c>
      <c r="M2447" s="2" t="s">
        <v>2546</v>
      </c>
      <c r="N2447" s="8">
        <f>IFERROR(G2447/F2447,0)</f>
        <v>3.6535330511234122E-2</v>
      </c>
      <c r="O2447" s="8">
        <f>IFERROR(H2447/G2447,0)</f>
        <v>4.8128342245989303E-2</v>
      </c>
      <c r="P2447" s="4">
        <f>IFERROR(I2447/G2447,0)</f>
        <v>1.3694206773618538</v>
      </c>
      <c r="Q2447" s="4">
        <f>IFERROR(I2447/H2447,0)</f>
        <v>28.453518518518518</v>
      </c>
      <c r="R2447" s="12">
        <f>IFERROR(J2447/I2447,0)</f>
        <v>4.173954923234124</v>
      </c>
      <c r="S2447" s="7">
        <f>Tabla_nuevas_columnas[[#This Row],[ROAS]]</f>
        <v>4.173954923234124</v>
      </c>
      <c r="T2447" t="str">
        <f>_xlfn.CONCAT(C2447,"-",D2447)</f>
        <v>Paid Social-España</v>
      </c>
      <c r="U2447">
        <f>YEAR(A2447)</f>
        <v>2025</v>
      </c>
      <c r="V2447">
        <f>MONTH(A2447)</f>
        <v>6</v>
      </c>
      <c r="W2447" t="str">
        <f>PROPER(TEXT(A2447,"mmmm"))</f>
        <v>Junio</v>
      </c>
      <c r="X2447" t="str">
        <f>PROPER(TEXT(A2447,"dddd"))</f>
        <v>Viernes</v>
      </c>
      <c r="Y2447" t="str" cm="1">
        <f t="array" ref="Y2447">_xlfn.IFS(R2447&gt;10,"Excelente",R2447&gt;=5,"Bueno",R2447&gt;=2,"Débil",R2447&lt;2,"Deficiente")</f>
        <v>Débil</v>
      </c>
      <c r="Z2447" t="str">
        <f>IF(AND(R2447&lt;2,Q2447&gt;=100),"Revisar","OK")</f>
        <v>OK</v>
      </c>
      <c r="AA2447" s="55">
        <f>_xlfn.XLOOKUP(C2447,'Preguntas de negocio'!$C$114:$C$119,'Preguntas de negocio'!$D$114:$D$119,0)</f>
        <v>6</v>
      </c>
      <c r="AB2447" s="55">
        <f>VLOOKUP(C2447,'Preguntas de negocio'!$C$121:$D$127,2,FALSE)</f>
        <v>0.8</v>
      </c>
    </row>
    <row r="2448" spans="1:28" x14ac:dyDescent="0.3">
      <c r="A2448" s="1">
        <v>45707</v>
      </c>
      <c r="B2448" s="2" t="s">
        <v>2638</v>
      </c>
      <c r="C2448" s="2" t="s">
        <v>2515</v>
      </c>
      <c r="D2448" s="2" t="s">
        <v>2516</v>
      </c>
      <c r="E2448" s="2" t="s">
        <v>2517</v>
      </c>
      <c r="F2448" s="3">
        <v>34053</v>
      </c>
      <c r="G2448" s="3">
        <v>1137</v>
      </c>
      <c r="H2448" s="3">
        <v>92</v>
      </c>
      <c r="I2448" s="4">
        <v>417.55</v>
      </c>
      <c r="J2448" s="4">
        <v>11977.12</v>
      </c>
      <c r="K2448" s="3">
        <v>56</v>
      </c>
      <c r="L2448" s="2" t="s">
        <v>2523</v>
      </c>
      <c r="M2448" s="2" t="s">
        <v>2537</v>
      </c>
      <c r="N2448" s="8">
        <f>IFERROR(G2448/F2448,0)</f>
        <v>3.3389128711126773E-2</v>
      </c>
      <c r="O2448" s="8">
        <f>IFERROR(H2448/G2448,0)</f>
        <v>8.0914687774846089E-2</v>
      </c>
      <c r="P2448" s="4">
        <f>IFERROR(I2448/G2448,0)</f>
        <v>0.3672383465259455</v>
      </c>
      <c r="Q2448" s="4">
        <f>IFERROR(I2448/H2448,0)</f>
        <v>4.5385869565217396</v>
      </c>
      <c r="R2448" s="12">
        <f>IFERROR(J2448/I2448,0)</f>
        <v>28.684277332056041</v>
      </c>
      <c r="S2448" s="7">
        <f>Tabla_nuevas_columnas[[#This Row],[ROAS]]</f>
        <v>28.684277332056041</v>
      </c>
      <c r="T2448" t="str">
        <f>_xlfn.CONCAT(C2448,"-",D2448)</f>
        <v>Email-México</v>
      </c>
      <c r="U2448">
        <f>YEAR(A2448)</f>
        <v>2025</v>
      </c>
      <c r="V2448">
        <f>MONTH(A2448)</f>
        <v>2</v>
      </c>
      <c r="W2448" t="str">
        <f>PROPER(TEXT(A2448,"mmmm"))</f>
        <v>Febrero</v>
      </c>
      <c r="X2448" t="str">
        <f>PROPER(TEXT(A2448,"dddd"))</f>
        <v>Miércoles</v>
      </c>
      <c r="Y2448" t="str" cm="1">
        <f t="array" ref="Y2448">_xlfn.IFS(R2448&gt;10,"Excelente",R2448&gt;=5,"Bueno",R2448&gt;=2,"Débil",R2448&lt;2,"Deficiente")</f>
        <v>Excelente</v>
      </c>
      <c r="Z2448" t="str">
        <f>IF(AND(R2448&lt;2,Q2448&gt;=100),"Revisar","OK")</f>
        <v>OK</v>
      </c>
      <c r="AA2448" s="55">
        <f>_xlfn.XLOOKUP(C2448,'Preguntas de negocio'!$C$114:$C$119,'Preguntas de negocio'!$D$114:$D$119,0)</f>
        <v>5.5</v>
      </c>
      <c r="AB2448" s="55">
        <f>VLOOKUP(C2448,'Preguntas de negocio'!$C$121:$D$127,2,FALSE)</f>
        <v>0.65</v>
      </c>
    </row>
    <row r="2449" spans="1:28" x14ac:dyDescent="0.3">
      <c r="A2449" s="1">
        <v>45973</v>
      </c>
      <c r="B2449" s="2" t="s">
        <v>2622</v>
      </c>
      <c r="C2449" s="2" t="s">
        <v>2543</v>
      </c>
      <c r="D2449" s="2" t="s">
        <v>2528</v>
      </c>
      <c r="E2449" s="2" t="s">
        <v>2517</v>
      </c>
      <c r="F2449" s="3">
        <v>29424</v>
      </c>
      <c r="G2449" s="3">
        <v>2594</v>
      </c>
      <c r="H2449" s="3">
        <v>108</v>
      </c>
      <c r="I2449" s="4">
        <v>2502.42</v>
      </c>
      <c r="J2449" s="4">
        <v>2167.4699999999998</v>
      </c>
      <c r="K2449" s="3">
        <v>71</v>
      </c>
      <c r="L2449" s="2" t="s">
        <v>2518</v>
      </c>
      <c r="M2449" s="2" t="s">
        <v>2524</v>
      </c>
      <c r="N2449" s="8">
        <f>IFERROR(G2449/F2449,0)</f>
        <v>8.8159325720500267E-2</v>
      </c>
      <c r="O2449" s="8">
        <f>IFERROR(H2449/G2449,0)</f>
        <v>4.163454124903624E-2</v>
      </c>
      <c r="P2449" s="4">
        <f>IFERROR(I2449/G2449,0)</f>
        <v>0.96469545104086352</v>
      </c>
      <c r="Q2449" s="4">
        <f>IFERROR(I2449/H2449,0)</f>
        <v>23.170555555555556</v>
      </c>
      <c r="R2449" s="12">
        <f>IFERROR(J2449/I2449,0)</f>
        <v>0.86614956721893199</v>
      </c>
      <c r="S2449" s="7">
        <f>Tabla_nuevas_columnas[[#This Row],[ROAS]]</f>
        <v>0.86614956721893199</v>
      </c>
      <c r="T2449" t="str">
        <f>_xlfn.CONCAT(C2449,"-",D2449)</f>
        <v>Organic Social-España</v>
      </c>
      <c r="U2449">
        <f>YEAR(A2449)</f>
        <v>2025</v>
      </c>
      <c r="V2449">
        <f>MONTH(A2449)</f>
        <v>11</v>
      </c>
      <c r="W2449" t="str">
        <f>PROPER(TEXT(A2449,"mmmm"))</f>
        <v>Noviembre</v>
      </c>
      <c r="X2449" t="str">
        <f>PROPER(TEXT(A2449,"dddd"))</f>
        <v>Miércoles</v>
      </c>
      <c r="Y2449" t="str" cm="1">
        <f t="array" ref="Y2449">_xlfn.IFS(R2449&gt;10,"Excelente",R2449&gt;=5,"Bueno",R2449&gt;=2,"Débil",R2449&lt;2,"Deficiente")</f>
        <v>Deficiente</v>
      </c>
      <c r="Z2449" t="str">
        <f>IF(AND(R2449&lt;2,Q2449&gt;=100),"Revisar","OK")</f>
        <v>OK</v>
      </c>
      <c r="AA2449" s="55">
        <f>_xlfn.XLOOKUP(C2449,'Preguntas de negocio'!$C$114:$C$119,'Preguntas de negocio'!$D$114:$D$119,0)</f>
        <v>4</v>
      </c>
      <c r="AB2449" s="55">
        <f>VLOOKUP(C2449,'Preguntas de negocio'!$C$121:$D$127,2,FALSE)</f>
        <v>0.95</v>
      </c>
    </row>
    <row r="2450" spans="1:28" x14ac:dyDescent="0.3">
      <c r="A2450" s="1">
        <v>45674</v>
      </c>
      <c r="B2450" s="2" t="s">
        <v>2638</v>
      </c>
      <c r="C2450" s="2" t="s">
        <v>2515</v>
      </c>
      <c r="D2450" s="2" t="s">
        <v>2528</v>
      </c>
      <c r="E2450" s="2" t="s">
        <v>2517</v>
      </c>
      <c r="F2450" s="3">
        <v>52692</v>
      </c>
      <c r="G2450" s="3">
        <v>4330</v>
      </c>
      <c r="H2450" s="3">
        <v>473</v>
      </c>
      <c r="I2450" s="4">
        <v>7339.28</v>
      </c>
      <c r="J2450" s="4">
        <v>67861.490000000005</v>
      </c>
      <c r="K2450" s="3">
        <v>344</v>
      </c>
      <c r="L2450" s="2" t="s">
        <v>2518</v>
      </c>
      <c r="M2450" s="2" t="s">
        <v>2524</v>
      </c>
      <c r="N2450" s="8">
        <f>IFERROR(G2450/F2450,0)</f>
        <v>8.2175662339634095E-2</v>
      </c>
      <c r="O2450" s="8">
        <f>IFERROR(H2450/G2450,0)</f>
        <v>0.1092378752886836</v>
      </c>
      <c r="P2450" s="4">
        <f>IFERROR(I2450/G2450,0)</f>
        <v>1.6949838337182448</v>
      </c>
      <c r="Q2450" s="4">
        <f>IFERROR(I2450/H2450,0)</f>
        <v>15.516448202959831</v>
      </c>
      <c r="R2450" s="12">
        <f>IFERROR(J2450/I2450,0)</f>
        <v>9.2463416029910306</v>
      </c>
      <c r="S2450" s="7">
        <f>Tabla_nuevas_columnas[[#This Row],[ROAS]]</f>
        <v>9.2463416029910306</v>
      </c>
      <c r="T2450" t="str">
        <f>_xlfn.CONCAT(C2450,"-",D2450)</f>
        <v>Email-España</v>
      </c>
      <c r="U2450">
        <f>YEAR(A2450)</f>
        <v>2025</v>
      </c>
      <c r="V2450">
        <f>MONTH(A2450)</f>
        <v>1</v>
      </c>
      <c r="W2450" t="str">
        <f>PROPER(TEXT(A2450,"mmmm"))</f>
        <v>Enero</v>
      </c>
      <c r="X2450" t="str">
        <f>PROPER(TEXT(A2450,"dddd"))</f>
        <v>Viernes</v>
      </c>
      <c r="Y2450" t="str" cm="1">
        <f t="array" ref="Y2450">_xlfn.IFS(R2450&gt;10,"Excelente",R2450&gt;=5,"Bueno",R2450&gt;=2,"Débil",R2450&lt;2,"Deficiente")</f>
        <v>Bueno</v>
      </c>
      <c r="Z2450" t="str">
        <f>IF(AND(R2450&lt;2,Q2450&gt;=100),"Revisar","OK")</f>
        <v>OK</v>
      </c>
      <c r="AA2450" s="55">
        <f>_xlfn.XLOOKUP(C2450,'Preguntas de negocio'!$C$114:$C$119,'Preguntas de negocio'!$D$114:$D$119,0)</f>
        <v>5.5</v>
      </c>
      <c r="AB2450" s="55">
        <f>VLOOKUP(C2450,'Preguntas de negocio'!$C$121:$D$127,2,FALSE)</f>
        <v>0.65</v>
      </c>
    </row>
    <row r="2451" spans="1:28" x14ac:dyDescent="0.3">
      <c r="A2451" s="1">
        <v>45812</v>
      </c>
      <c r="B2451" s="2" t="s">
        <v>2619</v>
      </c>
      <c r="C2451" s="2" t="s">
        <v>2533</v>
      </c>
      <c r="D2451" s="2" t="s">
        <v>2525</v>
      </c>
      <c r="E2451" s="2" t="s">
        <v>2517</v>
      </c>
      <c r="F2451" s="3">
        <v>134173</v>
      </c>
      <c r="G2451" s="3">
        <v>1030</v>
      </c>
      <c r="H2451" s="3">
        <v>70</v>
      </c>
      <c r="I2451" s="4">
        <v>874.43</v>
      </c>
      <c r="J2451" s="4">
        <v>8441.31</v>
      </c>
      <c r="K2451" s="3">
        <v>57</v>
      </c>
      <c r="L2451" s="2" t="s">
        <v>2518</v>
      </c>
      <c r="M2451" s="2" t="s">
        <v>2546</v>
      </c>
      <c r="N2451" s="8">
        <f>IFERROR(G2451/F2451,0)</f>
        <v>7.6766562572201562E-3</v>
      </c>
      <c r="O2451" s="8">
        <f>IFERROR(H2451/G2451,0)</f>
        <v>6.7961165048543687E-2</v>
      </c>
      <c r="P2451" s="4">
        <f>IFERROR(I2451/G2451,0)</f>
        <v>0.84896116504854369</v>
      </c>
      <c r="Q2451" s="4">
        <f>IFERROR(I2451/H2451,0)</f>
        <v>12.491857142857143</v>
      </c>
      <c r="R2451" s="12">
        <f>IFERROR(J2451/I2451,0)</f>
        <v>9.6534999942819901</v>
      </c>
      <c r="S2451" s="7">
        <f>Tabla_nuevas_columnas[[#This Row],[ROAS]]</f>
        <v>9.6534999942819901</v>
      </c>
      <c r="T2451" t="str">
        <f>_xlfn.CONCAT(C2451,"-",D2451)</f>
        <v>Paid Social-Francia</v>
      </c>
      <c r="U2451">
        <f>YEAR(A2451)</f>
        <v>2025</v>
      </c>
      <c r="V2451">
        <f>MONTH(A2451)</f>
        <v>6</v>
      </c>
      <c r="W2451" t="str">
        <f>PROPER(TEXT(A2451,"mmmm"))</f>
        <v>Junio</v>
      </c>
      <c r="X2451" t="str">
        <f>PROPER(TEXT(A2451,"dddd"))</f>
        <v>Miércoles</v>
      </c>
      <c r="Y2451" t="str" cm="1">
        <f t="array" ref="Y2451">_xlfn.IFS(R2451&gt;10,"Excelente",R2451&gt;=5,"Bueno",R2451&gt;=2,"Débil",R2451&lt;2,"Deficiente")</f>
        <v>Bueno</v>
      </c>
      <c r="Z2451" t="str">
        <f>IF(AND(R2451&lt;2,Q2451&gt;=100),"Revisar","OK")</f>
        <v>OK</v>
      </c>
      <c r="AA2451" s="55">
        <f>_xlfn.XLOOKUP(C2451,'Preguntas de negocio'!$C$114:$C$119,'Preguntas de negocio'!$D$114:$D$119,0)</f>
        <v>6</v>
      </c>
      <c r="AB2451" s="55">
        <f>VLOOKUP(C2451,'Preguntas de negocio'!$C$121:$D$127,2,FALSE)</f>
        <v>0.8</v>
      </c>
    </row>
    <row r="2452" spans="1:28" x14ac:dyDescent="0.3">
      <c r="A2452" s="1">
        <v>45927</v>
      </c>
      <c r="B2452" s="2" t="s">
        <v>2629</v>
      </c>
      <c r="C2452" s="2" t="s">
        <v>2541</v>
      </c>
      <c r="D2452" s="2" t="s">
        <v>2525</v>
      </c>
      <c r="E2452" s="2" t="s">
        <v>2529</v>
      </c>
      <c r="F2452" s="3">
        <v>55134</v>
      </c>
      <c r="G2452" s="3">
        <v>1070</v>
      </c>
      <c r="H2452" s="3">
        <v>102</v>
      </c>
      <c r="I2452" s="4">
        <v>307.12</v>
      </c>
      <c r="J2452" s="4">
        <v>10397.1</v>
      </c>
      <c r="K2452" s="3">
        <v>63</v>
      </c>
      <c r="L2452" s="2" t="s">
        <v>2518</v>
      </c>
      <c r="M2452" s="2" t="s">
        <v>2524</v>
      </c>
      <c r="N2452" s="8">
        <f>IFERROR(G2452/F2452,0)</f>
        <v>1.9407262306380818E-2</v>
      </c>
      <c r="O2452" s="8">
        <f>IFERROR(H2452/G2452,0)</f>
        <v>9.5327102803738323E-2</v>
      </c>
      <c r="P2452" s="4">
        <f>IFERROR(I2452/G2452,0)</f>
        <v>0.28702803738317756</v>
      </c>
      <c r="Q2452" s="4">
        <f>IFERROR(I2452/H2452,0)</f>
        <v>3.010980392156863</v>
      </c>
      <c r="R2452" s="12">
        <f>IFERROR(J2452/I2452,0)</f>
        <v>33.853542589215941</v>
      </c>
      <c r="S2452" s="7">
        <f>Tabla_nuevas_columnas[[#This Row],[ROAS]]</f>
        <v>33.853542589215941</v>
      </c>
      <c r="T2452" t="str">
        <f>_xlfn.CONCAT(C2452,"-",D2452)</f>
        <v>Display-Francia</v>
      </c>
      <c r="U2452">
        <f>YEAR(A2452)</f>
        <v>2025</v>
      </c>
      <c r="V2452">
        <f>MONTH(A2452)</f>
        <v>9</v>
      </c>
      <c r="W2452" t="str">
        <f>PROPER(TEXT(A2452,"mmmm"))</f>
        <v>Septiembre</v>
      </c>
      <c r="X2452" t="str">
        <f>PROPER(TEXT(A2452,"dddd"))</f>
        <v>Sábado</v>
      </c>
      <c r="Y2452" t="str" cm="1">
        <f t="array" ref="Y2452">_xlfn.IFS(R2452&gt;10,"Excelente",R2452&gt;=5,"Bueno",R2452&gt;=2,"Débil",R2452&lt;2,"Deficiente")</f>
        <v>Excelente</v>
      </c>
      <c r="Z2452" t="str">
        <f>IF(AND(R2452&lt;2,Q2452&gt;=100),"Revisar","OK")</f>
        <v>OK</v>
      </c>
      <c r="AA2452" s="55">
        <f>_xlfn.XLOOKUP(C2452,'Preguntas de negocio'!$C$114:$C$119,'Preguntas de negocio'!$D$114:$D$119,0)</f>
        <v>5</v>
      </c>
      <c r="AB2452" s="55">
        <f>VLOOKUP(C2452,'Preguntas de negocio'!$C$121:$D$127,2,FALSE)</f>
        <v>0.5</v>
      </c>
    </row>
    <row r="2453" spans="1:28" x14ac:dyDescent="0.3">
      <c r="A2453" s="1">
        <v>45943</v>
      </c>
      <c r="B2453" s="2" t="s">
        <v>2639</v>
      </c>
      <c r="C2453" s="2" t="s">
        <v>2521</v>
      </c>
      <c r="D2453" s="2" t="s">
        <v>2525</v>
      </c>
      <c r="E2453" s="2" t="s">
        <v>2517</v>
      </c>
      <c r="F2453" s="3">
        <v>18622</v>
      </c>
      <c r="G2453" s="3">
        <v>1383</v>
      </c>
      <c r="H2453" s="3">
        <v>190</v>
      </c>
      <c r="I2453" s="4">
        <v>1561.52</v>
      </c>
      <c r="J2453" s="4">
        <v>13186.9</v>
      </c>
      <c r="K2453" s="3">
        <v>134</v>
      </c>
      <c r="L2453" s="2" t="s">
        <v>2518</v>
      </c>
      <c r="M2453" s="2" t="s">
        <v>2546</v>
      </c>
      <c r="N2453" s="8">
        <f>IFERROR(G2453/F2453,0)</f>
        <v>7.4266996026205567E-2</v>
      </c>
      <c r="O2453" s="8">
        <f>IFERROR(H2453/G2453,0)</f>
        <v>0.13738250180766451</v>
      </c>
      <c r="P2453" s="4">
        <f>IFERROR(I2453/G2453,0)</f>
        <v>1.1290817064352856</v>
      </c>
      <c r="Q2453" s="4">
        <f>IFERROR(I2453/H2453,0)</f>
        <v>8.2185263157894735</v>
      </c>
      <c r="R2453" s="12">
        <f>IFERROR(J2453/I2453,0)</f>
        <v>8.4449126492135864</v>
      </c>
      <c r="S2453" s="7">
        <f>Tabla_nuevas_columnas[[#This Row],[ROAS]]</f>
        <v>8.4449126492135864</v>
      </c>
      <c r="T2453" t="str">
        <f>_xlfn.CONCAT(C2453,"-",D2453)</f>
        <v>Paid Search-Francia</v>
      </c>
      <c r="U2453">
        <f>YEAR(A2453)</f>
        <v>2025</v>
      </c>
      <c r="V2453">
        <f>MONTH(A2453)</f>
        <v>10</v>
      </c>
      <c r="W2453" t="str">
        <f>PROPER(TEXT(A2453,"mmmm"))</f>
        <v>Octubre</v>
      </c>
      <c r="X2453" t="str">
        <f>PROPER(TEXT(A2453,"dddd"))</f>
        <v>Lunes</v>
      </c>
      <c r="Y2453" t="str" cm="1">
        <f t="array" ref="Y2453">_xlfn.IFS(R2453&gt;10,"Excelente",R2453&gt;=5,"Bueno",R2453&gt;=2,"Débil",R2453&lt;2,"Deficiente")</f>
        <v>Bueno</v>
      </c>
      <c r="Z2453" t="str">
        <f>IF(AND(R2453&lt;2,Q2453&gt;=100),"Revisar","OK")</f>
        <v>OK</v>
      </c>
      <c r="AA2453" s="55">
        <f>_xlfn.XLOOKUP(C2453,'Preguntas de negocio'!$C$114:$C$119,'Preguntas de negocio'!$D$114:$D$119,0)</f>
        <v>5</v>
      </c>
      <c r="AB2453" s="55">
        <f>VLOOKUP(C2453,'Preguntas de negocio'!$C$121:$D$127,2,FALSE)</f>
        <v>1.1000000000000001</v>
      </c>
    </row>
    <row r="2454" spans="1:28" x14ac:dyDescent="0.3">
      <c r="A2454" s="1">
        <v>45799</v>
      </c>
      <c r="B2454" s="2" t="s">
        <v>2617</v>
      </c>
      <c r="C2454" s="2" t="s">
        <v>2527</v>
      </c>
      <c r="D2454" s="2" t="s">
        <v>2516</v>
      </c>
      <c r="E2454" s="2" t="s">
        <v>2529</v>
      </c>
      <c r="F2454" s="3">
        <v>20768</v>
      </c>
      <c r="G2454" s="3">
        <v>1198</v>
      </c>
      <c r="H2454" s="3">
        <v>96</v>
      </c>
      <c r="I2454" s="4">
        <v>733.98</v>
      </c>
      <c r="J2454" s="4">
        <v>4665.5600000000004</v>
      </c>
      <c r="K2454" s="3">
        <v>72</v>
      </c>
      <c r="L2454" s="2" t="s">
        <v>2536</v>
      </c>
      <c r="M2454" s="2" t="s">
        <v>2524</v>
      </c>
      <c r="N2454" s="8">
        <f>IFERROR(G2454/F2454,0)</f>
        <v>5.7684899845916793E-2</v>
      </c>
      <c r="O2454" s="8">
        <f>IFERROR(H2454/G2454,0)</f>
        <v>8.0133555926544239E-2</v>
      </c>
      <c r="P2454" s="4">
        <f>IFERROR(I2454/G2454,0)</f>
        <v>0.61267111853088485</v>
      </c>
      <c r="Q2454" s="4">
        <f>IFERROR(I2454/H2454,0)</f>
        <v>7.6456249999999999</v>
      </c>
      <c r="R2454" s="12">
        <f>IFERROR(J2454/I2454,0)</f>
        <v>6.3565219760756424</v>
      </c>
      <c r="S2454" s="7">
        <f>Tabla_nuevas_columnas[[#This Row],[ROAS]]</f>
        <v>6.3565219760756424</v>
      </c>
      <c r="T2454" t="str">
        <f>_xlfn.CONCAT(C2454,"-",D2454)</f>
        <v>Affiliate-México</v>
      </c>
      <c r="U2454">
        <f>YEAR(A2454)</f>
        <v>2025</v>
      </c>
      <c r="V2454">
        <f>MONTH(A2454)</f>
        <v>5</v>
      </c>
      <c r="W2454" t="str">
        <f>PROPER(TEXT(A2454,"mmmm"))</f>
        <v>Mayo</v>
      </c>
      <c r="X2454" t="str">
        <f>PROPER(TEXT(A2454,"dddd"))</f>
        <v>Jueves</v>
      </c>
      <c r="Y2454" t="str" cm="1">
        <f t="array" ref="Y2454">_xlfn.IFS(R2454&gt;10,"Excelente",R2454&gt;=5,"Bueno",R2454&gt;=2,"Débil",R2454&lt;2,"Deficiente")</f>
        <v>Bueno</v>
      </c>
      <c r="Z2454" t="str">
        <f>IF(AND(R2454&lt;2,Q2454&gt;=100),"Revisar","OK")</f>
        <v>OK</v>
      </c>
      <c r="AA2454" s="55">
        <f>_xlfn.XLOOKUP(C2454,'Preguntas de negocio'!$C$114:$C$119,'Preguntas de negocio'!$D$114:$D$119,0)</f>
        <v>4.5</v>
      </c>
      <c r="AB2454" s="55">
        <f>VLOOKUP(C2454,'Preguntas de negocio'!$C$121:$D$127,2,FALSE)</f>
        <v>0.35</v>
      </c>
    </row>
    <row r="2455" spans="1:28" x14ac:dyDescent="0.3">
      <c r="A2455" s="1">
        <v>45871</v>
      </c>
      <c r="B2455" s="2" t="s">
        <v>2642</v>
      </c>
      <c r="C2455" s="2" t="s">
        <v>2533</v>
      </c>
      <c r="D2455" s="2" t="s">
        <v>2528</v>
      </c>
      <c r="E2455" s="2" t="s">
        <v>2529</v>
      </c>
      <c r="F2455" s="3">
        <v>43334</v>
      </c>
      <c r="G2455" s="3">
        <v>3699</v>
      </c>
      <c r="H2455" s="3">
        <v>167</v>
      </c>
      <c r="I2455" s="4">
        <v>6005.73</v>
      </c>
      <c r="J2455" s="4">
        <v>14322.33</v>
      </c>
      <c r="K2455" s="3">
        <v>83</v>
      </c>
      <c r="L2455" s="2" t="s">
        <v>2539</v>
      </c>
      <c r="M2455" s="2" t="s">
        <v>2537</v>
      </c>
      <c r="N2455" s="8">
        <f>IFERROR(G2455/F2455,0)</f>
        <v>8.5360225227304201E-2</v>
      </c>
      <c r="O2455" s="8">
        <f>IFERROR(H2455/G2455,0)</f>
        <v>4.5147337118140035E-2</v>
      </c>
      <c r="P2455" s="4">
        <f>IFERROR(I2455/G2455,0)</f>
        <v>1.6236090835360908</v>
      </c>
      <c r="Q2455" s="4">
        <f>IFERROR(I2455/H2455,0)</f>
        <v>35.962455089820359</v>
      </c>
      <c r="R2455" s="12">
        <f>IFERROR(J2455/I2455,0)</f>
        <v>2.3847775374517339</v>
      </c>
      <c r="S2455" s="7">
        <f>Tabla_nuevas_columnas[[#This Row],[ROAS]]</f>
        <v>2.3847775374517339</v>
      </c>
      <c r="T2455" t="str">
        <f>_xlfn.CONCAT(C2455,"-",D2455)</f>
        <v>Paid Social-España</v>
      </c>
      <c r="U2455">
        <f>YEAR(A2455)</f>
        <v>2025</v>
      </c>
      <c r="V2455">
        <f>MONTH(A2455)</f>
        <v>8</v>
      </c>
      <c r="W2455" t="str">
        <f>PROPER(TEXT(A2455,"mmmm"))</f>
        <v>Agosto</v>
      </c>
      <c r="X2455" t="str">
        <f>PROPER(TEXT(A2455,"dddd"))</f>
        <v>Sábado</v>
      </c>
      <c r="Y2455" t="str" cm="1">
        <f t="array" ref="Y2455">_xlfn.IFS(R2455&gt;10,"Excelente",R2455&gt;=5,"Bueno",R2455&gt;=2,"Débil",R2455&lt;2,"Deficiente")</f>
        <v>Débil</v>
      </c>
      <c r="Z2455" t="str">
        <f>IF(AND(R2455&lt;2,Q2455&gt;=100),"Revisar","OK")</f>
        <v>OK</v>
      </c>
      <c r="AA2455" s="55">
        <f>_xlfn.XLOOKUP(C2455,'Preguntas de negocio'!$C$114:$C$119,'Preguntas de negocio'!$D$114:$D$119,0)</f>
        <v>6</v>
      </c>
      <c r="AB2455" s="55">
        <f>VLOOKUP(C2455,'Preguntas de negocio'!$C$121:$D$127,2,FALSE)</f>
        <v>0.8</v>
      </c>
    </row>
    <row r="2456" spans="1:28" x14ac:dyDescent="0.3">
      <c r="A2456" s="1">
        <v>45730</v>
      </c>
      <c r="B2456" s="2" t="s">
        <v>2639</v>
      </c>
      <c r="C2456" s="2" t="s">
        <v>2521</v>
      </c>
      <c r="D2456" s="2" t="s">
        <v>2528</v>
      </c>
      <c r="E2456" s="2" t="s">
        <v>2517</v>
      </c>
      <c r="F2456" s="3">
        <v>128199</v>
      </c>
      <c r="G2456" s="3">
        <v>4291</v>
      </c>
      <c r="H2456" s="3">
        <v>197</v>
      </c>
      <c r="I2456" s="4">
        <v>3924.31</v>
      </c>
      <c r="J2456" s="4">
        <v>39113.800000000003</v>
      </c>
      <c r="K2456" s="3">
        <v>169</v>
      </c>
      <c r="L2456" s="2" t="s">
        <v>2539</v>
      </c>
      <c r="M2456" s="2" t="s">
        <v>2526</v>
      </c>
      <c r="N2456" s="8">
        <f>IFERROR(G2456/F2456,0)</f>
        <v>3.3471399932916791E-2</v>
      </c>
      <c r="O2456" s="8">
        <f>IFERROR(H2456/G2456,0)</f>
        <v>4.591004427872291E-2</v>
      </c>
      <c r="P2456" s="4">
        <f>IFERROR(I2456/G2456,0)</f>
        <v>0.9145443952458634</v>
      </c>
      <c r="Q2456" s="4">
        <f>IFERROR(I2456/H2456,0)</f>
        <v>19.920355329949238</v>
      </c>
      <c r="R2456" s="12">
        <f>IFERROR(J2456/I2456,0)</f>
        <v>9.9670515326261189</v>
      </c>
      <c r="S2456" s="7">
        <f>Tabla_nuevas_columnas[[#This Row],[ROAS]]</f>
        <v>9.9670515326261189</v>
      </c>
      <c r="T2456" t="str">
        <f>_xlfn.CONCAT(C2456,"-",D2456)</f>
        <v>Paid Search-España</v>
      </c>
      <c r="U2456">
        <f>YEAR(A2456)</f>
        <v>2025</v>
      </c>
      <c r="V2456">
        <f>MONTH(A2456)</f>
        <v>3</v>
      </c>
      <c r="W2456" t="str">
        <f>PROPER(TEXT(A2456,"mmmm"))</f>
        <v>Marzo</v>
      </c>
      <c r="X2456" t="str">
        <f>PROPER(TEXT(A2456,"dddd"))</f>
        <v>Viernes</v>
      </c>
      <c r="Y2456" t="str" cm="1">
        <f t="array" ref="Y2456">_xlfn.IFS(R2456&gt;10,"Excelente",R2456&gt;=5,"Bueno",R2456&gt;=2,"Débil",R2456&lt;2,"Deficiente")</f>
        <v>Bueno</v>
      </c>
      <c r="Z2456" t="str">
        <f>IF(AND(R2456&lt;2,Q2456&gt;=100),"Revisar","OK")</f>
        <v>OK</v>
      </c>
      <c r="AA2456" s="55">
        <f>_xlfn.XLOOKUP(C2456,'Preguntas de negocio'!$C$114:$C$119,'Preguntas de negocio'!$D$114:$D$119,0)</f>
        <v>5</v>
      </c>
      <c r="AB2456" s="55">
        <f>VLOOKUP(C2456,'Preguntas de negocio'!$C$121:$D$127,2,FALSE)</f>
        <v>1.1000000000000001</v>
      </c>
    </row>
    <row r="2457" spans="1:28" x14ac:dyDescent="0.3">
      <c r="A2457" s="1">
        <v>45941</v>
      </c>
      <c r="B2457" s="2" t="s">
        <v>2617</v>
      </c>
      <c r="C2457" s="2" t="s">
        <v>2541</v>
      </c>
      <c r="D2457" s="2" t="s">
        <v>2528</v>
      </c>
      <c r="E2457" s="2" t="s">
        <v>2517</v>
      </c>
      <c r="F2457" s="3">
        <v>44999</v>
      </c>
      <c r="G2457" s="3">
        <v>641</v>
      </c>
      <c r="H2457" s="3">
        <v>4</v>
      </c>
      <c r="I2457" s="4">
        <v>384.52</v>
      </c>
      <c r="J2457" s="4">
        <v>852.55</v>
      </c>
      <c r="K2457" s="3">
        <v>2</v>
      </c>
      <c r="L2457" s="2" t="s">
        <v>2518</v>
      </c>
      <c r="M2457" s="2" t="s">
        <v>2519</v>
      </c>
      <c r="N2457" s="8">
        <f>IFERROR(G2457/F2457,0)</f>
        <v>1.4244760994688771E-2</v>
      </c>
      <c r="O2457" s="8">
        <f>IFERROR(H2457/G2457,0)</f>
        <v>6.2402496099843996E-3</v>
      </c>
      <c r="P2457" s="4">
        <f>IFERROR(I2457/G2457,0)</f>
        <v>0.59987519500780029</v>
      </c>
      <c r="Q2457" s="4">
        <f>IFERROR(I2457/H2457,0)</f>
        <v>96.13</v>
      </c>
      <c r="R2457" s="12">
        <f>IFERROR(J2457/I2457,0)</f>
        <v>2.2171798606054303</v>
      </c>
      <c r="S2457" s="7">
        <f>Tabla_nuevas_columnas[[#This Row],[ROAS]]</f>
        <v>2.2171798606054303</v>
      </c>
      <c r="T2457" t="str">
        <f>_xlfn.CONCAT(C2457,"-",D2457)</f>
        <v>Display-España</v>
      </c>
      <c r="U2457">
        <f>YEAR(A2457)</f>
        <v>2025</v>
      </c>
      <c r="V2457">
        <f>MONTH(A2457)</f>
        <v>10</v>
      </c>
      <c r="W2457" t="str">
        <f>PROPER(TEXT(A2457,"mmmm"))</f>
        <v>Octubre</v>
      </c>
      <c r="X2457" t="str">
        <f>PROPER(TEXT(A2457,"dddd"))</f>
        <v>Sábado</v>
      </c>
      <c r="Y2457" t="str" cm="1">
        <f t="array" ref="Y2457">_xlfn.IFS(R2457&gt;10,"Excelente",R2457&gt;=5,"Bueno",R2457&gt;=2,"Débil",R2457&lt;2,"Deficiente")</f>
        <v>Débil</v>
      </c>
      <c r="Z2457" t="str">
        <f>IF(AND(R2457&lt;2,Q2457&gt;=100),"Revisar","OK")</f>
        <v>OK</v>
      </c>
      <c r="AA2457" s="55">
        <f>_xlfn.XLOOKUP(C2457,'Preguntas de negocio'!$C$114:$C$119,'Preguntas de negocio'!$D$114:$D$119,0)</f>
        <v>5</v>
      </c>
      <c r="AB2457" s="55">
        <f>VLOOKUP(C2457,'Preguntas de negocio'!$C$121:$D$127,2,FALSE)</f>
        <v>0.5</v>
      </c>
    </row>
    <row r="2458" spans="1:28" x14ac:dyDescent="0.3">
      <c r="A2458" s="1">
        <v>45997</v>
      </c>
      <c r="B2458" s="2" t="s">
        <v>2615</v>
      </c>
      <c r="C2458" s="2" t="s">
        <v>2533</v>
      </c>
      <c r="D2458" s="2" t="s">
        <v>2531</v>
      </c>
      <c r="E2458" s="2" t="s">
        <v>2517</v>
      </c>
      <c r="F2458" s="3">
        <v>27560</v>
      </c>
      <c r="G2458" s="3">
        <v>1980</v>
      </c>
      <c r="H2458" s="3">
        <v>70</v>
      </c>
      <c r="I2458" s="4">
        <v>1018.45</v>
      </c>
      <c r="J2458" s="4">
        <v>6060.11</v>
      </c>
      <c r="K2458" s="3">
        <v>57</v>
      </c>
      <c r="L2458" s="2" t="s">
        <v>2523</v>
      </c>
      <c r="M2458" s="2" t="s">
        <v>2519</v>
      </c>
      <c r="N2458" s="8">
        <f>IFERROR(G2458/F2458,0)</f>
        <v>7.1843251088534107E-2</v>
      </c>
      <c r="O2458" s="8">
        <f>IFERROR(H2458/G2458,0)</f>
        <v>3.5353535353535352E-2</v>
      </c>
      <c r="P2458" s="4">
        <f>IFERROR(I2458/G2458,0)</f>
        <v>0.51436868686868686</v>
      </c>
      <c r="Q2458" s="4">
        <f>IFERROR(I2458/H2458,0)</f>
        <v>14.549285714285714</v>
      </c>
      <c r="R2458" s="12">
        <f>IFERROR(J2458/I2458,0)</f>
        <v>5.9503264765084189</v>
      </c>
      <c r="S2458" s="7">
        <f>Tabla_nuevas_columnas[[#This Row],[ROAS]]</f>
        <v>5.9503264765084189</v>
      </c>
      <c r="T2458" t="str">
        <f>_xlfn.CONCAT(C2458,"-",D2458)</f>
        <v>Paid Social-Portugal</v>
      </c>
      <c r="U2458">
        <f>YEAR(A2458)</f>
        <v>2025</v>
      </c>
      <c r="V2458">
        <f>MONTH(A2458)</f>
        <v>12</v>
      </c>
      <c r="W2458" t="str">
        <f>PROPER(TEXT(A2458,"mmmm"))</f>
        <v>Diciembre</v>
      </c>
      <c r="X2458" t="str">
        <f>PROPER(TEXT(A2458,"dddd"))</f>
        <v>Sábado</v>
      </c>
      <c r="Y2458" t="str" cm="1">
        <f t="array" ref="Y2458">_xlfn.IFS(R2458&gt;10,"Excelente",R2458&gt;=5,"Bueno",R2458&gt;=2,"Débil",R2458&lt;2,"Deficiente")</f>
        <v>Bueno</v>
      </c>
      <c r="Z2458" t="str">
        <f>IF(AND(R2458&lt;2,Q2458&gt;=100),"Revisar","OK")</f>
        <v>OK</v>
      </c>
      <c r="AA2458" s="55">
        <f>_xlfn.XLOOKUP(C2458,'Preguntas de negocio'!$C$114:$C$119,'Preguntas de negocio'!$D$114:$D$119,0)</f>
        <v>6</v>
      </c>
      <c r="AB2458" s="55">
        <f>VLOOKUP(C2458,'Preguntas de negocio'!$C$121:$D$127,2,FALSE)</f>
        <v>0.8</v>
      </c>
    </row>
    <row r="2459" spans="1:28" x14ac:dyDescent="0.3">
      <c r="A2459" s="1">
        <v>45665</v>
      </c>
      <c r="B2459" s="2" t="s">
        <v>2636</v>
      </c>
      <c r="C2459" s="2" t="s">
        <v>2541</v>
      </c>
      <c r="D2459" s="2" t="s">
        <v>2516</v>
      </c>
      <c r="E2459" s="2" t="s">
        <v>2529</v>
      </c>
      <c r="F2459" s="3">
        <v>121614</v>
      </c>
      <c r="G2459" s="3">
        <v>4655</v>
      </c>
      <c r="H2459" s="3">
        <v>474</v>
      </c>
      <c r="I2459" s="4">
        <v>2463.4</v>
      </c>
      <c r="J2459" s="4">
        <v>52288.23</v>
      </c>
      <c r="K2459" s="3">
        <v>245</v>
      </c>
      <c r="L2459" s="2" t="s">
        <v>2518</v>
      </c>
      <c r="M2459" s="2" t="s">
        <v>2546</v>
      </c>
      <c r="N2459" s="8">
        <f>IFERROR(G2459/F2459,0)</f>
        <v>3.827684312661371E-2</v>
      </c>
      <c r="O2459" s="8">
        <f>IFERROR(H2459/G2459,0)</f>
        <v>0.10182599355531687</v>
      </c>
      <c r="P2459" s="4">
        <f>IFERROR(I2459/G2459,0)</f>
        <v>0.52919441460794847</v>
      </c>
      <c r="Q2459" s="4">
        <f>IFERROR(I2459/H2459,0)</f>
        <v>5.1970464135021102</v>
      </c>
      <c r="R2459" s="12">
        <f>IFERROR(J2459/I2459,0)</f>
        <v>21.22604124380937</v>
      </c>
      <c r="S2459" s="7">
        <f>Tabla_nuevas_columnas[[#This Row],[ROAS]]</f>
        <v>21.22604124380937</v>
      </c>
      <c r="T2459" t="str">
        <f>_xlfn.CONCAT(C2459,"-",D2459)</f>
        <v>Display-México</v>
      </c>
      <c r="U2459">
        <f>YEAR(A2459)</f>
        <v>2025</v>
      </c>
      <c r="V2459">
        <f>MONTH(A2459)</f>
        <v>1</v>
      </c>
      <c r="W2459" t="str">
        <f>PROPER(TEXT(A2459,"mmmm"))</f>
        <v>Enero</v>
      </c>
      <c r="X2459" t="str">
        <f>PROPER(TEXT(A2459,"dddd"))</f>
        <v>Miércoles</v>
      </c>
      <c r="Y2459" t="str" cm="1">
        <f t="array" ref="Y2459">_xlfn.IFS(R2459&gt;10,"Excelente",R2459&gt;=5,"Bueno",R2459&gt;=2,"Débil",R2459&lt;2,"Deficiente")</f>
        <v>Excelente</v>
      </c>
      <c r="Z2459" t="str">
        <f>IF(AND(R2459&lt;2,Q2459&gt;=100),"Revisar","OK")</f>
        <v>OK</v>
      </c>
      <c r="AA2459" s="55">
        <f>_xlfn.XLOOKUP(C2459,'Preguntas de negocio'!$C$114:$C$119,'Preguntas de negocio'!$D$114:$D$119,0)</f>
        <v>5</v>
      </c>
      <c r="AB2459" s="55">
        <f>VLOOKUP(C2459,'Preguntas de negocio'!$C$121:$D$127,2,FALSE)</f>
        <v>0.5</v>
      </c>
    </row>
    <row r="2460" spans="1:28" x14ac:dyDescent="0.3">
      <c r="A2460" s="1">
        <v>45979</v>
      </c>
      <c r="B2460" s="2" t="s">
        <v>2641</v>
      </c>
      <c r="C2460" s="2" t="s">
        <v>2515</v>
      </c>
      <c r="D2460" s="2" t="s">
        <v>2528</v>
      </c>
      <c r="E2460" s="2" t="s">
        <v>2529</v>
      </c>
      <c r="F2460" s="3">
        <v>11152</v>
      </c>
      <c r="G2460" s="3">
        <v>60</v>
      </c>
      <c r="H2460" s="3">
        <v>5</v>
      </c>
      <c r="I2460" s="4">
        <v>28.8</v>
      </c>
      <c r="J2460" s="4">
        <v>992.32</v>
      </c>
      <c r="K2460" s="3">
        <v>2</v>
      </c>
      <c r="L2460" s="2" t="s">
        <v>2536</v>
      </c>
      <c r="M2460" s="2" t="s">
        <v>2546</v>
      </c>
      <c r="N2460" s="8">
        <f>IFERROR(G2460/F2460,0)</f>
        <v>5.3802008608321381E-3</v>
      </c>
      <c r="O2460" s="8">
        <f>IFERROR(H2460/G2460,0)</f>
        <v>8.3333333333333329E-2</v>
      </c>
      <c r="P2460" s="4">
        <f>IFERROR(I2460/G2460,0)</f>
        <v>0.48000000000000004</v>
      </c>
      <c r="Q2460" s="4">
        <f>IFERROR(I2460/H2460,0)</f>
        <v>5.76</v>
      </c>
      <c r="R2460" s="12">
        <f>IFERROR(J2460/I2460,0)</f>
        <v>34.455555555555556</v>
      </c>
      <c r="S2460" s="7">
        <f>Tabla_nuevas_columnas[[#This Row],[ROAS]]</f>
        <v>34.455555555555556</v>
      </c>
      <c r="T2460" t="str">
        <f>_xlfn.CONCAT(C2460,"-",D2460)</f>
        <v>Email-España</v>
      </c>
      <c r="U2460">
        <f>YEAR(A2460)</f>
        <v>2025</v>
      </c>
      <c r="V2460">
        <f>MONTH(A2460)</f>
        <v>11</v>
      </c>
      <c r="W2460" t="str">
        <f>PROPER(TEXT(A2460,"mmmm"))</f>
        <v>Noviembre</v>
      </c>
      <c r="X2460" t="str">
        <f>PROPER(TEXT(A2460,"dddd"))</f>
        <v>Martes</v>
      </c>
      <c r="Y2460" t="str" cm="1">
        <f t="array" ref="Y2460">_xlfn.IFS(R2460&gt;10,"Excelente",R2460&gt;=5,"Bueno",R2460&gt;=2,"Débil",R2460&lt;2,"Deficiente")</f>
        <v>Excelente</v>
      </c>
      <c r="Z2460" t="str">
        <f>IF(AND(R2460&lt;2,Q2460&gt;=100),"Revisar","OK")</f>
        <v>OK</v>
      </c>
      <c r="AA2460" s="55">
        <f>_xlfn.XLOOKUP(C2460,'Preguntas de negocio'!$C$114:$C$119,'Preguntas de negocio'!$D$114:$D$119,0)</f>
        <v>5.5</v>
      </c>
      <c r="AB2460" s="55">
        <f>VLOOKUP(C2460,'Preguntas de negocio'!$C$121:$D$127,2,FALSE)</f>
        <v>0.65</v>
      </c>
    </row>
    <row r="2461" spans="1:28" x14ac:dyDescent="0.3">
      <c r="A2461" s="1">
        <v>45738</v>
      </c>
      <c r="B2461" s="2" t="s">
        <v>2644</v>
      </c>
      <c r="C2461" s="2" t="s">
        <v>2541</v>
      </c>
      <c r="D2461" s="2" t="s">
        <v>2528</v>
      </c>
      <c r="E2461" s="2" t="s">
        <v>2517</v>
      </c>
      <c r="F2461" s="3">
        <v>42456</v>
      </c>
      <c r="G2461" s="3">
        <v>977</v>
      </c>
      <c r="H2461" s="3">
        <v>5</v>
      </c>
      <c r="I2461" s="4">
        <v>1877.93</v>
      </c>
      <c r="J2461" s="4">
        <v>509.17</v>
      </c>
      <c r="K2461" s="3">
        <v>3</v>
      </c>
      <c r="L2461" s="2" t="s">
        <v>2518</v>
      </c>
      <c r="M2461" s="2" t="s">
        <v>2526</v>
      </c>
      <c r="N2461" s="8">
        <f>IFERROR(G2461/F2461,0)</f>
        <v>2.3012059543998493E-2</v>
      </c>
      <c r="O2461" s="8">
        <f>IFERROR(H2461/G2461,0)</f>
        <v>5.1177072671443197E-3</v>
      </c>
      <c r="P2461" s="4">
        <f>IFERROR(I2461/G2461,0)</f>
        <v>1.9221392016376664</v>
      </c>
      <c r="Q2461" s="4">
        <f>IFERROR(I2461/H2461,0)</f>
        <v>375.58600000000001</v>
      </c>
      <c r="R2461" s="12">
        <f>IFERROR(J2461/I2461,0)</f>
        <v>0.27113364182903515</v>
      </c>
      <c r="S2461" s="7">
        <f>Tabla_nuevas_columnas[[#This Row],[ROAS]]</f>
        <v>0.27113364182903515</v>
      </c>
      <c r="T2461" t="str">
        <f>_xlfn.CONCAT(C2461,"-",D2461)</f>
        <v>Display-España</v>
      </c>
      <c r="U2461">
        <f>YEAR(A2461)</f>
        <v>2025</v>
      </c>
      <c r="V2461">
        <f>MONTH(A2461)</f>
        <v>3</v>
      </c>
      <c r="W2461" t="str">
        <f>PROPER(TEXT(A2461,"mmmm"))</f>
        <v>Marzo</v>
      </c>
      <c r="X2461" t="str">
        <f>PROPER(TEXT(A2461,"dddd"))</f>
        <v>Sábado</v>
      </c>
      <c r="Y2461" t="str" cm="1">
        <f t="array" ref="Y2461">_xlfn.IFS(R2461&gt;10,"Excelente",R2461&gt;=5,"Bueno",R2461&gt;=2,"Débil",R2461&lt;2,"Deficiente")</f>
        <v>Deficiente</v>
      </c>
      <c r="Z2461" t="str">
        <f>IF(AND(R2461&lt;2,Q2461&gt;=100),"Revisar","OK")</f>
        <v>Revisar</v>
      </c>
      <c r="AA2461" s="55">
        <f>_xlfn.XLOOKUP(C2461,'Preguntas de negocio'!$C$114:$C$119,'Preguntas de negocio'!$D$114:$D$119,0)</f>
        <v>5</v>
      </c>
      <c r="AB2461" s="55">
        <f>VLOOKUP(C2461,'Preguntas de negocio'!$C$121:$D$127,2,FALSE)</f>
        <v>0.5</v>
      </c>
    </row>
    <row r="2462" spans="1:28" x14ac:dyDescent="0.3">
      <c r="A2462" s="1">
        <v>45960</v>
      </c>
      <c r="B2462" s="2" t="s">
        <v>2617</v>
      </c>
      <c r="C2462" s="2" t="s">
        <v>2533</v>
      </c>
      <c r="D2462" s="2" t="s">
        <v>2516</v>
      </c>
      <c r="E2462" s="2" t="s">
        <v>2517</v>
      </c>
      <c r="F2462" s="3">
        <v>16372</v>
      </c>
      <c r="G2462" s="3">
        <v>305</v>
      </c>
      <c r="H2462" s="3">
        <v>3</v>
      </c>
      <c r="I2462" s="4">
        <v>61.41</v>
      </c>
      <c r="J2462" s="4">
        <v>151.56</v>
      </c>
      <c r="K2462" s="3">
        <v>2</v>
      </c>
      <c r="L2462" s="2" t="s">
        <v>2523</v>
      </c>
      <c r="M2462" s="2" t="s">
        <v>2546</v>
      </c>
      <c r="N2462" s="8">
        <f>IFERROR(G2462/F2462,0)</f>
        <v>1.8629367212313706E-2</v>
      </c>
      <c r="O2462" s="8">
        <f>IFERROR(H2462/G2462,0)</f>
        <v>9.8360655737704927E-3</v>
      </c>
      <c r="P2462" s="4">
        <f>IFERROR(I2462/G2462,0)</f>
        <v>0.20134426229508195</v>
      </c>
      <c r="Q2462" s="4">
        <f>IFERROR(I2462/H2462,0)</f>
        <v>20.47</v>
      </c>
      <c r="R2462" s="12">
        <f>IFERROR(J2462/I2462,0)</f>
        <v>2.4680019540791402</v>
      </c>
      <c r="S2462" s="7">
        <f>Tabla_nuevas_columnas[[#This Row],[ROAS]]</f>
        <v>2.4680019540791402</v>
      </c>
      <c r="T2462" t="str">
        <f>_xlfn.CONCAT(C2462,"-",D2462)</f>
        <v>Paid Social-México</v>
      </c>
      <c r="U2462">
        <f>YEAR(A2462)</f>
        <v>2025</v>
      </c>
      <c r="V2462">
        <f>MONTH(A2462)</f>
        <v>10</v>
      </c>
      <c r="W2462" t="str">
        <f>PROPER(TEXT(A2462,"mmmm"))</f>
        <v>Octubre</v>
      </c>
      <c r="X2462" t="str">
        <f>PROPER(TEXT(A2462,"dddd"))</f>
        <v>Jueves</v>
      </c>
      <c r="Y2462" t="str" cm="1">
        <f t="array" ref="Y2462">_xlfn.IFS(R2462&gt;10,"Excelente",R2462&gt;=5,"Bueno",R2462&gt;=2,"Débil",R2462&lt;2,"Deficiente")</f>
        <v>Débil</v>
      </c>
      <c r="Z2462" t="str">
        <f>IF(AND(R2462&lt;2,Q2462&gt;=100),"Revisar","OK")</f>
        <v>OK</v>
      </c>
      <c r="AA2462" s="55">
        <f>_xlfn.XLOOKUP(C2462,'Preguntas de negocio'!$C$114:$C$119,'Preguntas de negocio'!$D$114:$D$119,0)</f>
        <v>6</v>
      </c>
      <c r="AB2462" s="55">
        <f>VLOOKUP(C2462,'Preguntas de negocio'!$C$121:$D$127,2,FALSE)</f>
        <v>0.8</v>
      </c>
    </row>
    <row r="2463" spans="1:28" x14ac:dyDescent="0.3">
      <c r="A2463" s="1">
        <v>45870</v>
      </c>
      <c r="B2463" s="2" t="s">
        <v>2632</v>
      </c>
      <c r="C2463" s="2" t="s">
        <v>2521</v>
      </c>
      <c r="D2463" s="2" t="s">
        <v>2516</v>
      </c>
      <c r="E2463" s="2" t="s">
        <v>2529</v>
      </c>
      <c r="F2463" s="3">
        <v>117559</v>
      </c>
      <c r="G2463" s="3">
        <v>2732</v>
      </c>
      <c r="H2463" s="3">
        <v>83</v>
      </c>
      <c r="I2463" s="4">
        <v>4818.75</v>
      </c>
      <c r="J2463" s="4">
        <v>9651.4</v>
      </c>
      <c r="K2463" s="3">
        <v>55</v>
      </c>
      <c r="L2463" s="2" t="s">
        <v>2536</v>
      </c>
      <c r="M2463" s="2" t="s">
        <v>2526</v>
      </c>
      <c r="N2463" s="8">
        <f>IFERROR(G2463/F2463,0)</f>
        <v>2.3239394686923161E-2</v>
      </c>
      <c r="O2463" s="8">
        <f>IFERROR(H2463/G2463,0)</f>
        <v>3.0380673499267936E-2</v>
      </c>
      <c r="P2463" s="4">
        <f>IFERROR(I2463/G2463,0)</f>
        <v>1.7638177159590045</v>
      </c>
      <c r="Q2463" s="4">
        <f>IFERROR(I2463/H2463,0)</f>
        <v>58.057228915662648</v>
      </c>
      <c r="R2463" s="12">
        <f>IFERROR(J2463/I2463,0)</f>
        <v>2.0028845654993512</v>
      </c>
      <c r="S2463" s="7">
        <f>Tabla_nuevas_columnas[[#This Row],[ROAS]]</f>
        <v>2.0028845654993512</v>
      </c>
      <c r="T2463" t="str">
        <f>_xlfn.CONCAT(C2463,"-",D2463)</f>
        <v>Paid Search-México</v>
      </c>
      <c r="U2463">
        <f>YEAR(A2463)</f>
        <v>2025</v>
      </c>
      <c r="V2463">
        <f>MONTH(A2463)</f>
        <v>8</v>
      </c>
      <c r="W2463" t="str">
        <f>PROPER(TEXT(A2463,"mmmm"))</f>
        <v>Agosto</v>
      </c>
      <c r="X2463" t="str">
        <f>PROPER(TEXT(A2463,"dddd"))</f>
        <v>Viernes</v>
      </c>
      <c r="Y2463" t="str" cm="1">
        <f t="array" ref="Y2463">_xlfn.IFS(R2463&gt;10,"Excelente",R2463&gt;=5,"Bueno",R2463&gt;=2,"Débil",R2463&lt;2,"Deficiente")</f>
        <v>Débil</v>
      </c>
      <c r="Z2463" t="str">
        <f>IF(AND(R2463&lt;2,Q2463&gt;=100),"Revisar","OK")</f>
        <v>OK</v>
      </c>
      <c r="AA2463" s="55">
        <f>_xlfn.XLOOKUP(C2463,'Preguntas de negocio'!$C$114:$C$119,'Preguntas de negocio'!$D$114:$D$119,0)</f>
        <v>5</v>
      </c>
      <c r="AB2463" s="55">
        <f>VLOOKUP(C2463,'Preguntas de negocio'!$C$121:$D$127,2,FALSE)</f>
        <v>1.1000000000000001</v>
      </c>
    </row>
    <row r="2464" spans="1:28" x14ac:dyDescent="0.3">
      <c r="A2464" s="1">
        <v>45942</v>
      </c>
      <c r="B2464" s="2" t="s">
        <v>2639</v>
      </c>
      <c r="C2464" s="2" t="s">
        <v>2527</v>
      </c>
      <c r="D2464" s="2" t="s">
        <v>2525</v>
      </c>
      <c r="E2464" s="2" t="s">
        <v>2534</v>
      </c>
      <c r="F2464" s="3">
        <v>22612</v>
      </c>
      <c r="G2464" s="3">
        <v>556</v>
      </c>
      <c r="H2464" s="3">
        <v>69</v>
      </c>
      <c r="I2464" s="4">
        <v>309.48</v>
      </c>
      <c r="J2464" s="4">
        <v>8846.8700000000008</v>
      </c>
      <c r="K2464" s="3">
        <v>35</v>
      </c>
      <c r="L2464" s="2" t="s">
        <v>2539</v>
      </c>
      <c r="M2464" s="2" t="s">
        <v>2546</v>
      </c>
      <c r="N2464" s="8">
        <f>IFERROR(G2464/F2464,0)</f>
        <v>2.4588713957190873E-2</v>
      </c>
      <c r="O2464" s="8">
        <f>IFERROR(H2464/G2464,0)</f>
        <v>0.12410071942446044</v>
      </c>
      <c r="P2464" s="4">
        <f>IFERROR(I2464/G2464,0)</f>
        <v>0.55661870503597122</v>
      </c>
      <c r="Q2464" s="4">
        <f>IFERROR(I2464/H2464,0)</f>
        <v>4.4852173913043485</v>
      </c>
      <c r="R2464" s="12">
        <f>IFERROR(J2464/I2464,0)</f>
        <v>28.58624143724958</v>
      </c>
      <c r="S2464" s="7">
        <f>Tabla_nuevas_columnas[[#This Row],[ROAS]]</f>
        <v>28.58624143724958</v>
      </c>
      <c r="T2464" t="str">
        <f>_xlfn.CONCAT(C2464,"-",D2464)</f>
        <v>Affiliate-Francia</v>
      </c>
      <c r="U2464">
        <f>YEAR(A2464)</f>
        <v>2025</v>
      </c>
      <c r="V2464">
        <f>MONTH(A2464)</f>
        <v>10</v>
      </c>
      <c r="W2464" t="str">
        <f>PROPER(TEXT(A2464,"mmmm"))</f>
        <v>Octubre</v>
      </c>
      <c r="X2464" t="str">
        <f>PROPER(TEXT(A2464,"dddd"))</f>
        <v>Domingo</v>
      </c>
      <c r="Y2464" t="str" cm="1">
        <f t="array" ref="Y2464">_xlfn.IFS(R2464&gt;10,"Excelente",R2464&gt;=5,"Bueno",R2464&gt;=2,"Débil",R2464&lt;2,"Deficiente")</f>
        <v>Excelente</v>
      </c>
      <c r="Z2464" t="str">
        <f>IF(AND(R2464&lt;2,Q2464&gt;=100),"Revisar","OK")</f>
        <v>OK</v>
      </c>
      <c r="AA2464" s="55">
        <f>_xlfn.XLOOKUP(C2464,'Preguntas de negocio'!$C$114:$C$119,'Preguntas de negocio'!$D$114:$D$119,0)</f>
        <v>4.5</v>
      </c>
      <c r="AB2464" s="55">
        <f>VLOOKUP(C2464,'Preguntas de negocio'!$C$121:$D$127,2,FALSE)</f>
        <v>0.35</v>
      </c>
    </row>
    <row r="2465" spans="1:28" x14ac:dyDescent="0.3">
      <c r="A2465" s="1">
        <v>45877</v>
      </c>
      <c r="B2465" s="2" t="s">
        <v>2641</v>
      </c>
      <c r="C2465" s="2" t="s">
        <v>2543</v>
      </c>
      <c r="D2465" s="2" t="s">
        <v>2531</v>
      </c>
      <c r="E2465" s="2" t="s">
        <v>2529</v>
      </c>
      <c r="F2465" s="3">
        <v>23085</v>
      </c>
      <c r="G2465" s="3">
        <v>620</v>
      </c>
      <c r="H2465" s="3">
        <v>65</v>
      </c>
      <c r="I2465" s="4">
        <v>394.01</v>
      </c>
      <c r="J2465" s="4">
        <v>7554.21</v>
      </c>
      <c r="K2465" s="3">
        <v>51</v>
      </c>
      <c r="L2465" s="2" t="s">
        <v>2536</v>
      </c>
      <c r="M2465" s="2" t="s">
        <v>2526</v>
      </c>
      <c r="N2465" s="8">
        <f>IFERROR(G2465/F2465,0)</f>
        <v>2.6857266623348496E-2</v>
      </c>
      <c r="O2465" s="8">
        <f>IFERROR(H2465/G2465,0)</f>
        <v>0.10483870967741936</v>
      </c>
      <c r="P2465" s="4">
        <f>IFERROR(I2465/G2465,0)</f>
        <v>0.63549999999999995</v>
      </c>
      <c r="Q2465" s="4">
        <f>IFERROR(I2465/H2465,0)</f>
        <v>6.0616923076923079</v>
      </c>
      <c r="R2465" s="12">
        <f>IFERROR(J2465/I2465,0)</f>
        <v>19.172635212304257</v>
      </c>
      <c r="S2465" s="7">
        <f>Tabla_nuevas_columnas[[#This Row],[ROAS]]</f>
        <v>19.172635212304257</v>
      </c>
      <c r="T2465" t="str">
        <f>_xlfn.CONCAT(C2465,"-",D2465)</f>
        <v>Organic Social-Portugal</v>
      </c>
      <c r="U2465">
        <f>YEAR(A2465)</f>
        <v>2025</v>
      </c>
      <c r="V2465">
        <f>MONTH(A2465)</f>
        <v>8</v>
      </c>
      <c r="W2465" t="str">
        <f>PROPER(TEXT(A2465,"mmmm"))</f>
        <v>Agosto</v>
      </c>
      <c r="X2465" t="str">
        <f>PROPER(TEXT(A2465,"dddd"))</f>
        <v>Viernes</v>
      </c>
      <c r="Y2465" t="str" cm="1">
        <f t="array" ref="Y2465">_xlfn.IFS(R2465&gt;10,"Excelente",R2465&gt;=5,"Bueno",R2465&gt;=2,"Débil",R2465&lt;2,"Deficiente")</f>
        <v>Excelente</v>
      </c>
      <c r="Z2465" t="str">
        <f>IF(AND(R2465&lt;2,Q2465&gt;=100),"Revisar","OK")</f>
        <v>OK</v>
      </c>
      <c r="AA2465" s="55">
        <f>_xlfn.XLOOKUP(C2465,'Preguntas de negocio'!$C$114:$C$119,'Preguntas de negocio'!$D$114:$D$119,0)</f>
        <v>4</v>
      </c>
      <c r="AB2465" s="55">
        <f>VLOOKUP(C2465,'Preguntas de negocio'!$C$121:$D$127,2,FALSE)</f>
        <v>0.95</v>
      </c>
    </row>
    <row r="2466" spans="1:28" x14ac:dyDescent="0.3">
      <c r="A2466" s="1">
        <v>45824</v>
      </c>
      <c r="B2466" s="2" t="s">
        <v>2618</v>
      </c>
      <c r="C2466" s="2" t="s">
        <v>2527</v>
      </c>
      <c r="D2466" s="2" t="s">
        <v>2528</v>
      </c>
      <c r="E2466" s="2" t="s">
        <v>2534</v>
      </c>
      <c r="F2466" s="3">
        <v>130725</v>
      </c>
      <c r="G2466" s="3">
        <v>8984</v>
      </c>
      <c r="H2466" s="3">
        <v>845</v>
      </c>
      <c r="I2466" s="4">
        <v>6429.68</v>
      </c>
      <c r="J2466" s="4">
        <v>23900.85</v>
      </c>
      <c r="K2466" s="3">
        <v>526</v>
      </c>
      <c r="L2466" s="2" t="s">
        <v>2536</v>
      </c>
      <c r="M2466" s="2" t="s">
        <v>2537</v>
      </c>
      <c r="N2466" s="8">
        <f>IFERROR(G2466/F2466,0)</f>
        <v>6.8724421495505839E-2</v>
      </c>
      <c r="O2466" s="8">
        <f>IFERROR(H2466/G2466,0)</f>
        <v>9.4056099732858417E-2</v>
      </c>
      <c r="P2466" s="4">
        <f>IFERROR(I2466/G2466,0)</f>
        <v>0.71568121104185223</v>
      </c>
      <c r="Q2466" s="4">
        <f>IFERROR(I2466/H2466,0)</f>
        <v>7.6090887573964503</v>
      </c>
      <c r="R2466" s="12">
        <f>IFERROR(J2466/I2466,0)</f>
        <v>3.7172689776163041</v>
      </c>
      <c r="S2466" s="7">
        <f>Tabla_nuevas_columnas[[#This Row],[ROAS]]</f>
        <v>3.7172689776163041</v>
      </c>
      <c r="T2466" t="str">
        <f>_xlfn.CONCAT(C2466,"-",D2466)</f>
        <v>Affiliate-España</v>
      </c>
      <c r="U2466">
        <f>YEAR(A2466)</f>
        <v>2025</v>
      </c>
      <c r="V2466">
        <f>MONTH(A2466)</f>
        <v>6</v>
      </c>
      <c r="W2466" t="str">
        <f>PROPER(TEXT(A2466,"mmmm"))</f>
        <v>Junio</v>
      </c>
      <c r="X2466" t="str">
        <f>PROPER(TEXT(A2466,"dddd"))</f>
        <v>Lunes</v>
      </c>
      <c r="Y2466" t="str" cm="1">
        <f t="array" ref="Y2466">_xlfn.IFS(R2466&gt;10,"Excelente",R2466&gt;=5,"Bueno",R2466&gt;=2,"Débil",R2466&lt;2,"Deficiente")</f>
        <v>Débil</v>
      </c>
      <c r="Z2466" t="str">
        <f>IF(AND(R2466&lt;2,Q2466&gt;=100),"Revisar","OK")</f>
        <v>OK</v>
      </c>
      <c r="AA2466" s="55">
        <f>_xlfn.XLOOKUP(C2466,'Preguntas de negocio'!$C$114:$C$119,'Preguntas de negocio'!$D$114:$D$119,0)</f>
        <v>4.5</v>
      </c>
      <c r="AB2466" s="55">
        <f>VLOOKUP(C2466,'Preguntas de negocio'!$C$121:$D$127,2,FALSE)</f>
        <v>0.35</v>
      </c>
    </row>
    <row r="2467" spans="1:28" x14ac:dyDescent="0.3">
      <c r="A2467" s="1">
        <v>45877</v>
      </c>
      <c r="B2467" s="2" t="s">
        <v>2630</v>
      </c>
      <c r="C2467" s="2" t="s">
        <v>2543</v>
      </c>
      <c r="D2467" s="2" t="s">
        <v>2522</v>
      </c>
      <c r="E2467" s="2" t="s">
        <v>2517</v>
      </c>
      <c r="F2467" s="3">
        <v>48007</v>
      </c>
      <c r="G2467" s="3">
        <v>460</v>
      </c>
      <c r="H2467" s="3">
        <v>17</v>
      </c>
      <c r="I2467" s="4">
        <v>198.7</v>
      </c>
      <c r="J2467" s="4">
        <v>2338.36</v>
      </c>
      <c r="K2467" s="3">
        <v>10</v>
      </c>
      <c r="L2467" s="2" t="s">
        <v>2539</v>
      </c>
      <c r="M2467" s="2" t="s">
        <v>2537</v>
      </c>
      <c r="N2467" s="8">
        <f>IFERROR(G2467/F2467,0)</f>
        <v>9.581935967671382E-3</v>
      </c>
      <c r="O2467" s="8">
        <f>IFERROR(H2467/G2467,0)</f>
        <v>3.6956521739130437E-2</v>
      </c>
      <c r="P2467" s="4">
        <f>IFERROR(I2467/G2467,0)</f>
        <v>0.43195652173913041</v>
      </c>
      <c r="Q2467" s="4">
        <f>IFERROR(I2467/H2467,0)</f>
        <v>11.688235294117646</v>
      </c>
      <c r="R2467" s="12">
        <f>IFERROR(J2467/I2467,0)</f>
        <v>11.768293910417716</v>
      </c>
      <c r="S2467" s="7">
        <f>Tabla_nuevas_columnas[[#This Row],[ROAS]]</f>
        <v>11.768293910417716</v>
      </c>
      <c r="T2467" t="str">
        <f>_xlfn.CONCAT(C2467,"-",D2467)</f>
        <v>Organic Social-Italia</v>
      </c>
      <c r="U2467">
        <f>YEAR(A2467)</f>
        <v>2025</v>
      </c>
      <c r="V2467">
        <f>MONTH(A2467)</f>
        <v>8</v>
      </c>
      <c r="W2467" t="str">
        <f>PROPER(TEXT(A2467,"mmmm"))</f>
        <v>Agosto</v>
      </c>
      <c r="X2467" t="str">
        <f>PROPER(TEXT(A2467,"dddd"))</f>
        <v>Viernes</v>
      </c>
      <c r="Y2467" t="str" cm="1">
        <f t="array" ref="Y2467">_xlfn.IFS(R2467&gt;10,"Excelente",R2467&gt;=5,"Bueno",R2467&gt;=2,"Débil",R2467&lt;2,"Deficiente")</f>
        <v>Excelente</v>
      </c>
      <c r="Z2467" t="str">
        <f>IF(AND(R2467&lt;2,Q2467&gt;=100),"Revisar","OK")</f>
        <v>OK</v>
      </c>
      <c r="AA2467" s="55">
        <f>_xlfn.XLOOKUP(C2467,'Preguntas de negocio'!$C$114:$C$119,'Preguntas de negocio'!$D$114:$D$119,0)</f>
        <v>4</v>
      </c>
      <c r="AB2467" s="55">
        <f>VLOOKUP(C2467,'Preguntas de negocio'!$C$121:$D$127,2,FALSE)</f>
        <v>0.95</v>
      </c>
    </row>
    <row r="2468" spans="1:28" x14ac:dyDescent="0.3">
      <c r="A2468" s="1">
        <v>45726</v>
      </c>
      <c r="B2468" s="2" t="s">
        <v>2618</v>
      </c>
      <c r="C2468" s="2" t="s">
        <v>2521</v>
      </c>
      <c r="D2468" s="2" t="s">
        <v>2531</v>
      </c>
      <c r="E2468" s="2" t="s">
        <v>2529</v>
      </c>
      <c r="F2468" s="3">
        <v>47850</v>
      </c>
      <c r="G2468" s="3">
        <v>2712</v>
      </c>
      <c r="H2468" s="3">
        <v>173</v>
      </c>
      <c r="I2468" s="4">
        <v>906.58</v>
      </c>
      <c r="J2468" s="4">
        <v>28561.94</v>
      </c>
      <c r="K2468" s="3">
        <v>134</v>
      </c>
      <c r="L2468" s="2" t="s">
        <v>2536</v>
      </c>
      <c r="M2468" s="2" t="s">
        <v>2546</v>
      </c>
      <c r="N2468" s="8">
        <f>IFERROR(G2468/F2468,0)</f>
        <v>5.6677115987460815E-2</v>
      </c>
      <c r="O2468" s="8">
        <f>IFERROR(H2468/G2468,0)</f>
        <v>6.3790560471976399E-2</v>
      </c>
      <c r="P2468" s="4">
        <f>IFERROR(I2468/G2468,0)</f>
        <v>0.33428466076696167</v>
      </c>
      <c r="Q2468" s="4">
        <f>IFERROR(I2468/H2468,0)</f>
        <v>5.2403468208092487</v>
      </c>
      <c r="R2468" s="12">
        <f>IFERROR(J2468/I2468,0)</f>
        <v>31.505151227690881</v>
      </c>
      <c r="S2468" s="7">
        <f>Tabla_nuevas_columnas[[#This Row],[ROAS]]</f>
        <v>31.505151227690881</v>
      </c>
      <c r="T2468" t="str">
        <f>_xlfn.CONCAT(C2468,"-",D2468)</f>
        <v>Paid Search-Portugal</v>
      </c>
      <c r="U2468">
        <f>YEAR(A2468)</f>
        <v>2025</v>
      </c>
      <c r="V2468">
        <f>MONTH(A2468)</f>
        <v>3</v>
      </c>
      <c r="W2468" t="str">
        <f>PROPER(TEXT(A2468,"mmmm"))</f>
        <v>Marzo</v>
      </c>
      <c r="X2468" t="str">
        <f>PROPER(TEXT(A2468,"dddd"))</f>
        <v>Lunes</v>
      </c>
      <c r="Y2468" t="str" cm="1">
        <f t="array" ref="Y2468">_xlfn.IFS(R2468&gt;10,"Excelente",R2468&gt;=5,"Bueno",R2468&gt;=2,"Débil",R2468&lt;2,"Deficiente")</f>
        <v>Excelente</v>
      </c>
      <c r="Z2468" t="str">
        <f>IF(AND(R2468&lt;2,Q2468&gt;=100),"Revisar","OK")</f>
        <v>OK</v>
      </c>
      <c r="AA2468" s="55">
        <f>_xlfn.XLOOKUP(C2468,'Preguntas de negocio'!$C$114:$C$119,'Preguntas de negocio'!$D$114:$D$119,0)</f>
        <v>5</v>
      </c>
      <c r="AB2468" s="55">
        <f>VLOOKUP(C2468,'Preguntas de negocio'!$C$121:$D$127,2,FALSE)</f>
        <v>1.1000000000000001</v>
      </c>
    </row>
    <row r="2469" spans="1:28" x14ac:dyDescent="0.3">
      <c r="A2469" s="1">
        <v>45816</v>
      </c>
      <c r="B2469" s="2" t="s">
        <v>2627</v>
      </c>
      <c r="C2469" s="2" t="s">
        <v>2527</v>
      </c>
      <c r="D2469" s="2" t="s">
        <v>2531</v>
      </c>
      <c r="E2469" s="2" t="s">
        <v>2517</v>
      </c>
      <c r="F2469" s="3">
        <v>7238</v>
      </c>
      <c r="G2469" s="3">
        <v>222</v>
      </c>
      <c r="H2469" s="3">
        <v>7</v>
      </c>
      <c r="I2469" s="4">
        <v>191.93</v>
      </c>
      <c r="J2469" s="4">
        <v>513.34</v>
      </c>
      <c r="K2469" s="3">
        <v>4</v>
      </c>
      <c r="L2469" s="2" t="s">
        <v>2518</v>
      </c>
      <c r="M2469" s="2" t="s">
        <v>2546</v>
      </c>
      <c r="N2469" s="8">
        <f>IFERROR(G2469/F2469,0)</f>
        <v>3.0671456203371097E-2</v>
      </c>
      <c r="O2469" s="8">
        <f>IFERROR(H2469/G2469,0)</f>
        <v>3.1531531531531529E-2</v>
      </c>
      <c r="P2469" s="4">
        <f>IFERROR(I2469/G2469,0)</f>
        <v>0.86454954954954955</v>
      </c>
      <c r="Q2469" s="4">
        <f>IFERROR(I2469/H2469,0)</f>
        <v>27.418571428571429</v>
      </c>
      <c r="R2469" s="12">
        <f>IFERROR(J2469/I2469,0)</f>
        <v>2.6746209555567133</v>
      </c>
      <c r="S2469" s="7">
        <f>Tabla_nuevas_columnas[[#This Row],[ROAS]]</f>
        <v>2.6746209555567133</v>
      </c>
      <c r="T2469" t="str">
        <f>_xlfn.CONCAT(C2469,"-",D2469)</f>
        <v>Affiliate-Portugal</v>
      </c>
      <c r="U2469">
        <f>YEAR(A2469)</f>
        <v>2025</v>
      </c>
      <c r="V2469">
        <f>MONTH(A2469)</f>
        <v>6</v>
      </c>
      <c r="W2469" t="str">
        <f>PROPER(TEXT(A2469,"mmmm"))</f>
        <v>Junio</v>
      </c>
      <c r="X2469" t="str">
        <f>PROPER(TEXT(A2469,"dddd"))</f>
        <v>Domingo</v>
      </c>
      <c r="Y2469" t="str" cm="1">
        <f t="array" ref="Y2469">_xlfn.IFS(R2469&gt;10,"Excelente",R2469&gt;=5,"Bueno",R2469&gt;=2,"Débil",R2469&lt;2,"Deficiente")</f>
        <v>Débil</v>
      </c>
      <c r="Z2469" t="str">
        <f>IF(AND(R2469&lt;2,Q2469&gt;=100),"Revisar","OK")</f>
        <v>OK</v>
      </c>
      <c r="AA2469" s="55">
        <f>_xlfn.XLOOKUP(C2469,'Preguntas de negocio'!$C$114:$C$119,'Preguntas de negocio'!$D$114:$D$119,0)</f>
        <v>4.5</v>
      </c>
      <c r="AB2469" s="55">
        <f>VLOOKUP(C2469,'Preguntas de negocio'!$C$121:$D$127,2,FALSE)</f>
        <v>0.35</v>
      </c>
    </row>
    <row r="2470" spans="1:28" x14ac:dyDescent="0.3">
      <c r="A2470" s="1">
        <v>46012</v>
      </c>
      <c r="B2470" s="2" t="s">
        <v>2621</v>
      </c>
      <c r="C2470" s="2" t="s">
        <v>2645</v>
      </c>
      <c r="D2470" s="2" t="s">
        <v>2528</v>
      </c>
      <c r="E2470" s="2" t="s">
        <v>2534</v>
      </c>
      <c r="F2470" s="3">
        <v>78232</v>
      </c>
      <c r="G2470" s="3">
        <v>2412</v>
      </c>
      <c r="H2470" s="3">
        <v>78</v>
      </c>
      <c r="I2470" s="4">
        <v>2979.21</v>
      </c>
      <c r="J2470" s="4">
        <v>16485.61</v>
      </c>
      <c r="K2470" s="3">
        <v>35</v>
      </c>
      <c r="L2470" s="2" t="s">
        <v>2518</v>
      </c>
      <c r="M2470" s="2" t="s">
        <v>2526</v>
      </c>
      <c r="N2470" s="8">
        <f>IFERROR(G2470/F2470,0)</f>
        <v>3.0831373351058389E-2</v>
      </c>
      <c r="O2470" s="8">
        <f>IFERROR(H2470/G2470,0)</f>
        <v>3.2338308457711441E-2</v>
      </c>
      <c r="P2470" s="4">
        <f>IFERROR(I2470/G2470,0)</f>
        <v>1.2351616915422885</v>
      </c>
      <c r="Q2470" s="4">
        <f>IFERROR(I2470/H2470,0)</f>
        <v>38.195</v>
      </c>
      <c r="R2470" s="12">
        <f>IFERROR(J2470/I2470,0)</f>
        <v>5.5335508406591014</v>
      </c>
      <c r="S2470" s="7">
        <f>Tabla_nuevas_columnas[[#This Row],[ROAS]]</f>
        <v>5.5335508406591014</v>
      </c>
      <c r="T2470" t="str">
        <f>_xlfn.CONCAT(C2470,"-",D2470)</f>
        <v>Por identificar-España</v>
      </c>
      <c r="U2470">
        <f>YEAR(A2470)</f>
        <v>2025</v>
      </c>
      <c r="V2470">
        <f>MONTH(A2470)</f>
        <v>12</v>
      </c>
      <c r="W2470" t="str">
        <f>PROPER(TEXT(A2470,"mmmm"))</f>
        <v>Diciembre</v>
      </c>
      <c r="X2470" t="str">
        <f>PROPER(TEXT(A2470,"dddd"))</f>
        <v>Domingo</v>
      </c>
      <c r="Y2470" t="str" cm="1">
        <f t="array" ref="Y2470">_xlfn.IFS(R2470&gt;10,"Excelente",R2470&gt;=5,"Bueno",R2470&gt;=2,"Débil",R2470&lt;2,"Deficiente")</f>
        <v>Bueno</v>
      </c>
      <c r="Z2470" t="str">
        <f>IF(AND(R2470&lt;2,Q2470&gt;=100),"Revisar","OK")</f>
        <v>OK</v>
      </c>
      <c r="AA2470" s="55">
        <f>_xlfn.XLOOKUP(C2470,'Preguntas de negocio'!$C$114:$C$119,'Preguntas de negocio'!$D$114:$D$119,0)</f>
        <v>0</v>
      </c>
      <c r="AB2470" s="55">
        <f>VLOOKUP(C2470,'Preguntas de negocio'!$C$121:$D$127,2,FALSE)</f>
        <v>0</v>
      </c>
    </row>
    <row r="2471" spans="1:28" x14ac:dyDescent="0.3">
      <c r="A2471" s="1">
        <v>45718</v>
      </c>
      <c r="B2471" s="2" t="s">
        <v>2641</v>
      </c>
      <c r="C2471" s="2" t="s">
        <v>2521</v>
      </c>
      <c r="D2471" s="2" t="s">
        <v>2522</v>
      </c>
      <c r="E2471" s="2" t="s">
        <v>2517</v>
      </c>
      <c r="F2471" s="3">
        <v>32213</v>
      </c>
      <c r="G2471" s="3">
        <v>2076</v>
      </c>
      <c r="H2471" s="3">
        <v>275</v>
      </c>
      <c r="I2471" s="4">
        <v>3699.24</v>
      </c>
      <c r="J2471" s="4">
        <v>42238.89</v>
      </c>
      <c r="K2471" s="3">
        <v>192</v>
      </c>
      <c r="L2471" s="2" t="s">
        <v>2518</v>
      </c>
      <c r="M2471" s="2" t="s">
        <v>2546</v>
      </c>
      <c r="N2471" s="8">
        <f>IFERROR(G2471/F2471,0)</f>
        <v>6.4446031105454313E-2</v>
      </c>
      <c r="O2471" s="8">
        <f>IFERROR(H2471/G2471,0)</f>
        <v>0.13246628131021196</v>
      </c>
      <c r="P2471" s="4">
        <f>IFERROR(I2471/G2471,0)</f>
        <v>1.7819075144508669</v>
      </c>
      <c r="Q2471" s="4">
        <f>IFERROR(I2471/H2471,0)</f>
        <v>13.451781818181818</v>
      </c>
      <c r="R2471" s="12">
        <f>IFERROR(J2471/I2471,0)</f>
        <v>11.418261588866903</v>
      </c>
      <c r="S2471" s="7">
        <f>Tabla_nuevas_columnas[[#This Row],[ROAS]]</f>
        <v>11.418261588866903</v>
      </c>
      <c r="T2471" t="str">
        <f>_xlfn.CONCAT(C2471,"-",D2471)</f>
        <v>Paid Search-Italia</v>
      </c>
      <c r="U2471">
        <f>YEAR(A2471)</f>
        <v>2025</v>
      </c>
      <c r="V2471">
        <f>MONTH(A2471)</f>
        <v>3</v>
      </c>
      <c r="W2471" t="str">
        <f>PROPER(TEXT(A2471,"mmmm"))</f>
        <v>Marzo</v>
      </c>
      <c r="X2471" t="str">
        <f>PROPER(TEXT(A2471,"dddd"))</f>
        <v>Domingo</v>
      </c>
      <c r="Y2471" t="str" cm="1">
        <f t="array" ref="Y2471">_xlfn.IFS(R2471&gt;10,"Excelente",R2471&gt;=5,"Bueno",R2471&gt;=2,"Débil",R2471&lt;2,"Deficiente")</f>
        <v>Excelente</v>
      </c>
      <c r="Z2471" t="str">
        <f>IF(AND(R2471&lt;2,Q2471&gt;=100),"Revisar","OK")</f>
        <v>OK</v>
      </c>
      <c r="AA2471" s="55">
        <f>_xlfn.XLOOKUP(C2471,'Preguntas de negocio'!$C$114:$C$119,'Preguntas de negocio'!$D$114:$D$119,0)</f>
        <v>5</v>
      </c>
      <c r="AB2471" s="55">
        <f>VLOOKUP(C2471,'Preguntas de negocio'!$C$121:$D$127,2,FALSE)</f>
        <v>1.1000000000000001</v>
      </c>
    </row>
    <row r="2472" spans="1:28" x14ac:dyDescent="0.3">
      <c r="A2472" s="1">
        <v>45852</v>
      </c>
      <c r="B2472" s="2" t="s">
        <v>2616</v>
      </c>
      <c r="C2472" s="2" t="s">
        <v>2521</v>
      </c>
      <c r="D2472" s="2" t="s">
        <v>2522</v>
      </c>
      <c r="E2472" s="2" t="s">
        <v>2517</v>
      </c>
      <c r="F2472" s="3">
        <v>149006</v>
      </c>
      <c r="G2472" s="3">
        <v>3937</v>
      </c>
      <c r="H2472" s="3">
        <v>528</v>
      </c>
      <c r="I2472" s="4">
        <v>4470.6099999999997</v>
      </c>
      <c r="J2472" s="4">
        <v>26721.05</v>
      </c>
      <c r="K2472" s="3">
        <v>429</v>
      </c>
      <c r="L2472" s="2" t="s">
        <v>2523</v>
      </c>
      <c r="M2472" s="2" t="s">
        <v>2537</v>
      </c>
      <c r="N2472" s="8">
        <f>IFERROR(G2472/F2472,0)</f>
        <v>2.6421754828664618E-2</v>
      </c>
      <c r="O2472" s="8">
        <f>IFERROR(H2472/G2472,0)</f>
        <v>0.13411226822453645</v>
      </c>
      <c r="P2472" s="4">
        <f>IFERROR(I2472/G2472,0)</f>
        <v>1.135537211074422</v>
      </c>
      <c r="Q2472" s="4">
        <f>IFERROR(I2472/H2472,0)</f>
        <v>8.4670643939393937</v>
      </c>
      <c r="R2472" s="12">
        <f>IFERROR(J2472/I2472,0)</f>
        <v>5.9770478748985036</v>
      </c>
      <c r="S2472" s="7">
        <f>Tabla_nuevas_columnas[[#This Row],[ROAS]]</f>
        <v>5.9770478748985036</v>
      </c>
      <c r="T2472" t="str">
        <f>_xlfn.CONCAT(C2472,"-",D2472)</f>
        <v>Paid Search-Italia</v>
      </c>
      <c r="U2472">
        <f>YEAR(A2472)</f>
        <v>2025</v>
      </c>
      <c r="V2472">
        <f>MONTH(A2472)</f>
        <v>7</v>
      </c>
      <c r="W2472" t="str">
        <f>PROPER(TEXT(A2472,"mmmm"))</f>
        <v>Julio</v>
      </c>
      <c r="X2472" t="str">
        <f>PROPER(TEXT(A2472,"dddd"))</f>
        <v>Lunes</v>
      </c>
      <c r="Y2472" t="str" cm="1">
        <f t="array" ref="Y2472">_xlfn.IFS(R2472&gt;10,"Excelente",R2472&gt;=5,"Bueno",R2472&gt;=2,"Débil",R2472&lt;2,"Deficiente")</f>
        <v>Bueno</v>
      </c>
      <c r="Z2472" t="str">
        <f>IF(AND(R2472&lt;2,Q2472&gt;=100),"Revisar","OK")</f>
        <v>OK</v>
      </c>
      <c r="AA2472" s="55">
        <f>_xlfn.XLOOKUP(C2472,'Preguntas de negocio'!$C$114:$C$119,'Preguntas de negocio'!$D$114:$D$119,0)</f>
        <v>5</v>
      </c>
      <c r="AB2472" s="55">
        <f>VLOOKUP(C2472,'Preguntas de negocio'!$C$121:$D$127,2,FALSE)</f>
        <v>1.1000000000000001</v>
      </c>
    </row>
    <row r="2473" spans="1:28" x14ac:dyDescent="0.3">
      <c r="A2473" s="1">
        <v>45713</v>
      </c>
      <c r="B2473" s="2" t="s">
        <v>2615</v>
      </c>
      <c r="C2473" s="2" t="s">
        <v>2541</v>
      </c>
      <c r="D2473" s="2" t="s">
        <v>2516</v>
      </c>
      <c r="E2473" s="2" t="s">
        <v>2529</v>
      </c>
      <c r="F2473" s="3">
        <v>123155</v>
      </c>
      <c r="G2473" s="3">
        <v>3529</v>
      </c>
      <c r="H2473" s="3">
        <v>413</v>
      </c>
      <c r="I2473" s="4">
        <v>7192.56</v>
      </c>
      <c r="J2473" s="4">
        <v>7697.17</v>
      </c>
      <c r="K2473" s="3">
        <v>250</v>
      </c>
      <c r="L2473" s="2" t="s">
        <v>2518</v>
      </c>
      <c r="M2473" s="2" t="s">
        <v>2526</v>
      </c>
      <c r="N2473" s="8">
        <f>IFERROR(G2473/F2473,0)</f>
        <v>2.8654947017985464E-2</v>
      </c>
      <c r="O2473" s="8">
        <f>IFERROR(H2473/G2473,0)</f>
        <v>0.1170303202040238</v>
      </c>
      <c r="P2473" s="4">
        <f>IFERROR(I2473/G2473,0)</f>
        <v>2.0381297818078776</v>
      </c>
      <c r="Q2473" s="4">
        <f>IFERROR(I2473/H2473,0)</f>
        <v>17.4153995157385</v>
      </c>
      <c r="R2473" s="12">
        <f>IFERROR(J2473/I2473,0)</f>
        <v>1.0701572180141701</v>
      </c>
      <c r="S2473" s="7">
        <f>Tabla_nuevas_columnas[[#This Row],[ROAS]]</f>
        <v>1.0701572180141701</v>
      </c>
      <c r="T2473" t="str">
        <f>_xlfn.CONCAT(C2473,"-",D2473)</f>
        <v>Display-México</v>
      </c>
      <c r="U2473">
        <f>YEAR(A2473)</f>
        <v>2025</v>
      </c>
      <c r="V2473">
        <f>MONTH(A2473)</f>
        <v>2</v>
      </c>
      <c r="W2473" t="str">
        <f>PROPER(TEXT(A2473,"mmmm"))</f>
        <v>Febrero</v>
      </c>
      <c r="X2473" t="str">
        <f>PROPER(TEXT(A2473,"dddd"))</f>
        <v>Martes</v>
      </c>
      <c r="Y2473" t="str" cm="1">
        <f t="array" ref="Y2473">_xlfn.IFS(R2473&gt;10,"Excelente",R2473&gt;=5,"Bueno",R2473&gt;=2,"Débil",R2473&lt;2,"Deficiente")</f>
        <v>Deficiente</v>
      </c>
      <c r="Z2473" t="str">
        <f>IF(AND(R2473&lt;2,Q2473&gt;=100),"Revisar","OK")</f>
        <v>OK</v>
      </c>
      <c r="AA2473" s="55">
        <f>_xlfn.XLOOKUP(C2473,'Preguntas de negocio'!$C$114:$C$119,'Preguntas de negocio'!$D$114:$D$119,0)</f>
        <v>5</v>
      </c>
      <c r="AB2473" s="55">
        <f>VLOOKUP(C2473,'Preguntas de negocio'!$C$121:$D$127,2,FALSE)</f>
        <v>0.5</v>
      </c>
    </row>
    <row r="2474" spans="1:28" x14ac:dyDescent="0.3">
      <c r="A2474" s="1">
        <v>45942</v>
      </c>
      <c r="B2474" s="2" t="s">
        <v>2621</v>
      </c>
      <c r="C2474" s="2" t="s">
        <v>2541</v>
      </c>
      <c r="D2474" s="2" t="s">
        <v>2522</v>
      </c>
      <c r="E2474" s="2" t="s">
        <v>2517</v>
      </c>
      <c r="F2474" s="3">
        <v>115563</v>
      </c>
      <c r="G2474" s="3">
        <v>2064</v>
      </c>
      <c r="H2474" s="3">
        <v>67</v>
      </c>
      <c r="I2474" s="4">
        <v>1210.3599999999999</v>
      </c>
      <c r="J2474" s="4">
        <v>1247.69</v>
      </c>
      <c r="K2474" s="3">
        <v>41</v>
      </c>
      <c r="L2474" s="2" t="s">
        <v>2518</v>
      </c>
      <c r="M2474" s="2" t="s">
        <v>2537</v>
      </c>
      <c r="N2474" s="8">
        <f>IFERROR(G2474/F2474,0)</f>
        <v>1.7860387840398742E-2</v>
      </c>
      <c r="O2474" s="8">
        <f>IFERROR(H2474/G2474,0)</f>
        <v>3.2461240310077522E-2</v>
      </c>
      <c r="P2474" s="4">
        <f>IFERROR(I2474/G2474,0)</f>
        <v>0.58641472868217048</v>
      </c>
      <c r="Q2474" s="4">
        <f>IFERROR(I2474/H2474,0)</f>
        <v>18.06507462686567</v>
      </c>
      <c r="R2474" s="12">
        <f>IFERROR(J2474/I2474,0)</f>
        <v>1.0308420635182922</v>
      </c>
      <c r="S2474" s="7">
        <f>Tabla_nuevas_columnas[[#This Row],[ROAS]]</f>
        <v>1.0308420635182922</v>
      </c>
      <c r="T2474" t="str">
        <f>_xlfn.CONCAT(C2474,"-",D2474)</f>
        <v>Display-Italia</v>
      </c>
      <c r="U2474">
        <f>YEAR(A2474)</f>
        <v>2025</v>
      </c>
      <c r="V2474">
        <f>MONTH(A2474)</f>
        <v>10</v>
      </c>
      <c r="W2474" t="str">
        <f>PROPER(TEXT(A2474,"mmmm"))</f>
        <v>Octubre</v>
      </c>
      <c r="X2474" t="str">
        <f>PROPER(TEXT(A2474,"dddd"))</f>
        <v>Domingo</v>
      </c>
      <c r="Y2474" t="str" cm="1">
        <f t="array" ref="Y2474">_xlfn.IFS(R2474&gt;10,"Excelente",R2474&gt;=5,"Bueno",R2474&gt;=2,"Débil",R2474&lt;2,"Deficiente")</f>
        <v>Deficiente</v>
      </c>
      <c r="Z2474" t="str">
        <f>IF(AND(R2474&lt;2,Q2474&gt;=100),"Revisar","OK")</f>
        <v>OK</v>
      </c>
      <c r="AA2474" s="55">
        <f>_xlfn.XLOOKUP(C2474,'Preguntas de negocio'!$C$114:$C$119,'Preguntas de negocio'!$D$114:$D$119,0)</f>
        <v>5</v>
      </c>
      <c r="AB2474" s="55">
        <f>VLOOKUP(C2474,'Preguntas de negocio'!$C$121:$D$127,2,FALSE)</f>
        <v>0.5</v>
      </c>
    </row>
    <row r="2475" spans="1:28" x14ac:dyDescent="0.3">
      <c r="A2475" s="1">
        <v>45978</v>
      </c>
      <c r="B2475" s="2" t="s">
        <v>2618</v>
      </c>
      <c r="C2475" s="2" t="s">
        <v>2527</v>
      </c>
      <c r="D2475" s="2" t="s">
        <v>2528</v>
      </c>
      <c r="E2475" s="2" t="s">
        <v>2517</v>
      </c>
      <c r="F2475" s="3">
        <v>106405</v>
      </c>
      <c r="G2475" s="3">
        <v>8369</v>
      </c>
      <c r="H2475" s="3">
        <v>72</v>
      </c>
      <c r="I2475" s="4">
        <v>6594.17</v>
      </c>
      <c r="J2475" s="4">
        <v>4302.41</v>
      </c>
      <c r="K2475" s="3">
        <v>34</v>
      </c>
      <c r="L2475" s="2" t="s">
        <v>2539</v>
      </c>
      <c r="M2475" s="2" t="s">
        <v>2546</v>
      </c>
      <c r="N2475" s="8">
        <f>IFERROR(G2475/F2475,0)</f>
        <v>7.8652318969973212E-2</v>
      </c>
      <c r="O2475" s="8">
        <f>IFERROR(H2475/G2475,0)</f>
        <v>8.6031783964631379E-3</v>
      </c>
      <c r="P2475" s="4">
        <f>IFERROR(I2475/G2475,0)</f>
        <v>0.78792806786951852</v>
      </c>
      <c r="Q2475" s="4">
        <f>IFERROR(I2475/H2475,0)</f>
        <v>91.585694444444442</v>
      </c>
      <c r="R2475" s="12">
        <f>IFERROR(J2475/I2475,0)</f>
        <v>0.65245663972873003</v>
      </c>
      <c r="S2475" s="7">
        <f>Tabla_nuevas_columnas[[#This Row],[ROAS]]</f>
        <v>0.65245663972873003</v>
      </c>
      <c r="T2475" t="str">
        <f>_xlfn.CONCAT(C2475,"-",D2475)</f>
        <v>Affiliate-España</v>
      </c>
      <c r="U2475">
        <f>YEAR(A2475)</f>
        <v>2025</v>
      </c>
      <c r="V2475">
        <f>MONTH(A2475)</f>
        <v>11</v>
      </c>
      <c r="W2475" t="str">
        <f>PROPER(TEXT(A2475,"mmmm"))</f>
        <v>Noviembre</v>
      </c>
      <c r="X2475" t="str">
        <f>PROPER(TEXT(A2475,"dddd"))</f>
        <v>Lunes</v>
      </c>
      <c r="Y2475" t="str" cm="1">
        <f t="array" ref="Y2475">_xlfn.IFS(R2475&gt;10,"Excelente",R2475&gt;=5,"Bueno",R2475&gt;=2,"Débil",R2475&lt;2,"Deficiente")</f>
        <v>Deficiente</v>
      </c>
      <c r="Z2475" t="str">
        <f>IF(AND(R2475&lt;2,Q2475&gt;=100),"Revisar","OK")</f>
        <v>OK</v>
      </c>
      <c r="AA2475" s="55">
        <f>_xlfn.XLOOKUP(C2475,'Preguntas de negocio'!$C$114:$C$119,'Preguntas de negocio'!$D$114:$D$119,0)</f>
        <v>4.5</v>
      </c>
      <c r="AB2475" s="55">
        <f>VLOOKUP(C2475,'Preguntas de negocio'!$C$121:$D$127,2,FALSE)</f>
        <v>0.35</v>
      </c>
    </row>
    <row r="2476" spans="1:28" x14ac:dyDescent="0.3">
      <c r="A2476" s="1">
        <v>45750</v>
      </c>
      <c r="B2476" s="2" t="s">
        <v>2623</v>
      </c>
      <c r="C2476" s="2" t="s">
        <v>2543</v>
      </c>
      <c r="D2476" s="2" t="s">
        <v>2528</v>
      </c>
      <c r="E2476" s="2" t="s">
        <v>2534</v>
      </c>
      <c r="F2476" s="3">
        <v>1167</v>
      </c>
      <c r="G2476" s="3">
        <v>32</v>
      </c>
      <c r="H2476" s="3">
        <v>3</v>
      </c>
      <c r="I2476" s="4">
        <v>61.24</v>
      </c>
      <c r="J2476" s="4">
        <v>513.97</v>
      </c>
      <c r="K2476" s="3">
        <v>2</v>
      </c>
      <c r="L2476" s="2" t="s">
        <v>2539</v>
      </c>
      <c r="M2476" s="2" t="s">
        <v>2546</v>
      </c>
      <c r="N2476" s="8">
        <f>IFERROR(G2476/F2476,0)</f>
        <v>2.7420736932305057E-2</v>
      </c>
      <c r="O2476" s="8">
        <f>IFERROR(H2476/G2476,0)</f>
        <v>9.375E-2</v>
      </c>
      <c r="P2476" s="4">
        <f>IFERROR(I2476/G2476,0)</f>
        <v>1.9137500000000001</v>
      </c>
      <c r="Q2476" s="4">
        <f>IFERROR(I2476/H2476,0)</f>
        <v>20.413333333333334</v>
      </c>
      <c r="R2476" s="12">
        <f>IFERROR(J2476/I2476,0)</f>
        <v>8.3927171783148271</v>
      </c>
      <c r="S2476" s="7">
        <f>Tabla_nuevas_columnas[[#This Row],[ROAS]]</f>
        <v>8.3927171783148271</v>
      </c>
      <c r="T2476" t="str">
        <f>_xlfn.CONCAT(C2476,"-",D2476)</f>
        <v>Organic Social-España</v>
      </c>
      <c r="U2476">
        <f>YEAR(A2476)</f>
        <v>2025</v>
      </c>
      <c r="V2476">
        <f>MONTH(A2476)</f>
        <v>4</v>
      </c>
      <c r="W2476" t="str">
        <f>PROPER(TEXT(A2476,"mmmm"))</f>
        <v>Abril</v>
      </c>
      <c r="X2476" t="str">
        <f>PROPER(TEXT(A2476,"dddd"))</f>
        <v>Jueves</v>
      </c>
      <c r="Y2476" t="str" cm="1">
        <f t="array" ref="Y2476">_xlfn.IFS(R2476&gt;10,"Excelente",R2476&gt;=5,"Bueno",R2476&gt;=2,"Débil",R2476&lt;2,"Deficiente")</f>
        <v>Bueno</v>
      </c>
      <c r="Z2476" t="str">
        <f>IF(AND(R2476&lt;2,Q2476&gt;=100),"Revisar","OK")</f>
        <v>OK</v>
      </c>
      <c r="AA2476" s="55">
        <f>_xlfn.XLOOKUP(C2476,'Preguntas de negocio'!$C$114:$C$119,'Preguntas de negocio'!$D$114:$D$119,0)</f>
        <v>4</v>
      </c>
      <c r="AB2476" s="55">
        <f>VLOOKUP(C2476,'Preguntas de negocio'!$C$121:$D$127,2,FALSE)</f>
        <v>0.95</v>
      </c>
    </row>
    <row r="2477" spans="1:28" x14ac:dyDescent="0.3">
      <c r="A2477" s="1">
        <v>45947</v>
      </c>
      <c r="B2477" s="2" t="s">
        <v>2632</v>
      </c>
      <c r="C2477" s="2" t="s">
        <v>2533</v>
      </c>
      <c r="D2477" s="2" t="s">
        <v>2522</v>
      </c>
      <c r="E2477" s="2" t="s">
        <v>2517</v>
      </c>
      <c r="F2477" s="3">
        <v>41277</v>
      </c>
      <c r="G2477" s="3">
        <v>2138</v>
      </c>
      <c r="H2477" s="3">
        <v>116</v>
      </c>
      <c r="I2477" s="4">
        <v>2479.83</v>
      </c>
      <c r="J2477" s="4">
        <v>11289.34</v>
      </c>
      <c r="K2477" s="3">
        <v>97</v>
      </c>
      <c r="L2477" s="2" t="s">
        <v>2536</v>
      </c>
      <c r="M2477" s="2" t="s">
        <v>2546</v>
      </c>
      <c r="N2477" s="8">
        <f>IFERROR(G2477/F2477,0)</f>
        <v>5.1796399932165615E-2</v>
      </c>
      <c r="O2477" s="8">
        <f>IFERROR(H2477/G2477,0)</f>
        <v>5.4256314312441531E-2</v>
      </c>
      <c r="P2477" s="4">
        <f>IFERROR(I2477/G2477,0)</f>
        <v>1.1598830682881196</v>
      </c>
      <c r="Q2477" s="4">
        <f>IFERROR(I2477/H2477,0)</f>
        <v>21.377844827586205</v>
      </c>
      <c r="R2477" s="12">
        <f>IFERROR(J2477/I2477,0)</f>
        <v>4.5524652899593923</v>
      </c>
      <c r="S2477" s="7">
        <f>Tabla_nuevas_columnas[[#This Row],[ROAS]]</f>
        <v>4.5524652899593923</v>
      </c>
      <c r="T2477" t="str">
        <f>_xlfn.CONCAT(C2477,"-",D2477)</f>
        <v>Paid Social-Italia</v>
      </c>
      <c r="U2477">
        <f>YEAR(A2477)</f>
        <v>2025</v>
      </c>
      <c r="V2477">
        <f>MONTH(A2477)</f>
        <v>10</v>
      </c>
      <c r="W2477" t="str">
        <f>PROPER(TEXT(A2477,"mmmm"))</f>
        <v>Octubre</v>
      </c>
      <c r="X2477" t="str">
        <f>PROPER(TEXT(A2477,"dddd"))</f>
        <v>Viernes</v>
      </c>
      <c r="Y2477" t="str" cm="1">
        <f t="array" ref="Y2477">_xlfn.IFS(R2477&gt;10,"Excelente",R2477&gt;=5,"Bueno",R2477&gt;=2,"Débil",R2477&lt;2,"Deficiente")</f>
        <v>Débil</v>
      </c>
      <c r="Z2477" t="str">
        <f>IF(AND(R2477&lt;2,Q2477&gt;=100),"Revisar","OK")</f>
        <v>OK</v>
      </c>
      <c r="AA2477" s="55">
        <f>_xlfn.XLOOKUP(C2477,'Preguntas de negocio'!$C$114:$C$119,'Preguntas de negocio'!$D$114:$D$119,0)</f>
        <v>6</v>
      </c>
      <c r="AB2477" s="55">
        <f>VLOOKUP(C2477,'Preguntas de negocio'!$C$121:$D$127,2,FALSE)</f>
        <v>0.8</v>
      </c>
    </row>
    <row r="2478" spans="1:28" x14ac:dyDescent="0.3">
      <c r="A2478" s="1">
        <v>45784</v>
      </c>
      <c r="B2478" s="2" t="s">
        <v>2622</v>
      </c>
      <c r="C2478" s="2" t="s">
        <v>2533</v>
      </c>
      <c r="D2478" s="2" t="s">
        <v>2531</v>
      </c>
      <c r="E2478" s="2" t="s">
        <v>2517</v>
      </c>
      <c r="F2478" s="3">
        <v>18037</v>
      </c>
      <c r="G2478" s="3">
        <v>1119</v>
      </c>
      <c r="H2478" s="3">
        <v>84</v>
      </c>
      <c r="I2478" s="4">
        <v>2288.3000000000002</v>
      </c>
      <c r="J2478" s="4">
        <v>4991.54</v>
      </c>
      <c r="K2478" s="3">
        <v>64</v>
      </c>
      <c r="L2478" s="2" t="s">
        <v>2539</v>
      </c>
      <c r="M2478" s="2" t="s">
        <v>2526</v>
      </c>
      <c r="N2478" s="8">
        <f>IFERROR(G2478/F2478,0)</f>
        <v>6.2039141764151463E-2</v>
      </c>
      <c r="O2478" s="8">
        <f>IFERROR(H2478/G2478,0)</f>
        <v>7.5067024128686322E-2</v>
      </c>
      <c r="P2478" s="4">
        <f>IFERROR(I2478/G2478,0)</f>
        <v>2.044950848972297</v>
      </c>
      <c r="Q2478" s="4">
        <f>IFERROR(I2478/H2478,0)</f>
        <v>27.241666666666667</v>
      </c>
      <c r="R2478" s="12">
        <f>IFERROR(J2478/I2478,0)</f>
        <v>2.1813311191714373</v>
      </c>
      <c r="S2478" s="7">
        <f>Tabla_nuevas_columnas[[#This Row],[ROAS]]</f>
        <v>2.1813311191714373</v>
      </c>
      <c r="T2478" t="str">
        <f>_xlfn.CONCAT(C2478,"-",D2478)</f>
        <v>Paid Social-Portugal</v>
      </c>
      <c r="U2478">
        <f>YEAR(A2478)</f>
        <v>2025</v>
      </c>
      <c r="V2478">
        <f>MONTH(A2478)</f>
        <v>5</v>
      </c>
      <c r="W2478" t="str">
        <f>PROPER(TEXT(A2478,"mmmm"))</f>
        <v>Mayo</v>
      </c>
      <c r="X2478" t="str">
        <f>PROPER(TEXT(A2478,"dddd"))</f>
        <v>Miércoles</v>
      </c>
      <c r="Y2478" t="str" cm="1">
        <f t="array" ref="Y2478">_xlfn.IFS(R2478&gt;10,"Excelente",R2478&gt;=5,"Bueno",R2478&gt;=2,"Débil",R2478&lt;2,"Deficiente")</f>
        <v>Débil</v>
      </c>
      <c r="Z2478" t="str">
        <f>IF(AND(R2478&lt;2,Q2478&gt;=100),"Revisar","OK")</f>
        <v>OK</v>
      </c>
      <c r="AA2478" s="55">
        <f>_xlfn.XLOOKUP(C2478,'Preguntas de negocio'!$C$114:$C$119,'Preguntas de negocio'!$D$114:$D$119,0)</f>
        <v>6</v>
      </c>
      <c r="AB2478" s="55">
        <f>VLOOKUP(C2478,'Preguntas de negocio'!$C$121:$D$127,2,FALSE)</f>
        <v>0.8</v>
      </c>
    </row>
    <row r="2479" spans="1:28" x14ac:dyDescent="0.3">
      <c r="A2479" s="1">
        <v>45945</v>
      </c>
      <c r="B2479" s="2" t="s">
        <v>2643</v>
      </c>
      <c r="C2479" s="2" t="s">
        <v>2521</v>
      </c>
      <c r="D2479" s="2" t="s">
        <v>2528</v>
      </c>
      <c r="E2479" s="2" t="s">
        <v>2517</v>
      </c>
      <c r="F2479" s="3">
        <v>95850</v>
      </c>
      <c r="G2479" s="3">
        <v>672</v>
      </c>
      <c r="H2479" s="3">
        <v>70</v>
      </c>
      <c r="I2479" s="4">
        <v>1199.28</v>
      </c>
      <c r="J2479" s="4">
        <v>11956.39</v>
      </c>
      <c r="K2479" s="3">
        <v>46</v>
      </c>
      <c r="L2479" s="2" t="s">
        <v>2536</v>
      </c>
      <c r="M2479" s="2" t="s">
        <v>2537</v>
      </c>
      <c r="N2479" s="8">
        <f>IFERROR(G2479/F2479,0)</f>
        <v>7.010954616588419E-3</v>
      </c>
      <c r="O2479" s="8">
        <f>IFERROR(H2479/G2479,0)</f>
        <v>0.10416666666666667</v>
      </c>
      <c r="P2479" s="4">
        <f>IFERROR(I2479/G2479,0)</f>
        <v>1.7846428571428572</v>
      </c>
      <c r="Q2479" s="4">
        <f>IFERROR(I2479/H2479,0)</f>
        <v>17.132571428571428</v>
      </c>
      <c r="R2479" s="12">
        <f>IFERROR(J2479/I2479,0)</f>
        <v>9.9696401174037756</v>
      </c>
      <c r="S2479" s="7">
        <f>Tabla_nuevas_columnas[[#This Row],[ROAS]]</f>
        <v>9.9696401174037756</v>
      </c>
      <c r="T2479" t="str">
        <f>_xlfn.CONCAT(C2479,"-",D2479)</f>
        <v>Paid Search-España</v>
      </c>
      <c r="U2479">
        <f>YEAR(A2479)</f>
        <v>2025</v>
      </c>
      <c r="V2479">
        <f>MONTH(A2479)</f>
        <v>10</v>
      </c>
      <c r="W2479" t="str">
        <f>PROPER(TEXT(A2479,"mmmm"))</f>
        <v>Octubre</v>
      </c>
      <c r="X2479" t="str">
        <f>PROPER(TEXT(A2479,"dddd"))</f>
        <v>Miércoles</v>
      </c>
      <c r="Y2479" t="str" cm="1">
        <f t="array" ref="Y2479">_xlfn.IFS(R2479&gt;10,"Excelente",R2479&gt;=5,"Bueno",R2479&gt;=2,"Débil",R2479&lt;2,"Deficiente")</f>
        <v>Bueno</v>
      </c>
      <c r="Z2479" t="str">
        <f>IF(AND(R2479&lt;2,Q2479&gt;=100),"Revisar","OK")</f>
        <v>OK</v>
      </c>
      <c r="AA2479" s="55">
        <f>_xlfn.XLOOKUP(C2479,'Preguntas de negocio'!$C$114:$C$119,'Preguntas de negocio'!$D$114:$D$119,0)</f>
        <v>5</v>
      </c>
      <c r="AB2479" s="55">
        <f>VLOOKUP(C2479,'Preguntas de negocio'!$C$121:$D$127,2,FALSE)</f>
        <v>1.1000000000000001</v>
      </c>
    </row>
    <row r="2480" spans="1:28" x14ac:dyDescent="0.3">
      <c r="A2480" s="1">
        <v>45664</v>
      </c>
      <c r="B2480" s="2" t="s">
        <v>2636</v>
      </c>
      <c r="C2480" s="2" t="s">
        <v>2527</v>
      </c>
      <c r="D2480" s="2" t="s">
        <v>2516</v>
      </c>
      <c r="E2480" s="2" t="s">
        <v>2517</v>
      </c>
      <c r="F2480" s="3">
        <v>63519</v>
      </c>
      <c r="G2480" s="3">
        <v>3811</v>
      </c>
      <c r="H2480" s="3">
        <v>415</v>
      </c>
      <c r="I2480" s="4">
        <v>5741.06</v>
      </c>
      <c r="J2480" s="4">
        <v>38183.360000000001</v>
      </c>
      <c r="K2480" s="3">
        <v>328</v>
      </c>
      <c r="L2480" s="2" t="s">
        <v>2536</v>
      </c>
      <c r="M2480" s="2" t="s">
        <v>2519</v>
      </c>
      <c r="N2480" s="8">
        <f>IFERROR(G2480/F2480,0)</f>
        <v>5.9997795935074545E-2</v>
      </c>
      <c r="O2480" s="8">
        <f>IFERROR(H2480/G2480,0)</f>
        <v>0.10889530307006035</v>
      </c>
      <c r="P2480" s="4">
        <f>IFERROR(I2480/G2480,0)</f>
        <v>1.5064445027551825</v>
      </c>
      <c r="Q2480" s="4">
        <f>IFERROR(I2480/H2480,0)</f>
        <v>13.83387951807229</v>
      </c>
      <c r="R2480" s="12">
        <f>IFERROR(J2480/I2480,0)</f>
        <v>6.6509250904885153</v>
      </c>
      <c r="S2480" s="7">
        <f>Tabla_nuevas_columnas[[#This Row],[ROAS]]</f>
        <v>6.6509250904885153</v>
      </c>
      <c r="T2480" t="str">
        <f>_xlfn.CONCAT(C2480,"-",D2480)</f>
        <v>Affiliate-México</v>
      </c>
      <c r="U2480">
        <f>YEAR(A2480)</f>
        <v>2025</v>
      </c>
      <c r="V2480">
        <f>MONTH(A2480)</f>
        <v>1</v>
      </c>
      <c r="W2480" t="str">
        <f>PROPER(TEXT(A2480,"mmmm"))</f>
        <v>Enero</v>
      </c>
      <c r="X2480" t="str">
        <f>PROPER(TEXT(A2480,"dddd"))</f>
        <v>Martes</v>
      </c>
      <c r="Y2480" t="str" cm="1">
        <f t="array" ref="Y2480">_xlfn.IFS(R2480&gt;10,"Excelente",R2480&gt;=5,"Bueno",R2480&gt;=2,"Débil",R2480&lt;2,"Deficiente")</f>
        <v>Bueno</v>
      </c>
      <c r="Z2480" t="str">
        <f>IF(AND(R2480&lt;2,Q2480&gt;=100),"Revisar","OK")</f>
        <v>OK</v>
      </c>
      <c r="AA2480" s="55">
        <f>_xlfn.XLOOKUP(C2480,'Preguntas de negocio'!$C$114:$C$119,'Preguntas de negocio'!$D$114:$D$119,0)</f>
        <v>4.5</v>
      </c>
      <c r="AB2480" s="55">
        <f>VLOOKUP(C2480,'Preguntas de negocio'!$C$121:$D$127,2,FALSE)</f>
        <v>0.35</v>
      </c>
    </row>
    <row r="2481" spans="1:28" x14ac:dyDescent="0.3">
      <c r="A2481" s="1">
        <v>45675</v>
      </c>
      <c r="B2481" s="2" t="s">
        <v>2631</v>
      </c>
      <c r="C2481" s="2" t="s">
        <v>2521</v>
      </c>
      <c r="D2481" s="2" t="s">
        <v>2531</v>
      </c>
      <c r="E2481" s="2" t="s">
        <v>2517</v>
      </c>
      <c r="F2481" s="3">
        <v>141247</v>
      </c>
      <c r="G2481" s="3">
        <v>10050</v>
      </c>
      <c r="H2481" s="3">
        <v>89</v>
      </c>
      <c r="I2481" s="4">
        <v>9195.42</v>
      </c>
      <c r="J2481" s="4">
        <v>2930.77</v>
      </c>
      <c r="K2481" s="3">
        <v>78</v>
      </c>
      <c r="L2481" s="2" t="s">
        <v>2523</v>
      </c>
      <c r="M2481" s="2" t="s">
        <v>2546</v>
      </c>
      <c r="N2481" s="8">
        <f>IFERROR(G2481/F2481,0)</f>
        <v>7.1151953669812459E-2</v>
      </c>
      <c r="O2481" s="8">
        <f>IFERROR(H2481/G2481,0)</f>
        <v>8.8557213930348256E-3</v>
      </c>
      <c r="P2481" s="4">
        <f>IFERROR(I2481/G2481,0)</f>
        <v>0.91496716417910451</v>
      </c>
      <c r="Q2481" s="4">
        <f>IFERROR(I2481/H2481,0)</f>
        <v>103.31932584269663</v>
      </c>
      <c r="R2481" s="12">
        <f>IFERROR(J2481/I2481,0)</f>
        <v>0.31872062396279888</v>
      </c>
      <c r="S2481" s="7">
        <f>Tabla_nuevas_columnas[[#This Row],[ROAS]]</f>
        <v>0.31872062396279888</v>
      </c>
      <c r="T2481" t="str">
        <f>_xlfn.CONCAT(C2481,"-",D2481)</f>
        <v>Paid Search-Portugal</v>
      </c>
      <c r="U2481">
        <f>YEAR(A2481)</f>
        <v>2025</v>
      </c>
      <c r="V2481">
        <f>MONTH(A2481)</f>
        <v>1</v>
      </c>
      <c r="W2481" t="str">
        <f>PROPER(TEXT(A2481,"mmmm"))</f>
        <v>Enero</v>
      </c>
      <c r="X2481" t="str">
        <f>PROPER(TEXT(A2481,"dddd"))</f>
        <v>Sábado</v>
      </c>
      <c r="Y2481" t="str" cm="1">
        <f t="array" ref="Y2481">_xlfn.IFS(R2481&gt;10,"Excelente",R2481&gt;=5,"Bueno",R2481&gt;=2,"Débil",R2481&lt;2,"Deficiente")</f>
        <v>Deficiente</v>
      </c>
      <c r="Z2481" t="str">
        <f>IF(AND(R2481&lt;2,Q2481&gt;=100),"Revisar","OK")</f>
        <v>Revisar</v>
      </c>
      <c r="AA2481" s="55">
        <f>_xlfn.XLOOKUP(C2481,'Preguntas de negocio'!$C$114:$C$119,'Preguntas de negocio'!$D$114:$D$119,0)</f>
        <v>5</v>
      </c>
      <c r="AB2481" s="55">
        <f>VLOOKUP(C2481,'Preguntas de negocio'!$C$121:$D$127,2,FALSE)</f>
        <v>1.1000000000000001</v>
      </c>
    </row>
    <row r="2482" spans="1:28" x14ac:dyDescent="0.3">
      <c r="A2482" s="1">
        <v>45853</v>
      </c>
      <c r="B2482" s="2" t="s">
        <v>2632</v>
      </c>
      <c r="C2482" s="2" t="s">
        <v>2527</v>
      </c>
      <c r="D2482" s="2" t="s">
        <v>2525</v>
      </c>
      <c r="E2482" s="2" t="s">
        <v>2529</v>
      </c>
      <c r="F2482" s="3">
        <v>43257</v>
      </c>
      <c r="G2482" s="3">
        <v>200</v>
      </c>
      <c r="H2482" s="3">
        <v>3</v>
      </c>
      <c r="I2482" s="4">
        <v>248.41</v>
      </c>
      <c r="J2482" s="4">
        <v>253.61</v>
      </c>
      <c r="K2482" s="3">
        <v>2</v>
      </c>
      <c r="L2482" s="2" t="s">
        <v>2536</v>
      </c>
      <c r="M2482" s="2" t="s">
        <v>2524</v>
      </c>
      <c r="N2482" s="8">
        <f>IFERROR(G2482/F2482,0)</f>
        <v>4.6235291397924037E-3</v>
      </c>
      <c r="O2482" s="8">
        <f>IFERROR(H2482/G2482,0)</f>
        <v>1.4999999999999999E-2</v>
      </c>
      <c r="P2482" s="4">
        <f>IFERROR(I2482/G2482,0)</f>
        <v>1.2420499999999999</v>
      </c>
      <c r="Q2482" s="4">
        <f>IFERROR(I2482/H2482,0)</f>
        <v>82.803333333333327</v>
      </c>
      <c r="R2482" s="12">
        <f>IFERROR(J2482/I2482,0)</f>
        <v>1.0209331347369268</v>
      </c>
      <c r="S2482" s="7">
        <f>Tabla_nuevas_columnas[[#This Row],[ROAS]]</f>
        <v>1.0209331347369268</v>
      </c>
      <c r="T2482" t="str">
        <f>_xlfn.CONCAT(C2482,"-",D2482)</f>
        <v>Affiliate-Francia</v>
      </c>
      <c r="U2482">
        <f>YEAR(A2482)</f>
        <v>2025</v>
      </c>
      <c r="V2482">
        <f>MONTH(A2482)</f>
        <v>7</v>
      </c>
      <c r="W2482" t="str">
        <f>PROPER(TEXT(A2482,"mmmm"))</f>
        <v>Julio</v>
      </c>
      <c r="X2482" t="str">
        <f>PROPER(TEXT(A2482,"dddd"))</f>
        <v>Martes</v>
      </c>
      <c r="Y2482" t="str" cm="1">
        <f t="array" ref="Y2482">_xlfn.IFS(R2482&gt;10,"Excelente",R2482&gt;=5,"Bueno",R2482&gt;=2,"Débil",R2482&lt;2,"Deficiente")</f>
        <v>Deficiente</v>
      </c>
      <c r="Z2482" t="str">
        <f>IF(AND(R2482&lt;2,Q2482&gt;=100),"Revisar","OK")</f>
        <v>OK</v>
      </c>
      <c r="AA2482" s="55">
        <f>_xlfn.XLOOKUP(C2482,'Preguntas de negocio'!$C$114:$C$119,'Preguntas de negocio'!$D$114:$D$119,0)</f>
        <v>4.5</v>
      </c>
      <c r="AB2482" s="55">
        <f>VLOOKUP(C2482,'Preguntas de negocio'!$C$121:$D$127,2,FALSE)</f>
        <v>0.35</v>
      </c>
    </row>
    <row r="2483" spans="1:28" x14ac:dyDescent="0.3">
      <c r="A2483" s="1">
        <v>45797</v>
      </c>
      <c r="B2483" s="2" t="s">
        <v>2619</v>
      </c>
      <c r="C2483" s="2" t="s">
        <v>2541</v>
      </c>
      <c r="D2483" s="2" t="s">
        <v>2525</v>
      </c>
      <c r="E2483" s="2" t="s">
        <v>2517</v>
      </c>
      <c r="F2483" s="3">
        <v>91559</v>
      </c>
      <c r="G2483" s="3">
        <v>1844</v>
      </c>
      <c r="H2483" s="3">
        <v>115</v>
      </c>
      <c r="I2483" s="4">
        <v>2847.34</v>
      </c>
      <c r="J2483" s="4">
        <v>8008.23</v>
      </c>
      <c r="K2483" s="3">
        <v>84</v>
      </c>
      <c r="L2483" s="2" t="s">
        <v>2523</v>
      </c>
      <c r="M2483" s="2" t="s">
        <v>2519</v>
      </c>
      <c r="N2483" s="8">
        <f>IFERROR(G2483/F2483,0)</f>
        <v>2.0140019004139406E-2</v>
      </c>
      <c r="O2483" s="8">
        <f>IFERROR(H2483/G2483,0)</f>
        <v>6.2364425162689807E-2</v>
      </c>
      <c r="P2483" s="4">
        <f>IFERROR(I2483/G2483,0)</f>
        <v>1.5441106290672453</v>
      </c>
      <c r="Q2483" s="4">
        <f>IFERROR(I2483/H2483,0)</f>
        <v>24.759478260869567</v>
      </c>
      <c r="R2483" s="12">
        <f>IFERROR(J2483/I2483,0)</f>
        <v>2.8125302914298955</v>
      </c>
      <c r="S2483" s="7">
        <f>Tabla_nuevas_columnas[[#This Row],[ROAS]]</f>
        <v>2.8125302914298955</v>
      </c>
      <c r="T2483" t="str">
        <f>_xlfn.CONCAT(C2483,"-",D2483)</f>
        <v>Display-Francia</v>
      </c>
      <c r="U2483">
        <f>YEAR(A2483)</f>
        <v>2025</v>
      </c>
      <c r="V2483">
        <f>MONTH(A2483)</f>
        <v>5</v>
      </c>
      <c r="W2483" t="str">
        <f>PROPER(TEXT(A2483,"mmmm"))</f>
        <v>Mayo</v>
      </c>
      <c r="X2483" t="str">
        <f>PROPER(TEXT(A2483,"dddd"))</f>
        <v>Martes</v>
      </c>
      <c r="Y2483" t="str" cm="1">
        <f t="array" ref="Y2483">_xlfn.IFS(R2483&gt;10,"Excelente",R2483&gt;=5,"Bueno",R2483&gt;=2,"Débil",R2483&lt;2,"Deficiente")</f>
        <v>Débil</v>
      </c>
      <c r="Z2483" t="str">
        <f>IF(AND(R2483&lt;2,Q2483&gt;=100),"Revisar","OK")</f>
        <v>OK</v>
      </c>
      <c r="AA2483" s="55">
        <f>_xlfn.XLOOKUP(C2483,'Preguntas de negocio'!$C$114:$C$119,'Preguntas de negocio'!$D$114:$D$119,0)</f>
        <v>5</v>
      </c>
      <c r="AB2483" s="55">
        <f>VLOOKUP(C2483,'Preguntas de negocio'!$C$121:$D$127,2,FALSE)</f>
        <v>0.5</v>
      </c>
    </row>
    <row r="2484" spans="1:28" x14ac:dyDescent="0.3">
      <c r="A2484" s="1">
        <v>45777</v>
      </c>
      <c r="B2484" s="2" t="s">
        <v>2640</v>
      </c>
      <c r="C2484" s="2" t="s">
        <v>2543</v>
      </c>
      <c r="D2484" s="2" t="s">
        <v>2522</v>
      </c>
      <c r="E2484" s="2" t="s">
        <v>2534</v>
      </c>
      <c r="F2484" s="3">
        <v>165506</v>
      </c>
      <c r="G2484" s="3">
        <v>1188</v>
      </c>
      <c r="H2484" s="3">
        <v>92</v>
      </c>
      <c r="I2484" s="4">
        <v>148.47999999999999</v>
      </c>
      <c r="J2484" s="4">
        <v>5724.74</v>
      </c>
      <c r="K2484" s="3">
        <v>58</v>
      </c>
      <c r="L2484" s="2" t="s">
        <v>2518</v>
      </c>
      <c r="M2484" s="2" t="s">
        <v>2519</v>
      </c>
      <c r="N2484" s="8">
        <f>IFERROR(G2484/F2484,0)</f>
        <v>7.1779875049847132E-3</v>
      </c>
      <c r="O2484" s="8">
        <f>IFERROR(H2484/G2484,0)</f>
        <v>7.7441077441077436E-2</v>
      </c>
      <c r="P2484" s="4">
        <f>IFERROR(I2484/G2484,0)</f>
        <v>0.12498316498316497</v>
      </c>
      <c r="Q2484" s="4">
        <f>IFERROR(I2484/H2484,0)</f>
        <v>1.6139130434782607</v>
      </c>
      <c r="R2484" s="12">
        <f>IFERROR(J2484/I2484,0)</f>
        <v>38.555630387931039</v>
      </c>
      <c r="S2484" s="7">
        <f>Tabla_nuevas_columnas[[#This Row],[ROAS]]</f>
        <v>38.555630387931039</v>
      </c>
      <c r="T2484" t="str">
        <f>_xlfn.CONCAT(C2484,"-",D2484)</f>
        <v>Organic Social-Italia</v>
      </c>
      <c r="U2484">
        <f>YEAR(A2484)</f>
        <v>2025</v>
      </c>
      <c r="V2484">
        <f>MONTH(A2484)</f>
        <v>4</v>
      </c>
      <c r="W2484" t="str">
        <f>PROPER(TEXT(A2484,"mmmm"))</f>
        <v>Abril</v>
      </c>
      <c r="X2484" t="str">
        <f>PROPER(TEXT(A2484,"dddd"))</f>
        <v>Miércoles</v>
      </c>
      <c r="Y2484" t="str" cm="1">
        <f t="array" ref="Y2484">_xlfn.IFS(R2484&gt;10,"Excelente",R2484&gt;=5,"Bueno",R2484&gt;=2,"Débil",R2484&lt;2,"Deficiente")</f>
        <v>Excelente</v>
      </c>
      <c r="Z2484" t="str">
        <f>IF(AND(R2484&lt;2,Q2484&gt;=100),"Revisar","OK")</f>
        <v>OK</v>
      </c>
      <c r="AA2484" s="55">
        <f>_xlfn.XLOOKUP(C2484,'Preguntas de negocio'!$C$114:$C$119,'Preguntas de negocio'!$D$114:$D$119,0)</f>
        <v>4</v>
      </c>
      <c r="AB2484" s="55">
        <f>VLOOKUP(C2484,'Preguntas de negocio'!$C$121:$D$127,2,FALSE)</f>
        <v>0.95</v>
      </c>
    </row>
    <row r="2485" spans="1:28" x14ac:dyDescent="0.3">
      <c r="A2485" s="1">
        <v>45793</v>
      </c>
      <c r="B2485" s="2" t="s">
        <v>2629</v>
      </c>
      <c r="C2485" s="2" t="s">
        <v>2515</v>
      </c>
      <c r="D2485" s="2" t="s">
        <v>2531</v>
      </c>
      <c r="E2485" s="2" t="s">
        <v>2529</v>
      </c>
      <c r="F2485" s="3">
        <v>3038</v>
      </c>
      <c r="G2485" s="3">
        <v>193</v>
      </c>
      <c r="H2485" s="3">
        <v>24</v>
      </c>
      <c r="I2485" s="4">
        <v>303.76</v>
      </c>
      <c r="J2485" s="4">
        <v>4454.33</v>
      </c>
      <c r="K2485" s="3">
        <v>18</v>
      </c>
      <c r="L2485" s="2" t="s">
        <v>2518</v>
      </c>
      <c r="M2485" s="2" t="s">
        <v>2524</v>
      </c>
      <c r="N2485" s="8">
        <f>IFERROR(G2485/F2485,0)</f>
        <v>6.3528637261356158E-2</v>
      </c>
      <c r="O2485" s="8">
        <f>IFERROR(H2485/G2485,0)</f>
        <v>0.12435233160621761</v>
      </c>
      <c r="P2485" s="4">
        <f>IFERROR(I2485/G2485,0)</f>
        <v>1.5738860103626942</v>
      </c>
      <c r="Q2485" s="4">
        <f>IFERROR(I2485/H2485,0)</f>
        <v>12.656666666666666</v>
      </c>
      <c r="R2485" s="12">
        <f>IFERROR(J2485/I2485,0)</f>
        <v>14.663978140637346</v>
      </c>
      <c r="S2485" s="7">
        <f>Tabla_nuevas_columnas[[#This Row],[ROAS]]</f>
        <v>14.663978140637346</v>
      </c>
      <c r="T2485" t="str">
        <f>_xlfn.CONCAT(C2485,"-",D2485)</f>
        <v>Email-Portugal</v>
      </c>
      <c r="U2485">
        <f>YEAR(A2485)</f>
        <v>2025</v>
      </c>
      <c r="V2485">
        <f>MONTH(A2485)</f>
        <v>5</v>
      </c>
      <c r="W2485" t="str">
        <f>PROPER(TEXT(A2485,"mmmm"))</f>
        <v>Mayo</v>
      </c>
      <c r="X2485" t="str">
        <f>PROPER(TEXT(A2485,"dddd"))</f>
        <v>Viernes</v>
      </c>
      <c r="Y2485" t="str" cm="1">
        <f t="array" ref="Y2485">_xlfn.IFS(R2485&gt;10,"Excelente",R2485&gt;=5,"Bueno",R2485&gt;=2,"Débil",R2485&lt;2,"Deficiente")</f>
        <v>Excelente</v>
      </c>
      <c r="Z2485" t="str">
        <f>IF(AND(R2485&lt;2,Q2485&gt;=100),"Revisar","OK")</f>
        <v>OK</v>
      </c>
      <c r="AA2485" s="55">
        <f>_xlfn.XLOOKUP(C2485,'Preguntas de negocio'!$C$114:$C$119,'Preguntas de negocio'!$D$114:$D$119,0)</f>
        <v>5.5</v>
      </c>
      <c r="AB2485" s="55">
        <f>VLOOKUP(C2485,'Preguntas de negocio'!$C$121:$D$127,2,FALSE)</f>
        <v>0.65</v>
      </c>
    </row>
    <row r="2486" spans="1:28" x14ac:dyDescent="0.3">
      <c r="A2486"/>
      <c r="B2486"/>
      <c r="C2486"/>
      <c r="D2486"/>
      <c r="E2486"/>
      <c r="F2486"/>
      <c r="G2486"/>
      <c r="H2486"/>
      <c r="I2486"/>
      <c r="J2486"/>
      <c r="K2486"/>
      <c r="L2486"/>
      <c r="M2486"/>
    </row>
    <row r="2487" spans="1:28" x14ac:dyDescent="0.3">
      <c r="A2487"/>
      <c r="B2487"/>
      <c r="C2487"/>
      <c r="D2487"/>
      <c r="E2487"/>
      <c r="F2487"/>
      <c r="G2487"/>
      <c r="H2487"/>
      <c r="I2487"/>
      <c r="J2487"/>
      <c r="K2487"/>
      <c r="L2487"/>
      <c r="M2487"/>
    </row>
    <row r="2488" spans="1:28" x14ac:dyDescent="0.3">
      <c r="A2488"/>
      <c r="B2488"/>
      <c r="C2488"/>
      <c r="D2488"/>
      <c r="E2488"/>
      <c r="F2488"/>
      <c r="G2488"/>
      <c r="H2488"/>
      <c r="I2488"/>
      <c r="J2488"/>
      <c r="K2488"/>
      <c r="L2488"/>
      <c r="M2488"/>
    </row>
    <row r="2489" spans="1:28" x14ac:dyDescent="0.3">
      <c r="A2489"/>
      <c r="B2489"/>
      <c r="C2489"/>
      <c r="D2489"/>
      <c r="E2489"/>
      <c r="F2489"/>
      <c r="G2489"/>
      <c r="H2489"/>
      <c r="I2489"/>
      <c r="J2489"/>
      <c r="K2489"/>
      <c r="L2489"/>
      <c r="M2489"/>
    </row>
    <row r="2490" spans="1:28" x14ac:dyDescent="0.3">
      <c r="A2490"/>
      <c r="B2490"/>
      <c r="C2490"/>
      <c r="D2490"/>
      <c r="E2490"/>
      <c r="F2490"/>
      <c r="G2490"/>
      <c r="H2490"/>
      <c r="I2490"/>
      <c r="J2490"/>
      <c r="K2490"/>
      <c r="L2490"/>
      <c r="M2490"/>
    </row>
    <row r="2491" spans="1:28" x14ac:dyDescent="0.3">
      <c r="A2491"/>
      <c r="B2491"/>
      <c r="C2491"/>
      <c r="D2491"/>
      <c r="E2491"/>
      <c r="F2491"/>
      <c r="G2491"/>
      <c r="H2491"/>
      <c r="I2491"/>
      <c r="J2491"/>
      <c r="K2491"/>
      <c r="L2491"/>
      <c r="M2491"/>
    </row>
    <row r="2492" spans="1:28" x14ac:dyDescent="0.3">
      <c r="A2492"/>
      <c r="B2492"/>
      <c r="C2492"/>
      <c r="D2492"/>
      <c r="E2492"/>
      <c r="F2492"/>
      <c r="G2492"/>
      <c r="H2492"/>
      <c r="I2492"/>
      <c r="J2492"/>
      <c r="K2492"/>
      <c r="L2492"/>
      <c r="M2492"/>
    </row>
    <row r="2493" spans="1:28" x14ac:dyDescent="0.3">
      <c r="A2493"/>
      <c r="B2493"/>
      <c r="C2493"/>
      <c r="D2493"/>
      <c r="E2493"/>
      <c r="F2493"/>
      <c r="G2493"/>
      <c r="H2493"/>
      <c r="I2493"/>
      <c r="J2493"/>
      <c r="K2493"/>
      <c r="L2493"/>
      <c r="M2493"/>
    </row>
    <row r="2494" spans="1:28" x14ac:dyDescent="0.3">
      <c r="A2494"/>
      <c r="B2494"/>
      <c r="C2494"/>
      <c r="D2494"/>
      <c r="E2494"/>
      <c r="F2494"/>
      <c r="G2494"/>
      <c r="H2494"/>
      <c r="I2494"/>
      <c r="J2494"/>
      <c r="K2494"/>
      <c r="L2494"/>
      <c r="M2494"/>
    </row>
    <row r="2495" spans="1:28" x14ac:dyDescent="0.3">
      <c r="A2495"/>
      <c r="B2495"/>
      <c r="C2495"/>
      <c r="D2495"/>
      <c r="E2495"/>
      <c r="F2495"/>
      <c r="G2495"/>
      <c r="H2495"/>
      <c r="I2495"/>
      <c r="J2495"/>
      <c r="K2495"/>
      <c r="L2495"/>
      <c r="M2495"/>
    </row>
    <row r="2496" spans="1:28" x14ac:dyDescent="0.3">
      <c r="A2496"/>
      <c r="B2496"/>
      <c r="C2496"/>
      <c r="D2496"/>
      <c r="E2496"/>
      <c r="F2496"/>
      <c r="G2496"/>
      <c r="H2496"/>
      <c r="I2496"/>
      <c r="J2496"/>
      <c r="K2496"/>
      <c r="L2496"/>
      <c r="M2496"/>
    </row>
    <row r="2497" spans="14:19" customFormat="1" x14ac:dyDescent="0.3">
      <c r="N2497" s="8"/>
      <c r="O2497" s="8"/>
      <c r="P2497" s="4"/>
      <c r="Q2497" s="4"/>
      <c r="R2497" s="12"/>
      <c r="S2497" s="7"/>
    </row>
    <row r="2498" spans="14:19" customFormat="1" x14ac:dyDescent="0.3">
      <c r="N2498" s="8"/>
      <c r="O2498" s="8"/>
      <c r="P2498" s="4"/>
      <c r="Q2498" s="4"/>
      <c r="R2498" s="12"/>
      <c r="S2498" s="7"/>
    </row>
    <row r="2499" spans="14:19" customFormat="1" x14ac:dyDescent="0.3">
      <c r="N2499" s="8"/>
      <c r="O2499" s="8"/>
      <c r="P2499" s="4"/>
      <c r="Q2499" s="4"/>
      <c r="R2499" s="12"/>
      <c r="S2499" s="7"/>
    </row>
    <row r="2500" spans="14:19" customFormat="1" x14ac:dyDescent="0.3">
      <c r="N2500" s="8"/>
      <c r="O2500" s="8"/>
      <c r="P2500" s="4"/>
      <c r="Q2500" s="4"/>
      <c r="R2500" s="12"/>
      <c r="S2500" s="7"/>
    </row>
    <row r="2501" spans="14:19" customFormat="1" x14ac:dyDescent="0.3">
      <c r="N2501" s="8"/>
      <c r="O2501" s="8"/>
      <c r="P2501" s="4"/>
      <c r="Q2501" s="4"/>
      <c r="R2501" s="12"/>
      <c r="S2501" s="7"/>
    </row>
    <row r="2502" spans="14:19" customFormat="1" x14ac:dyDescent="0.3">
      <c r="N2502" s="8"/>
      <c r="O2502" s="8"/>
      <c r="P2502" s="4"/>
      <c r="Q2502" s="4"/>
      <c r="R2502" s="12"/>
      <c r="S2502" s="7"/>
    </row>
    <row r="2503" spans="14:19" customFormat="1" x14ac:dyDescent="0.3">
      <c r="N2503" s="8"/>
      <c r="O2503" s="8"/>
      <c r="P2503" s="4"/>
      <c r="Q2503" s="4"/>
      <c r="R2503" s="12"/>
      <c r="S2503" s="7"/>
    </row>
    <row r="2504" spans="14:19" customFormat="1" x14ac:dyDescent="0.3">
      <c r="N2504" s="8"/>
      <c r="O2504" s="8"/>
      <c r="P2504" s="4"/>
      <c r="Q2504" s="4"/>
      <c r="R2504" s="12"/>
      <c r="S2504" s="7"/>
    </row>
    <row r="2505" spans="14:19" customFormat="1" x14ac:dyDescent="0.3">
      <c r="N2505" s="8"/>
      <c r="O2505" s="8"/>
      <c r="P2505" s="4"/>
      <c r="Q2505" s="4"/>
      <c r="R2505" s="12"/>
      <c r="S2505" s="7"/>
    </row>
    <row r="2506" spans="14:19" customFormat="1" x14ac:dyDescent="0.3">
      <c r="N2506" s="8"/>
      <c r="O2506" s="8"/>
      <c r="P2506" s="4"/>
      <c r="Q2506" s="4"/>
      <c r="R2506" s="12"/>
      <c r="S2506" s="7"/>
    </row>
    <row r="2507" spans="14:19" customFormat="1" x14ac:dyDescent="0.3">
      <c r="N2507" s="8"/>
      <c r="O2507" s="8"/>
      <c r="P2507" s="4"/>
      <c r="Q2507" s="4"/>
      <c r="R2507" s="12"/>
      <c r="S2507" s="7"/>
    </row>
    <row r="2508" spans="14:19" customFormat="1" x14ac:dyDescent="0.3">
      <c r="N2508" s="8"/>
      <c r="O2508" s="8"/>
      <c r="P2508" s="4"/>
      <c r="Q2508" s="4"/>
      <c r="R2508" s="12"/>
      <c r="S2508" s="7"/>
    </row>
    <row r="2509" spans="14:19" customFormat="1" x14ac:dyDescent="0.3">
      <c r="N2509" s="8"/>
      <c r="O2509" s="8"/>
      <c r="P2509" s="4"/>
      <c r="Q2509" s="4"/>
      <c r="R2509" s="12"/>
      <c r="S2509" s="7"/>
    </row>
    <row r="2510" spans="14:19" customFormat="1" x14ac:dyDescent="0.3">
      <c r="N2510" s="8"/>
      <c r="O2510" s="8"/>
      <c r="P2510" s="4"/>
      <c r="Q2510" s="4"/>
      <c r="R2510" s="12"/>
      <c r="S2510" s="7"/>
    </row>
    <row r="2511" spans="14:19" customFormat="1" x14ac:dyDescent="0.3">
      <c r="N2511" s="8"/>
      <c r="O2511" s="8"/>
      <c r="P2511" s="4"/>
      <c r="Q2511" s="4"/>
      <c r="R2511" s="12"/>
      <c r="S2511" s="7"/>
    </row>
    <row r="2512" spans="14:19" customFormat="1" x14ac:dyDescent="0.3">
      <c r="N2512" s="8"/>
      <c r="O2512" s="8"/>
      <c r="P2512" s="4"/>
      <c r="Q2512" s="4"/>
      <c r="R2512" s="12"/>
      <c r="S2512" s="7"/>
    </row>
    <row r="2513" spans="14:19" customFormat="1" x14ac:dyDescent="0.3">
      <c r="N2513" s="8"/>
      <c r="O2513" s="8"/>
      <c r="P2513" s="4"/>
      <c r="Q2513" s="4"/>
      <c r="R2513" s="12"/>
      <c r="S2513" s="7"/>
    </row>
    <row r="2514" spans="14:19" customFormat="1" x14ac:dyDescent="0.3">
      <c r="N2514" s="8"/>
      <c r="O2514" s="8"/>
      <c r="P2514" s="4"/>
      <c r="Q2514" s="4"/>
      <c r="R2514" s="12"/>
      <c r="S2514" s="7"/>
    </row>
    <row r="2515" spans="14:19" customFormat="1" x14ac:dyDescent="0.3">
      <c r="N2515" s="8"/>
      <c r="O2515" s="8"/>
      <c r="P2515" s="4"/>
      <c r="Q2515" s="4"/>
      <c r="R2515" s="12"/>
      <c r="S2515" s="7"/>
    </row>
    <row r="2516" spans="14:19" customFormat="1" x14ac:dyDescent="0.3">
      <c r="N2516" s="8"/>
      <c r="O2516" s="8"/>
      <c r="P2516" s="4"/>
      <c r="Q2516" s="4"/>
      <c r="R2516" s="12"/>
      <c r="S2516" s="7"/>
    </row>
    <row r="2517" spans="14:19" customFormat="1" x14ac:dyDescent="0.3">
      <c r="N2517" s="8"/>
      <c r="O2517" s="8"/>
      <c r="P2517" s="4"/>
      <c r="Q2517" s="4"/>
      <c r="R2517" s="12"/>
      <c r="S2517" s="7"/>
    </row>
    <row r="2518" spans="14:19" customFormat="1" x14ac:dyDescent="0.3">
      <c r="N2518" s="8"/>
      <c r="O2518" s="8"/>
      <c r="P2518" s="4"/>
      <c r="Q2518" s="4"/>
      <c r="R2518" s="12"/>
      <c r="S2518" s="7"/>
    </row>
    <row r="2519" spans="14:19" customFormat="1" x14ac:dyDescent="0.3">
      <c r="N2519" s="8"/>
      <c r="O2519" s="8"/>
      <c r="P2519" s="4"/>
      <c r="Q2519" s="4"/>
      <c r="R2519" s="12"/>
      <c r="S2519" s="7"/>
    </row>
    <row r="2520" spans="14:19" customFormat="1" x14ac:dyDescent="0.3">
      <c r="N2520" s="8"/>
      <c r="O2520" s="8"/>
      <c r="P2520" s="4"/>
      <c r="Q2520" s="4"/>
      <c r="R2520" s="12"/>
      <c r="S2520" s="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FA275-DA04-4AB1-897D-7F2581A7A440}">
  <dimension ref="A1:K149"/>
  <sheetViews>
    <sheetView topLeftCell="A24" workbookViewId="0">
      <selection activeCell="C34" sqref="C34"/>
    </sheetView>
  </sheetViews>
  <sheetFormatPr baseColWidth="10" defaultRowHeight="12" x14ac:dyDescent="0.3"/>
  <cols>
    <col min="2" max="2" width="54.6640625" customWidth="1"/>
    <col min="3" max="3" width="17.44140625" customWidth="1"/>
    <col min="4" max="4" width="20.109375" customWidth="1"/>
    <col min="5" max="6" width="15.33203125" bestFit="1" customWidth="1"/>
    <col min="7" max="7" width="13.44140625" bestFit="1" customWidth="1"/>
    <col min="8" max="8" width="16.33203125" bestFit="1" customWidth="1"/>
    <col min="9" max="9" width="19" bestFit="1" customWidth="1"/>
    <col min="10" max="10" width="18" bestFit="1" customWidth="1"/>
  </cols>
  <sheetData>
    <row r="1" spans="1:10" x14ac:dyDescent="0.3">
      <c r="B1" s="19" t="s">
        <v>2700</v>
      </c>
    </row>
    <row r="2" spans="1:10" x14ac:dyDescent="0.3">
      <c r="A2">
        <v>1</v>
      </c>
      <c r="B2" s="14" t="s">
        <v>2667</v>
      </c>
      <c r="C2" s="4">
        <f>SUM(Tabla_nuevas_columnas[Gasto_EUR])</f>
        <v>11366489.29999999</v>
      </c>
    </row>
    <row r="3" spans="1:10" x14ac:dyDescent="0.3">
      <c r="A3">
        <v>2</v>
      </c>
      <c r="B3" s="14" t="s">
        <v>2668</v>
      </c>
      <c r="C3" s="4">
        <f>SUM(Tabla_nuevas_columnas[Ingresos_EUR])</f>
        <v>91281852.800000072</v>
      </c>
    </row>
    <row r="4" spans="1:10" x14ac:dyDescent="0.3">
      <c r="A4">
        <v>3</v>
      </c>
      <c r="B4" s="14" t="s">
        <v>2669</v>
      </c>
      <c r="C4" s="3">
        <f>SUM(Tabla_nuevas_columnas[Clics])</f>
        <v>11419844</v>
      </c>
    </row>
    <row r="5" spans="1:10" x14ac:dyDescent="0.3">
      <c r="A5">
        <v>4</v>
      </c>
      <c r="B5" s="14" t="s">
        <v>2670</v>
      </c>
      <c r="C5" s="3">
        <f>SUM(Tabla_nuevas_columnas[Conversiones])</f>
        <v>807971</v>
      </c>
    </row>
    <row r="6" spans="1:10" x14ac:dyDescent="0.3">
      <c r="A6">
        <v>5</v>
      </c>
      <c r="B6" s="14" t="s">
        <v>2671</v>
      </c>
      <c r="C6" s="8">
        <f>C4/SUM(Tabla_nuevas_columnas[Impresiones])</f>
        <v>5.1593263764965855E-2</v>
      </c>
    </row>
    <row r="7" spans="1:10" x14ac:dyDescent="0.3">
      <c r="A7">
        <v>6</v>
      </c>
      <c r="B7" s="14" t="s">
        <v>2672</v>
      </c>
      <c r="C7" s="8">
        <f>C5/C4</f>
        <v>7.0751491876771697E-2</v>
      </c>
    </row>
    <row r="8" spans="1:10" x14ac:dyDescent="0.3">
      <c r="A8">
        <v>7</v>
      </c>
      <c r="B8" s="14" t="s">
        <v>2673</v>
      </c>
      <c r="C8" s="20">
        <f>C2/C4</f>
        <v>0.99532789589770132</v>
      </c>
    </row>
    <row r="9" spans="1:10" x14ac:dyDescent="0.3">
      <c r="A9">
        <v>8</v>
      </c>
      <c r="B9" s="14" t="s">
        <v>2674</v>
      </c>
      <c r="C9" s="4">
        <f>C2/C5</f>
        <v>14.067942166241103</v>
      </c>
    </row>
    <row r="10" spans="1:10" x14ac:dyDescent="0.3">
      <c r="A10">
        <v>9</v>
      </c>
      <c r="B10" s="14" t="s">
        <v>2675</v>
      </c>
      <c r="C10" s="4">
        <f>C3/C2</f>
        <v>8.0307868499027357</v>
      </c>
    </row>
    <row r="11" spans="1:10" x14ac:dyDescent="0.3">
      <c r="A11">
        <v>10</v>
      </c>
      <c r="B11" s="21" t="s">
        <v>2676</v>
      </c>
      <c r="C11">
        <f>COUNTA(Tabla_nuevas_columnas[Fecha])</f>
        <v>2484</v>
      </c>
    </row>
    <row r="12" spans="1:10" s="24" customFormat="1" x14ac:dyDescent="0.3">
      <c r="A12" s="22">
        <v>11</v>
      </c>
      <c r="B12" s="23" t="s">
        <v>2677</v>
      </c>
      <c r="C12" s="24" t="s">
        <v>2701</v>
      </c>
      <c r="D12" s="24">
        <f>COUNTA(_xlfn.UNIQUE(Tabla_nuevas_columnas[Canal]))</f>
        <v>7</v>
      </c>
    </row>
    <row r="13" spans="1:10" s="27" customFormat="1" x14ac:dyDescent="0.3">
      <c r="A13" s="25"/>
      <c r="B13" s="26"/>
      <c r="C13" s="27" t="s">
        <v>2703</v>
      </c>
      <c r="D13" s="27">
        <f>COUNTA(_xlfn.UNIQUE(Tabla_nuevas_columnas[País]))</f>
        <v>6</v>
      </c>
    </row>
    <row r="14" spans="1:10" s="24" customFormat="1" x14ac:dyDescent="0.3">
      <c r="A14" s="22">
        <v>12</v>
      </c>
      <c r="B14" s="28" t="s">
        <v>2678</v>
      </c>
      <c r="C14" s="36" t="s">
        <v>2503</v>
      </c>
      <c r="D14" s="36" t="s">
        <v>2606</v>
      </c>
      <c r="E14" s="36" t="s">
        <v>2704</v>
      </c>
      <c r="F14" s="36" t="s">
        <v>2508</v>
      </c>
      <c r="G14" s="36" t="s">
        <v>2658</v>
      </c>
      <c r="H14" s="36" t="s">
        <v>2657</v>
      </c>
      <c r="I14" s="36" t="s">
        <v>2656</v>
      </c>
      <c r="J14" s="36" t="s">
        <v>2702</v>
      </c>
    </row>
    <row r="15" spans="1:10" s="30" customFormat="1" x14ac:dyDescent="0.3">
      <c r="A15" s="29">
        <v>13</v>
      </c>
      <c r="B15" s="15" t="s">
        <v>2679</v>
      </c>
      <c r="C15" s="30" t="str" cm="1">
        <f t="array" ref="C15:C21">_xlfn.UNIQUE(Tabla_nuevas_columnas[Canal])</f>
        <v>Email</v>
      </c>
      <c r="D15" s="32">
        <f>SUMIF(Tabla_nuevas_columnas[Canal],'Preguntas de negocio'!C15,Tabla_nuevas_columnas[Gasto_EUR])</f>
        <v>1760531.0300000012</v>
      </c>
      <c r="E15" s="33">
        <f>SUMIF(Tabla_nuevas_columnas[Canal],'Preguntas de negocio'!C15,Tabla_nuevas_columnas[Ingresos_EUR])</f>
        <v>15339465.319999991</v>
      </c>
      <c r="F15" s="30">
        <f>SUMIF(Tabla_nuevas_columnas[Canal],'Preguntas de negocio'!C15,Tabla_nuevas_columnas[Conversiones])</f>
        <v>139765</v>
      </c>
      <c r="G15" s="33">
        <f>E15/D15</f>
        <v>8.7129764023528633</v>
      </c>
      <c r="H15" s="33">
        <f>D15/F15</f>
        <v>12.596365542160063</v>
      </c>
      <c r="I15" s="33">
        <f>D15/SUMIF(Tabla_nuevas_columnas[Canal],'Preguntas de negocio'!C15,Tabla_nuevas_columnas[Clics])</f>
        <v>0.92136483625063259</v>
      </c>
      <c r="J15" s="30">
        <f>COUNTIF(Tabla_nuevas_columnas[Canal],'Preguntas de negocio'!C15)</f>
        <v>416</v>
      </c>
    </row>
    <row r="16" spans="1:10" s="30" customFormat="1" x14ac:dyDescent="0.3">
      <c r="A16" s="29">
        <v>14</v>
      </c>
      <c r="B16" s="15" t="s">
        <v>2680</v>
      </c>
      <c r="C16" s="30" t="str">
        <v>Paid Search</v>
      </c>
      <c r="D16" s="32">
        <f>SUMIF(Tabla_nuevas_columnas[Canal],'Preguntas de negocio'!C16,Tabla_nuevas_columnas[Gasto_EUR])</f>
        <v>1949986.9900000012</v>
      </c>
      <c r="E16" s="33">
        <f>SUMIF(Tabla_nuevas_columnas[Canal],'Preguntas de negocio'!C16,Tabla_nuevas_columnas[Ingresos_EUR])</f>
        <v>15289822.899999991</v>
      </c>
      <c r="F16" s="30">
        <f>SUMIF(Tabla_nuevas_columnas[Canal],'Preguntas de negocio'!C16,Tabla_nuevas_columnas[Conversiones])</f>
        <v>130216</v>
      </c>
      <c r="G16" s="33">
        <f t="shared" ref="G16:G21" si="0">E16/D16</f>
        <v>7.8409871339705619</v>
      </c>
      <c r="H16" s="33">
        <f t="shared" ref="H16:H21" si="1">D16/F16</f>
        <v>14.975018354119319</v>
      </c>
      <c r="I16" s="33">
        <f>D16/SUMIF(Tabla_nuevas_columnas[Canal],'Preguntas de negocio'!C16,Tabla_nuevas_columnas[Clics])</f>
        <v>1.0785839315365671</v>
      </c>
      <c r="J16" s="30">
        <f>COUNTIF(Tabla_nuevas_columnas[Canal],'Preguntas de negocio'!C16)</f>
        <v>412</v>
      </c>
    </row>
    <row r="17" spans="1:10" s="30" customFormat="1" x14ac:dyDescent="0.3">
      <c r="A17" s="29">
        <v>15</v>
      </c>
      <c r="B17" s="15" t="s">
        <v>2681</v>
      </c>
      <c r="C17" s="30" t="str">
        <v>Affiliate</v>
      </c>
      <c r="D17" s="32">
        <f>SUMIF(Tabla_nuevas_columnas[Canal],'Preguntas de negocio'!C17,Tabla_nuevas_columnas[Gasto_EUR])</f>
        <v>1965015.6199999989</v>
      </c>
      <c r="E17" s="33">
        <f>SUMIF(Tabla_nuevas_columnas[Canal],'Preguntas de negocio'!C17,Tabla_nuevas_columnas[Ingresos_EUR])</f>
        <v>15164437.729999999</v>
      </c>
      <c r="F17" s="30">
        <f>SUMIF(Tabla_nuevas_columnas[Canal],'Preguntas de negocio'!C17,Tabla_nuevas_columnas[Conversiones])</f>
        <v>129311</v>
      </c>
      <c r="G17" s="33">
        <f t="shared" si="0"/>
        <v>7.7172097644699669</v>
      </c>
      <c r="H17" s="33">
        <f t="shared" si="1"/>
        <v>15.196043801378066</v>
      </c>
      <c r="I17" s="33">
        <f>D17/SUMIF(Tabla_nuevas_columnas[Canal],'Preguntas de negocio'!C17,Tabla_nuevas_columnas[Clics])</f>
        <v>1.0314901843859343</v>
      </c>
      <c r="J17" s="30">
        <f>COUNTIF(Tabla_nuevas_columnas[Canal],'Preguntas de negocio'!C17)</f>
        <v>409</v>
      </c>
    </row>
    <row r="18" spans="1:10" s="30" customFormat="1" x14ac:dyDescent="0.3">
      <c r="A18" s="29">
        <v>16</v>
      </c>
      <c r="B18" s="15" t="s">
        <v>2682</v>
      </c>
      <c r="C18" s="30" t="str">
        <v>Paid Social</v>
      </c>
      <c r="D18" s="32">
        <f>SUMIF(Tabla_nuevas_columnas[Canal],'Preguntas de negocio'!C18,Tabla_nuevas_columnas[Gasto_EUR])</f>
        <v>1855955.3299999998</v>
      </c>
      <c r="E18" s="33">
        <f>SUMIF(Tabla_nuevas_columnas[Canal],'Preguntas de negocio'!C18,Tabla_nuevas_columnas[Ingresos_EUR])</f>
        <v>15031717.420000002</v>
      </c>
      <c r="F18" s="30">
        <f>SUMIF(Tabla_nuevas_columnas[Canal],'Preguntas de negocio'!C18,Tabla_nuevas_columnas[Conversiones])</f>
        <v>143029</v>
      </c>
      <c r="G18" s="33">
        <f t="shared" si="0"/>
        <v>8.0991806090505438</v>
      </c>
      <c r="H18" s="33">
        <f t="shared" si="1"/>
        <v>12.976077089261617</v>
      </c>
      <c r="I18" s="33">
        <f>D18/SUMIF(Tabla_nuevas_columnas[Canal],'Preguntas de negocio'!C18,Tabla_nuevas_columnas[Clics])</f>
        <v>0.89463721973223853</v>
      </c>
      <c r="J18" s="30">
        <f>COUNTIF(Tabla_nuevas_columnas[Canal],'Preguntas de negocio'!C18)</f>
        <v>414</v>
      </c>
    </row>
    <row r="19" spans="1:10" s="30" customFormat="1" x14ac:dyDescent="0.3">
      <c r="A19" s="29">
        <v>17</v>
      </c>
      <c r="B19" s="15" t="s">
        <v>2683</v>
      </c>
      <c r="C19" s="30" t="str">
        <v>Display</v>
      </c>
      <c r="D19" s="32">
        <f>SUMIF(Tabla_nuevas_columnas[Canal],'Preguntas de negocio'!C19,Tabla_nuevas_columnas[Gasto_EUR])</f>
        <v>1875105.1699999992</v>
      </c>
      <c r="E19" s="33">
        <f>SUMIF(Tabla_nuevas_columnas[Canal],'Preguntas de negocio'!C19,Tabla_nuevas_columnas[Ingresos_EUR])</f>
        <v>14340304.99</v>
      </c>
      <c r="F19" s="30">
        <f>SUMIF(Tabla_nuevas_columnas[Canal],'Preguntas de negocio'!C19,Tabla_nuevas_columnas[Conversiones])</f>
        <v>125267</v>
      </c>
      <c r="G19" s="33">
        <f t="shared" si="0"/>
        <v>7.6477336948519028</v>
      </c>
      <c r="H19" s="33">
        <f t="shared" si="1"/>
        <v>14.968867858254761</v>
      </c>
      <c r="I19" s="33">
        <f>D19/SUMIF(Tabla_nuevas_columnas[Canal],'Preguntas de negocio'!C19,Tabla_nuevas_columnas[Clics])</f>
        <v>0.99988704309724663</v>
      </c>
      <c r="J19" s="30">
        <f>COUNTIF(Tabla_nuevas_columnas[Canal],'Preguntas de negocio'!C19)</f>
        <v>411</v>
      </c>
    </row>
    <row r="20" spans="1:10" s="30" customFormat="1" x14ac:dyDescent="0.3">
      <c r="A20" s="29">
        <v>18</v>
      </c>
      <c r="B20" s="15" t="s">
        <v>2684</v>
      </c>
      <c r="C20" s="30" t="str">
        <v>Organic Social</v>
      </c>
      <c r="D20" s="32">
        <f>SUMIF(Tabla_nuevas_columnas[Canal],'Preguntas de negocio'!C20,Tabla_nuevas_columnas[Gasto_EUR])</f>
        <v>1843850.7799999989</v>
      </c>
      <c r="E20" s="33">
        <f>SUMIF(Tabla_nuevas_columnas[Canal],'Preguntas de negocio'!C20,Tabla_nuevas_columnas[Ingresos_EUR])</f>
        <v>15116743.770000005</v>
      </c>
      <c r="F20" s="30">
        <f>SUMIF(Tabla_nuevas_columnas[Canal],'Preguntas de negocio'!C20,Tabla_nuevas_columnas[Conversiones])</f>
        <v>133236</v>
      </c>
      <c r="G20" s="33">
        <f t="shared" si="0"/>
        <v>8.1984637444468333</v>
      </c>
      <c r="H20" s="33">
        <f t="shared" si="1"/>
        <v>13.838983307814695</v>
      </c>
      <c r="I20" s="33">
        <f>D20/SUMIF(Tabla_nuevas_columnas[Canal],'Preguntas de negocio'!C20,Tabla_nuevas_columnas[Clics])</f>
        <v>1.047637131401032</v>
      </c>
      <c r="J20" s="30">
        <f>COUNTIF(Tabla_nuevas_columnas[Canal],'Preguntas de negocio'!C20)</f>
        <v>402</v>
      </c>
    </row>
    <row r="21" spans="1:10" s="27" customFormat="1" x14ac:dyDescent="0.3">
      <c r="A21" s="25"/>
      <c r="B21" s="31"/>
      <c r="C21" s="27" t="str">
        <v>Por identificar</v>
      </c>
      <c r="D21" s="34">
        <f>SUMIF(Tabla_nuevas_columnas[Canal],'Preguntas de negocio'!C21,Tabla_nuevas_columnas[Gasto_EUR])</f>
        <v>116044.37999999999</v>
      </c>
      <c r="E21" s="35">
        <f>SUMIF(Tabla_nuevas_columnas[Canal],'Preguntas de negocio'!C21,Tabla_nuevas_columnas[Ingresos_EUR])</f>
        <v>999360.67</v>
      </c>
      <c r="F21" s="27">
        <f>SUMIF(Tabla_nuevas_columnas[Canal],'Preguntas de negocio'!C21,Tabla_nuevas_columnas[Conversiones])</f>
        <v>7147</v>
      </c>
      <c r="G21" s="35">
        <f t="shared" si="0"/>
        <v>8.6118834018502248</v>
      </c>
      <c r="H21" s="35">
        <f t="shared" si="1"/>
        <v>16.236795858402125</v>
      </c>
      <c r="I21" s="35">
        <f>D21/SUMIF(Tabla_nuevas_columnas[Canal],'Preguntas de negocio'!C21,Tabla_nuevas_columnas[Clics])</f>
        <v>1.3453173039022466</v>
      </c>
      <c r="J21" s="27">
        <f>COUNTIF(Tabla_nuevas_columnas[Canal],'Preguntas de negocio'!C21)</f>
        <v>20</v>
      </c>
    </row>
    <row r="22" spans="1:10" s="24" customFormat="1" x14ac:dyDescent="0.3">
      <c r="A22" s="22">
        <v>19</v>
      </c>
      <c r="B22" s="28" t="s">
        <v>2685</v>
      </c>
      <c r="C22" s="36" t="s">
        <v>2504</v>
      </c>
      <c r="D22" s="36" t="s">
        <v>2508</v>
      </c>
      <c r="E22" s="36" t="s">
        <v>2705</v>
      </c>
      <c r="F22" s="36" t="s">
        <v>2706</v>
      </c>
      <c r="G22" s="36" t="s">
        <v>2658</v>
      </c>
      <c r="H22" s="36" t="s">
        <v>2657</v>
      </c>
    </row>
    <row r="23" spans="1:10" s="30" customFormat="1" x14ac:dyDescent="0.3">
      <c r="A23" s="29">
        <v>20</v>
      </c>
      <c r="B23" s="15" t="s">
        <v>2686</v>
      </c>
      <c r="C23" s="30" t="str" cm="1">
        <f t="array" ref="C23:C28">_xlfn.UNIQUE(Tabla_nuevas_columnas[País])</f>
        <v>México</v>
      </c>
      <c r="D23" s="30">
        <f>SUMIF(Tabla_nuevas_columnas[País],'Preguntas de negocio'!C23,Tabla_nuevas_columnas[Conversiones])</f>
        <v>119946</v>
      </c>
      <c r="E23" s="33">
        <f>SUMIF(Tabla_nuevas_columnas[País],'Preguntas de negocio'!C23,Tabla_nuevas_columnas[Gasto_EUR])</f>
        <v>1545316.61</v>
      </c>
      <c r="F23" s="33">
        <f>SUMIF(Tabla_nuevas_columnas[País],'Preguntas de negocio'!C23,Tabla_nuevas_columnas[Ingresos_EUR])</f>
        <v>12862332.449999994</v>
      </c>
      <c r="G23" s="37">
        <f>F23/E23</f>
        <v>8.3234285885272357</v>
      </c>
      <c r="H23" s="33">
        <f>E23/D23</f>
        <v>12.88343596284995</v>
      </c>
    </row>
    <row r="24" spans="1:10" s="30" customFormat="1" x14ac:dyDescent="0.3">
      <c r="A24" s="29">
        <v>21</v>
      </c>
      <c r="B24" s="15" t="s">
        <v>2687</v>
      </c>
      <c r="C24" s="30" t="str">
        <v>Italia</v>
      </c>
      <c r="D24" s="30">
        <f>SUMIF(Tabla_nuevas_columnas[País],'Preguntas de negocio'!C24,Tabla_nuevas_columnas[Conversiones])</f>
        <v>80084</v>
      </c>
      <c r="E24" s="33">
        <f>SUMIF(Tabla_nuevas_columnas[País],'Preguntas de negocio'!C24,Tabla_nuevas_columnas[Gasto_EUR])</f>
        <v>1044790.1299999997</v>
      </c>
      <c r="F24" s="33">
        <f>SUMIF(Tabla_nuevas_columnas[País],'Preguntas de negocio'!C24,Tabla_nuevas_columnas[Ingresos_EUR])</f>
        <v>7977348.6999999974</v>
      </c>
      <c r="G24" s="37">
        <f t="shared" ref="G24:G28" si="2">F24/E24</f>
        <v>7.6353599358753517</v>
      </c>
      <c r="H24" s="33">
        <f t="shared" ref="H24:H28" si="3">E24/D24</f>
        <v>13.046178137955144</v>
      </c>
    </row>
    <row r="25" spans="1:10" s="30" customFormat="1" x14ac:dyDescent="0.3">
      <c r="A25" s="29"/>
      <c r="B25" s="15"/>
      <c r="C25" s="30" t="str">
        <v>Francia</v>
      </c>
      <c r="D25" s="30">
        <f>SUMIF(Tabla_nuevas_columnas[País],'Preguntas de negocio'!C25,Tabla_nuevas_columnas[Conversiones])</f>
        <v>134373</v>
      </c>
      <c r="E25" s="33">
        <f>SUMIF(Tabla_nuevas_columnas[País],'Preguntas de negocio'!C25,Tabla_nuevas_columnas[Gasto_EUR])</f>
        <v>1768270.6600000011</v>
      </c>
      <c r="F25" s="33">
        <f>SUMIF(Tabla_nuevas_columnas[País],'Preguntas de negocio'!C25,Tabla_nuevas_columnas[Ingresos_EUR])</f>
        <v>14163394.419999992</v>
      </c>
      <c r="G25" s="37">
        <f t="shared" si="2"/>
        <v>8.0097434970730017</v>
      </c>
      <c r="H25" s="33">
        <f t="shared" si="3"/>
        <v>13.159419377404696</v>
      </c>
    </row>
    <row r="26" spans="1:10" s="30" customFormat="1" x14ac:dyDescent="0.3">
      <c r="A26" s="29"/>
      <c r="B26" s="15"/>
      <c r="C26" s="30" t="str">
        <v>España</v>
      </c>
      <c r="D26" s="30">
        <f>SUMIF(Tabla_nuevas_columnas[País],'Preguntas de negocio'!C26,Tabla_nuevas_columnas[Conversiones])</f>
        <v>379772</v>
      </c>
      <c r="E26" s="33">
        <f>SUMIF(Tabla_nuevas_columnas[País],'Preguntas de negocio'!C26,Tabla_nuevas_columnas[Gasto_EUR])</f>
        <v>5534773.4199999897</v>
      </c>
      <c r="F26" s="33">
        <f>SUMIF(Tabla_nuevas_columnas[País],'Preguntas de negocio'!C26,Tabla_nuevas_columnas[Ingresos_EUR])</f>
        <v>45148656.690000035</v>
      </c>
      <c r="G26" s="37">
        <f t="shared" si="2"/>
        <v>8.1572728030482082</v>
      </c>
      <c r="H26" s="33">
        <f t="shared" si="3"/>
        <v>14.573937573070131</v>
      </c>
    </row>
    <row r="27" spans="1:10" s="30" customFormat="1" x14ac:dyDescent="0.3">
      <c r="A27" s="29"/>
      <c r="B27" s="15"/>
      <c r="C27" s="30" t="str">
        <v>Portugal</v>
      </c>
      <c r="D27" s="30">
        <f>SUMIF(Tabla_nuevas_columnas[País],'Preguntas de negocio'!C27,Tabla_nuevas_columnas[Conversiones])</f>
        <v>90358</v>
      </c>
      <c r="E27" s="33">
        <f>SUMIF(Tabla_nuevas_columnas[País],'Preguntas de negocio'!C27,Tabla_nuevas_columnas[Gasto_EUR])</f>
        <v>1382377.1400000004</v>
      </c>
      <c r="F27" s="33">
        <f>SUMIF(Tabla_nuevas_columnas[País],'Preguntas de negocio'!C27,Tabla_nuevas_columnas[Ingresos_EUR])</f>
        <v>10691952.569999993</v>
      </c>
      <c r="G27" s="37">
        <f t="shared" si="2"/>
        <v>7.7344685908217423</v>
      </c>
      <c r="H27" s="33">
        <f t="shared" si="3"/>
        <v>15.298890413687779</v>
      </c>
    </row>
    <row r="28" spans="1:10" s="27" customFormat="1" x14ac:dyDescent="0.3">
      <c r="A28" s="25"/>
      <c r="B28" s="31"/>
      <c r="C28" s="27" t="str">
        <v>Por identificar</v>
      </c>
      <c r="D28" s="27">
        <f>SUMIF(Tabla_nuevas_columnas[País],'Preguntas de negocio'!C28,Tabla_nuevas_columnas[Conversiones])</f>
        <v>3438</v>
      </c>
      <c r="E28" s="35">
        <f>SUMIF(Tabla_nuevas_columnas[País],'Preguntas de negocio'!C28,Tabla_nuevas_columnas[Gasto_EUR])</f>
        <v>90961.340000000011</v>
      </c>
      <c r="F28" s="35">
        <f>SUMIF(Tabla_nuevas_columnas[País],'Preguntas de negocio'!C28,Tabla_nuevas_columnas[Ingresos_EUR])</f>
        <v>438167.97</v>
      </c>
      <c r="G28" s="38">
        <f t="shared" si="2"/>
        <v>4.8170791019569403</v>
      </c>
      <c r="H28" s="35">
        <f t="shared" si="3"/>
        <v>26.457632344386273</v>
      </c>
    </row>
    <row r="29" spans="1:10" s="24" customFormat="1" x14ac:dyDescent="0.3">
      <c r="A29" s="22">
        <v>22</v>
      </c>
      <c r="B29" s="28" t="s">
        <v>2708</v>
      </c>
      <c r="C29" s="24">
        <f>COUNTIF(Tabla_nuevas_columnas[ROAS],"&gt;5")</f>
        <v>1527</v>
      </c>
    </row>
    <row r="30" spans="1:10" s="30" customFormat="1" x14ac:dyDescent="0.3">
      <c r="A30" s="29">
        <v>23</v>
      </c>
      <c r="B30" s="15" t="s">
        <v>2707</v>
      </c>
      <c r="C30" s="30">
        <f>COUNTIF(Tabla_nuevas_columnas[ROAS],"&lt;2")</f>
        <v>387</v>
      </c>
    </row>
    <row r="31" spans="1:10" s="30" customFormat="1" ht="24" x14ac:dyDescent="0.3">
      <c r="A31" s="29">
        <v>24</v>
      </c>
      <c r="B31" s="15" t="s">
        <v>2688</v>
      </c>
      <c r="C31" s="30">
        <f>COUNTIF(Tabla_nuevas_columnas[[Tasa de conversión ]],"&gt;5%")</f>
        <v>1701</v>
      </c>
    </row>
    <row r="32" spans="1:10" s="30" customFormat="1" x14ac:dyDescent="0.3">
      <c r="A32" s="29">
        <v>25</v>
      </c>
      <c r="B32" s="15" t="s">
        <v>2689</v>
      </c>
      <c r="C32" s="30">
        <f>COUNTIF(Tabla_nuevas_columnas[Rendimiento],"Excelente")</f>
        <v>920</v>
      </c>
    </row>
    <row r="33" spans="1:7" s="30" customFormat="1" x14ac:dyDescent="0.3">
      <c r="A33" s="29">
        <v>26</v>
      </c>
      <c r="B33" s="16" t="s">
        <v>2690</v>
      </c>
      <c r="C33" s="30">
        <f>COUNTIF(Tabla_nuevas_columnas[Seguimiento],"Revisar")</f>
        <v>107</v>
      </c>
    </row>
    <row r="34" spans="1:7" s="27" customFormat="1" x14ac:dyDescent="0.3">
      <c r="A34" s="25">
        <v>27</v>
      </c>
      <c r="B34" s="39" t="s">
        <v>2691</v>
      </c>
      <c r="C34" s="27">
        <f>COUNTIFS(Tabla_nuevas_columnas[Rendimiento],"Excelente",Tabla_nuevas_columnas[CPA],"&lt;5")</f>
        <v>325</v>
      </c>
    </row>
    <row r="35" spans="1:7" s="24" customFormat="1" x14ac:dyDescent="0.3">
      <c r="A35" s="22">
        <v>28</v>
      </c>
      <c r="B35" s="40" t="s">
        <v>2711</v>
      </c>
      <c r="C35" s="24" t="s">
        <v>2709</v>
      </c>
      <c r="D35" s="41" cm="1">
        <f t="array" ref="D35">MAX(SUMIF(Tabla_nuevas_columnas[ID_Campaña],_xlfn.UNIQUE(Tabla_nuevas_columnas[ID_Campaña]),Tabla_nuevas_columnas[Gasto_EUR]))</f>
        <v>463863.63999999996</v>
      </c>
      <c r="E35" s="41"/>
    </row>
    <row r="36" spans="1:7" s="30" customFormat="1" x14ac:dyDescent="0.3">
      <c r="A36" s="29"/>
      <c r="B36" s="42"/>
      <c r="C36" s="30" t="s">
        <v>2710</v>
      </c>
      <c r="D36" s="30" t="str" cm="1">
        <f t="array" ref="D36">_xlfn.LET(_xlpm.Campañas,_xlfn.UNIQUE(Tabla_nuevas_columnas[ID_Campaña]),_xlpm.Gastos,SUMIF(Tabla_nuevas_columnas[ID_Campaña],_xlpm.Campañas,Tabla_nuevas_columnas[Gasto_EUR]),INDEX(_xlpm.Campañas,MATCH(MAX(_xlpm.Gastos),_xlpm.Gastos,0)))</f>
        <v>Cmp-026</v>
      </c>
    </row>
    <row r="37" spans="1:7" s="24" customFormat="1" x14ac:dyDescent="0.3">
      <c r="A37" s="22">
        <v>29</v>
      </c>
      <c r="B37" s="44" t="s">
        <v>2692</v>
      </c>
      <c r="C37" s="24" t="s">
        <v>2712</v>
      </c>
      <c r="D37" s="41" cm="1">
        <f t="array" ref="D37">MAX(SUMIF(Tabla_nuevas_columnas[ID_Campaña],_xlfn.UNIQUE(Tabla_nuevas_columnas[ID_Campaña]),Tabla_nuevas_columnas[Ingresos_EUR]))</f>
        <v>4402760.2000000011</v>
      </c>
    </row>
    <row r="38" spans="1:7" s="27" customFormat="1" x14ac:dyDescent="0.3">
      <c r="A38" s="25"/>
      <c r="B38" s="39"/>
      <c r="C38" s="27" t="s">
        <v>2710</v>
      </c>
      <c r="D38" s="27" t="str" cm="1">
        <f t="array" ref="D38">_xlfn.LET(_xlpm.Campañas,_xlfn.UNIQUE(Tabla_nuevas_columnas[ID_Campaña]),_xlpm.Ingresos,SUMIF(Tabla_nuevas_columnas[ID_Campaña],_xlpm.Campañas,Tabla_nuevas_columnas[Ingresos_EUR]),INDEX(_xlpm.Campañas,MATCH(MAX(_xlpm.Ingresos),_xlpm.Ingresos,0)))</f>
        <v>Cmp-005</v>
      </c>
    </row>
    <row r="39" spans="1:7" s="24" customFormat="1" x14ac:dyDescent="0.3">
      <c r="A39" s="22">
        <v>30</v>
      </c>
      <c r="B39" s="40" t="s">
        <v>2693</v>
      </c>
      <c r="C39" s="45" t="s">
        <v>2713</v>
      </c>
      <c r="D39" s="41">
        <f>MAX(Tabla_nuevas_columnas[ROAS])</f>
        <v>265.44682087643844</v>
      </c>
    </row>
    <row r="40" spans="1:7" s="27" customFormat="1" x14ac:dyDescent="0.3">
      <c r="A40" s="25"/>
      <c r="B40" s="39"/>
      <c r="C40" s="46" t="s">
        <v>2705</v>
      </c>
      <c r="D40" s="27">
        <f>_xlfn.XLOOKUP(D39,Tabla_nuevas_columnas[ROAS],Tabla_nuevas_columnas[Gasto_EUR])</f>
        <v>172.06</v>
      </c>
    </row>
    <row r="41" spans="1:7" s="24" customFormat="1" x14ac:dyDescent="0.3">
      <c r="A41" s="22">
        <v>31</v>
      </c>
      <c r="B41" s="40" t="s">
        <v>2694</v>
      </c>
      <c r="C41" s="47" t="s">
        <v>2663</v>
      </c>
      <c r="D41" s="36" t="s">
        <v>2726</v>
      </c>
      <c r="E41" s="36" t="s">
        <v>2727</v>
      </c>
      <c r="F41" s="36" t="s">
        <v>2728</v>
      </c>
      <c r="G41" s="36" t="s">
        <v>2729</v>
      </c>
    </row>
    <row r="42" spans="1:7" s="30" customFormat="1" x14ac:dyDescent="0.3">
      <c r="A42" s="29"/>
      <c r="B42" s="16"/>
      <c r="C42" s="30" t="s">
        <v>2714</v>
      </c>
      <c r="D42" s="30">
        <f>COUNTIFS(Tabla_nuevas_columnas[Mes],'Preguntas de negocio'!C42,Tabla_nuevas_columnas[Rendimiento],"Excelente")</f>
        <v>95</v>
      </c>
      <c r="E42" s="30">
        <f>COUNTIFS(Tabla_nuevas_columnas[Mes],C42,Tabla_nuevas_columnas[Rendimiento],"Bueno")</f>
        <v>63</v>
      </c>
      <c r="F42" s="30">
        <f>COUNTIFS(Tabla_nuevas_columnas[Mes],C42,Tabla_nuevas_columnas[Rendimiento],"Débil")</f>
        <v>51</v>
      </c>
      <c r="G42" s="30">
        <f>COUNTIFS(Tabla_nuevas_columnas[Mes],C42,Tabla_nuevas_columnas[Rendimiento],"Deficiente")</f>
        <v>30</v>
      </c>
    </row>
    <row r="43" spans="1:7" s="30" customFormat="1" x14ac:dyDescent="0.3">
      <c r="A43" s="29"/>
      <c r="B43" s="16"/>
      <c r="C43" s="30" t="s">
        <v>2715</v>
      </c>
      <c r="D43" s="30">
        <f>COUNTIFS(Tabla_nuevas_columnas[Mes],'Preguntas de negocio'!C43,Tabla_nuevas_columnas[Rendimiento],"Excelente")</f>
        <v>65</v>
      </c>
      <c r="E43" s="30">
        <f>COUNTIFS(Tabla_nuevas_columnas[Mes],C43,Tabla_nuevas_columnas[Rendimiento],"Bueno")</f>
        <v>44</v>
      </c>
      <c r="F43" s="30">
        <f>COUNTIFS(Tabla_nuevas_columnas[Mes],C43,Tabla_nuevas_columnas[Rendimiento],"Débil")</f>
        <v>28</v>
      </c>
      <c r="G43" s="30">
        <f>COUNTIFS(Tabla_nuevas_columnas[Mes],C43,Tabla_nuevas_columnas[Rendimiento],"Deficiente")</f>
        <v>33</v>
      </c>
    </row>
    <row r="44" spans="1:7" s="30" customFormat="1" x14ac:dyDescent="0.3">
      <c r="A44" s="29"/>
      <c r="B44" s="16"/>
      <c r="C44" s="30" t="s">
        <v>2716</v>
      </c>
      <c r="D44" s="30">
        <f>COUNTIFS(Tabla_nuevas_columnas[Mes],'Preguntas de negocio'!C44,Tabla_nuevas_columnas[Rendimiento],"Excelente")</f>
        <v>74</v>
      </c>
      <c r="E44" s="30">
        <f>COUNTIFS(Tabla_nuevas_columnas[Mes],C44,Tabla_nuevas_columnas[Rendimiento],"Bueno")</f>
        <v>57</v>
      </c>
      <c r="F44" s="30">
        <f>COUNTIFS(Tabla_nuevas_columnas[Mes],C44,Tabla_nuevas_columnas[Rendimiento],"Débil")</f>
        <v>49</v>
      </c>
      <c r="G44" s="30">
        <f>COUNTIFS(Tabla_nuevas_columnas[Mes],C44,Tabla_nuevas_columnas[Rendimiento],"Deficiente")</f>
        <v>28</v>
      </c>
    </row>
    <row r="45" spans="1:7" s="30" customFormat="1" x14ac:dyDescent="0.3">
      <c r="A45" s="29"/>
      <c r="B45" s="16"/>
      <c r="C45" s="30" t="s">
        <v>2717</v>
      </c>
      <c r="D45" s="30">
        <f>COUNTIFS(Tabla_nuevas_columnas[Mes],'Preguntas de negocio'!C45,Tabla_nuevas_columnas[Rendimiento],"Excelente")</f>
        <v>77</v>
      </c>
      <c r="E45" s="30">
        <f>COUNTIFS(Tabla_nuevas_columnas[Mes],C45,Tabla_nuevas_columnas[Rendimiento],"Bueno")</f>
        <v>54</v>
      </c>
      <c r="F45" s="30">
        <f>COUNTIFS(Tabla_nuevas_columnas[Mes],C45,Tabla_nuevas_columnas[Rendimiento],"Débil")</f>
        <v>48</v>
      </c>
      <c r="G45" s="30">
        <f>COUNTIFS(Tabla_nuevas_columnas[Mes],C45,Tabla_nuevas_columnas[Rendimiento],"Deficiente")</f>
        <v>30</v>
      </c>
    </row>
    <row r="46" spans="1:7" s="30" customFormat="1" x14ac:dyDescent="0.3">
      <c r="A46" s="29"/>
      <c r="B46" s="16"/>
      <c r="C46" s="30" t="s">
        <v>2718</v>
      </c>
      <c r="D46" s="30">
        <f>COUNTIFS(Tabla_nuevas_columnas[Mes],'Preguntas de negocio'!C46,Tabla_nuevas_columnas[Rendimiento],"Excelente")</f>
        <v>86</v>
      </c>
      <c r="E46" s="30">
        <f>COUNTIFS(Tabla_nuevas_columnas[Mes],C46,Tabla_nuevas_columnas[Rendimiento],"Bueno")</f>
        <v>48</v>
      </c>
      <c r="F46" s="30">
        <f>COUNTIFS(Tabla_nuevas_columnas[Mes],C46,Tabla_nuevas_columnas[Rendimiento],"Débil")</f>
        <v>50</v>
      </c>
      <c r="G46" s="30">
        <f>COUNTIFS(Tabla_nuevas_columnas[Mes],C46,Tabla_nuevas_columnas[Rendimiento],"Deficiente")</f>
        <v>35</v>
      </c>
    </row>
    <row r="47" spans="1:7" s="30" customFormat="1" x14ac:dyDescent="0.3">
      <c r="A47" s="29"/>
      <c r="B47" s="16"/>
      <c r="C47" s="30" t="s">
        <v>2719</v>
      </c>
      <c r="D47" s="30">
        <f>COUNTIFS(Tabla_nuevas_columnas[Mes],'Preguntas de negocio'!C47,Tabla_nuevas_columnas[Rendimiento],"Excelente")</f>
        <v>73</v>
      </c>
      <c r="E47" s="30">
        <f>COUNTIFS(Tabla_nuevas_columnas[Mes],C47,Tabla_nuevas_columnas[Rendimiento],"Bueno")</f>
        <v>45</v>
      </c>
      <c r="F47" s="30">
        <f>COUNTIFS(Tabla_nuevas_columnas[Mes],C47,Tabla_nuevas_columnas[Rendimiento],"Débil")</f>
        <v>56</v>
      </c>
      <c r="G47" s="30">
        <f>COUNTIFS(Tabla_nuevas_columnas[Mes],C47,Tabla_nuevas_columnas[Rendimiento],"Deficiente")</f>
        <v>40</v>
      </c>
    </row>
    <row r="48" spans="1:7" s="30" customFormat="1" x14ac:dyDescent="0.3">
      <c r="A48" s="29"/>
      <c r="B48" s="16"/>
      <c r="C48" s="30" t="s">
        <v>2720</v>
      </c>
      <c r="D48" s="30">
        <f>COUNTIFS(Tabla_nuevas_columnas[Mes],'Preguntas de negocio'!C48,Tabla_nuevas_columnas[Rendimiento],"Excelente")</f>
        <v>65</v>
      </c>
      <c r="E48" s="30">
        <f>COUNTIFS(Tabla_nuevas_columnas[Mes],C48,Tabla_nuevas_columnas[Rendimiento],"Bueno")</f>
        <v>48</v>
      </c>
      <c r="F48" s="30">
        <f>COUNTIFS(Tabla_nuevas_columnas[Mes],C48,Tabla_nuevas_columnas[Rendimiento],"Débil")</f>
        <v>48</v>
      </c>
      <c r="G48" s="30">
        <f>COUNTIFS(Tabla_nuevas_columnas[Mes],C48,Tabla_nuevas_columnas[Rendimiento],"Deficiente")</f>
        <v>29</v>
      </c>
    </row>
    <row r="49" spans="1:10" s="30" customFormat="1" x14ac:dyDescent="0.3">
      <c r="A49" s="29"/>
      <c r="B49" s="16"/>
      <c r="C49" s="30" t="s">
        <v>2721</v>
      </c>
      <c r="D49" s="30">
        <f>COUNTIFS(Tabla_nuevas_columnas[Mes],'Preguntas de negocio'!C49,Tabla_nuevas_columnas[Rendimiento],"Excelente")</f>
        <v>86</v>
      </c>
      <c r="E49" s="30">
        <f>COUNTIFS(Tabla_nuevas_columnas[Mes],C49,Tabla_nuevas_columnas[Rendimiento],"Bueno")</f>
        <v>42</v>
      </c>
      <c r="F49" s="30">
        <f>COUNTIFS(Tabla_nuevas_columnas[Mes],C49,Tabla_nuevas_columnas[Rendimiento],"Débil")</f>
        <v>51</v>
      </c>
      <c r="G49" s="30">
        <f>COUNTIFS(Tabla_nuevas_columnas[Mes],C49,Tabla_nuevas_columnas[Rendimiento],"Deficiente")</f>
        <v>35</v>
      </c>
    </row>
    <row r="50" spans="1:10" s="30" customFormat="1" x14ac:dyDescent="0.3">
      <c r="A50" s="29"/>
      <c r="B50" s="16"/>
      <c r="C50" s="30" t="s">
        <v>2722</v>
      </c>
      <c r="D50" s="30">
        <f>COUNTIFS(Tabla_nuevas_columnas[Mes],'Preguntas de negocio'!C50,Tabla_nuevas_columnas[Rendimiento],"Excelente")</f>
        <v>66</v>
      </c>
      <c r="E50" s="30">
        <f>COUNTIFS(Tabla_nuevas_columnas[Mes],C50,Tabla_nuevas_columnas[Rendimiento],"Bueno")</f>
        <v>48</v>
      </c>
      <c r="F50" s="30">
        <f>COUNTIFS(Tabla_nuevas_columnas[Mes],C50,Tabla_nuevas_columnas[Rendimiento],"Débil")</f>
        <v>46</v>
      </c>
      <c r="G50" s="30">
        <f>COUNTIFS(Tabla_nuevas_columnas[Mes],C50,Tabla_nuevas_columnas[Rendimiento],"Deficiente")</f>
        <v>30</v>
      </c>
    </row>
    <row r="51" spans="1:10" s="30" customFormat="1" x14ac:dyDescent="0.3">
      <c r="A51" s="29"/>
      <c r="B51" s="16"/>
      <c r="C51" s="30" t="s">
        <v>2723</v>
      </c>
      <c r="D51" s="30">
        <f>COUNTIFS(Tabla_nuevas_columnas[Mes],'Preguntas de negocio'!C51,Tabla_nuevas_columnas[Rendimiento],"Excelente")</f>
        <v>82</v>
      </c>
      <c r="E51" s="30">
        <f>COUNTIFS(Tabla_nuevas_columnas[Mes],C51,Tabla_nuevas_columnas[Rendimiento],"Bueno")</f>
        <v>60</v>
      </c>
      <c r="F51" s="30">
        <f>COUNTIFS(Tabla_nuevas_columnas[Mes],C51,Tabla_nuevas_columnas[Rendimiento],"Débil")</f>
        <v>40</v>
      </c>
      <c r="G51" s="30">
        <f>COUNTIFS(Tabla_nuevas_columnas[Mes],C51,Tabla_nuevas_columnas[Rendimiento],"Deficiente")</f>
        <v>37</v>
      </c>
    </row>
    <row r="52" spans="1:10" s="30" customFormat="1" x14ac:dyDescent="0.3">
      <c r="A52" s="29"/>
      <c r="B52" s="16"/>
      <c r="C52" s="30" t="s">
        <v>2724</v>
      </c>
      <c r="D52" s="30">
        <f>COUNTIFS(Tabla_nuevas_columnas[Mes],'Preguntas de negocio'!C52,Tabla_nuevas_columnas[Rendimiento],"Excelente")</f>
        <v>76</v>
      </c>
      <c r="E52" s="30">
        <f>COUNTIFS(Tabla_nuevas_columnas[Mes],C52,Tabla_nuevas_columnas[Rendimiento],"Bueno")</f>
        <v>41</v>
      </c>
      <c r="F52" s="30">
        <f>COUNTIFS(Tabla_nuevas_columnas[Mes],C52,Tabla_nuevas_columnas[Rendimiento],"Débil")</f>
        <v>44</v>
      </c>
      <c r="G52" s="30">
        <f>COUNTIFS(Tabla_nuevas_columnas[Mes],C52,Tabla_nuevas_columnas[Rendimiento],"Deficiente")</f>
        <v>22</v>
      </c>
    </row>
    <row r="53" spans="1:10" s="27" customFormat="1" x14ac:dyDescent="0.3">
      <c r="A53" s="25"/>
      <c r="B53" s="39"/>
      <c r="C53" s="27" t="s">
        <v>2725</v>
      </c>
      <c r="D53" s="27">
        <f>COUNTIFS(Tabla_nuevas_columnas[Mes],'Preguntas de negocio'!C53,Tabla_nuevas_columnas[Rendimiento],"Excelente")</f>
        <v>75</v>
      </c>
      <c r="E53" s="27">
        <f>COUNTIFS(Tabla_nuevas_columnas[Mes],C53,Tabla_nuevas_columnas[Rendimiento],"Bueno")</f>
        <v>57</v>
      </c>
      <c r="F53" s="27">
        <f>COUNTIFS(Tabla_nuevas_columnas[Mes],C53,Tabla_nuevas_columnas[Rendimiento],"Débil")</f>
        <v>59</v>
      </c>
      <c r="G53" s="27">
        <f>COUNTIFS(Tabla_nuevas_columnas[Mes],C53,Tabla_nuevas_columnas[Rendimiento],"Deficiente")</f>
        <v>38</v>
      </c>
      <c r="I53" s="30"/>
      <c r="J53" s="30"/>
    </row>
    <row r="54" spans="1:10" s="24" customFormat="1" ht="24" x14ac:dyDescent="0.3">
      <c r="A54" s="22">
        <v>32</v>
      </c>
      <c r="B54" s="40" t="s">
        <v>2695</v>
      </c>
      <c r="D54" s="24" t="s">
        <v>2730</v>
      </c>
      <c r="E54" s="24" t="s">
        <v>2731</v>
      </c>
      <c r="F54" s="24" t="s">
        <v>2658</v>
      </c>
      <c r="G54" s="24" t="s">
        <v>2734</v>
      </c>
    </row>
    <row r="55" spans="1:10" s="30" customFormat="1" x14ac:dyDescent="0.3">
      <c r="A55" s="29"/>
      <c r="B55" s="16"/>
      <c r="D55" s="30" t="str" cm="1">
        <f t="array" ref="D55:D94">_xlfn.UNIQUE(Tabla_nuevas_columnas[Etiqueta Canal-País])</f>
        <v>Email-México</v>
      </c>
      <c r="E55" s="37">
        <f>SUMIFS(Tabla_nuevas_columnas[Gasto_EUR],Tabla_nuevas_columnas[Etiqueta Canal-País],'Preguntas de negocio'!D55)</f>
        <v>230592.8899999999</v>
      </c>
      <c r="F55" s="37">
        <f>SUMIF(Tabla_nuevas_columnas[Etiqueta Canal-País],'Preguntas de negocio'!D55,Tabla_nuevas_columnas[Ingresos_EUR])/E55</f>
        <v>10.191173630722099</v>
      </c>
      <c r="G55" s="30" t="str">
        <f>IF(AND(E55&gt;$J$56,F55&lt;$J$57),"Revisar","OK")</f>
        <v>OK</v>
      </c>
    </row>
    <row r="56" spans="1:10" s="30" customFormat="1" x14ac:dyDescent="0.3">
      <c r="A56" s="29"/>
      <c r="B56" s="16"/>
      <c r="D56" s="30" t="str">
        <v>Paid Search-Italia</v>
      </c>
      <c r="E56" s="37">
        <f>SUMIFS(Tabla_nuevas_columnas[Gasto_EUR],Tabla_nuevas_columnas[Etiqueta Canal-País],'Preguntas de negocio'!D56)</f>
        <v>172803.21</v>
      </c>
      <c r="F56" s="37">
        <f>SUMIF(Tabla_nuevas_columnas[Etiqueta Canal-País],'Preguntas de negocio'!D56,Tabla_nuevas_columnas[Ingresos_EUR])/E56</f>
        <v>7.962930549727635</v>
      </c>
      <c r="G56" s="30" t="str">
        <f t="shared" ref="G56:G94" si="4">IF(AND(E56&gt;$J$56,F56&lt;$J$57),"Revisar","OK")</f>
        <v>OK</v>
      </c>
      <c r="I56" s="30" t="s">
        <v>2732</v>
      </c>
      <c r="J56" s="33">
        <f>AVERAGE(E55:E94)</f>
        <v>284162.23250000004</v>
      </c>
    </row>
    <row r="57" spans="1:10" s="30" customFormat="1" x14ac:dyDescent="0.3">
      <c r="A57" s="29"/>
      <c r="B57" s="16"/>
      <c r="D57" s="30" t="str">
        <v>Email-Francia</v>
      </c>
      <c r="E57" s="37">
        <f>SUMIFS(Tabla_nuevas_columnas[Gasto_EUR],Tabla_nuevas_columnas[Etiqueta Canal-País],'Preguntas de negocio'!D57)</f>
        <v>279189.70999999996</v>
      </c>
      <c r="F57" s="37">
        <f>SUMIF(Tabla_nuevas_columnas[Etiqueta Canal-País],'Preguntas de negocio'!D57,Tabla_nuevas_columnas[Ingresos_EUR])/E57</f>
        <v>8.6684597365712364</v>
      </c>
      <c r="G57" s="30" t="str">
        <f t="shared" si="4"/>
        <v>OK</v>
      </c>
      <c r="I57" s="30" t="s">
        <v>2733</v>
      </c>
      <c r="J57" s="33">
        <f>AVERAGE(F55:F94)</f>
        <v>7.7245016209998809</v>
      </c>
    </row>
    <row r="58" spans="1:10" s="30" customFormat="1" x14ac:dyDescent="0.3">
      <c r="A58" s="29"/>
      <c r="B58" s="16"/>
      <c r="D58" s="30" t="str">
        <v>Affiliate-España</v>
      </c>
      <c r="E58" s="37">
        <f>SUMIFS(Tabla_nuevas_columnas[Gasto_EUR],Tabla_nuevas_columnas[Etiqueta Canal-País],'Preguntas de negocio'!D58)</f>
        <v>930977.36</v>
      </c>
      <c r="F58" s="37">
        <f>SUMIF(Tabla_nuevas_columnas[Etiqueta Canal-País],'Preguntas de negocio'!D58,Tabla_nuevas_columnas[Ingresos_EUR])/E58</f>
        <v>7.4445852045209806</v>
      </c>
      <c r="G58" s="30" t="str">
        <f t="shared" si="4"/>
        <v>Revisar</v>
      </c>
    </row>
    <row r="59" spans="1:10" s="30" customFormat="1" x14ac:dyDescent="0.3">
      <c r="A59" s="29"/>
      <c r="B59" s="16"/>
      <c r="D59" s="30" t="str">
        <v>Paid Search-Portugal</v>
      </c>
      <c r="E59" s="37">
        <f>SUMIFS(Tabla_nuevas_columnas[Gasto_EUR],Tabla_nuevas_columnas[Etiqueta Canal-País],'Preguntas de negocio'!D59)</f>
        <v>313182.26</v>
      </c>
      <c r="F59" s="37">
        <f>SUMIF(Tabla_nuevas_columnas[Etiqueta Canal-País],'Preguntas de negocio'!D59,Tabla_nuevas_columnas[Ingresos_EUR])/E59</f>
        <v>5.5124757385683338</v>
      </c>
      <c r="G59" s="30" t="str">
        <f t="shared" si="4"/>
        <v>Revisar</v>
      </c>
      <c r="J59" s="33"/>
    </row>
    <row r="60" spans="1:10" s="30" customFormat="1" x14ac:dyDescent="0.3">
      <c r="A60" s="29"/>
      <c r="B60" s="16"/>
      <c r="D60" s="30" t="str">
        <v>Paid Social-Portugal</v>
      </c>
      <c r="E60" s="37">
        <f>SUMIFS(Tabla_nuevas_columnas[Gasto_EUR],Tabla_nuevas_columnas[Etiqueta Canal-País],'Preguntas de negocio'!D60)</f>
        <v>201407.09999999998</v>
      </c>
      <c r="F60" s="37">
        <f>SUMIF(Tabla_nuevas_columnas[Etiqueta Canal-País],'Preguntas de negocio'!D60,Tabla_nuevas_columnas[Ingresos_EUR])/E60</f>
        <v>8.9577595328069375</v>
      </c>
      <c r="G60" s="30" t="str">
        <f t="shared" si="4"/>
        <v>OK</v>
      </c>
      <c r="I60" s="30" t="s">
        <v>2735</v>
      </c>
      <c r="J60" s="33">
        <f>_xlfn.MINIFS(F55:F94,G55:G94,"Revisar")</f>
        <v>5.5124757385683338</v>
      </c>
    </row>
    <row r="61" spans="1:10" s="30" customFormat="1" x14ac:dyDescent="0.3">
      <c r="A61" s="29"/>
      <c r="B61" s="16"/>
      <c r="D61" s="30" t="str">
        <v>Affiliate-Portugal</v>
      </c>
      <c r="E61" s="37">
        <f>SUMIFS(Tabla_nuevas_columnas[Gasto_EUR],Tabla_nuevas_columnas[Etiqueta Canal-País],'Preguntas de negocio'!D61)</f>
        <v>268652.73</v>
      </c>
      <c r="F61" s="37">
        <f>SUMIF(Tabla_nuevas_columnas[Etiqueta Canal-País],'Preguntas de negocio'!D61,Tabla_nuevas_columnas[Ingresos_EUR])/E61</f>
        <v>7.3829199502271958</v>
      </c>
      <c r="G61" s="30" t="str">
        <f t="shared" si="4"/>
        <v>OK</v>
      </c>
      <c r="I61" s="30" t="s">
        <v>2731</v>
      </c>
      <c r="J61" s="33">
        <f>_xlfn.XLOOKUP(J60,F55:F94,E55:E94)</f>
        <v>313182.26</v>
      </c>
    </row>
    <row r="62" spans="1:10" s="30" customFormat="1" x14ac:dyDescent="0.3">
      <c r="A62" s="29"/>
      <c r="B62" s="16"/>
      <c r="D62" s="30" t="str">
        <v>Display-Francia</v>
      </c>
      <c r="E62" s="37">
        <f>SUMIFS(Tabla_nuevas_columnas[Gasto_EUR],Tabla_nuevas_columnas[Etiqueta Canal-País],'Preguntas de negocio'!D62)</f>
        <v>236300.17999999993</v>
      </c>
      <c r="F62" s="37">
        <f>SUMIF(Tabla_nuevas_columnas[Etiqueta Canal-País],'Preguntas de negocio'!D62,Tabla_nuevas_columnas[Ingresos_EUR])/E62</f>
        <v>7.4913594648975721</v>
      </c>
      <c r="G62" s="30" t="str">
        <f t="shared" si="4"/>
        <v>OK</v>
      </c>
      <c r="I62" s="30" t="s">
        <v>2736</v>
      </c>
      <c r="J62" s="30" t="str" cm="1">
        <f t="array" ref="J62">_xlfn.XLOOKUP(J60,F55:F94,_xlfn.ANCHORARRAY(D55))</f>
        <v>Paid Search-Portugal</v>
      </c>
    </row>
    <row r="63" spans="1:10" s="30" customFormat="1" x14ac:dyDescent="0.3">
      <c r="A63" s="29"/>
      <c r="B63" s="16"/>
      <c r="D63" s="30" t="str">
        <v>Organic Social-España</v>
      </c>
      <c r="E63" s="37">
        <f>SUMIFS(Tabla_nuevas_columnas[Gasto_EUR],Tabla_nuevas_columnas[Etiqueta Canal-País],'Preguntas de negocio'!D63)</f>
        <v>832190.72000000067</v>
      </c>
      <c r="F63" s="37">
        <f>SUMIF(Tabla_nuevas_columnas[Etiqueta Canal-País],'Preguntas de negocio'!D63,Tabla_nuevas_columnas[Ingresos_EUR])/E63</f>
        <v>9.1324238751424609</v>
      </c>
      <c r="G63" s="30" t="str">
        <f t="shared" si="4"/>
        <v>OK</v>
      </c>
    </row>
    <row r="64" spans="1:10" s="30" customFormat="1" x14ac:dyDescent="0.3">
      <c r="A64" s="29"/>
      <c r="B64" s="16"/>
      <c r="D64" s="30" t="str">
        <v>Email-España</v>
      </c>
      <c r="E64" s="37">
        <f>SUMIFS(Tabla_nuevas_columnas[Gasto_EUR],Tabla_nuevas_columnas[Etiqueta Canal-País],'Preguntas de negocio'!D64)</f>
        <v>896268.62000000011</v>
      </c>
      <c r="F64" s="37">
        <f>SUMIF(Tabla_nuevas_columnas[Etiqueta Canal-País],'Preguntas de negocio'!D64,Tabla_nuevas_columnas[Ingresos_EUR])/E64</f>
        <v>8.297340902105887</v>
      </c>
      <c r="G64" s="30" t="str">
        <f t="shared" si="4"/>
        <v>OK</v>
      </c>
    </row>
    <row r="65" spans="1:7" s="30" customFormat="1" x14ac:dyDescent="0.3">
      <c r="A65" s="29"/>
      <c r="B65" s="16"/>
      <c r="D65" s="30" t="str">
        <v>Paid Social-España</v>
      </c>
      <c r="E65" s="37">
        <f>SUMIFS(Tabla_nuevas_columnas[Gasto_EUR],Tabla_nuevas_columnas[Etiqueta Canal-País],'Preguntas de negocio'!D65)</f>
        <v>976293.74000000022</v>
      </c>
      <c r="F65" s="37">
        <f>SUMIF(Tabla_nuevas_columnas[Etiqueta Canal-País],'Preguntas de negocio'!D65,Tabla_nuevas_columnas[Ingresos_EUR])/E65</f>
        <v>7.6110186469084606</v>
      </c>
      <c r="G65" s="30" t="str">
        <f t="shared" si="4"/>
        <v>Revisar</v>
      </c>
    </row>
    <row r="66" spans="1:7" s="30" customFormat="1" x14ac:dyDescent="0.3">
      <c r="A66" s="29"/>
      <c r="B66" s="16"/>
      <c r="D66" s="30" t="str">
        <v>Display-México</v>
      </c>
      <c r="E66" s="37">
        <f>SUMIFS(Tabla_nuevas_columnas[Gasto_EUR],Tabla_nuevas_columnas[Etiqueta Canal-País],'Preguntas de negocio'!D66)</f>
        <v>267666.65000000008</v>
      </c>
      <c r="F66" s="37">
        <f>SUMIF(Tabla_nuevas_columnas[Etiqueta Canal-País],'Preguntas de negocio'!D66,Tabla_nuevas_columnas[Ingresos_EUR])/E66</f>
        <v>7.803236002692155</v>
      </c>
      <c r="G66" s="30" t="str">
        <f t="shared" si="4"/>
        <v>OK</v>
      </c>
    </row>
    <row r="67" spans="1:7" s="30" customFormat="1" x14ac:dyDescent="0.3">
      <c r="A67" s="29"/>
      <c r="B67" s="16"/>
      <c r="D67" s="30" t="str">
        <v>Affiliate-Francia</v>
      </c>
      <c r="E67" s="37">
        <f>SUMIFS(Tabla_nuevas_columnas[Gasto_EUR],Tabla_nuevas_columnas[Etiqueta Canal-País],'Preguntas de negocio'!D67)</f>
        <v>316303.52999999997</v>
      </c>
      <c r="F67" s="37">
        <f>SUMIF(Tabla_nuevas_columnas[Etiqueta Canal-País],'Preguntas de negocio'!D67,Tabla_nuevas_columnas[Ingresos_EUR])/E67</f>
        <v>8.7967875982920578</v>
      </c>
      <c r="G67" s="30" t="str">
        <f t="shared" si="4"/>
        <v>OK</v>
      </c>
    </row>
    <row r="68" spans="1:7" s="30" customFormat="1" x14ac:dyDescent="0.3">
      <c r="A68" s="29"/>
      <c r="B68" s="16"/>
      <c r="D68" s="30" t="str">
        <v>Display-España</v>
      </c>
      <c r="E68" s="37">
        <f>SUMIFS(Tabla_nuevas_columnas[Gasto_EUR],Tabla_nuevas_columnas[Etiqueta Canal-País],'Preguntas de negocio'!D68)</f>
        <v>990956.82000000007</v>
      </c>
      <c r="F68" s="37">
        <f>SUMIF(Tabla_nuevas_columnas[Etiqueta Canal-País],'Preguntas de negocio'!D68,Tabla_nuevas_columnas[Ingresos_EUR])/E68</f>
        <v>7.3487188069405525</v>
      </c>
      <c r="G68" s="30" t="str">
        <f t="shared" si="4"/>
        <v>Revisar</v>
      </c>
    </row>
    <row r="69" spans="1:7" s="30" customFormat="1" x14ac:dyDescent="0.3">
      <c r="A69" s="29"/>
      <c r="B69" s="16"/>
      <c r="D69" s="30" t="str">
        <v>Paid Search-Francia</v>
      </c>
      <c r="E69" s="37">
        <f>SUMIFS(Tabla_nuevas_columnas[Gasto_EUR],Tabla_nuevas_columnas[Etiqueta Canal-País],'Preguntas de negocio'!D69)</f>
        <v>329808.31999999995</v>
      </c>
      <c r="F69" s="37">
        <f>SUMIF(Tabla_nuevas_columnas[Etiqueta Canal-País],'Preguntas de negocio'!D69,Tabla_nuevas_columnas[Ingresos_EUR])/E69</f>
        <v>7.0362555135055391</v>
      </c>
      <c r="G69" s="30" t="str">
        <f t="shared" si="4"/>
        <v>Revisar</v>
      </c>
    </row>
    <row r="70" spans="1:7" s="30" customFormat="1" x14ac:dyDescent="0.3">
      <c r="A70" s="29"/>
      <c r="B70" s="16"/>
      <c r="D70" s="30" t="str">
        <v>Organic Social-Francia</v>
      </c>
      <c r="E70" s="37">
        <f>SUMIFS(Tabla_nuevas_columnas[Gasto_EUR],Tabla_nuevas_columnas[Etiqueta Canal-País],'Preguntas de negocio'!D70)</f>
        <v>363825.86999999994</v>
      </c>
      <c r="F70" s="37">
        <f>SUMIF(Tabla_nuevas_columnas[Etiqueta Canal-País],'Preguntas de negocio'!D70,Tabla_nuevas_columnas[Ingresos_EUR])/E70</f>
        <v>7.1289651282906323</v>
      </c>
      <c r="G70" s="30" t="str">
        <f t="shared" si="4"/>
        <v>Revisar</v>
      </c>
    </row>
    <row r="71" spans="1:7" s="30" customFormat="1" x14ac:dyDescent="0.3">
      <c r="A71" s="29"/>
      <c r="B71" s="16"/>
      <c r="D71" s="30" t="str">
        <v>Email-Portugal</v>
      </c>
      <c r="E71" s="37">
        <f>SUMIFS(Tabla_nuevas_columnas[Gasto_EUR],Tabla_nuevas_columnas[Etiqueta Canal-País],'Preguntas de negocio'!D71)</f>
        <v>194140.02999999997</v>
      </c>
      <c r="F71" s="37">
        <f>SUMIF(Tabla_nuevas_columnas[Etiqueta Canal-País],'Preguntas de negocio'!D71,Tabla_nuevas_columnas[Ingresos_EUR])/E71</f>
        <v>9.9156522742888225</v>
      </c>
      <c r="G71" s="30" t="str">
        <f t="shared" si="4"/>
        <v>OK</v>
      </c>
    </row>
    <row r="72" spans="1:7" s="30" customFormat="1" x14ac:dyDescent="0.3">
      <c r="A72" s="29"/>
      <c r="B72" s="16"/>
      <c r="D72" s="30" t="str">
        <v>Display-Portugal</v>
      </c>
      <c r="E72" s="37">
        <f>SUMIFS(Tabla_nuevas_columnas[Gasto_EUR],Tabla_nuevas_columnas[Etiqueta Canal-País],'Preguntas de negocio'!D72)</f>
        <v>182428.05000000002</v>
      </c>
      <c r="F72" s="37">
        <f>SUMIF(Tabla_nuevas_columnas[Etiqueta Canal-País],'Preguntas de negocio'!D72,Tabla_nuevas_columnas[Ingresos_EUR])/E72</f>
        <v>8.9194111322244574</v>
      </c>
      <c r="G72" s="30" t="str">
        <f t="shared" si="4"/>
        <v>OK</v>
      </c>
    </row>
    <row r="73" spans="1:7" s="30" customFormat="1" x14ac:dyDescent="0.3">
      <c r="A73" s="29"/>
      <c r="B73" s="16"/>
      <c r="D73" s="30" t="str">
        <v>Affiliate-Italia</v>
      </c>
      <c r="E73" s="37">
        <f>SUMIFS(Tabla_nuevas_columnas[Gasto_EUR],Tabla_nuevas_columnas[Etiqueta Canal-País],'Preguntas de negocio'!D73)</f>
        <v>174713.44</v>
      </c>
      <c r="F73" s="37">
        <f>SUMIF(Tabla_nuevas_columnas[Etiqueta Canal-País],'Preguntas de negocio'!D73,Tabla_nuevas_columnas[Ingresos_EUR])/E73</f>
        <v>7.5731288331338442</v>
      </c>
      <c r="G73" s="30" t="str">
        <f t="shared" si="4"/>
        <v>OK</v>
      </c>
    </row>
    <row r="74" spans="1:7" s="30" customFormat="1" x14ac:dyDescent="0.3">
      <c r="A74" s="29"/>
      <c r="B74" s="16"/>
      <c r="D74" s="30" t="str">
        <v>Paid Social-Francia</v>
      </c>
      <c r="E74" s="37">
        <f>SUMIFS(Tabla_nuevas_columnas[Gasto_EUR],Tabla_nuevas_columnas[Etiqueta Canal-País],'Preguntas de negocio'!D74)</f>
        <v>242843.04999999996</v>
      </c>
      <c r="F74" s="37">
        <f>SUMIF(Tabla_nuevas_columnas[Etiqueta Canal-País],'Preguntas de negocio'!D74,Tabla_nuevas_columnas[Ingresos_EUR])/E74</f>
        <v>9.3734103158398021</v>
      </c>
      <c r="G74" s="30" t="str">
        <f t="shared" si="4"/>
        <v>OK</v>
      </c>
    </row>
    <row r="75" spans="1:7" s="30" customFormat="1" x14ac:dyDescent="0.3">
      <c r="A75" s="29"/>
      <c r="B75" s="16"/>
      <c r="D75" s="30" t="str">
        <v>Por identificar-México</v>
      </c>
      <c r="E75" s="37">
        <f>SUMIFS(Tabla_nuevas_columnas[Gasto_EUR],Tabla_nuevas_columnas[Etiqueta Canal-País],'Preguntas de negocio'!D75)</f>
        <v>49037.1</v>
      </c>
      <c r="F75" s="37">
        <f>SUMIF(Tabla_nuevas_columnas[Etiqueta Canal-País],'Preguntas de negocio'!D75,Tabla_nuevas_columnas[Ingresos_EUR])/E75</f>
        <v>8.9182945157849858</v>
      </c>
      <c r="G75" s="30" t="str">
        <f t="shared" si="4"/>
        <v>OK</v>
      </c>
    </row>
    <row r="76" spans="1:7" s="30" customFormat="1" x14ac:dyDescent="0.3">
      <c r="A76" s="29"/>
      <c r="B76" s="16"/>
      <c r="D76" s="30" t="str">
        <v>Organic Social-México</v>
      </c>
      <c r="E76" s="37">
        <f>SUMIFS(Tabla_nuevas_columnas[Gasto_EUR],Tabla_nuevas_columnas[Etiqueta Canal-País],'Preguntas de negocio'!D76)</f>
        <v>275431.95</v>
      </c>
      <c r="F76" s="37">
        <f>SUMIF(Tabla_nuevas_columnas[Etiqueta Canal-País],'Preguntas de negocio'!D76,Tabla_nuevas_columnas[Ingresos_EUR])/E76</f>
        <v>7.5300225336966191</v>
      </c>
      <c r="G76" s="30" t="str">
        <f t="shared" si="4"/>
        <v>OK</v>
      </c>
    </row>
    <row r="77" spans="1:7" s="30" customFormat="1" x14ac:dyDescent="0.3">
      <c r="A77" s="29"/>
      <c r="B77" s="16"/>
      <c r="D77" s="30" t="str">
        <v>Organic Social-Italia</v>
      </c>
      <c r="E77" s="37">
        <f>SUMIFS(Tabla_nuevas_columnas[Gasto_EUR],Tabla_nuevas_columnas[Etiqueta Canal-País],'Preguntas de negocio'!D77)</f>
        <v>138803.00000000003</v>
      </c>
      <c r="F77" s="37">
        <f>SUMIF(Tabla_nuevas_columnas[Etiqueta Canal-País],'Preguntas de negocio'!D77,Tabla_nuevas_columnas[Ingresos_EUR])/E77</f>
        <v>8.8507062527467006</v>
      </c>
      <c r="G77" s="30" t="str">
        <f t="shared" si="4"/>
        <v>OK</v>
      </c>
    </row>
    <row r="78" spans="1:7" s="30" customFormat="1" x14ac:dyDescent="0.3">
      <c r="A78" s="29"/>
      <c r="B78" s="16"/>
      <c r="D78" s="30" t="str">
        <v>Paid Search-México</v>
      </c>
      <c r="E78" s="37">
        <f>SUMIFS(Tabla_nuevas_columnas[Gasto_EUR],Tabla_nuevas_columnas[Etiqueta Canal-País],'Preguntas de negocio'!D78)</f>
        <v>259112.79000000004</v>
      </c>
      <c r="F78" s="37">
        <f>SUMIF(Tabla_nuevas_columnas[Etiqueta Canal-País],'Preguntas de negocio'!D78,Tabla_nuevas_columnas[Ingresos_EUR])/E78</f>
        <v>6.6070244544856296</v>
      </c>
      <c r="G78" s="30" t="str">
        <f t="shared" si="4"/>
        <v>OK</v>
      </c>
    </row>
    <row r="79" spans="1:7" s="30" customFormat="1" x14ac:dyDescent="0.3">
      <c r="A79" s="29"/>
      <c r="B79" s="16"/>
      <c r="D79" s="30" t="str">
        <v>Paid Social-México</v>
      </c>
      <c r="E79" s="37">
        <f>SUMIFS(Tabla_nuevas_columnas[Gasto_EUR],Tabla_nuevas_columnas[Etiqueta Canal-País],'Preguntas de negocio'!D79)</f>
        <v>208882.13999999998</v>
      </c>
      <c r="F79" s="37">
        <f>SUMIF(Tabla_nuevas_columnas[Etiqueta Canal-País],'Preguntas de negocio'!D79,Tabla_nuevas_columnas[Ingresos_EUR])/E79</f>
        <v>10.201256842734377</v>
      </c>
      <c r="G79" s="30" t="str">
        <f t="shared" si="4"/>
        <v>OK</v>
      </c>
    </row>
    <row r="80" spans="1:7" s="30" customFormat="1" x14ac:dyDescent="0.3">
      <c r="A80" s="29"/>
      <c r="B80" s="16"/>
      <c r="D80" s="30" t="str">
        <v>Paid Social-Italia</v>
      </c>
      <c r="E80" s="37">
        <f>SUMIFS(Tabla_nuevas_columnas[Gasto_EUR],Tabla_nuevas_columnas[Etiqueta Canal-País],'Preguntas de negocio'!D80)</f>
        <v>194095.34999999998</v>
      </c>
      <c r="F80" s="37">
        <f>SUMIF(Tabla_nuevas_columnas[Etiqueta Canal-País],'Preguntas de negocio'!D80,Tabla_nuevas_columnas[Ingresos_EUR])/E80</f>
        <v>6.237154985938612</v>
      </c>
      <c r="G80" s="30" t="str">
        <f t="shared" si="4"/>
        <v>OK</v>
      </c>
    </row>
    <row r="81" spans="1:7" s="30" customFormat="1" x14ac:dyDescent="0.3">
      <c r="A81" s="29"/>
      <c r="B81" s="16"/>
      <c r="D81" s="30" t="str">
        <v>Paid Search-España</v>
      </c>
      <c r="E81" s="37">
        <f>SUMIFS(Tabla_nuevas_columnas[Gasto_EUR],Tabla_nuevas_columnas[Etiqueta Canal-País],'Preguntas de negocio'!D81)</f>
        <v>870220.2799999998</v>
      </c>
      <c r="F81" s="37">
        <f>SUMIF(Tabla_nuevas_columnas[Etiqueta Canal-País],'Preguntas de negocio'!D81,Tabla_nuevas_columnas[Ingresos_EUR])/E81</f>
        <v>9.2914318429811864</v>
      </c>
      <c r="G81" s="30" t="str">
        <f t="shared" si="4"/>
        <v>OK</v>
      </c>
    </row>
    <row r="82" spans="1:7" s="30" customFormat="1" x14ac:dyDescent="0.3">
      <c r="A82" s="29"/>
      <c r="B82" s="16"/>
      <c r="D82" s="30" t="str">
        <v>Display-Italia</v>
      </c>
      <c r="E82" s="37">
        <f>SUMIFS(Tabla_nuevas_columnas[Gasto_EUR],Tabla_nuevas_columnas[Etiqueta Canal-País],'Preguntas de negocio'!D82)</f>
        <v>196810.53</v>
      </c>
      <c r="F82" s="37">
        <f>SUMIF(Tabla_nuevas_columnas[Etiqueta Canal-País],'Preguntas de negocio'!D82,Tabla_nuevas_columnas[Ingresos_EUR])/E82</f>
        <v>7.9777540358231853</v>
      </c>
      <c r="G82" s="30" t="str">
        <f t="shared" si="4"/>
        <v>OK</v>
      </c>
    </row>
    <row r="83" spans="1:7" s="30" customFormat="1" x14ac:dyDescent="0.3">
      <c r="A83" s="29"/>
      <c r="B83" s="16"/>
      <c r="D83" s="30" t="str">
        <v>Email-Italia</v>
      </c>
      <c r="E83" s="37">
        <f>SUMIFS(Tabla_nuevas_columnas[Gasto_EUR],Tabla_nuevas_columnas[Etiqueta Canal-País],'Preguntas de negocio'!D83)</f>
        <v>152085.83000000002</v>
      </c>
      <c r="F83" s="37">
        <f>SUMIF(Tabla_nuevas_columnas[Etiqueta Canal-País],'Preguntas de negocio'!D83,Tabla_nuevas_columnas[Ingresos_EUR])/E83</f>
        <v>7.5027988472035805</v>
      </c>
      <c r="G83" s="30" t="str">
        <f t="shared" si="4"/>
        <v>OK</v>
      </c>
    </row>
    <row r="84" spans="1:7" s="30" customFormat="1" x14ac:dyDescent="0.3">
      <c r="A84" s="29"/>
      <c r="B84" s="16"/>
      <c r="D84" s="30" t="str">
        <v>Affiliate-México</v>
      </c>
      <c r="E84" s="37">
        <f>SUMIFS(Tabla_nuevas_columnas[Gasto_EUR],Tabla_nuevas_columnas[Etiqueta Canal-País],'Preguntas de negocio'!D84)</f>
        <v>254593.08999999997</v>
      </c>
      <c r="F84" s="37">
        <f>SUMIF(Tabla_nuevas_columnas[Etiqueta Canal-País],'Preguntas de negocio'!D84,Tabla_nuevas_columnas[Ingresos_EUR])/E84</f>
        <v>8.1286308281187054</v>
      </c>
      <c r="G84" s="30" t="str">
        <f t="shared" si="4"/>
        <v>OK</v>
      </c>
    </row>
    <row r="85" spans="1:7" s="30" customFormat="1" x14ac:dyDescent="0.3">
      <c r="A85" s="29"/>
      <c r="B85" s="16"/>
      <c r="D85" s="30" t="str">
        <v>Organic Social-Portugal</v>
      </c>
      <c r="E85" s="37">
        <f>SUMIFS(Tabla_nuevas_columnas[Gasto_EUR],Tabla_nuevas_columnas[Etiqueta Canal-País],'Preguntas de negocio'!D85)</f>
        <v>208904.33999999997</v>
      </c>
      <c r="F85" s="37">
        <f>SUMIF(Tabla_nuevas_columnas[Etiqueta Canal-País],'Preguntas de negocio'!D85,Tabla_nuevas_columnas[Ingresos_EUR])/E85</f>
        <v>7.5372337405723604</v>
      </c>
      <c r="G85" s="30" t="str">
        <f t="shared" si="4"/>
        <v>OK</v>
      </c>
    </row>
    <row r="86" spans="1:7" s="30" customFormat="1" x14ac:dyDescent="0.3">
      <c r="A86" s="29"/>
      <c r="B86" s="16"/>
      <c r="D86" s="30" t="str">
        <v>Por identificar-Italia</v>
      </c>
      <c r="E86" s="37">
        <f>SUMIFS(Tabla_nuevas_columnas[Gasto_EUR],Tabla_nuevas_columnas[Etiqueta Canal-País],'Preguntas de negocio'!D86)</f>
        <v>15478.77</v>
      </c>
      <c r="F86" s="37">
        <f>SUMIF(Tabla_nuevas_columnas[Etiqueta Canal-País],'Preguntas de negocio'!D86,Tabla_nuevas_columnas[Ingresos_EUR])/E86</f>
        <v>8.2641320983514834</v>
      </c>
      <c r="G86" s="30" t="str">
        <f t="shared" si="4"/>
        <v>OK</v>
      </c>
    </row>
    <row r="87" spans="1:7" s="30" customFormat="1" x14ac:dyDescent="0.3">
      <c r="A87" s="29"/>
      <c r="B87" s="16"/>
      <c r="D87" s="30" t="str">
        <v>Por identificar-España</v>
      </c>
      <c r="E87" s="37">
        <f>SUMIFS(Tabla_nuevas_columnas[Gasto_EUR],Tabla_nuevas_columnas[Etiqueta Canal-País],'Preguntas de negocio'!D87)</f>
        <v>37865.879999999997</v>
      </c>
      <c r="F87" s="37">
        <f>SUMIF(Tabla_nuevas_columnas[Etiqueta Canal-País],'Preguntas de negocio'!D87,Tabla_nuevas_columnas[Ingresos_EUR])/E87</f>
        <v>10.112175657874584</v>
      </c>
      <c r="G87" s="30" t="str">
        <f t="shared" si="4"/>
        <v>OK</v>
      </c>
    </row>
    <row r="88" spans="1:7" s="30" customFormat="1" x14ac:dyDescent="0.3">
      <c r="A88" s="29"/>
      <c r="B88" s="16"/>
      <c r="D88" s="30" t="str">
        <v>Affiliate-Por identificar</v>
      </c>
      <c r="E88" s="37">
        <f>SUMIFS(Tabla_nuevas_columnas[Gasto_EUR],Tabla_nuevas_columnas[Etiqueta Canal-País],'Preguntas de negocio'!D88)</f>
        <v>19775.47</v>
      </c>
      <c r="F88" s="37">
        <f>SUMIF(Tabla_nuevas_columnas[Etiqueta Canal-País],'Preguntas de negocio'!D88,Tabla_nuevas_columnas[Ingresos_EUR])/E88</f>
        <v>3.8016921974547251</v>
      </c>
      <c r="G88" s="30" t="str">
        <f t="shared" si="4"/>
        <v>OK</v>
      </c>
    </row>
    <row r="89" spans="1:7" s="30" customFormat="1" x14ac:dyDescent="0.3">
      <c r="A89" s="29"/>
      <c r="B89" s="16"/>
      <c r="D89" s="30" t="str">
        <v>Paid Social-Por identificar</v>
      </c>
      <c r="E89" s="37">
        <f>SUMIFS(Tabla_nuevas_columnas[Gasto_EUR],Tabla_nuevas_columnas[Etiqueta Canal-País],'Preguntas de negocio'!D89)</f>
        <v>32433.95</v>
      </c>
      <c r="F89" s="37">
        <f>SUMIF(Tabla_nuevas_columnas[Etiqueta Canal-País],'Preguntas de negocio'!D89,Tabla_nuevas_columnas[Ingresos_EUR])/E89</f>
        <v>5.5263234974463487</v>
      </c>
      <c r="G89" s="30" t="str">
        <f t="shared" si="4"/>
        <v>OK</v>
      </c>
    </row>
    <row r="90" spans="1:7" s="30" customFormat="1" x14ac:dyDescent="0.3">
      <c r="A90" s="29"/>
      <c r="B90" s="16"/>
      <c r="D90" s="30" t="str">
        <v>Por identificar-Portugal</v>
      </c>
      <c r="E90" s="37">
        <f>SUMIFS(Tabla_nuevas_columnas[Gasto_EUR],Tabla_nuevas_columnas[Etiqueta Canal-País],'Preguntas de negocio'!D90)</f>
        <v>13662.63</v>
      </c>
      <c r="F90" s="37">
        <f>SUMIF(Tabla_nuevas_columnas[Etiqueta Canal-País],'Preguntas de negocio'!D90,Tabla_nuevas_columnas[Ingresos_EUR])/E90</f>
        <v>3.7480587558910692</v>
      </c>
      <c r="G90" s="30" t="str">
        <f t="shared" si="4"/>
        <v>OK</v>
      </c>
    </row>
    <row r="91" spans="1:7" s="30" customFormat="1" x14ac:dyDescent="0.3">
      <c r="A91" s="29"/>
      <c r="B91" s="16"/>
      <c r="D91" s="30" t="str">
        <v>Organic Social-Por identificar</v>
      </c>
      <c r="E91" s="37">
        <f>SUMIFS(Tabla_nuevas_columnas[Gasto_EUR],Tabla_nuevas_columnas[Etiqueta Canal-País],'Preguntas de negocio'!D91)</f>
        <v>24694.9</v>
      </c>
      <c r="F91" s="37">
        <f>SUMIF(Tabla_nuevas_columnas[Etiqueta Canal-País],'Preguntas de negocio'!D91,Tabla_nuevas_columnas[Ingresos_EUR])/E91</f>
        <v>1.8647259150674835</v>
      </c>
      <c r="G91" s="30" t="str">
        <f t="shared" si="4"/>
        <v>OK</v>
      </c>
    </row>
    <row r="92" spans="1:7" s="30" customFormat="1" x14ac:dyDescent="0.3">
      <c r="A92" s="29"/>
      <c r="B92" s="16"/>
      <c r="D92" s="30" t="str">
        <v>Display-Por identificar</v>
      </c>
      <c r="E92" s="37">
        <f>SUMIFS(Tabla_nuevas_columnas[Gasto_EUR],Tabla_nuevas_columnas[Etiqueta Canal-País],'Preguntas de negocio'!D92)</f>
        <v>942.94</v>
      </c>
      <c r="F92" s="37">
        <f>SUMIF(Tabla_nuevas_columnas[Etiqueta Canal-País],'Preguntas de negocio'!D92,Tabla_nuevas_columnas[Ingresos_EUR])/E92</f>
        <v>2.0251129446200182</v>
      </c>
      <c r="G92" s="30" t="str">
        <f t="shared" si="4"/>
        <v>OK</v>
      </c>
    </row>
    <row r="93" spans="1:7" s="30" customFormat="1" x14ac:dyDescent="0.3">
      <c r="A93" s="29"/>
      <c r="B93" s="16"/>
      <c r="D93" s="30" t="str">
        <v>Email-Por identificar</v>
      </c>
      <c r="E93" s="37">
        <f>SUMIFS(Tabla_nuevas_columnas[Gasto_EUR],Tabla_nuevas_columnas[Etiqueta Canal-País],'Preguntas de negocio'!D93)</f>
        <v>8253.9500000000007</v>
      </c>
      <c r="F93" s="37">
        <f>SUMIF(Tabla_nuevas_columnas[Etiqueta Canal-País],'Preguntas de negocio'!D93,Tabla_nuevas_columnas[Ingresos_EUR])/E93</f>
        <v>8.064948297481811</v>
      </c>
      <c r="G93" s="30" t="str">
        <f t="shared" si="4"/>
        <v>OK</v>
      </c>
    </row>
    <row r="94" spans="1:7" s="27" customFormat="1" x14ac:dyDescent="0.3">
      <c r="A94" s="25"/>
      <c r="B94" s="39"/>
      <c r="D94" s="27" t="str">
        <v>Paid Search-Por identificar</v>
      </c>
      <c r="E94" s="38">
        <f>SUMIFS(Tabla_nuevas_columnas[Gasto_EUR],Tabla_nuevas_columnas[Etiqueta Canal-País],'Preguntas de negocio'!D94)</f>
        <v>4860.13</v>
      </c>
      <c r="F94" s="38">
        <f>SUMIF(Tabla_nuevas_columnas[Etiqueta Canal-País],'Preguntas de negocio'!D94,Tabla_nuevas_columnas[Ingresos_EUR])/E94</f>
        <v>14.242573758315105</v>
      </c>
      <c r="G94" s="27" t="str">
        <f t="shared" si="4"/>
        <v>OK</v>
      </c>
    </row>
    <row r="95" spans="1:7" s="24" customFormat="1" ht="24" x14ac:dyDescent="0.3">
      <c r="A95" s="22">
        <v>33</v>
      </c>
      <c r="B95" s="40" t="s">
        <v>2696</v>
      </c>
      <c r="C95" s="36" t="s">
        <v>2503</v>
      </c>
      <c r="D95" s="36" t="s">
        <v>2737</v>
      </c>
      <c r="E95" s="36" t="s">
        <v>2738</v>
      </c>
    </row>
    <row r="96" spans="1:7" s="30" customFormat="1" x14ac:dyDescent="0.3">
      <c r="A96" s="29"/>
      <c r="B96" s="16"/>
      <c r="C96" s="30" t="str" cm="1">
        <f t="array" ref="C96:C102">_xlfn.UNIQUE(Tabla_nuevas_columnas[Canal])</f>
        <v>Email</v>
      </c>
      <c r="D96" s="32">
        <f>SUMIF(Tabla_nuevas_columnas[Canal],'Preguntas de negocio'!C96,Tabla_nuevas_columnas[Gasto_EUR])</f>
        <v>1760531.0300000012</v>
      </c>
      <c r="E96" s="49">
        <f>D96/$D$103</f>
        <v>0.15488784474551884</v>
      </c>
    </row>
    <row r="97" spans="1:6" s="30" customFormat="1" x14ac:dyDescent="0.3">
      <c r="A97" s="29"/>
      <c r="B97" s="16"/>
      <c r="C97" s="30" t="str">
        <v>Paid Search</v>
      </c>
      <c r="D97" s="32">
        <f>SUMIF(Tabla_nuevas_columnas[Canal],'Preguntas de negocio'!C97,Tabla_nuevas_columnas[Gasto_EUR])</f>
        <v>1949986.9900000012</v>
      </c>
      <c r="E97" s="49">
        <f t="shared" ref="E97:E102" si="5">D97/$D$103</f>
        <v>0.17155578459920787</v>
      </c>
    </row>
    <row r="98" spans="1:6" s="30" customFormat="1" x14ac:dyDescent="0.3">
      <c r="A98" s="29"/>
      <c r="B98" s="16"/>
      <c r="C98" s="30" t="str">
        <v>Affiliate</v>
      </c>
      <c r="D98" s="32">
        <f>SUMIF(Tabla_nuevas_columnas[Canal],'Preguntas de negocio'!C98,Tabla_nuevas_columnas[Gasto_EUR])</f>
        <v>1965015.6199999989</v>
      </c>
      <c r="E98" s="49">
        <f t="shared" si="5"/>
        <v>0.17287797209293099</v>
      </c>
    </row>
    <row r="99" spans="1:6" s="30" customFormat="1" x14ac:dyDescent="0.3">
      <c r="A99" s="29"/>
      <c r="B99" s="16"/>
      <c r="C99" s="30" t="str">
        <v>Paid Social</v>
      </c>
      <c r="D99" s="32">
        <f>SUMIF(Tabla_nuevas_columnas[Canal],'Preguntas de negocio'!C99,Tabla_nuevas_columnas[Gasto_EUR])</f>
        <v>1855955.3299999998</v>
      </c>
      <c r="E99" s="49">
        <f t="shared" si="5"/>
        <v>0.16328307545232984</v>
      </c>
    </row>
    <row r="100" spans="1:6" s="30" customFormat="1" x14ac:dyDescent="0.3">
      <c r="A100" s="29"/>
      <c r="B100" s="16"/>
      <c r="C100" s="30" t="str">
        <v>Display</v>
      </c>
      <c r="D100" s="32">
        <f>SUMIF(Tabla_nuevas_columnas[Canal],'Preguntas de negocio'!C100,Tabla_nuevas_columnas[Gasto_EUR])</f>
        <v>1875105.1699999992</v>
      </c>
      <c r="E100" s="49">
        <f t="shared" si="5"/>
        <v>0.16496783839844015</v>
      </c>
    </row>
    <row r="101" spans="1:6" s="30" customFormat="1" x14ac:dyDescent="0.3">
      <c r="A101" s="29"/>
      <c r="B101" s="16"/>
      <c r="C101" s="30" t="str">
        <v>Organic Social</v>
      </c>
      <c r="D101" s="32">
        <f>SUMIF(Tabla_nuevas_columnas[Canal],'Preguntas de negocio'!C101,Tabla_nuevas_columnas[Gasto_EUR])</f>
        <v>1843850.7799999989</v>
      </c>
      <c r="E101" s="49">
        <f t="shared" si="5"/>
        <v>0.16221814241271479</v>
      </c>
    </row>
    <row r="102" spans="1:6" s="30" customFormat="1" x14ac:dyDescent="0.3">
      <c r="A102" s="29"/>
      <c r="B102" s="16"/>
      <c r="C102" s="30" t="str">
        <v>Por identificar</v>
      </c>
      <c r="D102" s="32">
        <f>SUMIF(Tabla_nuevas_columnas[Canal],'Preguntas de negocio'!C102,Tabla_nuevas_columnas[Gasto_EUR])</f>
        <v>116044.37999999999</v>
      </c>
      <c r="E102" s="49">
        <f t="shared" si="5"/>
        <v>1.0209342298857395E-2</v>
      </c>
    </row>
    <row r="103" spans="1:6" s="27" customFormat="1" x14ac:dyDescent="0.3">
      <c r="A103" s="25"/>
      <c r="B103" s="39"/>
      <c r="C103" s="50"/>
      <c r="D103" s="51">
        <f>SUM(D96:D102)</f>
        <v>11366489.300000001</v>
      </c>
    </row>
    <row r="104" spans="1:6" s="24" customFormat="1" ht="24" x14ac:dyDescent="0.3">
      <c r="A104" s="22">
        <v>34</v>
      </c>
      <c r="B104" s="40" t="s">
        <v>2697</v>
      </c>
      <c r="C104" s="36" t="s">
        <v>2503</v>
      </c>
      <c r="D104" s="36" t="s">
        <v>2704</v>
      </c>
      <c r="E104" s="36" t="s">
        <v>2739</v>
      </c>
      <c r="F104" s="47" t="s">
        <v>2740</v>
      </c>
    </row>
    <row r="105" spans="1:6" s="30" customFormat="1" x14ac:dyDescent="0.3">
      <c r="A105" s="29"/>
      <c r="B105" s="16"/>
      <c r="C105" s="30" t="s">
        <v>2515</v>
      </c>
      <c r="D105" s="32">
        <f>SUMIF(Tabla_nuevas_columnas[Canal],C105,Tabla_nuevas_columnas[Ingresos_EUR])</f>
        <v>15339465.319999991</v>
      </c>
      <c r="E105" s="49">
        <f>D105/$D$112</f>
        <v>0.16804506974249314</v>
      </c>
      <c r="F105" s="52">
        <f>SUM($E$105)</f>
        <v>0.16804506974249314</v>
      </c>
    </row>
    <row r="106" spans="1:6" s="30" customFormat="1" x14ac:dyDescent="0.3">
      <c r="A106" s="29"/>
      <c r="B106" s="16"/>
      <c r="C106" s="30" t="s">
        <v>2521</v>
      </c>
      <c r="D106" s="32">
        <f>SUMIF(Tabla_nuevas_columnas[Canal],C106,Tabla_nuevas_columnas[Ingresos_EUR])</f>
        <v>15289822.899999991</v>
      </c>
      <c r="E106" s="49">
        <f>D106/$D$112</f>
        <v>0.16750123305998446</v>
      </c>
      <c r="F106" s="52">
        <f>SUM($E$105:E106)</f>
        <v>0.3355463028024776</v>
      </c>
    </row>
    <row r="107" spans="1:6" s="30" customFormat="1" x14ac:dyDescent="0.3">
      <c r="A107" s="29"/>
      <c r="B107" s="16"/>
      <c r="C107" s="30" t="s">
        <v>2527</v>
      </c>
      <c r="D107" s="32">
        <f>SUMIF(Tabla_nuevas_columnas[Canal],C107,Tabla_nuevas_columnas[Ingresos_EUR])</f>
        <v>15164437.729999999</v>
      </c>
      <c r="E107" s="49">
        <f>D107/$D$112</f>
        <v>0.16612762849178278</v>
      </c>
      <c r="F107" s="52">
        <f>SUM($E$105:E107)</f>
        <v>0.50167393129426041</v>
      </c>
    </row>
    <row r="108" spans="1:6" s="30" customFormat="1" x14ac:dyDescent="0.3">
      <c r="A108" s="29"/>
      <c r="B108" s="16"/>
      <c r="C108" s="30" t="s">
        <v>2543</v>
      </c>
      <c r="D108" s="32">
        <f>SUMIF(Tabla_nuevas_columnas[Canal],C108,Tabla_nuevas_columnas[Ingresos_EUR])</f>
        <v>15116743.770000005</v>
      </c>
      <c r="E108" s="49">
        <f>D108/$D$112</f>
        <v>0.16560513734445154</v>
      </c>
      <c r="F108" s="52">
        <f>SUM($E$105:E108)</f>
        <v>0.667279068638712</v>
      </c>
    </row>
    <row r="109" spans="1:6" s="30" customFormat="1" x14ac:dyDescent="0.3">
      <c r="A109" s="29"/>
      <c r="B109" s="16"/>
      <c r="C109" s="30" t="s">
        <v>2533</v>
      </c>
      <c r="D109" s="32">
        <f>SUMIF(Tabla_nuevas_columnas[Canal],C109,Tabla_nuevas_columnas[Ingresos_EUR])</f>
        <v>15031717.420000002</v>
      </c>
      <c r="E109" s="49">
        <f>D109/$D$112</f>
        <v>0.16467366687806761</v>
      </c>
      <c r="F109" s="52">
        <f>SUM($E$105:E109)</f>
        <v>0.83195273551677962</v>
      </c>
    </row>
    <row r="110" spans="1:6" s="30" customFormat="1" x14ac:dyDescent="0.3">
      <c r="A110" s="29"/>
      <c r="B110" s="16"/>
      <c r="C110" s="30" t="s">
        <v>2541</v>
      </c>
      <c r="D110" s="32">
        <f>SUMIF(Tabla_nuevas_columnas[Canal],C110,Tabla_nuevas_columnas[Ingresos_EUR])</f>
        <v>14340304.99</v>
      </c>
      <c r="E110" s="49">
        <f>D110/$D$112</f>
        <v>0.15709918839421283</v>
      </c>
      <c r="F110" s="52">
        <f>SUM($E$105:E110)</f>
        <v>0.9890519239109925</v>
      </c>
    </row>
    <row r="111" spans="1:6" s="30" customFormat="1" x14ac:dyDescent="0.3">
      <c r="A111" s="29"/>
      <c r="B111" s="16"/>
      <c r="C111" s="30" t="s">
        <v>2645</v>
      </c>
      <c r="D111" s="32">
        <f>SUMIF(Tabla_nuevas_columnas[Canal],C111,Tabla_nuevas_columnas[Ingresos_EUR])</f>
        <v>999360.67</v>
      </c>
      <c r="E111" s="49">
        <f>D111/$D$112</f>
        <v>1.0948076089007696E-2</v>
      </c>
      <c r="F111" s="52">
        <f>SUM($E$105:E111)</f>
        <v>1.0000000000000002</v>
      </c>
    </row>
    <row r="112" spans="1:6" s="27" customFormat="1" x14ac:dyDescent="0.3">
      <c r="A112" s="25"/>
      <c r="B112" s="39"/>
      <c r="C112" s="50"/>
      <c r="D112" s="51">
        <f>SUM(D105:D111)</f>
        <v>91281852.799999982</v>
      </c>
    </row>
    <row r="113" spans="1:5" s="24" customFormat="1" ht="24" x14ac:dyDescent="0.3">
      <c r="A113" s="22">
        <v>35</v>
      </c>
      <c r="B113" s="53" t="s">
        <v>2698</v>
      </c>
      <c r="C113" s="36" t="s">
        <v>2503</v>
      </c>
      <c r="D113" s="36" t="s">
        <v>2741</v>
      </c>
    </row>
    <row r="114" spans="1:5" s="30" customFormat="1" x14ac:dyDescent="0.3">
      <c r="A114" s="29"/>
      <c r="B114" s="17"/>
      <c r="C114" s="30" t="s">
        <v>2527</v>
      </c>
      <c r="D114" s="30">
        <v>4.5</v>
      </c>
    </row>
    <row r="115" spans="1:5" s="30" customFormat="1" x14ac:dyDescent="0.3">
      <c r="A115" s="29"/>
      <c r="B115" s="17"/>
      <c r="C115" s="30" t="s">
        <v>2541</v>
      </c>
      <c r="D115" s="30">
        <v>5</v>
      </c>
    </row>
    <row r="116" spans="1:5" s="30" customFormat="1" x14ac:dyDescent="0.3">
      <c r="A116" s="29"/>
      <c r="B116" s="17"/>
      <c r="C116" s="30" t="s">
        <v>2515</v>
      </c>
      <c r="D116" s="30">
        <v>5.5</v>
      </c>
    </row>
    <row r="117" spans="1:5" s="30" customFormat="1" x14ac:dyDescent="0.3">
      <c r="A117" s="29"/>
      <c r="B117" s="17"/>
      <c r="C117" s="30" t="s">
        <v>2533</v>
      </c>
      <c r="D117" s="30">
        <v>6</v>
      </c>
    </row>
    <row r="118" spans="1:5" s="30" customFormat="1" x14ac:dyDescent="0.3">
      <c r="A118" s="29"/>
      <c r="B118" s="17"/>
      <c r="C118" s="30" t="s">
        <v>2543</v>
      </c>
      <c r="D118" s="30">
        <v>4</v>
      </c>
    </row>
    <row r="119" spans="1:5" s="27" customFormat="1" x14ac:dyDescent="0.3">
      <c r="A119" s="25"/>
      <c r="B119" s="54"/>
      <c r="C119" s="27" t="s">
        <v>2521</v>
      </c>
      <c r="D119" s="27">
        <v>5</v>
      </c>
    </row>
    <row r="120" spans="1:5" s="24" customFormat="1" ht="24" x14ac:dyDescent="0.3">
      <c r="A120" s="22">
        <v>36</v>
      </c>
      <c r="B120" s="53" t="s">
        <v>2699</v>
      </c>
      <c r="C120" s="36" t="s">
        <v>2503</v>
      </c>
      <c r="D120" s="36" t="s">
        <v>2742</v>
      </c>
    </row>
    <row r="121" spans="1:5" s="30" customFormat="1" x14ac:dyDescent="0.3">
      <c r="A121" s="29"/>
      <c r="B121" s="17"/>
      <c r="C121" s="30" t="s">
        <v>2527</v>
      </c>
      <c r="D121" s="56">
        <v>0.35</v>
      </c>
    </row>
    <row r="122" spans="1:5" s="30" customFormat="1" x14ac:dyDescent="0.3">
      <c r="A122" s="29"/>
      <c r="B122" s="17"/>
      <c r="C122" s="30" t="s">
        <v>2541</v>
      </c>
      <c r="D122" s="56">
        <v>0.5</v>
      </c>
    </row>
    <row r="123" spans="1:5" s="30" customFormat="1" x14ac:dyDescent="0.3">
      <c r="A123" s="29"/>
      <c r="B123" s="17"/>
      <c r="C123" s="30" t="s">
        <v>2515</v>
      </c>
      <c r="D123" s="56">
        <v>0.65</v>
      </c>
    </row>
    <row r="124" spans="1:5" s="30" customFormat="1" x14ac:dyDescent="0.3">
      <c r="A124" s="29"/>
      <c r="B124" s="17"/>
      <c r="C124" s="30" t="s">
        <v>2533</v>
      </c>
      <c r="D124" s="56">
        <v>0.8</v>
      </c>
    </row>
    <row r="125" spans="1:5" s="30" customFormat="1" x14ac:dyDescent="0.3">
      <c r="A125" s="29"/>
      <c r="B125" s="17"/>
      <c r="C125" s="30" t="s">
        <v>2543</v>
      </c>
      <c r="D125" s="56">
        <v>0.95</v>
      </c>
    </row>
    <row r="126" spans="1:5" s="30" customFormat="1" x14ac:dyDescent="0.3">
      <c r="A126" s="29"/>
      <c r="B126" s="17"/>
      <c r="C126" s="30" t="s">
        <v>2521</v>
      </c>
      <c r="D126" s="56">
        <v>1.1000000000000001</v>
      </c>
    </row>
    <row r="127" spans="1:5" s="27" customFormat="1" x14ac:dyDescent="0.3">
      <c r="A127" s="25"/>
      <c r="B127" s="54"/>
      <c r="C127" s="27" t="s">
        <v>2645</v>
      </c>
      <c r="D127" s="57">
        <v>0</v>
      </c>
    </row>
    <row r="128" spans="1:5" s="24" customFormat="1" ht="24" x14ac:dyDescent="0.3">
      <c r="A128" s="22">
        <v>37</v>
      </c>
      <c r="B128" s="53" t="s">
        <v>2745</v>
      </c>
      <c r="C128" s="36" t="s">
        <v>2710</v>
      </c>
      <c r="D128" s="36" t="s">
        <v>2501</v>
      </c>
      <c r="E128" s="36" t="s">
        <v>2744</v>
      </c>
    </row>
    <row r="129" spans="1:11" s="30" customFormat="1" x14ac:dyDescent="0.3">
      <c r="A129" s="29"/>
      <c r="B129" s="17"/>
      <c r="C129" s="30" t="s">
        <v>2619</v>
      </c>
      <c r="D129" s="58">
        <v>45948</v>
      </c>
      <c r="E129" s="59" cm="1">
        <f t="array" ref="E129">_xlfn.XLOOKUP(1,(Tabla_nuevas_columnas[ID_Campaña]='Preguntas de negocio'!C129)*(Tabla_nuevas_columnas[Fecha]='Preguntas de negocio'!D129),Tabla_nuevas_columnas[Gasto_EUR],"No existe")</f>
        <v>5879.31</v>
      </c>
    </row>
    <row r="130" spans="1:11" s="30" customFormat="1" x14ac:dyDescent="0.3">
      <c r="A130" s="29"/>
      <c r="B130" s="17"/>
      <c r="C130" s="30" t="s">
        <v>2643</v>
      </c>
      <c r="D130" s="58">
        <v>46012</v>
      </c>
      <c r="E130" s="59" t="str" cm="1">
        <f t="array" ref="E130">_xlfn.XLOOKUP(1,(Tabla_nuevas_columnas[ID_Campaña]='Preguntas de negocio'!C130)*(Tabla_nuevas_columnas[Fecha]='Preguntas de negocio'!D130),Tabla_nuevas_columnas[Gasto_EUR],"No existe")</f>
        <v>No existe</v>
      </c>
    </row>
    <row r="131" spans="1:11" s="30" customFormat="1" x14ac:dyDescent="0.3">
      <c r="A131" s="29"/>
      <c r="B131" s="17"/>
      <c r="C131" s="30" t="s">
        <v>2620</v>
      </c>
      <c r="D131" s="58">
        <v>45686</v>
      </c>
      <c r="E131" s="59" cm="1">
        <f t="array" ref="E131">_xlfn.XLOOKUP(1,(Tabla_nuevas_columnas[ID_Campaña]='Preguntas de negocio'!C131)*(Tabla_nuevas_columnas[Fecha]='Preguntas de negocio'!D131),Tabla_nuevas_columnas[Gasto_EUR],"No existe")</f>
        <v>1536.86</v>
      </c>
    </row>
    <row r="132" spans="1:11" s="27" customFormat="1" x14ac:dyDescent="0.3">
      <c r="A132" s="25"/>
      <c r="B132" s="54"/>
      <c r="C132" s="27" t="s">
        <v>2632</v>
      </c>
      <c r="D132" s="60">
        <v>45852</v>
      </c>
      <c r="E132" s="61" cm="1">
        <f t="array" ref="E132">_xlfn.XLOOKUP(1,(Tabla_nuevas_columnas[ID_Campaña]='Preguntas de negocio'!C132)*(Tabla_nuevas_columnas[Fecha]='Preguntas de negocio'!D132),Tabla_nuevas_columnas[Gasto_EUR],"No existe")</f>
        <v>2903.2</v>
      </c>
    </row>
    <row r="133" spans="1:11" s="24" customFormat="1" ht="26" customHeight="1" x14ac:dyDescent="0.3">
      <c r="A133" s="22">
        <v>38</v>
      </c>
      <c r="B133" s="53" t="s">
        <v>2746</v>
      </c>
      <c r="C133" s="36" t="s">
        <v>2710</v>
      </c>
      <c r="D133" s="36" t="s">
        <v>2501</v>
      </c>
      <c r="E133" s="36" t="s">
        <v>2749</v>
      </c>
    </row>
    <row r="134" spans="1:11" s="30" customFormat="1" x14ac:dyDescent="0.3">
      <c r="A134" s="29"/>
      <c r="B134" s="17"/>
      <c r="C134" s="30" t="s">
        <v>2620</v>
      </c>
      <c r="D134" s="58">
        <v>45939</v>
      </c>
      <c r="E134" s="59">
        <f>SUMIFS(Tabla_nuevas_columnas[Gasto_EUR],Tabla_nuevas_columnas[Fecha],'Preguntas de negocio'!D134,Tabla_nuevas_columnas[ID_Campaña],'Preguntas de negocio'!C134)</f>
        <v>6119.31</v>
      </c>
    </row>
    <row r="135" spans="1:11" s="30" customFormat="1" x14ac:dyDescent="0.3">
      <c r="A135" s="29"/>
      <c r="B135" s="17"/>
      <c r="C135" s="48" t="s">
        <v>2501</v>
      </c>
      <c r="D135" s="48" t="s">
        <v>2502</v>
      </c>
      <c r="E135" s="48" t="s">
        <v>2503</v>
      </c>
      <c r="F135" s="48" t="s">
        <v>2504</v>
      </c>
      <c r="G135" s="48" t="s">
        <v>2505</v>
      </c>
      <c r="H135" s="48" t="s">
        <v>2506</v>
      </c>
      <c r="I135" s="48" t="s">
        <v>2507</v>
      </c>
      <c r="J135" s="48" t="s">
        <v>2508</v>
      </c>
      <c r="K135" s="48" t="s">
        <v>2509</v>
      </c>
    </row>
    <row r="136" spans="1:11" s="30" customFormat="1" x14ac:dyDescent="0.3">
      <c r="A136" s="29"/>
      <c r="B136" s="17"/>
      <c r="C136" s="58" cm="1">
        <f t="array" ref="C136:K137">_xlfn._xlws.FILTER(Tabla_nuevas_columnas[[Fecha]:[Gasto_EUR]],(Tabla_nuevas_columnas[ID_Campaña]='Preguntas de negocio'!C134)*(Tabla_nuevas_columnas[Fecha]='Preguntas de negocio'!D134),"Sin coincidencias")</f>
        <v>45939</v>
      </c>
      <c r="D136" s="30" t="str">
        <v>Cmp-004</v>
      </c>
      <c r="E136" s="30" t="str">
        <v>Affiliate</v>
      </c>
      <c r="F136" s="30" t="str">
        <v>México</v>
      </c>
      <c r="G136" s="30" t="str">
        <v>Desktop</v>
      </c>
      <c r="H136" s="30">
        <v>62151</v>
      </c>
      <c r="I136" s="30">
        <v>3252</v>
      </c>
      <c r="J136" s="30">
        <v>101</v>
      </c>
      <c r="K136" s="30">
        <v>5983.42</v>
      </c>
    </row>
    <row r="137" spans="1:11" s="27" customFormat="1" x14ac:dyDescent="0.3">
      <c r="A137" s="25"/>
      <c r="B137" s="54"/>
      <c r="C137" s="60">
        <v>45939</v>
      </c>
      <c r="D137" s="27" t="str">
        <v>Cmp-004</v>
      </c>
      <c r="E137" s="27" t="str">
        <v>Email</v>
      </c>
      <c r="F137" s="27" t="str">
        <v>España</v>
      </c>
      <c r="G137" s="27" t="str">
        <v>Mobile</v>
      </c>
      <c r="H137" s="27">
        <v>31736</v>
      </c>
      <c r="I137" s="27">
        <v>664</v>
      </c>
      <c r="J137" s="27">
        <v>53</v>
      </c>
      <c r="K137" s="27">
        <v>135.88999999999999</v>
      </c>
    </row>
    <row r="138" spans="1:11" s="24" customFormat="1" ht="24" x14ac:dyDescent="0.3">
      <c r="A138" s="22">
        <v>39</v>
      </c>
      <c r="B138" s="53" t="s">
        <v>2747</v>
      </c>
      <c r="C138" s="36" t="s">
        <v>2710</v>
      </c>
      <c r="D138" s="36" t="s">
        <v>2731</v>
      </c>
    </row>
    <row r="139" spans="1:11" s="30" customFormat="1" x14ac:dyDescent="0.3">
      <c r="A139" s="29"/>
      <c r="B139" s="17"/>
      <c r="C139" s="30" t="str">
        <f>_xlfn.XLOOKUP(D139,Tabla_nuevas_columnas[Gasto_EUR],Tabla_nuevas_columnas[ID_Campaña])</f>
        <v>Cmp-014</v>
      </c>
      <c r="D139" s="33">
        <f>MAX(Tabla_nuevas_columnas[Gasto_EUR])</f>
        <v>31379.62</v>
      </c>
    </row>
    <row r="140" spans="1:11" s="30" customFormat="1" x14ac:dyDescent="0.3">
      <c r="A140" s="29"/>
      <c r="B140" s="17"/>
      <c r="C140" s="48" t="s">
        <v>2502</v>
      </c>
      <c r="D140" s="48" t="s">
        <v>2503</v>
      </c>
      <c r="E140" s="48" t="s">
        <v>2504</v>
      </c>
      <c r="F140" s="48" t="s">
        <v>2505</v>
      </c>
      <c r="G140" s="48" t="s">
        <v>2506</v>
      </c>
      <c r="H140" s="48" t="s">
        <v>2507</v>
      </c>
      <c r="I140" s="48" t="s">
        <v>2508</v>
      </c>
      <c r="J140" s="48" t="s">
        <v>2509</v>
      </c>
    </row>
    <row r="141" spans="1:11" s="27" customFormat="1" x14ac:dyDescent="0.3">
      <c r="A141" s="25"/>
      <c r="B141" s="54"/>
      <c r="C141" s="27" t="str" cm="1">
        <f t="array" ref="C141:J141">_xlfn._xlws.FILTER(Tabla_nuevas_columnas[[ID_Campaña]:[Gasto_EUR]],(Tabla_nuevas_columnas[Gasto_EUR]='Preguntas de negocio'!D139),"No existe")</f>
        <v>Cmp-014</v>
      </c>
      <c r="D141" s="27" t="str">
        <v>Affiliate</v>
      </c>
      <c r="E141" s="27" t="str">
        <v>Francia</v>
      </c>
      <c r="F141" s="27" t="str">
        <v>Mobile</v>
      </c>
      <c r="G141" s="27">
        <v>173827</v>
      </c>
      <c r="H141" s="27">
        <v>15467</v>
      </c>
      <c r="I141" s="27">
        <v>1090</v>
      </c>
      <c r="J141" s="27">
        <v>31379.62</v>
      </c>
    </row>
    <row r="142" spans="1:11" ht="36" x14ac:dyDescent="0.3">
      <c r="A142">
        <v>40</v>
      </c>
      <c r="B142" s="17" t="s">
        <v>2748</v>
      </c>
      <c r="C142" s="36" t="s">
        <v>2503</v>
      </c>
      <c r="D142" s="36" t="s">
        <v>2741</v>
      </c>
      <c r="E142" s="36" t="s">
        <v>2742</v>
      </c>
    </row>
    <row r="143" spans="1:11" x14ac:dyDescent="0.3">
      <c r="B143" s="17"/>
      <c r="C143" s="30" t="s">
        <v>2527</v>
      </c>
      <c r="D143" s="30">
        <v>4.5</v>
      </c>
      <c r="E143" s="56">
        <v>0.35</v>
      </c>
      <c r="G143" s="62" t="s">
        <v>2741</v>
      </c>
      <c r="H143">
        <f>INDEX(C142:E149,MATCH(G144,C142:C149,0),MATCH(G143,C142:E142,0))</f>
        <v>5.5</v>
      </c>
    </row>
    <row r="144" spans="1:11" x14ac:dyDescent="0.3">
      <c r="B144" s="17"/>
      <c r="C144" s="30" t="s">
        <v>2541</v>
      </c>
      <c r="D144" s="30">
        <v>5</v>
      </c>
      <c r="E144" s="56">
        <v>0.5</v>
      </c>
      <c r="G144" s="30" t="s">
        <v>2515</v>
      </c>
    </row>
    <row r="145" spans="2:5" x14ac:dyDescent="0.3">
      <c r="B145" s="17"/>
      <c r="C145" s="30" t="s">
        <v>2515</v>
      </c>
      <c r="D145" s="30">
        <v>5.5</v>
      </c>
      <c r="E145" s="56">
        <v>0.65</v>
      </c>
    </row>
    <row r="146" spans="2:5" x14ac:dyDescent="0.3">
      <c r="B146" s="17"/>
      <c r="C146" s="30" t="s">
        <v>2533</v>
      </c>
      <c r="D146" s="30">
        <v>6</v>
      </c>
      <c r="E146" s="56">
        <v>0.8</v>
      </c>
    </row>
    <row r="147" spans="2:5" x14ac:dyDescent="0.3">
      <c r="B147" s="17"/>
      <c r="C147" s="30" t="s">
        <v>2543</v>
      </c>
      <c r="D147" s="30">
        <v>4</v>
      </c>
      <c r="E147" s="56">
        <v>0.95</v>
      </c>
    </row>
    <row r="148" spans="2:5" x14ac:dyDescent="0.3">
      <c r="B148" s="17"/>
      <c r="C148" s="30" t="s">
        <v>2521</v>
      </c>
      <c r="D148" s="30">
        <v>5</v>
      </c>
      <c r="E148" s="56">
        <v>1.1000000000000001</v>
      </c>
    </row>
    <row r="149" spans="2:5" x14ac:dyDescent="0.3">
      <c r="B149" s="17"/>
      <c r="C149" s="30" t="s">
        <v>2645</v>
      </c>
      <c r="D149" s="43">
        <v>0</v>
      </c>
      <c r="E149" s="56">
        <v>0</v>
      </c>
    </row>
  </sheetData>
  <sortState xmlns:xlrd2="http://schemas.microsoft.com/office/spreadsheetml/2017/richdata2" ref="C105:E111">
    <sortCondition descending="1" ref="E105:E111"/>
  </sortState>
  <phoneticPr fontId="3" type="noConversion"/>
  <conditionalFormatting sqref="D42:D53">
    <cfRule type="colorScale" priority="6">
      <colorScale>
        <cfvo type="min"/>
        <cfvo type="max"/>
        <color rgb="FFFCFCFF"/>
        <color rgb="FF63BE7B"/>
      </colorScale>
    </cfRule>
    <cfRule type="colorScale" priority="9">
      <colorScale>
        <cfvo type="min"/>
        <cfvo type="percentile" val="50"/>
        <cfvo type="max"/>
        <color rgb="FFF8696B"/>
        <color rgb="FFFCFCFF"/>
        <color rgb="FF63BE7B"/>
      </colorScale>
    </cfRule>
  </conditionalFormatting>
  <conditionalFormatting sqref="G42:G53">
    <cfRule type="colorScale" priority="3">
      <colorScale>
        <cfvo type="min"/>
        <cfvo type="max"/>
        <color rgb="FFFCFCFF"/>
        <color rgb="FFF8696B"/>
      </colorScale>
    </cfRule>
  </conditionalFormatting>
  <conditionalFormatting sqref="E42:E53">
    <cfRule type="colorScale" priority="2">
      <colorScale>
        <cfvo type="min"/>
        <cfvo type="max"/>
        <color rgb="FFFCFCFF"/>
        <color rgb="FF63BE7B"/>
      </colorScale>
    </cfRule>
  </conditionalFormatting>
  <conditionalFormatting sqref="F42:F53">
    <cfRule type="colorScale" priority="1">
      <colorScale>
        <cfvo type="min"/>
        <cfvo type="max"/>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0EC7-82D9-4E6B-8CC8-451A90FE0B54}">
  <dimension ref="B2:X55"/>
  <sheetViews>
    <sheetView topLeftCell="E28" zoomScale="75" zoomScaleNormal="75" workbookViewId="0">
      <selection activeCell="T53" sqref="T53"/>
    </sheetView>
  </sheetViews>
  <sheetFormatPr baseColWidth="10" defaultRowHeight="12" x14ac:dyDescent="0.3"/>
  <cols>
    <col min="1" max="1" width="3.44140625" style="75" customWidth="1"/>
    <col min="2" max="2" width="5.77734375" style="75" customWidth="1"/>
    <col min="3" max="3" width="29.33203125" style="75" bestFit="1" customWidth="1"/>
    <col min="4" max="4" width="21.77734375" style="75" bestFit="1" customWidth="1"/>
    <col min="5" max="5" width="26.109375" style="75" bestFit="1" customWidth="1"/>
    <col min="6" max="6" width="18.5546875" style="75" bestFit="1" customWidth="1"/>
    <col min="7" max="7" width="34.5546875" style="75" bestFit="1" customWidth="1"/>
    <col min="8" max="8" width="7.109375" style="75" customWidth="1"/>
    <col min="9" max="18" width="11.5546875" style="75"/>
    <col min="19" max="19" width="13.77734375" style="75" customWidth="1"/>
    <col min="20" max="20" width="3.88671875" style="75" customWidth="1"/>
    <col min="21" max="21" width="42.109375" style="75" customWidth="1"/>
    <col min="22" max="22" width="28.44140625" style="75" customWidth="1"/>
    <col min="23" max="23" width="36" style="75" customWidth="1"/>
    <col min="24" max="24" width="3.5546875" style="75" customWidth="1"/>
    <col min="25" max="16384" width="11.5546875" style="75"/>
  </cols>
  <sheetData>
    <row r="2" spans="2:24" x14ac:dyDescent="0.3">
      <c r="B2" s="63"/>
      <c r="C2" s="63"/>
      <c r="D2" s="63"/>
      <c r="E2" s="63"/>
      <c r="F2" s="63"/>
      <c r="G2" s="63"/>
      <c r="H2" s="63"/>
      <c r="I2" s="78"/>
      <c r="J2" s="78"/>
      <c r="K2" s="78"/>
      <c r="L2" s="78"/>
      <c r="M2" s="78"/>
      <c r="N2" s="78"/>
      <c r="O2" s="78"/>
      <c r="P2" s="78"/>
      <c r="Q2" s="78"/>
      <c r="R2" s="78"/>
      <c r="S2" s="78"/>
      <c r="T2" s="76"/>
      <c r="U2" s="76"/>
      <c r="V2" s="76"/>
      <c r="W2" s="76"/>
      <c r="X2" s="76"/>
    </row>
    <row r="3" spans="2:24" ht="18.5" x14ac:dyDescent="0.45">
      <c r="B3" s="63"/>
      <c r="C3" s="64" t="s">
        <v>2750</v>
      </c>
      <c r="D3" s="64"/>
      <c r="E3" s="64"/>
      <c r="F3" s="64"/>
      <c r="G3" s="64"/>
      <c r="H3" s="63"/>
      <c r="I3" s="78"/>
      <c r="J3" s="78"/>
      <c r="K3" s="78"/>
      <c r="L3" s="78"/>
      <c r="M3" s="78"/>
      <c r="N3" s="78"/>
      <c r="O3" s="78"/>
      <c r="P3" s="78"/>
      <c r="Q3" s="78"/>
      <c r="R3" s="78"/>
      <c r="S3" s="78"/>
      <c r="T3" s="76"/>
      <c r="U3" s="89" t="s">
        <v>2774</v>
      </c>
      <c r="V3" s="89"/>
      <c r="W3" s="89"/>
      <c r="X3" s="76"/>
    </row>
    <row r="4" spans="2:24" ht="16" x14ac:dyDescent="0.4">
      <c r="B4" s="63"/>
      <c r="C4" s="82" t="s">
        <v>2761</v>
      </c>
      <c r="D4" s="70"/>
      <c r="E4" s="70"/>
      <c r="F4" s="70"/>
      <c r="G4" s="70"/>
      <c r="H4" s="63"/>
      <c r="I4" s="78"/>
      <c r="J4" s="78"/>
      <c r="K4" s="78"/>
      <c r="L4" s="78"/>
      <c r="M4" s="78"/>
      <c r="N4" s="78"/>
      <c r="O4" s="78"/>
      <c r="P4" s="78"/>
      <c r="Q4" s="78"/>
      <c r="R4" s="78"/>
      <c r="S4" s="78"/>
      <c r="T4" s="76"/>
      <c r="U4" s="76"/>
      <c r="V4" s="76"/>
      <c r="W4" s="76"/>
      <c r="X4" s="76"/>
    </row>
    <row r="5" spans="2:24" ht="12" customHeight="1" x14ac:dyDescent="0.3">
      <c r="B5" s="63"/>
      <c r="C5" s="63"/>
      <c r="D5" s="63"/>
      <c r="E5" s="63"/>
      <c r="F5" s="63"/>
      <c r="G5" s="63"/>
      <c r="H5" s="63"/>
      <c r="I5" s="78"/>
      <c r="J5" s="78"/>
      <c r="K5" s="78"/>
      <c r="L5" s="78"/>
      <c r="M5" s="78"/>
      <c r="N5" s="78"/>
      <c r="O5" s="78"/>
      <c r="P5" s="78"/>
      <c r="Q5" s="78"/>
      <c r="R5" s="78"/>
      <c r="S5" s="78"/>
      <c r="T5" s="76"/>
      <c r="U5" s="91" t="s">
        <v>2782</v>
      </c>
      <c r="V5" s="91"/>
      <c r="W5" s="91"/>
      <c r="X5" s="76"/>
    </row>
    <row r="6" spans="2:24" ht="13" customHeight="1" x14ac:dyDescent="0.3">
      <c r="B6" s="63"/>
      <c r="C6" s="65" t="s">
        <v>2751</v>
      </c>
      <c r="D6" s="65" t="s">
        <v>2752</v>
      </c>
      <c r="E6" s="65" t="s">
        <v>2755</v>
      </c>
      <c r="F6" s="65" t="s">
        <v>2753</v>
      </c>
      <c r="G6" s="65" t="s">
        <v>2754</v>
      </c>
      <c r="H6" s="63"/>
      <c r="I6" s="78"/>
      <c r="J6" s="78"/>
      <c r="K6" s="78"/>
      <c r="L6" s="78"/>
      <c r="M6" s="78"/>
      <c r="N6" s="78"/>
      <c r="O6" s="78"/>
      <c r="P6" s="78"/>
      <c r="Q6" s="78"/>
      <c r="R6" s="78"/>
      <c r="S6" s="78"/>
      <c r="T6" s="76"/>
      <c r="U6" s="91"/>
      <c r="V6" s="91"/>
      <c r="W6" s="91"/>
      <c r="X6" s="76"/>
    </row>
    <row r="7" spans="2:24" ht="25" customHeight="1" x14ac:dyDescent="0.3">
      <c r="B7" s="63"/>
      <c r="C7" s="66">
        <f>SUM(Tabla_nuevas_columnas[Gasto_EUR])</f>
        <v>11366489.29999999</v>
      </c>
      <c r="D7" s="66">
        <f>SUM(Tabla_nuevas_columnas[Ingresos_EUR])</f>
        <v>91281852.800000072</v>
      </c>
      <c r="E7" s="67">
        <f>SUM(Tabla_nuevas_columnas[Impresiones])</f>
        <v>221343702</v>
      </c>
      <c r="F7" s="67">
        <f>SUM(Tabla_nuevas_columnas[Clics])</f>
        <v>11419844</v>
      </c>
      <c r="G7" s="67">
        <f>SUM(Tabla_nuevas_columnas[Conversiones])</f>
        <v>807971</v>
      </c>
      <c r="H7" s="63"/>
      <c r="I7" s="78"/>
      <c r="J7" s="78"/>
      <c r="K7" s="78"/>
      <c r="L7" s="78"/>
      <c r="M7" s="78"/>
      <c r="N7" s="78"/>
      <c r="O7" s="78"/>
      <c r="P7" s="78"/>
      <c r="Q7" s="78"/>
      <c r="R7" s="78"/>
      <c r="S7" s="78"/>
      <c r="T7" s="76"/>
      <c r="U7" s="91"/>
      <c r="V7" s="91"/>
      <c r="W7" s="91"/>
      <c r="X7" s="76"/>
    </row>
    <row r="8" spans="2:24" x14ac:dyDescent="0.3">
      <c r="B8" s="63"/>
      <c r="C8" s="63"/>
      <c r="D8" s="63"/>
      <c r="E8" s="63"/>
      <c r="F8" s="63"/>
      <c r="G8" s="63"/>
      <c r="H8" s="63"/>
      <c r="I8" s="78"/>
      <c r="J8" s="78"/>
      <c r="K8" s="78"/>
      <c r="L8" s="78"/>
      <c r="M8" s="78"/>
      <c r="N8" s="78"/>
      <c r="O8" s="78"/>
      <c r="P8" s="78"/>
      <c r="Q8" s="78"/>
      <c r="R8" s="78"/>
      <c r="S8" s="78"/>
      <c r="T8" s="76"/>
      <c r="U8" s="91"/>
      <c r="V8" s="91"/>
      <c r="W8" s="91"/>
      <c r="X8" s="76"/>
    </row>
    <row r="9" spans="2:24" ht="13" x14ac:dyDescent="0.3">
      <c r="B9" s="63"/>
      <c r="C9" s="65" t="s">
        <v>2756</v>
      </c>
      <c r="D9" s="65" t="s">
        <v>2757</v>
      </c>
      <c r="E9" s="65" t="s">
        <v>2758</v>
      </c>
      <c r="F9" s="65" t="s">
        <v>2759</v>
      </c>
      <c r="G9" s="65" t="s">
        <v>2760</v>
      </c>
      <c r="H9" s="63"/>
      <c r="I9" s="78"/>
      <c r="J9" s="78"/>
      <c r="K9" s="78"/>
      <c r="L9" s="78"/>
      <c r="M9" s="78"/>
      <c r="N9" s="78"/>
      <c r="O9" s="78"/>
      <c r="P9" s="78"/>
      <c r="Q9" s="78"/>
      <c r="R9" s="78"/>
      <c r="S9" s="78"/>
      <c r="T9" s="76"/>
      <c r="U9" s="91"/>
      <c r="V9" s="91"/>
      <c r="W9" s="91"/>
      <c r="X9" s="76"/>
    </row>
    <row r="10" spans="2:24" ht="24.5" customHeight="1" x14ac:dyDescent="0.3">
      <c r="B10" s="63"/>
      <c r="C10" s="66">
        <f>D7/C7</f>
        <v>8.0307868499027357</v>
      </c>
      <c r="D10" s="68">
        <f>F7/E7</f>
        <v>5.1593263764965855E-2</v>
      </c>
      <c r="E10" s="69">
        <f>C7/F7</f>
        <v>0.99532789589770132</v>
      </c>
      <c r="F10" s="66">
        <f>C7/G7</f>
        <v>14.067942166241103</v>
      </c>
      <c r="G10" s="68">
        <f>G7/F7</f>
        <v>7.0751491876771697E-2</v>
      </c>
      <c r="H10" s="63"/>
      <c r="I10" s="78"/>
      <c r="J10" s="78"/>
      <c r="K10" s="78"/>
      <c r="L10" s="78"/>
      <c r="M10" s="78"/>
      <c r="N10" s="78"/>
      <c r="O10" s="78"/>
      <c r="P10" s="78"/>
      <c r="Q10" s="78"/>
      <c r="R10" s="78"/>
      <c r="S10" s="78"/>
      <c r="T10" s="76"/>
      <c r="U10" s="91"/>
      <c r="V10" s="91"/>
      <c r="W10" s="91"/>
      <c r="X10" s="76"/>
    </row>
    <row r="11" spans="2:24" x14ac:dyDescent="0.3">
      <c r="B11" s="63"/>
      <c r="C11" s="63"/>
      <c r="D11" s="63"/>
      <c r="E11" s="63"/>
      <c r="F11" s="63"/>
      <c r="G11" s="63"/>
      <c r="H11" s="63"/>
      <c r="I11" s="78"/>
      <c r="J11" s="78"/>
      <c r="K11" s="78"/>
      <c r="L11" s="78"/>
      <c r="M11" s="78"/>
      <c r="N11" s="78"/>
      <c r="O11" s="78"/>
      <c r="P11" s="78"/>
      <c r="Q11" s="78"/>
      <c r="R11" s="78"/>
      <c r="S11" s="78"/>
      <c r="T11" s="76"/>
      <c r="U11" s="76"/>
      <c r="V11" s="76"/>
      <c r="W11" s="76"/>
      <c r="X11" s="76"/>
    </row>
    <row r="12" spans="2:24" x14ac:dyDescent="0.3">
      <c r="B12" s="71"/>
      <c r="C12" s="71"/>
      <c r="D12" s="71"/>
      <c r="E12" s="71"/>
      <c r="F12" s="71"/>
      <c r="G12" s="71"/>
      <c r="H12" s="71"/>
      <c r="I12" s="79"/>
      <c r="J12" s="79"/>
      <c r="K12" s="79"/>
      <c r="L12" s="79"/>
      <c r="M12" s="79"/>
      <c r="N12" s="79"/>
      <c r="O12" s="79"/>
      <c r="P12" s="79"/>
      <c r="Q12" s="79"/>
      <c r="R12" s="79"/>
      <c r="S12" s="79"/>
      <c r="T12" s="88"/>
      <c r="U12" s="88"/>
      <c r="V12" s="88"/>
      <c r="W12" s="88"/>
      <c r="X12" s="88"/>
    </row>
    <row r="13" spans="2:24" ht="18.5" x14ac:dyDescent="0.45">
      <c r="B13" s="71"/>
      <c r="C13" s="83" t="s">
        <v>2775</v>
      </c>
      <c r="D13" s="71"/>
      <c r="E13" s="71"/>
      <c r="F13" s="71"/>
      <c r="G13" s="71"/>
      <c r="H13" s="71"/>
      <c r="I13" s="79"/>
      <c r="J13" s="84" t="s">
        <v>2773</v>
      </c>
      <c r="K13" s="84"/>
      <c r="L13" s="84"/>
      <c r="M13" s="84"/>
      <c r="N13" s="85"/>
      <c r="O13" s="85"/>
      <c r="P13" s="79"/>
      <c r="Q13" s="79"/>
      <c r="R13" s="79"/>
      <c r="S13" s="79"/>
      <c r="T13" s="88"/>
      <c r="U13" s="88"/>
      <c r="V13" s="88"/>
      <c r="W13" s="88"/>
      <c r="X13" s="88"/>
    </row>
    <row r="14" spans="2:24" ht="12" customHeight="1" x14ac:dyDescent="0.3">
      <c r="B14" s="71"/>
      <c r="C14" s="71"/>
      <c r="D14" s="95" t="s">
        <v>2765</v>
      </c>
      <c r="E14" s="71"/>
      <c r="F14" s="71"/>
      <c r="G14" s="71"/>
      <c r="H14" s="71"/>
      <c r="I14" s="79"/>
      <c r="J14" s="79"/>
      <c r="K14" s="79"/>
      <c r="L14" s="79"/>
      <c r="M14" s="79"/>
      <c r="N14" s="79"/>
      <c r="O14" s="79"/>
      <c r="P14" s="79"/>
      <c r="Q14" s="79"/>
      <c r="R14" s="79"/>
      <c r="S14" s="79"/>
      <c r="T14" s="88"/>
      <c r="U14" s="92" t="s">
        <v>2781</v>
      </c>
      <c r="V14" s="92"/>
      <c r="W14" s="92"/>
      <c r="X14" s="88"/>
    </row>
    <row r="15" spans="2:24" ht="14.5" customHeight="1" x14ac:dyDescent="0.35">
      <c r="B15" s="71"/>
      <c r="C15" s="86" t="s">
        <v>2762</v>
      </c>
      <c r="D15" s="87" t="s">
        <v>2541</v>
      </c>
      <c r="E15" s="71"/>
      <c r="F15" s="71"/>
      <c r="G15" s="71"/>
      <c r="H15" s="71"/>
      <c r="I15" s="79"/>
      <c r="J15" s="79"/>
      <c r="K15" s="79"/>
      <c r="L15" s="79"/>
      <c r="M15" s="79"/>
      <c r="N15" s="79"/>
      <c r="O15" s="79"/>
      <c r="P15" s="79"/>
      <c r="Q15" s="79"/>
      <c r="R15" s="79"/>
      <c r="S15" s="79"/>
      <c r="T15" s="88"/>
      <c r="U15" s="92"/>
      <c r="V15" s="92"/>
      <c r="W15" s="92"/>
      <c r="X15" s="88"/>
    </row>
    <row r="16" spans="2:24" ht="12" customHeight="1" x14ac:dyDescent="0.3">
      <c r="B16" s="71"/>
      <c r="C16" s="71"/>
      <c r="D16" s="71"/>
      <c r="E16" s="71"/>
      <c r="F16" s="71"/>
      <c r="G16" s="71"/>
      <c r="H16" s="71"/>
      <c r="I16" s="79"/>
      <c r="J16" s="79"/>
      <c r="K16" s="79"/>
      <c r="L16" s="79"/>
      <c r="M16" s="79"/>
      <c r="N16" s="79"/>
      <c r="O16" s="79"/>
      <c r="P16" s="79"/>
      <c r="Q16" s="79"/>
      <c r="R16" s="79"/>
      <c r="S16" s="79"/>
      <c r="T16" s="88"/>
      <c r="U16" s="92"/>
      <c r="V16" s="92"/>
      <c r="W16" s="92"/>
      <c r="X16" s="88"/>
    </row>
    <row r="17" spans="2:24" ht="13" customHeight="1" x14ac:dyDescent="0.3">
      <c r="B17" s="71"/>
      <c r="C17" s="72" t="s">
        <v>2731</v>
      </c>
      <c r="D17" s="72" t="s">
        <v>2706</v>
      </c>
      <c r="E17" s="72" t="s">
        <v>2763</v>
      </c>
      <c r="F17" s="72" t="s">
        <v>2656</v>
      </c>
      <c r="G17" s="72" t="s">
        <v>2764</v>
      </c>
      <c r="H17" s="71"/>
      <c r="I17" s="79"/>
      <c r="J17" s="79"/>
      <c r="K17" s="79"/>
      <c r="L17" s="79"/>
      <c r="M17" s="79"/>
      <c r="N17" s="79"/>
      <c r="O17" s="79"/>
      <c r="P17" s="79"/>
      <c r="Q17" s="79"/>
      <c r="R17" s="79"/>
      <c r="S17" s="79"/>
      <c r="T17" s="88"/>
      <c r="U17" s="92"/>
      <c r="V17" s="92"/>
      <c r="W17" s="92"/>
      <c r="X17" s="88"/>
    </row>
    <row r="18" spans="2:24" ht="16" x14ac:dyDescent="0.3">
      <c r="B18" s="71"/>
      <c r="C18" s="73">
        <f>SUMIF(Tabla_nuevas_columnas[Canal],Dashboard!D15,Tabla_nuevas_columnas[Gasto_EUR])</f>
        <v>1875105.1699999992</v>
      </c>
      <c r="D18" s="73">
        <f>SUMIF(Tabla_nuevas_columnas[Canal],D15,Tabla_nuevas_columnas[Ingresos_EUR])</f>
        <v>14340304.99</v>
      </c>
      <c r="E18" s="73">
        <f>D18/C18</f>
        <v>7.6477336948519028</v>
      </c>
      <c r="F18" s="74">
        <f>C18/SUMIF(Tabla_nuevas_columnas[Canal],Dashboard!D15,Tabla_nuevas_columnas[Clics])</f>
        <v>0.99988704309724663</v>
      </c>
      <c r="G18" s="73">
        <f>C18/SUMIF(Tabla_nuevas_columnas[Canal],Dashboard!D15,Tabla_nuevas_columnas[Conversiones])</f>
        <v>14.968867858254761</v>
      </c>
      <c r="H18" s="71"/>
      <c r="I18" s="79"/>
      <c r="J18" s="79"/>
      <c r="K18" s="79"/>
      <c r="L18" s="79"/>
      <c r="M18" s="79"/>
      <c r="N18" s="79"/>
      <c r="O18" s="79"/>
      <c r="P18" s="79"/>
      <c r="Q18" s="79"/>
      <c r="R18" s="79"/>
      <c r="S18" s="79"/>
      <c r="T18" s="88"/>
      <c r="U18" s="92"/>
      <c r="V18" s="92"/>
      <c r="W18" s="92"/>
      <c r="X18" s="88"/>
    </row>
    <row r="19" spans="2:24" ht="16" x14ac:dyDescent="0.3">
      <c r="B19" s="71"/>
      <c r="C19" s="80"/>
      <c r="D19" s="80"/>
      <c r="E19" s="80"/>
      <c r="F19" s="81"/>
      <c r="G19" s="80"/>
      <c r="H19" s="71"/>
      <c r="I19" s="79"/>
      <c r="J19" s="79"/>
      <c r="K19" s="79"/>
      <c r="L19" s="79"/>
      <c r="M19" s="79"/>
      <c r="N19" s="79"/>
      <c r="O19" s="79"/>
      <c r="P19" s="79"/>
      <c r="Q19" s="79"/>
      <c r="R19" s="79"/>
      <c r="S19" s="79"/>
      <c r="T19" s="88"/>
      <c r="U19" s="92"/>
      <c r="V19" s="92"/>
      <c r="W19" s="92"/>
      <c r="X19" s="88"/>
    </row>
    <row r="20" spans="2:24" x14ac:dyDescent="0.3">
      <c r="B20" s="71"/>
      <c r="C20" s="71"/>
      <c r="D20" s="71"/>
      <c r="E20" s="71"/>
      <c r="F20" s="71"/>
      <c r="G20" s="71"/>
      <c r="H20" s="71"/>
      <c r="I20" s="79"/>
      <c r="J20" s="79"/>
      <c r="K20" s="79"/>
      <c r="L20" s="79"/>
      <c r="M20" s="79"/>
      <c r="N20" s="79"/>
      <c r="O20" s="79"/>
      <c r="P20" s="79"/>
      <c r="Q20" s="79"/>
      <c r="R20" s="79"/>
      <c r="S20" s="79"/>
      <c r="T20" s="88"/>
      <c r="U20" s="88"/>
      <c r="V20" s="88"/>
      <c r="W20" s="88"/>
      <c r="X20" s="88"/>
    </row>
    <row r="21" spans="2:24" ht="13" x14ac:dyDescent="0.3">
      <c r="B21" s="71"/>
      <c r="C21" s="71"/>
      <c r="D21" s="95" t="s">
        <v>2769</v>
      </c>
      <c r="E21" s="71"/>
      <c r="F21" s="71"/>
      <c r="G21" s="71"/>
      <c r="H21" s="71"/>
      <c r="I21" s="79"/>
      <c r="J21" s="79"/>
      <c r="K21" s="79"/>
      <c r="L21" s="79"/>
      <c r="M21" s="79"/>
      <c r="N21" s="79"/>
      <c r="O21" s="79"/>
      <c r="P21" s="79"/>
      <c r="Q21" s="79"/>
      <c r="R21" s="79"/>
      <c r="S21" s="79"/>
      <c r="T21" s="88"/>
      <c r="U21" s="92" t="s">
        <v>2783</v>
      </c>
      <c r="V21" s="92"/>
      <c r="W21" s="92"/>
      <c r="X21" s="88"/>
    </row>
    <row r="22" spans="2:24" ht="14.5" x14ac:dyDescent="0.35">
      <c r="B22" s="71"/>
      <c r="C22" s="86" t="s">
        <v>2766</v>
      </c>
      <c r="D22" s="87" t="s">
        <v>2522</v>
      </c>
      <c r="E22" s="71"/>
      <c r="F22" s="71"/>
      <c r="G22" s="71"/>
      <c r="H22" s="71"/>
      <c r="I22" s="79"/>
      <c r="J22" s="79"/>
      <c r="K22" s="79"/>
      <c r="L22" s="79"/>
      <c r="M22" s="79"/>
      <c r="N22" s="79"/>
      <c r="O22" s="79"/>
      <c r="P22" s="79"/>
      <c r="Q22" s="79"/>
      <c r="R22" s="79"/>
      <c r="S22" s="79"/>
      <c r="T22" s="88"/>
      <c r="U22" s="92"/>
      <c r="V22" s="92"/>
      <c r="W22" s="92"/>
      <c r="X22" s="88"/>
    </row>
    <row r="23" spans="2:24" x14ac:dyDescent="0.3">
      <c r="B23" s="71"/>
      <c r="C23" s="71"/>
      <c r="D23" s="71"/>
      <c r="E23" s="71"/>
      <c r="F23" s="71"/>
      <c r="G23" s="71"/>
      <c r="H23" s="71"/>
      <c r="I23" s="79"/>
      <c r="J23" s="79"/>
      <c r="K23" s="79"/>
      <c r="L23" s="79"/>
      <c r="M23" s="79"/>
      <c r="N23" s="79"/>
      <c r="O23" s="79"/>
      <c r="P23" s="79"/>
      <c r="Q23" s="79"/>
      <c r="R23" s="79"/>
      <c r="S23" s="79"/>
      <c r="T23" s="88"/>
      <c r="U23" s="92"/>
      <c r="V23" s="92"/>
      <c r="W23" s="92"/>
      <c r="X23" s="88"/>
    </row>
    <row r="24" spans="2:24" ht="13" x14ac:dyDescent="0.3">
      <c r="B24" s="71"/>
      <c r="C24" s="72" t="s">
        <v>2731</v>
      </c>
      <c r="D24" s="72" t="s">
        <v>2706</v>
      </c>
      <c r="E24" s="72" t="s">
        <v>2763</v>
      </c>
      <c r="F24" s="72" t="s">
        <v>2656</v>
      </c>
      <c r="G24" s="72" t="s">
        <v>2764</v>
      </c>
      <c r="H24" s="71"/>
      <c r="I24" s="79"/>
      <c r="J24" s="79"/>
      <c r="K24" s="79"/>
      <c r="L24" s="79"/>
      <c r="M24" s="79"/>
      <c r="N24" s="79"/>
      <c r="O24" s="79"/>
      <c r="P24" s="79"/>
      <c r="Q24" s="79"/>
      <c r="R24" s="79"/>
      <c r="S24" s="79"/>
      <c r="T24" s="88"/>
      <c r="U24" s="92"/>
      <c r="V24" s="92"/>
      <c r="W24" s="92"/>
      <c r="X24" s="88"/>
    </row>
    <row r="25" spans="2:24" ht="16" x14ac:dyDescent="0.3">
      <c r="B25" s="71"/>
      <c r="C25" s="73">
        <f>SUMIF(Tabla_nuevas_columnas[País],Dashboard!D22,Tabla_nuevas_columnas[Gasto_EUR])</f>
        <v>1044790.1299999997</v>
      </c>
      <c r="D25" s="73">
        <f>SUMIF(Tabla_nuevas_columnas[País],D22,Tabla_nuevas_columnas[Ingresos_EUR])</f>
        <v>7977348.6999999974</v>
      </c>
      <c r="E25" s="73">
        <f>D25/C25</f>
        <v>7.6353599358753517</v>
      </c>
      <c r="F25" s="74">
        <f>C25/SUMIF(Tabla_nuevas_columnas[País],Dashboard!D22,Tabla_nuevas_columnas[Clics])</f>
        <v>1.0788772569327911</v>
      </c>
      <c r="G25" s="73">
        <f>C25/SUMIF(Tabla_nuevas_columnas[País],Dashboard!D22,Tabla_nuevas_columnas[Conversiones])</f>
        <v>13.046178137955144</v>
      </c>
      <c r="H25" s="71"/>
      <c r="I25" s="79"/>
      <c r="J25" s="79"/>
      <c r="K25" s="79"/>
      <c r="L25" s="79"/>
      <c r="M25" s="79"/>
      <c r="N25" s="79"/>
      <c r="O25" s="79"/>
      <c r="P25" s="79"/>
      <c r="Q25" s="79"/>
      <c r="R25" s="79"/>
      <c r="S25" s="79"/>
      <c r="T25" s="88"/>
      <c r="U25" s="92"/>
      <c r="V25" s="92"/>
      <c r="W25" s="92"/>
      <c r="X25" s="88"/>
    </row>
    <row r="26" spans="2:24" x14ac:dyDescent="0.3">
      <c r="B26" s="71"/>
      <c r="C26" s="71"/>
      <c r="D26" s="71"/>
      <c r="E26" s="71"/>
      <c r="F26" s="71"/>
      <c r="G26" s="71"/>
      <c r="H26" s="71"/>
      <c r="I26" s="79"/>
      <c r="J26" s="79"/>
      <c r="K26" s="79"/>
      <c r="L26" s="79"/>
      <c r="M26" s="79"/>
      <c r="N26" s="79"/>
      <c r="O26" s="79"/>
      <c r="P26" s="79"/>
      <c r="Q26" s="79"/>
      <c r="R26" s="79"/>
      <c r="S26" s="79"/>
      <c r="T26" s="88"/>
      <c r="U26" s="92"/>
      <c r="V26" s="92"/>
      <c r="W26" s="92"/>
      <c r="X26" s="88"/>
    </row>
    <row r="27" spans="2:24" x14ac:dyDescent="0.3">
      <c r="B27" s="71"/>
      <c r="C27" s="71"/>
      <c r="D27" s="71"/>
      <c r="E27" s="71"/>
      <c r="F27" s="71"/>
      <c r="G27" s="71"/>
      <c r="H27" s="71"/>
      <c r="I27" s="79"/>
      <c r="J27" s="79"/>
      <c r="K27" s="79"/>
      <c r="L27" s="79"/>
      <c r="M27" s="79"/>
      <c r="N27" s="79"/>
      <c r="O27" s="79"/>
      <c r="P27" s="79"/>
      <c r="Q27" s="79"/>
      <c r="R27" s="79"/>
      <c r="S27" s="79"/>
      <c r="T27" s="88"/>
      <c r="U27" s="88"/>
      <c r="V27" s="88"/>
      <c r="W27" s="88"/>
      <c r="X27" s="88"/>
    </row>
    <row r="28" spans="2:24" ht="13" x14ac:dyDescent="0.3">
      <c r="B28" s="71"/>
      <c r="C28" s="71"/>
      <c r="D28" s="94" t="s">
        <v>2771</v>
      </c>
      <c r="E28" s="71"/>
      <c r="F28" s="71"/>
      <c r="G28" s="71"/>
      <c r="H28" s="71"/>
      <c r="I28" s="79"/>
      <c r="J28" s="79"/>
      <c r="K28" s="79"/>
      <c r="L28" s="79"/>
      <c r="M28" s="79"/>
      <c r="N28" s="79"/>
      <c r="O28" s="79"/>
      <c r="P28" s="79"/>
      <c r="Q28" s="79"/>
      <c r="R28" s="79"/>
      <c r="S28" s="79"/>
      <c r="T28" s="88"/>
      <c r="U28" s="92" t="s">
        <v>2784</v>
      </c>
      <c r="V28" s="92"/>
      <c r="W28" s="92"/>
      <c r="X28" s="88"/>
    </row>
    <row r="29" spans="2:24" ht="14.5" x14ac:dyDescent="0.35">
      <c r="B29" s="71"/>
      <c r="C29" s="86" t="s">
        <v>2767</v>
      </c>
      <c r="D29" s="87" t="s">
        <v>2630</v>
      </c>
      <c r="E29" s="71"/>
      <c r="F29" s="71"/>
      <c r="G29" s="71"/>
      <c r="H29" s="71"/>
      <c r="I29" s="79"/>
      <c r="J29" s="79"/>
      <c r="K29" s="79"/>
      <c r="L29" s="79"/>
      <c r="M29" s="79"/>
      <c r="N29" s="79"/>
      <c r="O29" s="79"/>
      <c r="P29" s="79"/>
      <c r="Q29" s="79"/>
      <c r="R29" s="79"/>
      <c r="S29" s="79"/>
      <c r="T29" s="88"/>
      <c r="U29" s="92"/>
      <c r="V29" s="92"/>
      <c r="W29" s="92"/>
      <c r="X29" s="88"/>
    </row>
    <row r="30" spans="2:24" x14ac:dyDescent="0.3">
      <c r="B30" s="71"/>
      <c r="C30" s="71"/>
      <c r="D30" s="71"/>
      <c r="E30" s="71"/>
      <c r="F30" s="71"/>
      <c r="G30" s="71"/>
      <c r="H30" s="71"/>
      <c r="I30" s="79"/>
      <c r="J30" s="79"/>
      <c r="K30" s="79"/>
      <c r="L30" s="79"/>
      <c r="M30" s="79"/>
      <c r="N30" s="79"/>
      <c r="O30" s="79"/>
      <c r="P30" s="79"/>
      <c r="Q30" s="79"/>
      <c r="R30" s="79"/>
      <c r="S30" s="79"/>
      <c r="T30" s="88"/>
      <c r="U30" s="92"/>
      <c r="V30" s="92"/>
      <c r="W30" s="92"/>
      <c r="X30" s="88"/>
    </row>
    <row r="31" spans="2:24" ht="13" x14ac:dyDescent="0.3">
      <c r="B31" s="71"/>
      <c r="C31" s="72" t="s">
        <v>2731</v>
      </c>
      <c r="D31" s="72" t="s">
        <v>2706</v>
      </c>
      <c r="E31" s="72" t="s">
        <v>2763</v>
      </c>
      <c r="F31" s="72" t="s">
        <v>2656</v>
      </c>
      <c r="G31" s="72" t="s">
        <v>2764</v>
      </c>
      <c r="H31" s="71"/>
      <c r="I31" s="79"/>
      <c r="J31" s="79"/>
      <c r="K31" s="79"/>
      <c r="L31" s="79"/>
      <c r="M31" s="79"/>
      <c r="N31" s="79"/>
      <c r="O31" s="79"/>
      <c r="P31" s="79"/>
      <c r="Q31" s="79"/>
      <c r="R31" s="79"/>
      <c r="S31" s="79"/>
      <c r="T31" s="88"/>
      <c r="U31" s="92"/>
      <c r="V31" s="92"/>
      <c r="W31" s="92"/>
      <c r="X31" s="88"/>
    </row>
    <row r="32" spans="2:24" ht="16" x14ac:dyDescent="0.3">
      <c r="B32" s="71"/>
      <c r="C32" s="73">
        <f>SUMIF(Tabla_nuevas_columnas[ID_Campaña],Dashboard!D29,Tabla_nuevas_columnas[Gasto_EUR])</f>
        <v>381259.38999999996</v>
      </c>
      <c r="D32" s="73">
        <f>SUMIF(Tabla_nuevas_columnas[ID_Campaña],D29,Tabla_nuevas_columnas[Ingresos_EUR])</f>
        <v>3031855.9199999995</v>
      </c>
      <c r="E32" s="73">
        <f>D32/C32</f>
        <v>7.9522131113937933</v>
      </c>
      <c r="F32" s="74">
        <f>C32/SUMIF(Tabla_nuevas_columnas[ID_Campaña],Dashboard!D29,Tabla_nuevas_columnas[Clics])</f>
        <v>1.0973324756362213</v>
      </c>
      <c r="G32" s="73">
        <f>C32/SUMIF(Tabla_nuevas_columnas[ID_Campaña],Dashboard!D29,Tabla_nuevas_columnas[Conversiones])</f>
        <v>13.935428560985414</v>
      </c>
      <c r="H32" s="71"/>
      <c r="I32" s="79"/>
      <c r="J32" s="79"/>
      <c r="K32" s="79"/>
      <c r="L32" s="79"/>
      <c r="M32" s="79"/>
      <c r="N32" s="79"/>
      <c r="O32" s="79"/>
      <c r="P32" s="79"/>
      <c r="Q32" s="79"/>
      <c r="R32" s="79"/>
      <c r="S32" s="79"/>
      <c r="T32" s="88"/>
      <c r="U32" s="92"/>
      <c r="V32" s="92"/>
      <c r="W32" s="92"/>
      <c r="X32" s="88"/>
    </row>
    <row r="33" spans="2:24" x14ac:dyDescent="0.3">
      <c r="B33" s="71"/>
      <c r="C33" s="71"/>
      <c r="D33" s="71"/>
      <c r="E33" s="71"/>
      <c r="F33" s="71"/>
      <c r="G33" s="71"/>
      <c r="H33" s="71"/>
      <c r="I33" s="79"/>
      <c r="J33" s="79"/>
      <c r="K33" s="79"/>
      <c r="L33" s="79"/>
      <c r="M33" s="79"/>
      <c r="N33" s="79"/>
      <c r="O33" s="79"/>
      <c r="P33" s="79"/>
      <c r="Q33" s="79"/>
      <c r="R33" s="79"/>
      <c r="S33" s="79"/>
      <c r="T33" s="88"/>
      <c r="U33" s="92"/>
      <c r="V33" s="92"/>
      <c r="W33" s="92"/>
      <c r="X33" s="88"/>
    </row>
    <row r="34" spans="2:24" x14ac:dyDescent="0.3">
      <c r="B34" s="71"/>
      <c r="C34" s="71"/>
      <c r="D34" s="71"/>
      <c r="E34" s="71"/>
      <c r="F34" s="71"/>
      <c r="G34" s="71"/>
      <c r="H34" s="71"/>
      <c r="I34" s="79"/>
      <c r="J34" s="79"/>
      <c r="K34" s="79"/>
      <c r="L34" s="79"/>
      <c r="M34" s="79"/>
      <c r="N34" s="79"/>
      <c r="O34" s="79"/>
      <c r="P34" s="79"/>
      <c r="Q34" s="79"/>
      <c r="R34" s="79"/>
      <c r="S34" s="79"/>
      <c r="T34" s="88"/>
      <c r="U34" s="88"/>
      <c r="V34" s="88"/>
      <c r="W34" s="88"/>
      <c r="X34" s="88"/>
    </row>
    <row r="35" spans="2:24" ht="13" x14ac:dyDescent="0.3">
      <c r="B35" s="71"/>
      <c r="C35" s="71"/>
      <c r="D35" s="96" t="s">
        <v>2770</v>
      </c>
      <c r="E35" s="71"/>
      <c r="F35" s="71"/>
      <c r="G35" s="71"/>
      <c r="H35" s="71"/>
      <c r="I35" s="79"/>
      <c r="J35" s="79"/>
      <c r="K35" s="79"/>
      <c r="L35" s="79"/>
      <c r="M35" s="79"/>
      <c r="N35" s="79"/>
      <c r="O35" s="79"/>
      <c r="P35" s="79"/>
      <c r="Q35" s="79"/>
      <c r="R35" s="79"/>
      <c r="S35" s="79"/>
      <c r="T35" s="88"/>
      <c r="U35" s="92" t="s">
        <v>2785</v>
      </c>
      <c r="V35" s="92"/>
      <c r="W35" s="92"/>
      <c r="X35" s="88"/>
    </row>
    <row r="36" spans="2:24" ht="14.5" x14ac:dyDescent="0.35">
      <c r="B36" s="71"/>
      <c r="C36" s="86" t="s">
        <v>2768</v>
      </c>
      <c r="D36" s="87" t="s">
        <v>2534</v>
      </c>
      <c r="E36" s="71"/>
      <c r="F36" s="71"/>
      <c r="G36" s="71"/>
      <c r="H36" s="71"/>
      <c r="I36" s="79"/>
      <c r="J36" s="79"/>
      <c r="K36" s="79"/>
      <c r="L36" s="79"/>
      <c r="M36" s="79"/>
      <c r="N36" s="79"/>
      <c r="O36" s="79"/>
      <c r="P36" s="79"/>
      <c r="Q36" s="79"/>
      <c r="R36" s="79"/>
      <c r="S36" s="79"/>
      <c r="T36" s="88"/>
      <c r="U36" s="92"/>
      <c r="V36" s="92"/>
      <c r="W36" s="92"/>
      <c r="X36" s="88"/>
    </row>
    <row r="37" spans="2:24" x14ac:dyDescent="0.3">
      <c r="B37" s="71"/>
      <c r="C37" s="71"/>
      <c r="D37" s="71"/>
      <c r="E37" s="71"/>
      <c r="F37" s="71"/>
      <c r="G37" s="71"/>
      <c r="H37" s="71"/>
      <c r="I37" s="79"/>
      <c r="J37" s="79"/>
      <c r="K37" s="79"/>
      <c r="L37" s="79"/>
      <c r="M37" s="79"/>
      <c r="N37" s="79"/>
      <c r="O37" s="79"/>
      <c r="P37" s="79"/>
      <c r="Q37" s="79"/>
      <c r="R37" s="79"/>
      <c r="S37" s="79"/>
      <c r="T37" s="88"/>
      <c r="U37" s="92"/>
      <c r="V37" s="92"/>
      <c r="W37" s="92"/>
      <c r="X37" s="88"/>
    </row>
    <row r="38" spans="2:24" ht="13" x14ac:dyDescent="0.3">
      <c r="B38" s="71"/>
      <c r="C38" s="72" t="s">
        <v>2731</v>
      </c>
      <c r="D38" s="72" t="s">
        <v>2706</v>
      </c>
      <c r="E38" s="72" t="s">
        <v>2763</v>
      </c>
      <c r="F38" s="72" t="s">
        <v>2656</v>
      </c>
      <c r="G38" s="72" t="s">
        <v>2764</v>
      </c>
      <c r="H38" s="71"/>
      <c r="I38" s="79"/>
      <c r="J38" s="79"/>
      <c r="K38" s="79"/>
      <c r="L38" s="79"/>
      <c r="M38" s="79"/>
      <c r="N38" s="79"/>
      <c r="O38" s="79"/>
      <c r="P38" s="79"/>
      <c r="Q38" s="79"/>
      <c r="R38" s="79"/>
      <c r="S38" s="79"/>
      <c r="T38" s="88"/>
      <c r="U38" s="92"/>
      <c r="V38" s="92"/>
      <c r="W38" s="92"/>
      <c r="X38" s="88"/>
    </row>
    <row r="39" spans="2:24" ht="16" x14ac:dyDescent="0.3">
      <c r="B39" s="71"/>
      <c r="C39" s="73">
        <f>SUMIF(Tabla_nuevas_columnas[Dispositivo],Dashboard!D36,Tabla_nuevas_columnas[Gasto_EUR])</f>
        <v>852186.56999999983</v>
      </c>
      <c r="D39" s="73">
        <f>SUMIF(Tabla_nuevas_columnas[Dispositivo],D36,Tabla_nuevas_columnas[Ingresos_EUR])</f>
        <v>7299748.4000000004</v>
      </c>
      <c r="E39" s="73">
        <f>D39/C39</f>
        <v>8.5659040601871972</v>
      </c>
      <c r="F39" s="74">
        <f>C39/SUMIF(Tabla_nuevas_columnas[Dispositivo],Dashboard!D36,Tabla_nuevas_columnas[Clics])</f>
        <v>1.0061555327029312</v>
      </c>
      <c r="G39" s="73">
        <f>C39/SUMIF(Tabla_nuevas_columnas[Dispositivo],Dashboard!D36,Tabla_nuevas_columnas[Conversiones])</f>
        <v>14.258479930396369</v>
      </c>
      <c r="H39" s="71"/>
      <c r="I39" s="79"/>
      <c r="J39" s="79"/>
      <c r="K39" s="79"/>
      <c r="L39" s="79"/>
      <c r="M39" s="79"/>
      <c r="N39" s="79"/>
      <c r="O39" s="79"/>
      <c r="P39" s="79"/>
      <c r="Q39" s="79"/>
      <c r="R39" s="79"/>
      <c r="S39" s="79"/>
      <c r="T39" s="88"/>
      <c r="U39" s="92"/>
      <c r="V39" s="92"/>
      <c r="W39" s="92"/>
      <c r="X39" s="88"/>
    </row>
    <row r="40" spans="2:24" ht="16" x14ac:dyDescent="0.3">
      <c r="B40" s="71"/>
      <c r="C40" s="80"/>
      <c r="D40" s="80"/>
      <c r="E40" s="80"/>
      <c r="F40" s="81"/>
      <c r="G40" s="80"/>
      <c r="H40" s="71"/>
      <c r="I40" s="79"/>
      <c r="J40" s="79"/>
      <c r="K40" s="79"/>
      <c r="L40" s="79"/>
      <c r="M40" s="79"/>
      <c r="N40" s="79"/>
      <c r="O40" s="79"/>
      <c r="P40" s="79"/>
      <c r="Q40" s="79"/>
      <c r="R40" s="79"/>
      <c r="S40" s="79"/>
      <c r="T40" s="88"/>
      <c r="U40" s="92"/>
      <c r="V40" s="92"/>
      <c r="W40" s="92"/>
      <c r="X40" s="88"/>
    </row>
    <row r="41" spans="2:24" x14ac:dyDescent="0.3">
      <c r="B41" s="71"/>
      <c r="C41" s="71"/>
      <c r="D41" s="71"/>
      <c r="E41" s="71"/>
      <c r="F41" s="71"/>
      <c r="G41" s="71"/>
      <c r="H41" s="71"/>
      <c r="I41" s="79"/>
      <c r="J41" s="79"/>
      <c r="K41" s="79"/>
      <c r="L41" s="79"/>
      <c r="M41" s="79"/>
      <c r="N41" s="79"/>
      <c r="O41" s="79"/>
      <c r="P41" s="79"/>
      <c r="Q41" s="79"/>
      <c r="R41" s="79"/>
      <c r="S41" s="79"/>
      <c r="T41" s="88"/>
      <c r="U41" s="88"/>
      <c r="V41" s="88"/>
      <c r="W41" s="88"/>
      <c r="X41" s="88"/>
    </row>
    <row r="42" spans="2:24" ht="12" customHeight="1" x14ac:dyDescent="0.3">
      <c r="B42" s="71"/>
      <c r="C42" s="71"/>
      <c r="D42" s="94" t="s">
        <v>2778</v>
      </c>
      <c r="E42" s="71"/>
      <c r="F42" s="71"/>
      <c r="G42" s="71"/>
      <c r="H42" s="71"/>
      <c r="I42" s="79"/>
      <c r="J42" s="79"/>
      <c r="K42" s="79"/>
      <c r="L42" s="79"/>
      <c r="M42" s="79"/>
      <c r="N42" s="79"/>
      <c r="O42" s="79"/>
      <c r="P42" s="79"/>
      <c r="Q42" s="79"/>
      <c r="R42" s="79"/>
      <c r="S42" s="79"/>
      <c r="T42" s="88"/>
      <c r="U42" s="92" t="s">
        <v>2786</v>
      </c>
      <c r="V42" s="92"/>
      <c r="W42" s="92"/>
      <c r="X42" s="88"/>
    </row>
    <row r="43" spans="2:24" ht="14.5" customHeight="1" x14ac:dyDescent="0.35">
      <c r="B43" s="71"/>
      <c r="C43" s="86" t="s">
        <v>2777</v>
      </c>
      <c r="D43" s="87" t="s">
        <v>2539</v>
      </c>
      <c r="E43" s="71"/>
      <c r="F43" s="71"/>
      <c r="G43" s="71"/>
      <c r="H43" s="71"/>
      <c r="I43" s="79"/>
      <c r="J43" s="79"/>
      <c r="K43" s="79"/>
      <c r="L43" s="79"/>
      <c r="M43" s="79"/>
      <c r="N43" s="79"/>
      <c r="O43" s="79"/>
      <c r="P43" s="79"/>
      <c r="Q43" s="79"/>
      <c r="R43" s="79"/>
      <c r="S43" s="79"/>
      <c r="T43" s="88"/>
      <c r="U43" s="92"/>
      <c r="V43" s="92"/>
      <c r="W43" s="92"/>
      <c r="X43" s="88"/>
    </row>
    <row r="44" spans="2:24" ht="12" customHeight="1" x14ac:dyDescent="0.3">
      <c r="B44" s="71"/>
      <c r="C44" s="71"/>
      <c r="D44" s="71"/>
      <c r="E44" s="71"/>
      <c r="F44" s="71"/>
      <c r="G44" s="71"/>
      <c r="H44" s="71"/>
      <c r="I44" s="79"/>
      <c r="J44" s="79"/>
      <c r="K44" s="79"/>
      <c r="L44" s="79"/>
      <c r="M44" s="79"/>
      <c r="N44" s="79"/>
      <c r="O44" s="79"/>
      <c r="P44" s="79"/>
      <c r="Q44" s="79"/>
      <c r="R44" s="79"/>
      <c r="S44" s="79"/>
      <c r="T44" s="88"/>
      <c r="U44" s="92"/>
      <c r="V44" s="92"/>
      <c r="W44" s="92"/>
      <c r="X44" s="88"/>
    </row>
    <row r="45" spans="2:24" ht="13" customHeight="1" x14ac:dyDescent="0.3">
      <c r="B45" s="71"/>
      <c r="C45" s="72" t="s">
        <v>2731</v>
      </c>
      <c r="D45" s="72" t="s">
        <v>2706</v>
      </c>
      <c r="E45" s="72" t="s">
        <v>2763</v>
      </c>
      <c r="F45" s="72" t="s">
        <v>2656</v>
      </c>
      <c r="G45" s="72" t="s">
        <v>2764</v>
      </c>
      <c r="H45" s="71"/>
      <c r="I45" s="79"/>
      <c r="J45" s="79"/>
      <c r="K45" s="79"/>
      <c r="L45" s="79"/>
      <c r="M45" s="79"/>
      <c r="N45" s="79"/>
      <c r="O45" s="79"/>
      <c r="P45" s="79"/>
      <c r="Q45" s="79"/>
      <c r="R45" s="79"/>
      <c r="S45" s="79"/>
      <c r="T45" s="88"/>
      <c r="U45" s="92"/>
      <c r="V45" s="92"/>
      <c r="W45" s="92"/>
      <c r="X45" s="88"/>
    </row>
    <row r="46" spans="2:24" ht="16" x14ac:dyDescent="0.3">
      <c r="B46" s="71"/>
      <c r="C46" s="73">
        <f>SUMIF(Tabla_nuevas_columnas[Tipo_Campaña],Dashboard!D43,Tabla_nuevas_columnas[Gasto_EUR])</f>
        <v>2775181.1899999995</v>
      </c>
      <c r="D46" s="73">
        <f>SUMIF(Tabla_nuevas_columnas[Tipo_Campaña],D43,Tabla_nuevas_columnas[Ingresos_EUR])</f>
        <v>21271359.539999995</v>
      </c>
      <c r="E46" s="73">
        <f>D46/C46</f>
        <v>7.6648543225388464</v>
      </c>
      <c r="F46" s="74">
        <f>C46/SUMIF(Tabla_nuevas_columnas[Tipo_Campaña],Dashboard!D43,Tabla_nuevas_columnas[Clics])</f>
        <v>0.86138963339478014</v>
      </c>
      <c r="G46" s="73">
        <f>C46/SUMIF(Tabla_nuevas_columnas[Tipo_Campaña],Dashboard!D43,Tabla_nuevas_columnas[Conversiones])</f>
        <v>14.06957363103114</v>
      </c>
      <c r="H46" s="71"/>
      <c r="I46" s="79"/>
      <c r="J46" s="79"/>
      <c r="K46" s="79"/>
      <c r="L46" s="79"/>
      <c r="M46" s="79"/>
      <c r="N46" s="79"/>
      <c r="O46" s="79"/>
      <c r="P46" s="79"/>
      <c r="Q46" s="79"/>
      <c r="R46" s="79"/>
      <c r="S46" s="79"/>
      <c r="T46" s="88"/>
      <c r="U46" s="92"/>
      <c r="V46" s="92"/>
      <c r="W46" s="92"/>
      <c r="X46" s="88"/>
    </row>
    <row r="47" spans="2:24" ht="16" x14ac:dyDescent="0.3">
      <c r="B47" s="71"/>
      <c r="C47" s="80"/>
      <c r="D47" s="80"/>
      <c r="E47" s="80"/>
      <c r="F47" s="81"/>
      <c r="G47" s="80"/>
      <c r="H47" s="71"/>
      <c r="I47" s="79"/>
      <c r="J47" s="79"/>
      <c r="K47" s="79"/>
      <c r="L47" s="79"/>
      <c r="M47" s="79"/>
      <c r="N47" s="79"/>
      <c r="O47" s="79"/>
      <c r="P47" s="79"/>
      <c r="Q47" s="79"/>
      <c r="R47" s="79"/>
      <c r="S47" s="79"/>
      <c r="T47" s="88"/>
      <c r="U47" s="92"/>
      <c r="V47" s="92"/>
      <c r="W47" s="92"/>
      <c r="X47" s="88"/>
    </row>
    <row r="48" spans="2:24" x14ac:dyDescent="0.3">
      <c r="B48" s="71"/>
      <c r="C48" s="71"/>
      <c r="D48" s="71"/>
      <c r="E48" s="71"/>
      <c r="F48" s="71"/>
      <c r="G48" s="71"/>
      <c r="H48" s="71"/>
      <c r="I48" s="79"/>
      <c r="J48" s="79"/>
      <c r="K48" s="79"/>
      <c r="L48" s="79"/>
      <c r="M48" s="79"/>
      <c r="N48" s="79"/>
      <c r="O48" s="79"/>
      <c r="P48" s="79"/>
      <c r="Q48" s="79"/>
      <c r="R48" s="79"/>
      <c r="S48" s="79"/>
      <c r="T48" s="88"/>
      <c r="U48" s="92"/>
      <c r="V48" s="92"/>
      <c r="W48" s="92"/>
      <c r="X48" s="88"/>
    </row>
    <row r="49" spans="2:24" ht="12" customHeight="1" x14ac:dyDescent="0.3">
      <c r="B49" s="71"/>
      <c r="C49" s="71"/>
      <c r="D49" s="94" t="s">
        <v>2779</v>
      </c>
      <c r="E49" s="71"/>
      <c r="F49" s="71"/>
      <c r="G49" s="71"/>
      <c r="H49" s="71"/>
      <c r="I49" s="79"/>
      <c r="J49" s="79"/>
      <c r="K49" s="79"/>
      <c r="L49" s="79"/>
      <c r="M49" s="79"/>
      <c r="N49" s="79"/>
      <c r="O49" s="79"/>
      <c r="P49" s="79"/>
      <c r="Q49" s="79"/>
      <c r="R49" s="79"/>
      <c r="S49" s="79"/>
      <c r="T49" s="88"/>
      <c r="U49" s="88"/>
      <c r="V49" s="90"/>
      <c r="W49" s="90"/>
      <c r="X49" s="88"/>
    </row>
    <row r="50" spans="2:24" ht="14.5" customHeight="1" x14ac:dyDescent="0.35">
      <c r="B50" s="71"/>
      <c r="C50" s="86" t="s">
        <v>2780</v>
      </c>
      <c r="D50" s="87" t="s">
        <v>2526</v>
      </c>
      <c r="E50" s="71"/>
      <c r="F50" s="71"/>
      <c r="G50" s="71"/>
      <c r="H50" s="71"/>
      <c r="I50" s="79"/>
      <c r="J50" s="79"/>
      <c r="K50" s="79"/>
      <c r="L50" s="79"/>
      <c r="M50" s="79"/>
      <c r="N50" s="79"/>
      <c r="O50" s="79"/>
      <c r="P50" s="79"/>
      <c r="Q50" s="79"/>
      <c r="R50" s="79"/>
      <c r="S50" s="79"/>
      <c r="T50" s="88"/>
      <c r="U50" s="92" t="s">
        <v>2787</v>
      </c>
      <c r="V50" s="92"/>
      <c r="W50" s="92"/>
      <c r="X50" s="88"/>
    </row>
    <row r="51" spans="2:24" ht="12" customHeight="1" x14ac:dyDescent="0.3">
      <c r="B51" s="71"/>
      <c r="C51" s="71"/>
      <c r="D51" s="71"/>
      <c r="E51" s="71"/>
      <c r="F51" s="71"/>
      <c r="G51" s="71"/>
      <c r="H51" s="71"/>
      <c r="I51" s="79"/>
      <c r="J51" s="79"/>
      <c r="K51" s="79"/>
      <c r="L51" s="79"/>
      <c r="M51" s="79"/>
      <c r="N51" s="79"/>
      <c r="O51" s="79"/>
      <c r="P51" s="79"/>
      <c r="Q51" s="79"/>
      <c r="R51" s="79"/>
      <c r="S51" s="79"/>
      <c r="T51" s="88"/>
      <c r="U51" s="92"/>
      <c r="V51" s="92"/>
      <c r="W51" s="92"/>
      <c r="X51" s="88"/>
    </row>
    <row r="52" spans="2:24" ht="13" customHeight="1" x14ac:dyDescent="0.3">
      <c r="B52" s="71"/>
      <c r="C52" s="72" t="s">
        <v>2731</v>
      </c>
      <c r="D52" s="72" t="s">
        <v>2706</v>
      </c>
      <c r="E52" s="72" t="s">
        <v>2763</v>
      </c>
      <c r="F52" s="72" t="s">
        <v>2656</v>
      </c>
      <c r="G52" s="72" t="s">
        <v>2764</v>
      </c>
      <c r="H52" s="71"/>
      <c r="I52" s="79"/>
      <c r="J52" s="79"/>
      <c r="K52" s="79"/>
      <c r="L52" s="79"/>
      <c r="M52" s="79"/>
      <c r="N52" s="79"/>
      <c r="O52" s="79"/>
      <c r="P52" s="79"/>
      <c r="Q52" s="79"/>
      <c r="R52" s="79"/>
      <c r="S52" s="79"/>
      <c r="T52" s="88"/>
      <c r="U52" s="92"/>
      <c r="V52" s="92"/>
      <c r="W52" s="92"/>
      <c r="X52" s="88"/>
    </row>
    <row r="53" spans="2:24" ht="16" x14ac:dyDescent="0.3">
      <c r="B53" s="71"/>
      <c r="C53" s="73">
        <f>SUMIF(Tabla_nuevas_columnas[Responsable],Dashboard!D50,Tabla_nuevas_columnas[Gasto_EUR])</f>
        <v>2429339.4500000016</v>
      </c>
      <c r="D53" s="73">
        <f>SUMIF(Tabla_nuevas_columnas[Responsable],D50,Tabla_nuevas_columnas[Ingresos_EUR])</f>
        <v>18850286.589999985</v>
      </c>
      <c r="E53" s="73">
        <f>D53/C53</f>
        <v>7.7594288398025117</v>
      </c>
      <c r="F53" s="74">
        <f>C53/SUMIF(Tabla_nuevas_columnas[Responsable],Dashboard!D50,Tabla_nuevas_columnas[Clics])</f>
        <v>1.0514258701183594</v>
      </c>
      <c r="G53" s="73">
        <f>C53/SUMIF(Tabla_nuevas_columnas[Responsable],Dashboard!D50,Tabla_nuevas_columnas[Conversiones])</f>
        <v>15.236031094972008</v>
      </c>
      <c r="H53" s="71"/>
      <c r="I53" s="79"/>
      <c r="J53" s="79"/>
      <c r="K53" s="79"/>
      <c r="L53" s="79"/>
      <c r="M53" s="79"/>
      <c r="N53" s="79"/>
      <c r="O53" s="79"/>
      <c r="P53" s="79"/>
      <c r="Q53" s="79"/>
      <c r="R53" s="79"/>
      <c r="S53" s="79"/>
      <c r="T53" s="88"/>
      <c r="U53" s="92"/>
      <c r="V53" s="92"/>
      <c r="W53" s="92"/>
      <c r="X53" s="88"/>
    </row>
    <row r="54" spans="2:24" ht="16" x14ac:dyDescent="0.3">
      <c r="B54" s="71"/>
      <c r="C54" s="80"/>
      <c r="D54" s="80"/>
      <c r="E54" s="80"/>
      <c r="F54" s="81"/>
      <c r="G54" s="80"/>
      <c r="H54" s="71"/>
      <c r="I54" s="79"/>
      <c r="J54" s="79"/>
      <c r="K54" s="79"/>
      <c r="L54" s="79"/>
      <c r="M54" s="79"/>
      <c r="N54" s="79"/>
      <c r="O54" s="79"/>
      <c r="P54" s="79"/>
      <c r="Q54" s="79"/>
      <c r="R54" s="79"/>
      <c r="S54" s="79"/>
      <c r="T54" s="88"/>
      <c r="U54" s="92"/>
      <c r="V54" s="92"/>
      <c r="W54" s="92"/>
      <c r="X54" s="88"/>
    </row>
    <row r="55" spans="2:24" x14ac:dyDescent="0.3">
      <c r="B55" s="71"/>
      <c r="C55" s="71"/>
      <c r="D55" s="71"/>
      <c r="E55" s="71"/>
      <c r="F55" s="71"/>
      <c r="G55" s="71"/>
      <c r="H55" s="71"/>
      <c r="I55" s="79"/>
      <c r="J55" s="79"/>
      <c r="K55" s="79"/>
      <c r="L55" s="79"/>
      <c r="M55" s="79"/>
      <c r="N55" s="79"/>
      <c r="O55" s="79"/>
      <c r="P55" s="79"/>
      <c r="Q55" s="79"/>
      <c r="R55" s="79"/>
      <c r="S55" s="79"/>
      <c r="T55" s="88"/>
      <c r="U55" s="88"/>
      <c r="V55" s="88"/>
      <c r="W55" s="88"/>
      <c r="X55" s="88"/>
    </row>
  </sheetData>
  <mergeCells count="10">
    <mergeCell ref="U50:W54"/>
    <mergeCell ref="U42:W48"/>
    <mergeCell ref="U21:W26"/>
    <mergeCell ref="U28:W33"/>
    <mergeCell ref="U35:W40"/>
    <mergeCell ref="U5:W10"/>
    <mergeCell ref="C3:G3"/>
    <mergeCell ref="J13:M13"/>
    <mergeCell ref="U3:W3"/>
    <mergeCell ref="U14:W19"/>
  </mergeCell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ECD44BA5-D5E9-49FF-9A37-25A844D6F192}">
          <x14:formula1>
            <xm:f>UNICOS!$D$3:$D$10</xm:f>
          </x14:formula1>
          <xm:sqref>D15</xm:sqref>
        </x14:dataValidation>
        <x14:dataValidation type="list" allowBlank="1" showInputMessage="1" showErrorMessage="1" xr:uid="{6E54B3BE-220C-4A6B-939B-AB4E90A9F659}">
          <x14:formula1>
            <xm:f>UNICOS!$F$3:$F$9</xm:f>
          </x14:formula1>
          <xm:sqref>D22</xm:sqref>
        </x14:dataValidation>
        <x14:dataValidation type="list" allowBlank="1" showInputMessage="1" showErrorMessage="1" xr:uid="{B957A483-A5AE-4FFF-88EB-8E6BFF1EE31A}">
          <x14:formula1>
            <xm:f>UNICOS!$B$3:$B$33</xm:f>
          </x14:formula1>
          <xm:sqref>D29</xm:sqref>
        </x14:dataValidation>
        <x14:dataValidation type="list" allowBlank="1" showInputMessage="1" showErrorMessage="1" xr:uid="{B2C9C2FD-AB1F-4DC6-BD91-9686C45F5817}">
          <x14:formula1>
            <xm:f>UNICOS!$H$3:$H$6</xm:f>
          </x14:formula1>
          <xm:sqref>D36</xm:sqref>
        </x14:dataValidation>
        <x14:dataValidation type="list" allowBlank="1" showInputMessage="1" showErrorMessage="1" xr:uid="{AD4D6F09-8E03-43A4-B2B1-12DACBEB975B}">
          <x14:formula1>
            <xm:f>UNICOS!$J$3:$J$7</xm:f>
          </x14:formula1>
          <xm:sqref>D43</xm:sqref>
        </x14:dataValidation>
        <x14:dataValidation type="list" allowBlank="1" showInputMessage="1" showErrorMessage="1" xr:uid="{5D5CE351-9A5F-40FF-911D-162BA1DCA1BB}">
          <x14:formula1>
            <xm:f>UNICOS!$L$3:$L$9</xm:f>
          </x14:formula1>
          <xm:sqref>D50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8F07-DE50-4E00-A308-CADDD180B7FE}">
  <dimension ref="B1:AB32"/>
  <sheetViews>
    <sheetView topLeftCell="A11" workbookViewId="0">
      <selection activeCell="B33" sqref="B33"/>
    </sheetView>
  </sheetViews>
  <sheetFormatPr baseColWidth="10" defaultRowHeight="12" x14ac:dyDescent="0.3"/>
  <cols>
    <col min="3" max="3" width="5.33203125" customWidth="1"/>
    <col min="5" max="5" width="5.33203125" customWidth="1"/>
    <col min="6" max="6" width="12.21875" bestFit="1" customWidth="1"/>
    <col min="7" max="7" width="5.21875" customWidth="1"/>
    <col min="9" max="9" width="6.21875" customWidth="1"/>
    <col min="10" max="10" width="13.33203125" bestFit="1" customWidth="1"/>
    <col min="11" max="11" width="6.109375" customWidth="1"/>
    <col min="12" max="12" width="12.21875" bestFit="1" customWidth="1"/>
  </cols>
  <sheetData>
    <row r="1" spans="2:28" x14ac:dyDescent="0.3">
      <c r="N1" t="s">
        <v>2772</v>
      </c>
      <c r="O1" t="s">
        <v>2658</v>
      </c>
      <c r="Q1" t="s">
        <v>2772</v>
      </c>
      <c r="R1" t="str">
        <f>Dashboard!D15</f>
        <v>Display</v>
      </c>
      <c r="S1" t="str">
        <f>Dashboard!$D$22</f>
        <v>Italia</v>
      </c>
      <c r="T1" t="str">
        <f>Dashboard!$D$29</f>
        <v>Cmp-019</v>
      </c>
      <c r="U1" t="str">
        <f>Dashboard!$D$36</f>
        <v>Tablet</v>
      </c>
      <c r="V1" t="str">
        <f>Dashboard!D43</f>
        <v>Conversión</v>
      </c>
      <c r="W1" t="str">
        <f>Dashboard!D50</f>
        <v>Laura Pérez</v>
      </c>
    </row>
    <row r="2" spans="2:28" s="18" customFormat="1" x14ac:dyDescent="0.3">
      <c r="B2" s="19" t="s">
        <v>2502</v>
      </c>
      <c r="C2" s="19"/>
      <c r="D2" s="19" t="s">
        <v>2503</v>
      </c>
      <c r="E2" s="19"/>
      <c r="F2" s="19" t="s">
        <v>2504</v>
      </c>
      <c r="G2" s="19"/>
      <c r="H2" s="19" t="s">
        <v>2505</v>
      </c>
      <c r="I2" s="19"/>
      <c r="J2" s="19" t="s">
        <v>2512</v>
      </c>
      <c r="K2" s="19"/>
      <c r="L2" s="19" t="s">
        <v>2513</v>
      </c>
      <c r="N2" s="30" t="s">
        <v>2714</v>
      </c>
      <c r="O2" s="77">
        <f>SUMIF(Tabla_nuevas_columnas[Mes],UNICOS!N2,Tabla_nuevas_columnas[Ingresos_EUR])/SUMIF(Tabla_nuevas_columnas[Mes],UNICOS!N2,Tabla_nuevas_columnas[Gasto_EUR])</f>
        <v>8.1347645576140142</v>
      </c>
      <c r="Q2" s="30" t="s">
        <v>2714</v>
      </c>
      <c r="R2" s="77">
        <f>SUMIFS(Tabla_nuevas_columnas[Ingresos_EUR],Tabla_nuevas_columnas[Mes],UNICOS!Q2,Tabla_nuevas_columnas[Canal],UNICOS!$R$1)/SUMIFS(Tabla_nuevas_columnas[Gasto_EUR],Tabla_nuevas_columnas[Mes],UNICOS!Q2,Tabla_nuevas_columnas[Canal],UNICOS!$R$1)</f>
        <v>8.9978772300547973</v>
      </c>
      <c r="S2" s="77">
        <f>SUMIFS(Tabla_nuevas_columnas[Ingresos_EUR],Tabla_nuevas_columnas[Mes],Q2,Tabla_nuevas_columnas[País],$S$1)/SUMIFS(Tabla_nuevas_columnas[Gasto_EUR],Tabla_nuevas_columnas[Mes],Q2,Tabla_nuevas_columnas[País],$S$1)</f>
        <v>10.982063388750831</v>
      </c>
      <c r="T2" s="77">
        <f>SUMIFS(Tabla_nuevas_columnas[Ingresos_EUR],Tabla_nuevas_columnas[Mes],Q2,Tabla_nuevas_columnas[ID_Campaña],$T$1)/SUMIFS(Tabla_nuevas_columnas[Gasto_EUR],Tabla_nuevas_columnas[Mes],Q2,Tabla_nuevas_columnas[ID_Campaña],$T$1)</f>
        <v>5.3004576230558387</v>
      </c>
      <c r="U2" s="77">
        <f>SUMIFS(Tabla_nuevas_columnas[Ingresos_EUR],Tabla_nuevas_columnas[Mes],Q2,Tabla_nuevas_columnas[Dispositivo],$U$1)/SUMIFS(Tabla_nuevas_columnas[Gasto_EUR],Tabla_nuevas_columnas[Mes],Q2,Tabla_nuevas_columnas[Dispositivo],$U$1)</f>
        <v>11.57724917749638</v>
      </c>
      <c r="V2" s="77">
        <f>SUMIFS(Tabla_nuevas_columnas[Ingresos_EUR],Tabla_nuevas_columnas[Mes],Q2,Tabla_nuevas_columnas[Tipo_Campaña],$V$1)/SUMIFS(Tabla_nuevas_columnas[Gasto_EUR],Tabla_nuevas_columnas[Mes],Q2,Tabla_nuevas_columnas[Tipo_Campaña],$V$1)</f>
        <v>7.3365150738401663</v>
      </c>
      <c r="W2" s="77">
        <f>SUMIFS(Tabla_nuevas_columnas[Ingresos_EUR],Tabla_nuevas_columnas[Mes],Q2,Tabla_nuevas_columnas[Responsable],$W$1)/SUMIFS(Tabla_nuevas_columnas[Gasto_EUR],Tabla_nuevas_columnas[Mes],Q2,Tabla_nuevas_columnas[Responsable],$W$1)</f>
        <v>9.3137329910118201</v>
      </c>
      <c r="Y2"/>
      <c r="Z2" s="77"/>
      <c r="AB2" s="77"/>
    </row>
    <row r="3" spans="2:28" x14ac:dyDescent="0.3">
      <c r="B3" t="s">
        <v>2638</v>
      </c>
      <c r="D3" t="str" cm="1">
        <f t="array" ref="D3:D9">_xlfn.UNIQUE(Tabla_nuevas_columnas[Canal])</f>
        <v>Email</v>
      </c>
      <c r="F3" t="str" cm="1">
        <f t="array" ref="F3:F8">_xlfn.UNIQUE(Tabla_nuevas_columnas[País])</f>
        <v>México</v>
      </c>
      <c r="H3" t="str" cm="1">
        <f t="array" ref="H3:H5">_xlfn.UNIQUE(Tabla_nuevas_columnas[Dispositivo])</f>
        <v>Desktop</v>
      </c>
      <c r="J3" t="str" cm="1">
        <f t="array" ref="J3:J6">_xlfn.UNIQUE(Tabla_nuevas_columnas[Tipo_Campaña])</f>
        <v>Adquisición</v>
      </c>
      <c r="L3" t="str" cm="1">
        <f t="array" ref="L3:L8">_xlfn.UNIQUE(Tabla_nuevas_columnas[Responsable])</f>
        <v>Carlos Ruiz</v>
      </c>
      <c r="N3" s="30" t="s">
        <v>2715</v>
      </c>
      <c r="O3" s="77">
        <f>SUMIF(Tabla_nuevas_columnas[Mes],UNICOS!N3,Tabla_nuevas_columnas[Ingresos_EUR])/SUMIF(Tabla_nuevas_columnas[Mes],UNICOS!N3,Tabla_nuevas_columnas[Gasto_EUR])</f>
        <v>8.1128178300579386</v>
      </c>
      <c r="Q3" s="30" t="s">
        <v>2715</v>
      </c>
      <c r="R3" s="77">
        <f>SUMIFS(Tabla_nuevas_columnas[Ingresos_EUR],Tabla_nuevas_columnas[Mes],UNICOS!Q3,Tabla_nuevas_columnas[Canal],UNICOS!$R$1)/SUMIFS(Tabla_nuevas_columnas[Gasto_EUR],Tabla_nuevas_columnas[Mes],UNICOS!Q3,Tabla_nuevas_columnas[Canal],UNICOS!$R$1)</f>
        <v>6.7461818826235733</v>
      </c>
      <c r="S3" s="77">
        <f>SUMIFS(Tabla_nuevas_columnas[Ingresos_EUR],Tabla_nuevas_columnas[Mes],Q3,Tabla_nuevas_columnas[País],$S$1)/SUMIFS(Tabla_nuevas_columnas[Gasto_EUR],Tabla_nuevas_columnas[Mes],Q3,Tabla_nuevas_columnas[País],$S$1)</f>
        <v>13.350675623103458</v>
      </c>
      <c r="T3" s="77">
        <f>SUMIFS(Tabla_nuevas_columnas[Ingresos_EUR],Tabla_nuevas_columnas[Mes],Q3,Tabla_nuevas_columnas[ID_Campaña],$T$1)/SUMIFS(Tabla_nuevas_columnas[Gasto_EUR],Tabla_nuevas_columnas[Mes],Q3,Tabla_nuevas_columnas[ID_Campaña],$T$1)</f>
        <v>7.9725084960506276</v>
      </c>
      <c r="U3" s="77">
        <f>SUMIFS(Tabla_nuevas_columnas[Ingresos_EUR],Tabla_nuevas_columnas[Mes],Q3,Tabla_nuevas_columnas[Dispositivo],$U$1)/SUMIFS(Tabla_nuevas_columnas[Gasto_EUR],Tabla_nuevas_columnas[Mes],Q3,Tabla_nuevas_columnas[Dispositivo],$U$1)</f>
        <v>9.7613913801907923</v>
      </c>
      <c r="V3" s="77">
        <f>SUMIFS(Tabla_nuevas_columnas[Ingresos_EUR],Tabla_nuevas_columnas[Mes],Q3,Tabla_nuevas_columnas[Tipo_Campaña],$V$1)/SUMIFS(Tabla_nuevas_columnas[Gasto_EUR],Tabla_nuevas_columnas[Mes],Q3,Tabla_nuevas_columnas[Tipo_Campaña],$V$1)</f>
        <v>8.6258973534462307</v>
      </c>
      <c r="W3" s="77">
        <f>SUMIFS(Tabla_nuevas_columnas[Ingresos_EUR],Tabla_nuevas_columnas[Mes],Q3,Tabla_nuevas_columnas[Responsable],$W$1)/SUMIFS(Tabla_nuevas_columnas[Gasto_EUR],Tabla_nuevas_columnas[Mes],Q3,Tabla_nuevas_columnas[Responsable],$W$1)</f>
        <v>7.2222546028238019</v>
      </c>
      <c r="Z3" s="77"/>
    </row>
    <row r="4" spans="2:28" x14ac:dyDescent="0.3">
      <c r="B4" t="s">
        <v>2615</v>
      </c>
      <c r="D4" t="str">
        <v>Paid Search</v>
      </c>
      <c r="F4" t="str">
        <v>Italia</v>
      </c>
      <c r="H4" t="str">
        <v>Mobile</v>
      </c>
      <c r="J4" t="str">
        <v>Retención</v>
      </c>
      <c r="L4" t="str">
        <v>Luis Martín</v>
      </c>
      <c r="N4" s="30" t="s">
        <v>2716</v>
      </c>
      <c r="O4" s="77">
        <f>SUMIF(Tabla_nuevas_columnas[Mes],UNICOS!N4,Tabla_nuevas_columnas[Ingresos_EUR])/SUMIF(Tabla_nuevas_columnas[Mes],UNICOS!N4,Tabla_nuevas_columnas[Gasto_EUR])</f>
        <v>7.7276694865383808</v>
      </c>
      <c r="Q4" s="30" t="s">
        <v>2716</v>
      </c>
      <c r="R4" s="77">
        <f>SUMIFS(Tabla_nuevas_columnas[Ingresos_EUR],Tabla_nuevas_columnas[Mes],UNICOS!Q4,Tabla_nuevas_columnas[Canal],UNICOS!$R$1)/SUMIFS(Tabla_nuevas_columnas[Gasto_EUR],Tabla_nuevas_columnas[Mes],UNICOS!Q4,Tabla_nuevas_columnas[Canal],UNICOS!$R$1)</f>
        <v>7.537945752393437</v>
      </c>
      <c r="S4" s="77">
        <f>SUMIFS(Tabla_nuevas_columnas[Ingresos_EUR],Tabla_nuevas_columnas[Mes],Q4,Tabla_nuevas_columnas[País],$S$1)/SUMIFS(Tabla_nuevas_columnas[Gasto_EUR],Tabla_nuevas_columnas[Mes],Q4,Tabla_nuevas_columnas[País],$S$1)</f>
        <v>8.5270047211735989</v>
      </c>
      <c r="T4" s="77">
        <f>SUMIFS(Tabla_nuevas_columnas[Ingresos_EUR],Tabla_nuevas_columnas[Mes],Q4,Tabla_nuevas_columnas[ID_Campaña],$T$1)/SUMIFS(Tabla_nuevas_columnas[Gasto_EUR],Tabla_nuevas_columnas[Mes],Q4,Tabla_nuevas_columnas[ID_Campaña],$T$1)</f>
        <v>3.7816883692043217</v>
      </c>
      <c r="U4" s="77">
        <f>SUMIFS(Tabla_nuevas_columnas[Ingresos_EUR],Tabla_nuevas_columnas[Mes],Q4,Tabla_nuevas_columnas[Dispositivo],$U$1)/SUMIFS(Tabla_nuevas_columnas[Gasto_EUR],Tabla_nuevas_columnas[Mes],Q4,Tabla_nuevas_columnas[Dispositivo],$U$1)</f>
        <v>16.18289525373331</v>
      </c>
      <c r="V4" s="77">
        <f>SUMIFS(Tabla_nuevas_columnas[Ingresos_EUR],Tabla_nuevas_columnas[Mes],Q4,Tabla_nuevas_columnas[Tipo_Campaña],$V$1)/SUMIFS(Tabla_nuevas_columnas[Gasto_EUR],Tabla_nuevas_columnas[Mes],Q4,Tabla_nuevas_columnas[Tipo_Campaña],$V$1)</f>
        <v>6.7912329576858816</v>
      </c>
      <c r="W4" s="77">
        <f>SUMIFS(Tabla_nuevas_columnas[Ingresos_EUR],Tabla_nuevas_columnas[Mes],Q4,Tabla_nuevas_columnas[Responsable],$W$1)/SUMIFS(Tabla_nuevas_columnas[Gasto_EUR],Tabla_nuevas_columnas[Mes],Q4,Tabla_nuevas_columnas[Responsable],$W$1)</f>
        <v>7.5020575362775102</v>
      </c>
      <c r="Z4" s="77"/>
    </row>
    <row r="5" spans="2:28" x14ac:dyDescent="0.3">
      <c r="B5" t="s">
        <v>2644</v>
      </c>
      <c r="D5" t="str">
        <v>Affiliate</v>
      </c>
      <c r="F5" t="str">
        <v>Francia</v>
      </c>
      <c r="H5" t="str">
        <v>Tablet</v>
      </c>
      <c r="J5" t="str">
        <v>Reconocimiento</v>
      </c>
      <c r="L5" t="str">
        <v>Laura Pérez</v>
      </c>
      <c r="N5" s="30" t="s">
        <v>2717</v>
      </c>
      <c r="O5" s="77">
        <f>SUMIF(Tabla_nuevas_columnas[Mes],UNICOS!N5,Tabla_nuevas_columnas[Ingresos_EUR])/SUMIF(Tabla_nuevas_columnas[Mes],UNICOS!N5,Tabla_nuevas_columnas[Gasto_EUR])</f>
        <v>8.6371555296747573</v>
      </c>
      <c r="Q5" s="30" t="s">
        <v>2717</v>
      </c>
      <c r="R5" s="77">
        <f>SUMIFS(Tabla_nuevas_columnas[Ingresos_EUR],Tabla_nuevas_columnas[Mes],UNICOS!Q5,Tabla_nuevas_columnas[Canal],UNICOS!$R$1)/SUMIFS(Tabla_nuevas_columnas[Gasto_EUR],Tabla_nuevas_columnas[Mes],UNICOS!Q5,Tabla_nuevas_columnas[Canal],UNICOS!$R$1)</f>
        <v>8.7096932231918807</v>
      </c>
      <c r="S5" s="77">
        <f>SUMIFS(Tabla_nuevas_columnas[Ingresos_EUR],Tabla_nuevas_columnas[Mes],Q5,Tabla_nuevas_columnas[País],$S$1)/SUMIFS(Tabla_nuevas_columnas[Gasto_EUR],Tabla_nuevas_columnas[Mes],Q5,Tabla_nuevas_columnas[País],$S$1)</f>
        <v>5.7529627142564115</v>
      </c>
      <c r="T5" s="77">
        <f>SUMIFS(Tabla_nuevas_columnas[Ingresos_EUR],Tabla_nuevas_columnas[Mes],Q5,Tabla_nuevas_columnas[ID_Campaña],$T$1)/SUMIFS(Tabla_nuevas_columnas[Gasto_EUR],Tabla_nuevas_columnas[Mes],Q5,Tabla_nuevas_columnas[ID_Campaña],$T$1)</f>
        <v>3.3451843320752483</v>
      </c>
      <c r="U5" s="77">
        <f>SUMIFS(Tabla_nuevas_columnas[Ingresos_EUR],Tabla_nuevas_columnas[Mes],Q5,Tabla_nuevas_columnas[Dispositivo],$U$1)/SUMIFS(Tabla_nuevas_columnas[Gasto_EUR],Tabla_nuevas_columnas[Mes],Q5,Tabla_nuevas_columnas[Dispositivo],$U$1)</f>
        <v>10.804615959240769</v>
      </c>
      <c r="V5" s="77">
        <f>SUMIFS(Tabla_nuevas_columnas[Ingresos_EUR],Tabla_nuevas_columnas[Mes],Q5,Tabla_nuevas_columnas[Tipo_Campaña],$V$1)/SUMIFS(Tabla_nuevas_columnas[Gasto_EUR],Tabla_nuevas_columnas[Mes],Q5,Tabla_nuevas_columnas[Tipo_Campaña],$V$1)</f>
        <v>9.1474220540142834</v>
      </c>
      <c r="W5" s="77">
        <f>SUMIFS(Tabla_nuevas_columnas[Ingresos_EUR],Tabla_nuevas_columnas[Mes],Q5,Tabla_nuevas_columnas[Responsable],$W$1)/SUMIFS(Tabla_nuevas_columnas[Gasto_EUR],Tabla_nuevas_columnas[Mes],Q5,Tabla_nuevas_columnas[Responsable],$W$1)</f>
        <v>7.8339097409089895</v>
      </c>
      <c r="Z5" s="77"/>
    </row>
    <row r="6" spans="2:28" x14ac:dyDescent="0.3">
      <c r="B6" t="s">
        <v>2620</v>
      </c>
      <c r="D6" t="str">
        <v>Paid Social</v>
      </c>
      <c r="F6" t="str">
        <v>España</v>
      </c>
      <c r="J6" t="str">
        <v>Conversión</v>
      </c>
      <c r="L6" t="str">
        <v>Marta López</v>
      </c>
      <c r="N6" s="30" t="s">
        <v>2718</v>
      </c>
      <c r="O6" s="77">
        <f>SUMIF(Tabla_nuevas_columnas[Mes],UNICOS!N6,Tabla_nuevas_columnas[Ingresos_EUR])/SUMIF(Tabla_nuevas_columnas[Mes],UNICOS!N6,Tabla_nuevas_columnas[Gasto_EUR])</f>
        <v>8.53327016572063</v>
      </c>
      <c r="Q6" s="30" t="s">
        <v>2718</v>
      </c>
      <c r="R6" s="77">
        <f>SUMIFS(Tabla_nuevas_columnas[Ingresos_EUR],Tabla_nuevas_columnas[Mes],UNICOS!Q6,Tabla_nuevas_columnas[Canal],UNICOS!$R$1)/SUMIFS(Tabla_nuevas_columnas[Gasto_EUR],Tabla_nuevas_columnas[Mes],UNICOS!Q6,Tabla_nuevas_columnas[Canal],UNICOS!$R$1)</f>
        <v>7.4238669751967752</v>
      </c>
      <c r="S6" s="77">
        <f>SUMIFS(Tabla_nuevas_columnas[Ingresos_EUR],Tabla_nuevas_columnas[Mes],Q6,Tabla_nuevas_columnas[País],$S$1)/SUMIFS(Tabla_nuevas_columnas[Gasto_EUR],Tabla_nuevas_columnas[Mes],Q6,Tabla_nuevas_columnas[País],$S$1)</f>
        <v>9.5393520596104775</v>
      </c>
      <c r="T6" s="77">
        <f>SUMIFS(Tabla_nuevas_columnas[Ingresos_EUR],Tabla_nuevas_columnas[Mes],Q6,Tabla_nuevas_columnas[ID_Campaña],$T$1)/SUMIFS(Tabla_nuevas_columnas[Gasto_EUR],Tabla_nuevas_columnas[Mes],Q6,Tabla_nuevas_columnas[ID_Campaña],$T$1)</f>
        <v>9.8584173115657645</v>
      </c>
      <c r="U6" s="77">
        <f>SUMIFS(Tabla_nuevas_columnas[Ingresos_EUR],Tabla_nuevas_columnas[Mes],Q6,Tabla_nuevas_columnas[Dispositivo],$U$1)/SUMIFS(Tabla_nuevas_columnas[Gasto_EUR],Tabla_nuevas_columnas[Mes],Q6,Tabla_nuevas_columnas[Dispositivo],$U$1)</f>
        <v>13.775316180565396</v>
      </c>
      <c r="V6" s="77">
        <f>SUMIFS(Tabla_nuevas_columnas[Ingresos_EUR],Tabla_nuevas_columnas[Mes],Q6,Tabla_nuevas_columnas[Tipo_Campaña],$V$1)/SUMIFS(Tabla_nuevas_columnas[Gasto_EUR],Tabla_nuevas_columnas[Mes],Q6,Tabla_nuevas_columnas[Tipo_Campaña],$V$1)</f>
        <v>7.8316951108999193</v>
      </c>
      <c r="W6" s="77">
        <f>SUMIFS(Tabla_nuevas_columnas[Ingresos_EUR],Tabla_nuevas_columnas[Mes],Q6,Tabla_nuevas_columnas[Responsable],$W$1)/SUMIFS(Tabla_nuevas_columnas[Gasto_EUR],Tabla_nuevas_columnas[Mes],Q6,Tabla_nuevas_columnas[Responsable],$W$1)</f>
        <v>6.8203386066522222</v>
      </c>
      <c r="Z6" s="77"/>
    </row>
    <row r="7" spans="2:28" x14ac:dyDescent="0.3">
      <c r="B7" t="s">
        <v>2637</v>
      </c>
      <c r="D7" t="str">
        <v>Display</v>
      </c>
      <c r="F7" t="str">
        <v>Portugal</v>
      </c>
      <c r="L7" t="str">
        <v>Ana García</v>
      </c>
      <c r="N7" s="30" t="s">
        <v>2719</v>
      </c>
      <c r="O7" s="77">
        <f>SUMIF(Tabla_nuevas_columnas[Mes],UNICOS!N7,Tabla_nuevas_columnas[Ingresos_EUR])/SUMIF(Tabla_nuevas_columnas[Mes],UNICOS!N7,Tabla_nuevas_columnas[Gasto_EUR])</f>
        <v>7.4128064920179808</v>
      </c>
      <c r="Q7" s="30" t="s">
        <v>2719</v>
      </c>
      <c r="R7" s="77">
        <f>SUMIFS(Tabla_nuevas_columnas[Ingresos_EUR],Tabla_nuevas_columnas[Mes],UNICOS!Q7,Tabla_nuevas_columnas[Canal],UNICOS!$R$1)/SUMIFS(Tabla_nuevas_columnas[Gasto_EUR],Tabla_nuevas_columnas[Mes],UNICOS!Q7,Tabla_nuevas_columnas[Canal],UNICOS!$R$1)</f>
        <v>5.2526332227635262</v>
      </c>
      <c r="S7" s="77">
        <f>SUMIFS(Tabla_nuevas_columnas[Ingresos_EUR],Tabla_nuevas_columnas[Mes],Q7,Tabla_nuevas_columnas[País],$S$1)/SUMIFS(Tabla_nuevas_columnas[Gasto_EUR],Tabla_nuevas_columnas[Mes],Q7,Tabla_nuevas_columnas[País],$S$1)</f>
        <v>3.8157533246162081</v>
      </c>
      <c r="T7" s="77">
        <f>SUMIFS(Tabla_nuevas_columnas[Ingresos_EUR],Tabla_nuevas_columnas[Mes],Q7,Tabla_nuevas_columnas[ID_Campaña],$T$1)/SUMIFS(Tabla_nuevas_columnas[Gasto_EUR],Tabla_nuevas_columnas[Mes],Q7,Tabla_nuevas_columnas[ID_Campaña],$T$1)</f>
        <v>6.6251879221878722</v>
      </c>
      <c r="U7" s="77">
        <f>SUMIFS(Tabla_nuevas_columnas[Ingresos_EUR],Tabla_nuevas_columnas[Mes],Q7,Tabla_nuevas_columnas[Dispositivo],$U$1)/SUMIFS(Tabla_nuevas_columnas[Gasto_EUR],Tabla_nuevas_columnas[Mes],Q7,Tabla_nuevas_columnas[Dispositivo],$U$1)</f>
        <v>4.1610081550057618</v>
      </c>
      <c r="V7" s="77">
        <f>SUMIFS(Tabla_nuevas_columnas[Ingresos_EUR],Tabla_nuevas_columnas[Mes],Q7,Tabla_nuevas_columnas[Tipo_Campaña],$V$1)/SUMIFS(Tabla_nuevas_columnas[Gasto_EUR],Tabla_nuevas_columnas[Mes],Q7,Tabla_nuevas_columnas[Tipo_Campaña],$V$1)</f>
        <v>7.2692274717194199</v>
      </c>
      <c r="W7" s="77">
        <f>SUMIFS(Tabla_nuevas_columnas[Ingresos_EUR],Tabla_nuevas_columnas[Mes],Q7,Tabla_nuevas_columnas[Responsable],$W$1)/SUMIFS(Tabla_nuevas_columnas[Gasto_EUR],Tabla_nuevas_columnas[Mes],Q7,Tabla_nuevas_columnas[Responsable],$W$1)</f>
        <v>5.3205334071670665</v>
      </c>
      <c r="Z7" s="77"/>
    </row>
    <row r="8" spans="2:28" x14ac:dyDescent="0.3">
      <c r="B8" t="s">
        <v>2623</v>
      </c>
      <c r="D8" t="str">
        <v>Organic Social</v>
      </c>
      <c r="F8" t="str">
        <v>Por identificar</v>
      </c>
      <c r="L8" t="str">
        <v>Por identificar</v>
      </c>
      <c r="N8" s="30" t="s">
        <v>2720</v>
      </c>
      <c r="O8" s="77">
        <f>SUMIF(Tabla_nuevas_columnas[Mes],UNICOS!N8,Tabla_nuevas_columnas[Ingresos_EUR])/SUMIF(Tabla_nuevas_columnas[Mes],UNICOS!N8,Tabla_nuevas_columnas[Gasto_EUR])</f>
        <v>7.6723591860632414</v>
      </c>
      <c r="Q8" s="30" t="s">
        <v>2720</v>
      </c>
      <c r="R8" s="77">
        <f>SUMIFS(Tabla_nuevas_columnas[Ingresos_EUR],Tabla_nuevas_columnas[Mes],UNICOS!Q8,Tabla_nuevas_columnas[Canal],UNICOS!$R$1)/SUMIFS(Tabla_nuevas_columnas[Gasto_EUR],Tabla_nuevas_columnas[Mes],UNICOS!Q8,Tabla_nuevas_columnas[Canal],UNICOS!$R$1)</f>
        <v>5.8498452295051804</v>
      </c>
      <c r="S8" s="77">
        <f>SUMIFS(Tabla_nuevas_columnas[Ingresos_EUR],Tabla_nuevas_columnas[Mes],Q8,Tabla_nuevas_columnas[País],$S$1)/SUMIFS(Tabla_nuevas_columnas[Gasto_EUR],Tabla_nuevas_columnas[Mes],Q8,Tabla_nuevas_columnas[País],$S$1)</f>
        <v>7.2203888415050992</v>
      </c>
      <c r="T8" s="77">
        <f>SUMIFS(Tabla_nuevas_columnas[Ingresos_EUR],Tabla_nuevas_columnas[Mes],Q8,Tabla_nuevas_columnas[ID_Campaña],$T$1)/SUMIFS(Tabla_nuevas_columnas[Gasto_EUR],Tabla_nuevas_columnas[Mes],Q8,Tabla_nuevas_columnas[ID_Campaña],$T$1)</f>
        <v>5.2375865443052554</v>
      </c>
      <c r="U8" s="77">
        <f>SUMIFS(Tabla_nuevas_columnas[Ingresos_EUR],Tabla_nuevas_columnas[Mes],Q8,Tabla_nuevas_columnas[Dispositivo],$U$1)/SUMIFS(Tabla_nuevas_columnas[Gasto_EUR],Tabla_nuevas_columnas[Mes],Q8,Tabla_nuevas_columnas[Dispositivo],$U$1)</f>
        <v>6.8931121529695485</v>
      </c>
      <c r="V8" s="77">
        <f>SUMIFS(Tabla_nuevas_columnas[Ingresos_EUR],Tabla_nuevas_columnas[Mes],Q8,Tabla_nuevas_columnas[Tipo_Campaña],$V$1)/SUMIFS(Tabla_nuevas_columnas[Gasto_EUR],Tabla_nuevas_columnas[Mes],Q8,Tabla_nuevas_columnas[Tipo_Campaña],$V$1)</f>
        <v>9.890364957837944</v>
      </c>
      <c r="W8" s="77">
        <f>SUMIFS(Tabla_nuevas_columnas[Ingresos_EUR],Tabla_nuevas_columnas[Mes],Q8,Tabla_nuevas_columnas[Responsable],$W$1)/SUMIFS(Tabla_nuevas_columnas[Gasto_EUR],Tabla_nuevas_columnas[Mes],Q8,Tabla_nuevas_columnas[Responsable],$W$1)</f>
        <v>8.8789627326546707</v>
      </c>
      <c r="Z8" s="77"/>
    </row>
    <row r="9" spans="2:28" x14ac:dyDescent="0.3">
      <c r="B9" t="s">
        <v>2626</v>
      </c>
      <c r="D9" t="str">
        <v>Por identificar</v>
      </c>
      <c r="N9" s="30" t="s">
        <v>2721</v>
      </c>
      <c r="O9" s="77">
        <f>SUMIF(Tabla_nuevas_columnas[Mes],UNICOS!N9,Tabla_nuevas_columnas[Ingresos_EUR])/SUMIF(Tabla_nuevas_columnas[Mes],UNICOS!N9,Tabla_nuevas_columnas[Gasto_EUR])</f>
        <v>8.2912461725493625</v>
      </c>
      <c r="Q9" s="30" t="s">
        <v>2721</v>
      </c>
      <c r="R9" s="77">
        <f>SUMIFS(Tabla_nuevas_columnas[Ingresos_EUR],Tabla_nuevas_columnas[Mes],UNICOS!Q9,Tabla_nuevas_columnas[Canal],UNICOS!$R$1)/SUMIFS(Tabla_nuevas_columnas[Gasto_EUR],Tabla_nuevas_columnas[Mes],UNICOS!Q9,Tabla_nuevas_columnas[Canal],UNICOS!$R$1)</f>
        <v>7.0095985889034456</v>
      </c>
      <c r="S9" s="77">
        <f>SUMIFS(Tabla_nuevas_columnas[Ingresos_EUR],Tabla_nuevas_columnas[Mes],Q9,Tabla_nuevas_columnas[País],$S$1)/SUMIFS(Tabla_nuevas_columnas[Gasto_EUR],Tabla_nuevas_columnas[Mes],Q9,Tabla_nuevas_columnas[País],$S$1)</f>
        <v>7.8376840555409393</v>
      </c>
      <c r="T9" s="77">
        <f>SUMIFS(Tabla_nuevas_columnas[Ingresos_EUR],Tabla_nuevas_columnas[Mes],Q9,Tabla_nuevas_columnas[ID_Campaña],$T$1)/SUMIFS(Tabla_nuevas_columnas[Gasto_EUR],Tabla_nuevas_columnas[Mes],Q9,Tabla_nuevas_columnas[ID_Campaña],$T$1)</f>
        <v>25.772550425207694</v>
      </c>
      <c r="U9" s="77">
        <f>SUMIFS(Tabla_nuevas_columnas[Ingresos_EUR],Tabla_nuevas_columnas[Mes],Q9,Tabla_nuevas_columnas[Dispositivo],$U$1)/SUMIFS(Tabla_nuevas_columnas[Gasto_EUR],Tabla_nuevas_columnas[Mes],Q9,Tabla_nuevas_columnas[Dispositivo],$U$1)</f>
        <v>7.8680243488571575</v>
      </c>
      <c r="V9" s="77">
        <f>SUMIFS(Tabla_nuevas_columnas[Ingresos_EUR],Tabla_nuevas_columnas[Mes],Q9,Tabla_nuevas_columnas[Tipo_Campaña],$V$1)/SUMIFS(Tabla_nuevas_columnas[Gasto_EUR],Tabla_nuevas_columnas[Mes],Q9,Tabla_nuevas_columnas[Tipo_Campaña],$V$1)</f>
        <v>7.0932176444411423</v>
      </c>
      <c r="W9" s="77">
        <f>SUMIFS(Tabla_nuevas_columnas[Ingresos_EUR],Tabla_nuevas_columnas[Mes],Q9,Tabla_nuevas_columnas[Responsable],$W$1)/SUMIFS(Tabla_nuevas_columnas[Gasto_EUR],Tabla_nuevas_columnas[Mes],Q9,Tabla_nuevas_columnas[Responsable],$W$1)</f>
        <v>7.2303884215236032</v>
      </c>
      <c r="Z9" s="77"/>
    </row>
    <row r="10" spans="2:28" x14ac:dyDescent="0.3">
      <c r="B10" t="s">
        <v>2627</v>
      </c>
      <c r="N10" s="30" t="s">
        <v>2722</v>
      </c>
      <c r="O10" s="77">
        <f>SUMIF(Tabla_nuevas_columnas[Mes],UNICOS!N10,Tabla_nuevas_columnas[Ingresos_EUR])/SUMIF(Tabla_nuevas_columnas[Mes],UNICOS!N10,Tabla_nuevas_columnas[Gasto_EUR])</f>
        <v>7.814452699829757</v>
      </c>
      <c r="Q10" s="30" t="s">
        <v>2722</v>
      </c>
      <c r="R10" s="77">
        <f>SUMIFS(Tabla_nuevas_columnas[Ingresos_EUR],Tabla_nuevas_columnas[Mes],UNICOS!Q10,Tabla_nuevas_columnas[Canal],UNICOS!$R$1)/SUMIFS(Tabla_nuevas_columnas[Gasto_EUR],Tabla_nuevas_columnas[Mes],UNICOS!Q10,Tabla_nuevas_columnas[Canal],UNICOS!$R$1)</f>
        <v>6.0910403379867519</v>
      </c>
      <c r="S10" s="77">
        <f>SUMIFS(Tabla_nuevas_columnas[Ingresos_EUR],Tabla_nuevas_columnas[Mes],Q10,Tabla_nuevas_columnas[País],$S$1)/SUMIFS(Tabla_nuevas_columnas[Gasto_EUR],Tabla_nuevas_columnas[Mes],Q10,Tabla_nuevas_columnas[País],$S$1)</f>
        <v>6.1618396830046711</v>
      </c>
      <c r="T10" s="77">
        <f>SUMIFS(Tabla_nuevas_columnas[Ingresos_EUR],Tabla_nuevas_columnas[Mes],Q10,Tabla_nuevas_columnas[ID_Campaña],$T$1)/SUMIFS(Tabla_nuevas_columnas[Gasto_EUR],Tabla_nuevas_columnas[Mes],Q10,Tabla_nuevas_columnas[ID_Campaña],$T$1)</f>
        <v>9.6104245778664641</v>
      </c>
      <c r="U10" s="77">
        <f>SUMIFS(Tabla_nuevas_columnas[Ingresos_EUR],Tabla_nuevas_columnas[Mes],Q10,Tabla_nuevas_columnas[Dispositivo],$U$1)/SUMIFS(Tabla_nuevas_columnas[Gasto_EUR],Tabla_nuevas_columnas[Mes],Q10,Tabla_nuevas_columnas[Dispositivo],$U$1)</f>
        <v>13.039047415434569</v>
      </c>
      <c r="V10" s="77">
        <f>SUMIFS(Tabla_nuevas_columnas[Ingresos_EUR],Tabla_nuevas_columnas[Mes],Q10,Tabla_nuevas_columnas[Tipo_Campaña],$V$1)/SUMIFS(Tabla_nuevas_columnas[Gasto_EUR],Tabla_nuevas_columnas[Mes],Q10,Tabla_nuevas_columnas[Tipo_Campaña],$V$1)</f>
        <v>6.8177381480294335</v>
      </c>
      <c r="W10" s="77">
        <f>SUMIFS(Tabla_nuevas_columnas[Ingresos_EUR],Tabla_nuevas_columnas[Mes],Q10,Tabla_nuevas_columnas[Responsable],$W$1)/SUMIFS(Tabla_nuevas_columnas[Gasto_EUR],Tabla_nuevas_columnas[Mes],Q10,Tabla_nuevas_columnas[Responsable],$W$1)</f>
        <v>13.91899699107206</v>
      </c>
      <c r="Z10" s="77"/>
    </row>
    <row r="11" spans="2:28" x14ac:dyDescent="0.3">
      <c r="B11" t="s">
        <v>2616</v>
      </c>
      <c r="N11" s="30" t="s">
        <v>2723</v>
      </c>
      <c r="O11" s="77">
        <f>SUMIF(Tabla_nuevas_columnas[Mes],UNICOS!N11,Tabla_nuevas_columnas[Ingresos_EUR])/SUMIF(Tabla_nuevas_columnas[Mes],UNICOS!N11,Tabla_nuevas_columnas[Gasto_EUR])</f>
        <v>7.5988443553001277</v>
      </c>
      <c r="Q11" s="30" t="s">
        <v>2723</v>
      </c>
      <c r="R11" s="77">
        <f>SUMIFS(Tabla_nuevas_columnas[Ingresos_EUR],Tabla_nuevas_columnas[Mes],UNICOS!Q11,Tabla_nuevas_columnas[Canal],UNICOS!$R$1)/SUMIFS(Tabla_nuevas_columnas[Gasto_EUR],Tabla_nuevas_columnas[Mes],UNICOS!Q11,Tabla_nuevas_columnas[Canal],UNICOS!$R$1)</f>
        <v>6.9511705544121494</v>
      </c>
      <c r="S11" s="77">
        <f>SUMIFS(Tabla_nuevas_columnas[Ingresos_EUR],Tabla_nuevas_columnas[Mes],Q11,Tabla_nuevas_columnas[País],$S$1)/SUMIFS(Tabla_nuevas_columnas[Gasto_EUR],Tabla_nuevas_columnas[Mes],Q11,Tabla_nuevas_columnas[País],$S$1)</f>
        <v>6.243445545690558</v>
      </c>
      <c r="T11" s="77">
        <f>SUMIFS(Tabla_nuevas_columnas[Ingresos_EUR],Tabla_nuevas_columnas[Mes],Q11,Tabla_nuevas_columnas[ID_Campaña],$T$1)/SUMIFS(Tabla_nuevas_columnas[Gasto_EUR],Tabla_nuevas_columnas[Mes],Q11,Tabla_nuevas_columnas[ID_Campaña],$T$1)</f>
        <v>10.032939810493382</v>
      </c>
      <c r="U11" s="77">
        <f>SUMIFS(Tabla_nuevas_columnas[Ingresos_EUR],Tabla_nuevas_columnas[Mes],Q11,Tabla_nuevas_columnas[Dispositivo],$U$1)/SUMIFS(Tabla_nuevas_columnas[Gasto_EUR],Tabla_nuevas_columnas[Mes],Q11,Tabla_nuevas_columnas[Dispositivo],$U$1)</f>
        <v>5.5689606004081034</v>
      </c>
      <c r="V11" s="77">
        <f>SUMIFS(Tabla_nuevas_columnas[Ingresos_EUR],Tabla_nuevas_columnas[Mes],Q11,Tabla_nuevas_columnas[Tipo_Campaña],$V$1)/SUMIFS(Tabla_nuevas_columnas[Gasto_EUR],Tabla_nuevas_columnas[Mes],Q11,Tabla_nuevas_columnas[Tipo_Campaña],$V$1)</f>
        <v>6.4950721457177751</v>
      </c>
      <c r="W11" s="77">
        <f>SUMIFS(Tabla_nuevas_columnas[Ingresos_EUR],Tabla_nuevas_columnas[Mes],Q11,Tabla_nuevas_columnas[Responsable],$W$1)/SUMIFS(Tabla_nuevas_columnas[Gasto_EUR],Tabla_nuevas_columnas[Mes],Q11,Tabla_nuevas_columnas[Responsable],$W$1)</f>
        <v>6.2355673099286921</v>
      </c>
      <c r="Z11" s="77"/>
    </row>
    <row r="12" spans="2:28" x14ac:dyDescent="0.3">
      <c r="B12" t="s">
        <v>2631</v>
      </c>
      <c r="N12" s="30" t="s">
        <v>2724</v>
      </c>
      <c r="O12" s="77">
        <f>SUMIF(Tabla_nuevas_columnas[Mes],UNICOS!N12,Tabla_nuevas_columnas[Ingresos_EUR])/SUMIF(Tabla_nuevas_columnas[Mes],UNICOS!N12,Tabla_nuevas_columnas[Gasto_EUR])</f>
        <v>9.2651008644946593</v>
      </c>
      <c r="Q12" s="30" t="s">
        <v>2724</v>
      </c>
      <c r="R12" s="77">
        <f>SUMIFS(Tabla_nuevas_columnas[Ingresos_EUR],Tabla_nuevas_columnas[Mes],UNICOS!Q12,Tabla_nuevas_columnas[Canal],UNICOS!$R$1)/SUMIFS(Tabla_nuevas_columnas[Gasto_EUR],Tabla_nuevas_columnas[Mes],UNICOS!Q12,Tabla_nuevas_columnas[Canal],UNICOS!$R$1)</f>
        <v>14.975161573445348</v>
      </c>
      <c r="S12" s="77">
        <f>SUMIFS(Tabla_nuevas_columnas[Ingresos_EUR],Tabla_nuevas_columnas[Mes],Q12,Tabla_nuevas_columnas[País],$S$1)/SUMIFS(Tabla_nuevas_columnas[Gasto_EUR],Tabla_nuevas_columnas[Mes],Q12,Tabla_nuevas_columnas[País],$S$1)</f>
        <v>7.7040210253814836</v>
      </c>
      <c r="T12" s="77">
        <f>SUMIFS(Tabla_nuevas_columnas[Ingresos_EUR],Tabla_nuevas_columnas[Mes],Q12,Tabla_nuevas_columnas[ID_Campaña],$T$1)/SUMIFS(Tabla_nuevas_columnas[Gasto_EUR],Tabla_nuevas_columnas[Mes],Q12,Tabla_nuevas_columnas[ID_Campaña],$T$1)</f>
        <v>13.435091473699321</v>
      </c>
      <c r="U12" s="77">
        <f>SUMIFS(Tabla_nuevas_columnas[Ingresos_EUR],Tabla_nuevas_columnas[Mes],Q12,Tabla_nuevas_columnas[Dispositivo],$U$1)/SUMIFS(Tabla_nuevas_columnas[Gasto_EUR],Tabla_nuevas_columnas[Mes],Q12,Tabla_nuevas_columnas[Dispositivo],$U$1)</f>
        <v>5.6384832944380845</v>
      </c>
      <c r="V12" s="77">
        <f>SUMIFS(Tabla_nuevas_columnas[Ingresos_EUR],Tabla_nuevas_columnas[Mes],Q12,Tabla_nuevas_columnas[Tipo_Campaña],$V$1)/SUMIFS(Tabla_nuevas_columnas[Gasto_EUR],Tabla_nuevas_columnas[Mes],Q12,Tabla_nuevas_columnas[Tipo_Campaña],$V$1)</f>
        <v>10.379843496651061</v>
      </c>
      <c r="W12" s="77">
        <f>SUMIFS(Tabla_nuevas_columnas[Ingresos_EUR],Tabla_nuevas_columnas[Mes],Q12,Tabla_nuevas_columnas[Responsable],$W$1)/SUMIFS(Tabla_nuevas_columnas[Gasto_EUR],Tabla_nuevas_columnas[Mes],Q12,Tabla_nuevas_columnas[Responsable],$W$1)</f>
        <v>8.6217082698840919</v>
      </c>
      <c r="Z12" s="77"/>
    </row>
    <row r="13" spans="2:28" x14ac:dyDescent="0.3">
      <c r="B13" t="s">
        <v>2624</v>
      </c>
      <c r="N13" s="27" t="s">
        <v>2725</v>
      </c>
      <c r="O13" s="77">
        <f>SUMIF(Tabla_nuevas_columnas[Mes],UNICOS!N13,Tabla_nuevas_columnas[Ingresos_EUR])/SUMIF(Tabla_nuevas_columnas[Mes],UNICOS!N13,Tabla_nuevas_columnas[Gasto_EUR])</f>
        <v>7.4683523702909547</v>
      </c>
      <c r="Q13" s="27" t="s">
        <v>2725</v>
      </c>
      <c r="R13" s="77">
        <f>SUMIFS(Tabla_nuevas_columnas[Ingresos_EUR],Tabla_nuevas_columnas[Mes],UNICOS!Q13,Tabla_nuevas_columnas[Canal],UNICOS!$R$1)/SUMIFS(Tabla_nuevas_columnas[Gasto_EUR],Tabla_nuevas_columnas[Mes],UNICOS!Q13,Tabla_nuevas_columnas[Canal],UNICOS!$R$1)</f>
        <v>7.3764269534785818</v>
      </c>
      <c r="S13" s="77">
        <f>SUMIFS(Tabla_nuevas_columnas[Ingresos_EUR],Tabla_nuevas_columnas[Mes],Q13,Tabla_nuevas_columnas[País],$S$1)/SUMIFS(Tabla_nuevas_columnas[Gasto_EUR],Tabla_nuevas_columnas[Mes],Q13,Tabla_nuevas_columnas[País],$S$1)</f>
        <v>8.7695950779557688</v>
      </c>
      <c r="T13" s="77">
        <f>SUMIFS(Tabla_nuevas_columnas[Ingresos_EUR],Tabla_nuevas_columnas[Mes],Q13,Tabla_nuevas_columnas[ID_Campaña],$T$1)/SUMIFS(Tabla_nuevas_columnas[Gasto_EUR],Tabla_nuevas_columnas[Mes],Q13,Tabla_nuevas_columnas[ID_Campaña],$T$1)</f>
        <v>11.550352996177109</v>
      </c>
      <c r="U13" s="77">
        <f>SUMIFS(Tabla_nuevas_columnas[Ingresos_EUR],Tabla_nuevas_columnas[Mes],Q13,Tabla_nuevas_columnas[Dispositivo],$U$1)/SUMIFS(Tabla_nuevas_columnas[Gasto_EUR],Tabla_nuevas_columnas[Mes],Q13,Tabla_nuevas_columnas[Dispositivo],$U$1)</f>
        <v>9.138291686107797</v>
      </c>
      <c r="V13" s="77">
        <f>SUMIFS(Tabla_nuevas_columnas[Ingresos_EUR],Tabla_nuevas_columnas[Mes],Q13,Tabla_nuevas_columnas[Tipo_Campaña],$V$1)/SUMIFS(Tabla_nuevas_columnas[Gasto_EUR],Tabla_nuevas_columnas[Mes],Q13,Tabla_nuevas_columnas[Tipo_Campaña],$V$1)</f>
        <v>5.7899241823642331</v>
      </c>
      <c r="W13" s="77">
        <f>SUMIFS(Tabla_nuevas_columnas[Ingresos_EUR],Tabla_nuevas_columnas[Mes],Q13,Tabla_nuevas_columnas[Responsable],$W$1)/SUMIFS(Tabla_nuevas_columnas[Gasto_EUR],Tabla_nuevas_columnas[Mes],Q13,Tabla_nuevas_columnas[Responsable],$W$1)</f>
        <v>6.5093262920777262</v>
      </c>
      <c r="Z13" s="77"/>
    </row>
    <row r="14" spans="2:28" x14ac:dyDescent="0.3">
      <c r="B14" t="s">
        <v>2629</v>
      </c>
      <c r="Z14" s="77"/>
    </row>
    <row r="15" spans="2:28" x14ac:dyDescent="0.3">
      <c r="B15" t="s">
        <v>2641</v>
      </c>
      <c r="R15" s="93"/>
      <c r="S15" s="93"/>
      <c r="T15" s="93"/>
      <c r="U15" s="93"/>
      <c r="V15" s="93"/>
      <c r="W15" s="93"/>
      <c r="Z15" s="77"/>
    </row>
    <row r="16" spans="2:28" x14ac:dyDescent="0.3">
      <c r="B16" t="s">
        <v>2632</v>
      </c>
      <c r="R16" s="93"/>
      <c r="S16" s="93"/>
      <c r="T16" s="93"/>
      <c r="U16" s="93"/>
      <c r="V16" s="93"/>
      <c r="W16" s="93"/>
      <c r="Z16" s="77"/>
    </row>
    <row r="17" spans="2:26" x14ac:dyDescent="0.3">
      <c r="B17" t="s">
        <v>2619</v>
      </c>
      <c r="Z17" s="77"/>
    </row>
    <row r="18" spans="2:26" x14ac:dyDescent="0.3">
      <c r="B18" t="s">
        <v>2642</v>
      </c>
      <c r="Z18" s="77"/>
    </row>
    <row r="19" spans="2:26" x14ac:dyDescent="0.3">
      <c r="B19" t="s">
        <v>2621</v>
      </c>
      <c r="Z19" s="77"/>
    </row>
    <row r="20" spans="2:26" x14ac:dyDescent="0.3">
      <c r="B20" t="s">
        <v>2625</v>
      </c>
      <c r="Z20" s="77"/>
    </row>
    <row r="21" spans="2:26" x14ac:dyDescent="0.3">
      <c r="B21" t="s">
        <v>2630</v>
      </c>
      <c r="Z21" s="77"/>
    </row>
    <row r="22" spans="2:26" x14ac:dyDescent="0.3">
      <c r="B22" t="s">
        <v>2640</v>
      </c>
      <c r="Z22" s="77"/>
    </row>
    <row r="23" spans="2:26" x14ac:dyDescent="0.3">
      <c r="B23" t="s">
        <v>2639</v>
      </c>
      <c r="Z23" s="77"/>
    </row>
    <row r="24" spans="2:26" x14ac:dyDescent="0.3">
      <c r="B24" t="s">
        <v>2618</v>
      </c>
      <c r="Z24" s="77"/>
    </row>
    <row r="25" spans="2:26" x14ac:dyDescent="0.3">
      <c r="B25" t="s">
        <v>2635</v>
      </c>
      <c r="Z25" s="77"/>
    </row>
    <row r="26" spans="2:26" x14ac:dyDescent="0.3">
      <c r="B26" t="s">
        <v>2636</v>
      </c>
      <c r="Z26" s="77"/>
    </row>
    <row r="27" spans="2:26" x14ac:dyDescent="0.3">
      <c r="B27" t="s">
        <v>2622</v>
      </c>
      <c r="Z27" s="77"/>
    </row>
    <row r="28" spans="2:26" x14ac:dyDescent="0.3">
      <c r="B28" t="s">
        <v>2617</v>
      </c>
      <c r="Z28" s="77"/>
    </row>
    <row r="29" spans="2:26" x14ac:dyDescent="0.3">
      <c r="B29" t="s">
        <v>2634</v>
      </c>
      <c r="Z29" s="77"/>
    </row>
    <row r="30" spans="2:26" x14ac:dyDescent="0.3">
      <c r="B30" t="s">
        <v>2628</v>
      </c>
      <c r="Z30" s="77"/>
    </row>
    <row r="31" spans="2:26" x14ac:dyDescent="0.3">
      <c r="B31" t="s">
        <v>2643</v>
      </c>
      <c r="Z31" s="77"/>
    </row>
    <row r="32" spans="2:26" x14ac:dyDescent="0.3">
      <c r="B32" t="s">
        <v>2633</v>
      </c>
    </row>
  </sheetData>
  <sortState xmlns:xlrd2="http://schemas.microsoft.com/office/spreadsheetml/2017/richdata2" ref="B3:B32">
    <sortCondition ref="B3:B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Data original</vt:lpstr>
      <vt:lpstr>Auditoría </vt:lpstr>
      <vt:lpstr>Control de datos</vt:lpstr>
      <vt:lpstr>Datos limpios </vt:lpstr>
      <vt:lpstr>Datos nuevas columnas</vt:lpstr>
      <vt:lpstr>Preguntas de negocio</vt:lpstr>
      <vt:lpstr>Dashboard</vt:lpstr>
      <vt:lpstr>UNICOS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Castrillón Betancourt</dc:creator>
  <cp:lastModifiedBy>Camilo Castrillón Betancourt</cp:lastModifiedBy>
  <dcterms:created xsi:type="dcterms:W3CDTF">2026-10-22T14:34:05Z</dcterms:created>
  <dcterms:modified xsi:type="dcterms:W3CDTF">2026-10-26T17:10:43Z</dcterms:modified>
</cp:coreProperties>
</file>